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13.xml" ContentType="application/vnd.openxmlformats-officedocument.drawing+xml"/>
  <Override PartName="/xl/comments4.xml" ContentType="application/vnd.openxmlformats-officedocument.spreadsheetml.comments+xml"/>
  <Override PartName="/xl/drawings/drawing14.xml" ContentType="application/vnd.openxmlformats-officedocument.drawing+xml"/>
  <Override PartName="/xl/comments5.xml" ContentType="application/vnd.openxmlformats-officedocument.spreadsheetml.comments+xml"/>
  <Override PartName="/xl/drawings/drawing15.xml" ContentType="application/vnd.openxmlformats-officedocument.drawing+xml"/>
  <Override PartName="/xl/drawings/drawing16.xml" ContentType="application/vnd.openxmlformats-officedocument.drawing+xml"/>
  <Override PartName="/xl/comments6.xml" ContentType="application/vnd.openxmlformats-officedocument.spreadsheetml.comments+xml"/>
  <Override PartName="/xl/drawings/drawing17.xml" ContentType="application/vnd.openxmlformats-officedocument.drawing+xml"/>
  <Override PartName="/xl/comments7.xml" ContentType="application/vnd.openxmlformats-officedocument.spreadsheetml.comments+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updateLinks="always" codeName="현재_통합_문서" defaultThemeVersion="124226"/>
  <mc:AlternateContent xmlns:mc="http://schemas.openxmlformats.org/markup-compatibility/2006">
    <mc:Choice Requires="x15">
      <x15ac:absPath xmlns:x15ac="http://schemas.microsoft.com/office/spreadsheetml/2010/11/ac" url="D:\8.2025년도 공사\한전 동해변젼소 공사\"/>
    </mc:Choice>
  </mc:AlternateContent>
  <xr:revisionPtr revIDLastSave="0" documentId="13_ncr:1_{BE0AD864-E1C2-4A67-A55E-1D7E7CC9CEA0}" xr6:coauthVersionLast="47" xr6:coauthVersionMax="47" xr10:uidLastSave="{00000000-0000-0000-0000-000000000000}"/>
  <bookViews>
    <workbookView xWindow="-120" yWindow="-120" windowWidth="29040" windowHeight="15840" tabRatio="889" firstSheet="11" activeTab="11" xr2:uid="{00000000-000D-0000-FFFF-FFFF00000000}"/>
  </bookViews>
  <sheets>
    <sheet name="표지" sheetId="15" state="hidden" r:id="rId1"/>
    <sheet name="목차" sheetId="30" state="hidden" r:id="rId2"/>
    <sheet name="1.공사계획서" sheetId="14" state="hidden" r:id="rId3"/>
    <sheet name="2.공사설명서" sheetId="13" state="hidden" r:id="rId4"/>
    <sheet name="2-1.계통도(전력통신)" sheetId="154" state="hidden" r:id="rId5"/>
    <sheet name="2-2.계통도(무인보안)" sheetId="155" state="hidden" r:id="rId6"/>
    <sheet name="3.공사비총괄표" sheetId="12" state="hidden" r:id="rId7"/>
    <sheet name="4.자금계획서" sheetId="11" state="hidden" r:id="rId8"/>
    <sheet name="5.예정공정표" sheetId="10" state="hidden" r:id="rId9"/>
    <sheet name="6.공사비예산서" sheetId="9" state="hidden" r:id="rId10"/>
    <sheet name="집계표" sheetId="41" state="hidden" r:id="rId11"/>
    <sheet name="7.설계명세서" sheetId="8" r:id="rId12"/>
    <sheet name="8-1.설비자재산출(전력통신)" sheetId="28" r:id="rId13"/>
    <sheet name="8-2.설비자재산출(무인보안)" sheetId="153" r:id="rId14"/>
    <sheet name="8-3.노무산출" sheetId="5" r:id="rId15"/>
    <sheet name="8-4.일위대가표" sheetId="152" r:id="rId16"/>
    <sheet name="8-5.2025하노임" sheetId="3" r:id="rId17"/>
    <sheet name="8-6.자재단가비교표" sheetId="4" r:id="rId18"/>
    <sheet name="8-7.적용근거" sheetId="29" r:id="rId19"/>
    <sheet name="8-8. 공구손료" sheetId="160" r:id="rId20"/>
    <sheet name="9.시방서표지" sheetId="1" r:id="rId21"/>
    <sheet name="10.시설도면" sheetId="25" state="hidden" r:id="rId22"/>
    <sheet name="10-2. 광단말(도일CT)" sheetId="93" state="hidden" r:id="rId23"/>
    <sheet name="10-2 광단말(서안성)" sheetId="143" state="hidden" r:id="rId24"/>
    <sheet name="10-2. 광단말도면(고덕2)" sheetId="144" state="hidden" r:id="rId25"/>
    <sheet name="10-1.송변전단말 구성도" sheetId="44" state="hidden" r:id="rId26"/>
    <sheet name="10-2전원설비,LAN,IP계통 시설도" sheetId="50" state="hidden" r:id="rId27"/>
    <sheet name="10-3-3. 전원PIALAN물량(동강)" sheetId="148" state="hidden" r:id="rId28"/>
    <sheet name="10-2-1. 전원_PIA_LAN물량(ICT실)_동해안" sheetId="51" state="hidden" r:id="rId29"/>
    <sheet name="10-2-2. 전원_PIA_LAN물량_동강" sheetId="165" state="hidden" r:id="rId30"/>
    <sheet name="10-4-4. 단말케이블LIST(동강)" sheetId="149" state="hidden" r:id="rId31"/>
    <sheet name="10-3-1. 송광단말케이블LIST(동해안)" sheetId="53" state="hidden" r:id="rId32"/>
    <sheet name="10-3-2. 송광단말케이블LIST(동강)" sheetId="151" state="hidden" r:id="rId33"/>
    <sheet name="10-3-3. 송광단말케이블LIST(신태백)" sheetId="87" state="hidden" r:id="rId34"/>
    <sheet name="10-4-1. 충전기 용량산출_동해안#1" sheetId="161" state="hidden" r:id="rId35"/>
    <sheet name="10-4-2. UPS 용량산출_동해안#1" sheetId="162" state="hidden" r:id="rId36"/>
    <sheet name="10-4-3. 충전기 용량산출_동강" sheetId="163" state="hidden" r:id="rId37"/>
    <sheet name="10-4-4.  UPS 용량산출_동강" sheetId="164" state="hidden" r:id="rId38"/>
    <sheet name="11-1. 기계경비" sheetId="166" r:id="rId39"/>
  </sheets>
  <externalReferences>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s>
  <definedNames>
    <definedName name="_">#REF!</definedName>
    <definedName name="__" localSheetId="29" hidden="1">'[1]1.토공'!#REF!</definedName>
    <definedName name="__" localSheetId="19" hidden="1">'[1]1.토공'!#REF!</definedName>
    <definedName name="__" hidden="1">'[1]1.토공'!#REF!</definedName>
    <definedName name="____" localSheetId="29" hidden="1">'[1]1.토공'!#REF!</definedName>
    <definedName name="____" localSheetId="19" hidden="1">'[1]1.토공'!#REF!</definedName>
    <definedName name="____" hidden="1">'[1]1.토공'!#REF!</definedName>
    <definedName name="________" localSheetId="29" hidden="1">'[1]1.토공'!#REF!</definedName>
    <definedName name="________" localSheetId="19" hidden="1">'[1]1.토공'!#REF!</definedName>
    <definedName name="________" hidden="1">'[1]1.토공'!#REF!</definedName>
    <definedName name="___________________________________P3" localSheetId="13" hidden="1">{#N/A,#N/A,FALSE,"배수1"}</definedName>
    <definedName name="___________________________________P3" hidden="1">{#N/A,#N/A,FALSE,"배수1"}</definedName>
    <definedName name="___________________________________P4" localSheetId="13" hidden="1">{#N/A,#N/A,FALSE,"혼합골재"}</definedName>
    <definedName name="___________________________________P4" hidden="1">{#N/A,#N/A,FALSE,"혼합골재"}</definedName>
    <definedName name="___________________________________P5" localSheetId="13" hidden="1">{#N/A,#N/A,FALSE,"배수1"}</definedName>
    <definedName name="___________________________________P5" hidden="1">{#N/A,#N/A,FALSE,"배수1"}</definedName>
    <definedName name="___________________________________P6" localSheetId="13" hidden="1">{#N/A,#N/A,FALSE,"2~8번"}</definedName>
    <definedName name="___________________________________P6" hidden="1">{#N/A,#N/A,FALSE,"2~8번"}</definedName>
    <definedName name="___________________________________S3" localSheetId="13" hidden="1">{#N/A,#N/A,FALSE,"포장2"}</definedName>
    <definedName name="___________________________________S3" hidden="1">{#N/A,#N/A,FALSE,"포장2"}</definedName>
    <definedName name="__________________________________P3" localSheetId="13" hidden="1">{#N/A,#N/A,FALSE,"배수1"}</definedName>
    <definedName name="__________________________________P3" hidden="1">{#N/A,#N/A,FALSE,"배수1"}</definedName>
    <definedName name="__________________________________P4" localSheetId="13" hidden="1">{#N/A,#N/A,FALSE,"혼합골재"}</definedName>
    <definedName name="__________________________________P4" hidden="1">{#N/A,#N/A,FALSE,"혼합골재"}</definedName>
    <definedName name="__________________________________P5" localSheetId="13" hidden="1">{#N/A,#N/A,FALSE,"배수1"}</definedName>
    <definedName name="__________________________________P5" hidden="1">{#N/A,#N/A,FALSE,"배수1"}</definedName>
    <definedName name="__________________________________P6" localSheetId="13" hidden="1">{#N/A,#N/A,FALSE,"2~8번"}</definedName>
    <definedName name="__________________________________P6" hidden="1">{#N/A,#N/A,FALSE,"2~8번"}</definedName>
    <definedName name="__________________________________S3" localSheetId="13" hidden="1">{#N/A,#N/A,FALSE,"포장2"}</definedName>
    <definedName name="__________________________________S3" hidden="1">{#N/A,#N/A,FALSE,"포장2"}</definedName>
    <definedName name="_________________________________P3" localSheetId="13" hidden="1">{#N/A,#N/A,FALSE,"배수1"}</definedName>
    <definedName name="_________________________________P3" hidden="1">{#N/A,#N/A,FALSE,"배수1"}</definedName>
    <definedName name="_________________________________P4" localSheetId="13" hidden="1">{#N/A,#N/A,FALSE,"혼합골재"}</definedName>
    <definedName name="_________________________________P4" hidden="1">{#N/A,#N/A,FALSE,"혼합골재"}</definedName>
    <definedName name="_________________________________P5" localSheetId="13" hidden="1">{#N/A,#N/A,FALSE,"배수1"}</definedName>
    <definedName name="_________________________________P5" hidden="1">{#N/A,#N/A,FALSE,"배수1"}</definedName>
    <definedName name="_________________________________P6" localSheetId="13" hidden="1">{#N/A,#N/A,FALSE,"2~8번"}</definedName>
    <definedName name="_________________________________P6" hidden="1">{#N/A,#N/A,FALSE,"2~8번"}</definedName>
    <definedName name="_________________________________S3" localSheetId="13" hidden="1">{#N/A,#N/A,FALSE,"포장2"}</definedName>
    <definedName name="_________________________________S3" hidden="1">{#N/A,#N/A,FALSE,"포장2"}</definedName>
    <definedName name="________________________________P3" localSheetId="13" hidden="1">{#N/A,#N/A,FALSE,"배수1"}</definedName>
    <definedName name="________________________________P3" hidden="1">{#N/A,#N/A,FALSE,"배수1"}</definedName>
    <definedName name="________________________________P4" localSheetId="13" hidden="1">{#N/A,#N/A,FALSE,"혼합골재"}</definedName>
    <definedName name="________________________________P4" hidden="1">{#N/A,#N/A,FALSE,"혼합골재"}</definedName>
    <definedName name="________________________________P5" localSheetId="13" hidden="1">{#N/A,#N/A,FALSE,"배수1"}</definedName>
    <definedName name="________________________________P5" hidden="1">{#N/A,#N/A,FALSE,"배수1"}</definedName>
    <definedName name="________________________________P6" localSheetId="13" hidden="1">{#N/A,#N/A,FALSE,"2~8번"}</definedName>
    <definedName name="________________________________P6" hidden="1">{#N/A,#N/A,FALSE,"2~8번"}</definedName>
    <definedName name="________________________________S3" localSheetId="13" hidden="1">{#N/A,#N/A,FALSE,"포장2"}</definedName>
    <definedName name="________________________________S3" hidden="1">{#N/A,#N/A,FALSE,"포장2"}</definedName>
    <definedName name="_______________________________P3" localSheetId="13" hidden="1">{#N/A,#N/A,FALSE,"배수1"}</definedName>
    <definedName name="_______________________________P3" hidden="1">{#N/A,#N/A,FALSE,"배수1"}</definedName>
    <definedName name="_______________________________P4" localSheetId="13" hidden="1">{#N/A,#N/A,FALSE,"혼합골재"}</definedName>
    <definedName name="_______________________________P4" hidden="1">{#N/A,#N/A,FALSE,"혼합골재"}</definedName>
    <definedName name="_______________________________P5" localSheetId="13" hidden="1">{#N/A,#N/A,FALSE,"배수1"}</definedName>
    <definedName name="_______________________________P5" hidden="1">{#N/A,#N/A,FALSE,"배수1"}</definedName>
    <definedName name="_______________________________P6" localSheetId="13" hidden="1">{#N/A,#N/A,FALSE,"2~8번"}</definedName>
    <definedName name="_______________________________P6" hidden="1">{#N/A,#N/A,FALSE,"2~8번"}</definedName>
    <definedName name="_______________________________S3" localSheetId="13" hidden="1">{#N/A,#N/A,FALSE,"포장2"}</definedName>
    <definedName name="_______________________________S3" hidden="1">{#N/A,#N/A,FALSE,"포장2"}</definedName>
    <definedName name="______________________________P3" localSheetId="13" hidden="1">{#N/A,#N/A,FALSE,"배수1"}</definedName>
    <definedName name="______________________________P3" hidden="1">{#N/A,#N/A,FALSE,"배수1"}</definedName>
    <definedName name="______________________________P4" localSheetId="13" hidden="1">{#N/A,#N/A,FALSE,"혼합골재"}</definedName>
    <definedName name="______________________________P4" hidden="1">{#N/A,#N/A,FALSE,"혼합골재"}</definedName>
    <definedName name="______________________________P5" localSheetId="13" hidden="1">{#N/A,#N/A,FALSE,"배수1"}</definedName>
    <definedName name="______________________________P5" hidden="1">{#N/A,#N/A,FALSE,"배수1"}</definedName>
    <definedName name="______________________________P6" localSheetId="13" hidden="1">{#N/A,#N/A,FALSE,"2~8번"}</definedName>
    <definedName name="______________________________P6" hidden="1">{#N/A,#N/A,FALSE,"2~8번"}</definedName>
    <definedName name="______________________________S3" localSheetId="13" hidden="1">{#N/A,#N/A,FALSE,"포장2"}</definedName>
    <definedName name="______________________________S3" hidden="1">{#N/A,#N/A,FALSE,"포장2"}</definedName>
    <definedName name="____________________________P3" localSheetId="13" hidden="1">{#N/A,#N/A,FALSE,"배수1"}</definedName>
    <definedName name="____________________________P3" hidden="1">{#N/A,#N/A,FALSE,"배수1"}</definedName>
    <definedName name="____________________________P4" localSheetId="13" hidden="1">{#N/A,#N/A,FALSE,"혼합골재"}</definedName>
    <definedName name="____________________________P4" hidden="1">{#N/A,#N/A,FALSE,"혼합골재"}</definedName>
    <definedName name="____________________________P5" localSheetId="13" hidden="1">{#N/A,#N/A,FALSE,"배수1"}</definedName>
    <definedName name="____________________________P5" hidden="1">{#N/A,#N/A,FALSE,"배수1"}</definedName>
    <definedName name="____________________________P6" localSheetId="13" hidden="1">{#N/A,#N/A,FALSE,"2~8번"}</definedName>
    <definedName name="____________________________P6" hidden="1">{#N/A,#N/A,FALSE,"2~8번"}</definedName>
    <definedName name="____________________________S3" localSheetId="13" hidden="1">{#N/A,#N/A,FALSE,"포장2"}</definedName>
    <definedName name="____________________________S3" hidden="1">{#N/A,#N/A,FALSE,"포장2"}</definedName>
    <definedName name="__________________________P3" localSheetId="13" hidden="1">{#N/A,#N/A,FALSE,"배수1"}</definedName>
    <definedName name="__________________________P3" hidden="1">{#N/A,#N/A,FALSE,"배수1"}</definedName>
    <definedName name="__________________________P4" localSheetId="13" hidden="1">{#N/A,#N/A,FALSE,"혼합골재"}</definedName>
    <definedName name="__________________________P4" hidden="1">{#N/A,#N/A,FALSE,"혼합골재"}</definedName>
    <definedName name="__________________________P5" localSheetId="13" hidden="1">{#N/A,#N/A,FALSE,"배수1"}</definedName>
    <definedName name="__________________________P5" hidden="1">{#N/A,#N/A,FALSE,"배수1"}</definedName>
    <definedName name="__________________________P6" localSheetId="13" hidden="1">{#N/A,#N/A,FALSE,"2~8번"}</definedName>
    <definedName name="__________________________P6" hidden="1">{#N/A,#N/A,FALSE,"2~8번"}</definedName>
    <definedName name="__________________________S3" localSheetId="13" hidden="1">{#N/A,#N/A,FALSE,"포장2"}</definedName>
    <definedName name="__________________________S3" hidden="1">{#N/A,#N/A,FALSE,"포장2"}</definedName>
    <definedName name="________________________P3" localSheetId="13" hidden="1">{#N/A,#N/A,FALSE,"배수1"}</definedName>
    <definedName name="________________________P3" hidden="1">{#N/A,#N/A,FALSE,"배수1"}</definedName>
    <definedName name="________________________P4" localSheetId="13" hidden="1">{#N/A,#N/A,FALSE,"혼합골재"}</definedName>
    <definedName name="________________________P4" hidden="1">{#N/A,#N/A,FALSE,"혼합골재"}</definedName>
    <definedName name="________________________P5" localSheetId="13" hidden="1">{#N/A,#N/A,FALSE,"배수1"}</definedName>
    <definedName name="________________________P5" hidden="1">{#N/A,#N/A,FALSE,"배수1"}</definedName>
    <definedName name="________________________P6" localSheetId="13" hidden="1">{#N/A,#N/A,FALSE,"2~8번"}</definedName>
    <definedName name="________________________P6" hidden="1">{#N/A,#N/A,FALSE,"2~8번"}</definedName>
    <definedName name="________________________S3" localSheetId="13" hidden="1">{#N/A,#N/A,FALSE,"포장2"}</definedName>
    <definedName name="________________________S3" hidden="1">{#N/A,#N/A,FALSE,"포장2"}</definedName>
    <definedName name="______________________P3" localSheetId="13" hidden="1">{#N/A,#N/A,FALSE,"배수1"}</definedName>
    <definedName name="______________________P3" hidden="1">{#N/A,#N/A,FALSE,"배수1"}</definedName>
    <definedName name="______________________P4" localSheetId="13" hidden="1">{#N/A,#N/A,FALSE,"혼합골재"}</definedName>
    <definedName name="______________________P4" hidden="1">{#N/A,#N/A,FALSE,"혼합골재"}</definedName>
    <definedName name="______________________P5" localSheetId="13" hidden="1">{#N/A,#N/A,FALSE,"배수1"}</definedName>
    <definedName name="______________________P5" hidden="1">{#N/A,#N/A,FALSE,"배수1"}</definedName>
    <definedName name="______________________P6" localSheetId="13" hidden="1">{#N/A,#N/A,FALSE,"2~8번"}</definedName>
    <definedName name="______________________P6" hidden="1">{#N/A,#N/A,FALSE,"2~8번"}</definedName>
    <definedName name="______________________S3" localSheetId="13" hidden="1">{#N/A,#N/A,FALSE,"포장2"}</definedName>
    <definedName name="______________________S3" hidden="1">{#N/A,#N/A,FALSE,"포장2"}</definedName>
    <definedName name="____________________P3" localSheetId="13" hidden="1">{#N/A,#N/A,FALSE,"배수1"}</definedName>
    <definedName name="____________________P3" hidden="1">{#N/A,#N/A,FALSE,"배수1"}</definedName>
    <definedName name="____________________P4" localSheetId="13" hidden="1">{#N/A,#N/A,FALSE,"혼합골재"}</definedName>
    <definedName name="____________________P4" hidden="1">{#N/A,#N/A,FALSE,"혼합골재"}</definedName>
    <definedName name="____________________P5" localSheetId="13" hidden="1">{#N/A,#N/A,FALSE,"배수1"}</definedName>
    <definedName name="____________________P5" hidden="1">{#N/A,#N/A,FALSE,"배수1"}</definedName>
    <definedName name="____________________P6" localSheetId="13" hidden="1">{#N/A,#N/A,FALSE,"2~8번"}</definedName>
    <definedName name="____________________P6" hidden="1">{#N/A,#N/A,FALSE,"2~8번"}</definedName>
    <definedName name="____________________S3" localSheetId="13" hidden="1">{#N/A,#N/A,FALSE,"포장2"}</definedName>
    <definedName name="____________________S3" hidden="1">{#N/A,#N/A,FALSE,"포장2"}</definedName>
    <definedName name="___________________P3" localSheetId="13" hidden="1">{#N/A,#N/A,FALSE,"배수1"}</definedName>
    <definedName name="___________________P3" hidden="1">{#N/A,#N/A,FALSE,"배수1"}</definedName>
    <definedName name="___________________P4" localSheetId="13" hidden="1">{#N/A,#N/A,FALSE,"혼합골재"}</definedName>
    <definedName name="___________________P4" hidden="1">{#N/A,#N/A,FALSE,"혼합골재"}</definedName>
    <definedName name="___________________P5" localSheetId="13" hidden="1">{#N/A,#N/A,FALSE,"배수1"}</definedName>
    <definedName name="___________________P5" hidden="1">{#N/A,#N/A,FALSE,"배수1"}</definedName>
    <definedName name="___________________P6" localSheetId="13" hidden="1">{#N/A,#N/A,FALSE,"2~8번"}</definedName>
    <definedName name="___________________P6" hidden="1">{#N/A,#N/A,FALSE,"2~8번"}</definedName>
    <definedName name="___________________S3" localSheetId="13" hidden="1">{#N/A,#N/A,FALSE,"포장2"}</definedName>
    <definedName name="___________________S3" hidden="1">{#N/A,#N/A,FALSE,"포장2"}</definedName>
    <definedName name="__________________P3" localSheetId="13" hidden="1">{#N/A,#N/A,FALSE,"배수1"}</definedName>
    <definedName name="__________________P3" hidden="1">{#N/A,#N/A,FALSE,"배수1"}</definedName>
    <definedName name="__________________P4" localSheetId="13" hidden="1">{#N/A,#N/A,FALSE,"혼합골재"}</definedName>
    <definedName name="__________________P4" hidden="1">{#N/A,#N/A,FALSE,"혼합골재"}</definedName>
    <definedName name="__________________P5" localSheetId="13" hidden="1">{#N/A,#N/A,FALSE,"배수1"}</definedName>
    <definedName name="__________________P5" hidden="1">{#N/A,#N/A,FALSE,"배수1"}</definedName>
    <definedName name="__________________P6" localSheetId="13" hidden="1">{#N/A,#N/A,FALSE,"2~8번"}</definedName>
    <definedName name="__________________P6" hidden="1">{#N/A,#N/A,FALSE,"2~8번"}</definedName>
    <definedName name="__________________q45" localSheetId="4">{"'용역비'!$A$4:$C$8"}</definedName>
    <definedName name="__________________q45" localSheetId="13">{"'용역비'!$A$4:$C$8"}</definedName>
    <definedName name="__________________q45" localSheetId="15">{"'용역비'!$A$4:$C$8"}</definedName>
    <definedName name="__________________q45">{"'용역비'!$A$4:$C$8"}</definedName>
    <definedName name="__________________S3" localSheetId="13" hidden="1">{#N/A,#N/A,FALSE,"포장2"}</definedName>
    <definedName name="__________________S3" hidden="1">{#N/A,#N/A,FALSE,"포장2"}</definedName>
    <definedName name="_________________q45" localSheetId="4">{"'용역비'!$A$4:$C$8"}</definedName>
    <definedName name="_________________q45" localSheetId="13">{"'용역비'!$A$4:$C$8"}</definedName>
    <definedName name="_________________q45" localSheetId="15">{"'용역비'!$A$4:$C$8"}</definedName>
    <definedName name="_________________q45">{"'용역비'!$A$4:$C$8"}</definedName>
    <definedName name="________________P3" localSheetId="13" hidden="1">{#N/A,#N/A,FALSE,"배수1"}</definedName>
    <definedName name="________________P3" hidden="1">{#N/A,#N/A,FALSE,"배수1"}</definedName>
    <definedName name="________________P4" localSheetId="13" hidden="1">{#N/A,#N/A,FALSE,"혼합골재"}</definedName>
    <definedName name="________________P4" hidden="1">{#N/A,#N/A,FALSE,"혼합골재"}</definedName>
    <definedName name="________________P5" localSheetId="13" hidden="1">{#N/A,#N/A,FALSE,"배수1"}</definedName>
    <definedName name="________________P5" hidden="1">{#N/A,#N/A,FALSE,"배수1"}</definedName>
    <definedName name="________________P6" localSheetId="13" hidden="1">{#N/A,#N/A,FALSE,"2~8번"}</definedName>
    <definedName name="________________P6" hidden="1">{#N/A,#N/A,FALSE,"2~8번"}</definedName>
    <definedName name="________________q45" localSheetId="4">{"'용역비'!$A$4:$C$8"}</definedName>
    <definedName name="________________q45" localSheetId="13">{"'용역비'!$A$4:$C$8"}</definedName>
    <definedName name="________________q45" localSheetId="15">{"'용역비'!$A$4:$C$8"}</definedName>
    <definedName name="________________q45">{"'용역비'!$A$4:$C$8"}</definedName>
    <definedName name="________________S3" localSheetId="13" hidden="1">{#N/A,#N/A,FALSE,"포장2"}</definedName>
    <definedName name="________________S3" hidden="1">{#N/A,#N/A,FALSE,"포장2"}</definedName>
    <definedName name="_______________P3" localSheetId="13" hidden="1">{#N/A,#N/A,FALSE,"배수1"}</definedName>
    <definedName name="_______________P3" hidden="1">{#N/A,#N/A,FALSE,"배수1"}</definedName>
    <definedName name="_______________P4" localSheetId="13" hidden="1">{#N/A,#N/A,FALSE,"혼합골재"}</definedName>
    <definedName name="_______________P4" hidden="1">{#N/A,#N/A,FALSE,"혼합골재"}</definedName>
    <definedName name="_______________P5" localSheetId="13" hidden="1">{#N/A,#N/A,FALSE,"배수1"}</definedName>
    <definedName name="_______________P5" hidden="1">{#N/A,#N/A,FALSE,"배수1"}</definedName>
    <definedName name="_______________P6" localSheetId="13" hidden="1">{#N/A,#N/A,FALSE,"2~8번"}</definedName>
    <definedName name="_______________P6" hidden="1">{#N/A,#N/A,FALSE,"2~8번"}</definedName>
    <definedName name="_______________q45" localSheetId="4">{"'용역비'!$A$4:$C$8"}</definedName>
    <definedName name="_______________q45" localSheetId="13">{"'용역비'!$A$4:$C$8"}</definedName>
    <definedName name="_______________q45" localSheetId="15">{"'용역비'!$A$4:$C$8"}</definedName>
    <definedName name="_______________q45">{"'용역비'!$A$4:$C$8"}</definedName>
    <definedName name="_______________S3" localSheetId="13" hidden="1">{#N/A,#N/A,FALSE,"포장2"}</definedName>
    <definedName name="_______________S3" hidden="1">{#N/A,#N/A,FALSE,"포장2"}</definedName>
    <definedName name="______________ju8" localSheetId="22" hidden="1">{"'광피스표'!$A$3:$N$54"}</definedName>
    <definedName name="______________ju8" localSheetId="4" hidden="1">{"'광피스표'!$A$3:$N$54"}</definedName>
    <definedName name="______________ju8" localSheetId="13" hidden="1">{"'광피스표'!$A$3:$N$54"}</definedName>
    <definedName name="______________ju8" localSheetId="15" hidden="1">{"'광피스표'!$A$3:$N$54"}</definedName>
    <definedName name="______________ju8" hidden="1">{"'광피스표'!$A$3:$N$54"}</definedName>
    <definedName name="______________P3" localSheetId="13" hidden="1">{#N/A,#N/A,FALSE,"배수1"}</definedName>
    <definedName name="______________P3" hidden="1">{#N/A,#N/A,FALSE,"배수1"}</definedName>
    <definedName name="______________P4" localSheetId="13" hidden="1">{#N/A,#N/A,FALSE,"혼합골재"}</definedName>
    <definedName name="______________P4" hidden="1">{#N/A,#N/A,FALSE,"혼합골재"}</definedName>
    <definedName name="______________P5" localSheetId="13" hidden="1">{#N/A,#N/A,FALSE,"배수1"}</definedName>
    <definedName name="______________P5" hidden="1">{#N/A,#N/A,FALSE,"배수1"}</definedName>
    <definedName name="______________P6" localSheetId="13" hidden="1">{#N/A,#N/A,FALSE,"2~8번"}</definedName>
    <definedName name="______________P6" hidden="1">{#N/A,#N/A,FALSE,"2~8번"}</definedName>
    <definedName name="______________q45" localSheetId="4">{"'용역비'!$A$4:$C$8"}</definedName>
    <definedName name="______________q45" localSheetId="13">{"'용역비'!$A$4:$C$8"}</definedName>
    <definedName name="______________q45" localSheetId="15">{"'용역비'!$A$4:$C$8"}</definedName>
    <definedName name="______________q45">{"'용역비'!$A$4:$C$8"}</definedName>
    <definedName name="______________S3" localSheetId="13" hidden="1">{#N/A,#N/A,FALSE,"포장2"}</definedName>
    <definedName name="______________S3" hidden="1">{#N/A,#N/A,FALSE,"포장2"}</definedName>
    <definedName name="_____________P3" localSheetId="13" hidden="1">{#N/A,#N/A,FALSE,"배수1"}</definedName>
    <definedName name="_____________P3" hidden="1">{#N/A,#N/A,FALSE,"배수1"}</definedName>
    <definedName name="_____________P4" localSheetId="13" hidden="1">{#N/A,#N/A,FALSE,"혼합골재"}</definedName>
    <definedName name="_____________P4" hidden="1">{#N/A,#N/A,FALSE,"혼합골재"}</definedName>
    <definedName name="_____________P5" localSheetId="13" hidden="1">{#N/A,#N/A,FALSE,"배수1"}</definedName>
    <definedName name="_____________P5" hidden="1">{#N/A,#N/A,FALSE,"배수1"}</definedName>
    <definedName name="_____________P6" localSheetId="13" hidden="1">{#N/A,#N/A,FALSE,"2~8번"}</definedName>
    <definedName name="_____________P6" hidden="1">{#N/A,#N/A,FALSE,"2~8번"}</definedName>
    <definedName name="_____________q45" localSheetId="4" hidden="1">{"'용역비'!$A$4:$C$8"}</definedName>
    <definedName name="_____________q45" localSheetId="13">{"'용역비'!$A$4:$C$8"}</definedName>
    <definedName name="_____________q45" localSheetId="15" hidden="1">{"'용역비'!$A$4:$C$8"}</definedName>
    <definedName name="_____________q45" hidden="1">{"'용역비'!$A$4:$C$8"}</definedName>
    <definedName name="_____________S3" localSheetId="13" hidden="1">{#N/A,#N/A,FALSE,"포장2"}</definedName>
    <definedName name="_____________S3" hidden="1">{#N/A,#N/A,FALSE,"포장2"}</definedName>
    <definedName name="____________ju8" localSheetId="22" hidden="1">{"'광피스표'!$A$3:$N$54"}</definedName>
    <definedName name="____________ju8" localSheetId="4" hidden="1">{"'광피스표'!$A$3:$N$54"}</definedName>
    <definedName name="____________ju8" localSheetId="13" hidden="1">{"'광피스표'!$A$3:$N$54"}</definedName>
    <definedName name="____________ju8" localSheetId="15" hidden="1">{"'광피스표'!$A$3:$N$54"}</definedName>
    <definedName name="____________ju8" hidden="1">{"'광피스표'!$A$3:$N$54"}</definedName>
    <definedName name="____________P3" localSheetId="13" hidden="1">{#N/A,#N/A,FALSE,"배수1"}</definedName>
    <definedName name="____________P3" hidden="1">{#N/A,#N/A,FALSE,"배수1"}</definedName>
    <definedName name="____________P4" localSheetId="13" hidden="1">{#N/A,#N/A,FALSE,"혼합골재"}</definedName>
    <definedName name="____________P4" hidden="1">{#N/A,#N/A,FALSE,"혼합골재"}</definedName>
    <definedName name="____________P5" localSheetId="13" hidden="1">{#N/A,#N/A,FALSE,"배수1"}</definedName>
    <definedName name="____________P5" hidden="1">{#N/A,#N/A,FALSE,"배수1"}</definedName>
    <definedName name="____________P6" localSheetId="13" hidden="1">{#N/A,#N/A,FALSE,"2~8번"}</definedName>
    <definedName name="____________P6" hidden="1">{#N/A,#N/A,FALSE,"2~8번"}</definedName>
    <definedName name="____________q45" localSheetId="22" hidden="1">{"'용역비'!$A$4:$C$8"}</definedName>
    <definedName name="____________q45" localSheetId="13" hidden="1">{"'용역비'!$A$4:$C$8"}</definedName>
    <definedName name="____________q45" localSheetId="15" hidden="1">{"'용역비'!$A$4:$C$8"}</definedName>
    <definedName name="____________q45" hidden="1">{"'용역비'!$A$4:$C$8"}</definedName>
    <definedName name="____________S3" localSheetId="13" hidden="1">{#N/A,#N/A,FALSE,"포장2"}</definedName>
    <definedName name="____________S3" hidden="1">{#N/A,#N/A,FALSE,"포장2"}</definedName>
    <definedName name="___________ju8" localSheetId="22" hidden="1">{"'광피스표'!$A$3:$N$54"}</definedName>
    <definedName name="___________ju8" localSheetId="4" hidden="1">{"'광피스표'!$A$3:$N$54"}</definedName>
    <definedName name="___________ju8" localSheetId="13" hidden="1">{"'광피스표'!$A$3:$N$54"}</definedName>
    <definedName name="___________ju8" localSheetId="15" hidden="1">{"'광피스표'!$A$3:$N$54"}</definedName>
    <definedName name="___________ju8" hidden="1">{"'광피스표'!$A$3:$N$54"}</definedName>
    <definedName name="___________P3" localSheetId="13" hidden="1">{#N/A,#N/A,FALSE,"배수1"}</definedName>
    <definedName name="___________P3" hidden="1">{#N/A,#N/A,FALSE,"배수1"}</definedName>
    <definedName name="___________P4" localSheetId="13" hidden="1">{#N/A,#N/A,FALSE,"혼합골재"}</definedName>
    <definedName name="___________P4" hidden="1">{#N/A,#N/A,FALSE,"혼합골재"}</definedName>
    <definedName name="___________P5" localSheetId="13" hidden="1">{#N/A,#N/A,FALSE,"배수1"}</definedName>
    <definedName name="___________P5" hidden="1">{#N/A,#N/A,FALSE,"배수1"}</definedName>
    <definedName name="___________P6" localSheetId="13" hidden="1">{#N/A,#N/A,FALSE,"2~8번"}</definedName>
    <definedName name="___________P6" hidden="1">{#N/A,#N/A,FALSE,"2~8번"}</definedName>
    <definedName name="___________q45" localSheetId="22" hidden="1">{"'용역비'!$A$4:$C$8"}</definedName>
    <definedName name="___________q45" localSheetId="13" hidden="1">{"'용역비'!$A$4:$C$8"}</definedName>
    <definedName name="___________q45" localSheetId="15" hidden="1">{"'용역비'!$A$4:$C$8"}</definedName>
    <definedName name="___________q45" hidden="1">{"'용역비'!$A$4:$C$8"}</definedName>
    <definedName name="___________S3" localSheetId="13" hidden="1">{#N/A,#N/A,FALSE,"포장2"}</definedName>
    <definedName name="___________S3" hidden="1">{#N/A,#N/A,FALSE,"포장2"}</definedName>
    <definedName name="__________ju8" localSheetId="4" hidden="1">{"'광피스표'!$A$3:$N$54"}</definedName>
    <definedName name="__________ju8" localSheetId="13" hidden="1">{"'광피스표'!$A$3:$N$54"}</definedName>
    <definedName name="__________ju8" localSheetId="15" hidden="1">{"'광피스표'!$A$3:$N$54"}</definedName>
    <definedName name="__________ju8" hidden="1">{"'광피스표'!$A$3:$N$54"}</definedName>
    <definedName name="__________P3" localSheetId="13" hidden="1">{#N/A,#N/A,FALSE,"배수1"}</definedName>
    <definedName name="__________P3" hidden="1">{#N/A,#N/A,FALSE,"배수1"}</definedName>
    <definedName name="__________P4" localSheetId="13" hidden="1">{#N/A,#N/A,FALSE,"혼합골재"}</definedName>
    <definedName name="__________P4" hidden="1">{#N/A,#N/A,FALSE,"혼합골재"}</definedName>
    <definedName name="__________P5" localSheetId="13" hidden="1">{#N/A,#N/A,FALSE,"배수1"}</definedName>
    <definedName name="__________P5" hidden="1">{#N/A,#N/A,FALSE,"배수1"}</definedName>
    <definedName name="__________P6" localSheetId="13" hidden="1">{#N/A,#N/A,FALSE,"2~8번"}</definedName>
    <definedName name="__________P6" hidden="1">{#N/A,#N/A,FALSE,"2~8번"}</definedName>
    <definedName name="__________q45" localSheetId="22" hidden="1">{"'용역비'!$A$4:$C$8"}</definedName>
    <definedName name="__________q45" localSheetId="13" hidden="1">{"'용역비'!$A$4:$C$8"}</definedName>
    <definedName name="__________q45" localSheetId="15" hidden="1">{"'용역비'!$A$4:$C$8"}</definedName>
    <definedName name="__________q45" hidden="1">{"'용역비'!$A$4:$C$8"}</definedName>
    <definedName name="__________S3" localSheetId="13" hidden="1">{#N/A,#N/A,FALSE,"포장2"}</definedName>
    <definedName name="__________S3" hidden="1">{#N/A,#N/A,FALSE,"포장2"}</definedName>
    <definedName name="_________a32767">#REF!</definedName>
    <definedName name="_________cbl2">#REF!</definedName>
    <definedName name="_________cbl3">#REF!</definedName>
    <definedName name="_________cbl4">#REF!</definedName>
    <definedName name="_________cbl5">#REF!</definedName>
    <definedName name="_________CSU2">#REF!</definedName>
    <definedName name="_________CSU3">#REF!</definedName>
    <definedName name="_________FDM2">#REF!</definedName>
    <definedName name="_________FDM4">#REF!</definedName>
    <definedName name="_________FDM6">#REF!</definedName>
    <definedName name="_________FDM8">#REF!</definedName>
    <definedName name="_________fkn1">#REF!</definedName>
    <definedName name="_________fkn2">#REF!</definedName>
    <definedName name="_________fks1">#REF!</definedName>
    <definedName name="_________fks2">#REF!</definedName>
    <definedName name="_________gbi1">#REF!</definedName>
    <definedName name="_________gbi2">#REF!</definedName>
    <definedName name="_________gbi3">#REF!</definedName>
    <definedName name="_________gbi4">#REF!</definedName>
    <definedName name="_________gbi5">#REF!</definedName>
    <definedName name="_________gbi6">#REF!</definedName>
    <definedName name="_________gbi7">#REF!</definedName>
    <definedName name="_________gbi8">#REF!</definedName>
    <definedName name="_________gbi9">#REF!</definedName>
    <definedName name="_________IDF1">#REF!</definedName>
    <definedName name="_________ind1">#REF!</definedName>
    <definedName name="_________ind11">#REF!</definedName>
    <definedName name="_________ind12">#REF!</definedName>
    <definedName name="_________ind13">#REF!</definedName>
    <definedName name="_________ind14">#REF!</definedName>
    <definedName name="_________ind15">#REF!</definedName>
    <definedName name="_________ind16">#REF!</definedName>
    <definedName name="_________ind17">#REF!</definedName>
    <definedName name="_________ind18">#REF!</definedName>
    <definedName name="_________ind19">#REF!</definedName>
    <definedName name="_________ind2">#REF!</definedName>
    <definedName name="_________ind21">#REF!</definedName>
    <definedName name="_________ind23">#REF!</definedName>
    <definedName name="_________ind25">#REF!</definedName>
    <definedName name="_________ind3">#REF!</definedName>
    <definedName name="_________ind4">#REF!</definedName>
    <definedName name="_________ind5">#REF!</definedName>
    <definedName name="_________ind6">#REF!</definedName>
    <definedName name="_________MDF1">#REF!</definedName>
    <definedName name="_________MUX2">#REF!</definedName>
    <definedName name="_________OC1">#REF!</definedName>
    <definedName name="_________OFD1">#REF!</definedName>
    <definedName name="_________OFD2">#REF!</definedName>
    <definedName name="_________OFD3">#REF!</definedName>
    <definedName name="_________OP1">#REF!</definedName>
    <definedName name="_________OP10">#REF!</definedName>
    <definedName name="_________OP11">#REF!</definedName>
    <definedName name="_________OP12">#REF!</definedName>
    <definedName name="_________OP2">#REF!</definedName>
    <definedName name="_________OP3">#REF!</definedName>
    <definedName name="_________OP4">#REF!</definedName>
    <definedName name="_________OP5">#REF!</definedName>
    <definedName name="_________OP6">#REF!</definedName>
    <definedName name="_________OP7">#REF!</definedName>
    <definedName name="_________OP8">#REF!</definedName>
    <definedName name="_________OP9">#REF!</definedName>
    <definedName name="_________OPM2">#REF!</definedName>
    <definedName name="_________P3" localSheetId="13" hidden="1">{#N/A,#N/A,FALSE,"배수1"}</definedName>
    <definedName name="_________P3" hidden="1">{#N/A,#N/A,FALSE,"배수1"}</definedName>
    <definedName name="_________P4" localSheetId="13" hidden="1">{#N/A,#N/A,FALSE,"혼합골재"}</definedName>
    <definedName name="_________P4" hidden="1">{#N/A,#N/A,FALSE,"혼합골재"}</definedName>
    <definedName name="_________P5" localSheetId="13" hidden="1">{#N/A,#N/A,FALSE,"배수1"}</definedName>
    <definedName name="_________P5" hidden="1">{#N/A,#N/A,FALSE,"배수1"}</definedName>
    <definedName name="_________P6" localSheetId="13" hidden="1">{#N/A,#N/A,FALSE,"2~8번"}</definedName>
    <definedName name="_________P6" hidden="1">{#N/A,#N/A,FALSE,"2~8번"}</definedName>
    <definedName name="_________PCM1">#REF!</definedName>
    <definedName name="_________PP2">#REF!</definedName>
    <definedName name="_________PP4">#REF!</definedName>
    <definedName name="_________PVC1">#REF!</definedName>
    <definedName name="_________q45" localSheetId="22" hidden="1">{"'용역비'!$A$4:$C$8"}</definedName>
    <definedName name="_________q45" localSheetId="13" hidden="1">{"'용역비'!$A$4:$C$8"}</definedName>
    <definedName name="_________q45" localSheetId="15" hidden="1">{"'용역비'!$A$4:$C$8"}</definedName>
    <definedName name="_________q45" hidden="1">{"'용역비'!$A$4:$C$8"}</definedName>
    <definedName name="_________S3" localSheetId="13" hidden="1">{#N/A,#N/A,FALSE,"포장2"}</definedName>
    <definedName name="_________S3" hidden="1">{#N/A,#N/A,FALSE,"포장2"}</definedName>
    <definedName name="_________sys2">#REF!</definedName>
    <definedName name="_________sys3">#REF!</definedName>
    <definedName name="_________tot1">#REF!</definedName>
    <definedName name="_________VLX4">#REF!</definedName>
    <definedName name="_________VLX8">#REF!</definedName>
    <definedName name="________a32767">#REF!</definedName>
    <definedName name="________cbl2">#REF!</definedName>
    <definedName name="________cbl3">#REF!</definedName>
    <definedName name="________cbl4">#REF!</definedName>
    <definedName name="________cbl5">#REF!</definedName>
    <definedName name="________CSU2">#REF!</definedName>
    <definedName name="________CSU3">#REF!</definedName>
    <definedName name="________FDM2">#REF!</definedName>
    <definedName name="________FDM4">#REF!</definedName>
    <definedName name="________FDM6">#REF!</definedName>
    <definedName name="________FDM8">#REF!</definedName>
    <definedName name="________fkn1">#REF!</definedName>
    <definedName name="________fkn2">#REF!</definedName>
    <definedName name="________fks1">#REF!</definedName>
    <definedName name="________fks2">#REF!</definedName>
    <definedName name="________gbi1">#REF!</definedName>
    <definedName name="________gbi2">#REF!</definedName>
    <definedName name="________gbi3">#REF!</definedName>
    <definedName name="________gbi4">#REF!</definedName>
    <definedName name="________gbi5">#REF!</definedName>
    <definedName name="________gbi6">#REF!</definedName>
    <definedName name="________gbi7">#REF!</definedName>
    <definedName name="________gbi8">#REF!</definedName>
    <definedName name="________gbi9">#REF!</definedName>
    <definedName name="________IDF1">#REF!</definedName>
    <definedName name="________ind1">#REF!</definedName>
    <definedName name="________ind11">#REF!</definedName>
    <definedName name="________ind12">#REF!</definedName>
    <definedName name="________ind13">#REF!</definedName>
    <definedName name="________ind14">#REF!</definedName>
    <definedName name="________ind15">#REF!</definedName>
    <definedName name="________ind16">#REF!</definedName>
    <definedName name="________ind17">#REF!</definedName>
    <definedName name="________ind18">#REF!</definedName>
    <definedName name="________ind19">#REF!</definedName>
    <definedName name="________ind2">#REF!</definedName>
    <definedName name="________ind21">#REF!</definedName>
    <definedName name="________ind23">#REF!</definedName>
    <definedName name="________ind25">#REF!</definedName>
    <definedName name="________ind3">#REF!</definedName>
    <definedName name="________ind4">#REF!</definedName>
    <definedName name="________ind5">#REF!</definedName>
    <definedName name="________ind6">#REF!</definedName>
    <definedName name="________ju8" localSheetId="22" hidden="1">{"'광피스표'!$A$3:$N$54"}</definedName>
    <definedName name="________ju8" localSheetId="4" hidden="1">{"'광피스표'!$A$3:$N$54"}</definedName>
    <definedName name="________ju8" localSheetId="13" hidden="1">{"'광피스표'!$A$3:$N$54"}</definedName>
    <definedName name="________ju8" localSheetId="15" hidden="1">{"'광피스표'!$A$3:$N$54"}</definedName>
    <definedName name="________ju8" hidden="1">{"'광피스표'!$A$3:$N$54"}</definedName>
    <definedName name="________MDF1">#REF!</definedName>
    <definedName name="________MUX2">#REF!</definedName>
    <definedName name="________OC1">#REF!</definedName>
    <definedName name="________OFD1">#REF!</definedName>
    <definedName name="________OFD2">#REF!</definedName>
    <definedName name="________OFD3">#REF!</definedName>
    <definedName name="________OP1">#REF!</definedName>
    <definedName name="________OP10">#REF!</definedName>
    <definedName name="________OP11">#REF!</definedName>
    <definedName name="________OP12">#REF!</definedName>
    <definedName name="________OP2">#REF!</definedName>
    <definedName name="________OP3">#REF!</definedName>
    <definedName name="________OP4">#REF!</definedName>
    <definedName name="________OP5">#REF!</definedName>
    <definedName name="________OP6">#REF!</definedName>
    <definedName name="________OP7">#REF!</definedName>
    <definedName name="________OP8">#REF!</definedName>
    <definedName name="________OP9">#REF!</definedName>
    <definedName name="________OPM2">#REF!</definedName>
    <definedName name="________P3" localSheetId="13" hidden="1">{#N/A,#N/A,FALSE,"배수1"}</definedName>
    <definedName name="________P3" hidden="1">{#N/A,#N/A,FALSE,"배수1"}</definedName>
    <definedName name="________P4" localSheetId="13" hidden="1">{#N/A,#N/A,FALSE,"혼합골재"}</definedName>
    <definedName name="________P4" hidden="1">{#N/A,#N/A,FALSE,"혼합골재"}</definedName>
    <definedName name="________P5" localSheetId="13" hidden="1">{#N/A,#N/A,FALSE,"배수1"}</definedName>
    <definedName name="________P5" hidden="1">{#N/A,#N/A,FALSE,"배수1"}</definedName>
    <definedName name="________P6" localSheetId="13" hidden="1">{#N/A,#N/A,FALSE,"2~8번"}</definedName>
    <definedName name="________P6" hidden="1">{#N/A,#N/A,FALSE,"2~8번"}</definedName>
    <definedName name="________PCM1">#REF!</definedName>
    <definedName name="________PP2">#REF!</definedName>
    <definedName name="________PP4">#REF!</definedName>
    <definedName name="________PVC1">#REF!</definedName>
    <definedName name="________q45" localSheetId="22" hidden="1">{"'용역비'!$A$4:$C$8"}</definedName>
    <definedName name="________q45" localSheetId="13" hidden="1">{"'용역비'!$A$4:$C$8"}</definedName>
    <definedName name="________q45" localSheetId="15" hidden="1">{"'용역비'!$A$4:$C$8"}</definedName>
    <definedName name="________q45" hidden="1">{"'용역비'!$A$4:$C$8"}</definedName>
    <definedName name="________S3" localSheetId="13" hidden="1">{#N/A,#N/A,FALSE,"포장2"}</definedName>
    <definedName name="________S3" hidden="1">{#N/A,#N/A,FALSE,"포장2"}</definedName>
    <definedName name="________sys2">#REF!</definedName>
    <definedName name="________sys3">#REF!</definedName>
    <definedName name="________tot1">#REF!</definedName>
    <definedName name="________VLX4">#REF!</definedName>
    <definedName name="________VLX8">#REF!</definedName>
    <definedName name="_______a32767">#REF!</definedName>
    <definedName name="_______cbl2">#REF!</definedName>
    <definedName name="_______cbl3">#REF!</definedName>
    <definedName name="_______cbl4">#REF!</definedName>
    <definedName name="_______cbl5">#REF!</definedName>
    <definedName name="_______CPU466">#REF!</definedName>
    <definedName name="_______CPU500">#REF!</definedName>
    <definedName name="_______CSU1">#REF!</definedName>
    <definedName name="_______CSU2">#REF!</definedName>
    <definedName name="_______CSU3">#REF!</definedName>
    <definedName name="_______FDM2">#REF!</definedName>
    <definedName name="_______FDM4">#REF!</definedName>
    <definedName name="_______FDM6">#REF!</definedName>
    <definedName name="_______FDM8">#REF!</definedName>
    <definedName name="_______fkn1">#REF!</definedName>
    <definedName name="_______fkn2">#REF!</definedName>
    <definedName name="_______fks1">#REF!</definedName>
    <definedName name="_______fks2">#REF!</definedName>
    <definedName name="_______gbi1">#REF!</definedName>
    <definedName name="_______gbi2">#REF!</definedName>
    <definedName name="_______gbi3">#REF!</definedName>
    <definedName name="_______gbi4">#REF!</definedName>
    <definedName name="_______gbi5">#REF!</definedName>
    <definedName name="_______gbi6">#REF!</definedName>
    <definedName name="_______gbi7">#REF!</definedName>
    <definedName name="_______gbi8">#REF!</definedName>
    <definedName name="_______gbi9">#REF!</definedName>
    <definedName name="_______IDF1">#REF!</definedName>
    <definedName name="_______ind1">#REF!</definedName>
    <definedName name="_______ind11">#REF!</definedName>
    <definedName name="_______ind12">#REF!</definedName>
    <definedName name="_______ind13">#REF!</definedName>
    <definedName name="_______ind14">#REF!</definedName>
    <definedName name="_______ind15">#REF!</definedName>
    <definedName name="_______ind16">#REF!</definedName>
    <definedName name="_______ind17">#REF!</definedName>
    <definedName name="_______ind18">#REF!</definedName>
    <definedName name="_______ind19">#REF!</definedName>
    <definedName name="_______ind2">#REF!</definedName>
    <definedName name="_______ind21">#REF!</definedName>
    <definedName name="_______ind23">#REF!</definedName>
    <definedName name="_______ind25">#REF!</definedName>
    <definedName name="_______ind3">#REF!</definedName>
    <definedName name="_______ind4">#REF!</definedName>
    <definedName name="_______ind5">#REF!</definedName>
    <definedName name="_______ind6">#REF!</definedName>
    <definedName name="_______ju8" localSheetId="22" hidden="1">{"'광피스표'!$A$3:$N$54"}</definedName>
    <definedName name="_______ju8" localSheetId="4" hidden="1">{"'광피스표'!$A$3:$N$54"}</definedName>
    <definedName name="_______ju8" localSheetId="13" hidden="1">{"'광피스표'!$A$3:$N$54"}</definedName>
    <definedName name="_______ju8" localSheetId="15" hidden="1">{"'광피스표'!$A$3:$N$54"}</definedName>
    <definedName name="_______ju8" hidden="1">{"'광피스표'!$A$3:$N$54"}</definedName>
    <definedName name="_______MDF1">#REF!</definedName>
    <definedName name="_______MEM128">#REF!</definedName>
    <definedName name="_______MEM64">#REF!</definedName>
    <definedName name="_______MUX2">#REF!</definedName>
    <definedName name="_______MX1">#REF!</definedName>
    <definedName name="_______MX10">#REF!</definedName>
    <definedName name="_______MX11">#REF!</definedName>
    <definedName name="_______MX12">#REF!</definedName>
    <definedName name="_______MX13">#REF!</definedName>
    <definedName name="_______MX14">#REF!</definedName>
    <definedName name="_______MX2">#REF!</definedName>
    <definedName name="_______MX3">#REF!</definedName>
    <definedName name="_______MX4">#REF!</definedName>
    <definedName name="_______MX5">#REF!</definedName>
    <definedName name="_______MX6">#REF!</definedName>
    <definedName name="_______MX7">#REF!</definedName>
    <definedName name="_______MX8">#REF!</definedName>
    <definedName name="_______MX9">#REF!</definedName>
    <definedName name="_______NIU1">#REF!</definedName>
    <definedName name="_______OC1">#REF!</definedName>
    <definedName name="_______OFD1">#REF!</definedName>
    <definedName name="_______OFD2">#REF!</definedName>
    <definedName name="_______OFD3">#REF!</definedName>
    <definedName name="_______OIU1">#REF!</definedName>
    <definedName name="_______OP1">#REF!</definedName>
    <definedName name="_______OP10">#REF!</definedName>
    <definedName name="_______OP11">#REF!</definedName>
    <definedName name="_______OP12">#REF!</definedName>
    <definedName name="_______OP2">#REF!</definedName>
    <definedName name="_______OP3">#REF!</definedName>
    <definedName name="_______OP4">#REF!</definedName>
    <definedName name="_______OP5">#REF!</definedName>
    <definedName name="_______OP6">#REF!</definedName>
    <definedName name="_______OP7">#REF!</definedName>
    <definedName name="_______OP8">#REF!</definedName>
    <definedName name="_______OP9">#REF!</definedName>
    <definedName name="_______OPM2">#REF!</definedName>
    <definedName name="_______P3" localSheetId="13" hidden="1">{#N/A,#N/A,FALSE,"배수1"}</definedName>
    <definedName name="_______P3" hidden="1">{#N/A,#N/A,FALSE,"배수1"}</definedName>
    <definedName name="_______P4" localSheetId="13" hidden="1">{#N/A,#N/A,FALSE,"혼합골재"}</definedName>
    <definedName name="_______P4" hidden="1">{#N/A,#N/A,FALSE,"혼합골재"}</definedName>
    <definedName name="_______P5" localSheetId="13" hidden="1">{#N/A,#N/A,FALSE,"배수1"}</definedName>
    <definedName name="_______P5" hidden="1">{#N/A,#N/A,FALSE,"배수1"}</definedName>
    <definedName name="_______P6" localSheetId="13" hidden="1">{#N/A,#N/A,FALSE,"2~8번"}</definedName>
    <definedName name="_______P6" hidden="1">{#N/A,#N/A,FALSE,"2~8번"}</definedName>
    <definedName name="_______PCM1">#REF!</definedName>
    <definedName name="_______PP2">#REF!</definedName>
    <definedName name="_______PP4">#REF!</definedName>
    <definedName name="_______PVC1">#REF!</definedName>
    <definedName name="_______q45" localSheetId="22" hidden="1">{"'용역비'!$A$4:$C$8"}</definedName>
    <definedName name="_______q45" localSheetId="13" hidden="1">{"'용역비'!$A$4:$C$8"}</definedName>
    <definedName name="_______q45" localSheetId="15" hidden="1">{"'용역비'!$A$4:$C$8"}</definedName>
    <definedName name="_______q45" hidden="1">{"'용역비'!$A$4:$C$8"}</definedName>
    <definedName name="_______S3" localSheetId="13" hidden="1">{#N/A,#N/A,FALSE,"포장2"}</definedName>
    <definedName name="_______S3" hidden="1">{#N/A,#N/A,FALSE,"포장2"}</definedName>
    <definedName name="_______sys2">#REF!</definedName>
    <definedName name="_______sys3">#REF!</definedName>
    <definedName name="_______tot1">#REF!</definedName>
    <definedName name="_______VLX2">#REF!</definedName>
    <definedName name="_______VLX4">#REF!</definedName>
    <definedName name="_______VLX6">#REF!</definedName>
    <definedName name="_______VLX8">#REF!</definedName>
    <definedName name="______a32767">#REF!</definedName>
    <definedName name="______cbl2">#REF!</definedName>
    <definedName name="______cbl3">#REF!</definedName>
    <definedName name="______cbl4">#REF!</definedName>
    <definedName name="______cbl5">#REF!</definedName>
    <definedName name="______CPU466">#REF!</definedName>
    <definedName name="______CPU500">#REF!</definedName>
    <definedName name="______CSU1">#REF!</definedName>
    <definedName name="______CSU2">#REF!</definedName>
    <definedName name="______CSU3">#REF!</definedName>
    <definedName name="______FDM2">#REF!</definedName>
    <definedName name="______FDM4">#REF!</definedName>
    <definedName name="______FDM6">#REF!</definedName>
    <definedName name="______FDM8">#REF!</definedName>
    <definedName name="______fff12">#REF!</definedName>
    <definedName name="______fff122">#REF!</definedName>
    <definedName name="______fff58">#REF!</definedName>
    <definedName name="______fff59">#REF!</definedName>
    <definedName name="______fff6">#REF!</definedName>
    <definedName name="______fff60">#REF!</definedName>
    <definedName name="______fff65">#REF!</definedName>
    <definedName name="______fff67">#REF!</definedName>
    <definedName name="______fff69">#REF!</definedName>
    <definedName name="______fff7">#REF!</definedName>
    <definedName name="______fff70">#REF!</definedName>
    <definedName name="______fff71">#REF!</definedName>
    <definedName name="______fff77">#REF!</definedName>
    <definedName name="______fff79">#REF!</definedName>
    <definedName name="______fff8">#REF!</definedName>
    <definedName name="______fff80">#REF!</definedName>
    <definedName name="______fff81">#REF!</definedName>
    <definedName name="______fff82">#REF!</definedName>
    <definedName name="______fff83">#REF!</definedName>
    <definedName name="______fff84">#REF!</definedName>
    <definedName name="______fff85">#REF!</definedName>
    <definedName name="______fff86">#REF!</definedName>
    <definedName name="______fff87">#REF!</definedName>
    <definedName name="______fff88">#REF!</definedName>
    <definedName name="______fff89">#REF!</definedName>
    <definedName name="______fff9">#REF!</definedName>
    <definedName name="______fff90">#REF!</definedName>
    <definedName name="______fff91">#REF!</definedName>
    <definedName name="______fff92">#REF!</definedName>
    <definedName name="______fff93">#REF!</definedName>
    <definedName name="______fff94">#REF!</definedName>
    <definedName name="______fff95">#REF!</definedName>
    <definedName name="______fff96">#REF!</definedName>
    <definedName name="______fff97">#REF!</definedName>
    <definedName name="______fff98">#REF!</definedName>
    <definedName name="______fff99">#REF!</definedName>
    <definedName name="______fkn1">#REF!</definedName>
    <definedName name="______fkn2">#REF!</definedName>
    <definedName name="______fks1">#REF!</definedName>
    <definedName name="______fks2">#REF!</definedName>
    <definedName name="______gbi1">#REF!</definedName>
    <definedName name="______gbi2">#REF!</definedName>
    <definedName name="______gbi3">#REF!</definedName>
    <definedName name="______gbi4">#REF!</definedName>
    <definedName name="______gbi5">#REF!</definedName>
    <definedName name="______gbi6">#REF!</definedName>
    <definedName name="______gbi7">#REF!</definedName>
    <definedName name="______gbi8">#REF!</definedName>
    <definedName name="______gbi9">#REF!</definedName>
    <definedName name="______ggg1">#REF!</definedName>
    <definedName name="______ggg2">#REF!</definedName>
    <definedName name="______ggg55">#REF!</definedName>
    <definedName name="______IDF1">#REF!</definedName>
    <definedName name="______ind1">#REF!</definedName>
    <definedName name="______ind11">#REF!</definedName>
    <definedName name="______ind12">#REF!</definedName>
    <definedName name="______ind13">#REF!</definedName>
    <definedName name="______ind14">#REF!</definedName>
    <definedName name="______ind15">#REF!</definedName>
    <definedName name="______ind16">#REF!</definedName>
    <definedName name="______ind17">#REF!</definedName>
    <definedName name="______ind18">#REF!</definedName>
    <definedName name="______ind19">#REF!</definedName>
    <definedName name="______ind2">#REF!</definedName>
    <definedName name="______ind21">#REF!</definedName>
    <definedName name="______ind23">#REF!</definedName>
    <definedName name="______ind25">#REF!</definedName>
    <definedName name="______ind3">#REF!</definedName>
    <definedName name="______ind4">#REF!</definedName>
    <definedName name="______ind5">#REF!</definedName>
    <definedName name="______ind6">#REF!</definedName>
    <definedName name="______ju8" localSheetId="4" hidden="1">{"'광피스표'!$A$3:$N$54"}</definedName>
    <definedName name="______ju8" localSheetId="13" hidden="1">{"'광피스표'!$A$3:$N$54"}</definedName>
    <definedName name="______ju8" localSheetId="15" hidden="1">{"'광피스표'!$A$3:$N$54"}</definedName>
    <definedName name="______ju8" hidden="1">{"'광피스표'!$A$3:$N$54"}</definedName>
    <definedName name="______kn1">#REF!</definedName>
    <definedName name="______kn2">#REF!</definedName>
    <definedName name="______ks1">#REF!</definedName>
    <definedName name="______MDF1">#REF!</definedName>
    <definedName name="______MEM128">#REF!</definedName>
    <definedName name="______MEM64">#REF!</definedName>
    <definedName name="______MUX2">#REF!</definedName>
    <definedName name="______MX1">#REF!</definedName>
    <definedName name="______MX10">#REF!</definedName>
    <definedName name="______MX11">#REF!</definedName>
    <definedName name="______MX12">#REF!</definedName>
    <definedName name="______MX13">#REF!</definedName>
    <definedName name="______MX14">#REF!</definedName>
    <definedName name="______MX2">#REF!</definedName>
    <definedName name="______MX3">#REF!</definedName>
    <definedName name="______MX4">#REF!</definedName>
    <definedName name="______MX5">#REF!</definedName>
    <definedName name="______MX6">#REF!</definedName>
    <definedName name="______MX7">#REF!</definedName>
    <definedName name="______MX8">#REF!</definedName>
    <definedName name="______MX9">#REF!</definedName>
    <definedName name="______NIU1">#REF!</definedName>
    <definedName name="______OC1">#REF!</definedName>
    <definedName name="______OFD1">#REF!</definedName>
    <definedName name="______OFD13">#REF!</definedName>
    <definedName name="______OFD2">#REF!</definedName>
    <definedName name="______OFD3">#REF!</definedName>
    <definedName name="______OIU1">#REF!</definedName>
    <definedName name="______OO1">#REF!</definedName>
    <definedName name="______OP1">#REF!</definedName>
    <definedName name="______OP10">#REF!</definedName>
    <definedName name="______OP11">#REF!</definedName>
    <definedName name="______OP12">#REF!</definedName>
    <definedName name="______OP2">#REF!</definedName>
    <definedName name="______OP3">#REF!</definedName>
    <definedName name="______OP4">#REF!</definedName>
    <definedName name="______OP5">#REF!</definedName>
    <definedName name="______OP6">#REF!</definedName>
    <definedName name="______OP7">#REF!</definedName>
    <definedName name="______OP8">#REF!</definedName>
    <definedName name="______OP9">#REF!</definedName>
    <definedName name="______OPM2">#REF!</definedName>
    <definedName name="______P3" localSheetId="13" hidden="1">{#N/A,#N/A,FALSE,"배수1"}</definedName>
    <definedName name="______P3" hidden="1">{#N/A,#N/A,FALSE,"배수1"}</definedName>
    <definedName name="______P4" localSheetId="13" hidden="1">{#N/A,#N/A,FALSE,"혼합골재"}</definedName>
    <definedName name="______P4" hidden="1">{#N/A,#N/A,FALSE,"혼합골재"}</definedName>
    <definedName name="______P5" localSheetId="13" hidden="1">{#N/A,#N/A,FALSE,"배수1"}</definedName>
    <definedName name="______P5" hidden="1">{#N/A,#N/A,FALSE,"배수1"}</definedName>
    <definedName name="______P6" localSheetId="13" hidden="1">{#N/A,#N/A,FALSE,"2~8번"}</definedName>
    <definedName name="______P6" hidden="1">{#N/A,#N/A,FALSE,"2~8번"}</definedName>
    <definedName name="______PCM1">#REF!</definedName>
    <definedName name="______PP2">#REF!</definedName>
    <definedName name="______PP4">#REF!</definedName>
    <definedName name="______PVC1">#REF!</definedName>
    <definedName name="______q45" localSheetId="22" hidden="1">{"'용역비'!$A$4:$C$8"}</definedName>
    <definedName name="______q45" localSheetId="13" hidden="1">{"'용역비'!$A$4:$C$8"}</definedName>
    <definedName name="______q45" localSheetId="15" hidden="1">{"'용역비'!$A$4:$C$8"}</definedName>
    <definedName name="______q45" hidden="1">{"'용역비'!$A$4:$C$8"}</definedName>
    <definedName name="______S3" localSheetId="13" hidden="1">{#N/A,#N/A,FALSE,"포장2"}</definedName>
    <definedName name="______S3" hidden="1">{#N/A,#N/A,FALSE,"포장2"}</definedName>
    <definedName name="______sys2">#REF!</definedName>
    <definedName name="______sys3">#REF!</definedName>
    <definedName name="______tot1">#REF!</definedName>
    <definedName name="______US1">#REF!</definedName>
    <definedName name="______VLX2">#REF!</definedName>
    <definedName name="______VLX4">#REF!</definedName>
    <definedName name="______VLX6">#REF!</definedName>
    <definedName name="______VLX8">#REF!</definedName>
    <definedName name="_____a32767">#REF!</definedName>
    <definedName name="_____cbl2">#REF!</definedName>
    <definedName name="_____cbl3">#REF!</definedName>
    <definedName name="_____cbl4">#REF!</definedName>
    <definedName name="_____cbl5">#REF!</definedName>
    <definedName name="_____CPU466">#REF!</definedName>
    <definedName name="_____CPU500">#REF!</definedName>
    <definedName name="_____CSU1">#REF!</definedName>
    <definedName name="_____CSU2">#REF!</definedName>
    <definedName name="_____CSU3">#REF!</definedName>
    <definedName name="_____FDM2">#REF!</definedName>
    <definedName name="_____FDM4">#REF!</definedName>
    <definedName name="_____FDM6">#REF!</definedName>
    <definedName name="_____FDM8">#REF!</definedName>
    <definedName name="_____fff12">#REF!</definedName>
    <definedName name="_____fff122">#REF!</definedName>
    <definedName name="_____fff58">#REF!</definedName>
    <definedName name="_____fff59">#REF!</definedName>
    <definedName name="_____fff6">#REF!</definedName>
    <definedName name="_____fff60">#REF!</definedName>
    <definedName name="_____fff65">#REF!</definedName>
    <definedName name="_____fff67">#REF!</definedName>
    <definedName name="_____fff69">#REF!</definedName>
    <definedName name="_____fff7">#REF!</definedName>
    <definedName name="_____fff70">#REF!</definedName>
    <definedName name="_____fff71">#REF!</definedName>
    <definedName name="_____fff77">#REF!</definedName>
    <definedName name="_____fff79">#REF!</definedName>
    <definedName name="_____fff8">#REF!</definedName>
    <definedName name="_____fff80">#REF!</definedName>
    <definedName name="_____fff81">#REF!</definedName>
    <definedName name="_____fff82">#REF!</definedName>
    <definedName name="_____fff83">#REF!</definedName>
    <definedName name="_____fff84">#REF!</definedName>
    <definedName name="_____fff85">#REF!</definedName>
    <definedName name="_____fff86">#REF!</definedName>
    <definedName name="_____fff87">#REF!</definedName>
    <definedName name="_____fff88">#REF!</definedName>
    <definedName name="_____fff89">#REF!</definedName>
    <definedName name="_____fff9">#REF!</definedName>
    <definedName name="_____fff90">#REF!</definedName>
    <definedName name="_____fff91">#REF!</definedName>
    <definedName name="_____fff92">#REF!</definedName>
    <definedName name="_____fff93">#REF!</definedName>
    <definedName name="_____fff94">#REF!</definedName>
    <definedName name="_____fff95">#REF!</definedName>
    <definedName name="_____fff96">#REF!</definedName>
    <definedName name="_____fff97">#REF!</definedName>
    <definedName name="_____fff98">#REF!</definedName>
    <definedName name="_____fff99">#REF!</definedName>
    <definedName name="_____fkn1">#REF!</definedName>
    <definedName name="_____fkn2">#REF!</definedName>
    <definedName name="_____fks1">#REF!</definedName>
    <definedName name="_____fks2">#REF!</definedName>
    <definedName name="_____gbi1">#REF!</definedName>
    <definedName name="_____gbi2">#REF!</definedName>
    <definedName name="_____gbi3">#REF!</definedName>
    <definedName name="_____gbi4">#REF!</definedName>
    <definedName name="_____gbi5">#REF!</definedName>
    <definedName name="_____gbi6">#REF!</definedName>
    <definedName name="_____gbi7">#REF!</definedName>
    <definedName name="_____gbi8">#REF!</definedName>
    <definedName name="_____gbi9">#REF!</definedName>
    <definedName name="_____ggg1">#REF!</definedName>
    <definedName name="_____ggg2">#REF!</definedName>
    <definedName name="_____ggg55">#REF!</definedName>
    <definedName name="_____IDF1">#REF!</definedName>
    <definedName name="_____ind1">#REF!</definedName>
    <definedName name="_____ind11">#REF!</definedName>
    <definedName name="_____ind12">#REF!</definedName>
    <definedName name="_____ind13">#REF!</definedName>
    <definedName name="_____ind14">#REF!</definedName>
    <definedName name="_____ind15">#REF!</definedName>
    <definedName name="_____ind16">#REF!</definedName>
    <definedName name="_____ind17">#REF!</definedName>
    <definedName name="_____ind18">#REF!</definedName>
    <definedName name="_____ind19">#REF!</definedName>
    <definedName name="_____ind2">#REF!</definedName>
    <definedName name="_____ind21">#REF!</definedName>
    <definedName name="_____ind23">#REF!</definedName>
    <definedName name="_____ind25">#REF!</definedName>
    <definedName name="_____ind3">#REF!</definedName>
    <definedName name="_____ind4">#REF!</definedName>
    <definedName name="_____ind5">#REF!</definedName>
    <definedName name="_____ind6">#REF!</definedName>
    <definedName name="_____ju8" localSheetId="22" hidden="1">{"'광피스표'!$A$3:$N$54"}</definedName>
    <definedName name="_____ju8" localSheetId="4" hidden="1">{"'광피스표'!$A$3:$N$54"}</definedName>
    <definedName name="_____ju8" localSheetId="13" hidden="1">{"'광피스표'!$A$3:$N$54"}</definedName>
    <definedName name="_____ju8" localSheetId="15" hidden="1">{"'광피스표'!$A$3:$N$54"}</definedName>
    <definedName name="_____ju8" hidden="1">{"'광피스표'!$A$3:$N$54"}</definedName>
    <definedName name="_____kn1">#REF!</definedName>
    <definedName name="_____kn2">#REF!</definedName>
    <definedName name="_____ks1">#REF!</definedName>
    <definedName name="_____MDF1">#REF!</definedName>
    <definedName name="_____MEM128">#REF!</definedName>
    <definedName name="_____MEM64">#REF!</definedName>
    <definedName name="_____MUX2">#REF!</definedName>
    <definedName name="_____MX1">#REF!</definedName>
    <definedName name="_____MX10">#REF!</definedName>
    <definedName name="_____MX11">#REF!</definedName>
    <definedName name="_____MX12">#REF!</definedName>
    <definedName name="_____MX13">#REF!</definedName>
    <definedName name="_____MX14">#REF!</definedName>
    <definedName name="_____MX2">#REF!</definedName>
    <definedName name="_____MX3">#REF!</definedName>
    <definedName name="_____MX4">#REF!</definedName>
    <definedName name="_____MX5">#REF!</definedName>
    <definedName name="_____MX6">#REF!</definedName>
    <definedName name="_____MX7">#REF!</definedName>
    <definedName name="_____MX8">#REF!</definedName>
    <definedName name="_____MX9">#REF!</definedName>
    <definedName name="_____NIU1">#REF!</definedName>
    <definedName name="_____OC1">#REF!</definedName>
    <definedName name="_____OFD1">#REF!</definedName>
    <definedName name="_____OFD13">#REF!</definedName>
    <definedName name="_____OFD2">#REF!</definedName>
    <definedName name="_____OFD3">#REF!</definedName>
    <definedName name="_____OIU1">#REF!</definedName>
    <definedName name="_____OO1">#REF!</definedName>
    <definedName name="_____OP1">#REF!</definedName>
    <definedName name="_____OP10">#REF!</definedName>
    <definedName name="_____OP11">#REF!</definedName>
    <definedName name="_____OP12">#REF!</definedName>
    <definedName name="_____OP2">#REF!</definedName>
    <definedName name="_____OP3">#REF!</definedName>
    <definedName name="_____OP4">#REF!</definedName>
    <definedName name="_____OP5">#REF!</definedName>
    <definedName name="_____OP6">#REF!</definedName>
    <definedName name="_____OP7">#REF!</definedName>
    <definedName name="_____OP8">#REF!</definedName>
    <definedName name="_____OP9">#REF!</definedName>
    <definedName name="_____OPM2">#REF!</definedName>
    <definedName name="_____P3" localSheetId="13" hidden="1">{#N/A,#N/A,FALSE,"배수1"}</definedName>
    <definedName name="_____P3" hidden="1">{#N/A,#N/A,FALSE,"배수1"}</definedName>
    <definedName name="_____P4" localSheetId="13" hidden="1">{#N/A,#N/A,FALSE,"혼합골재"}</definedName>
    <definedName name="_____P4" hidden="1">{#N/A,#N/A,FALSE,"혼합골재"}</definedName>
    <definedName name="_____P5" localSheetId="13" hidden="1">{#N/A,#N/A,FALSE,"배수1"}</definedName>
    <definedName name="_____P5" hidden="1">{#N/A,#N/A,FALSE,"배수1"}</definedName>
    <definedName name="_____P6" localSheetId="13" hidden="1">{#N/A,#N/A,FALSE,"2~8번"}</definedName>
    <definedName name="_____P6" hidden="1">{#N/A,#N/A,FALSE,"2~8번"}</definedName>
    <definedName name="_____PCM1">#REF!</definedName>
    <definedName name="_____PP2">#REF!</definedName>
    <definedName name="_____PP4">#REF!</definedName>
    <definedName name="_____PVC1">#REF!</definedName>
    <definedName name="_____q45" localSheetId="22" hidden="1">{"'용역비'!$A$4:$C$8"}</definedName>
    <definedName name="_____q45" localSheetId="13" hidden="1">{"'용역비'!$A$4:$C$8"}</definedName>
    <definedName name="_____q45" localSheetId="15" hidden="1">{"'용역비'!$A$4:$C$8"}</definedName>
    <definedName name="_____q45" hidden="1">{"'용역비'!$A$4:$C$8"}</definedName>
    <definedName name="_____S3" localSheetId="13" hidden="1">{#N/A,#N/A,FALSE,"포장2"}</definedName>
    <definedName name="_____S3" hidden="1">{#N/A,#N/A,FALSE,"포장2"}</definedName>
    <definedName name="_____sys2">#REF!</definedName>
    <definedName name="_____sys3">#REF!</definedName>
    <definedName name="_____tot1">#REF!</definedName>
    <definedName name="_____US1">#REF!</definedName>
    <definedName name="_____VLX2">#REF!</definedName>
    <definedName name="_____VLX4">#REF!</definedName>
    <definedName name="_____VLX6">#REF!</definedName>
    <definedName name="_____VLX8">#REF!</definedName>
    <definedName name="_____yb5" localSheetId="13" hidden="1">{#N/A,#N/A,FALSE,"현장 NCR 분석";#N/A,#N/A,FALSE,"현장품질감사";#N/A,#N/A,FALSE,"현장품질감사"}</definedName>
    <definedName name="_____yb5" localSheetId="15" hidden="1">{#N/A,#N/A,FALSE,"현장 NCR 분석";#N/A,#N/A,FALSE,"현장품질감사";#N/A,#N/A,FALSE,"현장품질감사"}</definedName>
    <definedName name="_____yb5" hidden="1">{#N/A,#N/A,FALSE,"현장 NCR 분석";#N/A,#N/A,FALSE,"현장품질감사";#N/A,#N/A,FALSE,"현장품질감사"}</definedName>
    <definedName name="____a32767">#REF!</definedName>
    <definedName name="____cbl2">#REF!</definedName>
    <definedName name="____cbl3">#REF!</definedName>
    <definedName name="____cbl4">#REF!</definedName>
    <definedName name="____cbl5">#REF!</definedName>
    <definedName name="____CPU466">#REF!</definedName>
    <definedName name="____CPU500">#REF!</definedName>
    <definedName name="____CSU1">#REF!</definedName>
    <definedName name="____CSU2">#REF!</definedName>
    <definedName name="____CSU3">#REF!</definedName>
    <definedName name="____FDM2">#REF!</definedName>
    <definedName name="____FDM4">#REF!</definedName>
    <definedName name="____FDM6">#REF!</definedName>
    <definedName name="____FDM8">#REF!</definedName>
    <definedName name="____fff12">#REF!</definedName>
    <definedName name="____fff122">#REF!</definedName>
    <definedName name="____fff58">#REF!</definedName>
    <definedName name="____fff59">#REF!</definedName>
    <definedName name="____fff6">#REF!</definedName>
    <definedName name="____fff60">#REF!</definedName>
    <definedName name="____fff65">#REF!</definedName>
    <definedName name="____fff67">#REF!</definedName>
    <definedName name="____fff69">#REF!</definedName>
    <definedName name="____fff7">#REF!</definedName>
    <definedName name="____fff70">#REF!</definedName>
    <definedName name="____fff71">#REF!</definedName>
    <definedName name="____fff77">#REF!</definedName>
    <definedName name="____fff79">#REF!</definedName>
    <definedName name="____fff8">#REF!</definedName>
    <definedName name="____fff80">#REF!</definedName>
    <definedName name="____fff81">#REF!</definedName>
    <definedName name="____fff82">#REF!</definedName>
    <definedName name="____fff83">#REF!</definedName>
    <definedName name="____fff84">#REF!</definedName>
    <definedName name="____fff85">#REF!</definedName>
    <definedName name="____fff86">#REF!</definedName>
    <definedName name="____fff87">#REF!</definedName>
    <definedName name="____fff88">#REF!</definedName>
    <definedName name="____fff89">#REF!</definedName>
    <definedName name="____fff9">#REF!</definedName>
    <definedName name="____fff90">#REF!</definedName>
    <definedName name="____fff91">#REF!</definedName>
    <definedName name="____fff92">#REF!</definedName>
    <definedName name="____fff93">#REF!</definedName>
    <definedName name="____fff94">#REF!</definedName>
    <definedName name="____fff95">#REF!</definedName>
    <definedName name="____fff96">#REF!</definedName>
    <definedName name="____fff97">#REF!</definedName>
    <definedName name="____fff98">#REF!</definedName>
    <definedName name="____fff99">#REF!</definedName>
    <definedName name="____fkn1">#REF!</definedName>
    <definedName name="____fkn2">#REF!</definedName>
    <definedName name="____fks1">#REF!</definedName>
    <definedName name="____fks2">#REF!</definedName>
    <definedName name="____gbi1">#REF!</definedName>
    <definedName name="____gbi2">#REF!</definedName>
    <definedName name="____gbi3">#REF!</definedName>
    <definedName name="____gbi4">#REF!</definedName>
    <definedName name="____gbi5">#REF!</definedName>
    <definedName name="____gbi6">#REF!</definedName>
    <definedName name="____gbi7">#REF!</definedName>
    <definedName name="____gbi8">#REF!</definedName>
    <definedName name="____gbi9">#REF!</definedName>
    <definedName name="____ggg1">#REF!</definedName>
    <definedName name="____ggg2">#REF!</definedName>
    <definedName name="____ggg55">#REF!</definedName>
    <definedName name="____IDF1">#REF!</definedName>
    <definedName name="____IDF15">#REF!</definedName>
    <definedName name="____ind1">#REF!</definedName>
    <definedName name="____ind11">#REF!</definedName>
    <definedName name="____ind12">#REF!</definedName>
    <definedName name="____ind13">#REF!</definedName>
    <definedName name="____ind14">#REF!</definedName>
    <definedName name="____ind15">#REF!</definedName>
    <definedName name="____ind16">#REF!</definedName>
    <definedName name="____ind17">#REF!</definedName>
    <definedName name="____ind18">#REF!</definedName>
    <definedName name="____ind19">#REF!</definedName>
    <definedName name="____ind2">#REF!</definedName>
    <definedName name="____ind21">#REF!</definedName>
    <definedName name="____ind23">#REF!</definedName>
    <definedName name="____ind25">#REF!</definedName>
    <definedName name="____ind3">#REF!</definedName>
    <definedName name="____ind4">#REF!</definedName>
    <definedName name="____ind5">#REF!</definedName>
    <definedName name="____ind6">#REF!</definedName>
    <definedName name="____ju8" localSheetId="22" hidden="1">{"'광피스표'!$A$3:$N$54"}</definedName>
    <definedName name="____ju8" localSheetId="4" hidden="1">{"'광피스표'!$A$3:$N$54"}</definedName>
    <definedName name="____ju8" localSheetId="13" hidden="1">{"'광피스표'!$A$3:$N$54"}</definedName>
    <definedName name="____ju8" localSheetId="15" hidden="1">{"'광피스표'!$A$3:$N$54"}</definedName>
    <definedName name="____ju8" hidden="1">{"'광피스표'!$A$3:$N$54"}</definedName>
    <definedName name="____kn1">#REF!</definedName>
    <definedName name="____kn2">#REF!</definedName>
    <definedName name="____ks1">#REF!</definedName>
    <definedName name="____MDF1">#REF!</definedName>
    <definedName name="____MEM128">#REF!</definedName>
    <definedName name="____MEM64">#REF!</definedName>
    <definedName name="____MUX2">#REF!</definedName>
    <definedName name="____MX1">#REF!</definedName>
    <definedName name="____MX10">#REF!</definedName>
    <definedName name="____MX11">#REF!</definedName>
    <definedName name="____MX12">#REF!</definedName>
    <definedName name="____MX13">#REF!</definedName>
    <definedName name="____MX14">#REF!</definedName>
    <definedName name="____MX2">#REF!</definedName>
    <definedName name="____MX3">#REF!</definedName>
    <definedName name="____MX4">#REF!</definedName>
    <definedName name="____MX5">#REF!</definedName>
    <definedName name="____MX6">#REF!</definedName>
    <definedName name="____MX7">#REF!</definedName>
    <definedName name="____MX8">#REF!</definedName>
    <definedName name="____MX9">#REF!</definedName>
    <definedName name="____NIU1">#REF!</definedName>
    <definedName name="____OC1">#REF!</definedName>
    <definedName name="____OFD1">#REF!</definedName>
    <definedName name="____OFD13">#REF!</definedName>
    <definedName name="____OFD2">#REF!</definedName>
    <definedName name="____OFD3">#REF!</definedName>
    <definedName name="____OIU1">#REF!</definedName>
    <definedName name="____OO1">#REF!</definedName>
    <definedName name="____OP1">#REF!</definedName>
    <definedName name="____OP10">#REF!</definedName>
    <definedName name="____OP11">#REF!</definedName>
    <definedName name="____OP12">#REF!</definedName>
    <definedName name="____OP2">#REF!</definedName>
    <definedName name="____OP3">#REF!</definedName>
    <definedName name="____OP4">#REF!</definedName>
    <definedName name="____OP5">#REF!</definedName>
    <definedName name="____OP6">#REF!</definedName>
    <definedName name="____OP7">#REF!</definedName>
    <definedName name="____OP8">#REF!</definedName>
    <definedName name="____OP9">#REF!</definedName>
    <definedName name="____OPM2">#REF!</definedName>
    <definedName name="____P3" localSheetId="13" hidden="1">{#N/A,#N/A,FALSE,"배수1"}</definedName>
    <definedName name="____P3" hidden="1">{#N/A,#N/A,FALSE,"배수1"}</definedName>
    <definedName name="____P4" localSheetId="13" hidden="1">{#N/A,#N/A,FALSE,"혼합골재"}</definedName>
    <definedName name="____P4" hidden="1">{#N/A,#N/A,FALSE,"혼합골재"}</definedName>
    <definedName name="____P5" localSheetId="13" hidden="1">{#N/A,#N/A,FALSE,"배수1"}</definedName>
    <definedName name="____P5" hidden="1">{#N/A,#N/A,FALSE,"배수1"}</definedName>
    <definedName name="____P6" localSheetId="13" hidden="1">{#N/A,#N/A,FALSE,"2~8번"}</definedName>
    <definedName name="____P6" hidden="1">{#N/A,#N/A,FALSE,"2~8번"}</definedName>
    <definedName name="____PCM1">#REF!</definedName>
    <definedName name="____PE2">#REF!</definedName>
    <definedName name="____PP2">#REF!</definedName>
    <definedName name="____PP4">#REF!</definedName>
    <definedName name="____PVC1">#REF!</definedName>
    <definedName name="____q45" localSheetId="22" hidden="1">{"'용역비'!$A$4:$C$8"}</definedName>
    <definedName name="____q45" localSheetId="13" hidden="1">{"'용역비'!$A$4:$C$8"}</definedName>
    <definedName name="____q45" localSheetId="15" hidden="1">{"'용역비'!$A$4:$C$8"}</definedName>
    <definedName name="____q45" hidden="1">{"'용역비'!$A$4:$C$8"}</definedName>
    <definedName name="____S3" localSheetId="13" hidden="1">{#N/A,#N/A,FALSE,"포장2"}</definedName>
    <definedName name="____S3" hidden="1">{#N/A,#N/A,FALSE,"포장2"}</definedName>
    <definedName name="____sys2">#REF!</definedName>
    <definedName name="____sys3">#REF!</definedName>
    <definedName name="____tot1">#REF!</definedName>
    <definedName name="____US1">#REF!</definedName>
    <definedName name="____VLX2">#REF!</definedName>
    <definedName name="____VLX4">#REF!</definedName>
    <definedName name="____VLX6">#REF!</definedName>
    <definedName name="____VLX8">#REF!</definedName>
    <definedName name="___a32767">#REF!</definedName>
    <definedName name="___cbl2">#REF!</definedName>
    <definedName name="___cbl3">#REF!</definedName>
    <definedName name="___cbl4">#REF!</definedName>
    <definedName name="___cbl5">#REF!</definedName>
    <definedName name="___CPU466">#REF!</definedName>
    <definedName name="___CPU500">#REF!</definedName>
    <definedName name="___CSU1">#REF!</definedName>
    <definedName name="___CSU2">#REF!</definedName>
    <definedName name="___CSU3">#REF!</definedName>
    <definedName name="___FDM2">#REF!</definedName>
    <definedName name="___FDM4">#REF!</definedName>
    <definedName name="___FDM6">#REF!</definedName>
    <definedName name="___FDM8">#REF!</definedName>
    <definedName name="___fff12">#REF!</definedName>
    <definedName name="___fff122">#REF!</definedName>
    <definedName name="___fff58">#REF!</definedName>
    <definedName name="___fff59">#REF!</definedName>
    <definedName name="___fff6">#REF!</definedName>
    <definedName name="___fff60">#REF!</definedName>
    <definedName name="___fff65">#REF!</definedName>
    <definedName name="___fff67">#REF!</definedName>
    <definedName name="___fff69">#REF!</definedName>
    <definedName name="___fff7">#REF!</definedName>
    <definedName name="___fff70">#REF!</definedName>
    <definedName name="___fff71">#REF!</definedName>
    <definedName name="___fff77">#REF!</definedName>
    <definedName name="___fff79">#REF!</definedName>
    <definedName name="___fff8">#REF!</definedName>
    <definedName name="___fff80">#REF!</definedName>
    <definedName name="___fff81">#REF!</definedName>
    <definedName name="___fff82">#REF!</definedName>
    <definedName name="___fff83">#REF!</definedName>
    <definedName name="___fff84">#REF!</definedName>
    <definedName name="___fff85">#REF!</definedName>
    <definedName name="___fff86">#REF!</definedName>
    <definedName name="___fff87">#REF!</definedName>
    <definedName name="___fff88">#REF!</definedName>
    <definedName name="___fff89">#REF!</definedName>
    <definedName name="___fff9">#REF!</definedName>
    <definedName name="___fff90">#REF!</definedName>
    <definedName name="___fff91">#REF!</definedName>
    <definedName name="___fff92">#REF!</definedName>
    <definedName name="___fff93">#REF!</definedName>
    <definedName name="___fff94">#REF!</definedName>
    <definedName name="___fff95">#REF!</definedName>
    <definedName name="___fff96">#REF!</definedName>
    <definedName name="___fff97">#REF!</definedName>
    <definedName name="___fff98">#REF!</definedName>
    <definedName name="___fff99">#REF!</definedName>
    <definedName name="___fkn1">#REF!</definedName>
    <definedName name="___fkn2">#REF!</definedName>
    <definedName name="___fks1">#REF!</definedName>
    <definedName name="___fks2">#REF!</definedName>
    <definedName name="___gbi1">#REF!</definedName>
    <definedName name="___gbi2">#REF!</definedName>
    <definedName name="___gbi3">#REF!</definedName>
    <definedName name="___gbi4">#REF!</definedName>
    <definedName name="___gbi5">#REF!</definedName>
    <definedName name="___gbi6">#REF!</definedName>
    <definedName name="___gbi7">#REF!</definedName>
    <definedName name="___gbi8">#REF!</definedName>
    <definedName name="___gbi9">#REF!</definedName>
    <definedName name="___ggg1">#REF!</definedName>
    <definedName name="___ggg2">#REF!</definedName>
    <definedName name="___ggg55">#REF!</definedName>
    <definedName name="___IDF1">#REF!</definedName>
    <definedName name="___IDF15">#REF!</definedName>
    <definedName name="___ind1">#REF!</definedName>
    <definedName name="___ind10">#REF!</definedName>
    <definedName name="___ind11">#REF!</definedName>
    <definedName name="___ind12">#REF!</definedName>
    <definedName name="___ind13">#REF!</definedName>
    <definedName name="___ind14">#REF!</definedName>
    <definedName name="___ind15">#REF!</definedName>
    <definedName name="___ind16">#REF!</definedName>
    <definedName name="___ind17">#REF!</definedName>
    <definedName name="___ind18">#REF!</definedName>
    <definedName name="___ind19">#REF!</definedName>
    <definedName name="___ind2">#REF!</definedName>
    <definedName name="___ind20">#REF!</definedName>
    <definedName name="___ind21">#REF!</definedName>
    <definedName name="___ind22">#REF!</definedName>
    <definedName name="___ind23">#REF!</definedName>
    <definedName name="___ind24">#REF!</definedName>
    <definedName name="___ind25">#REF!</definedName>
    <definedName name="___ind26">#REF!</definedName>
    <definedName name="___ind27">#REF!</definedName>
    <definedName name="___ind28">#REF!</definedName>
    <definedName name="___ind29">#REF!</definedName>
    <definedName name="___ind3">#REF!</definedName>
    <definedName name="___ind30">#REF!</definedName>
    <definedName name="___ind31">#REF!</definedName>
    <definedName name="___ind32">#REF!</definedName>
    <definedName name="___ind33">#REF!</definedName>
    <definedName name="___ind34">#REF!</definedName>
    <definedName name="___ind35">#REF!</definedName>
    <definedName name="___ind36">#REF!</definedName>
    <definedName name="___ind37">#REF!</definedName>
    <definedName name="___ind38">#REF!</definedName>
    <definedName name="___ind39">#REF!</definedName>
    <definedName name="___ind4">#REF!</definedName>
    <definedName name="___ind40">#REF!</definedName>
    <definedName name="___ind41">#REF!</definedName>
    <definedName name="___ind42">#REF!</definedName>
    <definedName name="___ind5">#REF!</definedName>
    <definedName name="___ind6">#REF!</definedName>
    <definedName name="___ind7">#REF!</definedName>
    <definedName name="___ind8">#REF!</definedName>
    <definedName name="___ind9">#REF!</definedName>
    <definedName name="___ju8" localSheetId="22" hidden="1">{"'광피스표'!$A$3:$N$54"}</definedName>
    <definedName name="___ju8" localSheetId="4" hidden="1">{"'광피스표'!$A$3:$N$54"}</definedName>
    <definedName name="___ju8" localSheetId="13" hidden="1">{"'광피스표'!$A$3:$N$54"}</definedName>
    <definedName name="___ju8" localSheetId="15" hidden="1">{"'광피스표'!$A$3:$N$54"}</definedName>
    <definedName name="___ju8" hidden="1">{"'광피스표'!$A$3:$N$54"}</definedName>
    <definedName name="___K123" localSheetId="13" hidden="1">{#N/A,#N/A,FALSE,"현장 NCR 분석";#N/A,#N/A,FALSE,"현장품질감사";#N/A,#N/A,FALSE,"현장품질감사"}</definedName>
    <definedName name="___K123" localSheetId="15" hidden="1">{#N/A,#N/A,FALSE,"현장 NCR 분석";#N/A,#N/A,FALSE,"현장품질감사";#N/A,#N/A,FALSE,"현장품질감사"}</definedName>
    <definedName name="___K123" hidden="1">{#N/A,#N/A,FALSE,"현장 NCR 분석";#N/A,#N/A,FALSE,"현장품질감사";#N/A,#N/A,FALSE,"현장품질감사"}</definedName>
    <definedName name="___KD2" localSheetId="29" hidden="1">#REF!</definedName>
    <definedName name="___KD2" localSheetId="13" hidden="1">#REF!</definedName>
    <definedName name="___KD2" localSheetId="19" hidden="1">#REF!</definedName>
    <definedName name="___KD2" hidden="1">#REF!</definedName>
    <definedName name="___KD3" localSheetId="29" hidden="1">#REF!</definedName>
    <definedName name="___KD3" localSheetId="13" hidden="1">#REF!</definedName>
    <definedName name="___KD3" localSheetId="19" hidden="1">#REF!</definedName>
    <definedName name="___KD3" hidden="1">#REF!</definedName>
    <definedName name="___KK2" localSheetId="29" hidden="1">#REF!</definedName>
    <definedName name="___KK2" localSheetId="13" hidden="1">#REF!</definedName>
    <definedName name="___KK2" localSheetId="19" hidden="1">#REF!</definedName>
    <definedName name="___KK2" hidden="1">#REF!</definedName>
    <definedName name="___KK3" localSheetId="29" hidden="1">#REF!</definedName>
    <definedName name="___KK3" localSheetId="13" hidden="1">#REF!</definedName>
    <definedName name="___KK3" localSheetId="19" hidden="1">#REF!</definedName>
    <definedName name="___KK3" hidden="1">#REF!</definedName>
    <definedName name="___kn1">#REF!</definedName>
    <definedName name="___kn2">#REF!</definedName>
    <definedName name="___ks1">#REF!</definedName>
    <definedName name="___MDF1">#REF!</definedName>
    <definedName name="___MEM128">#REF!</definedName>
    <definedName name="___MEM64">#REF!</definedName>
    <definedName name="___MUX2">#REF!</definedName>
    <definedName name="___MX1">#REF!</definedName>
    <definedName name="___MX10">#REF!</definedName>
    <definedName name="___MX11">#REF!</definedName>
    <definedName name="___MX12">#REF!</definedName>
    <definedName name="___MX13">#REF!</definedName>
    <definedName name="___MX14">#REF!</definedName>
    <definedName name="___MX2">#REF!</definedName>
    <definedName name="___MX3">#REF!</definedName>
    <definedName name="___MX4">#REF!</definedName>
    <definedName name="___MX5">#REF!</definedName>
    <definedName name="___MX6">#REF!</definedName>
    <definedName name="___MX7">#REF!</definedName>
    <definedName name="___MX8">#REF!</definedName>
    <definedName name="___MX9">#REF!</definedName>
    <definedName name="___NIU1">#REF!</definedName>
    <definedName name="___OC1">#REF!</definedName>
    <definedName name="___OFD1">#REF!</definedName>
    <definedName name="___OFD13">#REF!</definedName>
    <definedName name="___OFD2">#REF!</definedName>
    <definedName name="___OFD3">#REF!</definedName>
    <definedName name="___OIU1">#REF!</definedName>
    <definedName name="___OO1">#REF!</definedName>
    <definedName name="___OP1">#REF!</definedName>
    <definedName name="___OP10">#REF!</definedName>
    <definedName name="___OP11">#REF!</definedName>
    <definedName name="___OP12">#REF!</definedName>
    <definedName name="___OP2">#REF!</definedName>
    <definedName name="___OP3">#REF!</definedName>
    <definedName name="___OP4">#REF!</definedName>
    <definedName name="___OP5">#REF!</definedName>
    <definedName name="___OP6">#REF!</definedName>
    <definedName name="___OP7">#REF!</definedName>
    <definedName name="___OP8">#REF!</definedName>
    <definedName name="___OP9">#REF!</definedName>
    <definedName name="___OPM2">#REF!</definedName>
    <definedName name="___P3" localSheetId="13" hidden="1">{#N/A,#N/A,FALSE,"배수1"}</definedName>
    <definedName name="___P3" hidden="1">{#N/A,#N/A,FALSE,"배수1"}</definedName>
    <definedName name="___P4" localSheetId="13" hidden="1">{#N/A,#N/A,FALSE,"혼합골재"}</definedName>
    <definedName name="___P4" hidden="1">{#N/A,#N/A,FALSE,"혼합골재"}</definedName>
    <definedName name="___P5" localSheetId="13" hidden="1">{#N/A,#N/A,FALSE,"배수1"}</definedName>
    <definedName name="___P5" hidden="1">{#N/A,#N/A,FALSE,"배수1"}</definedName>
    <definedName name="___P6" localSheetId="13" hidden="1">{#N/A,#N/A,FALSE,"2~8번"}</definedName>
    <definedName name="___P6" hidden="1">{#N/A,#N/A,FALSE,"2~8번"}</definedName>
    <definedName name="___PCM1">#REF!</definedName>
    <definedName name="___PE2">#REF!</definedName>
    <definedName name="___PP2">#REF!</definedName>
    <definedName name="___PP4">#REF!</definedName>
    <definedName name="___PVC1">#REF!</definedName>
    <definedName name="___q45" localSheetId="22" hidden="1">{"'용역비'!$A$4:$C$8"}</definedName>
    <definedName name="___q45" localSheetId="13" hidden="1">{"'용역비'!$A$4:$C$8"}</definedName>
    <definedName name="___q45" localSheetId="15" hidden="1">{"'용역비'!$A$4:$C$8"}</definedName>
    <definedName name="___q45" hidden="1">{"'용역비'!$A$4:$C$8"}</definedName>
    <definedName name="___S3" localSheetId="13" hidden="1">{#N/A,#N/A,FALSE,"포장2"}</definedName>
    <definedName name="___S3" hidden="1">{#N/A,#N/A,FALSE,"포장2"}</definedName>
    <definedName name="___sys2">#REF!</definedName>
    <definedName name="___sys3">#REF!</definedName>
    <definedName name="___TAP4">#REF!</definedName>
    <definedName name="___TAP8">#REF!</definedName>
    <definedName name="___tot1">#REF!</definedName>
    <definedName name="___US1">#REF!</definedName>
    <definedName name="___VLX2">#REF!</definedName>
    <definedName name="___VLX4">#REF!</definedName>
    <definedName name="___VLX6">#REF!</definedName>
    <definedName name="___VLX8">#REF!</definedName>
    <definedName name="___yb5" localSheetId="13" hidden="1">{#N/A,#N/A,FALSE,"현장 NCR 분석";#N/A,#N/A,FALSE,"현장품질감사";#N/A,#N/A,FALSE,"현장품질감사"}</definedName>
    <definedName name="___yb5" localSheetId="15" hidden="1">{#N/A,#N/A,FALSE,"현장 NCR 분석";#N/A,#N/A,FALSE,"현장품질감사";#N/A,#N/A,FALSE,"현장품질감사"}</definedName>
    <definedName name="___yb5" hidden="1">{#N/A,#N/A,FALSE,"현장 NCR 분석";#N/A,#N/A,FALSE,"현장품질감사";#N/A,#N/A,FALSE,"현장품질감사"}</definedName>
    <definedName name="__123Graph_A" localSheetId="29" hidden="1">#REF!</definedName>
    <definedName name="__123Graph_A" localSheetId="13" hidden="1">#REF!</definedName>
    <definedName name="__123Graph_A" localSheetId="19" hidden="1">#REF!</definedName>
    <definedName name="__123Graph_A" hidden="1">#REF!</definedName>
    <definedName name="__123Graph_ACurrent" localSheetId="29" hidden="1">'[2]Eq. Mobilization'!#REF!</definedName>
    <definedName name="__123Graph_ACurrent" localSheetId="13" hidden="1">'[2]Eq. Mobilization'!#REF!</definedName>
    <definedName name="__123Graph_ACurrent" localSheetId="19" hidden="1">'[2]Eq. Mobilization'!#REF!</definedName>
    <definedName name="__123Graph_ACurrent" hidden="1">'[2]Eq. Mobilization'!#REF!</definedName>
    <definedName name="__123Graph_B" localSheetId="29" hidden="1">[3]B!#REF!</definedName>
    <definedName name="__123Graph_B" localSheetId="13" hidden="1">[3]B!#REF!</definedName>
    <definedName name="__123Graph_B" localSheetId="19" hidden="1">[3]B!#REF!</definedName>
    <definedName name="__123Graph_B" hidden="1">[3]B!#REF!</definedName>
    <definedName name="__123Graph_BCurrent" localSheetId="29" hidden="1">'[2]Eq. Mobilization'!#REF!</definedName>
    <definedName name="__123Graph_BCurrent" localSheetId="19" hidden="1">'[2]Eq. Mobilization'!#REF!</definedName>
    <definedName name="__123Graph_BCurrent" hidden="1">'[2]Eq. Mobilization'!#REF!</definedName>
    <definedName name="__123Graph_C" hidden="1">'[4]1062-X방향 '!$A$61:$A$102</definedName>
    <definedName name="__123Graph_D" localSheetId="29" hidden="1">[3]B!#REF!</definedName>
    <definedName name="__123Graph_D" localSheetId="13" hidden="1">[3]B!#REF!</definedName>
    <definedName name="__123Graph_D" localSheetId="19" hidden="1">[3]B!#REF!</definedName>
    <definedName name="__123Graph_D" hidden="1">[3]B!#REF!</definedName>
    <definedName name="__123Graph_E" localSheetId="29" hidden="1">[5]Sheet4!#REF!</definedName>
    <definedName name="__123Graph_E" localSheetId="13" hidden="1">[5]Sheet4!#REF!</definedName>
    <definedName name="__123Graph_E" localSheetId="19" hidden="1">[5]Sheet4!#REF!</definedName>
    <definedName name="__123Graph_E" hidden="1">[5]Sheet4!#REF!</definedName>
    <definedName name="__123Graph_F" localSheetId="29" hidden="1">[3]B!#REF!</definedName>
    <definedName name="__123Graph_F" localSheetId="13" hidden="1">[3]B!#REF!</definedName>
    <definedName name="__123Graph_F" localSheetId="19" hidden="1">[3]B!#REF!</definedName>
    <definedName name="__123Graph_F" hidden="1">[3]B!#REF!</definedName>
    <definedName name="__123Graph_LBL_A" localSheetId="29" hidden="1">'[2]Eq. Mobilization'!#REF!</definedName>
    <definedName name="__123Graph_LBL_A" localSheetId="13" hidden="1">'[2]Eq. Mobilization'!#REF!</definedName>
    <definedName name="__123Graph_LBL_A" localSheetId="19" hidden="1">'[2]Eq. Mobilization'!#REF!</definedName>
    <definedName name="__123Graph_LBL_A" hidden="1">'[2]Eq. Mobilization'!#REF!</definedName>
    <definedName name="__123Graph_LBL_B" localSheetId="29" hidden="1">'[2]Eq. Mobilization'!#REF!</definedName>
    <definedName name="__123Graph_LBL_B" localSheetId="19" hidden="1">'[2]Eq. Mobilization'!#REF!</definedName>
    <definedName name="__123Graph_LBL_B" hidden="1">'[2]Eq. Mobilization'!#REF!</definedName>
    <definedName name="__123Graph_X" localSheetId="29" hidden="1">[3]B!#REF!</definedName>
    <definedName name="__123Graph_X" localSheetId="19" hidden="1">[3]B!#REF!</definedName>
    <definedName name="__123Graph_X" hidden="1">[3]B!#REF!</definedName>
    <definedName name="__123Graph_XCurrent" localSheetId="29" hidden="1">'[2]Eq. Mobilization'!#REF!</definedName>
    <definedName name="__123Graph_XCurrent" localSheetId="19" hidden="1">'[2]Eq. Mobilization'!#REF!</definedName>
    <definedName name="__123Graph_XCurrent" hidden="1">'[2]Eq. Mobilization'!#REF!</definedName>
    <definedName name="__1K123_" localSheetId="13" hidden="1">{#N/A,#N/A,FALSE,"현장 NCR 분석";#N/A,#N/A,FALSE,"현장품질감사";#N/A,#N/A,FALSE,"현장품질감사"}</definedName>
    <definedName name="__1K123_" hidden="1">{#N/A,#N/A,FALSE,"현장 NCR 분석";#N/A,#N/A,FALSE,"현장품질감사";#N/A,#N/A,FALSE,"현장품질감사"}</definedName>
    <definedName name="__A22" localSheetId="13" hidden="1">{#N/A,#N/A,FALSE,"부대1"}</definedName>
    <definedName name="__A22" hidden="1">{#N/A,#N/A,FALSE,"부대1"}</definedName>
    <definedName name="__a32767">#REF!</definedName>
    <definedName name="__cbl2">#REF!</definedName>
    <definedName name="__cbl3">#REF!</definedName>
    <definedName name="__cbl4">#REF!</definedName>
    <definedName name="__cbl5">#REF!</definedName>
    <definedName name="__CPU466">#REF!</definedName>
    <definedName name="__CPU500">#REF!</definedName>
    <definedName name="__CSU1">#REF!</definedName>
    <definedName name="__CSU2">#REF!</definedName>
    <definedName name="__CSU3">#REF!</definedName>
    <definedName name="__DemandLoad">TRUE</definedName>
    <definedName name="__FDM2">#REF!</definedName>
    <definedName name="__FDM4">#REF!</definedName>
    <definedName name="__FDM6">#REF!</definedName>
    <definedName name="__FDM8">#REF!</definedName>
    <definedName name="__fff12">#REF!</definedName>
    <definedName name="__fff122">#REF!</definedName>
    <definedName name="__fff58">#REF!</definedName>
    <definedName name="__fff59">#REF!</definedName>
    <definedName name="__fff6">#REF!</definedName>
    <definedName name="__fff60">#REF!</definedName>
    <definedName name="__fff65">#REF!</definedName>
    <definedName name="__fff67">#REF!</definedName>
    <definedName name="__fff69">#REF!</definedName>
    <definedName name="__fff7">#REF!</definedName>
    <definedName name="__fff70">#REF!</definedName>
    <definedName name="__fff71">#REF!</definedName>
    <definedName name="__fff77">#REF!</definedName>
    <definedName name="__fff79">#REF!</definedName>
    <definedName name="__fff8">#REF!</definedName>
    <definedName name="__fff80">#REF!</definedName>
    <definedName name="__fff81">#REF!</definedName>
    <definedName name="__fff82">#REF!</definedName>
    <definedName name="__fff83">#REF!</definedName>
    <definedName name="__fff84">#REF!</definedName>
    <definedName name="__fff85">#REF!</definedName>
    <definedName name="__fff86">#REF!</definedName>
    <definedName name="__fff87">#REF!</definedName>
    <definedName name="__fff88">#REF!</definedName>
    <definedName name="__fff89">#REF!</definedName>
    <definedName name="__fff9">#REF!</definedName>
    <definedName name="__fff90">#REF!</definedName>
    <definedName name="__fff91">#REF!</definedName>
    <definedName name="__fff92">#REF!</definedName>
    <definedName name="__fff93">#REF!</definedName>
    <definedName name="__fff94">#REF!</definedName>
    <definedName name="__fff95">#REF!</definedName>
    <definedName name="__fff96">#REF!</definedName>
    <definedName name="__fff97">#REF!</definedName>
    <definedName name="__fff98">#REF!</definedName>
    <definedName name="__fff99">#REF!</definedName>
    <definedName name="__fkn1">#REF!</definedName>
    <definedName name="__fkn2">#REF!</definedName>
    <definedName name="__fks1">#REF!</definedName>
    <definedName name="__fks2">#REF!</definedName>
    <definedName name="__FLC1">[6]소요자재!$H$58</definedName>
    <definedName name="__FLC2">[6]소요자재!$H$59</definedName>
    <definedName name="__gbi1">#REF!</definedName>
    <definedName name="__gbi2">#REF!</definedName>
    <definedName name="__gbi3">#REF!</definedName>
    <definedName name="__gbi4">#REF!</definedName>
    <definedName name="__gbi5">#REF!</definedName>
    <definedName name="__gbi6">#REF!</definedName>
    <definedName name="__gbi7">#REF!</definedName>
    <definedName name="__gbi8">#REF!</definedName>
    <definedName name="__gbi9">#REF!</definedName>
    <definedName name="__ggg1">#REF!</definedName>
    <definedName name="__ggg2">#REF!</definedName>
    <definedName name="__ggg55">#REF!</definedName>
    <definedName name="__gng44" localSheetId="13">'8-2.설비자재산출(무인보안)'!__gng44</definedName>
    <definedName name="__gng44">[7]!__gng44</definedName>
    <definedName name="__IDF1">#REF!</definedName>
    <definedName name="__IDF15">#REF!</definedName>
    <definedName name="__idf2">[6]소요자재!$H$28</definedName>
    <definedName name="__idf3">[6]소요자재!$H$48</definedName>
    <definedName name="__idf4">[6]소요자재!$H$49</definedName>
    <definedName name="__idf5">[6]소요자재!$H$67</definedName>
    <definedName name="__idf6">[6]소요자재!$H$68</definedName>
    <definedName name="__ind1">#REF!</definedName>
    <definedName name="__ind10">#REF!</definedName>
    <definedName name="__ind11">#REF!</definedName>
    <definedName name="__ind12">#REF!</definedName>
    <definedName name="__ind13">#REF!</definedName>
    <definedName name="__ind14">#REF!</definedName>
    <definedName name="__ind15">#REF!</definedName>
    <definedName name="__ind16">#REF!</definedName>
    <definedName name="__ind17">#REF!</definedName>
    <definedName name="__ind18">#REF!</definedName>
    <definedName name="__ind19">#REF!</definedName>
    <definedName name="__ind2">#REF!</definedName>
    <definedName name="__ind20">#REF!</definedName>
    <definedName name="__ind21">#REF!</definedName>
    <definedName name="__ind22">#REF!</definedName>
    <definedName name="__ind23">#REF!</definedName>
    <definedName name="__ind24">#REF!</definedName>
    <definedName name="__ind25">#REF!</definedName>
    <definedName name="__ind26">#REF!</definedName>
    <definedName name="__ind27">#REF!</definedName>
    <definedName name="__ind28">#REF!</definedName>
    <definedName name="__ind29">#REF!</definedName>
    <definedName name="__ind3">#REF!</definedName>
    <definedName name="__ind30">#REF!</definedName>
    <definedName name="__ind31">#REF!</definedName>
    <definedName name="__ind32">#REF!</definedName>
    <definedName name="__ind33">#REF!</definedName>
    <definedName name="__ind34">#REF!</definedName>
    <definedName name="__ind35">#REF!</definedName>
    <definedName name="__ind36">#REF!</definedName>
    <definedName name="__ind37">#REF!</definedName>
    <definedName name="__ind38">#REF!</definedName>
    <definedName name="__ind39">#REF!</definedName>
    <definedName name="__ind4">#REF!</definedName>
    <definedName name="__ind40">#REF!</definedName>
    <definedName name="__ind41">#REF!</definedName>
    <definedName name="__ind42">#REF!</definedName>
    <definedName name="__ind5">#REF!</definedName>
    <definedName name="__ind6">#REF!</definedName>
    <definedName name="__ind7">#REF!</definedName>
    <definedName name="__ind8">#REF!</definedName>
    <definedName name="__ind9">#REF!</definedName>
    <definedName name="__IntlFixup">TRUE</definedName>
    <definedName name="__ju8" localSheetId="22" hidden="1">{"'광피스표'!$A$3:$N$54"}</definedName>
    <definedName name="__ju8" localSheetId="4" hidden="1">{"'광피스표'!$A$3:$N$54"}</definedName>
    <definedName name="__ju8" localSheetId="13" hidden="1">{"'광피스표'!$A$3:$N$54"}</definedName>
    <definedName name="__ju8" localSheetId="15" hidden="1">{"'광피스표'!$A$3:$N$54"}</definedName>
    <definedName name="__ju8" hidden="1">{"'광피스표'!$A$3:$N$54"}</definedName>
    <definedName name="__K123" localSheetId="13" hidden="1">{#N/A,#N/A,FALSE,"현장 NCR 분석";#N/A,#N/A,FALSE,"현장품질감사";#N/A,#N/A,FALSE,"현장품질감사"}</definedName>
    <definedName name="__K123" localSheetId="15" hidden="1">{#N/A,#N/A,FALSE,"현장 NCR 분석";#N/A,#N/A,FALSE,"현장품질감사";#N/A,#N/A,FALSE,"현장품질감사"}</definedName>
    <definedName name="__K123" hidden="1">{#N/A,#N/A,FALSE,"현장 NCR 분석";#N/A,#N/A,FALSE,"현장품질감사";#N/A,#N/A,FALSE,"현장품질감사"}</definedName>
    <definedName name="__KD2" localSheetId="29" hidden="1">#REF!</definedName>
    <definedName name="__KD2" localSheetId="13" hidden="1">#REF!</definedName>
    <definedName name="__KD2" localSheetId="19" hidden="1">#REF!</definedName>
    <definedName name="__KD2" hidden="1">#REF!</definedName>
    <definedName name="__KD3" localSheetId="29" hidden="1">#REF!</definedName>
    <definedName name="__KD3" localSheetId="13" hidden="1">#REF!</definedName>
    <definedName name="__KD3" localSheetId="19" hidden="1">#REF!</definedName>
    <definedName name="__KD3" hidden="1">#REF!</definedName>
    <definedName name="__KK2" localSheetId="29" hidden="1">#REF!</definedName>
    <definedName name="__KK2" localSheetId="13" hidden="1">#REF!</definedName>
    <definedName name="__KK2" localSheetId="19" hidden="1">#REF!</definedName>
    <definedName name="__KK2" hidden="1">#REF!</definedName>
    <definedName name="__KK3" localSheetId="29" hidden="1">#REF!</definedName>
    <definedName name="__KK3" localSheetId="13" hidden="1">#REF!</definedName>
    <definedName name="__KK3" localSheetId="19" hidden="1">#REF!</definedName>
    <definedName name="__KK3" hidden="1">#REF!</definedName>
    <definedName name="__kn1">#REF!</definedName>
    <definedName name="__kn2">#REF!</definedName>
    <definedName name="__ks1">#REF!</definedName>
    <definedName name="__MDF1">#REF!</definedName>
    <definedName name="__MEM128">#REF!</definedName>
    <definedName name="__MEM64">#REF!</definedName>
    <definedName name="__MUX2">#REF!</definedName>
    <definedName name="__MUX3240">[6]소요자재!$H$123</definedName>
    <definedName name="__MX1">#REF!</definedName>
    <definedName name="__MX10">#REF!</definedName>
    <definedName name="__MX11">#REF!</definedName>
    <definedName name="__MX12">#REF!</definedName>
    <definedName name="__MX13">#REF!</definedName>
    <definedName name="__MX14">#REF!</definedName>
    <definedName name="__MX2">#REF!</definedName>
    <definedName name="__MX3">#REF!</definedName>
    <definedName name="__MX4">#REF!</definedName>
    <definedName name="__MX5">#REF!</definedName>
    <definedName name="__MX6">#REF!</definedName>
    <definedName name="__MX7">#REF!</definedName>
    <definedName name="__MX8">#REF!</definedName>
    <definedName name="__MX9">#REF!</definedName>
    <definedName name="__NIU1">#REF!</definedName>
    <definedName name="__NIU2">[6]소요자재!$H$115</definedName>
    <definedName name="__OC1">#REF!</definedName>
    <definedName name="__OFD1">#REF!</definedName>
    <definedName name="__OFD13">#REF!</definedName>
    <definedName name="__OFD2">#REF!</definedName>
    <definedName name="__ofd24">[6]소요자재!$H$23</definedName>
    <definedName name="__ofd241">[6]소요자재!$H$45</definedName>
    <definedName name="__ofd242">[6]소요자재!$H$64</definedName>
    <definedName name="__OFD3">#REF!</definedName>
    <definedName name="__ofd48">[6]소요자재!$H$24</definedName>
    <definedName name="__ofd481">[6]소요자재!$H$46</definedName>
    <definedName name="__ofd482">[6]소요자재!$H$65</definedName>
    <definedName name="__ofd96">[6]소요자재!$H$25</definedName>
    <definedName name="__ofd961">[6]소요자재!$H$47</definedName>
    <definedName name="__ofd962">[6]소요자재!$H$66</definedName>
    <definedName name="__OIU1">#REF!</definedName>
    <definedName name="__OIU2">[6]소요자재!$H$118</definedName>
    <definedName name="__OJC1">[6]소요자재!$H$97</definedName>
    <definedName name="__OJC2">[6]소요자재!$H$98</definedName>
    <definedName name="__OJC3">[6]소요자재!$H$125</definedName>
    <definedName name="__OJC4">[6]소요자재!$H$126</definedName>
    <definedName name="__OO1">#REF!</definedName>
    <definedName name="__OP1">#REF!</definedName>
    <definedName name="__OP10">#REF!</definedName>
    <definedName name="__OP11">#REF!</definedName>
    <definedName name="__OP12">#REF!</definedName>
    <definedName name="__OP2">#REF!</definedName>
    <definedName name="__OP3">#REF!</definedName>
    <definedName name="__OP4">#REF!</definedName>
    <definedName name="__OP5">#REF!</definedName>
    <definedName name="__OP6">#REF!</definedName>
    <definedName name="__OP7">#REF!</definedName>
    <definedName name="__OP8">#REF!</definedName>
    <definedName name="__OP9">#REF!</definedName>
    <definedName name="__OPM1">#REF!</definedName>
    <definedName name="__OPM2">#REF!</definedName>
    <definedName name="__OPM3">#REF!</definedName>
    <definedName name="__P3" localSheetId="13" hidden="1">{#N/A,#N/A,FALSE,"배수1"}</definedName>
    <definedName name="__P3" hidden="1">{#N/A,#N/A,FALSE,"배수1"}</definedName>
    <definedName name="__P4" localSheetId="13" hidden="1">{#N/A,#N/A,FALSE,"혼합골재"}</definedName>
    <definedName name="__P4" hidden="1">{#N/A,#N/A,FALSE,"혼합골재"}</definedName>
    <definedName name="__P5" localSheetId="13" hidden="1">{#N/A,#N/A,FALSE,"배수1"}</definedName>
    <definedName name="__P5" hidden="1">{#N/A,#N/A,FALSE,"배수1"}</definedName>
    <definedName name="__P6" localSheetId="13" hidden="1">{#N/A,#N/A,FALSE,"2~8번"}</definedName>
    <definedName name="__P6" hidden="1">{#N/A,#N/A,FALSE,"2~8번"}</definedName>
    <definedName name="__PCM1">#REF!</definedName>
    <definedName name="__pdp1">[6]소요자재!$H$50</definedName>
    <definedName name="__PDP2">[6]소요자재!$H$112</definedName>
    <definedName name="__PDP3">[6]소요자재!$H$140</definedName>
    <definedName name="__PE2">#REF!</definedName>
    <definedName name="__PP2">#REF!</definedName>
    <definedName name="__PP4">#REF!</definedName>
    <definedName name="__PVC1">#REF!</definedName>
    <definedName name="__q45" localSheetId="22" hidden="1">{"'용역비'!$A$4:$C$8"}</definedName>
    <definedName name="__q45" localSheetId="13" hidden="1">{"'용역비'!$A$4:$C$8"}</definedName>
    <definedName name="__q45" localSheetId="15" hidden="1">{"'용역비'!$A$4:$C$8"}</definedName>
    <definedName name="__q45" hidden="1">{"'용역비'!$A$4:$C$8"}</definedName>
    <definedName name="__qa01" localSheetId="13" hidden="1">{#N/A,#N/A,FALSE,"2~8번"}</definedName>
    <definedName name="__qa01" hidden="1">{#N/A,#N/A,FALSE,"2~8번"}</definedName>
    <definedName name="__qa02" localSheetId="13" hidden="1">{#N/A,#N/A,FALSE,"골재소요량";#N/A,#N/A,FALSE,"골재소요량"}</definedName>
    <definedName name="__qa02" hidden="1">{#N/A,#N/A,FALSE,"골재소요량";#N/A,#N/A,FALSE,"골재소요량"}</definedName>
    <definedName name="__qa03" localSheetId="13" hidden="1">{#N/A,#N/A,FALSE,"구조2"}</definedName>
    <definedName name="__qa03" hidden="1">{#N/A,#N/A,FALSE,"구조2"}</definedName>
    <definedName name="__qa04" localSheetId="13" hidden="1">{#N/A,#N/A,FALSE,"단가표지"}</definedName>
    <definedName name="__qa04" hidden="1">{#N/A,#N/A,FALSE,"단가표지"}</definedName>
    <definedName name="__qa05" localSheetId="13" hidden="1">{#N/A,#N/A,FALSE,"배수1"}</definedName>
    <definedName name="__qa05" hidden="1">{#N/A,#N/A,FALSE,"배수1"}</definedName>
    <definedName name="__qa06" localSheetId="13" hidden="1">{#N/A,#N/A,FALSE,"배수2"}</definedName>
    <definedName name="__qa06" hidden="1">{#N/A,#N/A,FALSE,"배수2"}</definedName>
    <definedName name="__qa07" localSheetId="13" hidden="1">{#N/A,#N/A,FALSE,"부대1"}</definedName>
    <definedName name="__qa07" hidden="1">{#N/A,#N/A,FALSE,"부대1"}</definedName>
    <definedName name="__qa08" localSheetId="13" hidden="1">{#N/A,#N/A,FALSE,"부대2"}</definedName>
    <definedName name="__qa08" hidden="1">{#N/A,#N/A,FALSE,"부대2"}</definedName>
    <definedName name="__qa10" localSheetId="13" hidden="1">{#N/A,#N/A,FALSE,"속도"}</definedName>
    <definedName name="__qa10" hidden="1">{#N/A,#N/A,FALSE,"속도"}</definedName>
    <definedName name="__qa11" localSheetId="13" hidden="1">{#N/A,#N/A,FALSE,"운반시간"}</definedName>
    <definedName name="__qa11" hidden="1">{#N/A,#N/A,FALSE,"운반시간"}</definedName>
    <definedName name="__qa12" localSheetId="13" hidden="1">{#N/A,#N/A,FALSE,"이정표"}</definedName>
    <definedName name="__qa12" hidden="1">{#N/A,#N/A,FALSE,"이정표"}</definedName>
    <definedName name="__qa13" localSheetId="13" hidden="1">{#N/A,#N/A,FALSE,"조골재"}</definedName>
    <definedName name="__qa13" hidden="1">{#N/A,#N/A,FALSE,"조골재"}</definedName>
    <definedName name="__qa14" localSheetId="13" hidden="1">{#N/A,#N/A,FALSE,"구조1"}</definedName>
    <definedName name="__qa14" hidden="1">{#N/A,#N/A,FALSE,"구조1"}</definedName>
    <definedName name="__qa15" localSheetId="13" hidden="1">{#N/A,#N/A,FALSE,"토공2"}</definedName>
    <definedName name="__qa15" hidden="1">{#N/A,#N/A,FALSE,"토공2"}</definedName>
    <definedName name="__qa16" localSheetId="13" hidden="1">{#N/A,#N/A,FALSE,"포장1";#N/A,#N/A,FALSE,"포장1"}</definedName>
    <definedName name="__qa16" hidden="1">{#N/A,#N/A,FALSE,"포장1";#N/A,#N/A,FALSE,"포장1"}</definedName>
    <definedName name="__qa17" localSheetId="13" hidden="1">{#N/A,#N/A,FALSE,"포장2"}</definedName>
    <definedName name="__qa17" hidden="1">{#N/A,#N/A,FALSE,"포장2"}</definedName>
    <definedName name="__qa18" localSheetId="13" hidden="1">{#N/A,#N/A,FALSE,"표지목차"}</definedName>
    <definedName name="__qa18" hidden="1">{#N/A,#N/A,FALSE,"표지목차"}</definedName>
    <definedName name="__qa19" localSheetId="13" hidden="1">{#N/A,#N/A,FALSE,"혼합골재"}</definedName>
    <definedName name="__qa19" hidden="1">{#N/A,#N/A,FALSE,"혼합골재"}</definedName>
    <definedName name="__qa20" localSheetId="13" hidden="1">{#N/A,#N/A,FALSE,"운반시간"}</definedName>
    <definedName name="__qa20" hidden="1">{#N/A,#N/A,FALSE,"운반시간"}</definedName>
    <definedName name="__qx1" localSheetId="13" hidden="1">{#N/A,#N/A,FALSE,"운반시간"}</definedName>
    <definedName name="__qx1" hidden="1">{#N/A,#N/A,FALSE,"운반시간"}</definedName>
    <definedName name="__S3" localSheetId="13" hidden="1">{#N/A,#N/A,FALSE,"포장2"}</definedName>
    <definedName name="__S3" hidden="1">{#N/A,#N/A,FALSE,"포장2"}</definedName>
    <definedName name="__sys2">#REF!</definedName>
    <definedName name="__sys3">#REF!</definedName>
    <definedName name="__TAP4">#REF!</definedName>
    <definedName name="__TAP8">#REF!</definedName>
    <definedName name="__tot1">#REF!</definedName>
    <definedName name="__US1">#REF!</definedName>
    <definedName name="__VLX2">#REF!</definedName>
    <definedName name="__VLX4">#REF!</definedName>
    <definedName name="__VLX6">#REF!</definedName>
    <definedName name="__VLX8">#REF!</definedName>
    <definedName name="__yb5" localSheetId="34" hidden="1">{#N/A,#N/A,FALSE,"현장 NCR 분석";#N/A,#N/A,FALSE,"현장품질감사";#N/A,#N/A,FALSE,"현장품질감사"}</definedName>
    <definedName name="__yb5" localSheetId="35" hidden="1">{#N/A,#N/A,FALSE,"현장 NCR 분석";#N/A,#N/A,FALSE,"현장품질감사";#N/A,#N/A,FALSE,"현장품질감사"}</definedName>
    <definedName name="__yb5" localSheetId="36" hidden="1">{#N/A,#N/A,FALSE,"현장 NCR 분석";#N/A,#N/A,FALSE,"현장품질감사";#N/A,#N/A,FALSE,"현장품질감사"}</definedName>
    <definedName name="__yb5" localSheetId="37" hidden="1">{#N/A,#N/A,FALSE,"현장 NCR 분석";#N/A,#N/A,FALSE,"현장품질감사";#N/A,#N/A,FALSE,"현장품질감사"}</definedName>
    <definedName name="__yb5" localSheetId="13" hidden="1">{#N/A,#N/A,FALSE,"현장 NCR 분석";#N/A,#N/A,FALSE,"현장품질감사";#N/A,#N/A,FALSE,"현장품질감사"}</definedName>
    <definedName name="__yb5" localSheetId="15" hidden="1">{#N/A,#N/A,FALSE,"현장 NCR 분석";#N/A,#N/A,FALSE,"현장품질감사";#N/A,#N/A,FALSE,"현장품질감사"}</definedName>
    <definedName name="__yb5" hidden="1">{#N/A,#N/A,FALSE,"현장 NCR 분석";#N/A,#N/A,FALSE,"현장품질감사";#N/A,#N/A,FALSE,"현장품질감사"}</definedName>
    <definedName name="__ys1" localSheetId="13">'8-2.설비자재산출(무인보안)'!__ys1</definedName>
    <definedName name="__ys1">[7]!__ys1</definedName>
    <definedName name="_0.036_1.5">#REF!</definedName>
    <definedName name="_0.08_1.5">#REF!</definedName>
    <definedName name="_000추가">#REF!</definedName>
    <definedName name="_01">#REF!</definedName>
    <definedName name="_02">#REF!</definedName>
    <definedName name="_03">#REF!</definedName>
    <definedName name="_1">#N/A</definedName>
    <definedName name="_1._PANEL_BD.__LP___1">#REF!</definedName>
    <definedName name="_1_0일관" localSheetId="29">#REF!</definedName>
    <definedName name="_1_0일관" localSheetId="34">#REF!</definedName>
    <definedName name="_1_0일관" localSheetId="35">#REF!</definedName>
    <definedName name="_1_0일관" localSheetId="36">#REF!</definedName>
    <definedName name="_1_0일관" localSheetId="37">#REF!</definedName>
    <definedName name="_1_0일관" localSheetId="19">#REF!</definedName>
    <definedName name="_1_0일관">#REF!</definedName>
    <definedName name="_1_0토">'[8]설계명세서(선로)'!#REF!</definedName>
    <definedName name="_10">#N/A</definedName>
    <definedName name="_10_________________________S" localSheetId="29" hidden="1">'[9]6PILE  (돌출)'!#REF!</definedName>
    <definedName name="_10_________________________S" localSheetId="13" hidden="1">'[9]6PILE  (돌출)'!#REF!</definedName>
    <definedName name="_10_________________________S" localSheetId="19" hidden="1">'[9]6PILE  (돌출)'!#REF!</definedName>
    <definedName name="_10_________________________S" hidden="1">'[9]6PILE  (돌출)'!#REF!</definedName>
    <definedName name="_10P6_" localSheetId="13" hidden="1">{#N/A,#N/A,FALSE,"2~8번"}</definedName>
    <definedName name="_10P6_" hidden="1">{#N/A,#N/A,FALSE,"2~8번"}</definedName>
    <definedName name="_10q45_" localSheetId="13" hidden="1">{"'용역비'!$A$4:$C$8"}</definedName>
    <definedName name="_10q45_" localSheetId="15" hidden="1">{"'용역비'!$A$4:$C$8"}</definedName>
    <definedName name="_10q45_" hidden="1">{"'용역비'!$A$4:$C$8"}</definedName>
    <definedName name="_10단">#REF!</definedName>
    <definedName name="_11">#N/A</definedName>
    <definedName name="_11_______________________0_S" localSheetId="29" hidden="1">[10]Sheet1!#REF!</definedName>
    <definedName name="_11_______________________0_S" localSheetId="19" hidden="1">[10]Sheet1!#REF!</definedName>
    <definedName name="_11_______________________0_S" hidden="1">[10]Sheet1!#REF!</definedName>
    <definedName name="_11P5_" localSheetId="13" hidden="1">{#N/A,#N/A,FALSE,"배수1"}</definedName>
    <definedName name="_11P5_" hidden="1">{#N/A,#N/A,FALSE,"배수1"}</definedName>
    <definedName name="_12">#N/A</definedName>
    <definedName name="_12________________________S" localSheetId="29" hidden="1">'[9]6PILE  (돌출)'!#REF!</definedName>
    <definedName name="_12________________________S" localSheetId="19" hidden="1">'[9]6PILE  (돌출)'!#REF!</definedName>
    <definedName name="_12________________________S" hidden="1">'[9]6PILE  (돌출)'!#REF!</definedName>
    <definedName name="_12__123Graph_XChart_1A" localSheetId="29" hidden="1">'[2]Eq. Mobilization'!#REF!</definedName>
    <definedName name="_12__123Graph_XChart_1A" localSheetId="19" hidden="1">'[2]Eq. Mobilization'!#REF!</definedName>
    <definedName name="_12__123Graph_XChart_1A" hidden="1">'[2]Eq. Mobilization'!#REF!</definedName>
    <definedName name="_12S3_" localSheetId="13" hidden="1">{#N/A,#N/A,FALSE,"포장2"}</definedName>
    <definedName name="_12S3_" hidden="1">{#N/A,#N/A,FALSE,"포장2"}</definedName>
    <definedName name="_13">#N/A</definedName>
    <definedName name="_13______________________0_S" localSheetId="29" hidden="1">[10]Sheet1!#REF!</definedName>
    <definedName name="_13______________________0_S" localSheetId="19" hidden="1">[10]Sheet1!#REF!</definedName>
    <definedName name="_13______________________0_S" hidden="1">[10]Sheet1!#REF!</definedName>
    <definedName name="_13K123_" localSheetId="13" hidden="1">{#N/A,#N/A,FALSE,"현장 NCR 분석";#N/A,#N/A,FALSE,"현장품질감사";#N/A,#N/A,FALSE,"현장품질감사"}</definedName>
    <definedName name="_13K123_" localSheetId="15" hidden="1">{#N/A,#N/A,FALSE,"현장 NCR 분석";#N/A,#N/A,FALSE,"현장품질감사";#N/A,#N/A,FALSE,"현장품질감사"}</definedName>
    <definedName name="_13K123_" hidden="1">{#N/A,#N/A,FALSE,"현장 NCR 분석";#N/A,#N/A,FALSE,"현장품질감사";#N/A,#N/A,FALSE,"현장품질감사"}</definedName>
    <definedName name="_13P3_" localSheetId="13" hidden="1">{#N/A,#N/A,FALSE,"배수1"}</definedName>
    <definedName name="_13P3_" hidden="1">{#N/A,#N/A,FALSE,"배수1"}</definedName>
    <definedName name="_13투자집계표_0_콤마_INQUIRY_영업추진_0_콤마_M105CDT_0¯_콤마_M107CDT_0b____ဠ0坠¯⣈「_¯⣈「000000000000㪌¯_¯__埤¯2000斬¯00" hidden="1">FALSE</definedName>
    <definedName name="_14">#N/A</definedName>
    <definedName name="_14______________________S" localSheetId="29" hidden="1">'[9]6PILE  (돌출)'!#REF!</definedName>
    <definedName name="_14______________________S" localSheetId="19" hidden="1">'[9]6PILE  (돌출)'!#REF!</definedName>
    <definedName name="_14______________________S" hidden="1">'[9]6PILE  (돌출)'!#REF!</definedName>
    <definedName name="_14P4_" localSheetId="13" hidden="1">{#N/A,#N/A,FALSE,"혼합골재"}</definedName>
    <definedName name="_14P4_" hidden="1">{#N/A,#N/A,FALSE,"혼합골재"}</definedName>
    <definedName name="_14P6_" localSheetId="13" hidden="1">{#N/A,#N/A,FALSE,"2~8번"}</definedName>
    <definedName name="_14P6_" hidden="1">{#N/A,#N/A,FALSE,"2~8번"}</definedName>
    <definedName name="_14q45_" localSheetId="13" hidden="1">{"'용역비'!$A$4:$C$8"}</definedName>
    <definedName name="_14q45_" localSheetId="15" hidden="1">{"'용역비'!$A$4:$C$8"}</definedName>
    <definedName name="_14q45_" hidden="1">{"'용역비'!$A$4:$C$8"}</definedName>
    <definedName name="_14S" localSheetId="29" hidden="1">'[9]6PILE  (돌출)'!#REF!</definedName>
    <definedName name="_14S" localSheetId="19" hidden="1">'[9]6PILE  (돌출)'!#REF!</definedName>
    <definedName name="_14S" hidden="1">'[9]6PILE  (돌출)'!#REF!</definedName>
    <definedName name="_14투자집계표___콤마_INQUIRY_영업추진___콤마_M105CDT__¯_콤마_M107CDT__b____ဠ_坠¯⣈「_¯⣈「____________㪌¯_¯__埤¯2___斬¯" hidden="1">FALSE</definedName>
    <definedName name="_15">#N/A</definedName>
    <definedName name="_15____________________0_S" localSheetId="29" hidden="1">[10]Sheet1!#REF!</definedName>
    <definedName name="_15____________________0_S" localSheetId="19" hidden="1">[10]Sheet1!#REF!</definedName>
    <definedName name="_15____________________0_S" hidden="1">[10]Sheet1!#REF!</definedName>
    <definedName name="_15P4_" localSheetId="13" hidden="1">{#N/A,#N/A,FALSE,"혼합골재"}</definedName>
    <definedName name="_15P4_" hidden="1">{#N/A,#N/A,FALSE,"혼합골재"}</definedName>
    <definedName name="_16">#N/A</definedName>
    <definedName name="_16_____________________S" localSheetId="29" hidden="1">'[9]6PILE  (돌출)'!#REF!</definedName>
    <definedName name="_16_____________________S" localSheetId="19" hidden="1">'[9]6PILE  (돌출)'!#REF!</definedName>
    <definedName name="_16_____________________S" hidden="1">'[9]6PILE  (돌출)'!#REF!</definedName>
    <definedName name="_16_0__123Grap" localSheetId="29" hidden="1">#REF!</definedName>
    <definedName name="_16_0__123Grap" localSheetId="13" hidden="1">#REF!</definedName>
    <definedName name="_16_0__123Grap" localSheetId="19" hidden="1">#REF!</definedName>
    <definedName name="_16_0__123Grap" hidden="1">#REF!</definedName>
    <definedName name="_16_0_S" localSheetId="29" hidden="1">[10]Sheet1!#REF!</definedName>
    <definedName name="_16_0_S" localSheetId="19" hidden="1">[10]Sheet1!#REF!</definedName>
    <definedName name="_16_0_S" hidden="1">[10]Sheet1!#REF!</definedName>
    <definedName name="_16a32767_">#REF!</definedName>
    <definedName name="_17">#N/A</definedName>
    <definedName name="_17___________________0_S" localSheetId="29" hidden="1">[10]Sheet1!#REF!</definedName>
    <definedName name="_17___________________0_S" localSheetId="19" hidden="1">[10]Sheet1!#REF!</definedName>
    <definedName name="_17___________________0_S" hidden="1">[10]Sheet1!#REF!</definedName>
    <definedName name="_17B1_">#REF!</definedName>
    <definedName name="_17P3_" localSheetId="13" hidden="1">{#N/A,#N/A,FALSE,"배수1"}</definedName>
    <definedName name="_17P3_" hidden="1">{#N/A,#N/A,FALSE,"배수1"}</definedName>
    <definedName name="_17P5_" localSheetId="13" hidden="1">{#N/A,#N/A,FALSE,"배수1"}</definedName>
    <definedName name="_17P5_" hidden="1">{#N/A,#N/A,FALSE,"배수1"}</definedName>
    <definedName name="_17S3_" localSheetId="13" hidden="1">{#N/A,#N/A,FALSE,"포장2"}</definedName>
    <definedName name="_17S3_" hidden="1">{#N/A,#N/A,FALSE,"포장2"}</definedName>
    <definedName name="_18">#N/A</definedName>
    <definedName name="_18____________________S" localSheetId="29" hidden="1">'[9]6PILE  (돌출)'!#REF!</definedName>
    <definedName name="_18____________________S" localSheetId="19" hidden="1">'[9]6PILE  (돌출)'!#REF!</definedName>
    <definedName name="_18____________________S" hidden="1">'[9]6PILE  (돌출)'!#REF!</definedName>
    <definedName name="_18_0_S" localSheetId="29" hidden="1">[10]Sheet1!#REF!</definedName>
    <definedName name="_18_0_S" localSheetId="19" hidden="1">[10]Sheet1!#REF!</definedName>
    <definedName name="_18_0_S" hidden="1">[10]Sheet1!#REF!</definedName>
    <definedName name="_188956_6">#REF!</definedName>
    <definedName name="_18B1_">#REF!</definedName>
    <definedName name="_18G_0Extr">#REF!</definedName>
    <definedName name="_18P4_" localSheetId="13" hidden="1">{#N/A,#N/A,FALSE,"혼합골재"}</definedName>
    <definedName name="_18P4_" hidden="1">{#N/A,#N/A,FALSE,"혼합골재"}</definedName>
    <definedName name="_19">#N/A</definedName>
    <definedName name="_19__________________0_S" localSheetId="29" hidden="1">[10]Sheet1!#REF!</definedName>
    <definedName name="_19__________________0_S" localSheetId="19" hidden="1">[10]Sheet1!#REF!</definedName>
    <definedName name="_19__________________0_S" hidden="1">[10]Sheet1!#REF!</definedName>
    <definedName name="_19G_0Extr">#REF!</definedName>
    <definedName name="_19G_0Extract">#REF!</definedName>
    <definedName name="_19P5_" localSheetId="13" hidden="1">{#N/A,#N/A,FALSE,"배수1"}</definedName>
    <definedName name="_19P5_" hidden="1">{#N/A,#N/A,FALSE,"배수1"}</definedName>
    <definedName name="_19P6_" localSheetId="13" hidden="1">{#N/A,#N/A,FALSE,"2~8번"}</definedName>
    <definedName name="_19P6_" hidden="1">{#N/A,#N/A,FALSE,"2~8번"}</definedName>
    <definedName name="_1F" localSheetId="29" hidden="1">'[1]1.토공'!#REF!</definedName>
    <definedName name="_1F" localSheetId="19" hidden="1">'[1]1.토공'!#REF!</definedName>
    <definedName name="_1F" hidden="1">'[1]1.토공'!#REF!</definedName>
    <definedName name="_1K123_" localSheetId="13" hidden="1">{#N/A,#N/A,FALSE,"현장 NCR 분석";#N/A,#N/A,FALSE,"현장품질감사";#N/A,#N/A,FALSE,"현장품질감사"}</definedName>
    <definedName name="_1K123_" hidden="1">{#N/A,#N/A,FALSE,"현장 NCR 분석";#N/A,#N/A,FALSE,"현장품질감사";#N/A,#N/A,FALSE,"현장품질감사"}</definedName>
    <definedName name="_1P3_" localSheetId="13" hidden="1">{#N/A,#N/A,FALSE,"배수1"}</definedName>
    <definedName name="_1P3_" hidden="1">{#N/A,#N/A,FALSE,"배수1"}</definedName>
    <definedName name="_1S" localSheetId="29" hidden="1">'[9]6PILE  (돌출)'!#REF!</definedName>
    <definedName name="_1S" localSheetId="19" hidden="1">'[9]6PILE  (돌출)'!#REF!</definedName>
    <definedName name="_1S" hidden="1">'[9]6PILE  (돌출)'!#REF!</definedName>
    <definedName name="_1공장">#REF!</definedName>
    <definedName name="_1급측지기사">#REF!</definedName>
    <definedName name="_1단">#REF!</definedName>
    <definedName name="_1일관">#REF!</definedName>
    <definedName name="_1투자집계표_0_콤마_INQUIRY_영업추진_0_콤마_M105CDT_0¯_콤마_M107CDT_0b____ဠ0坠¯⣈「_¯⣈「000000000000㪌¯_¯__埤¯2000斬¯00" hidden="1">FALSE</definedName>
    <definedName name="_2">#N/A</definedName>
    <definedName name="_2_____________________________S" localSheetId="29" hidden="1">'[9]6PILE  (돌출)'!#REF!</definedName>
    <definedName name="_2_____________________________S" localSheetId="19" hidden="1">'[9]6PILE  (돌출)'!#REF!</definedName>
    <definedName name="_2_____________________________S" hidden="1">'[9]6PILE  (돌출)'!#REF!</definedName>
    <definedName name="_2___0일관" localSheetId="29">#REF!</definedName>
    <definedName name="_2___0일관" localSheetId="34">#REF!</definedName>
    <definedName name="_2___0일관" localSheetId="35">#REF!</definedName>
    <definedName name="_2___0일관" localSheetId="36">#REF!</definedName>
    <definedName name="_2___0일관" localSheetId="37">#REF!</definedName>
    <definedName name="_2___0일관" localSheetId="19">#REF!</definedName>
    <definedName name="_2___0일관">#REF!</definedName>
    <definedName name="_2_0_S" localSheetId="29" hidden="1">[10]Sheet1!#REF!</definedName>
    <definedName name="_2_0_S" localSheetId="19" hidden="1">[10]Sheet1!#REF!</definedName>
    <definedName name="_2_0_S" hidden="1">[10]Sheet1!#REF!</definedName>
    <definedName name="_2_0토">'[11]설계명세서(선로)'!#REF!</definedName>
    <definedName name="_20">#N/A</definedName>
    <definedName name="_20___________________S" localSheetId="29" hidden="1">'[9]6PILE  (돌출)'!#REF!</definedName>
    <definedName name="_20___________________S" localSheetId="19" hidden="1">'[9]6PILE  (돌출)'!#REF!</definedName>
    <definedName name="_20___________________S" hidden="1">'[9]6PILE  (돌출)'!#REF!</definedName>
    <definedName name="_20_0_Dist_" localSheetId="29" hidden="1">[12]Sheet4!#REF!</definedName>
    <definedName name="_20_0_Dist_" localSheetId="19" hidden="1">[12]Sheet4!#REF!</definedName>
    <definedName name="_20_0_Dist_" hidden="1">[12]Sheet4!#REF!</definedName>
    <definedName name="_20G_0Extract">#REF!</definedName>
    <definedName name="_20P3_" localSheetId="13" hidden="1">{#N/A,#N/A,FALSE,"배수1"}</definedName>
    <definedName name="_20P3_" hidden="1">{#N/A,#N/A,FALSE,"배수1"}</definedName>
    <definedName name="_20P6_" localSheetId="13" hidden="1">{#N/A,#N/A,FALSE,"2~8번"}</definedName>
    <definedName name="_20P6_" hidden="1">{#N/A,#N/A,FALSE,"2~8번"}</definedName>
    <definedName name="_21">#N/A</definedName>
    <definedName name="_21_________________0_S" localSheetId="29" hidden="1">[10]Sheet1!#REF!</definedName>
    <definedName name="_21_________________0_S" localSheetId="19" hidden="1">[10]Sheet1!#REF!</definedName>
    <definedName name="_21_________________0_S" hidden="1">[10]Sheet1!#REF!</definedName>
    <definedName name="_21P3_" localSheetId="13" hidden="1">{#N/A,#N/A,FALSE,"배수1"}</definedName>
    <definedName name="_21P3_" hidden="1">{#N/A,#N/A,FALSE,"배수1"}</definedName>
    <definedName name="_21P5_" localSheetId="13" hidden="1">{#N/A,#N/A,FALSE,"배수1"}</definedName>
    <definedName name="_21P5_" hidden="1">{#N/A,#N/A,FALSE,"배수1"}</definedName>
    <definedName name="_21S3_" localSheetId="13" hidden="1">{#N/A,#N/A,FALSE,"포장2"}</definedName>
    <definedName name="_21S3_" hidden="1">{#N/A,#N/A,FALSE,"포장2"}</definedName>
    <definedName name="_22">#N/A</definedName>
    <definedName name="_22__________________S" localSheetId="29" hidden="1">'[9]6PILE  (돌출)'!#REF!</definedName>
    <definedName name="_22__________________S" localSheetId="19" hidden="1">'[9]6PILE  (돌출)'!#REF!</definedName>
    <definedName name="_22__________________S" hidden="1">'[9]6PILE  (돌출)'!#REF!</definedName>
    <definedName name="_22P4_" localSheetId="13" hidden="1">{#N/A,#N/A,FALSE,"혼합골재"}</definedName>
    <definedName name="_22P4_" hidden="1">{#N/A,#N/A,FALSE,"혼합골재"}</definedName>
    <definedName name="_22q45_" localSheetId="4">{"'용역비'!$A$4:$C$8"}</definedName>
    <definedName name="_22q45_" localSheetId="13">{"'용역비'!$A$4:$C$8"}</definedName>
    <definedName name="_22q45_" localSheetId="15">{"'용역비'!$A$4:$C$8"}</definedName>
    <definedName name="_22q45_">{"'용역비'!$A$4:$C$8"}</definedName>
    <definedName name="_23">#N/A</definedName>
    <definedName name="_23________________0_S" localSheetId="29" hidden="1">[10]Sheet1!#REF!</definedName>
    <definedName name="_23________________0_S" localSheetId="19" hidden="1">[10]Sheet1!#REF!</definedName>
    <definedName name="_23________________0_S" hidden="1">[10]Sheet1!#REF!</definedName>
    <definedName name="_23P5_" localSheetId="13" hidden="1">{#N/A,#N/A,FALSE,"배수1"}</definedName>
    <definedName name="_23P5_" hidden="1">{#N/A,#N/A,FALSE,"배수1"}</definedName>
    <definedName name="_23S3_" localSheetId="13" hidden="1">{#N/A,#N/A,FALSE,"포장2"}</definedName>
    <definedName name="_23S3_" hidden="1">{#N/A,#N/A,FALSE,"포장2"}</definedName>
    <definedName name="_24">#N/A</definedName>
    <definedName name="_24________________S" localSheetId="29" hidden="1">'[9]6PILE  (돌출)'!#REF!</definedName>
    <definedName name="_24________________S" localSheetId="19" hidden="1">'[9]6PILE  (돌출)'!#REF!</definedName>
    <definedName name="_24________________S" hidden="1">'[9]6PILE  (돌출)'!#REF!</definedName>
    <definedName name="_24_0_S" localSheetId="29" hidden="1">'[9]6PILE  (돌출)'!#REF!</definedName>
    <definedName name="_24_0_S" localSheetId="19" hidden="1">'[9]6PILE  (돌출)'!#REF!</definedName>
    <definedName name="_24_0_S" hidden="1">'[9]6PILE  (돌출)'!#REF!</definedName>
    <definedName name="_24P6_" localSheetId="13" hidden="1">{#N/A,#N/A,FALSE,"2~8번"}</definedName>
    <definedName name="_24P6_" hidden="1">{#N/A,#N/A,FALSE,"2~8번"}</definedName>
    <definedName name="_25">#N/A</definedName>
    <definedName name="_25______________0_S" localSheetId="29" hidden="1">[10]Sheet1!#REF!</definedName>
    <definedName name="_25______________0_S" localSheetId="19" hidden="1">[10]Sheet1!#REF!</definedName>
    <definedName name="_25______________0_S" hidden="1">[10]Sheet1!#REF!</definedName>
    <definedName name="_26">#N/A</definedName>
    <definedName name="_26_______________S" localSheetId="29" hidden="1">'[9]6PILE  (돌출)'!#REF!</definedName>
    <definedName name="_26_______________S" localSheetId="19" hidden="1">'[9]6PILE  (돌출)'!#REF!</definedName>
    <definedName name="_26_______________S" hidden="1">'[9]6PILE  (돌출)'!#REF!</definedName>
    <definedName name="_26S01_" localSheetId="29" hidden="1">#REF!</definedName>
    <definedName name="_26S01_" localSheetId="13" hidden="1">#REF!</definedName>
    <definedName name="_26S01_" localSheetId="19" hidden="1">#REF!</definedName>
    <definedName name="_26S01_" hidden="1">#REF!</definedName>
    <definedName name="_27">#N/A</definedName>
    <definedName name="_27_____________0_S" localSheetId="29" hidden="1">[10]Sheet1!#REF!</definedName>
    <definedName name="_27_____________0_S" localSheetId="19" hidden="1">[10]Sheet1!#REF!</definedName>
    <definedName name="_27_____________0_S" hidden="1">[10]Sheet1!#REF!</definedName>
    <definedName name="_27P4_" localSheetId="13" hidden="1">{#N/A,#N/A,FALSE,"혼합골재"}</definedName>
    <definedName name="_27P4_" hidden="1">{#N/A,#N/A,FALSE,"혼합골재"}</definedName>
    <definedName name="_27S01_" localSheetId="29" hidden="1">#REF!</definedName>
    <definedName name="_27S01_" localSheetId="13" hidden="1">#REF!</definedName>
    <definedName name="_27S01_" localSheetId="19" hidden="1">#REF!</definedName>
    <definedName name="_27S01_" hidden="1">#REF!</definedName>
    <definedName name="_28">#N/A</definedName>
    <definedName name="_28_____________S" localSheetId="29" hidden="1">'[9]6PILE  (돌출)'!#REF!</definedName>
    <definedName name="_28_____________S" localSheetId="19" hidden="1">'[9]6PILE  (돌출)'!#REF!</definedName>
    <definedName name="_28_____________S" hidden="1">'[9]6PILE  (돌출)'!#REF!</definedName>
    <definedName name="_28_0_0__123Grap" localSheetId="29" hidden="1">[13]유림골조!#REF!</definedName>
    <definedName name="_28_0_0__123Grap" localSheetId="19" hidden="1">[13]유림골조!#REF!</definedName>
    <definedName name="_28_0_0__123Grap" hidden="1">[13]유림골조!#REF!</definedName>
    <definedName name="_28_0_S" localSheetId="29" hidden="1">[10]Sheet1!#REF!</definedName>
    <definedName name="_28_0_S" localSheetId="19" hidden="1">[10]Sheet1!#REF!</definedName>
    <definedName name="_28_0_S" hidden="1">[10]Sheet1!#REF!</definedName>
    <definedName name="_28P6_" localSheetId="13" hidden="1">{#N/A,#N/A,FALSE,"2~8번"}</definedName>
    <definedName name="_28P6_" hidden="1">{#N/A,#N/A,FALSE,"2~8번"}</definedName>
    <definedName name="_28S01_" localSheetId="29" hidden="1">#REF!</definedName>
    <definedName name="_28S01_" localSheetId="13" hidden="1">#REF!</definedName>
    <definedName name="_28S01_" localSheetId="19" hidden="1">#REF!</definedName>
    <definedName name="_28S01_" hidden="1">#REF!</definedName>
    <definedName name="_29">#N/A</definedName>
    <definedName name="_29___________0_S" localSheetId="29" hidden="1">[10]Sheet1!#REF!</definedName>
    <definedName name="_29___________0_S" localSheetId="19" hidden="1">[10]Sheet1!#REF!</definedName>
    <definedName name="_29___________0_S" hidden="1">[10]Sheet1!#REF!</definedName>
    <definedName name="_29P3_" localSheetId="13" hidden="1">{#N/A,#N/A,FALSE,"배수1"}</definedName>
    <definedName name="_29P3_" hidden="1">{#N/A,#N/A,FALSE,"배수1"}</definedName>
    <definedName name="_2a32767_">#REF!</definedName>
    <definedName name="_2P4_" localSheetId="13" hidden="1">{#N/A,#N/A,FALSE,"혼합골재"}</definedName>
    <definedName name="_2P4_" hidden="1">{#N/A,#N/A,FALSE,"혼합골재"}</definedName>
    <definedName name="_2S" localSheetId="29" hidden="1">#REF!</definedName>
    <definedName name="_2S" localSheetId="13" hidden="1">#REF!</definedName>
    <definedName name="_2S" localSheetId="19" hidden="1">#REF!</definedName>
    <definedName name="_2S" hidden="1">#REF!</definedName>
    <definedName name="_2공장">#REF!</definedName>
    <definedName name="_2단">#REF!</definedName>
    <definedName name="_2일관">#REF!</definedName>
    <definedName name="_2투자집계표___콤마_INQUIRY_영업추진___콤마_M105CDT__¯_콤마_M107CDT__b____ဠ_坠¯⣈「_¯⣈「____________㪌¯_¯__埤¯2___斬¯" hidden="1">FALSE</definedName>
    <definedName name="_3">#REF!</definedName>
    <definedName name="_3___________________________0_S" localSheetId="29" hidden="1">[10]Sheet1!#REF!</definedName>
    <definedName name="_3___________________________0_S" localSheetId="19" hidden="1">[10]Sheet1!#REF!</definedName>
    <definedName name="_3___________________________0_S" hidden="1">[10]Sheet1!#REF!</definedName>
    <definedName name="_3___0토" localSheetId="29">'[14]설계명세서(선로)'!#REF!</definedName>
    <definedName name="_3___0토" localSheetId="34">'[14]설계명세서(선로)'!#REF!</definedName>
    <definedName name="_3___0토" localSheetId="35">'[14]설계명세서(선로)'!#REF!</definedName>
    <definedName name="_3___0토" localSheetId="36">'[14]설계명세서(선로)'!#REF!</definedName>
    <definedName name="_3___0토" localSheetId="37">'[14]설계명세서(선로)'!#REF!</definedName>
    <definedName name="_3___0토" localSheetId="19">'[14]설계명세서(선로)'!#REF!</definedName>
    <definedName name="_3___0토">'[14]설계명세서(선로)'!#REF!</definedName>
    <definedName name="_3_0토">#REF!</definedName>
    <definedName name="_30">#N/A</definedName>
    <definedName name="_30___________S" localSheetId="29" hidden="1">'[9]6PILE  (돌출)'!#REF!</definedName>
    <definedName name="_30___________S" localSheetId="19" hidden="1">'[9]6PILE  (돌출)'!#REF!</definedName>
    <definedName name="_30___________S" hidden="1">'[9]6PILE  (돌출)'!#REF!</definedName>
    <definedName name="_30S3_" localSheetId="13" hidden="1">{#N/A,#N/A,FALSE,"포장2"}</definedName>
    <definedName name="_30S3_" hidden="1">{#N/A,#N/A,FALSE,"포장2"}</definedName>
    <definedName name="_31">#N/A</definedName>
    <definedName name="_31_________0_S" localSheetId="29" hidden="1">[10]Sheet1!#REF!</definedName>
    <definedName name="_31_________0_S" localSheetId="19" hidden="1">[10]Sheet1!#REF!</definedName>
    <definedName name="_31_________0_S" hidden="1">[10]Sheet1!#REF!</definedName>
    <definedName name="_32">#N/A</definedName>
    <definedName name="_32__________S" localSheetId="29" hidden="1">'[9]6PILE  (돌출)'!#REF!</definedName>
    <definedName name="_32__________S" localSheetId="19" hidden="1">'[9]6PILE  (돌출)'!#REF!</definedName>
    <definedName name="_32__________S" hidden="1">'[9]6PILE  (돌출)'!#REF!</definedName>
    <definedName name="_32_0_0_F" localSheetId="29" hidden="1">[12]Sheet4!#REF!</definedName>
    <definedName name="_32_0_0_F" localSheetId="19" hidden="1">[12]Sheet4!#REF!</definedName>
    <definedName name="_32_0_0_F" hidden="1">[12]Sheet4!#REF!</definedName>
    <definedName name="_32q45_" localSheetId="13" hidden="1">{"'용역비'!$A$4:$C$8"}</definedName>
    <definedName name="_32q45_" localSheetId="15" hidden="1">{"'용역비'!$A$4:$C$8"}</definedName>
    <definedName name="_32q45_" hidden="1">{"'용역비'!$A$4:$C$8"}</definedName>
    <definedName name="_33">#N/A</definedName>
    <definedName name="_33________0_S" localSheetId="29" hidden="1">[10]Sheet1!#REF!</definedName>
    <definedName name="_33________0_S" localSheetId="19" hidden="1">[10]Sheet1!#REF!</definedName>
    <definedName name="_33________0_S" hidden="1">[10]Sheet1!#REF!</definedName>
    <definedName name="_34">#N/A</definedName>
    <definedName name="_34_________S" localSheetId="29" hidden="1">'[9]6PILE  (돌출)'!#REF!</definedName>
    <definedName name="_34_________S" localSheetId="19" hidden="1">'[9]6PILE  (돌출)'!#REF!</definedName>
    <definedName name="_34_________S" hidden="1">'[9]6PILE  (돌출)'!#REF!</definedName>
    <definedName name="_34P5_" localSheetId="13" hidden="1">{#N/A,#N/A,FALSE,"배수1"}</definedName>
    <definedName name="_34P5_" hidden="1">{#N/A,#N/A,FALSE,"배수1"}</definedName>
    <definedName name="_35">#N/A</definedName>
    <definedName name="_35_______0_S" localSheetId="29" hidden="1">[10]Sheet1!#REF!</definedName>
    <definedName name="_35_______0_S" localSheetId="19" hidden="1">[10]Sheet1!#REF!</definedName>
    <definedName name="_35_______0_S" hidden="1">[10]Sheet1!#REF!</definedName>
    <definedName name="_35S3_" localSheetId="13" hidden="1">{#N/A,#N/A,FALSE,"포장2"}</definedName>
    <definedName name="_35S3_" hidden="1">{#N/A,#N/A,FALSE,"포장2"}</definedName>
    <definedName name="_36">#N/A</definedName>
    <definedName name="_36_______S" localSheetId="29" hidden="1">'[9]6PILE  (돌출)'!#REF!</definedName>
    <definedName name="_36_______S" localSheetId="19" hidden="1">'[9]6PILE  (돌출)'!#REF!</definedName>
    <definedName name="_36_______S" hidden="1">'[9]6PILE  (돌출)'!#REF!</definedName>
    <definedName name="_36_0_0코아공" localSheetId="29" hidden="1">[15]공통비총괄표!#REF!</definedName>
    <definedName name="_36_0_0코아공" localSheetId="19" hidden="1">[15]공통비총괄표!#REF!</definedName>
    <definedName name="_36_0_0코아공" hidden="1">[15]공통비총괄표!#REF!</definedName>
    <definedName name="_36q45_" localSheetId="13" hidden="1">{"'용역비'!$A$4:$C$8"}</definedName>
    <definedName name="_36q45_" localSheetId="15" hidden="1">{"'용역비'!$A$4:$C$8"}</definedName>
    <definedName name="_36q45_" hidden="1">{"'용역비'!$A$4:$C$8"}</definedName>
    <definedName name="_37">#N/A</definedName>
    <definedName name="_37_____0_S" localSheetId="29" hidden="1">[10]Sheet1!#REF!</definedName>
    <definedName name="_37_____0_S" localSheetId="19" hidden="1">[10]Sheet1!#REF!</definedName>
    <definedName name="_37_____0_S" hidden="1">[10]Sheet1!#REF!</definedName>
    <definedName name="_38">#N/A</definedName>
    <definedName name="_38_____S" localSheetId="29" hidden="1">'[9]6PILE  (돌출)'!#REF!</definedName>
    <definedName name="_38_____S" localSheetId="19" hidden="1">'[9]6PILE  (돌출)'!#REF!</definedName>
    <definedName name="_38_____S" hidden="1">'[9]6PILE  (돌출)'!#REF!</definedName>
    <definedName name="_39">#N/A</definedName>
    <definedName name="_39___0_S" localSheetId="29" hidden="1">[10]Sheet1!#REF!</definedName>
    <definedName name="_39___0_S" localSheetId="19" hidden="1">[10]Sheet1!#REF!</definedName>
    <definedName name="_39___0_S" hidden="1">[10]Sheet1!#REF!</definedName>
    <definedName name="_39P3_" localSheetId="13" hidden="1">{#N/A,#N/A,FALSE,"배수1"}</definedName>
    <definedName name="_39P3_" hidden="1">{#N/A,#N/A,FALSE,"배수1"}</definedName>
    <definedName name="_3P3_" localSheetId="13" hidden="1">{#N/A,#N/A,FALSE,"배수1"}</definedName>
    <definedName name="_3P3_" hidden="1">{#N/A,#N/A,FALSE,"배수1"}</definedName>
    <definedName name="_3P5_" localSheetId="13" hidden="1">{#N/A,#N/A,FALSE,"배수1"}</definedName>
    <definedName name="_3P5_" hidden="1">{#N/A,#N/A,FALSE,"배수1"}</definedName>
    <definedName name="_3q45_" localSheetId="4">{"'용역비'!$A$4:$C$8"}</definedName>
    <definedName name="_3q45_" localSheetId="13" hidden="1">{"'용역비'!$A$4:$C$8"}</definedName>
    <definedName name="_3q45_" localSheetId="15">{"'용역비'!$A$4:$C$8"}</definedName>
    <definedName name="_3q45_">{"'용역비'!$A$4:$C$8"}</definedName>
    <definedName name="_3공장">#REF!</definedName>
    <definedName name="_3단">#REF!</definedName>
    <definedName name="_3토">#REF!</definedName>
    <definedName name="_4">#N/A</definedName>
    <definedName name="_4____________________________S" localSheetId="29" hidden="1">'[9]6PILE  (돌출)'!#REF!</definedName>
    <definedName name="_4____________________________S" localSheetId="19" hidden="1">'[9]6PILE  (돌출)'!#REF!</definedName>
    <definedName name="_4____________________________S" hidden="1">'[9]6PILE  (돌출)'!#REF!</definedName>
    <definedName name="_4__123Graph_AChart_1A" localSheetId="29" hidden="1">'[2]Eq. Mobilization'!#REF!</definedName>
    <definedName name="_4__123Graph_AChart_1A" localSheetId="19" hidden="1">'[2]Eq. Mobilization'!#REF!</definedName>
    <definedName name="_4__123Graph_AChart_1A" hidden="1">'[2]Eq. Mobilization'!#REF!</definedName>
    <definedName name="_4_0토" localSheetId="29">#REF!</definedName>
    <definedName name="_4_0토" localSheetId="34">#REF!</definedName>
    <definedName name="_4_0토" localSheetId="35">#REF!</definedName>
    <definedName name="_4_0토" localSheetId="36">#REF!</definedName>
    <definedName name="_4_0토" localSheetId="37">#REF!</definedName>
    <definedName name="_4_0토" localSheetId="19">#REF!</definedName>
    <definedName name="_4_0토">#REF!</definedName>
    <definedName name="_4_3_0Crite">#REF!</definedName>
    <definedName name="_40">#N/A</definedName>
    <definedName name="_40_0공통비" localSheetId="29" hidden="1">[15]공통비총괄표!#REF!</definedName>
    <definedName name="_40_0공통비" localSheetId="19" hidden="1">[15]공통비총괄표!#REF!</definedName>
    <definedName name="_40_0공통비" hidden="1">[15]공통비총괄표!#REF!</definedName>
    <definedName name="_40P4_" localSheetId="13" hidden="1">{#N/A,#N/A,FALSE,"혼합골재"}</definedName>
    <definedName name="_40P4_" hidden="1">{#N/A,#N/A,FALSE,"혼합골재"}</definedName>
    <definedName name="_40S" localSheetId="29" hidden="1">'[9]6PILE  (돌출)'!#REF!</definedName>
    <definedName name="_40S" localSheetId="19" hidden="1">'[9]6PILE  (돌출)'!#REF!</definedName>
    <definedName name="_40S" hidden="1">'[9]6PILE  (돌출)'!#REF!</definedName>
    <definedName name="_40투자집계표_0_콤마_INQUIRY_영업추진_0_콤마_M105CDT_0¯_콤마_M107CDT_0b____ဠ0坠¯⣈「_¯⣈「000000000000㪌¯_¯__埤¯2000斬¯00" hidden="1">FALSE</definedName>
    <definedName name="_41">#N/A</definedName>
    <definedName name="_41341ㅅㅈ4ㅎㄷㅎ">#REF!</definedName>
    <definedName name="_41P6_" localSheetId="13" hidden="1">{#N/A,#N/A,FALSE,"2~8번"}</definedName>
    <definedName name="_41P6_" hidden="1">{#N/A,#N/A,FALSE,"2~8번"}</definedName>
    <definedName name="_41투자집계표___콤마_INQUIRY_영업추진___콤마_M105CDT__¯_콤마_M107CDT__b____ဠ_坠¯⣈「_¯⣈「____________㪌¯_¯__埤¯2___斬¯" hidden="1">FALSE</definedName>
    <definedName name="_42">#N/A</definedName>
    <definedName name="_43">#N/A</definedName>
    <definedName name="_43투자집계표_0_콤마_INQUIRY_영업추진_0_콤마_M105CDT_0¯_콤마_M107CDT_0b____ဠ0坠¯⣈「_¯⣈「000000000000㪌¯_¯__埤¯2000斬¯00" hidden="1">FALSE</definedName>
    <definedName name="_44">#N/A</definedName>
    <definedName name="_44_0_S" localSheetId="29" hidden="1">[10]Sheet1!#REF!</definedName>
    <definedName name="_44_0_S" localSheetId="19" hidden="1">[10]Sheet1!#REF!</definedName>
    <definedName name="_44_0_S" hidden="1">[10]Sheet1!#REF!</definedName>
    <definedName name="_44_0현대코아공" localSheetId="29" hidden="1">[15]공통비총괄표!#REF!</definedName>
    <definedName name="_44_0현대코아공" localSheetId="19" hidden="1">[15]공통비총괄표!#REF!</definedName>
    <definedName name="_44_0현대코아공" hidden="1">[15]공통비총괄표!#REF!</definedName>
    <definedName name="_44투자집계표___콤마_INQUIRY_영업추진___콤마_M105CDT__¯_콤마_M107CDT__b____ဠ_坠¯⣈「_¯⣈「____________㪌¯_¯__埤¯2___斬¯" hidden="1">FALSE</definedName>
    <definedName name="_45">#N/A</definedName>
    <definedName name="_46">#N/A</definedName>
    <definedName name="_46K123_" localSheetId="13" hidden="1">{#N/A,#N/A,FALSE,"현장 NCR 분석";#N/A,#N/A,FALSE,"현장품질감사";#N/A,#N/A,FALSE,"현장품질감사"}</definedName>
    <definedName name="_46K123_" hidden="1">{#N/A,#N/A,FALSE,"현장 NCR 분석";#N/A,#N/A,FALSE,"현장품질감사";#N/A,#N/A,FALSE,"현장품질감사"}</definedName>
    <definedName name="_47">#N/A</definedName>
    <definedName name="_48">#N/A</definedName>
    <definedName name="_48S3_" localSheetId="13" hidden="1">{#N/A,#N/A,FALSE,"포장2"}</definedName>
    <definedName name="_48S3_" hidden="1">{#N/A,#N/A,FALSE,"포장2"}</definedName>
    <definedName name="_49">#N/A</definedName>
    <definedName name="_4a32767_">#REF!</definedName>
    <definedName name="_4P3_" localSheetId="13" hidden="1">{#N/A,#N/A,FALSE,"배수1"}</definedName>
    <definedName name="_4P3_" hidden="1">{#N/A,#N/A,FALSE,"배수1"}</definedName>
    <definedName name="_4P4_" localSheetId="13" hidden="1">{#N/A,#N/A,FALSE,"혼합골재"}</definedName>
    <definedName name="_4P4_" hidden="1">{#N/A,#N/A,FALSE,"혼합골재"}</definedName>
    <definedName name="_4P6_" localSheetId="13" hidden="1">{#N/A,#N/A,FALSE,"2~8번"}</definedName>
    <definedName name="_4P6_" hidden="1">{#N/A,#N/A,FALSE,"2~8번"}</definedName>
    <definedName name="_4q45_" localSheetId="13" hidden="1">{"'용역비'!$A$4:$C$8"}</definedName>
    <definedName name="_4q45_" localSheetId="15" hidden="1">{"'용역비'!$A$4:$C$8"}</definedName>
    <definedName name="_4q45_" hidden="1">{"'용역비'!$A$4:$C$8"}</definedName>
    <definedName name="_4토">#REF!</definedName>
    <definedName name="_5">#N/A</definedName>
    <definedName name="_5__________________________0_S" localSheetId="29" hidden="1">[10]Sheet1!#REF!</definedName>
    <definedName name="_5__________________________0_S" localSheetId="19" hidden="1">[10]Sheet1!#REF!</definedName>
    <definedName name="_5__________________________0_S" hidden="1">[10]Sheet1!#REF!</definedName>
    <definedName name="_5_3_0Crite">#REF!</definedName>
    <definedName name="_5_3_0Criteria">#REF!</definedName>
    <definedName name="_50">#N/A</definedName>
    <definedName name="_50P4_" localSheetId="13" hidden="1">{#N/A,#N/A,FALSE,"혼합골재"}</definedName>
    <definedName name="_50P4_" hidden="1">{#N/A,#N/A,FALSE,"혼합골재"}</definedName>
    <definedName name="_51">#N/A</definedName>
    <definedName name="_51P5_" localSheetId="13" hidden="1">{#N/A,#N/A,FALSE,"배수1"}</definedName>
    <definedName name="_51P5_" hidden="1">{#N/A,#N/A,FALSE,"배수1"}</definedName>
    <definedName name="_52">#N/A</definedName>
    <definedName name="_53">#N/A</definedName>
    <definedName name="_53q45_" localSheetId="13" hidden="1">{"'용역비'!$A$4:$C$8"}</definedName>
    <definedName name="_53q45_" localSheetId="15" hidden="1">{"'용역비'!$A$4:$C$8"}</definedName>
    <definedName name="_53q45_" hidden="1">{"'용역비'!$A$4:$C$8"}</definedName>
    <definedName name="_54">#N/A</definedName>
    <definedName name="_55">#N/A</definedName>
    <definedName name="_56">#N/A</definedName>
    <definedName name="_57">#N/A</definedName>
    <definedName name="_58">#N/A</definedName>
    <definedName name="_59">#N/A</definedName>
    <definedName name="_5a32767_">#REF!</definedName>
    <definedName name="_5C">#REF!</definedName>
    <definedName name="_5C_SS">#REF!</definedName>
    <definedName name="_5P3_" localSheetId="13" hidden="1">{#N/A,#N/A,FALSE,"배수1"}</definedName>
    <definedName name="_5P3_" hidden="1">{#N/A,#N/A,FALSE,"배수1"}</definedName>
    <definedName name="_5P5_" localSheetId="13" hidden="1">{#N/A,#N/A,FALSE,"배수1"}</definedName>
    <definedName name="_5P5_" hidden="1">{#N/A,#N/A,FALSE,"배수1"}</definedName>
    <definedName name="_5q45_" localSheetId="34" hidden="1">{"'용역비'!$A$4:$C$8"}</definedName>
    <definedName name="_5q45_" localSheetId="35" hidden="1">{"'용역비'!$A$4:$C$8"}</definedName>
    <definedName name="_5q45_" localSheetId="36" hidden="1">{"'용역비'!$A$4:$C$8"}</definedName>
    <definedName name="_5q45_" localSheetId="37" hidden="1">{"'용역비'!$A$4:$C$8"}</definedName>
    <definedName name="_5q45_" localSheetId="13" hidden="1">{"'용역비'!$A$4:$C$8"}</definedName>
    <definedName name="_5q45_" localSheetId="15" hidden="1">{"'용역비'!$A$4:$C$8"}</definedName>
    <definedName name="_5q45_" hidden="1">{"'용역비'!$A$4:$C$8"}</definedName>
    <definedName name="_5S3_" localSheetId="13" hidden="1">{#N/A,#N/A,FALSE,"포장2"}</definedName>
    <definedName name="_5S3_" hidden="1">{#N/A,#N/A,FALSE,"포장2"}</definedName>
    <definedName name="_6">#N/A</definedName>
    <definedName name="_6___________________________S" localSheetId="29" hidden="1">'[9]6PILE  (돌출)'!#REF!</definedName>
    <definedName name="_6___________________________S" localSheetId="19" hidden="1">'[9]6PILE  (돌출)'!#REF!</definedName>
    <definedName name="_6___________________________S" hidden="1">'[9]6PILE  (돌출)'!#REF!</definedName>
    <definedName name="_6_3_0Criteria">#REF!</definedName>
    <definedName name="_60">#N/A</definedName>
    <definedName name="_61">#N/A</definedName>
    <definedName name="_61P5_" localSheetId="13" hidden="1">{#N/A,#N/A,FALSE,"배수1"}</definedName>
    <definedName name="_61P5_" hidden="1">{#N/A,#N/A,FALSE,"배수1"}</definedName>
    <definedName name="_62">#N/A</definedName>
    <definedName name="_62P6_" localSheetId="13" hidden="1">{#N/A,#N/A,FALSE,"2~8번"}</definedName>
    <definedName name="_62P6_" hidden="1">{#N/A,#N/A,FALSE,"2~8번"}</definedName>
    <definedName name="_63">#N/A</definedName>
    <definedName name="_64">#N/A</definedName>
    <definedName name="_65">#N/A</definedName>
    <definedName name="_66">#N/A</definedName>
    <definedName name="_67">#N/A</definedName>
    <definedName name="_68">#N/A</definedName>
    <definedName name="_69">#N/A</definedName>
    <definedName name="_6P4_" localSheetId="13" hidden="1">{#N/A,#N/A,FALSE,"혼합골재"}</definedName>
    <definedName name="_6P4_" hidden="1">{#N/A,#N/A,FALSE,"혼합골재"}</definedName>
    <definedName name="_6P6_" localSheetId="13" hidden="1">{#N/A,#N/A,FALSE,"2~8번"}</definedName>
    <definedName name="_6P6_" hidden="1">{#N/A,#N/A,FALSE,"2~8번"}</definedName>
    <definedName name="_6단">#REF!</definedName>
    <definedName name="_7">#N/A</definedName>
    <definedName name="_7_________________________0_S" localSheetId="29" hidden="1">[10]Sheet1!#REF!</definedName>
    <definedName name="_7_________________________0_S" localSheetId="19" hidden="1">[10]Sheet1!#REF!</definedName>
    <definedName name="_7_________________________0_S" hidden="1">[10]Sheet1!#REF!</definedName>
    <definedName name="_70">#N/A</definedName>
    <definedName name="_70P3_" localSheetId="13" hidden="1">{#N/A,#N/A,FALSE,"배수1"}</definedName>
    <definedName name="_70P3_" hidden="1">{#N/A,#N/A,FALSE,"배수1"}</definedName>
    <definedName name="_71">#N/A</definedName>
    <definedName name="_72">#N/A</definedName>
    <definedName name="_72P4_" localSheetId="13" hidden="1">{#N/A,#N/A,FALSE,"혼합골재"}</definedName>
    <definedName name="_72P4_" hidden="1">{#N/A,#N/A,FALSE,"혼합골재"}</definedName>
    <definedName name="_72P6_" localSheetId="13" hidden="1">{#N/A,#N/A,FALSE,"2~8번"}</definedName>
    <definedName name="_72P6_" hidden="1">{#N/A,#N/A,FALSE,"2~8번"}</definedName>
    <definedName name="_73">#N/A</definedName>
    <definedName name="_73S3_" localSheetId="13" hidden="1">{#N/A,#N/A,FALSE,"포장2"}</definedName>
    <definedName name="_73S3_" hidden="1">{#N/A,#N/A,FALSE,"포장2"}</definedName>
    <definedName name="_74">#N/A</definedName>
    <definedName name="_74P5_" localSheetId="13" hidden="1">{#N/A,#N/A,FALSE,"배수1"}</definedName>
    <definedName name="_74P5_" hidden="1">{#N/A,#N/A,FALSE,"배수1"}</definedName>
    <definedName name="_75">#N/A</definedName>
    <definedName name="_76">#N/A</definedName>
    <definedName name="_76P6_" localSheetId="13" hidden="1">{#N/A,#N/A,FALSE,"2~8번"}</definedName>
    <definedName name="_76P6_" hidden="1">{#N/A,#N/A,FALSE,"2~8번"}</definedName>
    <definedName name="_77">#N/A</definedName>
    <definedName name="_78">#N/A</definedName>
    <definedName name="_79">#N/A</definedName>
    <definedName name="_7C">#REF!</definedName>
    <definedName name="_7C_SS">#REF!</definedName>
    <definedName name="_7P3_" localSheetId="13" hidden="1">{#N/A,#N/A,FALSE,"배수1"}</definedName>
    <definedName name="_7P3_" hidden="1">{#N/A,#N/A,FALSE,"배수1"}</definedName>
    <definedName name="_7q45_" localSheetId="4">{"'용역비'!$A$4:$C$8"}</definedName>
    <definedName name="_7q45_" localSheetId="13">{"'용역비'!$A$4:$C$8"}</definedName>
    <definedName name="_7q45_" localSheetId="15">{"'용역비'!$A$4:$C$8"}</definedName>
    <definedName name="_7q45_">{"'용역비'!$A$4:$C$8"}</definedName>
    <definedName name="_7S3_" localSheetId="13" hidden="1">{#N/A,#N/A,FALSE,"포장2"}</definedName>
    <definedName name="_7S3_" hidden="1">{#N/A,#N/A,FALSE,"포장2"}</definedName>
    <definedName name="_8">#N/A</definedName>
    <definedName name="_8__________________________S" localSheetId="29" hidden="1">'[9]6PILE  (돌출)'!#REF!</definedName>
    <definedName name="_8__________________________S" localSheetId="19" hidden="1">'[9]6PILE  (돌출)'!#REF!</definedName>
    <definedName name="_8__________________________S" hidden="1">'[9]6PILE  (돌출)'!#REF!</definedName>
    <definedName name="_8__123Graph_BChart_1A" localSheetId="29" hidden="1">'[2]Eq. Mobilization'!#REF!</definedName>
    <definedName name="_8__123Graph_BChart_1A" localSheetId="19" hidden="1">'[2]Eq. Mobilization'!#REF!</definedName>
    <definedName name="_8__123Graph_BChart_1A" hidden="1">'[2]Eq. Mobilization'!#REF!</definedName>
    <definedName name="_8_0_S" localSheetId="29" hidden="1">[10]Sheet1!#REF!</definedName>
    <definedName name="_8_0_S" localSheetId="19" hidden="1">[10]Sheet1!#REF!</definedName>
    <definedName name="_8_0_S" hidden="1">[10]Sheet1!#REF!</definedName>
    <definedName name="_8_투자집계표_0_콤마_INQUIRY_영업추진_0_콤마_M105CDT_0¯_콤마_M107CDT_0b____ဠ0坠¯⣈「_¯⣈「000000000000㪌¯_¯__埤¯2000斬¯00" hidden="1">FALSE</definedName>
    <definedName name="_80">#N/A</definedName>
    <definedName name="_81">#N/A</definedName>
    <definedName name="_81S3_" localSheetId="13" hidden="1">{#N/A,#N/A,FALSE,"포장2"}</definedName>
    <definedName name="_81S3_" hidden="1">{#N/A,#N/A,FALSE,"포장2"}</definedName>
    <definedName name="_82">#N/A</definedName>
    <definedName name="_83">#N/A</definedName>
    <definedName name="_83S3_" localSheetId="13" hidden="1">{#N/A,#N/A,FALSE,"포장2"}</definedName>
    <definedName name="_83S3_" hidden="1">{#N/A,#N/A,FALSE,"포장2"}</definedName>
    <definedName name="_84">#N/A</definedName>
    <definedName name="_85">#N/A</definedName>
    <definedName name="_86">#N/A</definedName>
    <definedName name="_87">#N/A</definedName>
    <definedName name="_88">#N/A</definedName>
    <definedName name="_89">#N/A</definedName>
    <definedName name="_8P4_" localSheetId="13" hidden="1">{#N/A,#N/A,FALSE,"혼합골재"}</definedName>
    <definedName name="_8P4_" hidden="1">{#N/A,#N/A,FALSE,"혼합골재"}</definedName>
    <definedName name="_8P5_" localSheetId="13" hidden="1">{#N/A,#N/A,FALSE,"배수1"}</definedName>
    <definedName name="_8P5_" hidden="1">{#N/A,#N/A,FALSE,"배수1"}</definedName>
    <definedName name="_8q45_" localSheetId="4" hidden="1">{"'용역비'!$A$4:$C$8"}</definedName>
    <definedName name="_8q45_" localSheetId="13" hidden="1">{"'용역비'!$A$4:$C$8"}</definedName>
    <definedName name="_8q45_" localSheetId="15" hidden="1">{"'용역비'!$A$4:$C$8"}</definedName>
    <definedName name="_8q45_" hidden="1">{"'용역비'!$A$4:$C$8"}</definedName>
    <definedName name="_8S" localSheetId="29" hidden="1">'[9]6PILE  (돌출)'!#REF!</definedName>
    <definedName name="_8S" localSheetId="19" hidden="1">'[9]6PILE  (돌출)'!#REF!</definedName>
    <definedName name="_8S" hidden="1">'[9]6PILE  (돌출)'!#REF!</definedName>
    <definedName name="_8단">#REF!</definedName>
    <definedName name="_8투자집계표_0_콤마_INQUIRY_영업추진_0_콤마_M105CDT_0¯_콤마_M107CDT_0b____ဠ0坠¯⣈「_¯⣈「000000000000㪌¯_¯__埤¯2000斬¯00" hidden="1">FALSE</definedName>
    <definedName name="_9">#N/A</definedName>
    <definedName name="_9________________________0_S" localSheetId="29" hidden="1">[10]Sheet1!#REF!</definedName>
    <definedName name="_9________________________0_S" localSheetId="19" hidden="1">[10]Sheet1!#REF!</definedName>
    <definedName name="_9________________________0_S" hidden="1">[10]Sheet1!#REF!</definedName>
    <definedName name="_9_0_S" localSheetId="29" hidden="1">'[9]6PILE  (돌출)'!#REF!</definedName>
    <definedName name="_9_0_S" localSheetId="19" hidden="1">'[9]6PILE  (돌출)'!#REF!</definedName>
    <definedName name="_9_0_S" hidden="1">'[9]6PILE  (돌출)'!#REF!</definedName>
    <definedName name="_9_투자집계표___콤마_INQUIRY_영업추진___콤마_M105CDT__¯_콤마_M107CDT__b____ဠ_坠¯⣈「_¯⣈「____________㪌¯_¯__埤¯2___斬¯" hidden="1">FALSE</definedName>
    <definedName name="_90">#N/A</definedName>
    <definedName name="_90_ADTER">#REF!</definedName>
    <definedName name="_91">#N/A</definedName>
    <definedName name="_92">#N/A</definedName>
    <definedName name="_93">#N/A</definedName>
    <definedName name="_9306">#REF!</definedName>
    <definedName name="_9307">#REF!</definedName>
    <definedName name="_93081">#REF!</definedName>
    <definedName name="_93082">#REF!</definedName>
    <definedName name="_9309">#REF!</definedName>
    <definedName name="_9310">#REF!</definedName>
    <definedName name="_9311">#REF!</definedName>
    <definedName name="_93121">#REF!</definedName>
    <definedName name="_93122">#REF!</definedName>
    <definedName name="_94">#N/A</definedName>
    <definedName name="_9401">#REF!</definedName>
    <definedName name="_9402">#REF!</definedName>
    <definedName name="_9403">#REF!</definedName>
    <definedName name="_9404">#REF!</definedName>
    <definedName name="_9405">#REF!</definedName>
    <definedName name="_9406">#REF!</definedName>
    <definedName name="_94071">#REF!</definedName>
    <definedName name="_94072">#REF!</definedName>
    <definedName name="_9408">#REF!</definedName>
    <definedName name="_9409">#REF!</definedName>
    <definedName name="_9410">#REF!</definedName>
    <definedName name="_9411">#REF!</definedName>
    <definedName name="_94121">#REF!</definedName>
    <definedName name="_94122">#REF!</definedName>
    <definedName name="_95">#N/A</definedName>
    <definedName name="_9501">#REF!</definedName>
    <definedName name="_96">#N/A</definedName>
    <definedName name="_97">#N/A</definedName>
    <definedName name="_98">#N/A</definedName>
    <definedName name="_99">#N/A</definedName>
    <definedName name="_9q45_" localSheetId="13" hidden="1">{"'용역비'!$A$4:$C$8"}</definedName>
    <definedName name="_9q45_" localSheetId="15" hidden="1">{"'용역비'!$A$4:$C$8"}</definedName>
    <definedName name="_9q45_" hidden="1">{"'용역비'!$A$4:$C$8"}</definedName>
    <definedName name="_9S" localSheetId="29" hidden="1">'[9]6PILE  (돌출)'!#REF!</definedName>
    <definedName name="_9S" localSheetId="19" hidden="1">'[9]6PILE  (돌출)'!#REF!</definedName>
    <definedName name="_9S" hidden="1">'[9]6PILE  (돌출)'!#REF!</definedName>
    <definedName name="_9투자집계표___콤마_INQUIRY_영업추진___콤마_M105CDT__¯_콤마_M107CDT__b____ဠ_坠¯⣈「_¯⣈「____________㪌¯_¯__埤¯2___斬¯" hidden="1">FALSE</definedName>
    <definedName name="_A">#REF!</definedName>
    <definedName name="_A01">#REF!</definedName>
    <definedName name="_A02">#REF!</definedName>
    <definedName name="_A03">#REF!</definedName>
    <definedName name="_A04">#REF!</definedName>
    <definedName name="_A05">#REF!</definedName>
    <definedName name="_A1">#REF!</definedName>
    <definedName name="_A2">#REF!</definedName>
    <definedName name="_A3">#REF!</definedName>
    <definedName name="_a32767">#REF!</definedName>
    <definedName name="_A4">#REF!</definedName>
    <definedName name="_A5">#REF!</definedName>
    <definedName name="_A6">#REF!</definedName>
    <definedName name="_A7">#REF!</definedName>
    <definedName name="_A8">#REF!</definedName>
    <definedName name="_A99999">#REF!</definedName>
    <definedName name="_AAA1">#REF!</definedName>
    <definedName name="_AAA2">#REF!</definedName>
    <definedName name="_AMI1">[16]기별!#REF!</definedName>
    <definedName name="_AMI2">[16]기별!#REF!</definedName>
    <definedName name="_arm1">[17]설계명세서!#REF!</definedName>
    <definedName name="_arm2">[18]설계명세서!#REF!</definedName>
    <definedName name="_arm3">[17]설계명세서!#REF!</definedName>
    <definedName name="_ATP9">[19]아파트기별!$AL$52</definedName>
    <definedName name="_B02">#REF!</definedName>
    <definedName name="_b03">#REF!</definedName>
    <definedName name="_b05">#REF!</definedName>
    <definedName name="_b06">#REF!</definedName>
    <definedName name="_b07">#REF!</definedName>
    <definedName name="_b08">#REF!</definedName>
    <definedName name="_B10">#REF!</definedName>
    <definedName name="_B11">#REF!</definedName>
    <definedName name="_b12">#REF!</definedName>
    <definedName name="_b13">#REF!</definedName>
    <definedName name="_B14">#REF!</definedName>
    <definedName name="_b15">#REF!</definedName>
    <definedName name="_b17">#REF!</definedName>
    <definedName name="_b18">#REF!</definedName>
    <definedName name="_b19">#REF!</definedName>
    <definedName name="_B20">#REF!</definedName>
    <definedName name="_B21">#REF!</definedName>
    <definedName name="_B23">#REF!</definedName>
    <definedName name="_B24">#REF!</definedName>
    <definedName name="_B25">#REF!</definedName>
    <definedName name="_B37">#REF!</definedName>
    <definedName name="_B38">#REF!</definedName>
    <definedName name="_C01">#REF!</definedName>
    <definedName name="_c02">#REF!</definedName>
    <definedName name="_CAB1">[16]기별!#REF!</definedName>
    <definedName name="_CAB2">[16]기별!#REF!</definedName>
    <definedName name="_cbl2">#REF!</definedName>
    <definedName name="_cbl3">#REF!</definedName>
    <definedName name="_cbl4">#REF!</definedName>
    <definedName name="_cbl5">#REF!</definedName>
    <definedName name="_CPU466">#REF!</definedName>
    <definedName name="_CPU500">#REF!</definedName>
    <definedName name="_CRI7">[19]아파트기별!$AN$52</definedName>
    <definedName name="_CSU1">#REF!</definedName>
    <definedName name="_CSU2">#REF!</definedName>
    <definedName name="_CSU3">#REF!</definedName>
    <definedName name="_D01">#REF!</definedName>
    <definedName name="_D02">#REF!</definedName>
    <definedName name="_DAN1">#REF!</definedName>
    <definedName name="_DAN10">#REF!</definedName>
    <definedName name="_DAN100">#REF!</definedName>
    <definedName name="_DAN101">#REF!</definedName>
    <definedName name="_DAN102">#REF!</definedName>
    <definedName name="_DAN103">#REF!</definedName>
    <definedName name="_DAN104">#REF!</definedName>
    <definedName name="_DAN105">#REF!</definedName>
    <definedName name="_DAN106">#REF!</definedName>
    <definedName name="_DAN107">#REF!</definedName>
    <definedName name="_DAN108">#REF!</definedName>
    <definedName name="_DAN109">#REF!</definedName>
    <definedName name="_DAN11">#REF!</definedName>
    <definedName name="_DAN110">#REF!</definedName>
    <definedName name="_DAN111">#REF!</definedName>
    <definedName name="_DAN112">#REF!</definedName>
    <definedName name="_DAN113">#REF!</definedName>
    <definedName name="_DAN114">#REF!</definedName>
    <definedName name="_DAN115">#REF!</definedName>
    <definedName name="_DAN116">#REF!</definedName>
    <definedName name="_DAN117">#REF!</definedName>
    <definedName name="_DAN118">#REF!</definedName>
    <definedName name="_DAN119">#REF!</definedName>
    <definedName name="_DAN12">#REF!</definedName>
    <definedName name="_DAN120">#REF!</definedName>
    <definedName name="_DAN121">#REF!</definedName>
    <definedName name="_DAN122">#REF!</definedName>
    <definedName name="_DAN123">#REF!</definedName>
    <definedName name="_DAN124">#REF!</definedName>
    <definedName name="_DAN125">#REF!</definedName>
    <definedName name="_DAN126">#REF!</definedName>
    <definedName name="_DAN127">#REF!</definedName>
    <definedName name="_DAN128">#REF!</definedName>
    <definedName name="_DAN129">#REF!</definedName>
    <definedName name="_DAN13">#REF!</definedName>
    <definedName name="_DAN130">#REF!</definedName>
    <definedName name="_DAN131">#REF!</definedName>
    <definedName name="_DAN132">#REF!</definedName>
    <definedName name="_DAN133">#REF!</definedName>
    <definedName name="_DAN134">#REF!</definedName>
    <definedName name="_DAN135">#REF!</definedName>
    <definedName name="_DAN136">#REF!</definedName>
    <definedName name="_DAN137">#REF!</definedName>
    <definedName name="_DAN138">#REF!</definedName>
    <definedName name="_DAN139">#REF!</definedName>
    <definedName name="_DAN14">#REF!</definedName>
    <definedName name="_DAN140">#REF!</definedName>
    <definedName name="_DAN141">#REF!</definedName>
    <definedName name="_DAN142">#REF!</definedName>
    <definedName name="_DAN143">#REF!</definedName>
    <definedName name="_DAN144">#REF!</definedName>
    <definedName name="_DAN145">#REF!</definedName>
    <definedName name="_DAN146">#REF!</definedName>
    <definedName name="_DAN147">#REF!</definedName>
    <definedName name="_DAN148">#REF!</definedName>
    <definedName name="_DAN149">#REF!</definedName>
    <definedName name="_DAN15">#REF!</definedName>
    <definedName name="_DAN150">#REF!</definedName>
    <definedName name="_DAN151">#REF!</definedName>
    <definedName name="_DAN152">#REF!</definedName>
    <definedName name="_DAN153">#REF!</definedName>
    <definedName name="_DAN16">#REF!</definedName>
    <definedName name="_DAN17">#REF!</definedName>
    <definedName name="_DAN18">#REF!</definedName>
    <definedName name="_DAN19">#REF!</definedName>
    <definedName name="_DAN2">#REF!</definedName>
    <definedName name="_DAN20">#REF!</definedName>
    <definedName name="_DAN21">#REF!</definedName>
    <definedName name="_DAN22">#REF!</definedName>
    <definedName name="_DAN23">#REF!</definedName>
    <definedName name="_DAN24">#REF!</definedName>
    <definedName name="_DAN25">#REF!</definedName>
    <definedName name="_DAN26">#REF!</definedName>
    <definedName name="_DAN27">#REF!</definedName>
    <definedName name="_DAN28">#REF!</definedName>
    <definedName name="_DAN29">#REF!</definedName>
    <definedName name="_DAN3">#REF!</definedName>
    <definedName name="_DAN30">#REF!</definedName>
    <definedName name="_DAN31">#REF!</definedName>
    <definedName name="_DAN32">#REF!</definedName>
    <definedName name="_DAN33">#REF!</definedName>
    <definedName name="_DAN34">#REF!</definedName>
    <definedName name="_DAN35">#REF!</definedName>
    <definedName name="_DAN36">#REF!</definedName>
    <definedName name="_DAN37">#REF!</definedName>
    <definedName name="_DAN38">#REF!</definedName>
    <definedName name="_DAN39">#REF!</definedName>
    <definedName name="_DAN4">#REF!</definedName>
    <definedName name="_DAN40">#REF!</definedName>
    <definedName name="_DAN41">#REF!</definedName>
    <definedName name="_DAN42">#REF!</definedName>
    <definedName name="_DAN43">#REF!</definedName>
    <definedName name="_DAN44">#REF!</definedName>
    <definedName name="_DAN45">#REF!</definedName>
    <definedName name="_DAN46">#REF!</definedName>
    <definedName name="_DAN47">#REF!</definedName>
    <definedName name="_DAN48">#REF!</definedName>
    <definedName name="_DAN49">#REF!</definedName>
    <definedName name="_DAN5">#REF!</definedName>
    <definedName name="_DAN50">#REF!</definedName>
    <definedName name="_DAN51">#REF!</definedName>
    <definedName name="_DAN52">#REF!</definedName>
    <definedName name="_DAN53">#REF!</definedName>
    <definedName name="_DAN54">#REF!</definedName>
    <definedName name="_DAN55">#REF!</definedName>
    <definedName name="_DAN56">#REF!</definedName>
    <definedName name="_DAN57">#REF!</definedName>
    <definedName name="_DAN58">#REF!</definedName>
    <definedName name="_DAN59">#REF!</definedName>
    <definedName name="_DAN6">#REF!</definedName>
    <definedName name="_DAN60">#REF!</definedName>
    <definedName name="_DAN61">#REF!</definedName>
    <definedName name="_DAN62">#REF!</definedName>
    <definedName name="_DAN63">#REF!</definedName>
    <definedName name="_DAN64">#REF!</definedName>
    <definedName name="_DAN65">#REF!</definedName>
    <definedName name="_DAN66">#REF!</definedName>
    <definedName name="_DAN67">#REF!</definedName>
    <definedName name="_DAN68">#REF!</definedName>
    <definedName name="_DAN69">#REF!</definedName>
    <definedName name="_DAN7">#REF!</definedName>
    <definedName name="_DAN70">#REF!</definedName>
    <definedName name="_DAN71">#REF!</definedName>
    <definedName name="_DAN72">#REF!</definedName>
    <definedName name="_DAN73">#REF!</definedName>
    <definedName name="_DAN74">#REF!</definedName>
    <definedName name="_DAN75">#REF!</definedName>
    <definedName name="_DAN76">#REF!</definedName>
    <definedName name="_DAN77">#REF!</definedName>
    <definedName name="_DAN78">#REF!</definedName>
    <definedName name="_DAN79">#REF!</definedName>
    <definedName name="_DAN8">#REF!</definedName>
    <definedName name="_DAN80">#REF!</definedName>
    <definedName name="_DAN81">#REF!</definedName>
    <definedName name="_DAN82">#REF!</definedName>
    <definedName name="_DAN83">#REF!</definedName>
    <definedName name="_DAN84">#REF!</definedName>
    <definedName name="_DAN85">#REF!</definedName>
    <definedName name="_DAN86">#REF!</definedName>
    <definedName name="_DAN87">#REF!</definedName>
    <definedName name="_DAN88">#REF!</definedName>
    <definedName name="_DAN89">#REF!</definedName>
    <definedName name="_DAN9">#REF!</definedName>
    <definedName name="_DAN90">#REF!</definedName>
    <definedName name="_DAN91">#REF!</definedName>
    <definedName name="_DAN92">#REF!</definedName>
    <definedName name="_DAN93">#REF!</definedName>
    <definedName name="_DAN94">#REF!</definedName>
    <definedName name="_DAN95">#REF!</definedName>
    <definedName name="_DAN96">#REF!</definedName>
    <definedName name="_DAN97">#REF!</definedName>
    <definedName name="_DAN98">#REF!</definedName>
    <definedName name="_DAN99">#REF!</definedName>
    <definedName name="_Dist_Bin" localSheetId="29" hidden="1">[20]찍기!#REF!</definedName>
    <definedName name="_Dist_Bin" localSheetId="32" hidden="1">[20]찍기!#REF!</definedName>
    <definedName name="_Dist_Bin" localSheetId="27" hidden="1">[20]찍기!#REF!</definedName>
    <definedName name="_Dist_Bin" localSheetId="30" hidden="1">[20]찍기!#REF!</definedName>
    <definedName name="_Dist_Bin" localSheetId="19" hidden="1">[20]찍기!#REF!</definedName>
    <definedName name="_Dist_Bin" hidden="1">[20]찍기!#REF!</definedName>
    <definedName name="_Dist_Values" localSheetId="29" hidden="1">[21]UEC영화관본공사내역!#REF!</definedName>
    <definedName name="_Dist_Values" localSheetId="19" hidden="1">[21]UEC영화관본공사내역!#REF!</definedName>
    <definedName name="_Dist_Values" hidden="1">[21]UEC영화관본공사내역!#REF!</definedName>
    <definedName name="_E01">#REF!</definedName>
    <definedName name="_EE1" localSheetId="13" hidden="1">{#N/A,#N/A,FALSE,"단가표지"}</definedName>
    <definedName name="_EE1" hidden="1">{#N/A,#N/A,FALSE,"단가표지"}</definedName>
    <definedName name="_F01">#REF!</definedName>
    <definedName name="_F02">#REF!</definedName>
    <definedName name="_F03">#REF!</definedName>
    <definedName name="_F04">#REF!</definedName>
    <definedName name="_F05">#REF!</definedName>
    <definedName name="_F06">#REF!</definedName>
    <definedName name="_F07">#REF!</definedName>
    <definedName name="_F08">#REF!</definedName>
    <definedName name="_F09">#REF!</definedName>
    <definedName name="_F10">#REF!</definedName>
    <definedName name="_F11">#REF!</definedName>
    <definedName name="_F12">#REF!</definedName>
    <definedName name="_f13">#REF!</definedName>
    <definedName name="_f14">#REF!</definedName>
    <definedName name="_F15">#REF!</definedName>
    <definedName name="_F16">#REF!</definedName>
    <definedName name="_F17">#REF!</definedName>
    <definedName name="_F18">#REF!</definedName>
    <definedName name="_f19">#REF!</definedName>
    <definedName name="_f20">#REF!</definedName>
    <definedName name="_f21">#REF!</definedName>
    <definedName name="_FDM2">#REF!</definedName>
    <definedName name="_FDM4">#REF!</definedName>
    <definedName name="_FDM6">#REF!</definedName>
    <definedName name="_FDM8">#REF!</definedName>
    <definedName name="_fff12">#REF!</definedName>
    <definedName name="_fff122">#REF!</definedName>
    <definedName name="_fff58">#REF!</definedName>
    <definedName name="_fff59">#REF!</definedName>
    <definedName name="_fff6">#REF!</definedName>
    <definedName name="_fff60">#REF!</definedName>
    <definedName name="_fff65">#REF!</definedName>
    <definedName name="_fff67">#REF!</definedName>
    <definedName name="_fff69">#REF!</definedName>
    <definedName name="_fff7">#REF!</definedName>
    <definedName name="_fff70">#REF!</definedName>
    <definedName name="_fff71">#REF!</definedName>
    <definedName name="_fff77">#REF!</definedName>
    <definedName name="_fff79">#REF!</definedName>
    <definedName name="_fff8">#REF!</definedName>
    <definedName name="_fff80">#REF!</definedName>
    <definedName name="_fff81">#REF!</definedName>
    <definedName name="_fff82">#REF!</definedName>
    <definedName name="_fff83">#REF!</definedName>
    <definedName name="_fff84">#REF!</definedName>
    <definedName name="_fff85">#REF!</definedName>
    <definedName name="_fff86">#REF!</definedName>
    <definedName name="_fff87">#REF!</definedName>
    <definedName name="_fff88">#REF!</definedName>
    <definedName name="_fff89">#REF!</definedName>
    <definedName name="_fff9">#REF!</definedName>
    <definedName name="_fff90">#REF!</definedName>
    <definedName name="_fff91">#REF!</definedName>
    <definedName name="_fff92">#REF!</definedName>
    <definedName name="_fff93">#REF!</definedName>
    <definedName name="_fff94">#REF!</definedName>
    <definedName name="_fff95">#REF!</definedName>
    <definedName name="_fff96">#REF!</definedName>
    <definedName name="_fff97">#REF!</definedName>
    <definedName name="_fff98">#REF!</definedName>
    <definedName name="_fff99">#REF!</definedName>
    <definedName name="_Fill" localSheetId="29" hidden="1">#REF!</definedName>
    <definedName name="_Fill" localSheetId="32" hidden="1">#REF!</definedName>
    <definedName name="_Fill" localSheetId="27" hidden="1">#REF!</definedName>
    <definedName name="_Fill" localSheetId="34" hidden="1">#REF!</definedName>
    <definedName name="_Fill" localSheetId="35" hidden="1">#REF!</definedName>
    <definedName name="_Fill" localSheetId="36" hidden="1">#REF!</definedName>
    <definedName name="_Fill" localSheetId="37" hidden="1">#REF!</definedName>
    <definedName name="_Fill" localSheetId="30" hidden="1">#REF!</definedName>
    <definedName name="_Fill" localSheetId="13" hidden="1">#REF!</definedName>
    <definedName name="_Fill" localSheetId="15" hidden="1">#REF!</definedName>
    <definedName name="_Fill" localSheetId="19" hidden="1">#REF!</definedName>
    <definedName name="_Fill" hidden="1">#REF!</definedName>
    <definedName name="_xlnm._FilterDatabase" localSheetId="29" hidden="1">#REF!</definedName>
    <definedName name="_xlnm._FilterDatabase" localSheetId="32" hidden="1">#REF!</definedName>
    <definedName name="_xlnm._FilterDatabase" localSheetId="27" hidden="1">#REF!</definedName>
    <definedName name="_xlnm._FilterDatabase" localSheetId="30" hidden="1">#REF!</definedName>
    <definedName name="_xlnm._FilterDatabase" localSheetId="4" hidden="1">'2-1.계통도(전력통신)'!#REF!</definedName>
    <definedName name="_xlnm._FilterDatabase" localSheetId="12" hidden="1">'8-1.설비자재산출(전력통신)'!$A$6:$O$93</definedName>
    <definedName name="_xlnm._FilterDatabase" localSheetId="13" hidden="1">#REF!</definedName>
    <definedName name="_xlnm._FilterDatabase" localSheetId="14" hidden="1">'8-3.노무산출'!$A$164:$WVS$256</definedName>
    <definedName name="_xlnm._FilterDatabase" localSheetId="15" hidden="1">'8-4.일위대가표'!$A$3:$WVV$723</definedName>
    <definedName name="_xlnm._FilterDatabase" localSheetId="17" hidden="1">'8-6.자재단가비교표'!$A$215:$R$327</definedName>
    <definedName name="_xlnm._FilterDatabase" localSheetId="19" hidden="1">'8-8. 공구손료'!$A$157:$WVS$249</definedName>
    <definedName name="_xlnm._FilterDatabase" hidden="1">#REF!</definedName>
    <definedName name="_fkn1">#REF!</definedName>
    <definedName name="_fkn2">#REF!</definedName>
    <definedName name="_fks1">#REF!</definedName>
    <definedName name="_fks2">#REF!</definedName>
    <definedName name="_FLC1" localSheetId="13">[22]소요자재!$H$58</definedName>
    <definedName name="_FLC1">[23]소요자재!$H$58</definedName>
    <definedName name="_FLC2" localSheetId="13">[22]소요자재!$H$59</definedName>
    <definedName name="_FLC2">[23]소요자재!$H$59</definedName>
    <definedName name="_G01">#REF!</definedName>
    <definedName name="_G02">#REF!</definedName>
    <definedName name="_G03">#REF!</definedName>
    <definedName name="_G04">#REF!</definedName>
    <definedName name="_G07">#REF!</definedName>
    <definedName name="_G08">#REF!</definedName>
    <definedName name="_G09">#REF!</definedName>
    <definedName name="_g10">#REF!</definedName>
    <definedName name="_G11">#REF!</definedName>
    <definedName name="_G12">#REF!</definedName>
    <definedName name="_G13">#REF!</definedName>
    <definedName name="_gap1">#REF!</definedName>
    <definedName name="_gap2">#REF!</definedName>
    <definedName name="_gbi1">#REF!</definedName>
    <definedName name="_gbi2">#REF!</definedName>
    <definedName name="_gbi3">#REF!</definedName>
    <definedName name="_gbi4">#REF!</definedName>
    <definedName name="_gbi5">#REF!</definedName>
    <definedName name="_gbi6">#REF!</definedName>
    <definedName name="_gbi7">#REF!</definedName>
    <definedName name="_gbi8">#REF!</definedName>
    <definedName name="_gbi9">#REF!</definedName>
    <definedName name="_ggg1">#REF!</definedName>
    <definedName name="_ggg2">#REF!</definedName>
    <definedName name="_ggg55">#REF!</definedName>
    <definedName name="_GIS2">[16]기별!#REF!</definedName>
    <definedName name="_gng44" localSheetId="13">'8-2.설비자재산출(무인보안)'!_gng44</definedName>
    <definedName name="_gng44">[7]!_gng44</definedName>
    <definedName name="_H01">#REF!</definedName>
    <definedName name="_H02">#REF!</definedName>
    <definedName name="_H03">#REF!</definedName>
    <definedName name="_H04">#REF!</definedName>
    <definedName name="_H06">#REF!</definedName>
    <definedName name="_h07">#REF!</definedName>
    <definedName name="_h08">#REF!</definedName>
    <definedName name="_H09">#REF!</definedName>
    <definedName name="_H10">#REF!</definedName>
    <definedName name="_H11">#REF!</definedName>
    <definedName name="_H12">#REF!</definedName>
    <definedName name="_H13">#REF!</definedName>
    <definedName name="_H14">#REF!</definedName>
    <definedName name="_H15">#REF!</definedName>
    <definedName name="_H16">#REF!</definedName>
    <definedName name="_h17">#REF!</definedName>
    <definedName name="_H18">#REF!</definedName>
    <definedName name="_H19">#REF!</definedName>
    <definedName name="_I01">#REF!</definedName>
    <definedName name="_IDF1">#REF!</definedName>
    <definedName name="_IDF15">#REF!</definedName>
    <definedName name="_idf2" localSheetId="13">[22]소요자재!$H$28</definedName>
    <definedName name="_idf2">[23]소요자재!$H$28</definedName>
    <definedName name="_idf3" localSheetId="13">[22]소요자재!$H$48</definedName>
    <definedName name="_idf3">[23]소요자재!$H$48</definedName>
    <definedName name="_idf4" localSheetId="13">[22]소요자재!$H$49</definedName>
    <definedName name="_idf4">[23]소요자재!$H$49</definedName>
    <definedName name="_idf5" localSheetId="13">[22]소요자재!$H$67</definedName>
    <definedName name="_idf5">[23]소요자재!$H$67</definedName>
    <definedName name="_idf6" localSheetId="13">[22]소요자재!$H$68</definedName>
    <definedName name="_idf6">[23]소요자재!$H$68</definedName>
    <definedName name="_IJP1">#REF!</definedName>
    <definedName name="_ind1">#REF!</definedName>
    <definedName name="_ind10">#REF!</definedName>
    <definedName name="_ind11">#REF!</definedName>
    <definedName name="_ind12">#REF!</definedName>
    <definedName name="_ind13">#REF!</definedName>
    <definedName name="_ind14">#REF!</definedName>
    <definedName name="_ind15">#REF!</definedName>
    <definedName name="_ind16">#REF!</definedName>
    <definedName name="_ind17">#REF!</definedName>
    <definedName name="_ind18">#REF!</definedName>
    <definedName name="_ind19">#REF!</definedName>
    <definedName name="_ind2">#REF!</definedName>
    <definedName name="_ind20">#REF!</definedName>
    <definedName name="_ind21">#REF!</definedName>
    <definedName name="_ind22">#REF!</definedName>
    <definedName name="_ind23">#REF!</definedName>
    <definedName name="_ind24">#REF!</definedName>
    <definedName name="_ind25">#REF!</definedName>
    <definedName name="_ind26">#REF!</definedName>
    <definedName name="_ind27">#REF!</definedName>
    <definedName name="_ind28">#REF!</definedName>
    <definedName name="_ind29">#REF!</definedName>
    <definedName name="_ind3">#REF!</definedName>
    <definedName name="_ind30">#REF!</definedName>
    <definedName name="_ind31">#REF!</definedName>
    <definedName name="_ind32">#REF!</definedName>
    <definedName name="_ind33">#REF!</definedName>
    <definedName name="_ind34">#REF!</definedName>
    <definedName name="_ind35">#REF!</definedName>
    <definedName name="_ind36">#REF!</definedName>
    <definedName name="_ind37">#REF!</definedName>
    <definedName name="_ind38">#REF!</definedName>
    <definedName name="_ind39">#REF!</definedName>
    <definedName name="_ind4">#REF!</definedName>
    <definedName name="_ind40">#REF!</definedName>
    <definedName name="_ind41">#REF!</definedName>
    <definedName name="_ind42">#REF!</definedName>
    <definedName name="_ind5">#REF!</definedName>
    <definedName name="_ind6">#REF!</definedName>
    <definedName name="_ind7">#REF!</definedName>
    <definedName name="_ind8">#REF!</definedName>
    <definedName name="_ind9">#REF!</definedName>
    <definedName name="_J01">#REF!</definedName>
    <definedName name="_ji21">[17]설계명세서!#REF!</definedName>
    <definedName name="_ji22">[17]설계명세서!#REF!</definedName>
    <definedName name="_ji23">[17]설계명세서!#REF!</definedName>
    <definedName name="_ji31">[17]설계명세서!#REF!</definedName>
    <definedName name="_ji32">[17]설계명세서!#REF!</definedName>
    <definedName name="_JIS1">[16]기별!#REF!</definedName>
    <definedName name="_JON1">[16]기별!#REF!</definedName>
    <definedName name="_JON2">[16]기별!#REF!</definedName>
    <definedName name="_ju8" localSheetId="22" hidden="1">{"'광피스표'!$A$3:$N$54"}</definedName>
    <definedName name="_ju8" localSheetId="13" hidden="1">{"'광피스표'!$A$3:$N$54"}</definedName>
    <definedName name="_ju8" localSheetId="15" hidden="1">{"'광피스표'!$A$3:$N$54"}</definedName>
    <definedName name="_ju8" hidden="1">{"'광피스표'!$A$3:$N$54"}</definedName>
    <definedName name="_K01">#REF!</definedName>
    <definedName name="_K123" localSheetId="13" hidden="1">{#N/A,#N/A,FALSE,"현장 NCR 분석";#N/A,#N/A,FALSE,"현장품질감사";#N/A,#N/A,FALSE,"현장품질감사"}</definedName>
    <definedName name="_K123" localSheetId="15" hidden="1">{#N/A,#N/A,FALSE,"현장 NCR 분석";#N/A,#N/A,FALSE,"현장품질감사";#N/A,#N/A,FALSE,"현장품질감사"}</definedName>
    <definedName name="_K123" hidden="1">{#N/A,#N/A,FALSE,"현장 NCR 분석";#N/A,#N/A,FALSE,"현장품질감사";#N/A,#N/A,FALSE,"현장품질감사"}</definedName>
    <definedName name="_KD2" localSheetId="29" hidden="1">#REF!</definedName>
    <definedName name="_KD2" localSheetId="13" hidden="1">#REF!</definedName>
    <definedName name="_KD2" localSheetId="19" hidden="1">#REF!</definedName>
    <definedName name="_KD2" hidden="1">#REF!</definedName>
    <definedName name="_KD3" localSheetId="29" hidden="1">#REF!</definedName>
    <definedName name="_KD3" localSheetId="13" hidden="1">#REF!</definedName>
    <definedName name="_KD3" localSheetId="19" hidden="1">#REF!</definedName>
    <definedName name="_KD3" hidden="1">#REF!</definedName>
    <definedName name="_KE2" localSheetId="29" hidden="1">#REF!</definedName>
    <definedName name="_KE2" localSheetId="13" hidden="1">#REF!</definedName>
    <definedName name="_KE2" localSheetId="19" hidden="1">#REF!</definedName>
    <definedName name="_KE2" hidden="1">#REF!</definedName>
    <definedName name="_Key1" localSheetId="29" hidden="1">#REF!</definedName>
    <definedName name="_Key1" localSheetId="32" hidden="1">#REF!</definedName>
    <definedName name="_Key1" localSheetId="27" hidden="1">#REF!</definedName>
    <definedName name="_Key1" localSheetId="34" hidden="1">#REF!</definedName>
    <definedName name="_Key1" localSheetId="35" hidden="1">#REF!</definedName>
    <definedName name="_Key1" localSheetId="36" hidden="1">#REF!</definedName>
    <definedName name="_Key1" localSheetId="37" hidden="1">#REF!</definedName>
    <definedName name="_Key1" localSheetId="30" hidden="1">#REF!</definedName>
    <definedName name="_Key1" localSheetId="13" hidden="1">#REF!</definedName>
    <definedName name="_Key1" localSheetId="15" hidden="1">#REF!</definedName>
    <definedName name="_Key1" localSheetId="19" hidden="1">#REF!</definedName>
    <definedName name="_Key1" hidden="1">#REF!</definedName>
    <definedName name="_Key2" localSheetId="29" hidden="1">#REF!</definedName>
    <definedName name="_Key2" localSheetId="32" hidden="1">#REF!</definedName>
    <definedName name="_Key2" localSheetId="27" hidden="1">#REF!</definedName>
    <definedName name="_Key2" localSheetId="34" hidden="1">#REF!</definedName>
    <definedName name="_Key2" localSheetId="35" hidden="1">#REF!</definedName>
    <definedName name="_Key2" localSheetId="36" hidden="1">#REF!</definedName>
    <definedName name="_Key2" localSheetId="37" hidden="1">#REF!</definedName>
    <definedName name="_Key2" localSheetId="30" hidden="1">#REF!</definedName>
    <definedName name="_Key2" localSheetId="13" hidden="1">#REF!</definedName>
    <definedName name="_Key2" localSheetId="15" hidden="1">#REF!</definedName>
    <definedName name="_Key2" localSheetId="19" hidden="1">#REF!</definedName>
    <definedName name="_Key2" hidden="1">#REF!</definedName>
    <definedName name="_KEY3" localSheetId="29" hidden="1">#REF!</definedName>
    <definedName name="_KEY3" localSheetId="13" hidden="1">#REF!</definedName>
    <definedName name="_KEY3" localSheetId="19" hidden="1">#REF!</definedName>
    <definedName name="_KEY3" hidden="1">#REF!</definedName>
    <definedName name="_key4" localSheetId="29" hidden="1">#REF!</definedName>
    <definedName name="_key4" localSheetId="13" hidden="1">#REF!</definedName>
    <definedName name="_key4" localSheetId="19" hidden="1">#REF!</definedName>
    <definedName name="_key4" hidden="1">#REF!</definedName>
    <definedName name="_kfkf" localSheetId="29" hidden="1">#REF!</definedName>
    <definedName name="_kfkf" localSheetId="13" hidden="1">#REF!</definedName>
    <definedName name="_kfkf" localSheetId="19" hidden="1">#REF!</definedName>
    <definedName name="_kfkf" hidden="1">#REF!</definedName>
    <definedName name="_KK2" localSheetId="29" hidden="1">#REF!</definedName>
    <definedName name="_KK2" localSheetId="13" hidden="1">#REF!</definedName>
    <definedName name="_KK2" localSheetId="19" hidden="1">#REF!</definedName>
    <definedName name="_KK2" hidden="1">#REF!</definedName>
    <definedName name="_KK3" localSheetId="29" hidden="1">#REF!</definedName>
    <definedName name="_KK3" localSheetId="13" hidden="1">#REF!</definedName>
    <definedName name="_KK3" localSheetId="19" hidden="1">#REF!</definedName>
    <definedName name="_KK3" hidden="1">#REF!</definedName>
    <definedName name="_kn1">#REF!</definedName>
    <definedName name="_kn2">#REF!</definedName>
    <definedName name="_ks1">#REF!</definedName>
    <definedName name="_ksg1">#REF!</definedName>
    <definedName name="_L01">#REF!</definedName>
    <definedName name="_L02">#REF!</definedName>
    <definedName name="_L03">#REF!</definedName>
    <definedName name="_l06">#REF!</definedName>
    <definedName name="_l07">#REF!</definedName>
    <definedName name="_L08">#REF!</definedName>
    <definedName name="_L09">#REF!</definedName>
    <definedName name="_LP1">#REF!</definedName>
    <definedName name="_LP2">#REF!</definedName>
    <definedName name="_M01">#REF!</definedName>
    <definedName name="_M02">#REF!</definedName>
    <definedName name="_M03">#REF!</definedName>
    <definedName name="_M04">#REF!</definedName>
    <definedName name="_MatInverse_In" localSheetId="29" hidden="1">#REF!</definedName>
    <definedName name="_MatInverse_In" localSheetId="13" hidden="1">#REF!</definedName>
    <definedName name="_MatInverse_In" localSheetId="19" hidden="1">#REF!</definedName>
    <definedName name="_MatInverse_In" hidden="1">#REF!</definedName>
    <definedName name="_MatMult_A" localSheetId="29" hidden="1">#REF!</definedName>
    <definedName name="_MatMult_A" localSheetId="13" hidden="1">#REF!</definedName>
    <definedName name="_MatMult_A" localSheetId="19" hidden="1">#REF!</definedName>
    <definedName name="_MatMult_A" hidden="1">#REF!</definedName>
    <definedName name="_MatMult_AxB" localSheetId="29" hidden="1">#REF!</definedName>
    <definedName name="_MatMult_AxB" localSheetId="13" hidden="1">#REF!</definedName>
    <definedName name="_MatMult_AxB" localSheetId="19" hidden="1">#REF!</definedName>
    <definedName name="_MatMult_AxB" hidden="1">#REF!</definedName>
    <definedName name="_MatMult_B" localSheetId="29" hidden="1">#REF!</definedName>
    <definedName name="_MatMult_B" localSheetId="13" hidden="1">#REF!</definedName>
    <definedName name="_MatMult_B" localSheetId="19" hidden="1">#REF!</definedName>
    <definedName name="_MatMult_B" hidden="1">#REF!</definedName>
    <definedName name="_MDF1">#REF!</definedName>
    <definedName name="_MEM128">#REF!</definedName>
    <definedName name="_MEM64">#REF!</definedName>
    <definedName name="_MS275" localSheetId="13" hidden="1">{#N/A,#N/A,FALSE,"TABLE"}</definedName>
    <definedName name="_MS275" hidden="1">{#N/A,#N/A,FALSE,"TABLE"}</definedName>
    <definedName name="_MUX2">#REF!</definedName>
    <definedName name="_MUX3240" localSheetId="13">[22]소요자재!$H$123</definedName>
    <definedName name="_MUX3240">[23]소요자재!$H$123</definedName>
    <definedName name="_MX1">#REF!</definedName>
    <definedName name="_MX10">#REF!</definedName>
    <definedName name="_MX11">#REF!</definedName>
    <definedName name="_MX12">#REF!</definedName>
    <definedName name="_MX13">#REF!</definedName>
    <definedName name="_MX14">#REF!</definedName>
    <definedName name="_MX2">#REF!</definedName>
    <definedName name="_MX3">#REF!</definedName>
    <definedName name="_MX4">#REF!</definedName>
    <definedName name="_MX5">#REF!</definedName>
    <definedName name="_MX6">#REF!</definedName>
    <definedName name="_MX7">#REF!</definedName>
    <definedName name="_MX8">#REF!</definedName>
    <definedName name="_MX9">#REF!</definedName>
    <definedName name="_NIU1">#REF!</definedName>
    <definedName name="_NIU2" localSheetId="13">[22]소요자재!$H$115</definedName>
    <definedName name="_NIU2">[23]소요자재!$H$115</definedName>
    <definedName name="_O01">#REF!</definedName>
    <definedName name="_O02">#REF!</definedName>
    <definedName name="_O04">#REF!</definedName>
    <definedName name="_O05">#REF!</definedName>
    <definedName name="_O08">#REF!</definedName>
    <definedName name="_O09">#REF!</definedName>
    <definedName name="_O10">#REF!</definedName>
    <definedName name="_O11">#REF!</definedName>
    <definedName name="_O12">#REF!</definedName>
    <definedName name="_O13">#REF!</definedName>
    <definedName name="_O14">#REF!</definedName>
    <definedName name="_O15">#REF!</definedName>
    <definedName name="_OC1">#REF!</definedName>
    <definedName name="_OFD1">#REF!</definedName>
    <definedName name="_OFD13">#REF!</definedName>
    <definedName name="_OFD2">#REF!</definedName>
    <definedName name="_ofd24" localSheetId="13">[22]소요자재!$H$23</definedName>
    <definedName name="_ofd24">[23]소요자재!$H$23</definedName>
    <definedName name="_ofd241" localSheetId="13">[22]소요자재!$H$45</definedName>
    <definedName name="_ofd241">[23]소요자재!$H$45</definedName>
    <definedName name="_ofd242" localSheetId="13">[22]소요자재!$H$64</definedName>
    <definedName name="_ofd242">[23]소요자재!$H$64</definedName>
    <definedName name="_OFD3">#REF!</definedName>
    <definedName name="_ofd48" localSheetId="13">[22]소요자재!$H$24</definedName>
    <definedName name="_ofd48">[23]소요자재!$H$24</definedName>
    <definedName name="_ofd481" localSheetId="13">[22]소요자재!$H$46</definedName>
    <definedName name="_ofd481">[23]소요자재!$H$46</definedName>
    <definedName name="_ofd482" localSheetId="13">[22]소요자재!$H$65</definedName>
    <definedName name="_ofd482">[23]소요자재!$H$65</definedName>
    <definedName name="_ofd96" localSheetId="13">[22]소요자재!$H$25</definedName>
    <definedName name="_ofd96">[23]소요자재!$H$25</definedName>
    <definedName name="_ofd961" localSheetId="13">[22]소요자재!$H$47</definedName>
    <definedName name="_ofd961">[23]소요자재!$H$47</definedName>
    <definedName name="_ofd962" localSheetId="13">[22]소요자재!$H$66</definedName>
    <definedName name="_ofd962">[23]소요자재!$H$66</definedName>
    <definedName name="_OIU1">#REF!</definedName>
    <definedName name="_OIU2" localSheetId="13">[22]소요자재!$H$118</definedName>
    <definedName name="_OIU2">[23]소요자재!$H$118</definedName>
    <definedName name="_OJC1" localSheetId="13">[22]소요자재!$H$97</definedName>
    <definedName name="_OJC1">[23]소요자재!$H$97</definedName>
    <definedName name="_OJC2" localSheetId="13">[22]소요자재!$H$98</definedName>
    <definedName name="_OJC2">[23]소요자재!$H$98</definedName>
    <definedName name="_OJC3" localSheetId="13">[22]소요자재!$H$125</definedName>
    <definedName name="_OJC3">[23]소요자재!$H$125</definedName>
    <definedName name="_OJC4" localSheetId="13">[22]소요자재!$H$126</definedName>
    <definedName name="_OJC4">[23]소요자재!$H$126</definedName>
    <definedName name="_OO1">#REF!</definedName>
    <definedName name="_OP1">#REF!</definedName>
    <definedName name="_OP10">#REF!</definedName>
    <definedName name="_OP11">#REF!</definedName>
    <definedName name="_OP12">#REF!</definedName>
    <definedName name="_OP2">#REF!</definedName>
    <definedName name="_OP3">#REF!</definedName>
    <definedName name="_OP4">#REF!</definedName>
    <definedName name="_OP5">#REF!</definedName>
    <definedName name="_OP6">#REF!</definedName>
    <definedName name="_OP7">#REF!</definedName>
    <definedName name="_OP8">#REF!</definedName>
    <definedName name="_OP9">#REF!</definedName>
    <definedName name="_OPM1">#REF!</definedName>
    <definedName name="_OPM2">#REF!</definedName>
    <definedName name="_OPM3">#REF!</definedName>
    <definedName name="_Order1" hidden="1">255</definedName>
    <definedName name="_Order2" hidden="1">255</definedName>
    <definedName name="_p01">#REF!</definedName>
    <definedName name="_P3" localSheetId="13" hidden="1">{#N/A,#N/A,FALSE,"배수1"}</definedName>
    <definedName name="_P3" hidden="1">{#N/A,#N/A,FALSE,"배수1"}</definedName>
    <definedName name="_P4" localSheetId="13" hidden="1">{#N/A,#N/A,FALSE,"혼합골재"}</definedName>
    <definedName name="_P4" hidden="1">{#N/A,#N/A,FALSE,"혼합골재"}</definedName>
    <definedName name="_P5" localSheetId="13" hidden="1">{#N/A,#N/A,FALSE,"배수1"}</definedName>
    <definedName name="_P5" hidden="1">{#N/A,#N/A,FALSE,"배수1"}</definedName>
    <definedName name="_P6" localSheetId="13" hidden="1">{#N/A,#N/A,FALSE,"2~8번"}</definedName>
    <definedName name="_P6" hidden="1">{#N/A,#N/A,FALSE,"2~8번"}</definedName>
    <definedName name="_Parse_In" localSheetId="29" hidden="1">#REF!</definedName>
    <definedName name="_Parse_In" localSheetId="13" hidden="1">#REF!</definedName>
    <definedName name="_Parse_In" localSheetId="19" hidden="1">#REF!</definedName>
    <definedName name="_Parse_In" hidden="1">#REF!</definedName>
    <definedName name="_Parse_Out" localSheetId="29" hidden="1">[24]갑지!#REF!</definedName>
    <definedName name="_Parse_Out" localSheetId="19" hidden="1">[24]갑지!#REF!</definedName>
    <definedName name="_Parse_Out" hidden="1">[24]갑지!#REF!</definedName>
    <definedName name="_PB1">#REF!</definedName>
    <definedName name="_PB2">#REF!</definedName>
    <definedName name="_PB3">#REF!</definedName>
    <definedName name="_PCM1">#REF!</definedName>
    <definedName name="_pdp1" localSheetId="13">[22]소요자재!$H$50</definedName>
    <definedName name="_pdp1">[23]소요자재!$H$50</definedName>
    <definedName name="_PDP2" localSheetId="13">[22]소요자재!$H$112</definedName>
    <definedName name="_PDP2">[23]소요자재!$H$112</definedName>
    <definedName name="_PDP3" localSheetId="13">[22]소요자재!$H$140</definedName>
    <definedName name="_PDP3">[23]소요자재!$H$140</definedName>
    <definedName name="_PE1">#REF!</definedName>
    <definedName name="_PE2">#REF!</definedName>
    <definedName name="_PIN12">[19]아파트기별!$AG$52</definedName>
    <definedName name="_PIN17">[19]아파트기별!$AF$52</definedName>
    <definedName name="_PP2">#REF!</definedName>
    <definedName name="_PP3">#REF!</definedName>
    <definedName name="_PP4">#REF!</definedName>
    <definedName name="_PV50">[19]아파트기별!$M$52</definedName>
    <definedName name="_PVC1">#REF!</definedName>
    <definedName name="_PVC100">#REF!</definedName>
    <definedName name="_PVC16">#REF!</definedName>
    <definedName name="_PVC36">#REF!</definedName>
    <definedName name="_q01">#REF!</definedName>
    <definedName name="_q45" localSheetId="22" hidden="1">{"'용역비'!$A$4:$C$8"}</definedName>
    <definedName name="_q45" localSheetId="13" hidden="1">{"'용역비'!$A$4:$C$8"}</definedName>
    <definedName name="_q45" localSheetId="15" hidden="1">{"'용역비'!$A$4:$C$8"}</definedName>
    <definedName name="_q45" hidden="1">{"'용역비'!$A$4:$C$8"}</definedName>
    <definedName name="_QQ1" localSheetId="13" hidden="1">{#N/A,#N/A,FALSE,"단가표지"}</definedName>
    <definedName name="_QQ1" hidden="1">{#N/A,#N/A,FALSE,"단가표지"}</definedName>
    <definedName name="_QW1" localSheetId="13" hidden="1">{#N/A,#N/A,FALSE,"단가표지"}</definedName>
    <definedName name="_QW1" hidden="1">{#N/A,#N/A,FALSE,"단가표지"}</definedName>
    <definedName name="_Regression_Int">1</definedName>
    <definedName name="_Regression_Out" localSheetId="29" hidden="1">#REF!</definedName>
    <definedName name="_Regression_Out" localSheetId="13" hidden="1">#REF!</definedName>
    <definedName name="_Regression_Out" localSheetId="19" hidden="1">#REF!</definedName>
    <definedName name="_Regression_Out" hidden="1">#REF!</definedName>
    <definedName name="_Regression_X" localSheetId="29" hidden="1">#REF!</definedName>
    <definedName name="_Regression_X" localSheetId="13" hidden="1">#REF!</definedName>
    <definedName name="_Regression_X" localSheetId="19" hidden="1">#REF!</definedName>
    <definedName name="_Regression_X" hidden="1">#REF!</definedName>
    <definedName name="_Regression_Y" localSheetId="29" hidden="1">#REF!</definedName>
    <definedName name="_Regression_Y" localSheetId="13" hidden="1">#REF!</definedName>
    <definedName name="_Regression_Y" localSheetId="19" hidden="1">#REF!</definedName>
    <definedName name="_Regression_Y" hidden="1">#REF!</definedName>
    <definedName name="_S3" localSheetId="13" hidden="1">{#N/A,#N/A,FALSE,"포장2"}</definedName>
    <definedName name="_S3" hidden="1">{#N/A,#N/A,FALSE,"포장2"}</definedName>
    <definedName name="_SA12">[19]아파트기별!$AI$52</definedName>
    <definedName name="_SA17">[19]아파트기별!$AH$52</definedName>
    <definedName name="_Sort" localSheetId="29" hidden="1">#REF!</definedName>
    <definedName name="_Sort" localSheetId="32" hidden="1">#REF!</definedName>
    <definedName name="_Sort" localSheetId="27" hidden="1">#REF!</definedName>
    <definedName name="_Sort" localSheetId="34" hidden="1">#REF!</definedName>
    <definedName name="_Sort" localSheetId="35" hidden="1">#REF!</definedName>
    <definedName name="_Sort" localSheetId="36" hidden="1">#REF!</definedName>
    <definedName name="_Sort" localSheetId="37" hidden="1">#REF!</definedName>
    <definedName name="_Sort" localSheetId="30" hidden="1">#REF!</definedName>
    <definedName name="_Sort" localSheetId="13" hidden="1">#REF!</definedName>
    <definedName name="_Sort" localSheetId="15" hidden="1">#REF!</definedName>
    <definedName name="_Sort" localSheetId="19" hidden="1">#REF!</definedName>
    <definedName name="_Sort" hidden="1">#REF!</definedName>
    <definedName name="_SORT1" localSheetId="29" hidden="1">#REF!</definedName>
    <definedName name="_SORT1" localSheetId="13" hidden="1">#REF!</definedName>
    <definedName name="_SORT1" localSheetId="19" hidden="1">#REF!</definedName>
    <definedName name="_SORT1" hidden="1">#REF!</definedName>
    <definedName name="_SP2">#REF!</definedName>
    <definedName name="_SP3">#REF!</definedName>
    <definedName name="_SS1" localSheetId="13" hidden="1">{#N/A,#N/A,FALSE,"운반시간"}</definedName>
    <definedName name="_SS1" hidden="1">{#N/A,#N/A,FALSE,"운반시간"}</definedName>
    <definedName name="_STR2020" localSheetId="13">[25]LANGUAGE!$B$40</definedName>
    <definedName name="_STR2020">[26]LANGUAGE!$B$40</definedName>
    <definedName name="_STR2021" localSheetId="13">[25]LANGUAGE!$B$41</definedName>
    <definedName name="_STR2021">[26]LANGUAGE!$B$41</definedName>
    <definedName name="_STR2022" localSheetId="13">[25]LANGUAGE!$B$42</definedName>
    <definedName name="_STR2022">[26]LANGUAGE!$B$42</definedName>
    <definedName name="_STR2023" localSheetId="13">[25]LANGUAGE!$B$43</definedName>
    <definedName name="_STR2023">[26]LANGUAGE!$B$43</definedName>
    <definedName name="_STR2024" localSheetId="13">[25]LANGUAGE!$B$44</definedName>
    <definedName name="_STR2024">[26]LANGUAGE!$B$44</definedName>
    <definedName name="_sys2">#REF!</definedName>
    <definedName name="_sys3">#REF!</definedName>
    <definedName name="_Table1_In1" localSheetId="29" hidden="1">#REF!</definedName>
    <definedName name="_Table1_In1" localSheetId="32" hidden="1">#REF!</definedName>
    <definedName name="_Table1_In1" localSheetId="27" hidden="1">#REF!</definedName>
    <definedName name="_Table1_In1" localSheetId="30" hidden="1">#REF!</definedName>
    <definedName name="_Table1_In1" localSheetId="13" hidden="1">#REF!</definedName>
    <definedName name="_Table1_In1" localSheetId="15" hidden="1">#REF!</definedName>
    <definedName name="_Table1_In1" localSheetId="19" hidden="1">#REF!</definedName>
    <definedName name="_Table1_In1" hidden="1">#REF!</definedName>
    <definedName name="_Table1_Out" localSheetId="29" hidden="1">#REF!</definedName>
    <definedName name="_Table1_Out" localSheetId="32" hidden="1">#REF!</definedName>
    <definedName name="_Table1_Out" localSheetId="27" hidden="1">#REF!</definedName>
    <definedName name="_Table1_Out" localSheetId="30" hidden="1">#REF!</definedName>
    <definedName name="_Table1_Out" localSheetId="13" hidden="1">#REF!</definedName>
    <definedName name="_Table1_Out" localSheetId="15" hidden="1">#REF!</definedName>
    <definedName name="_Table1_Out" localSheetId="19" hidden="1">#REF!</definedName>
    <definedName name="_Table1_Out" hidden="1">#REF!</definedName>
    <definedName name="_TAP4">#REF!</definedName>
    <definedName name="_TAP8">#REF!</definedName>
    <definedName name="_TO4">[19]아파트기별!$AB$52</definedName>
    <definedName name="_TO8">[19]아파트기별!$AD$52</definedName>
    <definedName name="_tot1">#REF!</definedName>
    <definedName name="_tt1">"tt1"</definedName>
    <definedName name="_TT4">[19]아파트기별!$AC$52</definedName>
    <definedName name="_TT8">[19]아파트기별!$AE$52</definedName>
    <definedName name="_US1">#REF!</definedName>
    <definedName name="_V1">#REF!</definedName>
    <definedName name="_V2">#REF!</definedName>
    <definedName name="_V3">#REF!</definedName>
    <definedName name="_V4">#REF!</definedName>
    <definedName name="_VLX2">#REF!</definedName>
    <definedName name="_VLX4">#REF!</definedName>
    <definedName name="_VLX6">#REF!</definedName>
    <definedName name="_VLX8">#REF!</definedName>
    <definedName name="_WA2">[19]아파트기별!$Y$52</definedName>
    <definedName name="_WA3">[19]아파트기별!$Z$52</definedName>
    <definedName name="_woogi" localSheetId="29" hidden="1">#REF!</definedName>
    <definedName name="_woogi" localSheetId="13" hidden="1">#REF!</definedName>
    <definedName name="_woogi" localSheetId="19" hidden="1">#REF!</definedName>
    <definedName name="_woogi" hidden="1">#REF!</definedName>
    <definedName name="_woogi2" localSheetId="29" hidden="1">#REF!</definedName>
    <definedName name="_woogi2" localSheetId="13" hidden="1">#REF!</definedName>
    <definedName name="_woogi2" localSheetId="19" hidden="1">#REF!</definedName>
    <definedName name="_woogi2" hidden="1">#REF!</definedName>
    <definedName name="_woogi24" localSheetId="29" hidden="1">#REF!</definedName>
    <definedName name="_woogi24" localSheetId="13" hidden="1">#REF!</definedName>
    <definedName name="_woogi24" localSheetId="19" hidden="1">#REF!</definedName>
    <definedName name="_woogi24" hidden="1">#REF!</definedName>
    <definedName name="_woogi3" localSheetId="29" hidden="1">#REF!</definedName>
    <definedName name="_woogi3" localSheetId="13" hidden="1">#REF!</definedName>
    <definedName name="_woogi3" localSheetId="19" hidden="1">#REF!</definedName>
    <definedName name="_woogi3" hidden="1">#REF!</definedName>
    <definedName name="_yb5" localSheetId="34" hidden="1">{#N/A,#N/A,FALSE,"현장 NCR 분석";#N/A,#N/A,FALSE,"현장품질감사";#N/A,#N/A,FALSE,"현장품질감사"}</definedName>
    <definedName name="_yb5" localSheetId="35" hidden="1">{#N/A,#N/A,FALSE,"현장 NCR 분석";#N/A,#N/A,FALSE,"현장품질감사";#N/A,#N/A,FALSE,"현장품질감사"}</definedName>
    <definedName name="_yb5" localSheetId="36" hidden="1">{#N/A,#N/A,FALSE,"현장 NCR 분석";#N/A,#N/A,FALSE,"현장품질감사";#N/A,#N/A,FALSE,"현장품질감사"}</definedName>
    <definedName name="_yb5" localSheetId="37" hidden="1">{#N/A,#N/A,FALSE,"현장 NCR 분석";#N/A,#N/A,FALSE,"현장품질감사";#N/A,#N/A,FALSE,"현장품질감사"}</definedName>
    <definedName name="_yb5" localSheetId="13" hidden="1">{#N/A,#N/A,FALSE,"현장 NCR 분석";#N/A,#N/A,FALSE,"현장품질감사";#N/A,#N/A,FALSE,"현장품질감사"}</definedName>
    <definedName name="_yb5" localSheetId="15" hidden="1">{#N/A,#N/A,FALSE,"현장 NCR 분석";#N/A,#N/A,FALSE,"현장품질감사";#N/A,#N/A,FALSE,"현장품질감사"}</definedName>
    <definedName name="_yb5" hidden="1">{#N/A,#N/A,FALSE,"현장 NCR 분석";#N/A,#N/A,FALSE,"현장품질감사";#N/A,#N/A,FALSE,"현장품질감사"}</definedName>
    <definedName name="_ys1" localSheetId="13">'8-2.설비자재산출(무인보안)'!_ys1</definedName>
    <definedName name="_ys1" localSheetId="15">'8-4.일위대가표'!_ys1</definedName>
    <definedName name="_ys1">'8-2.설비자재산출(무인보안)'!_ys1</definedName>
    <definedName name="_건축목공">#REF!</definedName>
    <definedName name="_노임단가" localSheetId="29" hidden="1">[27]공예을!#REF!</definedName>
    <definedName name="_노임단가" localSheetId="32" hidden="1">[27]공예을!#REF!</definedName>
    <definedName name="_노임단가" localSheetId="27" hidden="1">[27]공예을!#REF!</definedName>
    <definedName name="_노임단가" localSheetId="30" hidden="1">[27]공예을!#REF!</definedName>
    <definedName name="_노임단가" localSheetId="19" hidden="1">[27]공예을!#REF!</definedName>
    <definedName name="_노임단가" hidden="1">[27]공예을!#REF!</definedName>
    <definedName name="_ㄹ" localSheetId="29" hidden="1">[28]대운산출!#REF!</definedName>
    <definedName name="_ㄹ" localSheetId="19" hidden="1">[28]대운산출!#REF!</definedName>
    <definedName name="_ㄹ" hidden="1">[28]대운산출!#REF!</definedName>
    <definedName name="_재ㅐ햐" localSheetId="29" hidden="1">#REF!</definedName>
    <definedName name="_재ㅐ햐" localSheetId="13" hidden="1">#REF!</definedName>
    <definedName name="_재ㅐ햐" localSheetId="19" hidden="1">#REF!</definedName>
    <definedName name="_재ㅐ햐" hidden="1">#REF!</definedName>
    <definedName name="´cAE°eE¹" localSheetId="29" hidden="1">#REF!</definedName>
    <definedName name="´cAE°eE¹" localSheetId="13" hidden="1">#REF!</definedName>
    <definedName name="´cAE°eE¹" localSheetId="19" hidden="1">#REF!</definedName>
    <definedName name="´cAE°eE¹" hidden="1">#REF!</definedName>
    <definedName name="￠￥cAE¡ÆeEⓒo" localSheetId="29" hidden="1">#REF!</definedName>
    <definedName name="￠￥cAE¡ÆeEⓒo" localSheetId="13" hidden="1">#REF!</definedName>
    <definedName name="￠￥cAE¡ÆeEⓒo" localSheetId="19" hidden="1">#REF!</definedName>
    <definedName name="￠￥cAE¡ÆeEⓒo" hidden="1">#REF!</definedName>
    <definedName name="\0">#REF!</definedName>
    <definedName name="\a">#N/A</definedName>
    <definedName name="\b">#REF!</definedName>
    <definedName name="\buffer4">#REF!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#REF!</definedName>
    <definedName name="\q">#REF!</definedName>
    <definedName name="\r">#REF!</definedName>
    <definedName name="\s">#REF!</definedName>
    <definedName name="\t">#REF!</definedName>
    <definedName name="\u">#REF!</definedName>
    <definedName name="\v">#REF!</definedName>
    <definedName name="\w">#REF!</definedName>
    <definedName name="\x">#REF!</definedName>
    <definedName name="\y">#REF!</definedName>
    <definedName name="\z">#REF!</definedName>
    <definedName name="√">"SQRT"</definedName>
    <definedName name="A" localSheetId="4" hidden="1">{#N/A,#N/A,FALSE,"회선임차현황"}</definedName>
    <definedName name="A" localSheetId="13" hidden="1">{#N/A,#N/A,FALSE,"회선임차현황"}</definedName>
    <definedName name="A" localSheetId="15" hidden="1">{#N/A,#N/A,FALSE,"회선임차현황"}</definedName>
    <definedName name="A" hidden="1">{#N/A,#N/A,FALSE,"회선임차현황"}</definedName>
    <definedName name="A_">#REF!</definedName>
    <definedName name="A_1">#REF!</definedName>
    <definedName name="A_2">#REF!</definedName>
    <definedName name="a_25">[17]설계명세서!#REF!</definedName>
    <definedName name="a_28">[18]설계명세서!#REF!</definedName>
    <definedName name="A_3">#REF!</definedName>
    <definedName name="a_30">[17]설계명세서!#REF!</definedName>
    <definedName name="A_4">#REF!</definedName>
    <definedName name="A_5">#REF!</definedName>
    <definedName name="a_90">#REF!</definedName>
    <definedName name="a_a">#REF!</definedName>
    <definedName name="a_b">#REF!</definedName>
    <definedName name="A1200000">#REF!</definedName>
    <definedName name="A5xA10">#REF!</definedName>
    <definedName name="A5xA5">#REF!</definedName>
    <definedName name="A5xA6">#REF!</definedName>
    <definedName name="AA">#REF!</definedName>
    <definedName name="aaa" localSheetId="13" hidden="1">{"'220승압(공문첨부)'!$A$3:$E$123"}</definedName>
    <definedName name="AAA">#REF!</definedName>
    <definedName name="aaaa" localSheetId="13">'8-2.설비자재산출(무인보안)'!aaaa</definedName>
    <definedName name="aaaa" localSheetId="15">'8-4.일위대가표'!aaaa</definedName>
    <definedName name="aaaa">'8-2.설비자재산출(무인보안)'!aaaa</definedName>
    <definedName name="AAAA4">#REF!</definedName>
    <definedName name="AAAAA" localSheetId="13">'8-2.설비자재산출(무인보안)'!AAAAA</definedName>
    <definedName name="AAAAA" localSheetId="15">'8-4.일위대가표'!AAAAA</definedName>
    <definedName name="AAAAA">'8-2.설비자재산출(무인보안)'!AAAAA</definedName>
    <definedName name="AAAAA5">#REF!</definedName>
    <definedName name="aaaaaa" localSheetId="13" hidden="1">{#N/A,#N/A,FALSE,"속도"}</definedName>
    <definedName name="aaaaaa" hidden="1">{#N/A,#N/A,FALSE,"속도"}</definedName>
    <definedName name="aaaaaaaaa" localSheetId="13" hidden="1">{"'전체현황'!$A$18:$K$43","'전체현황'!$F$15"}</definedName>
    <definedName name="aaaaaaaaa" localSheetId="15" hidden="1">{"'전체현황'!$A$18:$K$43","'전체현황'!$F$15"}</definedName>
    <definedName name="aaaaaaaaa" hidden="1">{"'전체현황'!$A$18:$K$43","'전체현황'!$F$15"}</definedName>
    <definedName name="aaaaaaaaaa" localSheetId="13" hidden="1">{#N/A,#N/A,FALSE,"포장1";#N/A,#N/A,FALSE,"포장1"}</definedName>
    <definedName name="aaaaaaaaaa" hidden="1">{#N/A,#N/A,FALSE,"포장1";#N/A,#N/A,FALSE,"포장1"}</definedName>
    <definedName name="AAAAAAAAAAA">#REF!</definedName>
    <definedName name="aaaaaaaaaaaaaaa" localSheetId="13" hidden="1">{#N/A,#N/A,FALSE,"단가표지"}</definedName>
    <definedName name="aaaaaaaaaaaaaaa" hidden="1">{#N/A,#N/A,FALSE,"단가표지"}</definedName>
    <definedName name="AAAAAAAAAAAAAAAAA" localSheetId="13" hidden="1">{#N/A,#N/A,FALSE,"배수2"}</definedName>
    <definedName name="AAAAAAAAAAAAAAAAA" hidden="1">{#N/A,#N/A,FALSE,"배수2"}</definedName>
    <definedName name="aaaaaaaaaaaaaaaaaa" localSheetId="13" hidden="1">{#N/A,#N/A,FALSE,"단가표지"}</definedName>
    <definedName name="aaaaaaaaaaaaaaaaaa" hidden="1">{#N/A,#N/A,FALSE,"단가표지"}</definedName>
    <definedName name="aaaaaaaaaaaaaaaaaaa" localSheetId="13" hidden="1">{#N/A,#N/A,FALSE,"조골재"}</definedName>
    <definedName name="aaaaaaaaaaaaaaaaaaa" hidden="1">{#N/A,#N/A,FALSE,"조골재"}</definedName>
    <definedName name="aaaaaaaaaaaaaaaaaaaaa" localSheetId="13" hidden="1">{#N/A,#N/A,FALSE,"혼합골재"}</definedName>
    <definedName name="aaaaaaaaaaaaaaaaaaaaa" hidden="1">{#N/A,#N/A,FALSE,"혼합골재"}</definedName>
    <definedName name="AAAD">#REF!</definedName>
    <definedName name="AAADFDGGA">#REF!</definedName>
    <definedName name="AA형" localSheetId="13">[6]소요자재!$H$127</definedName>
    <definedName name="AA형">[23]소요자재!$H$127</definedName>
    <definedName name="ab" localSheetId="13">'8-2.설비자재산출(무인보안)'!ab</definedName>
    <definedName name="ab" localSheetId="15">'8-4.일위대가표'!ab</definedName>
    <definedName name="ab">'8-2.설비자재산출(무인보안)'!ab</definedName>
    <definedName name="ac" localSheetId="13">'8-2.설비자재산출(무인보안)'!ac</definedName>
    <definedName name="ac" localSheetId="15">'8-4.일위대가표'!ac</definedName>
    <definedName name="ac">'8-2.설비자재산출(무인보안)'!ac</definedName>
    <definedName name="ACCES">#REF!</definedName>
    <definedName name="Access_Button" hidden="1">"KT과금거리_지역좌표_970827_거리계산표_List"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"E:\내 문서\요금\KT과금거리 지역좌표_970827.mdb"</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TION_GB">#REF!</definedName>
    <definedName name="ACTION_ILBN">#REF!</definedName>
    <definedName name="ACTION_IUN">#REF!</definedName>
    <definedName name="ACTION_JA">#REF!</definedName>
    <definedName name="ACTION_NOMU">#REF!</definedName>
    <definedName name="ACTION_TOTAL">#REF!</definedName>
    <definedName name="acz">#REF!</definedName>
    <definedName name="ad" localSheetId="13">'8-2.설비자재산출(무인보안)'!ad</definedName>
    <definedName name="ad" localSheetId="15">'8-4.일위대가표'!ad</definedName>
    <definedName name="ad">'8-2.설비자재산출(무인보안)'!ad</definedName>
    <definedName name="ad_conv">#REF!</definedName>
    <definedName name="adapter" localSheetId="13">[29]소요자재!$H$171</definedName>
    <definedName name="adapter">[30]소요자재!$H$171</definedName>
    <definedName name="adfadfa" localSheetId="13" hidden="1">{#N/A,#N/A,FALSE,"구조2"}</definedName>
    <definedName name="adfadfa" hidden="1">{#N/A,#N/A,FALSE,"구조2"}</definedName>
    <definedName name="ae" localSheetId="13">'8-2.설비자재산출(무인보안)'!ae</definedName>
    <definedName name="ae" localSheetId="15">'8-4.일위대가표'!ae</definedName>
    <definedName name="ae">'8-2.설비자재산출(무인보안)'!ae</definedName>
    <definedName name="AEFWTWRWE" localSheetId="13" hidden="1">{#N/A,#N/A,FALSE,"배수1"}</definedName>
    <definedName name="AEFWTWRWE" hidden="1">{#N/A,#N/A,FALSE,"배수1"}</definedName>
    <definedName name="aer" localSheetId="29">#REF!,#REF!</definedName>
    <definedName name="aer" localSheetId="13">#REF!,#REF!</definedName>
    <definedName name="aer" localSheetId="19">#REF!,#REF!</definedName>
    <definedName name="aer">#REF!,#REF!</definedName>
    <definedName name="af" localSheetId="13">'8-2.설비자재산출(무인보안)'!af</definedName>
    <definedName name="af" localSheetId="15">'8-4.일위대가표'!af</definedName>
    <definedName name="af">'8-2.설비자재산출(무인보안)'!af</definedName>
    <definedName name="AFAFA" localSheetId="13" hidden="1">{#N/A,#N/A,FALSE,"부대1"}</definedName>
    <definedName name="AFAFA" hidden="1">{#N/A,#N/A,FALSE,"부대1"}</definedName>
    <definedName name="AFASFAS" localSheetId="13" hidden="1">{#N/A,#N/A,FALSE,"조골재"}</definedName>
    <definedName name="AFASFAS" hidden="1">{#N/A,#N/A,FALSE,"조골재"}</definedName>
    <definedName name="afcd" localSheetId="13" hidden="1">{"'220승압(공문첨부)'!$A$3:$E$123"}</definedName>
    <definedName name="afcd" localSheetId="15" hidden="1">{"'220승압(공문첨부)'!$A$3:$E$123"}</definedName>
    <definedName name="afcd" hidden="1">{"'220승압(공문첨부)'!$A$3:$E$123"}</definedName>
    <definedName name="AFC설비" localSheetId="13">[31]수량산출1!$A$528:$AB$626</definedName>
    <definedName name="AFC설비">[32]수량산출1!$A$528:$AB$626</definedName>
    <definedName name="AFDSFDSFDSAF" localSheetId="13" hidden="1">{#N/A,#N/A,FALSE,"혼합골재"}</definedName>
    <definedName name="AFDSFDSFDSAF" hidden="1">{#N/A,#N/A,FALSE,"혼합골재"}</definedName>
    <definedName name="AFDSFSADFSA" localSheetId="13" hidden="1">{#N/A,#N/A,FALSE,"토공2"}</definedName>
    <definedName name="AFDSFSADFSA" hidden="1">{#N/A,#N/A,FALSE,"토공2"}</definedName>
    <definedName name="AFFFFFFFFFFFFFFF" localSheetId="13" hidden="1">{#N/A,#N/A,FALSE,"단가표지"}</definedName>
    <definedName name="AFFFFFFFFFFFFFFF" hidden="1">{#N/A,#N/A,FALSE,"단가표지"}</definedName>
    <definedName name="AFSAFS" localSheetId="13" hidden="1">{#N/A,#N/A,FALSE,"표지목차"}</definedName>
    <definedName name="AFSAFS" hidden="1">{#N/A,#N/A,FALSE,"표지목차"}</definedName>
    <definedName name="AFSAFSA" localSheetId="13" hidden="1">{#N/A,#N/A,FALSE,"이정표"}</definedName>
    <definedName name="AFSAFSA" hidden="1">{#N/A,#N/A,FALSE,"이정표"}</definedName>
    <definedName name="AFSAFSAF" localSheetId="13" hidden="1">{#N/A,#N/A,FALSE,"운반시간"}</definedName>
    <definedName name="AFSAFSAF" hidden="1">{#N/A,#N/A,FALSE,"운반시간"}</definedName>
    <definedName name="AFSDAFSA" localSheetId="13" hidden="1">{#N/A,#N/A,FALSE,"속도"}</definedName>
    <definedName name="AFSDAFSA" hidden="1">{#N/A,#N/A,FALSE,"속도"}</definedName>
    <definedName name="AFSSAFSAFSAFSAFSAD" localSheetId="13" hidden="1">{#N/A,#N/A,FALSE,"배수1"}</definedName>
    <definedName name="AFSSAFSAFSAFSAFSAD" hidden="1">{#N/A,#N/A,FALSE,"배수1"}</definedName>
    <definedName name="ag" localSheetId="13">'8-2.설비자재산출(무인보안)'!ag</definedName>
    <definedName name="ag" localSheetId="15">'8-4.일위대가표'!ag</definedName>
    <definedName name="ag">'8-2.설비자재산출(무인보안)'!ag</definedName>
    <definedName name="AGJAKLAL">#REF!</definedName>
    <definedName name="ALNCARD이설">[33]단가표!#REF!</definedName>
    <definedName name="ANC">"Edit Box 57"</definedName>
    <definedName name="ANG_ARM_L">#REF!</definedName>
    <definedName name="ANG_ARM_S">#REF!</definedName>
    <definedName name="anscount" hidden="1">1</definedName>
    <definedName name="APT">#REF!</definedName>
    <definedName name="APTGI">#REF!</definedName>
    <definedName name="APT경비">#REF!</definedName>
    <definedName name="ARM_130">#REF!</definedName>
    <definedName name="ARM_250">#REF!</definedName>
    <definedName name="ARM_280">#REF!</definedName>
    <definedName name="ARM_300">#REF!</definedName>
    <definedName name="ARMTIE">#REF!</definedName>
    <definedName name="ARMTIE_1">#REF!</definedName>
    <definedName name="ART">#REF!</definedName>
    <definedName name="as" localSheetId="29" hidden="1">#REF!</definedName>
    <definedName name="as" localSheetId="13" hidden="1">#REF!</definedName>
    <definedName name="as" localSheetId="19" hidden="1">#REF!</definedName>
    <definedName name="as" hidden="1">#REF!</definedName>
    <definedName name="AS12.5">#REF!</definedName>
    <definedName name="asa" localSheetId="13">'8-2.설비자재산출(무인보안)'!asa</definedName>
    <definedName name="asa" localSheetId="15">'8-4.일위대가표'!asa</definedName>
    <definedName name="asa">'8-2.설비자재산출(무인보안)'!asa</definedName>
    <definedName name="ASADS">#REF!</definedName>
    <definedName name="ASAS" localSheetId="22" hidden="1">{#N/A,#N/A,FALSE,"DAOCM 2차 검토"}</definedName>
    <definedName name="ASAS" localSheetId="13" hidden="1">{#N/A,#N/A,FALSE,"DAOCM 2차 검토"}</definedName>
    <definedName name="ASAS" localSheetId="15" hidden="1">{#N/A,#N/A,FALSE,"DAOCM 2차 검토"}</definedName>
    <definedName name="ASAS" hidden="1">{#N/A,#N/A,FALSE,"DAOCM 2차 검토"}</definedName>
    <definedName name="ASD">#REF!</definedName>
    <definedName name="ASDF">#REF!</definedName>
    <definedName name="asdfasdfafdfd" localSheetId="13" hidden="1">{#N/A,#N/A,FALSE,"배수1"}</definedName>
    <definedName name="asdfasdfafdfd" hidden="1">{#N/A,#N/A,FALSE,"배수1"}</definedName>
    <definedName name="asfaf" localSheetId="13" hidden="1">{#N/A,#N/A,FALSE,"골재소요량";#N/A,#N/A,FALSE,"골재소요량"}</definedName>
    <definedName name="asfaf" hidden="1">{#N/A,#N/A,FALSE,"골재소요량";#N/A,#N/A,FALSE,"골재소요량"}</definedName>
    <definedName name="ASFG" localSheetId="13">'8-2.설비자재산출(무인보안)'!ASFG</definedName>
    <definedName name="ASFG" localSheetId="15">'8-4.일위대가표'!ASFG</definedName>
    <definedName name="ASFG">'8-2.설비자재산출(무인보안)'!ASFG</definedName>
    <definedName name="ASFGFGHJ" hidden="1">"CK-A2차정산내역서"</definedName>
    <definedName name="ASFGHJJ" localSheetId="13">'8-2.설비자재산출(무인보안)'!ASFGHJJ</definedName>
    <definedName name="ASFGHJJ" localSheetId="15">'8-4.일위대가표'!ASFGHJJ</definedName>
    <definedName name="ASFGHJJ">'8-2.설비자재산출(무인보안)'!ASFGHJJ</definedName>
    <definedName name="ASFSA" localSheetId="13" hidden="1">{#N/A,#N/A,FALSE,"포장1";#N/A,#N/A,FALSE,"포장1"}</definedName>
    <definedName name="ASFSA" hidden="1">{#N/A,#N/A,FALSE,"포장1";#N/A,#N/A,FALSE,"포장1"}</definedName>
    <definedName name="ASFSADFSAFSA" localSheetId="13" hidden="1">{#N/A,#N/A,FALSE,"부대2"}</definedName>
    <definedName name="ASFSADFSAFSA" hidden="1">{#N/A,#N/A,FALSE,"부대2"}</definedName>
    <definedName name="ASFSADFSDGAFDSAF" localSheetId="13" hidden="1">{#N/A,#N/A,FALSE,"2~8번"}</definedName>
    <definedName name="ASFSADFSDGAFDSAF" hidden="1">{#N/A,#N/A,FALSE,"2~8번"}</definedName>
    <definedName name="ASFSAFAS" localSheetId="13" hidden="1">{#N/A,#N/A,FALSE,"2~8번"}</definedName>
    <definedName name="ASFSAFAS" hidden="1">{#N/A,#N/A,FALSE,"2~8번"}</definedName>
    <definedName name="ASFSAFASFSA" localSheetId="13" hidden="1">{#N/A,#N/A,FALSE,"혼합골재"}</definedName>
    <definedName name="ASFSAFASFSA" hidden="1">{#N/A,#N/A,FALSE,"혼합골재"}</definedName>
    <definedName name="ASFSAFSA" localSheetId="13" hidden="1">{#N/A,#N/A,FALSE,"혼합골재"}</definedName>
    <definedName name="ASFSAFSA" hidden="1">{#N/A,#N/A,FALSE,"혼합골재"}</definedName>
    <definedName name="ASFSDAFSAF" localSheetId="13" hidden="1">{#N/A,#N/A,FALSE,"표지목차"}</definedName>
    <definedName name="ASFSDAFSAF" hidden="1">{#N/A,#N/A,FALSE,"표지목차"}</definedName>
    <definedName name="ASFSDFSDFSAD" localSheetId="13" hidden="1">{#N/A,#N/A,FALSE,"2~8번"}</definedName>
    <definedName name="ASFSDFSDFSAD" hidden="1">{#N/A,#N/A,FALSE,"2~8번"}</definedName>
    <definedName name="asg" localSheetId="13" hidden="1">{#N/A,#N/A,FALSE,"골재소요량";#N/A,#N/A,FALSE,"골재소요량"}</definedName>
    <definedName name="asg" hidden="1">{#N/A,#N/A,FALSE,"골재소요량";#N/A,#N/A,FALSE,"골재소요량"}</definedName>
    <definedName name="ASHJJK" localSheetId="13">'8-2.설비자재산출(무인보안)'!ASHJJK</definedName>
    <definedName name="ASHJJK" localSheetId="15">'8-4.일위대가표'!ASHJJK</definedName>
    <definedName name="ASHJJK">'8-2.설비자재산출(무인보안)'!ASHJJK</definedName>
    <definedName name="ASP">[34]참고!$A$2:$IV$13</definedName>
    <definedName name="ASP공수">#REF!</definedName>
    <definedName name="ASP긍장">#REF!</definedName>
    <definedName name="ASP깊이">#REF!</definedName>
    <definedName name="ASP모래1">#REF!</definedName>
    <definedName name="ASP모래2">#REF!</definedName>
    <definedName name="ASP밑면">#REF!</definedName>
    <definedName name="ASP윗면">#REF!</definedName>
    <definedName name="ASP중층">#REF!</definedName>
    <definedName name="ASP표층">#REF!</definedName>
    <definedName name="ass" localSheetId="29" hidden="1">#REF!</definedName>
    <definedName name="ass" localSheetId="13" hidden="1">#REF!</definedName>
    <definedName name="ass" localSheetId="19" hidden="1">#REF!</definedName>
    <definedName name="ass" hidden="1">#REF!</definedName>
    <definedName name="ASTE" localSheetId="13">[6]소요자재!$H$153</definedName>
    <definedName name="ASTE">[23]소요자재!$H$153</definedName>
    <definedName name="ASTE_4WEM">#REF!</definedName>
    <definedName name="ASTE_COM">#REF!</definedName>
    <definedName name="ASTE_OCUDPAR">#REF!</definedName>
    <definedName name="ASTE_PSU">#REF!</definedName>
    <definedName name="ASTE4W">#REF!</definedName>
    <definedName name="ASTECOM">#REF!</definedName>
    <definedName name="ASTEOCU">#REF!</definedName>
    <definedName name="ASTEPSU">#REF!</definedName>
    <definedName name="ASYN" localSheetId="13">[6]소요자재!$H$144</definedName>
    <definedName name="ASYN">[23]소요자재!$H$144</definedName>
    <definedName name="ATGH" localSheetId="13">'8-2.설비자재산출(무인보안)'!ATGH</definedName>
    <definedName name="ATGH" localSheetId="15">'8-4.일위대가표'!ATGH</definedName>
    <definedName name="ATGH">'8-2.설비자재산출(무인보안)'!ATGH</definedName>
    <definedName name="AUMX" localSheetId="13">[6]소요자재!$H$74</definedName>
    <definedName name="AUMX">[23]소요자재!$H$74</definedName>
    <definedName name="AV">#REF!</definedName>
    <definedName name="AVD" localSheetId="13">'8-2.설비자재산출(무인보안)'!AVD</definedName>
    <definedName name="AVD" localSheetId="15">'8-4.일위대가표'!AVD</definedName>
    <definedName name="AVD">'8-2.설비자재산출(무인보안)'!AVD</definedName>
    <definedName name="A형" localSheetId="13">[6]소요자재!$H$15</definedName>
    <definedName name="A형">[23]소요자재!$H$15</definedName>
    <definedName name="B">#REF!</definedName>
    <definedName name="B_">#REF!</definedName>
    <definedName name="BACK_HOME" localSheetId="13">'8-2.설비자재산출(무인보안)'!BACK_HOME</definedName>
    <definedName name="BACK_HOME" localSheetId="15">'8-4.일위대가표'!BACK_HOME</definedName>
    <definedName name="BACK_HOME">'8-2.설비자재산출(무인보안)'!BACK_HOME</definedName>
    <definedName name="bae">#REF!</definedName>
    <definedName name="BAIN">[19]아파트기별!$K$52</definedName>
    <definedName name="BAIN1">[19]아파트기별!$L$52</definedName>
    <definedName name="band1">#REF!</definedName>
    <definedName name="band2">#REF!</definedName>
    <definedName name="BB">[7]!BB</definedName>
    <definedName name="BBB">#REF!</definedName>
    <definedName name="bbbb" localSheetId="13" hidden="1">{#N/A,#N/A,FALSE,"단가표지"}</definedName>
    <definedName name="bbbb" hidden="1">{#N/A,#N/A,FALSE,"단가표지"}</definedName>
    <definedName name="bbbbb" localSheetId="13" hidden="1">{#N/A,#N/A,FALSE,"운반시간"}</definedName>
    <definedName name="bbbbb" hidden="1">{#N/A,#N/A,FALSE,"운반시간"}</definedName>
    <definedName name="bbbbbbb" localSheetId="13" hidden="1">{#N/A,#N/A,FALSE,"조골재"}</definedName>
    <definedName name="bbbbbbb" hidden="1">{#N/A,#N/A,FALSE,"조골재"}</definedName>
    <definedName name="bbbbbbbbbb" localSheetId="13" hidden="1">{#N/A,#N/A,FALSE,"표지목차"}</definedName>
    <definedName name="bbbbbbbbbb" hidden="1">{#N/A,#N/A,FALSE,"표지목차"}</definedName>
    <definedName name="bbbbbbbbbbbbb" localSheetId="13" hidden="1">{#N/A,#N/A,FALSE,"혼합골재"}</definedName>
    <definedName name="bbbbbbbbbbbbb" hidden="1">{#N/A,#N/A,FALSE,"혼합골재"}</definedName>
    <definedName name="BB형" localSheetId="13">[6]소요자재!$H$128</definedName>
    <definedName name="BB형">[23]소요자재!$H$128</definedName>
    <definedName name="BDLEN">#REF!</definedName>
    <definedName name="BDLEN_1">#REF!</definedName>
    <definedName name="BDLEN_2">#REF!</definedName>
    <definedName name="beauty">[35]기준자료!$C$26</definedName>
    <definedName name="BG" localSheetId="22" hidden="1">{"'광피스표'!$A$3:$N$54"}</definedName>
    <definedName name="BG" localSheetId="13" hidden="1">{"'광피스표'!$A$3:$N$54"}</definedName>
    <definedName name="BG" localSheetId="15" hidden="1">{"'광피스표'!$A$3:$N$54"}</definedName>
    <definedName name="BG" hidden="1">{"'광피스표'!$A$3:$N$54"}</definedName>
    <definedName name="BI" localSheetId="13" hidden="1">{#N/A,#N/A,FALSE,"이태원철근"}</definedName>
    <definedName name="BI" hidden="1">{#N/A,#N/A,FALSE,"이태원철근"}</definedName>
    <definedName name="bjjk">#REF!</definedName>
    <definedName name="bkk">#REF!</definedName>
    <definedName name="BLANK1" localSheetId="13">[6]소요자재!$H$82</definedName>
    <definedName name="BLANK1">[23]소요자재!$H$82</definedName>
    <definedName name="BLANK2" localSheetId="13">[6]소요자재!$H$83</definedName>
    <definedName name="BLANK2">[23]소요자재!$H$83</definedName>
    <definedName name="BLB">#REF!</definedName>
    <definedName name="BLS">#REF!</definedName>
    <definedName name="BM" localSheetId="29" hidden="1">#REF!</definedName>
    <definedName name="BM" localSheetId="13" hidden="1">#REF!</definedName>
    <definedName name="BM" localSheetId="19" hidden="1">#REF!</definedName>
    <definedName name="BM" hidden="1">#REF!</definedName>
    <definedName name="bo">#REF!</definedName>
    <definedName name="BRAKET">#REF!</definedName>
    <definedName name="BTYPE">#N/A</definedName>
    <definedName name="BU">#REF!</definedName>
    <definedName name="BUFFER1">#REF!</definedName>
    <definedName name="BUFFER2">#REF!</definedName>
    <definedName name="BUFFER3">#REF!</definedName>
    <definedName name="BUFFER4">#REF!</definedName>
    <definedName name="BUGI">#REF!</definedName>
    <definedName name="BUNHO">#N/A</definedName>
    <definedName name="BYTE" localSheetId="13">[6]소요자재!$H$53</definedName>
    <definedName name="BYTE">[23]소요자재!$H$53</definedName>
    <definedName name="bytesync">#REF!</definedName>
    <definedName name="B형" localSheetId="13">[6]소요자재!$H$16</definedName>
    <definedName name="B형">[23]소요자재!$H$16</definedName>
    <definedName name="C_">#REF!</definedName>
    <definedName name="C_1">#REF!</definedName>
    <definedName name="CA">#REF!</definedName>
    <definedName name="CA12C">[19]아파트기별!$I$52</definedName>
    <definedName name="CA7CS">[19]아파트기별!$J$52</definedName>
    <definedName name="cable">[35]기준자료!$C$12</definedName>
    <definedName name="CABLE_CLIP">#REF!</definedName>
    <definedName name="CABLE_TAIL">#REF!</definedName>
    <definedName name="CABLE_Tie">#REF!</definedName>
    <definedName name="CAL">#N/A</definedName>
    <definedName name="CALAA">#N/A</definedName>
    <definedName name="CALAB">#N/A</definedName>
    <definedName name="CALAC">#N/A</definedName>
    <definedName name="CALBA">#N/A</definedName>
    <definedName name="CALBB">#N/A</definedName>
    <definedName name="CALBC">#N/A</definedName>
    <definedName name="CALBD">#N/A</definedName>
    <definedName name="CALBE">#N/A</definedName>
    <definedName name="CALBF">#N/A</definedName>
    <definedName name="CALBG">#REF!</definedName>
    <definedName name="CALBH">#N/A</definedName>
    <definedName name="CALBI">#N/A</definedName>
    <definedName name="CALBJ">#N/A</definedName>
    <definedName name="CALBK">#N/A</definedName>
    <definedName name="CALBL">#N/A</definedName>
    <definedName name="CALCA">#N/A</definedName>
    <definedName name="CALCB">#N/A</definedName>
    <definedName name="CALCC">#REF!</definedName>
    <definedName name="CALCD">#N/A</definedName>
    <definedName name="CALCE">#REF!</definedName>
    <definedName name="CAMA적용여부">#REF!</definedName>
    <definedName name="camberWork">[7]!camberWork</definedName>
    <definedName name="CAP">[36]DATA!$C$4:$C$15</definedName>
    <definedName name="cate">"category"</definedName>
    <definedName name="CBIND1_1">#REF!</definedName>
    <definedName name="CBIND1_2">#REF!</definedName>
    <definedName name="CBIND2_1">#REF!</definedName>
    <definedName name="CBIND2_2">#REF!</definedName>
    <definedName name="CBIND3_1">#REF!</definedName>
    <definedName name="CBIND3_2">#REF!</definedName>
    <definedName name="cbl">#REF!</definedName>
    <definedName name="cbl_e">#REF!</definedName>
    <definedName name="cbl_ee">#REF!</definedName>
    <definedName name="cblee2">#REF!</definedName>
    <definedName name="cbn">#REF!</definedName>
    <definedName name="cc" localSheetId="13">'8-2.설비자재산출(무인보안)'!cc</definedName>
    <definedName name="cc" localSheetId="15">'8-4.일위대가표'!cc</definedName>
    <definedName name="cc">'8-2.설비자재산출(무인보안)'!cc</definedName>
    <definedName name="CCC">#REF!</definedName>
    <definedName name="cccc" localSheetId="13" hidden="1">{#N/A,#N/A,FALSE,"현장 NCR 분석";#N/A,#N/A,FALSE,"현장품질감사";#N/A,#N/A,FALSE,"현장품질감사"}</definedName>
    <definedName name="cccc" localSheetId="15" hidden="1">{#N/A,#N/A,FALSE,"현장 NCR 분석";#N/A,#N/A,FALSE,"현장품질감사";#N/A,#N/A,FALSE,"현장품질감사"}</definedName>
    <definedName name="cccc" hidden="1">{#N/A,#N/A,FALSE,"현장 NCR 분석";#N/A,#N/A,FALSE,"현장품질감사";#N/A,#N/A,FALSE,"현장품질감사"}</definedName>
    <definedName name="CCTV및장애자편의설비">#REF!</definedName>
    <definedName name="CCTV설비" localSheetId="13">[31]수량산출1!$A$324:$AB$468</definedName>
    <definedName name="CCTV설비">[32]수량산출1!$A$324:$AB$468</definedName>
    <definedName name="CC형" localSheetId="13">[6]소요자재!$H$129</definedName>
    <definedName name="CC형">[23]소요자재!$H$129</definedName>
    <definedName name="CELL">#REF!</definedName>
    <definedName name="CFR" localSheetId="13">'8-2.설비자재산출(무인보안)'!CFR</definedName>
    <definedName name="CFR" localSheetId="15">'8-4.일위대가표'!CFR</definedName>
    <definedName name="CFR">'8-2.설비자재산출(무인보안)'!CFR</definedName>
    <definedName name="cgmh" localSheetId="22" hidden="1">{"'용역비'!$A$4:$C$8"}</definedName>
    <definedName name="cgmh" localSheetId="34" hidden="1">{"'용역비'!$A$4:$C$8"}</definedName>
    <definedName name="cgmh" localSheetId="35" hidden="1">{"'용역비'!$A$4:$C$8"}</definedName>
    <definedName name="cgmh" localSheetId="36" hidden="1">{"'용역비'!$A$4:$C$8"}</definedName>
    <definedName name="cgmh" localSheetId="37" hidden="1">{"'용역비'!$A$4:$C$8"}</definedName>
    <definedName name="cgmh" localSheetId="13" hidden="1">{"'용역비'!$A$4:$C$8"}</definedName>
    <definedName name="cgmh" localSheetId="15" hidden="1">{"'용역비'!$A$4:$C$8"}</definedName>
    <definedName name="cgmh" hidden="1">{"'용역비'!$A$4:$C$8"}</definedName>
    <definedName name="changdata" localSheetId="29">[37]!changdata</definedName>
    <definedName name="changdata" localSheetId="19">[37]!changdata</definedName>
    <definedName name="changdata">[37]!changdata</definedName>
    <definedName name="CHAR1">#REF!</definedName>
    <definedName name="CHAR2">#REF!</definedName>
    <definedName name="Chart_1">"Chart 1"</definedName>
    <definedName name="CHASSIS" localSheetId="13">[6]소요자재!$H$52</definedName>
    <definedName name="CHASSIS">[23]소요자재!$H$52</definedName>
    <definedName name="CkmData">#REF!</definedName>
    <definedName name="clam1">#REF!</definedName>
    <definedName name="clam2">#REF!</definedName>
    <definedName name="CLAMP">#REF!</definedName>
    <definedName name="CLAMP_1">#REF!</definedName>
    <definedName name="CLK" localSheetId="13">[6]소요자재!$H$81</definedName>
    <definedName name="CLK">[23]소요자재!$H$81</definedName>
    <definedName name="CLVC3">0.1</definedName>
    <definedName name="CO0.6">#REF!</definedName>
    <definedName name="CO1.0">#REF!</definedName>
    <definedName name="CO20.0">#REF!</definedName>
    <definedName name="COAX12">#REF!</definedName>
    <definedName name="COAX12_1">#REF!</definedName>
    <definedName name="COAX12SS">#REF!</definedName>
    <definedName name="COAX17">#REF!</definedName>
    <definedName name="COAX17_1">#REF!</definedName>
    <definedName name="COAX5C">#REF!</definedName>
    <definedName name="COAX5C_1">#REF!</definedName>
    <definedName name="COAX5C_2">#REF!</definedName>
    <definedName name="COAX5CSS">#REF!</definedName>
    <definedName name="COAX5CSS_1">#REF!</definedName>
    <definedName name="COAX5CSS_2">#REF!</definedName>
    <definedName name="COAX7CSS">#REF!</definedName>
    <definedName name="COAX7CSS_1">#REF!</definedName>
    <definedName name="COAX7CSS_2">#REF!</definedName>
    <definedName name="CODE">#REF!</definedName>
    <definedName name="CODE1">#REF!</definedName>
    <definedName name="CODE2">#REF!</definedName>
    <definedName name="CODE3">#REF!</definedName>
    <definedName name="CODE4">#REF!</definedName>
    <definedName name="CODE5">#REF!</definedName>
    <definedName name="CODE6">#REF!</definedName>
    <definedName name="CODE7">#REF!</definedName>
    <definedName name="COM" localSheetId="13">[6]소요자재!$H$70</definedName>
    <definedName name="COM">[23]소요자재!$H$70</definedName>
    <definedName name="CONTROLLER" localSheetId="13">[6]소요자재!$H$51</definedName>
    <definedName name="CONTROLLER">[23]소요자재!$H$51</definedName>
    <definedName name="copy">#REF!</definedName>
    <definedName name="COPY990">#REF!</definedName>
    <definedName name="CORE융착접속" localSheetId="13">[29]노무산출서!$H$53</definedName>
    <definedName name="CORE융착접속">[30]노무산출서!$H$53</definedName>
    <definedName name="cost">#REF!</definedName>
    <definedName name="CPEV">#REF!</definedName>
    <definedName name="CPEV케이블" localSheetId="13">[29]소요자재!$H$186</definedName>
    <definedName name="CPEV케이블">[38]소요자재!#REF!</definedName>
    <definedName name="cpu">#REF!</definedName>
    <definedName name="CPU466P">#REF!</definedName>
    <definedName name="CPU500P">#REF!</definedName>
    <definedName name="cpu시험">#REF!</definedName>
    <definedName name="CPU시험기사">#REF!</definedName>
    <definedName name="CP내자">#REF!</definedName>
    <definedName name="CP외자">#REF!</definedName>
    <definedName name="CP출고">#REF!</definedName>
    <definedName name="CQ">#REF!</definedName>
    <definedName name="cq_508">#REF!</definedName>
    <definedName name="CQ_MUX">#REF!</definedName>
    <definedName name="cq_r">#REF!</definedName>
    <definedName name="cq_t">#REF!</definedName>
    <definedName name="CQAD">#REF!</definedName>
    <definedName name="CQDA">#REF!</definedName>
    <definedName name="CQE">#REF!</definedName>
    <definedName name="CQMUX">#REF!</definedName>
    <definedName name="CQOJC1">#REF!</definedName>
    <definedName name="CQOJC2">#REF!</definedName>
    <definedName name="CQOJC3">#REF!</definedName>
    <definedName name="CQT">#REF!</definedName>
    <definedName name="CR">#REF!</definedName>
    <definedName name="CRIMP5C">#REF!</definedName>
    <definedName name="CRIMP5C_1">#REF!</definedName>
    <definedName name="CRIMP5C_2">#REF!</definedName>
    <definedName name="CRIMP7C">#REF!</definedName>
    <definedName name="CRIMP7C_1">#REF!</definedName>
    <definedName name="CRIMP7C_2">#REF!</definedName>
    <definedName name="_xlnm.Criteria">#REF!</definedName>
    <definedName name="Criteria_MI">#REF!</definedName>
    <definedName name="CRP">#REF!</definedName>
    <definedName name="CRT">#REF!</definedName>
    <definedName name="CS_1">#REF!</definedName>
    <definedName name="CS_4">#REF!</definedName>
    <definedName name="CS_5">#REF!</definedName>
    <definedName name="CSD_1">#REF!</definedName>
    <definedName name="CSD_4">#REF!</definedName>
    <definedName name="CSD_5">#REF!</definedName>
    <definedName name="CSU" localSheetId="13">[6]소요자재!$H$168</definedName>
    <definedName name="CSU">[23]소요자재!$H$168</definedName>
    <definedName name="CV" localSheetId="22" hidden="1">{"'광피스표'!$A$3:$N$54"}</definedName>
    <definedName name="CV" localSheetId="13" hidden="1">{"'광피스표'!$A$3:$N$54"}</definedName>
    <definedName name="CV" localSheetId="15" hidden="1">{"'광피스표'!$A$3:$N$54"}</definedName>
    <definedName name="CV" hidden="1">{"'광피스표'!$A$3:$N$54"}</definedName>
    <definedName name="CVVS14">#REF!</definedName>
    <definedName name="CVVS55">#REF!</definedName>
    <definedName name="cxzbhvc" localSheetId="13" hidden="1">{#N/A,#N/A,FALSE,"현장 NCR 분석";#N/A,#N/A,FALSE,"현장품질감사";#N/A,#N/A,FALSE,"현장품질감사"}</definedName>
    <definedName name="cxzbhvc" localSheetId="15" hidden="1">{#N/A,#N/A,FALSE,"현장 NCR 분석";#N/A,#N/A,FALSE,"현장품질감사";#N/A,#N/A,FALSE,"현장품질감사"}</definedName>
    <definedName name="cxzbhvc" hidden="1">{#N/A,#N/A,FALSE,"현장 NCR 분석";#N/A,#N/A,FALSE,"현장품질감사";#N/A,#N/A,FALSE,"현장품질감사"}</definedName>
    <definedName name="C형" localSheetId="13">[6]소요자재!$H$17</definedName>
    <definedName name="C형">[23]소요자재!$H$17</definedName>
    <definedName name="D" localSheetId="4" hidden="1">{#N/A,#N/A,FALSE,"회선임차현황"}</definedName>
    <definedName name="d" localSheetId="13">'8-2.설비자재산출(무인보안)'!d</definedName>
    <definedName name="D" localSheetId="15" hidden="1">{#N/A,#N/A,FALSE,"회선임차현황"}</definedName>
    <definedName name="D" hidden="1">{#N/A,#N/A,FALSE,"회선임차현황"}</definedName>
    <definedName name="d_1">[18]설계명세서!#REF!</definedName>
    <definedName name="d_2">[18]설계명세서!#REF!</definedName>
    <definedName name="d_3">[18]설계명세서!#REF!</definedName>
    <definedName name="d_4">[18]설계명세서!#REF!</definedName>
    <definedName name="d_5">#REF!</definedName>
    <definedName name="D1S" localSheetId="13">[6]소요자재!$H$72</definedName>
    <definedName name="D1S">[23]소요자재!$H$72</definedName>
    <definedName name="D3S" localSheetId="13">[6]소요자재!$H$71</definedName>
    <definedName name="D3S">[23]소요자재!$H$71</definedName>
    <definedName name="da_conv">#REF!</definedName>
    <definedName name="DAA">#REF!</definedName>
    <definedName name="dan">#REF!</definedName>
    <definedName name="DAN_1">#REF!</definedName>
    <definedName name="DAN_2">#REF!</definedName>
    <definedName name="DANGA1">#REF!</definedName>
    <definedName name="DANGA10">#REF!</definedName>
    <definedName name="DANGA100">#REF!</definedName>
    <definedName name="DANGA101">#REF!</definedName>
    <definedName name="DANGA102">#REF!</definedName>
    <definedName name="DANGA103">#REF!</definedName>
    <definedName name="DANGA104">#REF!</definedName>
    <definedName name="DANGA105">#REF!</definedName>
    <definedName name="DANGA106">#REF!</definedName>
    <definedName name="DANGA107">#REF!</definedName>
    <definedName name="DANGA108">#REF!</definedName>
    <definedName name="DANGA109">#REF!</definedName>
    <definedName name="DANGA11">#REF!</definedName>
    <definedName name="DANGA110">#REF!</definedName>
    <definedName name="DANGA111">#REF!</definedName>
    <definedName name="DANGA112">#REF!</definedName>
    <definedName name="DANGA113">#REF!</definedName>
    <definedName name="DANGA114">#REF!</definedName>
    <definedName name="DANGA115">#REF!</definedName>
    <definedName name="DANGA116">#REF!</definedName>
    <definedName name="DANGA117">#REF!</definedName>
    <definedName name="DANGA118">#REF!</definedName>
    <definedName name="DANGA119">#REF!</definedName>
    <definedName name="DANGA12">#REF!</definedName>
    <definedName name="DANGA120">#REF!</definedName>
    <definedName name="DANGA121">#REF!</definedName>
    <definedName name="DANGA122">#REF!</definedName>
    <definedName name="DANGA123">#REF!</definedName>
    <definedName name="DANGA124">#REF!</definedName>
    <definedName name="DANGA125">#REF!</definedName>
    <definedName name="DANGA126">#REF!</definedName>
    <definedName name="DANGA127">#REF!</definedName>
    <definedName name="DANGA128">#REF!</definedName>
    <definedName name="DANGA129">#REF!</definedName>
    <definedName name="DANGA13">#REF!</definedName>
    <definedName name="DANGA130">#REF!</definedName>
    <definedName name="DANGA131">#REF!</definedName>
    <definedName name="DANGA132">#REF!</definedName>
    <definedName name="DANGA133">#REF!</definedName>
    <definedName name="DANGA134">#REF!</definedName>
    <definedName name="DANGA135">#REF!</definedName>
    <definedName name="DANGA136">#REF!</definedName>
    <definedName name="DANGA137">#REF!</definedName>
    <definedName name="DANGA138">#REF!</definedName>
    <definedName name="DANGA139">#REF!</definedName>
    <definedName name="DANGA14">#REF!</definedName>
    <definedName name="DANGA140">#REF!</definedName>
    <definedName name="DANGA141">#REF!</definedName>
    <definedName name="DANGA142">#REF!</definedName>
    <definedName name="DANGA143">#REF!</definedName>
    <definedName name="DANGA144">#REF!</definedName>
    <definedName name="DANGA145">#REF!</definedName>
    <definedName name="DANGA146">#REF!</definedName>
    <definedName name="DANGA147">#REF!</definedName>
    <definedName name="DANGA148">#REF!</definedName>
    <definedName name="DANGA149">#REF!</definedName>
    <definedName name="DANGA15">#REF!</definedName>
    <definedName name="DANGA150">#REF!</definedName>
    <definedName name="DANGA151">#REF!</definedName>
    <definedName name="DANGA152">#REF!</definedName>
    <definedName name="DANGA153">#REF!</definedName>
    <definedName name="DANGA154">#REF!</definedName>
    <definedName name="DANGA155">#REF!</definedName>
    <definedName name="DANGA156">#REF!</definedName>
    <definedName name="DANGA157">#REF!</definedName>
    <definedName name="DANGA158">#REF!</definedName>
    <definedName name="DANGA159">#REF!</definedName>
    <definedName name="DANGA16">#REF!</definedName>
    <definedName name="DANGA160">#REF!</definedName>
    <definedName name="DANGA161">#REF!</definedName>
    <definedName name="DANGA162">#REF!</definedName>
    <definedName name="DANGA163">#REF!</definedName>
    <definedName name="DANGA164">#REF!</definedName>
    <definedName name="DANGA165">#REF!</definedName>
    <definedName name="DANGA166">#REF!</definedName>
    <definedName name="DANGA167">#REF!</definedName>
    <definedName name="DANGA168">#REF!</definedName>
    <definedName name="DANGA169">#REF!</definedName>
    <definedName name="DANGA17">#REF!</definedName>
    <definedName name="DANGA170">#REF!</definedName>
    <definedName name="DANGA171">#REF!</definedName>
    <definedName name="DANGA172">#REF!</definedName>
    <definedName name="DANGA173">#REF!</definedName>
    <definedName name="DANGA174">#REF!</definedName>
    <definedName name="DANGA175">#REF!</definedName>
    <definedName name="DANGA176">#REF!</definedName>
    <definedName name="DANGA177">#REF!</definedName>
    <definedName name="DANGA178">#REF!</definedName>
    <definedName name="DANGA179">#REF!</definedName>
    <definedName name="DANGA18">#REF!</definedName>
    <definedName name="DANGA180">#REF!</definedName>
    <definedName name="DANGA181">#REF!</definedName>
    <definedName name="DANGA182">#REF!</definedName>
    <definedName name="DANGA183">#REF!</definedName>
    <definedName name="DANGA184">#REF!</definedName>
    <definedName name="DANGA185">#REF!</definedName>
    <definedName name="DANGA186">#REF!</definedName>
    <definedName name="DANGA187">#REF!</definedName>
    <definedName name="DANGA188">#REF!</definedName>
    <definedName name="DANGA189">#REF!</definedName>
    <definedName name="DANGA19">#REF!</definedName>
    <definedName name="DANGA190">#REF!</definedName>
    <definedName name="DANGA191">#REF!</definedName>
    <definedName name="DANGA192">#REF!</definedName>
    <definedName name="DANGA193">#REF!</definedName>
    <definedName name="DANGA194">#REF!</definedName>
    <definedName name="DANGA195">#REF!</definedName>
    <definedName name="DANGA196">#REF!</definedName>
    <definedName name="DANGA197">#REF!</definedName>
    <definedName name="DANGA198">#REF!</definedName>
    <definedName name="DANGA199">#REF!</definedName>
    <definedName name="DANGA2">#REF!</definedName>
    <definedName name="DANGA20">#REF!</definedName>
    <definedName name="DANGA200">#REF!</definedName>
    <definedName name="DANGA201">#REF!</definedName>
    <definedName name="DANGA202">#REF!</definedName>
    <definedName name="DANGA203">#REF!</definedName>
    <definedName name="DANGA204">#REF!</definedName>
    <definedName name="DANGA205">#REF!</definedName>
    <definedName name="DANGA206">#REF!</definedName>
    <definedName name="DANGA207">#REF!</definedName>
    <definedName name="DANGA208">#REF!</definedName>
    <definedName name="DANGA209">#REF!</definedName>
    <definedName name="DANGA21">#REF!</definedName>
    <definedName name="DANGA210">#REF!</definedName>
    <definedName name="DANGA211">#REF!</definedName>
    <definedName name="DANGA212">#REF!</definedName>
    <definedName name="DANGA213">#REF!</definedName>
    <definedName name="DANGA214">#REF!</definedName>
    <definedName name="DANGA215">#REF!</definedName>
    <definedName name="DANGA216">#REF!</definedName>
    <definedName name="DANGA217">#REF!</definedName>
    <definedName name="DANGA218">#REF!</definedName>
    <definedName name="DANGA219">#REF!</definedName>
    <definedName name="DANGA22">#REF!</definedName>
    <definedName name="DANGA220">#REF!</definedName>
    <definedName name="DANGA221">#REF!</definedName>
    <definedName name="DANGA222">#REF!</definedName>
    <definedName name="DANGA223">#REF!</definedName>
    <definedName name="DANGA224">#REF!</definedName>
    <definedName name="DANGA225">#REF!</definedName>
    <definedName name="DANGA226">#REF!</definedName>
    <definedName name="DANGA227">#REF!</definedName>
    <definedName name="DANGA228">#REF!</definedName>
    <definedName name="DANGA23">#REF!</definedName>
    <definedName name="DANGA24">#REF!</definedName>
    <definedName name="DANGA25">#REF!</definedName>
    <definedName name="DANGA26">#REF!</definedName>
    <definedName name="DANGA27">#REF!</definedName>
    <definedName name="DANGA28">#REF!</definedName>
    <definedName name="DANGA29">#REF!</definedName>
    <definedName name="DANGA3">#REF!</definedName>
    <definedName name="DANGA30">#REF!</definedName>
    <definedName name="DANGA31">#REF!</definedName>
    <definedName name="DANGA32">#REF!</definedName>
    <definedName name="DANGA33">#REF!</definedName>
    <definedName name="DANGA34">#REF!</definedName>
    <definedName name="DANGA35">#REF!</definedName>
    <definedName name="DANGA36">#REF!</definedName>
    <definedName name="DANGA37">#REF!</definedName>
    <definedName name="DANGA38">#REF!</definedName>
    <definedName name="DANGA39">#REF!</definedName>
    <definedName name="DANGA4">#REF!</definedName>
    <definedName name="DANGA40">#REF!</definedName>
    <definedName name="DANGA41">#REF!</definedName>
    <definedName name="DANGA42">#REF!</definedName>
    <definedName name="DANGA43">#REF!</definedName>
    <definedName name="DANGA44">#REF!</definedName>
    <definedName name="DANGA45">#REF!</definedName>
    <definedName name="DANGA46">#REF!</definedName>
    <definedName name="DANGA47">#REF!</definedName>
    <definedName name="DANGA48">#REF!</definedName>
    <definedName name="DANGA49">#REF!</definedName>
    <definedName name="DANGA5">#REF!</definedName>
    <definedName name="DANGA50">#REF!</definedName>
    <definedName name="DANGA51">#REF!</definedName>
    <definedName name="DANGA52">#REF!</definedName>
    <definedName name="DANGA53">#REF!</definedName>
    <definedName name="DANGA54">#REF!</definedName>
    <definedName name="DANGA55">#REF!</definedName>
    <definedName name="DANGA56">#REF!</definedName>
    <definedName name="DANGA57">#REF!</definedName>
    <definedName name="DANGA58">#REF!</definedName>
    <definedName name="DANGA59">#REF!</definedName>
    <definedName name="DANGA6">#REF!</definedName>
    <definedName name="DANGA60">#REF!</definedName>
    <definedName name="DANGA61">#REF!</definedName>
    <definedName name="DANGA62">#REF!</definedName>
    <definedName name="DANGA63">#REF!</definedName>
    <definedName name="DANGA64">#REF!</definedName>
    <definedName name="DANGA65">#REF!</definedName>
    <definedName name="DANGA66">#REF!</definedName>
    <definedName name="DANGA67">#REF!</definedName>
    <definedName name="DANGA68">#REF!</definedName>
    <definedName name="DANGA69">#REF!</definedName>
    <definedName name="DANGA7">#REF!</definedName>
    <definedName name="DANGA70">#REF!</definedName>
    <definedName name="DANGA71">#REF!</definedName>
    <definedName name="DANGA72">#REF!</definedName>
    <definedName name="DANGA73">#REF!</definedName>
    <definedName name="DANGA74">#REF!</definedName>
    <definedName name="DANGA75">#REF!</definedName>
    <definedName name="DANGA76">#REF!</definedName>
    <definedName name="DANGA77">#REF!</definedName>
    <definedName name="DANGA78">#REF!</definedName>
    <definedName name="DANGA79">#REF!</definedName>
    <definedName name="DANGA8">#REF!</definedName>
    <definedName name="DANGA80">#REF!</definedName>
    <definedName name="DANGA81">#REF!</definedName>
    <definedName name="DANGA82">#REF!</definedName>
    <definedName name="DANGA83">#REF!</definedName>
    <definedName name="DANGA84">#REF!</definedName>
    <definedName name="DANGA85">#REF!</definedName>
    <definedName name="DANGA86">#REF!</definedName>
    <definedName name="DANGA87">#REF!</definedName>
    <definedName name="DANGA88">#REF!</definedName>
    <definedName name="DANGA89">#REF!</definedName>
    <definedName name="DANGA9">#REF!</definedName>
    <definedName name="DANGA90">#REF!</definedName>
    <definedName name="DANGA91">#REF!</definedName>
    <definedName name="DANGA92">#REF!</definedName>
    <definedName name="DANGA93">#REF!</definedName>
    <definedName name="DANGA94">#REF!</definedName>
    <definedName name="DANGA95">#REF!</definedName>
    <definedName name="DANGA96">#REF!</definedName>
    <definedName name="DANGA97">#REF!</definedName>
    <definedName name="DANGA98">#REF!</definedName>
    <definedName name="DANGA99">#REF!</definedName>
    <definedName name="DANWI">#N/A</definedName>
    <definedName name="dasf" localSheetId="13" hidden="1">{#N/A,#N/A,FALSE,"구조2"}</definedName>
    <definedName name="dasf" hidden="1">{#N/A,#N/A,FALSE,"구조2"}</definedName>
    <definedName name="DAS소손2">#N/A</definedName>
    <definedName name="DATA">#REF!</definedName>
    <definedName name="DATABAS">#REF!</definedName>
    <definedName name="_xlnm.Database">#REF!</definedName>
    <definedName name="Database_MI">#REF!</definedName>
    <definedName name="database2">#REF!</definedName>
    <definedName name="datasort" localSheetId="13">'8-2.설비자재산출(무인보안)'!datasort</definedName>
    <definedName name="datasort" localSheetId="15">'8-4.일위대가표'!datasort</definedName>
    <definedName name="datasort">'8-2.설비자재산출(무인보안)'!datasort</definedName>
    <definedName name="dataww" localSheetId="29" hidden="1">#REF!</definedName>
    <definedName name="dataww" localSheetId="13" hidden="1">#REF!</definedName>
    <definedName name="dataww" localSheetId="19" hidden="1">#REF!</definedName>
    <definedName name="dataww" hidden="1">#REF!</definedName>
    <definedName name="datum">#REF!</definedName>
    <definedName name="DC">#REF!</definedName>
    <definedName name="DC_1">#REF!</definedName>
    <definedName name="DC_12">#REF!</definedName>
    <definedName name="DC_12_1">#REF!</definedName>
    <definedName name="DC_12_2">#REF!</definedName>
    <definedName name="DC_16">#REF!</definedName>
    <definedName name="DC_16_1">#REF!</definedName>
    <definedName name="DC_16_2">#REF!</definedName>
    <definedName name="DC_8">#REF!</definedName>
    <definedName name="DC_8_1">#REF!</definedName>
    <definedName name="DC_8_2">#REF!</definedName>
    <definedName name="DCC_P" localSheetId="29">ROUND([39]!DCC*100/#REF!,1)</definedName>
    <definedName name="DCC_P" localSheetId="13">ROUND([39]!DCC*100/#REF!,1)</definedName>
    <definedName name="DCC_P" localSheetId="19">ROUND([39]!DCC*100/#REF!,1)</definedName>
    <definedName name="DCC_P">ROUND([39]!DCC*100/#REF!,1)</definedName>
    <definedName name="dcenter">#REF!</definedName>
    <definedName name="DCN_P" localSheetId="29">ROUND([39]!DCN*100/#REF!,1)</definedName>
    <definedName name="DCN_P" localSheetId="13">ROUND([39]!DCN*100/#REF!,1)</definedName>
    <definedName name="DCN_P" localSheetId="19">ROUND([39]!DCN*100/#REF!,1)</definedName>
    <definedName name="DCN_P">ROUND([39]!DCN*100/#REF!,1)</definedName>
    <definedName name="DCO_P" localSheetId="29">ROUND([39]!DCO*100/#REF!,1)</definedName>
    <definedName name="DCO_P" localSheetId="13">ROUND([39]!DCO*100/#REF!,1)</definedName>
    <definedName name="DCO_P" localSheetId="19">ROUND([39]!DCO*100/#REF!,1)</definedName>
    <definedName name="DCO_P">ROUND([39]!DCO*100/#REF!,1)</definedName>
    <definedName name="DCSRANGE">#REF!</definedName>
    <definedName name="DCU" localSheetId="13">[6]소요자재!$H$80</definedName>
    <definedName name="DCU">[23]소요자재!$H$80</definedName>
    <definedName name="DC컨버터">#REF!</definedName>
    <definedName name="DD">#REF!</definedName>
    <definedName name="DDD" hidden="1">'[40]#REF'!$A$1:$A$292</definedName>
    <definedName name="DDDD" localSheetId="22" hidden="1">{#N/A,#N/A,FALSE,"회선임차현황"}</definedName>
    <definedName name="DDDD" localSheetId="13" hidden="1">{#N/A,#N/A,FALSE,"회선임차현황"}</definedName>
    <definedName name="DDDD" localSheetId="15" hidden="1">{#N/A,#N/A,FALSE,"회선임차현황"}</definedName>
    <definedName name="DDDD" hidden="1">{#N/A,#N/A,FALSE,"회선임차현황"}</definedName>
    <definedName name="ddddd" localSheetId="29" hidden="1">#REF!</definedName>
    <definedName name="ddddd" localSheetId="32" hidden="1">#REF!</definedName>
    <definedName name="ddddd" localSheetId="27" hidden="1">#REF!</definedName>
    <definedName name="ddddd" localSheetId="30" hidden="1">#REF!</definedName>
    <definedName name="ddddd" localSheetId="13" hidden="1">#REF!</definedName>
    <definedName name="ddddd" localSheetId="15" hidden="1">#REF!</definedName>
    <definedName name="ddddd" localSheetId="19" hidden="1">#REF!</definedName>
    <definedName name="ddddd" hidden="1">#REF!</definedName>
    <definedName name="dddddd" localSheetId="13" hidden="1">{#N/A,#N/A,FALSE,"이정표"}</definedName>
    <definedName name="dddddd" hidden="1">{#N/A,#N/A,FALSE,"이정표"}</definedName>
    <definedName name="dde">#N/A</definedName>
    <definedName name="DDJ" localSheetId="13" hidden="1">{#N/A,#N/A,FALSE,"골재소요량";#N/A,#N/A,FALSE,"골재소요량"}</definedName>
    <definedName name="DDJ" hidden="1">{#N/A,#N/A,FALSE,"골재소요량";#N/A,#N/A,FALSE,"골재소요량"}</definedName>
    <definedName name="DD형" localSheetId="13">[6]소요자재!$H$130</definedName>
    <definedName name="DD형">[23]소요자재!$H$130</definedName>
    <definedName name="de">#REF!</definedName>
    <definedName name="Dealer">#REF!</definedName>
    <definedName name="DEMO">#REF!</definedName>
    <definedName name="df" localSheetId="13">'8-2.설비자재산출(무인보안)'!df</definedName>
    <definedName name="df" localSheetId="15">'8-4.일위대가표'!df</definedName>
    <definedName name="df">'8-2.설비자재산출(무인보안)'!df</definedName>
    <definedName name="dfas">#REF!</definedName>
    <definedName name="DFASFD" localSheetId="13" hidden="1">{#N/A,#N/A,FALSE,"골재소요량";#N/A,#N/A,FALSE,"골재소요량"}</definedName>
    <definedName name="DFASFD" hidden="1">{#N/A,#N/A,FALSE,"골재소요량";#N/A,#N/A,FALSE,"골재소요량"}</definedName>
    <definedName name="dfasfdasfdasfasd" localSheetId="13" hidden="1">{"'산출근거'!$B$4:$D$8"}</definedName>
    <definedName name="dfasfdasfdasfasd" hidden="1">{"'산출근거'!$B$4:$D$8"}</definedName>
    <definedName name="DFDASFGDASG" localSheetId="13" hidden="1">{#N/A,#N/A,FALSE,"단가표지"}</definedName>
    <definedName name="DFDASFGDASG" hidden="1">{#N/A,#N/A,FALSE,"단가표지"}</definedName>
    <definedName name="DFDF" localSheetId="13" hidden="1">{#N/A,#N/A,FALSE,"조골재"}</definedName>
    <definedName name="DFDF" hidden="1">{#N/A,#N/A,FALSE,"조골재"}</definedName>
    <definedName name="DFDFDF" localSheetId="13" hidden="1">{#N/A,#N/A,FALSE,"단가표지"}</definedName>
    <definedName name="DFDFDF" hidden="1">{#N/A,#N/A,FALSE,"단가표지"}</definedName>
    <definedName name="DFDSADFADSF" localSheetId="13" hidden="1">{#N/A,#N/A,FALSE,"2~8번"}</definedName>
    <definedName name="DFDSADFADSF" hidden="1">{#N/A,#N/A,FALSE,"2~8번"}</definedName>
    <definedName name="DFDSAFDFD" localSheetId="13" hidden="1">{#N/A,#N/A,FALSE,"부대1"}</definedName>
    <definedName name="DFDSAFDFD" hidden="1">{#N/A,#N/A,FALSE,"부대1"}</definedName>
    <definedName name="DFDSAFSFG" localSheetId="13" hidden="1">{#N/A,#N/A,FALSE,"구조2"}</definedName>
    <definedName name="DFDSAFSFG" hidden="1">{#N/A,#N/A,FALSE,"구조2"}</definedName>
    <definedName name="DFDSAGFDSAG" localSheetId="13" hidden="1">{#N/A,#N/A,FALSE,"혼합골재"}</definedName>
    <definedName name="DFDSAGFDSAG" hidden="1">{#N/A,#N/A,FALSE,"혼합골재"}</definedName>
    <definedName name="DFDSFD" localSheetId="13" hidden="1">{#N/A,#N/A,FALSE,"속도"}</definedName>
    <definedName name="DFDSFD" hidden="1">{#N/A,#N/A,FALSE,"속도"}</definedName>
    <definedName name="DFDSFDFDFD" localSheetId="13" hidden="1">{#N/A,#N/A,FALSE,"구조1"}</definedName>
    <definedName name="DFDSFDFDFD" hidden="1">{#N/A,#N/A,FALSE,"구조1"}</definedName>
    <definedName name="DFDSFDS" localSheetId="13" hidden="1">{#N/A,#N/A,FALSE,"부대2"}</definedName>
    <definedName name="DFDSFDS" hidden="1">{#N/A,#N/A,FALSE,"부대2"}</definedName>
    <definedName name="DFDSSF" localSheetId="13" hidden="1">{#N/A,#N/A,FALSE,"이정표"}</definedName>
    <definedName name="DFDSSF" hidden="1">{#N/A,#N/A,FALSE,"이정표"}</definedName>
    <definedName name="dff">#REF!</definedName>
    <definedName name="dffdff"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dffdff"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dffryryt" localSheetId="13" hidden="1">{#N/A,#N/A,FALSE,"속도"}</definedName>
    <definedName name="dffryryt" hidden="1">{#N/A,#N/A,FALSE,"속도"}</definedName>
    <definedName name="DFGADSGAFDG" localSheetId="13" hidden="1">{#N/A,#N/A,FALSE,"운반시간"}</definedName>
    <definedName name="DFGADSGAFDG" hidden="1">{#N/A,#N/A,FALSE,"운반시간"}</definedName>
    <definedName name="DFGDS" localSheetId="13">'8-2.설비자재산출(무인보안)'!DFGDS</definedName>
    <definedName name="DFGDS" localSheetId="15">'8-4.일위대가표'!DFGDS</definedName>
    <definedName name="DFGDS">'8-2.설비자재산출(무인보안)'!DFGDS</definedName>
    <definedName name="DFGFDHDFH" localSheetId="22" hidden="1">{"'광피스표'!$A$3:$N$54"}</definedName>
    <definedName name="DFGFDHDFH" localSheetId="34" hidden="1">{"'광피스표'!$A$3:$N$54"}</definedName>
    <definedName name="DFGFDHDFH" localSheetId="35" hidden="1">{"'광피스표'!$A$3:$N$54"}</definedName>
    <definedName name="DFGFDHDFH" localSheetId="36" hidden="1">{"'광피스표'!$A$3:$N$54"}</definedName>
    <definedName name="DFGFDHDFH" localSheetId="37" hidden="1">{"'광피스표'!$A$3:$N$54"}</definedName>
    <definedName name="DFGFDHDFH" localSheetId="13" hidden="1">{"'광피스표'!$A$3:$N$54"}</definedName>
    <definedName name="DFGFDHDFH" localSheetId="15" hidden="1">{"'광피스표'!$A$3:$N$54"}</definedName>
    <definedName name="DFGFDHDFH" hidden="1">{"'광피스표'!$A$3:$N$54"}</definedName>
    <definedName name="DFGH">#REF!</definedName>
    <definedName name="DFHDFHRE" localSheetId="13" hidden="1">{#N/A,#N/A,FALSE,"속도"}</definedName>
    <definedName name="DFHDFHRE" hidden="1">{#N/A,#N/A,FALSE,"속도"}</definedName>
    <definedName name="DFJLKDSKF" localSheetId="13" hidden="1">{#N/A,#N/A,FALSE,"골재소요량";#N/A,#N/A,FALSE,"골재소요량"}</definedName>
    <definedName name="DFJLKDSKF" hidden="1">{#N/A,#N/A,FALSE,"골재소요량";#N/A,#N/A,FALSE,"골재소요량"}</definedName>
    <definedName name="DFNGNH" localSheetId="13">'8-2.설비자재산출(무인보안)'!DFNGNH</definedName>
    <definedName name="DFNGNH" localSheetId="15">'8-4.일위대가표'!DFNGNH</definedName>
    <definedName name="DFNGNH">'8-2.설비자재산출(무인보안)'!DFNGNH</definedName>
    <definedName name="DFS">[41]소요자재!$H$39</definedName>
    <definedName name="dfsafs">#REF!</definedName>
    <definedName name="dfsf" localSheetId="29" hidden="1">#REF!</definedName>
    <definedName name="dfsf" localSheetId="13" hidden="1">#REF!</definedName>
    <definedName name="dfsf" localSheetId="19" hidden="1">#REF!</definedName>
    <definedName name="dfsf" hidden="1">#REF!</definedName>
    <definedName name="DFSGGJHGHKK" localSheetId="13">'8-2.설비자재산출(무인보안)'!DFSGGJHGHKK</definedName>
    <definedName name="DFSGGJHGHKK" localSheetId="15">'8-4.일위대가표'!DFSGGJHGHKK</definedName>
    <definedName name="DFSGGJHGHKK">'8-2.설비자재산출(무인보안)'!DFSGGJHGHKK</definedName>
    <definedName name="dfsladfl" localSheetId="13">'8-2.설비자재산출(무인보안)'!dfsladfl</definedName>
    <definedName name="dfsladfl" localSheetId="15">'8-4.일위대가표'!dfsladfl</definedName>
    <definedName name="dfsladfl">'8-2.설비자재산출(무인보안)'!dfsladfl</definedName>
    <definedName name="DGDFGFGDG" localSheetId="13" hidden="1">{#N/A,#N/A,FALSE,"배수1"}</definedName>
    <definedName name="DGDFGFGDG" hidden="1">{#N/A,#N/A,FALSE,"배수1"}</definedName>
    <definedName name="dgf" localSheetId="13" hidden="1">{"'산출근거'!$B$4:$D$8"}</definedName>
    <definedName name="dgf" hidden="1">{"'산출근거'!$B$4:$D$8"}</definedName>
    <definedName name="DGGNHNH" localSheetId="13">'8-2.설비자재산출(무인보안)'!DGGNHNH</definedName>
    <definedName name="DGGNHNH" localSheetId="15">'8-4.일위대가표'!DGGNHNH</definedName>
    <definedName name="DGGNHNH">'8-2.설비자재산출(무인보안)'!DGGNHNH</definedName>
    <definedName name="DGKALKFKGKLGAA">#REF!</definedName>
    <definedName name="DGKJALKAA">#REF!</definedName>
    <definedName name="dhj" localSheetId="22" hidden="1">{"'용역비'!$A$4:$C$8"}</definedName>
    <definedName name="dhj" localSheetId="34" hidden="1">{"'용역비'!$A$4:$C$8"}</definedName>
    <definedName name="dhj" localSheetId="35" hidden="1">{"'용역비'!$A$4:$C$8"}</definedName>
    <definedName name="dhj" localSheetId="36" hidden="1">{"'용역비'!$A$4:$C$8"}</definedName>
    <definedName name="dhj" localSheetId="37" hidden="1">{"'용역비'!$A$4:$C$8"}</definedName>
    <definedName name="dhj" localSheetId="13" hidden="1">{"'용역비'!$A$4:$C$8"}</definedName>
    <definedName name="dhj" localSheetId="15" hidden="1">{"'용역비'!$A$4:$C$8"}</definedName>
    <definedName name="dhj" hidden="1">{"'용역비'!$A$4:$C$8"}</definedName>
    <definedName name="dinput" localSheetId="29">[37]!dinput</definedName>
    <definedName name="dinput" localSheetId="19">[37]!dinput</definedName>
    <definedName name="dinput">[37]!dinput</definedName>
    <definedName name="Discount">#REF!</definedName>
    <definedName name="djflkdslfj" localSheetId="29" hidden="1">#REF!</definedName>
    <definedName name="djflkdslfj" localSheetId="13" hidden="1">#REF!</definedName>
    <definedName name="djflkdslfj" localSheetId="19" hidden="1">#REF!</definedName>
    <definedName name="djflkdslfj" hidden="1">#REF!</definedName>
    <definedName name="DKC" localSheetId="13" hidden="1">{#N/A,#N/A,FALSE,"현장 NCR 분석";#N/A,#N/A,FALSE,"현장품질감사";#N/A,#N/A,FALSE,"현장품질감사"}</definedName>
    <definedName name="DKC" localSheetId="15" hidden="1">{#N/A,#N/A,FALSE,"현장 NCR 분석";#N/A,#N/A,FALSE,"현장품질감사";#N/A,#N/A,FALSE,"현장품질감사"}</definedName>
    <definedName name="DKC" hidden="1">{#N/A,#N/A,FALSE,"현장 NCR 분석";#N/A,#N/A,FALSE,"현장품질감사";#N/A,#N/A,FALSE,"현장품질감사"}</definedName>
    <definedName name="DKDKDKD" localSheetId="13" hidden="1">{"'용역비'!$A$4:$C$8"}</definedName>
    <definedName name="DKDKDKD" localSheetId="15" hidden="1">{"'용역비'!$A$4:$C$8"}</definedName>
    <definedName name="DKDKDKD" hidden="1">{"'용역비'!$A$4:$C$8"}</definedName>
    <definedName name="dkdkkdd"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dkdkkdd"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DKFDKF" localSheetId="29" hidden="1">[42]조명시설!#REF!</definedName>
    <definedName name="DKFDKF" localSheetId="19" hidden="1">[42]조명시설!#REF!</definedName>
    <definedName name="DKFDKF" hidden="1">[42]조명시설!#REF!</definedName>
    <definedName name="dkm">#REF!</definedName>
    <definedName name="DLD" localSheetId="13" hidden="1">{"'산출근거'!$B$4:$D$8"}</definedName>
    <definedName name="DLD" hidden="1">{"'산출근거'!$B$4:$D$8"}</definedName>
    <definedName name="dldldldll" localSheetId="29" hidden="1">[43]조명시설!#REF!</definedName>
    <definedName name="dldldldll" localSheetId="19" hidden="1">[43]조명시설!#REF!</definedName>
    <definedName name="dldldldll" hidden="1">[43]조명시설!#REF!</definedName>
    <definedName name="dlff" localSheetId="13" hidden="1">{#N/A,#N/A,FALSE,"운반시간"}</definedName>
    <definedName name="dlff" hidden="1">{#N/A,#N/A,FALSE,"운반시간"}</definedName>
    <definedName name="DLGKSFWN" localSheetId="29" hidden="1">[42]조명시설!#REF!</definedName>
    <definedName name="DLGKSFWN" localSheetId="19" hidden="1">[42]조명시설!#REF!</definedName>
    <definedName name="DLGKSFWN" hidden="1">[42]조명시설!#REF!</definedName>
    <definedName name="dljf" localSheetId="29" hidden="1">#REF!</definedName>
    <definedName name="dljf" localSheetId="32" hidden="1">#REF!</definedName>
    <definedName name="dljf" localSheetId="27" hidden="1">#REF!</definedName>
    <definedName name="dljf" localSheetId="30" hidden="1">#REF!</definedName>
    <definedName name="dljf" localSheetId="13" hidden="1">#REF!</definedName>
    <definedName name="dljf" localSheetId="15" hidden="1">#REF!</definedName>
    <definedName name="dljf" localSheetId="19" hidden="1">#REF!</definedName>
    <definedName name="dljf" hidden="1">#REF!</definedName>
    <definedName name="DM">'[44]4차설계'!#REF!</definedName>
    <definedName name="DM_1">#REF!</definedName>
    <definedName name="dn" localSheetId="13" hidden="1">{#N/A,#N/A,FALSE,"혼합골재"}</definedName>
    <definedName name="dn" hidden="1">{#N/A,#N/A,FALSE,"혼합골재"}</definedName>
    <definedName name="DNS"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DNS"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DNS"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DNSQKSQL"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DNSQKSQL"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DNSQKSQL"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do_tot">#REF!</definedName>
    <definedName name="DONG">"List Box 2"</definedName>
    <definedName name="DpFKDL" localSheetId="13" hidden="1">{#N/A,#N/A,FALSE,"이태원철근"}</definedName>
    <definedName name="DpFKDL" hidden="1">{#N/A,#N/A,FALSE,"이태원철근"}</definedName>
    <definedName name="DRIVE">#REF!</definedName>
    <definedName name="drsg">#REF!</definedName>
    <definedName name="DS_SDA">#REF!</definedName>
    <definedName name="DS1E" localSheetId="13">[6]소요자재!$H$73</definedName>
    <definedName name="DS1E">[23]소요자재!$H$73</definedName>
    <definedName name="DS3시외할인">#REF!</definedName>
    <definedName name="DS3할인">#REF!</definedName>
    <definedName name="DSA" localSheetId="13" hidden="1">{#N/A,#N/A,FALSE,"포장1";#N/A,#N/A,FALSE,"포장1"}</definedName>
    <definedName name="DSA" hidden="1">{#N/A,#N/A,FALSE,"포장1";#N/A,#N/A,FALSE,"포장1"}</definedName>
    <definedName name="dsaf" localSheetId="13" hidden="1">{#N/A,#N/A,FALSE,"조골재"}</definedName>
    <definedName name="dsaf" hidden="1">{#N/A,#N/A,FALSE,"조골재"}</definedName>
    <definedName name="DSAH">[7]!DSAH</definedName>
    <definedName name="dsaHG" localSheetId="13" hidden="1">{#N/A,#N/A,FALSE,"골재소요량";#N/A,#N/A,FALSE,"골재소요량"}</definedName>
    <definedName name="dsaHG" hidden="1">{#N/A,#N/A,FALSE,"골재소요량";#N/A,#N/A,FALSE,"골재소요량"}</definedName>
    <definedName name="dsalkfj">#N/A</definedName>
    <definedName name="dsdsd" localSheetId="13" hidden="1">{#N/A,#N/A,FALSE,"운반시간"}</definedName>
    <definedName name="dsdsd" hidden="1">{#N/A,#N/A,FALSE,"운반시간"}</definedName>
    <definedName name="dsf"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dsf"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dsf"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dsfsdfsdfsd3." localSheetId="29" hidden="1">#REF!</definedName>
    <definedName name="dsfsdfsdfsd3." localSheetId="13" hidden="1">#REF!</definedName>
    <definedName name="dsfsdfsdfsd3." localSheetId="19" hidden="1">#REF!</definedName>
    <definedName name="dsfsdfsdfsd3." hidden="1">#REF!</definedName>
    <definedName name="DSGSFWERD" localSheetId="13" hidden="1">{#N/A,#N/A,FALSE,"골재소요량";#N/A,#N/A,FALSE,"골재소요량"}</definedName>
    <definedName name="DSGSFWERD" hidden="1">{#N/A,#N/A,FALSE,"골재소요량";#N/A,#N/A,FALSE,"골재소요량"}</definedName>
    <definedName name="DSU">#REF!</definedName>
    <definedName name="durt" localSheetId="13" hidden="1">{#N/A,#N/A,FALSE,"골재소요량";#N/A,#N/A,FALSE,"골재소요량"}</definedName>
    <definedName name="durt" hidden="1">{#N/A,#N/A,FALSE,"골재소요량";#N/A,#N/A,FALSE,"골재소요량"}</definedName>
    <definedName name="DW" localSheetId="13" hidden="1">{#N/A,#N/A,FALSE,"배수2"}</definedName>
    <definedName name="DW" hidden="1">{#N/A,#N/A,FALSE,"배수2"}</definedName>
    <definedName name="D열">#REF!</definedName>
    <definedName name="D형" localSheetId="13">[6]소요자재!$H$18</definedName>
    <definedName name="D형">[23]소요자재!$H$18</definedName>
    <definedName name="E">#REF!</definedName>
    <definedName name="E1_3240">#REF!</definedName>
    <definedName name="E10M">#REF!</definedName>
    <definedName name="E10P">#REF!</definedName>
    <definedName name="E11M">#REF!</definedName>
    <definedName name="E11P">#REF!</definedName>
    <definedName name="E12M">#REF!</definedName>
    <definedName name="E12P">#REF!</definedName>
    <definedName name="E13M">#REF!</definedName>
    <definedName name="E13P">#REF!</definedName>
    <definedName name="E14M">#REF!</definedName>
    <definedName name="E14P">#REF!</definedName>
    <definedName name="E15M">#REF!</definedName>
    <definedName name="E15P">#REF!</definedName>
    <definedName name="E16M">#REF!</definedName>
    <definedName name="E16P">#REF!</definedName>
    <definedName name="E17M">#REF!</definedName>
    <definedName name="E17P">#REF!</definedName>
    <definedName name="E18M">#REF!</definedName>
    <definedName name="E18P">#REF!</definedName>
    <definedName name="E19M">#REF!</definedName>
    <definedName name="E19P">#REF!</definedName>
    <definedName name="E1E">#REF!</definedName>
    <definedName name="E1M">#REF!</definedName>
    <definedName name="E1P">#REF!</definedName>
    <definedName name="E20M">#REF!</definedName>
    <definedName name="E20P">#REF!</definedName>
    <definedName name="E21M">#REF!</definedName>
    <definedName name="E21P">#REF!</definedName>
    <definedName name="E22M">#REF!</definedName>
    <definedName name="E22P">#REF!</definedName>
    <definedName name="E23M">#REF!</definedName>
    <definedName name="E23P">#REF!</definedName>
    <definedName name="E24M">#REF!</definedName>
    <definedName name="E24P">#REF!</definedName>
    <definedName name="E25M">#REF!</definedName>
    <definedName name="E25P">#REF!</definedName>
    <definedName name="E26E">#REF!</definedName>
    <definedName name="E26M">#REF!</definedName>
    <definedName name="E26P">#REF!</definedName>
    <definedName name="E27E">#REF!</definedName>
    <definedName name="E27M">#REF!</definedName>
    <definedName name="E27P">#REF!</definedName>
    <definedName name="E28E">#REF!</definedName>
    <definedName name="E28M">#REF!</definedName>
    <definedName name="E28P">#REF!</definedName>
    <definedName name="E29M">#REF!</definedName>
    <definedName name="E29P">#REF!</definedName>
    <definedName name="E2E">#REF!</definedName>
    <definedName name="E2M">#REF!</definedName>
    <definedName name="E2P">#REF!</definedName>
    <definedName name="E30M">#REF!</definedName>
    <definedName name="E30P">#REF!</definedName>
    <definedName name="E31E">#REF!</definedName>
    <definedName name="E31M">#REF!</definedName>
    <definedName name="E31P">#REF!</definedName>
    <definedName name="E32E">#REF!</definedName>
    <definedName name="E32M">#REF!</definedName>
    <definedName name="E32P">#REF!</definedName>
    <definedName name="E33E">#REF!</definedName>
    <definedName name="E33M">#REF!</definedName>
    <definedName name="E33P">#REF!</definedName>
    <definedName name="E34E">#REF!</definedName>
    <definedName name="E34M">#REF!</definedName>
    <definedName name="E34P">#REF!</definedName>
    <definedName name="E35M">#REF!</definedName>
    <definedName name="E35P">#REF!</definedName>
    <definedName name="E36M">#REF!</definedName>
    <definedName name="E36P">#REF!</definedName>
    <definedName name="E37M">#REF!</definedName>
    <definedName name="E37P">#REF!</definedName>
    <definedName name="E38M">#REF!</definedName>
    <definedName name="E38P">#REF!</definedName>
    <definedName name="E39M">#REF!</definedName>
    <definedName name="E39P">#REF!</definedName>
    <definedName name="E3P">#REF!</definedName>
    <definedName name="E40M">#REF!</definedName>
    <definedName name="E40P">#REF!</definedName>
    <definedName name="E41M">#REF!</definedName>
    <definedName name="E41P">#REF!</definedName>
    <definedName name="E42M">#REF!</definedName>
    <definedName name="E42P">#REF!</definedName>
    <definedName name="E43M">#REF!</definedName>
    <definedName name="E43P">#REF!</definedName>
    <definedName name="E44M">#REF!</definedName>
    <definedName name="E44P">#REF!</definedName>
    <definedName name="E45M">#REF!</definedName>
    <definedName name="E45P">#REF!</definedName>
    <definedName name="E46M">#REF!</definedName>
    <definedName name="E46P">#REF!</definedName>
    <definedName name="E47M">#REF!</definedName>
    <definedName name="E47P">#REF!</definedName>
    <definedName name="E48M">#REF!</definedName>
    <definedName name="E48P">#REF!</definedName>
    <definedName name="E49M">#REF!</definedName>
    <definedName name="E49P">#REF!</definedName>
    <definedName name="E4M">#REF!</definedName>
    <definedName name="E4P">#REF!</definedName>
    <definedName name="E50M">#REF!</definedName>
    <definedName name="E50P">#REF!</definedName>
    <definedName name="E51E">#REF!</definedName>
    <definedName name="E52M">#REF!</definedName>
    <definedName name="E52P">#REF!</definedName>
    <definedName name="E53M">#REF!</definedName>
    <definedName name="E53P">#REF!</definedName>
    <definedName name="E54M">#REF!</definedName>
    <definedName name="E54P">#REF!</definedName>
    <definedName name="E55M">#REF!</definedName>
    <definedName name="E55P">#REF!</definedName>
    <definedName name="E56M">#REF!</definedName>
    <definedName name="E56P">#REF!</definedName>
    <definedName name="E57M">#REF!</definedName>
    <definedName name="E57P">#REF!</definedName>
    <definedName name="E58M">#REF!</definedName>
    <definedName name="E58P">#REF!</definedName>
    <definedName name="E59M">#REF!</definedName>
    <definedName name="E59P">#REF!</definedName>
    <definedName name="E5M">#REF!</definedName>
    <definedName name="E5P">#REF!</definedName>
    <definedName name="E60M">#REF!</definedName>
    <definedName name="E60P">#REF!</definedName>
    <definedName name="E61M">#REF!</definedName>
    <definedName name="E61P">#REF!</definedName>
    <definedName name="E62M">#REF!</definedName>
    <definedName name="E62P">#REF!</definedName>
    <definedName name="E63M">#REF!</definedName>
    <definedName name="E63P">#REF!</definedName>
    <definedName name="E64M">#REF!</definedName>
    <definedName name="E64P">#REF!</definedName>
    <definedName name="E65M">#REF!</definedName>
    <definedName name="E65P">#REF!</definedName>
    <definedName name="E66M">#REF!</definedName>
    <definedName name="E66P">#REF!</definedName>
    <definedName name="E67M">#REF!</definedName>
    <definedName name="E67P">#REF!</definedName>
    <definedName name="E68M">#REF!</definedName>
    <definedName name="E6M">#REF!</definedName>
    <definedName name="E6P">#REF!</definedName>
    <definedName name="E7M">#REF!</definedName>
    <definedName name="E7P">#REF!</definedName>
    <definedName name="E8M">#REF!</definedName>
    <definedName name="E8P">#REF!</definedName>
    <definedName name="E9M">#REF!</definedName>
    <definedName name="E9P">#REF!</definedName>
    <definedName name="EA">[19]아파트기별!$V$52</definedName>
    <definedName name="EA_1">#REF!</definedName>
    <definedName name="EARCA">#N/A</definedName>
    <definedName name="EARCB">#N/A</definedName>
    <definedName name="EARTH">[7]!EARTH</definedName>
    <definedName name="EARTHSAPDATA.StartProgram">[7]!EARTHSAPDATA.StartProgram</definedName>
    <definedName name="EARTHSAPDATA.StartProgram1">[7]!EARTHSAPDATA.StartProgram1</definedName>
    <definedName name="EARTHSAPDATA.StartProgram2">[7]!EARTHSAPDATA.StartProgram2</definedName>
    <definedName name="EB">#REF!</definedName>
    <definedName name="ECARD" localSheetId="13">[6]소요자재!$H$142</definedName>
    <definedName name="ECARD">[23]소요자재!$H$142</definedName>
    <definedName name="ED_1">#REF!</definedName>
    <definedName name="ED_4">#REF!</definedName>
    <definedName name="ED_5">#REF!</definedName>
    <definedName name="edgh">#REF!</definedName>
    <definedName name="edssqq" localSheetId="13" hidden="1">{#N/A,#N/A,FALSE,"혼합골재"}</definedName>
    <definedName name="edssqq" hidden="1">{#N/A,#N/A,FALSE,"혼합골재"}</definedName>
    <definedName name="EDT">#N/A</definedName>
    <definedName name="edtgh">#REF!</definedName>
    <definedName name="ee" localSheetId="13" hidden="1">{#N/A,#N/A,FALSE,"단가표지"}</definedName>
    <definedName name="ee" hidden="1">{#N/A,#N/A,FALSE,"단가표지"}</definedName>
    <definedName name="eee" localSheetId="13" hidden="1">{#N/A,#N/A,FALSE,"2~8번"}</definedName>
    <definedName name="eee" hidden="1">{#N/A,#N/A,FALSE,"2~8번"}</definedName>
    <definedName name="EE형" localSheetId="13">[6]소요자재!$H$131</definedName>
    <definedName name="EE형">[23]소요자재!$H$131</definedName>
    <definedName name="ej" localSheetId="22" hidden="1">{"'용역비'!$A$4:$C$8"}</definedName>
    <definedName name="ej" localSheetId="34" hidden="1">{"'용역비'!$A$4:$C$8"}</definedName>
    <definedName name="ej" localSheetId="35" hidden="1">{"'용역비'!$A$4:$C$8"}</definedName>
    <definedName name="ej" localSheetId="36" hidden="1">{"'용역비'!$A$4:$C$8"}</definedName>
    <definedName name="ej" localSheetId="37" hidden="1">{"'용역비'!$A$4:$C$8"}</definedName>
    <definedName name="ej" localSheetId="13" hidden="1">{"'용역비'!$A$4:$C$8"}</definedName>
    <definedName name="ej" localSheetId="15" hidden="1">{"'용역비'!$A$4:$C$8"}</definedName>
    <definedName name="ej" hidden="1">{"'용역비'!$A$4:$C$8"}</definedName>
    <definedName name="ekfk" localSheetId="13" hidden="1">{#N/A,#N/A,FALSE,"현장 NCR 분석";#N/A,#N/A,FALSE,"현장품질감사";#N/A,#N/A,FALSE,"현장품질감사"}</definedName>
    <definedName name="ekfk" localSheetId="15" hidden="1">{#N/A,#N/A,FALSE,"현장 NCR 분석";#N/A,#N/A,FALSE,"현장품질감사";#N/A,#N/A,FALSE,"현장품질감사"}</definedName>
    <definedName name="ekfk" hidden="1">{#N/A,#N/A,FALSE,"현장 NCR 분석";#N/A,#N/A,FALSE,"현장품질감사";#N/A,#N/A,FALSE,"현장품질감사"}</definedName>
    <definedName name="el">#REF!</definedName>
    <definedName name="ELE_CABLE">#REF!</definedName>
    <definedName name="elec_1">#REF!</definedName>
    <definedName name="electric">#REF!</definedName>
    <definedName name="ELG">#REF!</definedName>
    <definedName name="ELP전선관">[38]소요자재!#REF!</definedName>
    <definedName name="ELP전선관시설">[38]노무산출서!#REF!</definedName>
    <definedName name="EMU">#REF!</definedName>
    <definedName name="END">#REF!</definedName>
    <definedName name="engil_1">#REF!</definedName>
    <definedName name="engil_2">#REF!</definedName>
    <definedName name="ENO">#REF!</definedName>
    <definedName name="EOMUX" localSheetId="13">'8-2.설비자재산출(무인보안)'!EOMUX</definedName>
    <definedName name="EOMUX" localSheetId="15">'8-4.일위대가표'!EOMUX</definedName>
    <definedName name="EOMUX">'8-2.설비자재산출(무인보안)'!EOMUX</definedName>
    <definedName name="ep">#REF!</definedName>
    <definedName name="EQ">#REF!</definedName>
    <definedName name="EQ_1">#REF!</definedName>
    <definedName name="EQ_2">#REF!</definedName>
    <definedName name="EQ상향">#REF!</definedName>
    <definedName name="EQ하향">#REF!</definedName>
    <definedName name="erqhhhhhhhhh" localSheetId="13" hidden="1">{#N/A,#N/A,FALSE,"배수1"}</definedName>
    <definedName name="erqhhhhhhhhh" hidden="1">{#N/A,#N/A,FALSE,"배수1"}</definedName>
    <definedName name="ertyertye" localSheetId="22" hidden="1">{"'용역비'!$A$4:$C$8"}</definedName>
    <definedName name="ertyertye" localSheetId="34" hidden="1">{"'용역비'!$A$4:$C$8"}</definedName>
    <definedName name="ertyertye" localSheetId="35" hidden="1">{"'용역비'!$A$4:$C$8"}</definedName>
    <definedName name="ertyertye" localSheetId="36" hidden="1">{"'용역비'!$A$4:$C$8"}</definedName>
    <definedName name="ertyertye" localSheetId="37" hidden="1">{"'용역비'!$A$4:$C$8"}</definedName>
    <definedName name="ertyertye" localSheetId="13" hidden="1">{"'용역비'!$A$4:$C$8"}</definedName>
    <definedName name="ertyertye" localSheetId="15" hidden="1">{"'용역비'!$A$4:$C$8"}</definedName>
    <definedName name="ertyertye" hidden="1">{"'용역비'!$A$4:$C$8"}</definedName>
    <definedName name="esc">#REF!</definedName>
    <definedName name="esteban" localSheetId="13" hidden="1">{#N/A,#N/A,FALSE,"골재소요량";#N/A,#N/A,FALSE,"골재소요량"}</definedName>
    <definedName name="esteban" hidden="1">{#N/A,#N/A,FALSE,"골재소요량";#N/A,#N/A,FALSE,"골재소요량"}</definedName>
    <definedName name="ETCBI">#REF!</definedName>
    <definedName name="ETCBI_1">#REF!</definedName>
    <definedName name="ETCBI_2">#REF!</definedName>
    <definedName name="ety" localSheetId="13" hidden="1">{#N/A,#N/A,FALSE,"구조1"}</definedName>
    <definedName name="ety" hidden="1">{#N/A,#N/A,FALSE,"구조1"}</definedName>
    <definedName name="etyj" localSheetId="22" hidden="1">{"'용역비'!$A$4:$C$8"}</definedName>
    <definedName name="etyj" localSheetId="34" hidden="1">{"'용역비'!$A$4:$C$8"}</definedName>
    <definedName name="etyj" localSheetId="35" hidden="1">{"'용역비'!$A$4:$C$8"}</definedName>
    <definedName name="etyj" localSheetId="36" hidden="1">{"'용역비'!$A$4:$C$8"}</definedName>
    <definedName name="etyj" localSheetId="37" hidden="1">{"'용역비'!$A$4:$C$8"}</definedName>
    <definedName name="etyj" localSheetId="13" hidden="1">{"'용역비'!$A$4:$C$8"}</definedName>
    <definedName name="etyj" localSheetId="15" hidden="1">{"'용역비'!$A$4:$C$8"}</definedName>
    <definedName name="etyj" hidden="1">{"'용역비'!$A$4:$C$8"}</definedName>
    <definedName name="etyjj" localSheetId="22" hidden="1">{"'용역비'!$A$4:$C$8"}</definedName>
    <definedName name="etyjj" localSheetId="34" hidden="1">{"'용역비'!$A$4:$C$8"}</definedName>
    <definedName name="etyjj" localSheetId="35" hidden="1">{"'용역비'!$A$4:$C$8"}</definedName>
    <definedName name="etyjj" localSheetId="36" hidden="1">{"'용역비'!$A$4:$C$8"}</definedName>
    <definedName name="etyjj" localSheetId="37" hidden="1">{"'용역비'!$A$4:$C$8"}</definedName>
    <definedName name="etyjj" localSheetId="13" hidden="1">{"'용역비'!$A$4:$C$8"}</definedName>
    <definedName name="etyjj" localSheetId="15" hidden="1">{"'용역비'!$A$4:$C$8"}</definedName>
    <definedName name="etyjj" hidden="1">{"'용역비'!$A$4:$C$8"}</definedName>
    <definedName name="EU_1">#REF!</definedName>
    <definedName name="EU_4">#REF!</definedName>
    <definedName name="EU_5">#REF!</definedName>
    <definedName name="EW" localSheetId="22" hidden="1">{#N/A,#N/A,FALSE,"회선임차현황"}</definedName>
    <definedName name="EW" localSheetId="13" hidden="1">{#N/A,#N/A,FALSE,"회선임차현황"}</definedName>
    <definedName name="EW" localSheetId="15" hidden="1">{#N/A,#N/A,FALSE,"회선임차현황"}</definedName>
    <definedName name="EW" hidden="1">{#N/A,#N/A,FALSE,"회선임차현황"}</definedName>
    <definedName name="EWASDAS">#N/A</definedName>
    <definedName name="ewew">#REF!</definedName>
    <definedName name="ex">#REF!</definedName>
    <definedName name="ex_공통공사비">#REF!</definedName>
    <definedName name="ex_단위시설별공사비">#REF!</definedName>
    <definedName name="ex_제잡비">#REF!</definedName>
    <definedName name="EXT">[19]아파트기별!$AM$52</definedName>
    <definedName name="EXTENTION">#REF!</definedName>
    <definedName name="_xlnm.Extract">#REF!</definedName>
    <definedName name="Extract_MI">#REF!</definedName>
    <definedName name="E형" localSheetId="13">[6]소요자재!$H$19</definedName>
    <definedName name="E형">[23]소요자재!$H$19</definedName>
    <definedName name="F">#REF!</definedName>
    <definedName name="F_CODE">#REF!</definedName>
    <definedName name="F_CRIMP_5C">#REF!</definedName>
    <definedName name="F_CRIMP_7C">#REF!</definedName>
    <definedName name="F_DES">#REF!</definedName>
    <definedName name="F_INT1">#REF!</definedName>
    <definedName name="F_LA1">#REF!</definedName>
    <definedName name="F_LA2">#REF!</definedName>
    <definedName name="F_LA3">#REF!</definedName>
    <definedName name="F_QUNIT">#REF!</definedName>
    <definedName name="F_SIZE">#REF!</definedName>
    <definedName name="fact">#REF!</definedName>
    <definedName name="FADP" localSheetId="13">[6]소요자재!$H$69</definedName>
    <definedName name="FADP">[23]소요자재!$H$69</definedName>
    <definedName name="fb">#REF!</definedName>
    <definedName name="fbkk">#REF!</definedName>
    <definedName name="fbti">#REF!</definedName>
    <definedName name="fcpu">#REF!</definedName>
    <definedName name="FDB">[41]소요자재!$H$40</definedName>
    <definedName name="fdds" localSheetId="13" hidden="1">{#N/A,#N/A,FALSE,"2~8번"}</definedName>
    <definedName name="fdds" hidden="1">{#N/A,#N/A,FALSE,"2~8번"}</definedName>
    <definedName name="fdfdf" localSheetId="13">'8-2.설비자재산출(무인보안)'!fdfdf</definedName>
    <definedName name="fdfdf" localSheetId="15">'8-4.일위대가표'!fdfdf</definedName>
    <definedName name="fdfdf">'8-2.설비자재산출(무인보안)'!fdfdf</definedName>
    <definedName name="FDGDFAGFD" localSheetId="13" hidden="1">{#N/A,#N/A,FALSE,"포장1";#N/A,#N/A,FALSE,"포장1"}</definedName>
    <definedName name="FDGDFAGFD" hidden="1">{#N/A,#N/A,FALSE,"포장1";#N/A,#N/A,FALSE,"포장1"}</definedName>
    <definedName name="fdgfdg" localSheetId="13" hidden="1">{#N/A,#N/A,FALSE,"2~8번"}</definedName>
    <definedName name="fdgfdg" hidden="1">{#N/A,#N/A,FALSE,"2~8번"}</definedName>
    <definedName name="fdgfgf" localSheetId="13" hidden="1">{#N/A,#N/A,FALSE,"운반시간"}</definedName>
    <definedName name="fdgfgf" hidden="1">{#N/A,#N/A,FALSE,"운반시간"}</definedName>
    <definedName name="fdgz">#REF!</definedName>
    <definedName name="fdhevwtec" localSheetId="13" hidden="1">{#N/A,#N/A,FALSE,"구조1"}</definedName>
    <definedName name="fdhevwtec" hidden="1">{#N/A,#N/A,FALSE,"구조1"}</definedName>
    <definedName name="fdjk" localSheetId="13" hidden="1">{#N/A,#N/A,FALSE,"골재소요량";#N/A,#N/A,FALSE,"골재소요량"}</definedName>
    <definedName name="fdjk" hidden="1">{#N/A,#N/A,FALSE,"골재소요량";#N/A,#N/A,FALSE,"골재소요량"}</definedName>
    <definedName name="FDMOJC1">#REF!</definedName>
    <definedName name="FDMOJC2">#REF!</definedName>
    <definedName name="FDMOJC3">#REF!</definedName>
    <definedName name="FDS">[41]소요자재!$H$38</definedName>
    <definedName name="fdsa">#REF!</definedName>
    <definedName name="FE">#REF!</definedName>
    <definedName name="fedgre" localSheetId="13" hidden="1">{#N/A,#N/A,FALSE,"배수1"}</definedName>
    <definedName name="fedgre" hidden="1">{#N/A,#N/A,FALSE,"배수1"}</definedName>
    <definedName name="FEEDMAKER">#REF!</definedName>
    <definedName name="FEEL">#REF!</definedName>
    <definedName name="FEND">#REF!</definedName>
    <definedName name="FEND_1">#REF!</definedName>
    <definedName name="FEND_2">#REF!</definedName>
    <definedName name="FF" localSheetId="13">'8-2.설비자재산출(무인보안)'!FF</definedName>
    <definedName name="FF" localSheetId="15">'8-4.일위대가표'!FF</definedName>
    <definedName name="FF">'8-2.설비자재산출(무인보안)'!FF</definedName>
    <definedName name="FFD" localSheetId="13" hidden="1">{#N/A,#N/A,FALSE,"골재소요량";#N/A,#N/A,FALSE,"골재소요량"}</definedName>
    <definedName name="FFD" hidden="1">{#N/A,#N/A,FALSE,"골재소요량";#N/A,#N/A,FALSE,"골재소요량"}</definedName>
    <definedName name="fff" localSheetId="13" hidden="1">{"'220승압(공문첨부)'!$A$3:$E$123"}</definedName>
    <definedName name="fff" localSheetId="15" hidden="1">{"'220승압(공문첨부)'!$A$3:$E$123"}</definedName>
    <definedName name="fff" hidden="1">{"'220승압(공문첨부)'!$A$3:$E$123"}</definedName>
    <definedName name="FFFF" localSheetId="13">'8-2.설비자재산출(무인보안)'!FFFF</definedName>
    <definedName name="FFFF" localSheetId="15">'8-4.일위대가표'!FFFF</definedName>
    <definedName name="FFFF">'8-2.설비자재산출(무인보안)'!FFFF</definedName>
    <definedName name="ffffff" localSheetId="13" hidden="1">{#N/A,#N/A,FALSE,"조골재"}</definedName>
    <definedName name="ffffff" hidden="1">{#N/A,#N/A,FALSE,"조골재"}</definedName>
    <definedName name="FF형" localSheetId="13">[6]소요자재!$H$132</definedName>
    <definedName name="FF형">[23]소요자재!$H$132</definedName>
    <definedName name="fg" localSheetId="4" hidden="1">{"'광피스표'!$A$3:$N$54"}</definedName>
    <definedName name="fg" localSheetId="13" hidden="1">{"'광피스표'!$A$3:$N$54"}</definedName>
    <definedName name="fg" localSheetId="15" hidden="1">{"'광피스표'!$A$3:$N$54"}</definedName>
    <definedName name="fg" hidden="1">{"'광피스표'!$A$3:$N$54"}</definedName>
    <definedName name="FGDAG" localSheetId="13" hidden="1">{#N/A,#N/A,FALSE,"포장2"}</definedName>
    <definedName name="FGDAG" hidden="1">{#N/A,#N/A,FALSE,"포장2"}</definedName>
    <definedName name="FGDAGFG" localSheetId="13" hidden="1">{#N/A,#N/A,FALSE,"혼합골재"}</definedName>
    <definedName name="FGDAGFG" hidden="1">{#N/A,#N/A,FALSE,"혼합골재"}</definedName>
    <definedName name="fgfadgf" localSheetId="13" hidden="1">{#N/A,#N/A,FALSE,"혼합골재"}</definedName>
    <definedName name="fgfadgf" hidden="1">{#N/A,#N/A,FALSE,"혼합골재"}</definedName>
    <definedName name="FGFDG" localSheetId="13" hidden="1">{#N/A,#N/A,FALSE,"표지목차"}</definedName>
    <definedName name="FGFDG" hidden="1">{#N/A,#N/A,FALSE,"표지목차"}</definedName>
    <definedName name="fgfdgffff" localSheetId="13" hidden="1">{#N/A,#N/A,FALSE,"부대2"}</definedName>
    <definedName name="fgfdgffff" hidden="1">{#N/A,#N/A,FALSE,"부대2"}</definedName>
    <definedName name="FGFDSGDFG" hidden="1">"광피스표"</definedName>
    <definedName name="FGG">#REF!</definedName>
    <definedName name="FGH" localSheetId="13">'8-2.설비자재산출(무인보안)'!FGH</definedName>
    <definedName name="FGH" localSheetId="15">'8-4.일위대가표'!FGH</definedName>
    <definedName name="FGH">'8-2.설비자재산출(무인보안)'!FGH</definedName>
    <definedName name="fghfdagfd" localSheetId="13" hidden="1">{#N/A,#N/A,FALSE,"표지목차"}</definedName>
    <definedName name="fghfdagfd" hidden="1">{#N/A,#N/A,FALSE,"표지목차"}</definedName>
    <definedName name="FGHHH" localSheetId="13">'8-2.설비자재산출(무인보안)'!FGHHH</definedName>
    <definedName name="FGHHH" localSheetId="15">'8-4.일위대가표'!FGHHH</definedName>
    <definedName name="FGHHH">'8-2.설비자재산출(무인보안)'!FGHHH</definedName>
    <definedName name="FGJFG" localSheetId="13" hidden="1">{#N/A,#N/A,FALSE,"배수2"}</definedName>
    <definedName name="FGJFG" hidden="1">{#N/A,#N/A,FALSE,"배수2"}</definedName>
    <definedName name="FGJFK" localSheetId="13" hidden="1">{#N/A,#N/A,FALSE,"구조2"}</definedName>
    <definedName name="FGJFK" hidden="1">{#N/A,#N/A,FALSE,"구조2"}</definedName>
    <definedName name="FGJGFJGF" localSheetId="13" hidden="1">{#N/A,#N/A,FALSE,"포장2"}</definedName>
    <definedName name="FGJGFJGF" hidden="1">{#N/A,#N/A,FALSE,"포장2"}</definedName>
    <definedName name="FGJGFJGH" localSheetId="13" hidden="1">{#N/A,#N/A,FALSE,"구조2"}</definedName>
    <definedName name="FGJGFJGH" hidden="1">{#N/A,#N/A,FALSE,"구조2"}</definedName>
    <definedName name="FGJGFTTJGHK" localSheetId="13" hidden="1">{#N/A,#N/A,FALSE,"배수2"}</definedName>
    <definedName name="FGJGFTTJGHK" hidden="1">{#N/A,#N/A,FALSE,"배수2"}</definedName>
    <definedName name="FGJGHJ" localSheetId="13" hidden="1">{#N/A,#N/A,FALSE,"속도"}</definedName>
    <definedName name="FGJGHJ" hidden="1">{#N/A,#N/A,FALSE,"속도"}</definedName>
    <definedName name="FGJGJG" localSheetId="13" hidden="1">{#N/A,#N/A,FALSE,"배수1"}</definedName>
    <definedName name="FGJGJG" hidden="1">{#N/A,#N/A,FALSE,"배수1"}</definedName>
    <definedName name="FGJHGFJG" localSheetId="13" hidden="1">{#N/A,#N/A,FALSE,"구조2"}</definedName>
    <definedName name="FGJHGFJG" hidden="1">{#N/A,#N/A,FALSE,"구조2"}</definedName>
    <definedName name="fgn" localSheetId="13" hidden="1">{#N/A,#N/A,FALSE,"구조2"}</definedName>
    <definedName name="fgn" hidden="1">{#N/A,#N/A,FALSE,"구조2"}</definedName>
    <definedName name="fgnrt" localSheetId="13" hidden="1">{#N/A,#N/A,FALSE,"단가표지"}</definedName>
    <definedName name="fgnrt" hidden="1">{#N/A,#N/A,FALSE,"단가표지"}</definedName>
    <definedName name="fhddg" localSheetId="13" hidden="1">{#N/A,#N/A,FALSE,"부대1"}</definedName>
    <definedName name="fhddg" hidden="1">{#N/A,#N/A,FALSE,"부대1"}</definedName>
    <definedName name="fhwi">#REF!</definedName>
    <definedName name="fhwt">#REF!</definedName>
    <definedName name="Fiber">[36]DATA!$B$4:$B$11</definedName>
    <definedName name="FIL_BAND">#REF!</definedName>
    <definedName name="FILENAME">#REF!</definedName>
    <definedName name="finish_gb">#REF!</definedName>
    <definedName name="finish_ilban">#REF!</definedName>
    <definedName name="finish_iun">#REF!</definedName>
    <definedName name="finish_ja">#REF!</definedName>
    <definedName name="finish_nomu">#REF!</definedName>
    <definedName name="fjac">#REF!</definedName>
    <definedName name="FJDSKJF" localSheetId="13" hidden="1">{#N/A,#N/A,FALSE,"골재소요량";#N/A,#N/A,FALSE,"골재소요량"}</definedName>
    <definedName name="FJDSKJF" hidden="1">{#N/A,#N/A,FALSE,"골재소요량";#N/A,#N/A,FALSE,"골재소요량"}</definedName>
    <definedName name="FJHGJK" localSheetId="13" hidden="1">{#N/A,#N/A,FALSE,"운반시간"}</definedName>
    <definedName name="FJHGJK" hidden="1">{#N/A,#N/A,FALSE,"운반시간"}</definedName>
    <definedName name="FK" localSheetId="22" hidden="1">{"'용역비'!$A$4:$C$8"}</definedName>
    <definedName name="FK" localSheetId="34" hidden="1">{"'용역비'!$A$4:$C$8"}</definedName>
    <definedName name="FK" localSheetId="35" hidden="1">{"'용역비'!$A$4:$C$8"}</definedName>
    <definedName name="FK" localSheetId="36" hidden="1">{"'용역비'!$A$4:$C$8"}</definedName>
    <definedName name="FK" localSheetId="37" hidden="1">{"'용역비'!$A$4:$C$8"}</definedName>
    <definedName name="FK" localSheetId="13" hidden="1">{"'용역비'!$A$4:$C$8"}</definedName>
    <definedName name="FK" localSheetId="15" hidden="1">{"'용역비'!$A$4:$C$8"}</definedName>
    <definedName name="FK" hidden="1">{"'용역비'!$A$4:$C$8"}</definedName>
    <definedName name="fkac">#REF!</definedName>
    <definedName name="fksc">#REF!</definedName>
    <definedName name="FLC">#REF!</definedName>
    <definedName name="flc_blank1">#REF!</definedName>
    <definedName name="flc_blank2">#REF!</definedName>
    <definedName name="flc_clk">#REF!</definedName>
    <definedName name="flc_dcu">#REF!</definedName>
    <definedName name="flc_ds1">#REF!</definedName>
    <definedName name="flc_ds3">#REF!</definedName>
    <definedName name="flc_mcu">#REF!</definedName>
    <definedName name="flc_rack1">#REF!</definedName>
    <definedName name="flc_rack2">#REF!</definedName>
    <definedName name="flc_sw">#REF!</definedName>
    <definedName name="FLC21E1">#REF!</definedName>
    <definedName name="FLC3E1">#REF!</definedName>
    <definedName name="FLC42E1">#REF!</definedName>
    <definedName name="FLCCOM">#REF!</definedName>
    <definedName name="FLCDS1">#REF!</definedName>
    <definedName name="FLCDS3">#REF!</definedName>
    <definedName name="FLCOJC1">#REF!</definedName>
    <definedName name="FLCOJC2">#REF!</definedName>
    <definedName name="FLC충전기" localSheetId="13">[6]소요자재!$H$150</definedName>
    <definedName name="FLC충전기">[23]소요자재!$H$150</definedName>
    <definedName name="flex_wire">#REF!</definedName>
    <definedName name="FLX_WIRE">#REF!</definedName>
    <definedName name="FME">#REF!</definedName>
    <definedName name="FME_T1">#REF!</definedName>
    <definedName name="FMEOJC1">#REF!</definedName>
    <definedName name="FMEOJC2">#REF!</definedName>
    <definedName name="FMET">#REF!</definedName>
    <definedName name="fmjg">#REF!</definedName>
    <definedName name="FMJK">#REF!</definedName>
    <definedName name="FNOIM">#REF!</definedName>
    <definedName name="fnsj">#REF!</definedName>
    <definedName name="fopc">#REF!</definedName>
    <definedName name="fopt">#REF!</definedName>
    <definedName name="fprt">#REF!</definedName>
    <definedName name="FREW">#REF!</definedName>
    <definedName name="FSA" localSheetId="13">'8-2.설비자재산출(무인보안)'!FSA</definedName>
    <definedName name="FSA" localSheetId="15">'8-4.일위대가표'!FSA</definedName>
    <definedName name="FSA">'8-2.설비자재산출(무인보안)'!FSA</definedName>
    <definedName name="FSAFSAFSA" localSheetId="13" hidden="1">{#N/A,#N/A,FALSE,"운반시간"}</definedName>
    <definedName name="FSAFSAFSA" hidden="1">{#N/A,#N/A,FALSE,"운반시간"}</definedName>
    <definedName name="fsdafhaaaaeraw" localSheetId="13" hidden="1">{#N/A,#N/A,FALSE,"구조1"}</definedName>
    <definedName name="fsdafhaaaaeraw" hidden="1">{#N/A,#N/A,FALSE,"구조1"}</definedName>
    <definedName name="FSDFASDF" localSheetId="13" hidden="1">{#N/A,#N/A,FALSE,"배수1"}</definedName>
    <definedName name="FSDFASDF" hidden="1">{#N/A,#N/A,FALSE,"배수1"}</definedName>
    <definedName name="fsdfsd" localSheetId="13" hidden="1">{#N/A,#N/A,FALSE,"현장 NCR 분석";#N/A,#N/A,FALSE,"현장품질감사";#N/A,#N/A,FALSE,"현장품질감사"}</definedName>
    <definedName name="fsdfsd" hidden="1">{#N/A,#N/A,FALSE,"현장 NCR 분석";#N/A,#N/A,FALSE,"현장품질감사";#N/A,#N/A,FALSE,"현장품질감사"}</definedName>
    <definedName name="FSDSAFSA" localSheetId="13" hidden="1">{#N/A,#N/A,FALSE,"2~8번"}</definedName>
    <definedName name="FSDSAFSA" hidden="1">{#N/A,#N/A,FALSE,"2~8번"}</definedName>
    <definedName name="fsfsd" localSheetId="29" hidden="1">#REF!</definedName>
    <definedName name="fsfsd" localSheetId="13" hidden="1">#REF!</definedName>
    <definedName name="fsfsd" localSheetId="19" hidden="1">#REF!</definedName>
    <definedName name="fsfsd" hidden="1">#REF!</definedName>
    <definedName name="fswt">#REF!</definedName>
    <definedName name="FT">#REF!</definedName>
    <definedName name="FT_JJ">#REF!</definedName>
    <definedName name="FT_PP">#REF!</definedName>
    <definedName name="ftbi">#REF!</definedName>
    <definedName name="FTEND">#REF!</definedName>
    <definedName name="FTEND_1">#REF!</definedName>
    <definedName name="FTEND_2">#REF!</definedName>
    <definedName name="FTJ_FJ">#REF!</definedName>
    <definedName name="FTJFP">[19]아파트기별!$AP$52</definedName>
    <definedName name="FTJJ">#REF!</definedName>
    <definedName name="FTJJ_1">#REF!</definedName>
    <definedName name="FTJJ_2">#REF!</definedName>
    <definedName name="FTP_FJ">#REF!</definedName>
    <definedName name="FTPFJ">[19]아파트기별!$AO$52</definedName>
    <definedName name="FTPIN12C">#REF!</definedName>
    <definedName name="FTPIN17C">#REF!</definedName>
    <definedName name="FTPP">#REF!</definedName>
    <definedName name="FTPP_1">#REF!</definedName>
    <definedName name="FTPP_2">#REF!</definedName>
    <definedName name="FTSA12C">#REF!</definedName>
    <definedName name="FTSA17C">#REF!</definedName>
    <definedName name="ftsc">#REF!</definedName>
    <definedName name="ftsn">#REF!</definedName>
    <definedName name="ftso">#REF!</definedName>
    <definedName name="ftss">#REF!</definedName>
    <definedName name="FT형">#REF!</definedName>
    <definedName name="fv" localSheetId="13" hidden="1">{#N/A,#N/A,FALSE,"전력간선"}</definedName>
    <definedName name="fv" hidden="1">{#N/A,#N/A,FALSE,"전력간선"}</definedName>
    <definedName name="F형">#REF!</definedName>
    <definedName name="g" localSheetId="13">'8-2.설비자재산출(무인보안)'!g</definedName>
    <definedName name="g" localSheetId="15">'8-4.일위대가표'!g</definedName>
    <definedName name="g">'8-2.설비자재산출(무인보안)'!g</definedName>
    <definedName name="G1외피접속">[45]노무산출서!#REF!</definedName>
    <definedName name="gahahah" localSheetId="13" hidden="1">{#N/A,#N/A,FALSE,"포장1";#N/A,#N/A,FALSE,"포장1"}</definedName>
    <definedName name="gahahah" hidden="1">{#N/A,#N/A,FALSE,"포장1";#N/A,#N/A,FALSE,"포장1"}</definedName>
    <definedName name="gap">#REF!</definedName>
    <definedName name="gb">#REF!</definedName>
    <definedName name="gb_d">#REF!</definedName>
    <definedName name="gb_d_1">#REF!</definedName>
    <definedName name="gb_d_2">#REF!</definedName>
    <definedName name="gb_d_3">[18]설계명세서!#REF!</definedName>
    <definedName name="gb_d_4">[18]설계명세서!#REF!</definedName>
    <definedName name="gb_d_5">[17]설계명세서!#REF!</definedName>
    <definedName name="gb_d_6">[17]설계명세서!#REF!</definedName>
    <definedName name="gb_d_7">[17]설계명세서!#REF!</definedName>
    <definedName name="gb_dj">#REF!</definedName>
    <definedName name="gb_s">[17]설계명세서!#REF!</definedName>
    <definedName name="gb_s_1">[17]설계명세서!#REF!</definedName>
    <definedName name="gb_s_2">[17]설계명세서!#REF!</definedName>
    <definedName name="gb_s_3">[17]설계명세서!#REF!</definedName>
    <definedName name="gb_s_4">[17]설계명세서!#REF!</definedName>
    <definedName name="gb_s_5">[17]설계명세서!#REF!</definedName>
    <definedName name="gb_s_6">[17]설계명세서!#REF!</definedName>
    <definedName name="gb_s_s">[17]설계명세서!#REF!</definedName>
    <definedName name="gb_tot">#REF!</definedName>
    <definedName name="gbi">#REF!</definedName>
    <definedName name="GBI_1">[18]설계명세서!#REF!</definedName>
    <definedName name="GBI_2">[17]설계명세서!#REF!</definedName>
    <definedName name="gbi_d">#REF!</definedName>
    <definedName name="GBI_D_1">[18]설계명세서!#REF!</definedName>
    <definedName name="GBI_D_2">[17]설계명세서!#REF!</definedName>
    <definedName name="GBI_D_AN">[17]설계명세서!#REF!</definedName>
    <definedName name="GBI_D_AN_1">#REF!</definedName>
    <definedName name="GBI_D_AN_2">[17]설계명세서!#REF!</definedName>
    <definedName name="GBI_D_BO">[17]설계명세서!#REF!</definedName>
    <definedName name="GBI_D_BO_1">[17]설계명세서!#REF!</definedName>
    <definedName name="GBI_D_BO_2">[17]설계명세서!#REF!</definedName>
    <definedName name="GBI_D_GA">[17]설계명세서!#REF!</definedName>
    <definedName name="GBI_D_GA_1">[17]설계명세서!#REF!</definedName>
    <definedName name="GBI_D_GA_2">[17]설계명세서!#REF!</definedName>
    <definedName name="GBI_D_GONG">[17]설계명세서!#REF!</definedName>
    <definedName name="GBI_D_GONG_1">[17]설계명세서!#REF!</definedName>
    <definedName name="GBI_D_GONG_2">[17]설계명세서!#REF!</definedName>
    <definedName name="GBI_D_SOMO">#REF!</definedName>
    <definedName name="GBI_D_SU">[17]설계명세서!#REF!</definedName>
    <definedName name="GBI_D_SU_1">[18]설계명세서!#REF!</definedName>
    <definedName name="GBI_D_SU_2">[17]설계명세서!#REF!</definedName>
    <definedName name="GBI_D_TAX">#REF!</definedName>
    <definedName name="GBI_D_UN">[17]설계명세서!#REF!</definedName>
    <definedName name="GBI_D_UN_1">[18]설계명세서!#REF!</definedName>
    <definedName name="GBI_D_UN_2">[17]설계명세서!#REF!</definedName>
    <definedName name="GBI_D_WAL">#REF!</definedName>
    <definedName name="GBI_D_YEO">[17]설계명세서!#REF!</definedName>
    <definedName name="GBI_D_YEO_1">[17]설계명세서!#REF!</definedName>
    <definedName name="GBI_D_YEO_2">[17]설계명세서!#REF!</definedName>
    <definedName name="gbi_s">#REF!</definedName>
    <definedName name="GBI_S_01">[17]설계명세서!#REF!</definedName>
    <definedName name="GBI_S_02">[17]설계명세서!#REF!</definedName>
    <definedName name="GBI_S_03">[17]설계명세서!#REF!</definedName>
    <definedName name="GBI_S_04">[17]설계명세서!#REF!</definedName>
    <definedName name="GBI_S_05">[17]설계명세서!#REF!</definedName>
    <definedName name="GBI_S_06">[17]설계명세서!#REF!</definedName>
    <definedName name="GBI_S_07">[17]설계명세서!#REF!</definedName>
    <definedName name="GBI_S_1">[18]설계명세서!#REF!</definedName>
    <definedName name="GBI_S_101">[17]설계명세서!#REF!</definedName>
    <definedName name="GBI_S_102">[17]설계명세서!#REF!</definedName>
    <definedName name="GBI_S_103">#REF!</definedName>
    <definedName name="GBI_S_104">#REF!</definedName>
    <definedName name="GBI_S_105">#REF!</definedName>
    <definedName name="GBI_S_106">#REF!</definedName>
    <definedName name="GBI_S_107">#REF!</definedName>
    <definedName name="GBI_S_2">[17]설계명세서!#REF!</definedName>
    <definedName name="GBI_S_201">[17]설계명세서!#REF!</definedName>
    <definedName name="GBI_S_202">[17]설계명세서!#REF!</definedName>
    <definedName name="GBI_S_203">[17]설계명세서!#REF!</definedName>
    <definedName name="GBI_S_204">[17]설계명세서!#REF!</definedName>
    <definedName name="GBI_S_205">[17]설계명세서!#REF!</definedName>
    <definedName name="GBI_S_206">[17]설계명세서!#REF!</definedName>
    <definedName name="GBI_S_207">[17]설계명세서!#REF!</definedName>
    <definedName name="GBI_S_DGN">[17]설계명세서!#REF!</definedName>
    <definedName name="gbi_s_so">[17]설계명세서!#REF!</definedName>
    <definedName name="gbi_s_so_1">#REF!</definedName>
    <definedName name="gbi_s_so_2">[17]설계명세서!#REF!</definedName>
    <definedName name="GBI_S_YEO">[17]설계명세서!#REF!</definedName>
    <definedName name="GBI_SO">#REF!</definedName>
    <definedName name="GCODE">#N/A</definedName>
    <definedName name="gd" localSheetId="29" hidden="1">#REF!</definedName>
    <definedName name="gd" localSheetId="13" hidden="1">#REF!</definedName>
    <definedName name="gd" localSheetId="19" hidden="1">#REF!</definedName>
    <definedName name="gd" hidden="1">#REF!</definedName>
    <definedName name="GDG" localSheetId="13" hidden="1">{#N/A,#N/A,FALSE,"포장2"}</definedName>
    <definedName name="GDG" hidden="1">{#N/A,#N/A,FALSE,"포장2"}</definedName>
    <definedName name="GDGFD" localSheetId="13" hidden="1">{#N/A,#N/A,FALSE,"배수1"}</definedName>
    <definedName name="GDGFD" hidden="1">{#N/A,#N/A,FALSE,"배수1"}</definedName>
    <definedName name="gdsg" localSheetId="29" hidden="1">#REF!</definedName>
    <definedName name="gdsg" localSheetId="13" hidden="1">#REF!</definedName>
    <definedName name="gdsg" localSheetId="19" hidden="1">#REF!</definedName>
    <definedName name="gdsg" hidden="1">#REF!</definedName>
    <definedName name="general">[35]기준자료!$C$14</definedName>
    <definedName name="GF" localSheetId="29" hidden="1">[46]내역서!#REF!</definedName>
    <definedName name="GF" localSheetId="13" hidden="1">[46]내역서!#REF!</definedName>
    <definedName name="GF" localSheetId="19" hidden="1">[46]내역서!#REF!</definedName>
    <definedName name="GF" hidden="1">[46]내역서!#REF!</definedName>
    <definedName name="GFDG" localSheetId="13" hidden="1">{#N/A,#N/A,FALSE,"2~8번"}</definedName>
    <definedName name="GFDG" hidden="1">{#N/A,#N/A,FALSE,"2~8번"}</definedName>
    <definedName name="GFDGDFGFG" localSheetId="13" hidden="1">{#N/A,#N/A,FALSE,"혼합골재"}</definedName>
    <definedName name="GFDGDFGFG" hidden="1">{#N/A,#N/A,FALSE,"혼합골재"}</definedName>
    <definedName name="gfdggff" localSheetId="13">'8-2.설비자재산출(무인보안)'!gfdggff</definedName>
    <definedName name="gfdggff" localSheetId="15">'8-4.일위대가표'!gfdggff</definedName>
    <definedName name="gfdggff">'8-2.설비자재산출(무인보안)'!gfdggff</definedName>
    <definedName name="GFFG" localSheetId="13">'8-2.설비자재산출(무인보안)'!GFFG</definedName>
    <definedName name="GFFG" localSheetId="15">'8-4.일위대가표'!GFFG</definedName>
    <definedName name="GFFG">'8-2.설비자재산출(무인보안)'!GFFG</definedName>
    <definedName name="gfgdfg" localSheetId="29" hidden="1">[47]차액보증!#REF!</definedName>
    <definedName name="gfgdfg" localSheetId="13" hidden="1">[47]차액보증!#REF!</definedName>
    <definedName name="gfgdfg" localSheetId="19" hidden="1">[47]차액보증!#REF!</definedName>
    <definedName name="gfgdfg" hidden="1">[47]차액보증!#REF!</definedName>
    <definedName name="GFGFHGFHF" localSheetId="13" hidden="1">{#N/A,#N/A,FALSE,"토공2"}</definedName>
    <definedName name="GFGFHGFHF" hidden="1">{#N/A,#N/A,FALSE,"토공2"}</definedName>
    <definedName name="gfhgh" localSheetId="13" hidden="1">{#N/A,#N/A,FALSE,"배수2"}</definedName>
    <definedName name="gfhgh" hidden="1">{#N/A,#N/A,FALSE,"배수2"}</definedName>
    <definedName name="GFHJ" localSheetId="13" hidden="1">{#N/A,#N/A,FALSE,"단가표지"}</definedName>
    <definedName name="GFHJ" hidden="1">{#N/A,#N/A,FALSE,"단가표지"}</definedName>
    <definedName name="GFJGFJGH" localSheetId="13" hidden="1">{#N/A,#N/A,FALSE,"2~8번"}</definedName>
    <definedName name="GFJGFJGH" hidden="1">{#N/A,#N/A,FALSE,"2~8번"}</definedName>
    <definedName name="GFJGFJRRJGH" localSheetId="13" hidden="1">{#N/A,#N/A,FALSE,"배수1"}</definedName>
    <definedName name="GFJGFJRRJGH" hidden="1">{#N/A,#N/A,FALSE,"배수1"}</definedName>
    <definedName name="GFJHGFJGF" localSheetId="13" hidden="1">{#N/A,#N/A,FALSE,"혼합골재"}</definedName>
    <definedName name="GFJHGFJGF" hidden="1">{#N/A,#N/A,FALSE,"혼합골재"}</definedName>
    <definedName name="GFRRJGH" localSheetId="13" hidden="1">{#N/A,#N/A,FALSE,"단가표지"}</definedName>
    <definedName name="GFRRJGH" hidden="1">{#N/A,#N/A,FALSE,"단가표지"}</definedName>
    <definedName name="GG">#REF!</definedName>
    <definedName name="ggfhgfshgh" localSheetId="13" hidden="1">{#N/A,#N/A,FALSE,"포장2"}</definedName>
    <definedName name="ggfhgfshgh" hidden="1">{#N/A,#N/A,FALSE,"포장2"}</definedName>
    <definedName name="GGG" localSheetId="13" hidden="1">{#N/A,#N/A,FALSE,"속도"}</definedName>
    <definedName name="GGG" hidden="1">{#N/A,#N/A,FALSE,"속도"}</definedName>
    <definedName name="GGGG" localSheetId="13">'8-2.설비자재산출(무인보안)'!GGGG</definedName>
    <definedName name="GGGG" localSheetId="15">'8-4.일위대가표'!GGGG</definedName>
    <definedName name="GGGG">'8-2.설비자재산출(무인보안)'!GGGG</definedName>
    <definedName name="GGGGG" localSheetId="13" hidden="1">{#N/A,#N/A,FALSE,"단면 제원"}</definedName>
    <definedName name="GGGGG" hidden="1">{#N/A,#N/A,FALSE,"단면 제원"}</definedName>
    <definedName name="gh" localSheetId="13" hidden="1">{#N/A,#N/A,FALSE,"조골재"}</definedName>
    <definedName name="gh" hidden="1">{#N/A,#N/A,FALSE,"조골재"}</definedName>
    <definedName name="ghgfh" localSheetId="13" hidden="1">{#N/A,#N/A,FALSE,"포장2"}</definedName>
    <definedName name="ghgfh" hidden="1">{#N/A,#N/A,FALSE,"포장2"}</definedName>
    <definedName name="GHJJ" localSheetId="22" hidden="1">{"'광피스표'!$A$3:$N$54"}</definedName>
    <definedName name="GHJJ" localSheetId="13" hidden="1">{"'광피스표'!$A$3:$N$54"}</definedName>
    <definedName name="GHJJ" localSheetId="15" hidden="1">{"'광피스표'!$A$3:$N$54"}</definedName>
    <definedName name="GHJJ" hidden="1">{"'광피스표'!$A$3:$N$54"}</definedName>
    <definedName name="gib">#REF!</definedName>
    <definedName name="GIS">#REF!</definedName>
    <definedName name="GJFGJFGJ" localSheetId="13" hidden="1">{#N/A,#N/A,FALSE,"골재소요량";#N/A,#N/A,FALSE,"골재소요량"}</definedName>
    <definedName name="GJFGJFGJ" hidden="1">{#N/A,#N/A,FALSE,"골재소요량";#N/A,#N/A,FALSE,"골재소요량"}</definedName>
    <definedName name="GJGFJGFHJ" localSheetId="13" hidden="1">{#N/A,#N/A,FALSE,"속도"}</definedName>
    <definedName name="GJGFJGFHJ" hidden="1">{#N/A,#N/A,FALSE,"속도"}</definedName>
    <definedName name="GJHGLI" localSheetId="13" hidden="1">{#N/A,#N/A,FALSE,"포장1";#N/A,#N/A,FALSE,"포장1"}</definedName>
    <definedName name="GJHGLI" hidden="1">{#N/A,#N/A,FALSE,"포장1";#N/A,#N/A,FALSE,"포장1"}</definedName>
    <definedName name="GM">#REF!</definedName>
    <definedName name="goap">#REF!</definedName>
    <definedName name="gongri_1">[17]공리공제!#REF!</definedName>
    <definedName name="gongri_2">[17]공리공제!#REF!</definedName>
    <definedName name="GPRIC">#N/A</definedName>
    <definedName name="gra_wire">#REF!</definedName>
    <definedName name="grew" hidden="1">'[1]#REF'!$C$1:$H$533</definedName>
    <definedName name="Ground">[48]DATA!$D$4:$D$29</definedName>
    <definedName name="GROUP_CON">#REF!</definedName>
    <definedName name="GROUP_POLE">#REF!</definedName>
    <definedName name="GS">#REF!</definedName>
    <definedName name="gsagsdarafds" localSheetId="13" hidden="1">{#N/A,#N/A,FALSE,"토공2"}</definedName>
    <definedName name="gsagsdarafds" hidden="1">{#N/A,#N/A,FALSE,"토공2"}</definedName>
    <definedName name="GSDGSRWQR" localSheetId="13" hidden="1">{#N/A,#N/A,FALSE,"속도"}</definedName>
    <definedName name="GSDGSRWQR" hidden="1">{#N/A,#N/A,FALSE,"속도"}</definedName>
    <definedName name="gsu">#REF!</definedName>
    <definedName name="gu" localSheetId="29">#REF!,#REF!</definedName>
    <definedName name="gu" localSheetId="13">#REF!,#REF!</definedName>
    <definedName name="gu" localSheetId="19">#REF!,#REF!</definedName>
    <definedName name="gu">#REF!,#REF!</definedName>
    <definedName name="GUBUN">#N/A</definedName>
    <definedName name="GUSEO" localSheetId="22" hidden="1">{#N/A,#N/A,FALSE,"회선임차현황"}</definedName>
    <definedName name="GUSEO" localSheetId="13" hidden="1">{#N/A,#N/A,FALSE,"회선임차현황"}</definedName>
    <definedName name="GUSEO" localSheetId="15" hidden="1">{#N/A,#N/A,FALSE,"회선임차현황"}</definedName>
    <definedName name="GUSEO" hidden="1">{#N/A,#N/A,FALSE,"회선임차현황"}</definedName>
    <definedName name="GV">[49]DATA!$E$3:$E$19</definedName>
    <definedName name="GV_14">#REF!</definedName>
    <definedName name="GV_22">#REF!</definedName>
    <definedName name="GV_38">#REF!</definedName>
    <definedName name="G열">#REF!</definedName>
    <definedName name="G형" localSheetId="13">[6]소요자재!$H$38</definedName>
    <definedName name="G형">[23]소요자재!$H$38</definedName>
    <definedName name="H_S">#REF!</definedName>
    <definedName name="h_w">#REF!</definedName>
    <definedName name="h_w설치">#REF!</definedName>
    <definedName name="H_W설치기사">#REF!</definedName>
    <definedName name="h_w시험">#REF!</definedName>
    <definedName name="H_W시험기사">#REF!</definedName>
    <definedName name="ha" localSheetId="13" hidden="1">{#N/A,#N/A,FALSE,"지침";#N/A,#N/A,FALSE,"환경분석";#N/A,#N/A,FALSE,"Sheet16"}</definedName>
    <definedName name="ha" hidden="1">{#N/A,#N/A,FALSE,"지침";#N/A,#N/A,FALSE,"환경분석";#N/A,#N/A,FALSE,"Sheet16"}</definedName>
    <definedName name="hadfhafa" localSheetId="13" hidden="1">{#N/A,#N/A,FALSE,"혼합골재"}</definedName>
    <definedName name="hadfhafa" hidden="1">{#N/A,#N/A,FALSE,"혼합골재"}</definedName>
    <definedName name="hadfhafhad" localSheetId="13" hidden="1">{#N/A,#N/A,FALSE,"운반시간"}</definedName>
    <definedName name="hadfhafhad" hidden="1">{#N/A,#N/A,FALSE,"운반시간"}</definedName>
    <definedName name="hadfhata" localSheetId="13" hidden="1">{#N/A,#N/A,FALSE,"표지목차"}</definedName>
    <definedName name="hadfhata" hidden="1">{#N/A,#N/A,FALSE,"표지목차"}</definedName>
    <definedName name="hadhfaha" localSheetId="13" hidden="1">{#N/A,#N/A,FALSE,"포장2"}</definedName>
    <definedName name="hadhfaha" hidden="1">{#N/A,#N/A,FALSE,"포장2"}</definedName>
    <definedName name="han" localSheetId="29" hidden="1">#REF!</definedName>
    <definedName name="han" localSheetId="13" hidden="1">#REF!</definedName>
    <definedName name="han" localSheetId="19" hidden="1">#REF!</definedName>
    <definedName name="han" hidden="1">#REF!</definedName>
    <definedName name="hb_a">#REF!</definedName>
    <definedName name="HBA">#REF!</definedName>
    <definedName name="HDD">#REF!</definedName>
    <definedName name="HDDP">#REF!</definedName>
    <definedName name="HDFD" localSheetId="13" hidden="1">{#N/A,#N/A,FALSE,"속도"}</definedName>
    <definedName name="HDFD" hidden="1">{#N/A,#N/A,FALSE,"속도"}</definedName>
    <definedName name="HDSL">#REF!</definedName>
    <definedName name="HDSL총괄">#REF!</definedName>
    <definedName name="Heä_soá_laép_xaø_H">1.7</definedName>
    <definedName name="HEAT12C">#REF!</definedName>
    <definedName name="HEAT17C">#REF!</definedName>
    <definedName name="hello"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hello"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hello"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HFHD" localSheetId="13">'8-2.설비자재산출(무인보안)'!HFHD</definedName>
    <definedName name="HFHD" localSheetId="15">'8-4.일위대가표'!HFHD</definedName>
    <definedName name="HFHD">'8-2.설비자재산출(무인보안)'!HFHD</definedName>
    <definedName name="hgd" localSheetId="13" hidden="1">{#N/A,#N/A,FALSE,"배수2"}</definedName>
    <definedName name="hgd" hidden="1">{#N/A,#N/A,FALSE,"배수2"}</definedName>
    <definedName name="HGDSGJGFJGF" localSheetId="13" hidden="1">{#N/A,#N/A,FALSE,"배수2"}</definedName>
    <definedName name="HGDSGJGFJGF" hidden="1">{#N/A,#N/A,FALSE,"배수2"}</definedName>
    <definedName name="HGF" localSheetId="13" hidden="1">{#N/A,#N/A,FALSE,"QUOT_960527"}</definedName>
    <definedName name="HGF" localSheetId="15" hidden="1">{#N/A,#N/A,FALSE,"QUOT_960527"}</definedName>
    <definedName name="HGF" hidden="1">{#N/A,#N/A,FALSE,"QUOT_960527"}</definedName>
    <definedName name="HGHH" localSheetId="13" hidden="1">{#N/A,#N/A,FALSE,"표지목차"}</definedName>
    <definedName name="HGHH" hidden="1">{#N/A,#N/A,FALSE,"표지목차"}</definedName>
    <definedName name="HGK" localSheetId="13">'8-2.설비자재산출(무인보안)'!HGK</definedName>
    <definedName name="HGK" localSheetId="15">'8-4.일위대가표'!HGK</definedName>
    <definedName name="HGK">'8-2.설비자재산출(무인보안)'!HGK</definedName>
    <definedName name="HH" localSheetId="2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HH"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HH"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HH"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HHH" localSheetId="13" hidden="1">{#N/A,#N/A,FALSE,"2~8번"}</definedName>
    <definedName name="HHH" hidden="1">{#N/A,#N/A,FALSE,"2~8번"}</definedName>
    <definedName name="hhhh">#REF!</definedName>
    <definedName name="HHHHHHHHHHHHHHHHHHHHH" localSheetId="13" hidden="1">{#N/A,#N/A,FALSE,"토공2"}</definedName>
    <definedName name="HHHHHHHHHHHHHHHHHHHHH" hidden="1">{#N/A,#N/A,FALSE,"토공2"}</definedName>
    <definedName name="HHR" localSheetId="13" hidden="1">{#N/A,#N/A,FALSE,"포장2"}</definedName>
    <definedName name="HHR" hidden="1">{#N/A,#N/A,FALSE,"포장2"}</definedName>
    <definedName name="HI_전선관">#REF!</definedName>
    <definedName name="HJK" localSheetId="13" hidden="1">{#N/A,#N/A,FALSE,"이태원철근"}</definedName>
    <definedName name="HJK" hidden="1">{#N/A,#N/A,FALSE,"이태원철근"}</definedName>
    <definedName name="HNOIM">#REF!</definedName>
    <definedName name="HP">#REF!</definedName>
    <definedName name="hrbjrjy" localSheetId="13" hidden="1">{#N/A,#N/A,FALSE,"배수2"}</definedName>
    <definedName name="hrbjrjy" hidden="1">{#N/A,#N/A,FALSE,"배수2"}</definedName>
    <definedName name="HSCT3">0.1</definedName>
    <definedName name="HSDN">2.5</definedName>
    <definedName name="htc_단가표_List">#REF!</definedName>
    <definedName name="HTML_" localSheetId="13" hidden="1">{"'선로집계'!$A$1:$G$68"}</definedName>
    <definedName name="HTML_" localSheetId="15" hidden="1">{"'선로집계'!$A$1:$G$68"}</definedName>
    <definedName name="HTML_" hidden="1">{"'선로집계'!$A$1:$G$68"}</definedName>
    <definedName name="HTML_CodePage" hidden="1">949</definedName>
    <definedName name="HTML_Control" localSheetId="22" hidden="1">{"'계통도'!$A$1:$E$35"}</definedName>
    <definedName name="HTML_Control" localSheetId="34" hidden="1">{"'Sheet1'!$A$4:$Y$100"}</definedName>
    <definedName name="HTML_Control" localSheetId="35" hidden="1">{"'Sheet1'!$A$4:$Y$100"}</definedName>
    <definedName name="HTML_Control" localSheetId="36" hidden="1">{"'Sheet1'!$A$4:$Y$100"}</definedName>
    <definedName name="HTML_Control" localSheetId="37" hidden="1">{"'Sheet1'!$A$4:$Y$100"}</definedName>
    <definedName name="HTML_Control" localSheetId="13" hidden="1">{"'계통도'!$A$1:$E$35"}</definedName>
    <definedName name="HTML_Control" localSheetId="15" hidden="1">{"'Sheet1'!$A$4:$Y$100"}</definedName>
    <definedName name="HTML_Control" hidden="1">{"'계통도'!$A$1:$E$35"}</definedName>
    <definedName name="HTML_Control_A" localSheetId="13" hidden="1">{"'220승압(공문첨부)'!$A$3:$E$123"}</definedName>
    <definedName name="HTML_Control_A" localSheetId="15" hidden="1">{"'220승압(공문첨부)'!$A$3:$E$123"}</definedName>
    <definedName name="HTML_Control_A" hidden="1">{"'220승압(공문첨부)'!$A$3:$E$123"}</definedName>
    <definedName name="HTML_Description" hidden="1">""</definedName>
    <definedName name="HTML_Email" hidden="1">""</definedName>
    <definedName name="HTML_Header" localSheetId="34" hidden="1">"Sheet1"</definedName>
    <definedName name="HTML_Header" localSheetId="35" hidden="1">"Sheet1"</definedName>
    <definedName name="HTML_Header" localSheetId="36" hidden="1">"Sheet1"</definedName>
    <definedName name="HTML_Header" localSheetId="37" hidden="1">"Sheet1"</definedName>
    <definedName name="HTML_Header" hidden="1">"SSFLC"</definedName>
    <definedName name="HTML_LastUpdate" localSheetId="34" hidden="1">"01-01-09"</definedName>
    <definedName name="HTML_LastUpdate" localSheetId="35" hidden="1">"01-01-09"</definedName>
    <definedName name="HTML_LastUpdate" localSheetId="36" hidden="1">"01-01-09"</definedName>
    <definedName name="HTML_LastUpdate" localSheetId="37" hidden="1">"01-01-09"</definedName>
    <definedName name="HTML_LastUpdate" hidden="1">"98-03-26"</definedName>
    <definedName name="HTML_LineAfter" hidden="1">FALSE</definedName>
    <definedName name="HTML_LineBefore" hidden="1">FALSE</definedName>
    <definedName name="HTML_Name" localSheetId="34" hidden="1">"라현국"</definedName>
    <definedName name="HTML_Name" localSheetId="35" hidden="1">"라현국"</definedName>
    <definedName name="HTML_Name" localSheetId="36" hidden="1">"라현국"</definedName>
    <definedName name="HTML_Name" localSheetId="37" hidden="1">"라현국"</definedName>
    <definedName name="HTML_Name" hidden="1">"이남준"</definedName>
    <definedName name="HTML_OBDlg2" hidden="1">TRUE</definedName>
    <definedName name="HTML_OBDlg3" hidden="1">TRUE</definedName>
    <definedName name="HTML_OBDlg4" hidden="1">TRUE</definedName>
    <definedName name="HTML_OS" hidden="1">0</definedName>
    <definedName name="HTML_PathFile" localSheetId="34" hidden="1">"C:\prt\My Documents\1.htm"</definedName>
    <definedName name="HTML_PathFile" localSheetId="35" hidden="1">"C:\prt\My Documents\1.htm"</definedName>
    <definedName name="HTML_PathFile" localSheetId="36" hidden="1">"C:\prt\My Documents\1.htm"</definedName>
    <definedName name="HTML_PathFile" localSheetId="37" hidden="1">"C:\prt\My Documents\1.htm"</definedName>
    <definedName name="HTML_PathFile" hidden="1">"C:\My Documents\MyHTML.htm"</definedName>
    <definedName name="HTML_PathTemplate" hidden="1">"C:\prt\My Documents\HTMLTemp.htm"</definedName>
    <definedName name="HTML_Title" localSheetId="34" hidden="1">"1111"</definedName>
    <definedName name="HTML_Title" localSheetId="35" hidden="1">"1111"</definedName>
    <definedName name="HTML_Title" localSheetId="36" hidden="1">"1111"</definedName>
    <definedName name="HTML_Title" localSheetId="37" hidden="1">"1111"</definedName>
    <definedName name="HTML_Title" hidden="1">"무주"</definedName>
    <definedName name="HTML1_1" hidden="1">"[수주관리98.xls]회선현황!$A$5:$O$53"</definedName>
    <definedName name="HTML1_10" hidden="1">""</definedName>
    <definedName name="HTML1_11" hidden="1">1</definedName>
    <definedName name="HTML1_12" hidden="1">"C:\My Documents\98년\1월\영업현황\시험.htm"</definedName>
    <definedName name="HTML1_2" hidden="1">1</definedName>
    <definedName name="HTML1_3" hidden="1">"수주관리98"</definedName>
    <definedName name="HTML1_4" hidden="1">"회선현황"</definedName>
    <definedName name="HTML1_5" hidden="1">""</definedName>
    <definedName name="HTML1_6" hidden="1">-4146</definedName>
    <definedName name="HTML1_7" hidden="1">-4146</definedName>
    <definedName name="HTML1_8" hidden="1">"98-01-21"</definedName>
    <definedName name="HTML1_9" hidden="1">"김은광"</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"[수주관리98.xls]일일현황!$A$1:$L$10"</definedName>
    <definedName name="HTML2_10" hidden="1">""</definedName>
    <definedName name="HTML2_11" hidden="1">1</definedName>
    <definedName name="HTML2_12" hidden="1">"C:\My Documents\98년\1월\영업현황\일일현황-98.1.22.htm"</definedName>
    <definedName name="HTML2_2" hidden="1">1</definedName>
    <definedName name="HTML2_3" hidden="1">""</definedName>
    <definedName name="HTML2_4" hidden="1">""</definedName>
    <definedName name="HTML2_5" hidden="1">""</definedName>
    <definedName name="HTML2_6" hidden="1">-4146</definedName>
    <definedName name="HTML2_7" hidden="1">1</definedName>
    <definedName name="HTML2_8" hidden="1">"98-01-22"</definedName>
    <definedName name="HTML2_9" hidden="1">""</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"[수주관리98.xls]일일현황!$A$1:$N$9"</definedName>
    <definedName name="HTML3_10" hidden="1">""</definedName>
    <definedName name="HTML3_11" hidden="1">1</definedName>
    <definedName name="HTML3_12" hidden="1">"C:\My Documents\98년\영업현황\일일현황-98.1.23.htm"</definedName>
    <definedName name="HTML3_2" hidden="1">1</definedName>
    <definedName name="HTML3_3" hidden="1">""</definedName>
    <definedName name="HTML3_4" hidden="1">""</definedName>
    <definedName name="HTML3_5" hidden="1">""</definedName>
    <definedName name="HTML3_6" hidden="1">1</definedName>
    <definedName name="HTML3_7" hidden="1">1</definedName>
    <definedName name="HTML3_8" hidden="1">""</definedName>
    <definedName name="HTML3_9" hidden="1">""</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"[수주관리98.xls]영업!$A$1:$N$15"</definedName>
    <definedName name="HTML4_10" hidden="1">""</definedName>
    <definedName name="HTML4_11" hidden="1">1</definedName>
    <definedName name="HTML4_12" hidden="1">"C:\My Documents\98년\영업현황\일일현황-98.1.31.htm"</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 hidden="1">"[수주관리98.xls]영업!$A$1:$N$29"</definedName>
    <definedName name="HTML5_10" hidden="1">""</definedName>
    <definedName name="HTML5_11" hidden="1">1</definedName>
    <definedName name="HTML5_12" hidden="1">"C:\My Documents\98년\영업현황\일일현황-98.1.31.v.htm"</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 hidden="1">"'[수주관리98.xls]2월'!$A$1:$P$48"</definedName>
    <definedName name="HTML6_10" hidden="1">""</definedName>
    <definedName name="HTML6_11" hidden="1">1</definedName>
    <definedName name="HTML6_12" hidden="1">"C:\My Documents\98년\영업현황\일일현황-98.1.31.htm"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"'[수주관리98.xls]2월'!$A$3:$P$30"</definedName>
    <definedName name="HTML7_10" hidden="1">""</definedName>
    <definedName name="HTML7_11" hidden="1">1</definedName>
    <definedName name="HTML7_12" hidden="1">"C:\My Documents\98년\영업현황\일일현황-98.1.31.htm"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"'[수주관리98.xls]2월'!$A$1:$P$30"</definedName>
    <definedName name="HTML8_10" hidden="1">""</definedName>
    <definedName name="HTML8_11" hidden="1">1</definedName>
    <definedName name="HTML8_12" hidden="1">"C:\My Documents\98년\영업현황\일일현황-98.1.31.htm"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30</definedName>
    <definedName name="HTR" localSheetId="13" hidden="1">{#N/A,#N/A,FALSE,"이태원철근"}</definedName>
    <definedName name="HTR" hidden="1">{#N/A,#N/A,FALSE,"이태원철근"}</definedName>
    <definedName name="HUB신설">#REF!</definedName>
    <definedName name="HUB이설">#REF!</definedName>
    <definedName name="HUB철거">#REF!</definedName>
    <definedName name="HUM_CLAMP">#REF!</definedName>
    <definedName name="hwi">#REF!</definedName>
    <definedName name="hwt">#REF!</definedName>
    <definedName name="hwtest">#REF!</definedName>
    <definedName name="hw설치">#REF!</definedName>
    <definedName name="HW설치기사">#REF!</definedName>
    <definedName name="hw시험">#REF!</definedName>
    <definedName name="HW시험기사">#REF!</definedName>
    <definedName name="H형" localSheetId="13">[6]소요자재!$H$39</definedName>
    <definedName name="H형">[23]소요자재!$H$39</definedName>
    <definedName name="ib_j">#REF!</definedName>
    <definedName name="ic">[17]설계명세서!#REF!</definedName>
    <definedName name="ic_2">[17]설계명세서!#REF!</definedName>
    <definedName name="id_공통공사비">#REF!</definedName>
    <definedName name="id_단위시설별_공사비">#REF!</definedName>
    <definedName name="id_제잡비">#REF!</definedName>
    <definedName name="idf">#REF!</definedName>
    <definedName name="IDF_S01" localSheetId="13">'8-2.설비자재산출(무인보안)'!IDF_S01</definedName>
    <definedName name="IDF_S01" localSheetId="15">'8-4.일위대가표'!IDF_S01</definedName>
    <definedName name="IDF_S01">'8-2.설비자재산출(무인보안)'!IDF_S01</definedName>
    <definedName name="IDF_S02" localSheetId="13">'8-2.설비자재산출(무인보안)'!IDF_S02</definedName>
    <definedName name="IDF_S02" localSheetId="15">'8-4.일위대가표'!IDF_S02</definedName>
    <definedName name="IDF_S02">'8-2.설비자재산출(무인보안)'!IDF_S02</definedName>
    <definedName name="IDF28B">#REF!</definedName>
    <definedName name="IDF30A">#REF!</definedName>
    <definedName name="IDFPIX">#REF!</definedName>
    <definedName name="IDFRACK">#REF!</definedName>
    <definedName name="IDF단">#REF!</definedName>
    <definedName name="IDF단자대">#REF!</definedName>
    <definedName name="IDF직노">#REF!</definedName>
    <definedName name="IDF직노.">#REF!</definedName>
    <definedName name="IDF취부">#REF!</definedName>
    <definedName name="IDF취부1">#REF!</definedName>
    <definedName name="IDF취부A">#REF!</definedName>
    <definedName name="IDF통">#REF!</definedName>
    <definedName name="ig">[17]설계명세서!#REF!</definedName>
    <definedName name="IJ" localSheetId="22" hidden="1">{"'광피스표'!$A$3:$N$54"}</definedName>
    <definedName name="IJ" localSheetId="13" hidden="1">{"'광피스표'!$A$3:$N$54"}</definedName>
    <definedName name="IJ" localSheetId="15" hidden="1">{"'광피스표'!$A$3:$N$54"}</definedName>
    <definedName name="IJ" hidden="1">{"'광피스표'!$A$3:$N$54"}</definedName>
    <definedName name="IJP">#REF!</definedName>
    <definedName name="IJPBOX옥내">#REF!</definedName>
    <definedName name="IJPBOX옥외">#REF!</definedName>
    <definedName name="IJP취부1">#REF!</definedName>
    <definedName name="IJP취부A">#REF!</definedName>
    <definedName name="ilb">#REF!</definedName>
    <definedName name="ILB_1">[17]설계명세서!#REF!</definedName>
    <definedName name="ILB_2">[17]설계명세서!#REF!</definedName>
    <definedName name="ilba">#REF!</definedName>
    <definedName name="ILP80적">[50]단가!$A$36</definedName>
    <definedName name="ILP80회">[50]단가!$A$35</definedName>
    <definedName name="ILP적">[50]단가!$A$34</definedName>
    <definedName name="ILP회">[50]단가!$A$33</definedName>
    <definedName name="in">[17]설계명세서!#REF!</definedName>
    <definedName name="IN_5C">#REF!</definedName>
    <definedName name="IN_SS">#REF!</definedName>
    <definedName name="inib">#REF!</definedName>
    <definedName name="INLU">[16]기별!#REF!</definedName>
    <definedName name="INLU2">[16]기별!#REF!</definedName>
    <definedName name="int">#REF!</definedName>
    <definedName name="intel" localSheetId="13" hidden="1">{#N/A,#N/A,FALSE,"TABLE"}</definedName>
    <definedName name="intel" hidden="1">{#N/A,#N/A,FALSE,"TABLE"}</definedName>
    <definedName name="IOIOIOIO" localSheetId="13" hidden="1">{#N/A,#N/A,FALSE,"표지목차"}</definedName>
    <definedName name="IOIOIOIO" hidden="1">{#N/A,#N/A,FALSE,"표지목차"}</definedName>
    <definedName name="iouo" localSheetId="13" hidden="1">{#N/A,#N/A,FALSE,"배수2"}</definedName>
    <definedName name="iouo" hidden="1">{#N/A,#N/A,FALSE,"배수2"}</definedName>
    <definedName name="ioup" localSheetId="13" hidden="1">{#N/A,#N/A,FALSE,"속도"}</definedName>
    <definedName name="ioup" hidden="1">{#N/A,#N/A,FALSE,"속도"}</definedName>
    <definedName name="isx">#REF!</definedName>
    <definedName name="ISX_1">#REF!</definedName>
    <definedName name="item">#REF!</definedName>
    <definedName name="iun">#REF!</definedName>
    <definedName name="IUN_1">#REF!</definedName>
    <definedName name="IUN_2">[17]설계명세서!#REF!</definedName>
    <definedName name="iy">[17]설계명세서!#REF!</definedName>
    <definedName name="iy_j">#REF!</definedName>
    <definedName name="I형" localSheetId="13">[6]소요자재!$H$40</definedName>
    <definedName name="I형">[23]소요자재!$H$40</definedName>
    <definedName name="I형행가" localSheetId="13">[29]소요자재!$H$232</definedName>
    <definedName name="I형행가">[30]소요자재!$H$232</definedName>
    <definedName name="I형행가1" localSheetId="13">[29]소요자재!$H$233</definedName>
    <definedName name="I형행가1">[30]소요자재!$H$233</definedName>
    <definedName name="I형행가설치" localSheetId="13">[29]노무산출서!$H$93</definedName>
    <definedName name="I형행가설치">[30]노무산출서!$H$93</definedName>
    <definedName name="I형행거">#REF!</definedName>
    <definedName name="I형헹가">[38]소요자재!#REF!</definedName>
    <definedName name="I형헹가2">[38]소요자재!#REF!</definedName>
    <definedName name="I형헹가설치">[38]노무산출서!#REF!</definedName>
    <definedName name="J" localSheetId="22" hidden="1">{"'용역비'!$A$4:$C$8"}</definedName>
    <definedName name="J" localSheetId="34" hidden="1">{"'용역비'!$A$4:$C$8"}</definedName>
    <definedName name="J" localSheetId="35" hidden="1">{"'용역비'!$A$4:$C$8"}</definedName>
    <definedName name="J" localSheetId="36" hidden="1">{"'용역비'!$A$4:$C$8"}</definedName>
    <definedName name="J" localSheetId="37" hidden="1">{"'용역비'!$A$4:$C$8"}</definedName>
    <definedName name="J" localSheetId="13" hidden="1">{"'용역비'!$A$4:$C$8"}</definedName>
    <definedName name="J" localSheetId="15" hidden="1">{"'용역비'!$A$4:$C$8"}</definedName>
    <definedName name="J" hidden="1">{"'용역비'!$A$4:$C$8"}</definedName>
    <definedName name="j_25">[17]설계명세서!#REF!</definedName>
    <definedName name="j_28">[17]설계명세서!#REF!</definedName>
    <definedName name="j_30">[17]설계명세서!#REF!</definedName>
    <definedName name="j_325">[17]설계명세서!#REF!</definedName>
    <definedName name="j_328">[17]설계명세서!#REF!</definedName>
    <definedName name="ja_j">#REF!</definedName>
    <definedName name="ja_s">#REF!</definedName>
    <definedName name="jac">#REF!</definedName>
    <definedName name="jae">#REF!</definedName>
    <definedName name="JAE_1">[17]설계명세서!#REF!</definedName>
    <definedName name="JAE_2">[17]설계명세서!#REF!</definedName>
    <definedName name="jae_b">[17]설계명세서!#REF!</definedName>
    <definedName name="JAE_B_1">[17]설계명세서!#REF!</definedName>
    <definedName name="JAE_B_2">[17]설계명세서!#REF!</definedName>
    <definedName name="jae_d">#REF!</definedName>
    <definedName name="JAE_D_1">[17]설계명세서!#REF!</definedName>
    <definedName name="JAE_D_2">[17]설계명세서!#REF!</definedName>
    <definedName name="jae_d_bu">[17]설계명세서!#REF!</definedName>
    <definedName name="JAE_D_BU_1">[17]설계명세서!#REF!</definedName>
    <definedName name="JAE_D_BU_2">[17]설계명세서!#REF!</definedName>
    <definedName name="jae_d_jab">[17]설계명세서!#REF!</definedName>
    <definedName name="JAE_D_JAB_1">[17]설계명세서!#REF!</definedName>
    <definedName name="JAE_D_JAB_2">[17]설계명세서!#REF!</definedName>
    <definedName name="jae_dj">#REF!</definedName>
    <definedName name="jae_gong">'[45]설계명세서(종합)'!#REF!</definedName>
    <definedName name="jae_j">#REF!</definedName>
    <definedName name="JAE_JAB">#REF!</definedName>
    <definedName name="JAE_K">#REF!</definedName>
    <definedName name="jae_s">#REF!</definedName>
    <definedName name="JAE_S_1">[17]설계명세서!#REF!</definedName>
    <definedName name="JAE_S_2">[17]설계명세서!#REF!</definedName>
    <definedName name="jae_sd">[17]설계명세서!#REF!</definedName>
    <definedName name="JAE_SD_1">[17]설계명세서!#REF!</definedName>
    <definedName name="JAE_SD_2">[17]설계명세서!#REF!</definedName>
    <definedName name="jae_sj">#REF!</definedName>
    <definedName name="jae_tot">#REF!</definedName>
    <definedName name="jae_tot_j">#REF!</definedName>
    <definedName name="jajai">#REF!</definedName>
    <definedName name="jb">#REF!</definedName>
    <definedName name="jc">[17]설계명세서!#REF!</definedName>
    <definedName name="jc_2">[17]설계명세서!#REF!</definedName>
    <definedName name="JDFHERHGFHJ" localSheetId="13" hidden="1">{#N/A,#N/A,FALSE,"포장2"}</definedName>
    <definedName name="JDFHERHGFHJ" hidden="1">{#N/A,#N/A,FALSE,"포장2"}</definedName>
    <definedName name="JDFHERHGFJFD" localSheetId="13" hidden="1">{#N/A,#N/A,FALSE,"포장1";#N/A,#N/A,FALSE,"포장1"}</definedName>
    <definedName name="JDFHERHGFJFD" hidden="1">{#N/A,#N/A,FALSE,"포장1";#N/A,#N/A,FALSE,"포장1"}</definedName>
    <definedName name="JDFHETHGFJ" localSheetId="13" hidden="1">{#N/A,#N/A,FALSE,"조골재"}</definedName>
    <definedName name="JDFHETHGFJ" hidden="1">{#N/A,#N/A,FALSE,"조골재"}</definedName>
    <definedName name="JDFHFDJDNDHT" localSheetId="13" hidden="1">{#N/A,#N/A,FALSE,"토공2"}</definedName>
    <definedName name="JDFHFDJDNDHT" hidden="1">{#N/A,#N/A,FALSE,"토공2"}</definedName>
    <definedName name="JDFS">[41]소요자재!$H$150</definedName>
    <definedName name="JDHDFHERHG" localSheetId="13" hidden="1">{#N/A,#N/A,FALSE,"이정표"}</definedName>
    <definedName name="JDHDFHERHG" hidden="1">{#N/A,#N/A,FALSE,"이정표"}</definedName>
    <definedName name="JDHGEHGFGJRTYJHFG" localSheetId="13" hidden="1">{#N/A,#N/A,FALSE,"구조1"}</definedName>
    <definedName name="JDHGEHGFGJRTYJHFG" hidden="1">{#N/A,#N/A,FALSE,"구조1"}</definedName>
    <definedName name="JDS">[41]소요자재!$H$59</definedName>
    <definedName name="jfrt">[51]설계명세서!$H$344</definedName>
    <definedName name="jgjy" localSheetId="34" hidden="1">{#N/A,#N/A,FALSE,"현장 NCR 분석";#N/A,#N/A,FALSE,"현장품질감사";#N/A,#N/A,FALSE,"현장품질감사"}</definedName>
    <definedName name="jgjy" localSheetId="35" hidden="1">{#N/A,#N/A,FALSE,"현장 NCR 분석";#N/A,#N/A,FALSE,"현장품질감사";#N/A,#N/A,FALSE,"현장품질감사"}</definedName>
    <definedName name="jgjy" localSheetId="36" hidden="1">{#N/A,#N/A,FALSE,"현장 NCR 분석";#N/A,#N/A,FALSE,"현장품질감사";#N/A,#N/A,FALSE,"현장품질감사"}</definedName>
    <definedName name="jgjy" localSheetId="37" hidden="1">{#N/A,#N/A,FALSE,"현장 NCR 분석";#N/A,#N/A,FALSE,"현장품질감사";#N/A,#N/A,FALSE,"현장품질감사"}</definedName>
    <definedName name="jgjy" localSheetId="13" hidden="1">{#N/A,#N/A,FALSE,"현장 NCR 분석";#N/A,#N/A,FALSE,"현장품질감사";#N/A,#N/A,FALSE,"현장품질감사"}</definedName>
    <definedName name="jgjy" localSheetId="15" hidden="1">{#N/A,#N/A,FALSE,"현장 NCR 분석";#N/A,#N/A,FALSE,"현장품질감사";#N/A,#N/A,FALSE,"현장품질감사"}</definedName>
    <definedName name="jgjy" hidden="1">{#N/A,#N/A,FALSE,"현장 NCR 분석";#N/A,#N/A,FALSE,"현장품질감사";#N/A,#N/A,FALSE,"현장품질감사"}</definedName>
    <definedName name="JH" localSheetId="22" hidden="1">{"'광피스표'!$A$3:$N$54"}</definedName>
    <definedName name="JH" localSheetId="13" hidden="1">{"'광피스표'!$A$3:$N$54"}</definedName>
    <definedName name="JH" localSheetId="15" hidden="1">{"'광피스표'!$A$3:$N$54"}</definedName>
    <definedName name="JH" hidden="1">{"'광피스표'!$A$3:$N$54"}</definedName>
    <definedName name="JI_130">#REF!</definedName>
    <definedName name="JI_250">#REF!</definedName>
    <definedName name="JI_280">#REF!</definedName>
    <definedName name="JI_300">#REF!</definedName>
    <definedName name="JIBAN">#REF!</definedName>
    <definedName name="JIBAN_1">#REF!</definedName>
    <definedName name="jii" localSheetId="13" hidden="1">{#N/A,#N/A,FALSE,"골재소요량";#N/A,#N/A,FALSE,"골재소요량"}</definedName>
    <definedName name="jii" hidden="1">{#N/A,#N/A,FALSE,"골재소요량";#N/A,#N/A,FALSE,"골재소요량"}</definedName>
    <definedName name="jijuk1">#REF!</definedName>
    <definedName name="jijuk2">#REF!</definedName>
    <definedName name="JIPOPKP">#N/A</definedName>
    <definedName name="JJ">[19]아파트기별!$AK$52</definedName>
    <definedName name="JJJ" localSheetId="13" hidden="1">{#N/A,#N/A,FALSE,"골재소요량";#N/A,#N/A,FALSE,"골재소요량"}</definedName>
    <definedName name="JJJ" hidden="1">{#N/A,#N/A,FALSE,"골재소요량";#N/A,#N/A,FALSE,"골재소요량"}</definedName>
    <definedName name="JJJJJJ" hidden="1">[1]BID!$A$1:$A$524</definedName>
    <definedName name="JKJKJKJK" localSheetId="13" hidden="1">{#N/A,#N/A,FALSE,"포장1";#N/A,#N/A,FALSE,"포장1"}</definedName>
    <definedName name="JKJKJKJK" hidden="1">{#N/A,#N/A,FALSE,"포장1";#N/A,#N/A,FALSE,"포장1"}</definedName>
    <definedName name="jkkk" localSheetId="13" hidden="1">{"'선로집계'!$A$1:$G$68"}</definedName>
    <definedName name="jkkk" localSheetId="15" hidden="1">{"'선로집계'!$A$1:$G$68"}</definedName>
    <definedName name="jkkk" hidden="1">{"'선로집계'!$A$1:$G$68"}</definedName>
    <definedName name="JKLBLIOP">#REF!</definedName>
    <definedName name="JOGA">#REF!</definedName>
    <definedName name="JOGA_1">#REF!</definedName>
    <definedName name="JOGA_J">#REF!</definedName>
    <definedName name="joga_kg">#REF!</definedName>
    <definedName name="JOGA1">[16]기별!#REF!</definedName>
    <definedName name="JOGA2">[16]기별!#REF!</definedName>
    <definedName name="JOIN_CLAMP">#REF!</definedName>
    <definedName name="JS">#REF!</definedName>
    <definedName name="JSGSUGSGJSDGS" localSheetId="22" hidden="1">{"'광피스표'!$A$3:$N$54"}</definedName>
    <definedName name="JSGSUGSGJSDGS" localSheetId="13" hidden="1">{"'광피스표'!$A$3:$N$54"}</definedName>
    <definedName name="JSGSUGSGJSDGS" localSheetId="15" hidden="1">{"'광피스표'!$A$3:$N$54"}</definedName>
    <definedName name="JSGSUGSGJSDGS" hidden="1">{"'광피스표'!$A$3:$N$54"}</definedName>
    <definedName name="juap">[35]기준자료!$C$8</definedName>
    <definedName name="JUNG">BlankMacro1</definedName>
    <definedName name="JUNG1">BlankMacro1</definedName>
    <definedName name="JUNG3" localSheetId="22" hidden="1">{#N/A,#N/A,FALSE,"QUOT_960527"}</definedName>
    <definedName name="JUNG3" localSheetId="13" hidden="1">{#N/A,#N/A,FALSE,"QUOT_960527"}</definedName>
    <definedName name="JUNG3" localSheetId="15" hidden="1">{#N/A,#N/A,FALSE,"QUOT_960527"}</definedName>
    <definedName name="JUNG3" hidden="1">{#N/A,#N/A,FALSE,"QUOT_960527"}</definedName>
    <definedName name="juy" localSheetId="22" hidden="1">{"'광피스표'!$A$3:$N$54"}</definedName>
    <definedName name="juy" localSheetId="13" hidden="1">{"'광피스표'!$A$3:$N$54"}</definedName>
    <definedName name="juy" localSheetId="15" hidden="1">{"'광피스표'!$A$3:$N$54"}</definedName>
    <definedName name="juy" hidden="1">{"'광피스표'!$A$3:$N$54"}</definedName>
    <definedName name="jyjy">[51]기초자료입력!$B$16</definedName>
    <definedName name="jyrh">[51]설계명세서!$H$7</definedName>
    <definedName name="jytrtysr" localSheetId="13" hidden="1">{#N/A,#N/A,FALSE,"조골재"}</definedName>
    <definedName name="jytrtysr" hidden="1">{#N/A,#N/A,FALSE,"조골재"}</definedName>
    <definedName name="J형" localSheetId="13">[6]소요자재!$H$41</definedName>
    <definedName name="J형">[23]소요자재!$H$41</definedName>
    <definedName name="k" localSheetId="22" hidden="1">{"'광피스표'!$A$3:$N$54"}</definedName>
    <definedName name="k" localSheetId="4" hidden="1">{"'광피스표'!$A$3:$N$54"}</definedName>
    <definedName name="k" localSheetId="13" hidden="1">{"'광피스표'!$A$3:$N$54"}</definedName>
    <definedName name="k" localSheetId="15" hidden="1">{"'광피스표'!$A$3:$N$54"}</definedName>
    <definedName name="k" hidden="1">{"'광피스표'!$A$3:$N$54"}</definedName>
    <definedName name="K74086800">'[52]견적시담(송포2공구)'!#REF!</definedName>
    <definedName name="kac">#REF!</definedName>
    <definedName name="KB" localSheetId="22" hidden="1">{"'광피스표'!$A$3:$N$54"}</definedName>
    <definedName name="KB" localSheetId="13" hidden="1">{"'광피스표'!$A$3:$N$54"}</definedName>
    <definedName name="KB" localSheetId="15" hidden="1">{"'광피스표'!$A$3:$N$54"}</definedName>
    <definedName name="KB" hidden="1">{"'광피스표'!$A$3:$N$54"}</definedName>
    <definedName name="KBS" localSheetId="29" hidden="1">#REF!</definedName>
    <definedName name="KBS" localSheetId="19" hidden="1">#REF!</definedName>
    <definedName name="KBS" hidden="1">#REF!</definedName>
    <definedName name="KD4_S01" localSheetId="13">'8-2.설비자재산출(무인보안)'!KD4_S01</definedName>
    <definedName name="KD4_S01" localSheetId="15">'8-4.일위대가표'!KD4_S01</definedName>
    <definedName name="KD4_S01">'8-2.설비자재산출(무인보안)'!KD4_S01</definedName>
    <definedName name="kdf">#REF!</definedName>
    <definedName name="kdfd">[7]!kdfd</definedName>
    <definedName name="KDKDK" localSheetId="13" hidden="1">{#N/A,#N/A,FALSE,"조골재"}</definedName>
    <definedName name="KDKDK" hidden="1">{#N/A,#N/A,FALSE,"조골재"}</definedName>
    <definedName name="kdw">[51]준공정산!$L$9</definedName>
    <definedName name="KFGHYH" localSheetId="13" hidden="1">{#N/A,#N/A,FALSE,"혼합골재"}</definedName>
    <definedName name="KFGHYH" hidden="1">{#N/A,#N/A,FALSE,"혼합골재"}</definedName>
    <definedName name="KFGJGFJGHGRJGH" localSheetId="13" hidden="1">{#N/A,#N/A,FALSE,"부대1"}</definedName>
    <definedName name="KFGJGFJGHGRJGH" hidden="1">{#N/A,#N/A,FALSE,"부대1"}</definedName>
    <definedName name="KFGJREYDFHFD" localSheetId="13" hidden="1">{#N/A,#N/A,FALSE,"속도"}</definedName>
    <definedName name="KFGJREYDFHFD" hidden="1">{#N/A,#N/A,FALSE,"속도"}</definedName>
    <definedName name="KGFJHGJGH" localSheetId="13" hidden="1">{#N/A,#N/A,FALSE,"2~8번"}</definedName>
    <definedName name="KGFJHGJGH" hidden="1">{#N/A,#N/A,FALSE,"2~8번"}</definedName>
    <definedName name="khl" localSheetId="13" hidden="1">{#N/A,#N/A,FALSE,"2~8번"}</definedName>
    <definedName name="khl" hidden="1">{#N/A,#N/A,FALSE,"2~8번"}</definedName>
    <definedName name="KHTFH" localSheetId="13">'8-2.설비자재산출(무인보안)'!KHTFH</definedName>
    <definedName name="KHTFH" localSheetId="15">'8-4.일위대가표'!KHTFH</definedName>
    <definedName name="KHTFH">'8-2.설비자재산출(무인보안)'!KHTFH</definedName>
    <definedName name="ki" localSheetId="13">'8-2.설비자재산출(무인보안)'!ki</definedName>
    <definedName name="ki" localSheetId="15">'8-4.일위대가표'!ki</definedName>
    <definedName name="ki">'8-2.설비자재산출(무인보안)'!ki</definedName>
    <definedName name="kii" localSheetId="13">'8-2.설비자재산출(무인보안)'!kii</definedName>
    <definedName name="kii" localSheetId="15">'8-4.일위대가표'!kii</definedName>
    <definedName name="kii">'8-2.설비자재산출(무인보안)'!kii</definedName>
    <definedName name="kim">[51]기초자료입력!$B$19</definedName>
    <definedName name="kiss">[51]설계명세서!$H$212</definedName>
    <definedName name="kj" localSheetId="29" hidden="1">#REF!</definedName>
    <definedName name="kj" localSheetId="13" hidden="1">#REF!</definedName>
    <definedName name="kj" localSheetId="19" hidden="1">#REF!</definedName>
    <definedName name="kj" hidden="1">#REF!</definedName>
    <definedName name="KJGHJG" localSheetId="13" hidden="1">{#N/A,#N/A,FALSE,"배수2"}</definedName>
    <definedName name="KJGHJG" hidden="1">{#N/A,#N/A,FALSE,"배수2"}</definedName>
    <definedName name="KJHNGFDD" localSheetId="13">'8-2.설비자재산출(무인보안)'!KJHNGFDD</definedName>
    <definedName name="KJHNGFDD" localSheetId="15">'8-4.일위대가표'!KJHNGFDD</definedName>
    <definedName name="KJHNGFDD">'8-2.설비자재산출(무인보안)'!KJHNGFDD</definedName>
    <definedName name="KJJHJDFF" hidden="1">"99-02-10"</definedName>
    <definedName name="kk">#REF!</definedName>
    <definedName name="KKK">#REF!</definedName>
    <definedName name="KKKAAAA" localSheetId="22" hidden="1">{"'광피스표'!$A$3:$N$54"}</definedName>
    <definedName name="KKKAAAA" localSheetId="13" hidden="1">{"'광피스표'!$A$3:$N$54"}</definedName>
    <definedName name="KKKAAAA" localSheetId="15" hidden="1">{"'광피스표'!$A$3:$N$54"}</definedName>
    <definedName name="KKKAAAA" hidden="1">{"'광피스표'!$A$3:$N$54"}</definedName>
    <definedName name="kkkk" localSheetId="13" hidden="1">{#N/A,#N/A,FALSE,"현장 NCR 분석";#N/A,#N/A,FALSE,"현장품질감사";#N/A,#N/A,FALSE,"현장품질감사"}</definedName>
    <definedName name="kkkk" localSheetId="15" hidden="1">{#N/A,#N/A,FALSE,"현장 NCR 분석";#N/A,#N/A,FALSE,"현장품질감사";#N/A,#N/A,FALSE,"현장품질감사"}</definedName>
    <definedName name="kkkk" hidden="1">{#N/A,#N/A,FALSE,"현장 NCR 분석";#N/A,#N/A,FALSE,"현장품질감사";#N/A,#N/A,FALSE,"현장품질감사"}</definedName>
    <definedName name="kkkkk">[51]기초자료입력!$B$17</definedName>
    <definedName name="kko" localSheetId="29" hidden="1">#REF!</definedName>
    <definedName name="kko" localSheetId="13" hidden="1">#REF!</definedName>
    <definedName name="kko" localSheetId="19" hidden="1">#REF!</definedName>
    <definedName name="kko" hidden="1">#REF!</definedName>
    <definedName name="kljg" localSheetId="13" hidden="1">{#N/A,#N/A,FALSE,"부대1"}</definedName>
    <definedName name="kljg" hidden="1">{#N/A,#N/A,FALSE,"부대1"}</definedName>
    <definedName name="KLLKLKLK" localSheetId="13" hidden="1">{#N/A,#N/A,FALSE,"포장2"}</definedName>
    <definedName name="KLLKLKLK" hidden="1">{#N/A,#N/A,FALSE,"포장2"}</definedName>
    <definedName name="kmData">#REF!</definedName>
    <definedName name="knj" localSheetId="13" hidden="1">{#N/A,#N/A,FALSE,"혼합골재"}</definedName>
    <definedName name="knj" hidden="1">{#N/A,#N/A,FALSE,"혼합골재"}</definedName>
    <definedName name="KOKO">#REF!</definedName>
    <definedName name="KPOK">#N/A</definedName>
    <definedName name="ksg">#REF!</definedName>
    <definedName name="ktf" localSheetId="29" hidden="1">#REF!</definedName>
    <definedName name="ktf" localSheetId="13" hidden="1">#REF!</definedName>
    <definedName name="ktf" localSheetId="19" hidden="1">#REF!</definedName>
    <definedName name="ktf" hidden="1">#REF!</definedName>
    <definedName name="kty" localSheetId="29" hidden="1">#REF!</definedName>
    <definedName name="kty" localSheetId="13" hidden="1">#REF!</definedName>
    <definedName name="kty" localSheetId="19" hidden="1">#REF!</definedName>
    <definedName name="kty" hidden="1">#REF!</definedName>
    <definedName name="kumkubi">#REF!</definedName>
    <definedName name="kumkubi_1">#REF!</definedName>
    <definedName name="kumkubi_2">#REF!</definedName>
    <definedName name="KYNGSADO" localSheetId="13">'8-2.설비자재산출(무인보안)'!KYNGSADO</definedName>
    <definedName name="KYNGSADO" localSheetId="15">'8-4.일위대가표'!KYNGSADO</definedName>
    <definedName name="KYNGSADO">'8-2.설비자재산출(무인보안)'!KYNGSADO</definedName>
    <definedName name="KYNGSAYL" localSheetId="29">[53]!KYNGSAYL</definedName>
    <definedName name="KYNGSAYL" localSheetId="19">[53]!KYNGSAYL</definedName>
    <definedName name="KYNGSAYL">[53]!KYNGSAYL</definedName>
    <definedName name="kytjnjr" localSheetId="13" hidden="1">{#N/A,#N/A,FALSE,"토공2"}</definedName>
    <definedName name="kytjnjr" hidden="1">{#N/A,#N/A,FALSE,"토공2"}</definedName>
    <definedName name="L">#REF!</definedName>
    <definedName name="L_POLE">#REF!</definedName>
    <definedName name="L1AS">#REF!</definedName>
    <definedName name="la">#REF!</definedName>
    <definedName name="LANCARD신설">#REF!</definedName>
    <definedName name="LANCARD이설">[54]단가표!#REF!</definedName>
    <definedName name="LAST">#REF!</definedName>
    <definedName name="LAY_03_1" localSheetId="13">'8-2.설비자재산출(무인보안)'!LAY_03_1</definedName>
    <definedName name="LAY_03_1" localSheetId="15">'8-4.일위대가표'!LAY_03_1</definedName>
    <definedName name="LAY_03_1">'8-2.설비자재산출(무인보안)'!LAY_03_1</definedName>
    <definedName name="LA기초"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LA기초"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LA기초"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LA기초1"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LA기초1"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LA기초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lb">#REF!</definedName>
    <definedName name="lc">#REF!</definedName>
    <definedName name="ld">#REF!</definedName>
    <definedName name="LED">#REF!</definedName>
    <definedName name="letter" localSheetId="22" hidden="1">{#N/A,#N/A,FALSE,"QUOT_960527"}</definedName>
    <definedName name="letter" localSheetId="13" hidden="1">{#N/A,#N/A,FALSE,"QUOT_960527"}</definedName>
    <definedName name="letter" localSheetId="15" hidden="1">{#N/A,#N/A,FALSE,"QUOT_960527"}</definedName>
    <definedName name="letter" hidden="1">{#N/A,#N/A,FALSE,"QUOT_960527"}</definedName>
    <definedName name="li" localSheetId="22" hidden="1">{"'용역비'!$A$4:$C$8"}</definedName>
    <definedName name="li" localSheetId="34" hidden="1">{"'용역비'!$A$4:$C$8"}</definedName>
    <definedName name="li" localSheetId="35" hidden="1">{"'용역비'!$A$4:$C$8"}</definedName>
    <definedName name="li" localSheetId="36" hidden="1">{"'용역비'!$A$4:$C$8"}</definedName>
    <definedName name="li" localSheetId="37" hidden="1">{"'용역비'!$A$4:$C$8"}</definedName>
    <definedName name="li" localSheetId="13" hidden="1">{"'용역비'!$A$4:$C$8"}</definedName>
    <definedName name="li" localSheetId="15" hidden="1">{"'용역비'!$A$4:$C$8"}</definedName>
    <definedName name="li" hidden="1">{"'용역비'!$A$4:$C$8"}</definedName>
    <definedName name="LIGHT_POLE">#REF!</definedName>
    <definedName name="lijop" localSheetId="13" hidden="1">{#N/A,#N/A,FALSE,"배수1"}</definedName>
    <definedName name="lijop" hidden="1">{#N/A,#N/A,FALSE,"배수1"}</definedName>
    <definedName name="LINE">[55]DATA!$G$4:$G$34</definedName>
    <definedName name="LINFFU" localSheetId="22" hidden="1">{"'광피스표'!$A$3:$N$54"}</definedName>
    <definedName name="LINFFU" localSheetId="13" hidden="1">{"'광피스표'!$A$3:$N$54"}</definedName>
    <definedName name="LINFFU" localSheetId="15" hidden="1">{"'광피스표'!$A$3:$N$54"}</definedName>
    <definedName name="LINFFU" hidden="1">{"'광피스표'!$A$3:$N$54"}</definedName>
    <definedName name="ljkj" localSheetId="13" hidden="1">{#N/A,#N/A,FALSE,"현장 NCR 분석";#N/A,#N/A,FALSE,"현장품질감사";#N/A,#N/A,FALSE,"현장품질감사"}</definedName>
    <definedName name="ljkj" localSheetId="15" hidden="1">{#N/A,#N/A,FALSE,"현장 NCR 분석";#N/A,#N/A,FALSE,"현장품질감사";#N/A,#N/A,FALSE,"현장품질감사"}</definedName>
    <definedName name="ljkj" hidden="1">{#N/A,#N/A,FALSE,"현장 NCR 분석";#N/A,#N/A,FALSE,"현장품질감사";#N/A,#N/A,FALSE,"현장품질감사"}</definedName>
    <definedName name="lkijhgh" localSheetId="13" hidden="1">{#N/A,#N/A,FALSE,"부대1"}</definedName>
    <definedName name="lkijhgh" hidden="1">{#N/A,#N/A,FALSE,"부대1"}</definedName>
    <definedName name="LKJHG" localSheetId="13">'8-2.설비자재산출(무인보안)'!LKJHG</definedName>
    <definedName name="LKJHG" localSheetId="15">'8-4.일위대가표'!LKJHG</definedName>
    <definedName name="LKJHG">'8-2.설비자재산출(무인보안)'!LKJHG</definedName>
    <definedName name="LL">#REF!</definedName>
    <definedName name="LLL">#REF!</definedName>
    <definedName name="LLLL" localSheetId="13">'8-2.설비자재산출(무인보안)'!LLLL</definedName>
    <definedName name="LLLL" localSheetId="15">'8-4.일위대가표'!LLLL</definedName>
    <definedName name="LLLL">'8-2.설비자재산출(무인보안)'!LLLL</definedName>
    <definedName name="LM">'[44]4차설계'!#REF!</definedName>
    <definedName name="LM_1">#REF!</definedName>
    <definedName name="lo" localSheetId="22" hidden="1">{"'광피스표'!$A$3:$N$54"}</definedName>
    <definedName name="lo" localSheetId="13" hidden="1">{"'광피스표'!$A$3:$N$54"}</definedName>
    <definedName name="lo" localSheetId="15" hidden="1">{"'광피스표'!$A$3:$N$54"}</definedName>
    <definedName name="lo" hidden="1">{"'광피스표'!$A$3:$N$54"}</definedName>
    <definedName name="lp">#REF!</definedName>
    <definedName name="LPI">#REF!</definedName>
    <definedName name="LPI_1">#REF!</definedName>
    <definedName name="LPRIC">#N/A</definedName>
    <definedName name="LP구입">#REF!</definedName>
    <definedName name="LP출고">#REF!</definedName>
    <definedName name="LSKG">#REF!</definedName>
    <definedName name="LSKG_1">#REF!</definedName>
    <definedName name="LSKG_2">#REF!</definedName>
    <definedName name="lyf" localSheetId="13" hidden="1">{#N/A,#N/A,FALSE,"회선임차현황"}</definedName>
    <definedName name="lyf" localSheetId="15" hidden="1">{#N/A,#N/A,FALSE,"회선임차현황"}</definedName>
    <definedName name="lyf" hidden="1">{#N/A,#N/A,FALSE,"회선임차현황"}</definedName>
    <definedName name="m" localSheetId="34" hidden="1">'[40]#REF'!$A$1:$A$292</definedName>
    <definedName name="m" localSheetId="35" hidden="1">'[40]#REF'!$A$1:$A$292</definedName>
    <definedName name="m" localSheetId="36" hidden="1">'[40]#REF'!$A$1:$A$292</definedName>
    <definedName name="m" localSheetId="37" hidden="1">'[40]#REF'!$A$1:$A$292</definedName>
    <definedName name="M" localSheetId="13">'8-2.설비자재산출(무인보안)'!M</definedName>
    <definedName name="M" localSheetId="15">'8-4.일위대가표'!M</definedName>
    <definedName name="M">'10-4-1. 충전기 용량산출_동해안#1'!m</definedName>
    <definedName name="M_env.datasort" localSheetId="29">[37]!M_env.datasort</definedName>
    <definedName name="M_env.datasort" localSheetId="19">[37]!M_env.datasort</definedName>
    <definedName name="M_env.datasort">[37]!M_env.datasort</definedName>
    <definedName name="m_t">#REF!</definedName>
    <definedName name="M13RACK">#REF!</definedName>
    <definedName name="M13직노">#REF!</definedName>
    <definedName name="M13직노.">#REF!</definedName>
    <definedName name="M21E1">#REF!</definedName>
    <definedName name="M42E1">#REF!</definedName>
    <definedName name="Macro1" localSheetId="13">'[22]#REF'!$A$1</definedName>
    <definedName name="Macro1">'[56]#REF'!$A$1</definedName>
    <definedName name="Macro2">#REF!</definedName>
    <definedName name="Macro3">#REF!</definedName>
    <definedName name="Macro4">#REF!</definedName>
    <definedName name="MAIN">#REF!</definedName>
    <definedName name="mak">#REF!</definedName>
    <definedName name="make_gb">#REF!</definedName>
    <definedName name="make_ilban">#REF!</definedName>
    <definedName name="make_iun">#REF!</definedName>
    <definedName name="make_ja">#REF!</definedName>
    <definedName name="make_nomu">#REF!</definedName>
    <definedName name="MAN">#REF!</definedName>
    <definedName name="MB">#REF!</definedName>
    <definedName name="MBP">#REF!</definedName>
    <definedName name="MCU" localSheetId="13">[6]소요자재!$H$79</definedName>
    <definedName name="MCU">[23]소요자재!$H$79</definedName>
    <definedName name="MDF">#REF!</definedName>
    <definedName name="MDF_1" localSheetId="13">'8-2.설비자재산출(무인보안)'!MDF_1</definedName>
    <definedName name="MDF_1" localSheetId="15">'8-4.일위대가표'!MDF_1</definedName>
    <definedName name="MDF_1">'8-2.설비자재산출(무인보안)'!MDF_1</definedName>
    <definedName name="MDF_A">#REF!</definedName>
    <definedName name="MDF_B01" localSheetId="13">'8-2.설비자재산출(무인보안)'!MDF_B01</definedName>
    <definedName name="MDF_B01" localSheetId="15">'8-4.일위대가표'!MDF_B01</definedName>
    <definedName name="MDF_B01">'8-2.설비자재산출(무인보안)'!MDF_B01</definedName>
    <definedName name="MDF단자">[38]소요자재!#REF!</definedName>
    <definedName name="MEM128P">#REF!</definedName>
    <definedName name="MEM64P">#REF!</definedName>
    <definedName name="minus">#REF!</definedName>
    <definedName name="mjk">#REF!</definedName>
    <definedName name="mm" localSheetId="22" hidden="1">{#N/A,#N/A,TRUE,"토적및재료집계";#N/A,#N/A,TRUE,"토적및재료집계";#N/A,#N/A,TRUE,"단위량"}</definedName>
    <definedName name="mm" localSheetId="13" hidden="1">{#N/A,#N/A,TRUE,"토적및재료집계";#N/A,#N/A,TRUE,"토적및재료집계";#N/A,#N/A,TRUE,"단위량"}</definedName>
    <definedName name="mm" localSheetId="15" hidden="1">{#N/A,#N/A,TRUE,"토적및재료집계";#N/A,#N/A,TRUE,"토적및재료집계";#N/A,#N/A,TRUE,"단위량"}</definedName>
    <definedName name="mm" hidden="1">{#N/A,#N/A,TRUE,"토적및재료집계";#N/A,#N/A,TRUE,"토적및재료집계";#N/A,#N/A,TRUE,"단위량"}</definedName>
    <definedName name="MMM" localSheetId="13" hidden="1">{"'선로집계'!$A$1:$G$68"}</definedName>
    <definedName name="MMM" localSheetId="15" hidden="1">{"'선로집계'!$A$1:$G$68"}</definedName>
    <definedName name="MMM" hidden="1">{"'선로집계'!$A$1:$G$68"}</definedName>
    <definedName name="MNBB" localSheetId="13">'8-2.설비자재산출(무인보안)'!MNBB</definedName>
    <definedName name="MNBB" localSheetId="15">'8-4.일위대가표'!MNBB</definedName>
    <definedName name="MNBB">'8-2.설비자재산출(무인보안)'!MNBB</definedName>
    <definedName name="MNKJNBH">#REF!</definedName>
    <definedName name="MODEM1" localSheetId="13">[6]소요자재!$H$147</definedName>
    <definedName name="MODEM1">[23]소요자재!$H$147</definedName>
    <definedName name="MODEM10">[45]소요자재!#REF!</definedName>
    <definedName name="MODEM11">[45]소요자재!#REF!</definedName>
    <definedName name="MODEM12">[45]소요자재!#REF!</definedName>
    <definedName name="MODEM13">[45]소요자재!#REF!</definedName>
    <definedName name="MODEM14">[45]소요자재!#REF!</definedName>
    <definedName name="MODEM15">[45]소요자재!#REF!</definedName>
    <definedName name="MODEM2" localSheetId="13">[6]소요자재!$H$148</definedName>
    <definedName name="MODEM2">[23]소요자재!$H$148</definedName>
    <definedName name="MODEM3">[45]소요자재!#REF!</definedName>
    <definedName name="MODEM4">[45]소요자재!#REF!</definedName>
    <definedName name="MODEM5">[45]소요자재!#REF!</definedName>
    <definedName name="MODEM6">[45]소요자재!#REF!</definedName>
    <definedName name="MODEM7">[45]소요자재!#REF!</definedName>
    <definedName name="MODEM8">[45]소요자재!#REF!</definedName>
    <definedName name="MODEM9">[45]소요자재!#REF!</definedName>
    <definedName name="MONEY">#REF!</definedName>
    <definedName name="MOTOR__농형_전폐">#REF!</definedName>
    <definedName name="MPRIC">#N/A</definedName>
    <definedName name="msgbox_1" localSheetId="13">'8-2.설비자재산출(무인보안)'!msgbox_1</definedName>
    <definedName name="msgbox_1" localSheetId="15">'8-4.일위대가표'!msgbox_1</definedName>
    <definedName name="msgbox_1">'8-2.설비자재산출(무인보안)'!msgbox_1</definedName>
    <definedName name="MTTR">840</definedName>
    <definedName name="MUX">[57]!MUX</definedName>
    <definedName name="MUX3240B형" localSheetId="13">[6]소요자재!$H$124</definedName>
    <definedName name="MUX3240B형">[23]소요자재!$H$124</definedName>
    <definedName name="MUX7104_1">#REF!</definedName>
    <definedName name="MUX7104_2">#REF!</definedName>
    <definedName name="MUXNMS">#REF!</definedName>
    <definedName name="MUXOJC1">#REF!</definedName>
    <definedName name="MUXOJC2">#REF!</definedName>
    <definedName name="MUXT">#REF!</definedName>
    <definedName name="MUXV">#REF!</definedName>
    <definedName name="n_1">[58]Sheet7!$F$5</definedName>
    <definedName name="n_2">[58]Sheet7!$F$6</definedName>
    <definedName name="n_3">[58]Sheet7!$F$7</definedName>
    <definedName name="nae">#REF!</definedName>
    <definedName name="name">#REF!</definedName>
    <definedName name="name1">#REF!</definedName>
    <definedName name="ndFile1Cost">#REF!</definedName>
    <definedName name="ndFile1Inst">#REF!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DU" localSheetId="13">[6]소요자재!$H$119</definedName>
    <definedName name="NDU">[23]소요자재!$H$119</definedName>
    <definedName name="NEIM">#REF!</definedName>
    <definedName name="nesn">[35]기준자료!$C$4</definedName>
    <definedName name="nesun">[35]기준자료!$C$11</definedName>
    <definedName name="NETWORK계통도" localSheetId="13">'8-2.설비자재산출(무인보안)'!NETWORK계통도</definedName>
    <definedName name="NETWORK계통도" localSheetId="15">'8-4.일위대가표'!NETWORK계통도</definedName>
    <definedName name="NETWORK계통도">'8-2.설비자재산출(무인보안)'!NETWORK계통도</definedName>
    <definedName name="NEW">#REF!</definedName>
    <definedName name="NEWNOIM">#REF!</definedName>
    <definedName name="NIU" localSheetId="13">[6]소요자재!$H$114</definedName>
    <definedName name="NIU">[23]소요자재!$H$114</definedName>
    <definedName name="NMS_3240">#REF!</definedName>
    <definedName name="NMU" localSheetId="13">[6]소요자재!$H$113</definedName>
    <definedName name="NMU">[23]소요자재!$H$113</definedName>
    <definedName name="NNNOIM">#REF!</definedName>
    <definedName name="NNOIM">#REF!</definedName>
    <definedName name="NO">#REF!</definedName>
    <definedName name="noim">#REF!</definedName>
    <definedName name="NOIM1">[59]노임!$A$11:$F$80</definedName>
    <definedName name="nomu">#REF!</definedName>
    <definedName name="NOMU_1">[17]설계명세서!#REF!</definedName>
    <definedName name="NOMU_2">[17]설계명세서!#REF!</definedName>
    <definedName name="nomu_d">#REF!</definedName>
    <definedName name="nomu_g">#REF!</definedName>
    <definedName name="NOMU_G_1">[17]설계명세서!#REF!</definedName>
    <definedName name="NOMU_G_2">[17]설계명세서!#REF!</definedName>
    <definedName name="nomu_gj">#REF!</definedName>
    <definedName name="nomu_i">#REF!</definedName>
    <definedName name="nomu_j">#REF!</definedName>
    <definedName name="NOMU_J_1">[17]설계명세서!#REF!</definedName>
    <definedName name="NOMU_J_2">[17]설계명세서!#REF!</definedName>
    <definedName name="nomu_jj">#REF!</definedName>
    <definedName name="nomu_js">#REF!</definedName>
    <definedName name="nomu_t">#REF!</definedName>
    <definedName name="nomu_tot">#REF!</definedName>
    <definedName name="nsj">#REF!</definedName>
    <definedName name="NUMBER">#REF!</definedName>
    <definedName name="NY">#REF!</definedName>
    <definedName name="NYE">#REF!</definedName>
    <definedName name="n치강파2" localSheetId="13" hidden="1">{#N/A,#N/A,FALSE,"현장 NCR 분석";#N/A,#N/A,FALSE,"현장품질감사";#N/A,#N/A,FALSE,"현장품질감사"}</definedName>
    <definedName name="n치강파2" hidden="1">{#N/A,#N/A,FALSE,"현장 NCR 분석";#N/A,#N/A,FALSE,"현장품질감사";#N/A,#N/A,FALSE,"현장품질감사"}</definedName>
    <definedName name="oc_1">#REF!</definedName>
    <definedName name="oc1_v35">#REF!</definedName>
    <definedName name="OC1형" localSheetId="13">[6]소요자재!$H$30</definedName>
    <definedName name="OC1형">[23]소요자재!$H$30</definedName>
    <definedName name="OC2형" localSheetId="13">[6]소요자재!$H$31</definedName>
    <definedName name="OC2형">[23]소요자재!$H$31</definedName>
    <definedName name="OC3형" localSheetId="13">[6]소요자재!$H$32</definedName>
    <definedName name="OC3형">[23]소요자재!$H$32</definedName>
    <definedName name="OCBY">#REF!</definedName>
    <definedName name="OCCON">#REF!</definedName>
    <definedName name="OCE">#REF!</definedName>
    <definedName name="OCOJC1">#REF!</definedName>
    <definedName name="OCOJC2">#REF!</definedName>
    <definedName name="OCOJC3">#REF!</definedName>
    <definedName name="OCT">#REF!</definedName>
    <definedName name="OCV">#REF!</definedName>
    <definedName name="ODH" localSheetId="29" hidden="1">#REF!</definedName>
    <definedName name="ODH" localSheetId="13" hidden="1">#REF!</definedName>
    <definedName name="ODH" localSheetId="19" hidden="1">#REF!</definedName>
    <definedName name="ODH" hidden="1">#REF!</definedName>
    <definedName name="oesn">[35]기준자료!$C$9</definedName>
    <definedName name="OFAT">#REF!</definedName>
    <definedName name="OFD">#REF!</definedName>
    <definedName name="OFD설치">#REF!</definedName>
    <definedName name="oi8uip" localSheetId="13" hidden="1">{#N/A,#N/A,FALSE,"이정표"}</definedName>
    <definedName name="oi8uip" hidden="1">{#N/A,#N/A,FALSE,"이정표"}</definedName>
    <definedName name="OIL" localSheetId="22" hidden="1">{"'용역비'!$A$4:$C$8"}</definedName>
    <definedName name="OIL" localSheetId="34" hidden="1">{"'용역비'!$A$4:$C$8"}</definedName>
    <definedName name="OIL" localSheetId="35" hidden="1">{"'용역비'!$A$4:$C$8"}</definedName>
    <definedName name="OIL" localSheetId="36" hidden="1">{"'용역비'!$A$4:$C$8"}</definedName>
    <definedName name="OIL" localSheetId="37" hidden="1">{"'용역비'!$A$4:$C$8"}</definedName>
    <definedName name="OIL" localSheetId="13" hidden="1">{"'용역비'!$A$4:$C$8"}</definedName>
    <definedName name="OIL" localSheetId="15" hidden="1">{"'용역비'!$A$4:$C$8"}</definedName>
    <definedName name="OIL" hidden="1">{"'용역비'!$A$4:$C$8"}</definedName>
    <definedName name="OIU" localSheetId="13">[6]소요자재!$H$117</definedName>
    <definedName name="OIU">[23]소요자재!$H$117</definedName>
    <definedName name="OIU_NIU">#REF!</definedName>
    <definedName name="OIUNIU" localSheetId="13">[6]소요자재!$H$116</definedName>
    <definedName name="OIUNIU">[23]소요자재!$H$116</definedName>
    <definedName name="oiuyo" localSheetId="13" hidden="1">{#N/A,#N/A,FALSE,"부대1"}</definedName>
    <definedName name="oiuyo" hidden="1">{#N/A,#N/A,FALSE,"부대1"}</definedName>
    <definedName name="ojjmjk" localSheetId="13" hidden="1">{#N/A,#N/A,FALSE,"배수1"}</definedName>
    <definedName name="ojjmjk" hidden="1">{#N/A,#N/A,FALSE,"배수1"}</definedName>
    <definedName name="ok" localSheetId="13" hidden="1">{#N/A,#N/A,FALSE,"2~8번"}</definedName>
    <definedName name="ok" hidden="1">{#N/A,#N/A,FALSE,"2~8번"}</definedName>
    <definedName name="OKKM" localSheetId="13">'8-2.설비자재산출(무인보안)'!OKKM</definedName>
    <definedName name="OKKM" localSheetId="15">'8-4.일위대가표'!OKKM</definedName>
    <definedName name="OKKM">'8-2.설비자재산출(무인보안)'!OKKM</definedName>
    <definedName name="OKKMHH" localSheetId="13">'8-2.설비자재산출(무인보안)'!OKKMHH</definedName>
    <definedName name="OKKMHH" localSheetId="15">'8-4.일위대가표'!OKKMHH</definedName>
    <definedName name="OKKMHH">'8-2.설비자재산출(무인보안)'!OKKMHH</definedName>
    <definedName name="ONIU">#REF!</definedName>
    <definedName name="onoim">#REF!</definedName>
    <definedName name="ONU">'[44]4차설계'!#REF!</definedName>
    <definedName name="OO">#REF!</definedName>
    <definedName name="OOO">#REF!</definedName>
    <definedName name="op">#REF!</definedName>
    <definedName name="OPC">#REF!</definedName>
    <definedName name="OPC_1">#REF!</definedName>
    <definedName name="OPC_BOX">#REF!</definedName>
    <definedName name="opgw" localSheetId="13" hidden="1">{"'선로집계'!$A$1:$G$68"}</definedName>
    <definedName name="opgw" localSheetId="15" hidden="1">{"'선로집계'!$A$1:$G$68"}</definedName>
    <definedName name="opgw" hidden="1">{"'선로집계'!$A$1:$G$68"}</definedName>
    <definedName name="OPGW5월과금" localSheetId="22" hidden="1">{"'선로집계'!$A$1:$G$68"}</definedName>
    <definedName name="OPGW5월과금" localSheetId="34" hidden="1">{"'선로집계'!$A$1:$G$68"}</definedName>
    <definedName name="OPGW5월과금" localSheetId="35" hidden="1">{"'선로집계'!$A$1:$G$68"}</definedName>
    <definedName name="OPGW5월과금" localSheetId="36" hidden="1">{"'선로집계'!$A$1:$G$68"}</definedName>
    <definedName name="OPGW5월과금" localSheetId="37" hidden="1">{"'선로집계'!$A$1:$G$68"}</definedName>
    <definedName name="OPGW5월과금" localSheetId="13" hidden="1">{"'선로집계'!$A$1:$G$68"}</definedName>
    <definedName name="OPGW5월과금" localSheetId="15" hidden="1">{"'선로집계'!$A$1:$G$68"}</definedName>
    <definedName name="OPGW5월과금" hidden="1">{"'선로집계'!$A$1:$G$68"}</definedName>
    <definedName name="opgw9" localSheetId="22" hidden="1">{"'선로집계'!$A$1:$G$68"}</definedName>
    <definedName name="opgw9" localSheetId="34" hidden="1">{"'선로집계'!$A$1:$G$68"}</definedName>
    <definedName name="opgw9" localSheetId="35" hidden="1">{"'선로집계'!$A$1:$G$68"}</definedName>
    <definedName name="opgw9" localSheetId="36" hidden="1">{"'선로집계'!$A$1:$G$68"}</definedName>
    <definedName name="opgw9" localSheetId="37" hidden="1">{"'선로집계'!$A$1:$G$68"}</definedName>
    <definedName name="opgw9" localSheetId="13" hidden="1">{"'선로집계'!$A$1:$G$68"}</definedName>
    <definedName name="opgw9" localSheetId="15" hidden="1">{"'선로집계'!$A$1:$G$68"}</definedName>
    <definedName name="opgw9" hidden="1">{"'선로집계'!$A$1:$G$68"}</definedName>
    <definedName name="OPGW계통도" localSheetId="13" hidden="1">{"'선로집계'!$A$1:$G$68"}</definedName>
    <definedName name="OPGW계통도" localSheetId="15" hidden="1">{"'선로집계'!$A$1:$G$68"}</definedName>
    <definedName name="OPGW계통도" hidden="1">{"'선로집계'!$A$1:$G$68"}</definedName>
    <definedName name="opt">[35]기준자료!$C$21</definedName>
    <definedName name="OPT_1">#REF!</definedName>
    <definedName name="OPT_2">#REF!</definedName>
    <definedName name="optcable">[35]기준자료!$C$22</definedName>
    <definedName name="OPTICMODEM" localSheetId="13">[6]소요자재!$H$146</definedName>
    <definedName name="OPTICMODEM">[23]소요자재!$H$146</definedName>
    <definedName name="os" localSheetId="13" hidden="1">{#N/A,#N/A,FALSE,"TABLE"}</definedName>
    <definedName name="os" hidden="1">{#N/A,#N/A,FALSE,"TABLE"}</definedName>
    <definedName name="OTRA">#REF!</definedName>
    <definedName name="OTRB">#REF!</definedName>
    <definedName name="OTRC">#REF!</definedName>
    <definedName name="OTRU" localSheetId="13">[6]소요자재!$H$75</definedName>
    <definedName name="OTRU">[23]소요자재!$H$75</definedName>
    <definedName name="OTRU_A">#REF!</definedName>
    <definedName name="OTRU_B">#REF!</definedName>
    <definedName name="OTRU_C">#REF!</definedName>
    <definedName name="ouio" localSheetId="13" hidden="1">{#N/A,#N/A,FALSE,"부대2"}</definedName>
    <definedName name="ouio" hidden="1">{#N/A,#N/A,FALSE,"부대2"}</definedName>
    <definedName name="P">#REF!</definedName>
    <definedName name="p_1">#REF!</definedName>
    <definedName name="p_4">#REF!</definedName>
    <definedName name="p_5">#REF!</definedName>
    <definedName name="P_NAE">#REF!</definedName>
    <definedName name="P_NAE2">#REF!</definedName>
    <definedName name="P_PRIM"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P_PRIM"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P_PRIM"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P01_">#REF!</definedName>
    <definedName name="P02_">#REF!</definedName>
    <definedName name="P90061755" localSheetId="13">[60]PART_DISCOUNT!$B$22</definedName>
    <definedName name="P90061755">[61]PART_DISCOUNT!$B$22</definedName>
    <definedName name="P90061755DISCOUNT" localSheetId="13">[60]PART_DISCOUNT!$E$22</definedName>
    <definedName name="P90061755DISCOUNT">[61]PART_DISCOUNT!$E$22</definedName>
    <definedName name="P90065755" localSheetId="13">[60]PART_DISCOUNT!$B$21</definedName>
    <definedName name="P90065755">[61]PART_DISCOUNT!$B$21</definedName>
    <definedName name="P90065755DISCOUNT" localSheetId="13">[60]PART_DISCOUNT!$E$21</definedName>
    <definedName name="P90065755DISCOUNT">[61]PART_DISCOUNT!$E$21</definedName>
    <definedName name="P90152455" localSheetId="13">[60]PART_DISCOUNT!$B$20</definedName>
    <definedName name="P90152455">[61]PART_DISCOUNT!$B$20</definedName>
    <definedName name="P90152455DISCOUNT" localSheetId="13">[60]PART_DISCOUNT!$E$20</definedName>
    <definedName name="P90152455DISCOUNT">[61]PART_DISCOUNT!$E$20</definedName>
    <definedName name="P90270755" localSheetId="13">[60]PART_DISCOUNT!$B$19</definedName>
    <definedName name="P90270755">[61]PART_DISCOUNT!$B$19</definedName>
    <definedName name="P90270755DISCOUNT" localSheetId="13">[60]PART_DISCOUNT!$E$19</definedName>
    <definedName name="P90270755DISCOUNT">[61]PART_DISCOUNT!$E$19</definedName>
    <definedName name="P90317655" localSheetId="13">[60]PART_DISCOUNT!$B$14</definedName>
    <definedName name="P90317655">[61]PART_DISCOUNT!$B$14</definedName>
    <definedName name="P90317655DISCOUNT" localSheetId="13">[60]PART_DISCOUNT!$E$14</definedName>
    <definedName name="P90317655DISCOUNT">[61]PART_DISCOUNT!$E$14</definedName>
    <definedName name="P90458255" localSheetId="13">[60]PART_DISCOUNT!$B$17</definedName>
    <definedName name="P90458255">[61]PART_DISCOUNT!$B$17</definedName>
    <definedName name="P90458255DISCOUNT" localSheetId="13">[60]PART_DISCOUNT!$E$17</definedName>
    <definedName name="P90458255DISCOUNT">[61]PART_DISCOUNT!$E$17</definedName>
    <definedName name="P90464555" localSheetId="13">[60]PART_DISCOUNT!$B$16</definedName>
    <definedName name="P90464555">[61]PART_DISCOUNT!$B$16</definedName>
    <definedName name="P90464555DISCOUNT" localSheetId="13">[60]PART_DISCOUNT!$E$16</definedName>
    <definedName name="P90464555DISCOUNT">[61]PART_DISCOUNT!$E$16</definedName>
    <definedName name="P90464655" localSheetId="13">[60]PART_DISCOUNT!$B$15</definedName>
    <definedName name="P90464655">[61]PART_DISCOUNT!$B$15</definedName>
    <definedName name="P90464655DISCOUNT" localSheetId="13">[60]PART_DISCOUNT!$E$15</definedName>
    <definedName name="P90464655DISCOUNT">[61]PART_DISCOUNT!$E$15</definedName>
    <definedName name="P90493155" localSheetId="13">[60]PART_DISCOUNT!$B$18</definedName>
    <definedName name="P90493155">[61]PART_DISCOUNT!$B$18</definedName>
    <definedName name="P90493155DISCOUNT" localSheetId="13">[60]PART_DISCOUNT!$E$18</definedName>
    <definedName name="P90493155DISCOUNT">[61]PART_DISCOUNT!$E$18</definedName>
    <definedName name="PAC">#N/A</definedName>
    <definedName name="PACB">#N/A</definedName>
    <definedName name="PACC">#N/A</definedName>
    <definedName name="PACD">#N/A</definedName>
    <definedName name="PAD">#REF!</definedName>
    <definedName name="PAD_1">#REF!</definedName>
    <definedName name="PAD_2">#REF!</definedName>
    <definedName name="PAGE1">#REF!</definedName>
    <definedName name="PAGE2">#REF!</definedName>
    <definedName name="PAGE3">#REF!</definedName>
    <definedName name="PARCA">#N/A</definedName>
    <definedName name="PASS">#REF!</definedName>
    <definedName name="pcm">#REF!</definedName>
    <definedName name="PCM_A">#REF!</definedName>
    <definedName name="PCM국내케이블" localSheetId="13">[29]소요자재!$H$178</definedName>
    <definedName name="PCM국내케이블">[38]소요자재!#REF!</definedName>
    <definedName name="PCM국내케이블포설" localSheetId="13">[29]노무산출서!$H$29</definedName>
    <definedName name="PCM국내케이블포설">[30]노무산출서!$H$29</definedName>
    <definedName name="PCM성단">#REF!</definedName>
    <definedName name="PCM성단1">#REF!</definedName>
    <definedName name="PCM성단A">#REF!</definedName>
    <definedName name="PCM케이블">#REF!</definedName>
    <definedName name="PCM케이블선단">[45]노무산출서!#REF!</definedName>
    <definedName name="PCM케이블성단" localSheetId="13">[29]노무산출서!$H$28</definedName>
    <definedName name="PCM케이블성단">[38]노무산출서!#REF!</definedName>
    <definedName name="PCM케이블포설">[38]노무산출서!#REF!</definedName>
    <definedName name="PCM포설">#REF!</definedName>
    <definedName name="PCM포설1">#REF!</definedName>
    <definedName name="PCM포설A">#REF!</definedName>
    <definedName name="PC신설">#REF!</definedName>
    <definedName name="PC이설">#REF!</definedName>
    <definedName name="PC철거">#REF!</definedName>
    <definedName name="PDP">#REF!</definedName>
    <definedName name="PE">#REF!</definedName>
    <definedName name="PE_A">#REF!</definedName>
    <definedName name="PE_B">#REF!</definedName>
    <definedName name="PE1열">#REF!</definedName>
    <definedName name="PE28포설">#REF!</definedName>
    <definedName name="PE2열">#REF!</definedName>
    <definedName name="PE36포설">#REF!</definedName>
    <definedName name="PE3열">#REF!</definedName>
    <definedName name="PE내관">#REF!</definedName>
    <definedName name="PE내관1조할증">#REF!</definedName>
    <definedName name="PE내관2난연">#REF!</definedName>
    <definedName name="PE내관2일반">#REF!</definedName>
    <definedName name="PE내관3난연">#REF!</definedName>
    <definedName name="PE내관3일반">#REF!</definedName>
    <definedName name="PE내관난연">#REF!</definedName>
    <definedName name="PE내관일반">#REF!</definedName>
    <definedName name="PE내관포설">#REF!</definedName>
    <definedName name="PE내관포설1">#REF!</definedName>
    <definedName name="PE내관포설1조">#REF!</definedName>
    <definedName name="PE내관포설2조">#REF!</definedName>
    <definedName name="PE내관포설2조할증">#REF!</definedName>
    <definedName name="PE내관포설3조">#REF!</definedName>
    <definedName name="PE내관포설3조할증">#REF!</definedName>
    <definedName name="PE전선관" localSheetId="13">[29]노무산출서!$H$42</definedName>
    <definedName name="PE전선관">[38]소요자재!#REF!</definedName>
    <definedName name="PE전선관1" localSheetId="13">[29]노무산출서!$H$43</definedName>
    <definedName name="PE전선관1">[30]노무산출서!$H$43</definedName>
    <definedName name="PE전선관1열">[38]노무산출서!#REF!</definedName>
    <definedName name="PE전선관2" localSheetId="13">[29]노무산출서!$H$44</definedName>
    <definedName name="PE전선관2">[38]소요자재!#REF!</definedName>
    <definedName name="PE전선관2열">[38]노무산출서!#REF!</definedName>
    <definedName name="PE전선관3열">[38]노무산출서!#REF!</definedName>
    <definedName name="PE포설1">#REF!</definedName>
    <definedName name="PE포설2">#REF!</definedName>
    <definedName name="PE포설3">#REF!</definedName>
    <definedName name="PE포설A">#REF!</definedName>
    <definedName name="PE포설B">#REF!</definedName>
    <definedName name="PE포설C">#REF!</definedName>
    <definedName name="PI">'[44]4차설계'!#REF!</definedName>
    <definedName name="picture26">#REF!</definedName>
    <definedName name="PIDF1">#REF!</definedName>
    <definedName name="PIDF2">#REF!</definedName>
    <definedName name="PIDF3">#REF!</definedName>
    <definedName name="PIJP">#REF!</definedName>
    <definedName name="PIN12C_1">#REF!</definedName>
    <definedName name="PIN12C_2">#REF!</definedName>
    <definedName name="PIN17C_1">#REF!</definedName>
    <definedName name="PIN17C_2">#REF!</definedName>
    <definedName name="pipe">[35]기준자료!$C$27</definedName>
    <definedName name="PIPING">[62]DATA!$C$2:$C$25</definedName>
    <definedName name="pj" localSheetId="29">#REF!,#REF!</definedName>
    <definedName name="pj" localSheetId="13">#REF!,#REF!</definedName>
    <definedName name="pj" localSheetId="19">#REF!,#REF!</definedName>
    <definedName name="pj">#REF!,#REF!</definedName>
    <definedName name="pjm" localSheetId="13" hidden="1">{#N/A,#N/A,FALSE,"회선임차현황"}</definedName>
    <definedName name="pjm" localSheetId="15" hidden="1">{#N/A,#N/A,FALSE,"회선임차현황"}</definedName>
    <definedName name="pjm" hidden="1">{#N/A,#N/A,FALSE,"회선임차현황"}</definedName>
    <definedName name="pl">#REF!</definedName>
    <definedName name="plant">#REF!</definedName>
    <definedName name="PNAME">#N/A</definedName>
    <definedName name="POFD1">#REF!</definedName>
    <definedName name="POFD2">#REF!</definedName>
    <definedName name="POFD3">#REF!</definedName>
    <definedName name="POI">#REF!</definedName>
    <definedName name="POIHJHG" localSheetId="13">'8-2.설비자재산출(무인보안)'!POIHJHG</definedName>
    <definedName name="POIHJHG" localSheetId="15">'8-4.일위대가표'!POIHJHG</definedName>
    <definedName name="POIHJHG">'8-2.설비자재산출(무인보안)'!POIHJHG</definedName>
    <definedName name="POLE">#REF!</definedName>
    <definedName name="POOIUYYT" localSheetId="13">'8-2.설비자재산출(무인보안)'!POOIUYYT</definedName>
    <definedName name="POOIUYYT" localSheetId="15">'8-4.일위대가표'!POOIUYYT</definedName>
    <definedName name="POOIUYYT">'8-2.설비자재산출(무인보안)'!POOIUYYT</definedName>
    <definedName name="pow_trn">#REF!</definedName>
    <definedName name="PP">#REF!</definedName>
    <definedName name="PPDP">#REF!</definedName>
    <definedName name="PPLINK_T">#REF!</definedName>
    <definedName name="PPLINK1">#REF!</definedName>
    <definedName name="PPLINK2">#REF!</definedName>
    <definedName name="PPOJC1">#REF!</definedName>
    <definedName name="PPOJC2">#REF!</definedName>
    <definedName name="PPOJC3">#REF!</definedName>
    <definedName name="PPP" localSheetId="22" hidden="1">{#N/A,#N/A,TRUE,"토적및재료집계";#N/A,#N/A,TRUE,"토적및재료집계";#N/A,#N/A,TRUE,"단위량"}</definedName>
    <definedName name="ppp" localSheetId="13">'8-2.설비자재산출(무인보안)'!ppp</definedName>
    <definedName name="PPP" localSheetId="15" hidden="1">{#N/A,#N/A,TRUE,"토적및재료집계";#N/A,#N/A,TRUE,"토적및재료집계";#N/A,#N/A,TRUE,"단위량"}</definedName>
    <definedName name="PPP" hidden="1">{#N/A,#N/A,TRUE,"토적및재료집계";#N/A,#N/A,TRUE,"토적및재료집계";#N/A,#N/A,TRUE,"단위량"}</definedName>
    <definedName name="PPT">#REF!</definedName>
    <definedName name="PRACK1">#REF!</definedName>
    <definedName name="PRACK2">#REF!</definedName>
    <definedName name="PRCRANGE">#REF!</definedName>
    <definedName name="PRICE_5C">#REF!</definedName>
    <definedName name="PRICE_5CSS">#REF!</definedName>
    <definedName name="PRICE_7CSS">#REF!</definedName>
    <definedName name="print">#REF!</definedName>
    <definedName name="_xlnm.Print_Area" localSheetId="2">'1.공사계획서'!$A$1:$E$28</definedName>
    <definedName name="_xlnm.Print_Area" localSheetId="21">'10.시설도면'!$A$1:$J$27</definedName>
    <definedName name="_xlnm.Print_Area" localSheetId="25">'10-1.송변전단말 구성도'!$A$1:$AF$56</definedName>
    <definedName name="_xlnm.Print_Area" localSheetId="23">'10-2 광단말(서안성)'!$A$1:$K$40</definedName>
    <definedName name="_xlnm.Print_Area" localSheetId="22">'10-2. 광단말(도일CT)'!$A$1:$L$36</definedName>
    <definedName name="_xlnm.Print_Area" localSheetId="24">'10-2. 광단말도면(고덕2)'!$A$1:$K$34</definedName>
    <definedName name="_xlnm.Print_Area" localSheetId="28">'10-2-1. 전원_PIA_LAN물량(ICT실)_동해안'!$A$1:$J$106</definedName>
    <definedName name="_xlnm.Print_Area" localSheetId="29">'10-2-2. 전원_PIA_LAN물량_동강'!$A$1:$J$106</definedName>
    <definedName name="_xlnm.Print_Area" localSheetId="26">'10-2전원설비,LAN,IP계통 시설도'!$A$1:$DJ$58</definedName>
    <definedName name="_xlnm.Print_Area" localSheetId="31">'10-3-1. 송광단말케이블LIST(동해안)'!$A$1:$I$27</definedName>
    <definedName name="_xlnm.Print_Area" localSheetId="32">'10-3-2. 송광단말케이블LIST(동강)'!$A$1:$I$27</definedName>
    <definedName name="_xlnm.Print_Area" localSheetId="33">'10-3-3. 송광단말케이블LIST(신태백)'!$A$1:$I$27</definedName>
    <definedName name="_xlnm.Print_Area" localSheetId="27">'10-3-3. 전원PIALAN물량(동강)'!$A$1:$J$101</definedName>
    <definedName name="_xlnm.Print_Area" localSheetId="34">'10-4-1. 충전기 용량산출_동해안#1'!$A$1:$AS$51</definedName>
    <definedName name="_xlnm.Print_Area" localSheetId="35">'10-4-2. UPS 용량산출_동해안#1'!$A$1:$AR$64</definedName>
    <definedName name="_xlnm.Print_Area" localSheetId="36">'10-4-3. 충전기 용량산출_동강'!$A$1:$AS$51</definedName>
    <definedName name="_xlnm.Print_Area" localSheetId="37">'10-4-4.  UPS 용량산출_동강'!$A$1:$AR$64</definedName>
    <definedName name="_xlnm.Print_Area" localSheetId="30">'10-4-4. 단말케이블LIST(동강)'!$A$1:$I$27</definedName>
    <definedName name="_xlnm.Print_Area" localSheetId="38">'11-1. 기계경비'!$A$1:$I$9</definedName>
    <definedName name="_xlnm.Print_Area" localSheetId="3">'2.공사설명서'!$A$1:$H$38</definedName>
    <definedName name="_xlnm.Print_Area" localSheetId="4">'2-1.계통도(전력통신)'!$A$1:$Q$30</definedName>
    <definedName name="_xlnm.Print_Area" localSheetId="5">'2-2.계통도(무인보안)'!$A$1:$BF$46</definedName>
    <definedName name="_xlnm.Print_Area" localSheetId="6">'3.공사비총괄표'!$A$1:$D$29</definedName>
    <definedName name="_xlnm.Print_Area" localSheetId="7">'4.자금계획서'!$A$1:$E$25</definedName>
    <definedName name="_xlnm.Print_Area" localSheetId="8">'5.예정공정표'!$A$2:$AQ$20</definedName>
    <definedName name="_xlnm.Print_Area" localSheetId="9">'6.공사비예산서'!$A$1:$K$36</definedName>
    <definedName name="_xlnm.Print_Area" localSheetId="11">'7.설계명세서'!$A$1:$H$601</definedName>
    <definedName name="_xlnm.Print_Area" localSheetId="12">'8-1.설비자재산출(전력통신)'!$A$1:$O$217</definedName>
    <definedName name="_xlnm.Print_Area" localSheetId="13">'8-2.설비자재산출(무인보안)'!$B$1:$GB$126</definedName>
    <definedName name="_xlnm.Print_Area" localSheetId="14">'8-3.노무산출'!$A$1:$J$257</definedName>
    <definedName name="_xlnm.Print_Area" localSheetId="15">'8-4.일위대가표'!$A$1:$N$724</definedName>
    <definedName name="_xlnm.Print_Area" localSheetId="16">'8-5.2025하노임'!$A$1:$G$47</definedName>
    <definedName name="_xlnm.Print_Area" localSheetId="17">'8-6.자재단가비교표'!$A$1:$P$330</definedName>
    <definedName name="_xlnm.Print_Area" localSheetId="18">'8-7.적용근거'!$A$1:$J$94</definedName>
    <definedName name="_xlnm.Print_Area" localSheetId="19">'8-8. 공구손료'!$A$1:$J$251</definedName>
    <definedName name="_xlnm.Print_Area" localSheetId="1">목차!$A$1:$I$30</definedName>
    <definedName name="_xlnm.Print_Area" localSheetId="10">집계표!$A$1:$L$28</definedName>
    <definedName name="_xlnm.Print_Area" localSheetId="0">표지!$A$1:$H$43</definedName>
    <definedName name="_xlnm.Print_Area">#REF!</definedName>
    <definedName name="PRINT_AREA_MI">#REF!</definedName>
    <definedName name="Print_files">#REF!</definedName>
    <definedName name="print_net" localSheetId="29">[63]!print_net</definedName>
    <definedName name="print_net" localSheetId="13">[64]!print_net</definedName>
    <definedName name="print_net" localSheetId="19">[63]!print_net</definedName>
    <definedName name="print_net">[63]!print_net</definedName>
    <definedName name="print_sd" localSheetId="13">'8-2.설비자재산출(무인보안)'!print_sd</definedName>
    <definedName name="print_sd" localSheetId="15">'8-4.일위대가표'!print_sd</definedName>
    <definedName name="print_sd">'8-2.설비자재산출(무인보안)'!print_sd</definedName>
    <definedName name="PRINT_TITEL">#REF!</definedName>
    <definedName name="PRINT_TITELS">#REF!</definedName>
    <definedName name="print_title">#REF!</definedName>
    <definedName name="_xlnm.Print_Titles" localSheetId="11">'7.설계명세서'!$3:$4</definedName>
    <definedName name="_xlnm.Print_Titles" localSheetId="13">'8-2.설비자재산출(무인보안)'!$B:$J,'8-2.설비자재산출(무인보안)'!$1:$7</definedName>
    <definedName name="_xlnm.Print_Titles" localSheetId="14">'8-3.노무산출'!$41:$42</definedName>
    <definedName name="_xlnm.Print_Titles" localSheetId="15">'8-4.일위대가표'!$3:$3</definedName>
    <definedName name="_xlnm.Print_Titles" localSheetId="17">'8-6.자재단가비교표'!$4:$6</definedName>
    <definedName name="_xlnm.Print_Titles" localSheetId="19">'8-8. 공구손료'!$41:$42</definedName>
    <definedName name="_xlnm.Print_Titles">#REF!</definedName>
    <definedName name="PRINT_TITLES_MI">#REF!</definedName>
    <definedName name="Project">#REF!</definedName>
    <definedName name="Project_Name">#REF!</definedName>
    <definedName name="prt">#REF!</definedName>
    <definedName name="PRT신설">#REF!</definedName>
    <definedName name="PRT이설">#REF!</definedName>
    <definedName name="PRT철거">#REF!</definedName>
    <definedName name="PS">#REF!</definedName>
    <definedName name="PSB">#REF!</definedName>
    <definedName name="PSB_1">#REF!</definedName>
    <definedName name="psc빔총괄">[7]!psc빔총괄</definedName>
    <definedName name="PSN">#REF!</definedName>
    <definedName name="PSN_1">#REF!</definedName>
    <definedName name="PSUL">#REF!</definedName>
    <definedName name="pumsem">#REF!</definedName>
    <definedName name="PVC">#REF!</definedName>
    <definedName name="PVC_A">#REF!</definedName>
    <definedName name="PVC2공" localSheetId="13">[29]소요자재!$H$222</definedName>
    <definedName name="PVC2공">[30]소요자재!$H$222</definedName>
    <definedName name="PVC곡관" localSheetId="13">[29]소요자재!$H$223</definedName>
    <definedName name="PVC곡관">[30]소요자재!$H$223</definedName>
    <definedName name="PVC곡관1">#REF!</definedName>
    <definedName name="PVC곡관A">#REF!</definedName>
    <definedName name="PVC관부설">#REF!</definedName>
    <definedName name="PVC전선관">[38]소요자재!#REF!</definedName>
    <definedName name="q" localSheetId="22" hidden="1">{"'당진'!$A$1:$P$34","'당진'!$N$13"}</definedName>
    <definedName name="q" localSheetId="13" hidden="1">{"'당진'!$A$1:$P$34","'당진'!$N$13"}</definedName>
    <definedName name="q" localSheetId="15" hidden="1">{"'당진'!$A$1:$P$34","'당진'!$N$13"}</definedName>
    <definedName name="q" hidden="1">{"'당진'!$A$1:$P$34","'당진'!$N$13"}</definedName>
    <definedName name="q234562456" localSheetId="22" hidden="1">{"'용역비'!$A$4:$C$8"}</definedName>
    <definedName name="q234562456" localSheetId="34" hidden="1">{"'용역비'!$A$4:$C$8"}</definedName>
    <definedName name="q234562456" localSheetId="35" hidden="1">{"'용역비'!$A$4:$C$8"}</definedName>
    <definedName name="q234562456" localSheetId="36" hidden="1">{"'용역비'!$A$4:$C$8"}</definedName>
    <definedName name="q234562456" localSheetId="37" hidden="1">{"'용역비'!$A$4:$C$8"}</definedName>
    <definedName name="q234562456" localSheetId="13" hidden="1">{"'용역비'!$A$4:$C$8"}</definedName>
    <definedName name="q234562456" localSheetId="15" hidden="1">{"'용역비'!$A$4:$C$8"}</definedName>
    <definedName name="q234562456" hidden="1">{"'용역비'!$A$4:$C$8"}</definedName>
    <definedName name="Q3WEE" localSheetId="13" hidden="1">{#N/A,#N/A,FALSE,"조골재"}</definedName>
    <definedName name="Q3WEE" hidden="1">{#N/A,#N/A,FALSE,"조골재"}</definedName>
    <definedName name="qedrcc" localSheetId="13" hidden="1">{#N/A,#N/A,FALSE,"부대1"}</definedName>
    <definedName name="qedrcc" hidden="1">{#N/A,#N/A,FALSE,"부대1"}</definedName>
    <definedName name="qerhhhhhhhhhhh" localSheetId="13" hidden="1">{#N/A,#N/A,FALSE,"배수2"}</definedName>
    <definedName name="qerhhhhhhhhhhh" hidden="1">{#N/A,#N/A,FALSE,"배수2"}</definedName>
    <definedName name="qerhhhhhhhhhhhh" localSheetId="13" hidden="1">{#N/A,#N/A,FALSE,"부대1"}</definedName>
    <definedName name="qerhhhhhhhhhhhh" hidden="1">{#N/A,#N/A,FALSE,"부대1"}</definedName>
    <definedName name="qerhhhhhhhhhhhhhhh" localSheetId="13" hidden="1">{#N/A,#N/A,FALSE,"구조2"}</definedName>
    <definedName name="qerhhhhhhhhhhhhhhh" hidden="1">{#N/A,#N/A,FALSE,"구조2"}</definedName>
    <definedName name="qhr">#REF!</definedName>
    <definedName name="QHSTKQNS">#REF!</definedName>
    <definedName name="qkf" localSheetId="13" hidden="1">{#N/A,#N/A,FALSE,"현장 NCR 분석";#N/A,#N/A,FALSE,"현장품질감사";#N/A,#N/A,FALSE,"현장품질감사"}</definedName>
    <definedName name="qkf" localSheetId="15" hidden="1">{#N/A,#N/A,FALSE,"현장 NCR 분석";#N/A,#N/A,FALSE,"현장품질감사";#N/A,#N/A,FALSE,"현장품질감사"}</definedName>
    <definedName name="qkf" hidden="1">{#N/A,#N/A,FALSE,"현장 NCR 분석";#N/A,#N/A,FALSE,"현장품질감사";#N/A,#N/A,FALSE,"현장품질감사"}</definedName>
    <definedName name="QLQL">#REF!</definedName>
    <definedName name="qor" hidden="1">[1]실행철강하도!$A$1:$A$4</definedName>
    <definedName name="QQ"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QQ"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QQ"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qqq" localSheetId="29" hidden="1">#REF!</definedName>
    <definedName name="qqq" localSheetId="13" hidden="1">#REF!</definedName>
    <definedName name="qqq" localSheetId="19" hidden="1">#REF!</definedName>
    <definedName name="qqq" hidden="1">#REF!</definedName>
    <definedName name="quad_e">#REF!</definedName>
    <definedName name="quad_t">#REF!</definedName>
    <definedName name="QUADE1" localSheetId="13">[6]소요자재!$H$56</definedName>
    <definedName name="QUADE1">[23]소요자재!$H$56</definedName>
    <definedName name="QUADT1" localSheetId="13">[6]소요자재!$H$55</definedName>
    <definedName name="QUADT1">[23]소요자재!$H$55</definedName>
    <definedName name="QW" localSheetId="22" hidden="1">{#N/A,#N/A,TRUE,"토적및재료집계";#N/A,#N/A,TRUE,"토적및재료집계";#N/A,#N/A,TRUE,"단위량"}</definedName>
    <definedName name="QW" localSheetId="13" hidden="1">{#N/A,#N/A,TRUE,"토적및재료집계";#N/A,#N/A,TRUE,"토적및재료집계";#N/A,#N/A,TRUE,"단위량"}</definedName>
    <definedName name="QW" localSheetId="15" hidden="1">{#N/A,#N/A,TRUE,"토적및재료집계";#N/A,#N/A,TRUE,"토적및재료집계";#N/A,#N/A,TRUE,"단위량"}</definedName>
    <definedName name="QW" hidden="1">{#N/A,#N/A,TRUE,"토적및재료집계";#N/A,#N/A,TRUE,"토적및재료집계";#N/A,#N/A,TRUE,"단위량"}</definedName>
    <definedName name="QWE" localSheetId="13" hidden="1">{#N/A,#N/A,FALSE,"이태원철근"}</definedName>
    <definedName name="QWE" hidden="1">{#N/A,#N/A,FALSE,"이태원철근"}</definedName>
    <definedName name="QWER" localSheetId="13" hidden="1">{#N/A,#N/A,FALSE,"이태원철근"}</definedName>
    <definedName name="QWER" hidden="1">{#N/A,#N/A,FALSE,"이태원철근"}</definedName>
    <definedName name="QWERT" localSheetId="13">'8-2.설비자재산출(무인보안)'!QWERT</definedName>
    <definedName name="QWERT" localSheetId="15">'8-4.일위대가표'!QWERT</definedName>
    <definedName name="QWERT">'8-2.설비자재산출(무인보안)'!QWERT</definedName>
    <definedName name="QWQ"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QWQ"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QWS" localSheetId="29" hidden="1">#REF!</definedName>
    <definedName name="QWS" localSheetId="32" hidden="1">#REF!</definedName>
    <definedName name="QWS" localSheetId="27" hidden="1">#REF!</definedName>
    <definedName name="QWS" localSheetId="30" hidden="1">#REF!</definedName>
    <definedName name="QWS" localSheetId="13" hidden="1">#REF!</definedName>
    <definedName name="QWS" localSheetId="15" hidden="1">#REF!</definedName>
    <definedName name="QWS" localSheetId="19" hidden="1">#REF!</definedName>
    <definedName name="QWS" hidden="1">#REF!</definedName>
    <definedName name="qwszsx" localSheetId="13" hidden="1">{#N/A,#N/A,FALSE,"구조1"}</definedName>
    <definedName name="qwszsx" hidden="1">{#N/A,#N/A,FALSE,"구조1"}</definedName>
    <definedName name="qwwsdxdd" localSheetId="13" hidden="1">{#N/A,#N/A,FALSE,"속도"}</definedName>
    <definedName name="qwwsdxdd" hidden="1">{#N/A,#N/A,FALSE,"속도"}</definedName>
    <definedName name="qyk" localSheetId="22" hidden="1">{"'용역비'!$A$4:$C$8"}</definedName>
    <definedName name="qyk" localSheetId="34" hidden="1">{"'용역비'!$A$4:$C$8"}</definedName>
    <definedName name="qyk" localSheetId="35" hidden="1">{"'용역비'!$A$4:$C$8"}</definedName>
    <definedName name="qyk" localSheetId="36" hidden="1">{"'용역비'!$A$4:$C$8"}</definedName>
    <definedName name="qyk" localSheetId="37" hidden="1">{"'용역비'!$A$4:$C$8"}</definedName>
    <definedName name="qyk" localSheetId="13" hidden="1">{"'용역비'!$A$4:$C$8"}</definedName>
    <definedName name="qyk" localSheetId="15" hidden="1">{"'용역비'!$A$4:$C$8"}</definedName>
    <definedName name="qyk" hidden="1">{"'용역비'!$A$4:$C$8"}</definedName>
    <definedName name="rack">#REF!</definedName>
    <definedName name="RACK1">#REF!</definedName>
    <definedName name="RACK10">#REF!</definedName>
    <definedName name="RACK11">#REF!</definedName>
    <definedName name="RACK12">#REF!</definedName>
    <definedName name="RACK13">#REF!</definedName>
    <definedName name="rack18" localSheetId="13">[6]소요자재!$H$21</definedName>
    <definedName name="rack18">[23]소요자재!$H$21</definedName>
    <definedName name="RACK1800">#REF!</definedName>
    <definedName name="rack18001" localSheetId="13">[6]소요자재!$H$43</definedName>
    <definedName name="rack18001">[23]소요자재!$H$43</definedName>
    <definedName name="RACK2">#REF!</definedName>
    <definedName name="RACK2000">#REF!</definedName>
    <definedName name="rack22" localSheetId="13">[6]소요자재!$H$22</definedName>
    <definedName name="rack22">[23]소요자재!$H$22</definedName>
    <definedName name="RACK2200">#REF!</definedName>
    <definedName name="rack22001" localSheetId="13">[6]소요자재!$H$44</definedName>
    <definedName name="rack22001">[23]소요자재!$H$44</definedName>
    <definedName name="RACK3">#REF!</definedName>
    <definedName name="RACK4">#REF!</definedName>
    <definedName name="RACK41">#REF!</definedName>
    <definedName name="RACK5">#REF!</definedName>
    <definedName name="RACK6">#REF!</definedName>
    <definedName name="RACK7">#REF!</definedName>
    <definedName name="RACK8">#REF!</definedName>
    <definedName name="RACK9">#REF!</definedName>
    <definedName name="RACKXXX">#REF!</definedName>
    <definedName name="RACK설치">#REF!</definedName>
    <definedName name="radio">#REF!</definedName>
    <definedName name="rank" localSheetId="13">'8-2.설비자재산출(무인보안)'!rank</definedName>
    <definedName name="rank" localSheetId="15">'8-4.일위대가표'!rank</definedName>
    <definedName name="rank">'8-2.설비자재산출(무인보안)'!rank</definedName>
    <definedName name="rarasfsda" localSheetId="13" hidden="1">{#N/A,#N/A,FALSE,"이정표"}</definedName>
    <definedName name="rarasfsda" hidden="1">{#N/A,#N/A,FALSE,"이정표"}</definedName>
    <definedName name="rasfsafsafdsa" localSheetId="13" hidden="1">{#N/A,#N/A,FALSE,"조골재"}</definedName>
    <definedName name="rasfsafsafdsa" hidden="1">{#N/A,#N/A,FALSE,"조골재"}</definedName>
    <definedName name="rate" localSheetId="13">[63]rate!$A$1</definedName>
    <definedName name="rate">[65]rate!$A$1</definedName>
    <definedName name="RCU" localSheetId="13">[6]소요자재!$H$120</definedName>
    <definedName name="RCU">[23]소요자재!$H$120</definedName>
    <definedName name="RE">#REF!</definedName>
    <definedName name="READY_GB">#REF!</definedName>
    <definedName name="READY_ILBN">#REF!</definedName>
    <definedName name="READY_IUN">#REF!</definedName>
    <definedName name="READY_JA">#REF!</definedName>
    <definedName name="READY_NOMU">#REF!</definedName>
    <definedName name="READY_TOTAL">#REF!</definedName>
    <definedName name="_xlnm.Recorder">#REF!</definedName>
    <definedName name="Region_Name">#REF!</definedName>
    <definedName name="reportfile" localSheetId="29">[37]!reportfile</definedName>
    <definedName name="reportfile" localSheetId="19">[37]!reportfile</definedName>
    <definedName name="reportfile">[37]!reportfile</definedName>
    <definedName name="RGFGBVB" localSheetId="13">'8-2.설비자재산출(무인보안)'!RGFGBVB</definedName>
    <definedName name="RGFGBVB" localSheetId="15">'8-4.일위대가표'!RGFGBVB</definedName>
    <definedName name="RGFGBVB">'8-2.설비자재산출(무인보안)'!RGFGBVB</definedName>
    <definedName name="RH" localSheetId="22" hidden="1">{"'용역비'!$A$4:$C$8"}</definedName>
    <definedName name="RH" localSheetId="34" hidden="1">{"'용역비'!$A$4:$C$8"}</definedName>
    <definedName name="RH" localSheetId="35" hidden="1">{"'용역비'!$A$4:$C$8"}</definedName>
    <definedName name="RH" localSheetId="36" hidden="1">{"'용역비'!$A$4:$C$8"}</definedName>
    <definedName name="RH" localSheetId="37" hidden="1">{"'용역비'!$A$4:$C$8"}</definedName>
    <definedName name="RH" localSheetId="13" hidden="1">{"'용역비'!$A$4:$C$8"}</definedName>
    <definedName name="RH" localSheetId="15" hidden="1">{"'용역비'!$A$4:$C$8"}</definedName>
    <definedName name="RH" hidden="1">{"'용역비'!$A$4:$C$8"}</definedName>
    <definedName name="RHDK" localSheetId="13" hidden="1">{#N/A,#N/A,FALSE,"이태원철근"}</definedName>
    <definedName name="RHDK" hidden="1">{#N/A,#N/A,FALSE,"이태원철근"}</definedName>
    <definedName name="rhks" localSheetId="29" hidden="1">#REF!</definedName>
    <definedName name="rhks" localSheetId="13" hidden="1">#REF!</definedName>
    <definedName name="rhks" localSheetId="19" hidden="1">#REF!</definedName>
    <definedName name="rhks" hidden="1">#REF!</definedName>
    <definedName name="rhkstp" localSheetId="22" hidden="1">{#N/A,#N/A,FALSE,"DAOCM 2차 검토"}</definedName>
    <definedName name="rhkstp" localSheetId="13" hidden="1">{#N/A,#N/A,FALSE,"DAOCM 2차 검토"}</definedName>
    <definedName name="rhkstp" localSheetId="15" hidden="1">{#N/A,#N/A,FALSE,"DAOCM 2차 검토"}</definedName>
    <definedName name="rhkstp" hidden="1">{#N/A,#N/A,FALSE,"DAOCM 2차 검토"}</definedName>
    <definedName name="rjfl" localSheetId="29" hidden="1">#REF!</definedName>
    <definedName name="rjfl" localSheetId="13" hidden="1">#REF!</definedName>
    <definedName name="rjfl" localSheetId="19" hidden="1">#REF!</definedName>
    <definedName name="rjfl" hidden="1">#REF!</definedName>
    <definedName name="rk">#N/A</definedName>
    <definedName name="rkdkd" localSheetId="13" hidden="1">{#N/A,#N/A,FALSE,"2~8번"}</definedName>
    <definedName name="rkdkd" hidden="1">{#N/A,#N/A,FALSE,"2~8번"}</definedName>
    <definedName name="rks" localSheetId="13" hidden="1">{#N/A,#N/A,FALSE,"구조2"}</definedName>
    <definedName name="rks" hidden="1">{#N/A,#N/A,FALSE,"구조2"}</definedName>
    <definedName name="RKSK"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s" localSheetId="13" hidden="1">{#N/A,#N/A,FALSE,"부대1"}</definedName>
    <definedName name="rkss" hidden="1">{#N/A,#N/A,FALSE,"부대1"}</definedName>
    <definedName name="rksss" localSheetId="13" hidden="1">{#N/A,#N/A,FALSE,"부대2"}</definedName>
    <definedName name="rksss" hidden="1">{#N/A,#N/A,FALSE,"부대2"}</definedName>
    <definedName name="rkssss" localSheetId="13" hidden="1">{#N/A,#N/A,FALSE,"속도"}</definedName>
    <definedName name="rkssss" hidden="1">{#N/A,#N/A,FALSE,"속도"}</definedName>
    <definedName name="RL">#REF!</definedName>
    <definedName name="rlr">#REF!</definedName>
    <definedName name="RNR" localSheetId="22" hidden="1">{#N/A,#N/A,FALSE,"회선임차현황"}</definedName>
    <definedName name="RNR" localSheetId="13" hidden="1">{#N/A,#N/A,FALSE,"회선임차현황"}</definedName>
    <definedName name="RNR" localSheetId="15" hidden="1">{#N/A,#N/A,FALSE,"회선임차현황"}</definedName>
    <definedName name="RNR" hidden="1">{#N/A,#N/A,FALSE,"회선임차현황"}</definedName>
    <definedName name="ROUTER">#REF!</definedName>
    <definedName name="rowclm">MOD(ROW(),2)</definedName>
    <definedName name="RR">#REF!</definedName>
    <definedName name="rrr">'[56]9.설치품셈'!#REF!</definedName>
    <definedName name="rrrrr" localSheetId="13" hidden="1">{#N/A,#N/A,FALSE,"조골재"}</definedName>
    <definedName name="rrrrr" hidden="1">{#N/A,#N/A,FALSE,"조골재"}</definedName>
    <definedName name="rsaraf" localSheetId="13" hidden="1">{#N/A,#N/A,FALSE,"운반시간"}</definedName>
    <definedName name="rsaraf" hidden="1">{#N/A,#N/A,FALSE,"운반시간"}</definedName>
    <definedName name="RSDTY" localSheetId="13">'8-2.설비자재산출(무인보안)'!RSDTY</definedName>
    <definedName name="RSDTY" localSheetId="15">'8-4.일위대가표'!RSDTY</definedName>
    <definedName name="RSDTY">'8-2.설비자재산출(무인보안)'!RSDTY</definedName>
    <definedName name="RT" localSheetId="29">#REF!,#REF!,#REF!</definedName>
    <definedName name="RT" localSheetId="13">#REF!,#REF!,#REF!</definedName>
    <definedName name="RT" localSheetId="19">#REF!,#REF!,#REF!</definedName>
    <definedName name="RT">#REF!,#REF!,#REF!</definedName>
    <definedName name="rth" localSheetId="22" hidden="1">{"'용역비'!$A$4:$C$8"}</definedName>
    <definedName name="rth" localSheetId="34" hidden="1">{"'용역비'!$A$4:$C$8"}</definedName>
    <definedName name="rth" localSheetId="35" hidden="1">{"'용역비'!$A$4:$C$8"}</definedName>
    <definedName name="rth" localSheetId="36" hidden="1">{"'용역비'!$A$4:$C$8"}</definedName>
    <definedName name="rth" localSheetId="37" hidden="1">{"'용역비'!$A$4:$C$8"}</definedName>
    <definedName name="rth" localSheetId="13" hidden="1">{"'용역비'!$A$4:$C$8"}</definedName>
    <definedName name="rth" localSheetId="15" hidden="1">{"'용역비'!$A$4:$C$8"}</definedName>
    <definedName name="rth" hidden="1">{"'용역비'!$A$4:$C$8"}</definedName>
    <definedName name="rtrtrt">[51]설계명세서!$H$9</definedName>
    <definedName name="rtty"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rtty"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rtty"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rtuww" localSheetId="13" hidden="1">{#N/A,#N/A,FALSE,"토공2"}</definedName>
    <definedName name="rtuww" hidden="1">{#N/A,#N/A,FALSE,"토공2"}</definedName>
    <definedName name="rty" localSheetId="22" hidden="1">{"'용역비'!$A$4:$C$8"}</definedName>
    <definedName name="rty" localSheetId="34" hidden="1">{"'용역비'!$A$4:$C$8"}</definedName>
    <definedName name="rty" localSheetId="35" hidden="1">{"'용역비'!$A$4:$C$8"}</definedName>
    <definedName name="rty" localSheetId="36" hidden="1">{"'용역비'!$A$4:$C$8"}</definedName>
    <definedName name="rty" localSheetId="37" hidden="1">{"'용역비'!$A$4:$C$8"}</definedName>
    <definedName name="rty" localSheetId="13" hidden="1">{"'용역비'!$A$4:$C$8"}</definedName>
    <definedName name="rty" localSheetId="15" hidden="1">{"'용역비'!$A$4:$C$8"}</definedName>
    <definedName name="rty" hidden="1">{"'용역비'!$A$4:$C$8"}</definedName>
    <definedName name="ru">#REF!</definedName>
    <definedName name="rurtrruryuru" localSheetId="13" hidden="1">{#N/A,#N/A,FALSE,"포장1";#N/A,#N/A,FALSE,"포장1"}</definedName>
    <definedName name="rurtrruryuru" hidden="1">{#N/A,#N/A,FALSE,"포장1";#N/A,#N/A,FALSE,"포장1"}</definedName>
    <definedName name="RW">#REF!</definedName>
    <definedName name="rwe6vtd" localSheetId="13" hidden="1">{#N/A,#N/A,FALSE,"표지목차"}</definedName>
    <definedName name="rwe6vtd" hidden="1">{#N/A,#N/A,FALSE,"표지목차"}</definedName>
    <definedName name="RYANG">#N/A</definedName>
    <definedName name="ryescerfwe" localSheetId="13" hidden="1">{#N/A,#N/A,FALSE,"부대2"}</definedName>
    <definedName name="ryescerfwe" hidden="1">{#N/A,#N/A,FALSE,"부대2"}</definedName>
    <definedName name="ryuk" localSheetId="22" hidden="1">{"'용역비'!$A$4:$C$8"}</definedName>
    <definedName name="ryuk" localSheetId="34" hidden="1">{"'용역비'!$A$4:$C$8"}</definedName>
    <definedName name="ryuk" localSheetId="35" hidden="1">{"'용역비'!$A$4:$C$8"}</definedName>
    <definedName name="ryuk" localSheetId="36" hidden="1">{"'용역비'!$A$4:$C$8"}</definedName>
    <definedName name="ryuk" localSheetId="37" hidden="1">{"'용역비'!$A$4:$C$8"}</definedName>
    <definedName name="ryuk" localSheetId="13" hidden="1">{"'용역비'!$A$4:$C$8"}</definedName>
    <definedName name="ryuk" localSheetId="15" hidden="1">{"'용역비'!$A$4:$C$8"}</definedName>
    <definedName name="ryuk" hidden="1">{"'용역비'!$A$4:$C$8"}</definedName>
    <definedName name="s" localSheetId="22" hidden="1">{"'당진'!$A$1:$P$34","'당진'!$N$13"}</definedName>
    <definedName name="s" localSheetId="13" hidden="1">{"'당진'!$A$1:$P$34","'당진'!$N$13"}</definedName>
    <definedName name="s" localSheetId="15" hidden="1">{"'당진'!$A$1:$P$34","'당진'!$N$13"}</definedName>
    <definedName name="s" hidden="1">{"'당진'!$A$1:$P$34","'당진'!$N$13"}</definedName>
    <definedName name="s_1">[17]설계명세서!#REF!</definedName>
    <definedName name="s_2">[17]설계명세서!#REF!</definedName>
    <definedName name="s_3">[17]설계명세서!#REF!</definedName>
    <definedName name="s_4">[17]설계명세서!#REF!</definedName>
    <definedName name="s_t">#REF!</definedName>
    <definedName name="S_W개발제외노무비">#REF!</definedName>
    <definedName name="s_w시험">#REF!</definedName>
    <definedName name="S_W시험기사">#REF!</definedName>
    <definedName name="S21E1">#REF!</definedName>
    <definedName name="S3E1">#REF!</definedName>
    <definedName name="sa_jae">#REF!</definedName>
    <definedName name="sa_tot">#REF!</definedName>
    <definedName name="SA12C_1">#REF!</definedName>
    <definedName name="SA12C_2">#REF!</definedName>
    <definedName name="SA17C_1">#REF!</definedName>
    <definedName name="SA17C_2">#REF!</definedName>
    <definedName name="SADF">#REF!</definedName>
    <definedName name="SAE" localSheetId="13" hidden="1">{#N/A,#N/A,FALSE,"골재소요량";#N/A,#N/A,FALSE,"골재소요량"}</definedName>
    <definedName name="SAE" hidden="1">{#N/A,#N/A,FALSE,"골재소요량";#N/A,#N/A,FALSE,"골재소요량"}</definedName>
    <definedName name="SAFFGGF" hidden="1">"김명신"</definedName>
    <definedName name="SAFSAFSAD" localSheetId="13" hidden="1">{#N/A,#N/A,FALSE,"속도"}</definedName>
    <definedName name="SAFSAFSAD" hidden="1">{#N/A,#N/A,FALSE,"속도"}</definedName>
    <definedName name="sanch_2">#REF!</definedName>
    <definedName name="sanch_3">#REF!</definedName>
    <definedName name="sanch_4">#REF!</definedName>
    <definedName name="sasasa" localSheetId="13" hidden="1">{#N/A,#N/A,FALSE,"속도"}</definedName>
    <definedName name="sasasa" hidden="1">{#N/A,#N/A,FALSE,"속도"}</definedName>
    <definedName name="SASDFF" localSheetId="13">'8-2.설비자재산출(무인보안)'!SASDFF</definedName>
    <definedName name="SASDFF" localSheetId="15">'8-4.일위대가표'!SASDFF</definedName>
    <definedName name="SASDFF">'8-2.설비자재산출(무인보안)'!SASDFF</definedName>
    <definedName name="SAV">#N/A</definedName>
    <definedName name="sb_공통공사비">#REF!</definedName>
    <definedName name="sb_단위시설별공사비">#REF!</definedName>
    <definedName name="sb_제잡비">#REF!</definedName>
    <definedName name="sb010_가설공사_1">#REF!</definedName>
    <definedName name="sb020_가설공사_2">#REF!</definedName>
    <definedName name="sb030_공통장비비">#REF!</definedName>
    <definedName name="sb040_현장관리비">#REF!</definedName>
    <definedName name="sb050_기타공통비">#REF!</definedName>
    <definedName name="sb101_토공사">#REF!</definedName>
    <definedName name="sb102_지정공사">#REF!</definedName>
    <definedName name="sb103_철근콘크리트공사">#REF!</definedName>
    <definedName name="sb104_철골공사">#REF!</definedName>
    <definedName name="sb105_조적공사">#REF!</definedName>
    <definedName name="sb106_미장공사">#REF!</definedName>
    <definedName name="sb107_방수공사">#REF!</definedName>
    <definedName name="sb108_목공사">#REF!</definedName>
    <definedName name="sb109_금속공사">#REF!</definedName>
    <definedName name="sb110_지붕및홈통공사">#REF!</definedName>
    <definedName name="sb111_문_셔터_부속자재">#REF!</definedName>
    <definedName name="sb112_창_창호추가공사">#REF!</definedName>
    <definedName name="sb113_유리공사">#REF!</definedName>
    <definedName name="sb114_타일및돌공사">#REF!</definedName>
    <definedName name="sb115_도장공사">#REF!</definedName>
    <definedName name="sb116_수장공사_1">#REF!</definedName>
    <definedName name="sb117_수장공사_2">#REF!</definedName>
    <definedName name="sb118_실내설비공사">#REF!</definedName>
    <definedName name="sb201_창고">#REF!</definedName>
    <definedName name="sb202_경비실">#REF!</definedName>
    <definedName name="sb203_기타경비시설">#REF!</definedName>
    <definedName name="sb204_차고">#REF!</definedName>
    <definedName name="sb301_정화조공사">#REF!</definedName>
    <definedName name="sb302_우수맨홀">#REF!</definedName>
    <definedName name="sb303_우수배수관설치">#REF!</definedName>
    <definedName name="sb401_굴취">#REF!</definedName>
    <definedName name="sb402_식재_파종">#REF!</definedName>
    <definedName name="sb403_식재관련_부대공">#REF!</definedName>
    <definedName name="sb404_조경시설물공사">#REF!</definedName>
    <definedName name="sb501_문_문주_설치">#REF!</definedName>
    <definedName name="sb502_울타리_담장설치">#REF!</definedName>
    <definedName name="sb503_기타경계시설">#REF!</definedName>
    <definedName name="sb601_해체_철거공사">#REF!</definedName>
    <definedName name="sb602_보수_및_이전공사">#REF!</definedName>
    <definedName name="SC">#REF!</definedName>
    <definedName name="scbl">#REF!</definedName>
    <definedName name="SCODE">#N/A</definedName>
    <definedName name="SCP">#REF!</definedName>
    <definedName name="SDA" localSheetId="22" hidden="1">{"'광피스표'!$A$3:$N$54"}</definedName>
    <definedName name="SDA" localSheetId="13" hidden="1">{"'광피스표'!$A$3:$N$54"}</definedName>
    <definedName name="SDA" localSheetId="15" hidden="1">{"'광피스표'!$A$3:$N$54"}</definedName>
    <definedName name="SDA" hidden="1">{"'광피스표'!$A$3:$N$54"}</definedName>
    <definedName name="SDAG" localSheetId="13" hidden="1">{#N/A,#N/A,FALSE,"골재소요량";#N/A,#N/A,FALSE,"골재소요량"}</definedName>
    <definedName name="SDAG" hidden="1">{#N/A,#N/A,FALSE,"골재소요량";#N/A,#N/A,FALSE,"골재소요량"}</definedName>
    <definedName name="sdagh">[7]!sdagh</definedName>
    <definedName name="SDAS" localSheetId="13" hidden="1">{"'Firr(선)'!$AS$1:$AY$62","'Firr(사)'!$AS$1:$AY$62","'Firr(회)'!$AS$1:$AY$62","'Firr(선)'!$L$1:$V$62","'Firr(사)'!$L$1:$V$62","'Firr(회)'!$L$1:$V$62"}</definedName>
    <definedName name="SDAS" hidden="1">{"'Firr(선)'!$AS$1:$AY$62","'Firr(사)'!$AS$1:$AY$62","'Firr(회)'!$AS$1:$AY$62","'Firr(선)'!$L$1:$V$62","'Firr(사)'!$L$1:$V$62","'Firr(회)'!$L$1:$V$62"}</definedName>
    <definedName name="SDCFG\" localSheetId="13" hidden="1">{#N/A,#N/A,FALSE,"운반시간"}</definedName>
    <definedName name="SDCFG\" hidden="1">{#N/A,#N/A,FALSE,"운반시간"}</definedName>
    <definedName name="SDDFD" localSheetId="13" hidden="1">{#N/A,#N/A,FALSE,"배수1"}</definedName>
    <definedName name="SDDFD" hidden="1">{#N/A,#N/A,FALSE,"배수1"}</definedName>
    <definedName name="SDF" localSheetId="13" hidden="1">{#N/A,#N/A,FALSE,"혼합골재"}</definedName>
    <definedName name="SDF" hidden="1">{#N/A,#N/A,FALSE,"혼합골재"}</definedName>
    <definedName name="sdfag" localSheetId="29" hidden="1">#REF!</definedName>
    <definedName name="sdfag" localSheetId="13" hidden="1">#REF!</definedName>
    <definedName name="sdfag" localSheetId="19" hidden="1">#REF!</definedName>
    <definedName name="sdfag" hidden="1">#REF!</definedName>
    <definedName name="SDFDFD" localSheetId="13" hidden="1">{#N/A,#N/A,FALSE,"운반시간"}</definedName>
    <definedName name="SDFDFD" hidden="1">{#N/A,#N/A,FALSE,"운반시간"}</definedName>
    <definedName name="SDFGFH" localSheetId="13" hidden="1">{#N/A,#N/A,FALSE,"부대2"}</definedName>
    <definedName name="SDFGFH" hidden="1">{#N/A,#N/A,FALSE,"부대2"}</definedName>
    <definedName name="SDFSAFSADFS" localSheetId="13" hidden="1">{#N/A,#N/A,FALSE,"혼합골재"}</definedName>
    <definedName name="SDFSAFSADFS" hidden="1">{#N/A,#N/A,FALSE,"혼합골재"}</definedName>
    <definedName name="sdg" hidden="1">'[1]#REF'!$A$1:$A$1714</definedName>
    <definedName name="SDGH" localSheetId="13">'8-2.설비자재산출(무인보안)'!SDGH</definedName>
    <definedName name="SDGH" localSheetId="15">'8-4.일위대가표'!SDGH</definedName>
    <definedName name="SDGH">'8-2.설비자재산출(무인보안)'!SDGH</definedName>
    <definedName name="SDGSDFHFDJDG" localSheetId="13" hidden="1">{#N/A,#N/A,FALSE,"속도"}</definedName>
    <definedName name="SDGSDFHFDJDG" hidden="1">{#N/A,#N/A,FALSE,"속도"}</definedName>
    <definedName name="SDGSDGDHDFHGF" localSheetId="13" hidden="1">{#N/A,#N/A,FALSE,"운반시간"}</definedName>
    <definedName name="SDGSDGDHDFHGF" hidden="1">{#N/A,#N/A,FALSE,"운반시간"}</definedName>
    <definedName name="sdryhj" localSheetId="22" hidden="1">{"'용역비'!$A$4:$C$8"}</definedName>
    <definedName name="sdryhj" localSheetId="34" hidden="1">{"'용역비'!$A$4:$C$8"}</definedName>
    <definedName name="sdryhj" localSheetId="35" hidden="1">{"'용역비'!$A$4:$C$8"}</definedName>
    <definedName name="sdryhj" localSheetId="36" hidden="1">{"'용역비'!$A$4:$C$8"}</definedName>
    <definedName name="sdryhj" localSheetId="37" hidden="1">{"'용역비'!$A$4:$C$8"}</definedName>
    <definedName name="sdryhj" localSheetId="13" hidden="1">{"'용역비'!$A$4:$C$8"}</definedName>
    <definedName name="sdryhj" localSheetId="15" hidden="1">{"'용역비'!$A$4:$C$8"}</definedName>
    <definedName name="sdryhj" hidden="1">{"'용역비'!$A$4:$C$8"}</definedName>
    <definedName name="SDSD" localSheetId="13" hidden="1">{"'220승압(공문첨부)'!$A$3:$E$123"}</definedName>
    <definedName name="SDSD" localSheetId="15" hidden="1">{"'220승압(공문첨부)'!$A$3:$E$123"}</definedName>
    <definedName name="SDSD" hidden="1">{"'220승압(공문첨부)'!$A$3:$E$123"}</definedName>
    <definedName name="sdsdddd" localSheetId="13" hidden="1">{#N/A,#N/A,FALSE,"토공2"}</definedName>
    <definedName name="sdsdddd" hidden="1">{#N/A,#N/A,FALSE,"토공2"}</definedName>
    <definedName name="SDWQ" localSheetId="13" hidden="1">{#N/A,#N/A,FALSE,"배수2"}</definedName>
    <definedName name="SDWQ" hidden="1">{#N/A,#N/A,FALSE,"배수2"}</definedName>
    <definedName name="SE" localSheetId="22" hidden="1">{"'용역비'!$A$4:$C$8"}</definedName>
    <definedName name="SE" localSheetId="34" hidden="1">{"'용역비'!$A$4:$C$8"}</definedName>
    <definedName name="SE" localSheetId="35" hidden="1">{"'용역비'!$A$4:$C$8"}</definedName>
    <definedName name="SE" localSheetId="36" hidden="1">{"'용역비'!$A$4:$C$8"}</definedName>
    <definedName name="SE" localSheetId="37" hidden="1">{"'용역비'!$A$4:$C$8"}</definedName>
    <definedName name="SE" localSheetId="13" hidden="1">{"'용역비'!$A$4:$C$8"}</definedName>
    <definedName name="SE" localSheetId="15" hidden="1">{"'용역비'!$A$4:$C$8"}</definedName>
    <definedName name="SE" hidden="1">{"'용역비'!$A$4:$C$8"}</definedName>
    <definedName name="seawolf_TRadder">#REF!</definedName>
    <definedName name="SEEKA">#REF!</definedName>
    <definedName name="SEEKB">#REF!</definedName>
    <definedName name="select_bg" localSheetId="29">[63]!select_bg</definedName>
    <definedName name="select_bg" localSheetId="13">[64]!select_bg</definedName>
    <definedName name="select_bg" localSheetId="19">[63]!select_bg</definedName>
    <definedName name="select_bg">[63]!select_bg</definedName>
    <definedName name="select_gg" localSheetId="29">[63]!select_gg</definedName>
    <definedName name="select_gg" localSheetId="13">[64]!select_gg</definedName>
    <definedName name="select_gg" localSheetId="19">[63]!select_gg</definedName>
    <definedName name="select_gg">[63]!select_gg</definedName>
    <definedName name="select_gi" localSheetId="29">[63]!select_gi</definedName>
    <definedName name="select_gi" localSheetId="13">[64]!select_gi</definedName>
    <definedName name="select_gi" localSheetId="19">[63]!select_gi</definedName>
    <definedName name="select_gi">[63]!select_gi</definedName>
    <definedName name="select_gj" localSheetId="13">'8-2.설비자재산출(무인보안)'!select_gj</definedName>
    <definedName name="select_gj" localSheetId="15">'8-4.일위대가표'!select_gj</definedName>
    <definedName name="select_gj">'8-2.설비자재산출(무인보안)'!select_gj</definedName>
    <definedName name="select_gjj3" localSheetId="29">[63]!select_gjj3</definedName>
    <definedName name="select_gjj3" localSheetId="13">[64]!select_gjj3</definedName>
    <definedName name="select_gjj3" localSheetId="19">[63]!select_gjj3</definedName>
    <definedName name="select_gjj3">[63]!select_gjj3</definedName>
    <definedName name="select_gjp" localSheetId="29">[63]!select_gjp</definedName>
    <definedName name="select_gjp" localSheetId="13">[64]!select_gjp</definedName>
    <definedName name="select_gjp" localSheetId="19">[63]!select_gjp</definedName>
    <definedName name="select_gjp">[63]!select_gjp</definedName>
    <definedName name="select_gs" localSheetId="13">'8-2.설비자재산출(무인보안)'!select_gs</definedName>
    <definedName name="select_gs" localSheetId="15">'8-4.일위대가표'!select_gs</definedName>
    <definedName name="select_gs">'8-2.설비자재산출(무인보안)'!select_gs</definedName>
    <definedName name="select_ij1" localSheetId="13">'8-2.설비자재산출(무인보안)'!select_ij1</definedName>
    <definedName name="select_ij1" localSheetId="15">'8-4.일위대가표'!select_ij1</definedName>
    <definedName name="select_ij1">'8-2.설비자재산출(무인보안)'!select_ij1</definedName>
    <definedName name="SELECT_IJ10" localSheetId="13">'8-2.설비자재산출(무인보안)'!SELECT_IJ10</definedName>
    <definedName name="SELECT_IJ10" localSheetId="15">'8-4.일위대가표'!SELECT_IJ10</definedName>
    <definedName name="SELECT_IJ10">'8-2.설비자재산출(무인보안)'!SELECT_IJ10</definedName>
    <definedName name="select_ij2" localSheetId="13">'8-2.설비자재산출(무인보안)'!select_ij2</definedName>
    <definedName name="select_ij2" localSheetId="15">'8-4.일위대가표'!select_ij2</definedName>
    <definedName name="select_ij2">'8-2.설비자재산출(무인보안)'!select_ij2</definedName>
    <definedName name="select_ij3" localSheetId="13">'8-2.설비자재산출(무인보안)'!select_ij3</definedName>
    <definedName name="select_ij3" localSheetId="15">'8-4.일위대가표'!select_ij3</definedName>
    <definedName name="select_ij3">'8-2.설비자재산출(무인보안)'!select_ij3</definedName>
    <definedName name="select_ti" localSheetId="13">'8-2.설비자재산출(무인보안)'!select_ti</definedName>
    <definedName name="select_ti" localSheetId="15">'8-4.일위대가표'!select_ti</definedName>
    <definedName name="select_ti">'8-2.설비자재산출(무인보안)'!select_ti</definedName>
    <definedName name="SERVICE" localSheetId="13" hidden="1">{#N/A,#N/A,FALSE,"이태원철근"}</definedName>
    <definedName name="SERVICE" hidden="1">{#N/A,#N/A,FALSE,"이태원철근"}</definedName>
    <definedName name="SEX">[41]소요자재!$H$52</definedName>
    <definedName name="SF">#REF!</definedName>
    <definedName name="SFA" localSheetId="13" hidden="1">{#N/A,#N/A,FALSE,"포장1";#N/A,#N/A,FALSE,"포장1"}</definedName>
    <definedName name="SFA" hidden="1">{#N/A,#N/A,FALSE,"포장1";#N/A,#N/A,FALSE,"포장1"}</definedName>
    <definedName name="SFFF" localSheetId="29" hidden="1">[66]노임단가!#REF!</definedName>
    <definedName name="SFFF" localSheetId="19" hidden="1">[66]노임단가!#REF!</definedName>
    <definedName name="SFFF" hidden="1">[66]노임단가!#REF!</definedName>
    <definedName name="SFFFFF" localSheetId="29" hidden="1">[66]노임단가!#REF!</definedName>
    <definedName name="SFFFFF" localSheetId="19" hidden="1">[66]노임단가!#REF!</definedName>
    <definedName name="SFFFFF" hidden="1">[66]노임단가!#REF!</definedName>
    <definedName name="sfggf" localSheetId="13" hidden="1">{#N/A,#N/A,FALSE,"배수1"}</definedName>
    <definedName name="sfggf" hidden="1">{#N/A,#N/A,FALSE,"배수1"}</definedName>
    <definedName name="SFGSFG">#REF!</definedName>
    <definedName name="SFGSFGSF">#REF!</definedName>
    <definedName name="SFGSHBBS">#REF!</definedName>
    <definedName name="SFSDFDSF" localSheetId="13" hidden="1">{#N/A,#N/A,FALSE,"운반시간"}</definedName>
    <definedName name="SFSDFDSF" hidden="1">{#N/A,#N/A,FALSE,"운반시간"}</definedName>
    <definedName name="sgj">'[45]설계명세서(종합)'!#REF!</definedName>
    <definedName name="SGSGFGHJHJH" hidden="1">"D:\SKT중계기 시설공사\CK-A2차\MyHTML.htm"</definedName>
    <definedName name="SHDLAEKSRKTNWJD">[7]!SHDLAEKSRKTNWJD</definedName>
    <definedName name="sheet" localSheetId="13" hidden="1">{#N/A,#N/A,FALSE,"골재소요량";#N/A,#N/A,FALSE,"골재소요량"}</definedName>
    <definedName name="sheet" hidden="1">{#N/A,#N/A,FALSE,"골재소요량";#N/A,#N/A,FALSE,"골재소요량"}</definedName>
    <definedName name="SHEET100" localSheetId="29" hidden="1">#REF!</definedName>
    <definedName name="SHEET100" localSheetId="13" hidden="1">#REF!</definedName>
    <definedName name="SHEET100" localSheetId="19" hidden="1">#REF!</definedName>
    <definedName name="SHEET100" hidden="1">#REF!</definedName>
    <definedName name="sheet3" localSheetId="13">'8-2.설비자재산출(무인보안)'!sheet3</definedName>
    <definedName name="sheet3" localSheetId="15">'8-4.일위대가표'!sheet3</definedName>
    <definedName name="sheet3">'8-2.설비자재산출(무인보안)'!sheet3</definedName>
    <definedName name="SHEET56">#REF!</definedName>
    <definedName name="shutt" localSheetId="29" hidden="1">#REF!</definedName>
    <definedName name="shutt" localSheetId="13" hidden="1">#REF!</definedName>
    <definedName name="shutt" localSheetId="19" hidden="1">#REF!</definedName>
    <definedName name="shutt" hidden="1">#REF!</definedName>
    <definedName name="SILRING">#REF!</definedName>
    <definedName name="SIN">#REF!</definedName>
    <definedName name="sinnoim">#REF!</definedName>
    <definedName name="SIX_VOLT">#REF!</definedName>
    <definedName name="SK"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SK"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SKI" localSheetId="29" hidden="1">[66]노임단가!#REF!</definedName>
    <definedName name="SKI" localSheetId="19" hidden="1">[66]노임단가!#REF!</definedName>
    <definedName name="SKI" hidden="1">[66]노임단가!#REF!</definedName>
    <definedName name="skj">[17]설계명세서!#REF!</definedName>
    <definedName name="sksksksksk" localSheetId="29" hidden="1">[67]공예을!#REF!</definedName>
    <definedName name="sksksksksk" localSheetId="19" hidden="1">[67]공예을!#REF!</definedName>
    <definedName name="sksksksksk" hidden="1">[67]공예을!#REF!</definedName>
    <definedName name="SKT법원리_갈곡리">[68]성단물량!#REF!</definedName>
    <definedName name="slbi">[35]기준자료!$C$10</definedName>
    <definedName name="SLIP">#REF!</definedName>
    <definedName name="SN_P" localSheetId="29">ROUND([39]!SN*100/325,1)</definedName>
    <definedName name="SN_P" localSheetId="19">ROUND([39]!SN*100/325,1)</definedName>
    <definedName name="SN_P">ROUND([39]!SN*100/325,1)</definedName>
    <definedName name="sodur"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sodur"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soi">[48]DATA!$A$3:$A$48</definedName>
    <definedName name="solver_drv" hidden="1">1</definedName>
    <definedName name="solver_est" hidden="1">1</definedName>
    <definedName name="solver_itr" hidden="1">100</definedName>
    <definedName name="solver_lin" hidden="1">0</definedName>
    <definedName name="solver_num" hidden="1">0</definedName>
    <definedName name="solver_nwt" hidden="1">1</definedName>
    <definedName name="solver_pre" hidden="1">0.000001</definedName>
    <definedName name="solver_scl" hidden="1">0</definedName>
    <definedName name="solver_sho" hidden="1">0</definedName>
    <definedName name="solver_tim" hidden="1">100</definedName>
    <definedName name="solver_tol" hidden="1">0.05</definedName>
    <definedName name="solver_typ" hidden="1">1</definedName>
    <definedName name="solver_val" hidden="1">0</definedName>
    <definedName name="SORT1" localSheetId="29" hidden="1">#REF!</definedName>
    <definedName name="SORT1" localSheetId="13" hidden="1">#REF!</definedName>
    <definedName name="SORT1" localSheetId="19" hidden="1">#REF!</definedName>
    <definedName name="SORT1" hidden="1">#REF!</definedName>
    <definedName name="SP2_1">#REF!</definedName>
    <definedName name="SP3_1">#REF!</definedName>
    <definedName name="SP3_B">#REF!</definedName>
    <definedName name="SP3_UB">#REF!</definedName>
    <definedName name="SPACE">#REF!</definedName>
    <definedName name="SPAN_AG">#REF!</definedName>
    <definedName name="SPAN_H">#REF!</definedName>
    <definedName name="SPECI">#N/A</definedName>
    <definedName name="special">[35]기준자료!$C$13</definedName>
    <definedName name="SPRSLV_1">#REF!</definedName>
    <definedName name="SPRSLV_2">#REF!</definedName>
    <definedName name="sr" localSheetId="29">#REF!,#REF!</definedName>
    <definedName name="sr" localSheetId="13">#REF!,#REF!</definedName>
    <definedName name="sr" localSheetId="19">#REF!,#REF!</definedName>
    <definedName name="sr">#REF!,#REF!</definedName>
    <definedName name="srhhgnxsgdsheaeeeeeeeee" localSheetId="13" hidden="1">{"'당진'!$A$1:$P$34","'당진'!$N$13"}</definedName>
    <definedName name="srhhgnxsgdsheaeeeeeeeee" localSheetId="15" hidden="1">{"'당진'!$A$1:$P$34","'당진'!$N$13"}</definedName>
    <definedName name="srhhgnxsgdsheaeeeeeeeee" hidden="1">{"'당진'!$A$1:$P$34","'당진'!$N$13"}</definedName>
    <definedName name="SRP">#REF!</definedName>
    <definedName name="srth" localSheetId="22" hidden="1">{"'용역비'!$A$4:$C$8"}</definedName>
    <definedName name="srth" localSheetId="34" hidden="1">{"'용역비'!$A$4:$C$8"}</definedName>
    <definedName name="srth" localSheetId="35" hidden="1">{"'용역비'!$A$4:$C$8"}</definedName>
    <definedName name="srth" localSheetId="36" hidden="1">{"'용역비'!$A$4:$C$8"}</definedName>
    <definedName name="srth" localSheetId="37" hidden="1">{"'용역비'!$A$4:$C$8"}</definedName>
    <definedName name="srth" localSheetId="13" hidden="1">{"'용역비'!$A$4:$C$8"}</definedName>
    <definedName name="srth" localSheetId="15" hidden="1">{"'용역비'!$A$4:$C$8"}</definedName>
    <definedName name="srth" hidden="1">{"'용역비'!$A$4:$C$8"}</definedName>
    <definedName name="SS" localSheetId="13">'8-2.설비자재산출(무인보안)'!SS</definedName>
    <definedName name="SS" localSheetId="15">'8-4.일위대가표'!SS</definedName>
    <definedName name="SS">'8-2.설비자재산출(무인보안)'!SS</definedName>
    <definedName name="ssa" localSheetId="13" hidden="1">{#N/A,#N/A,FALSE,"전력간선"}</definedName>
    <definedName name="ssa" hidden="1">{#N/A,#N/A,FALSE,"전력간선"}</definedName>
    <definedName name="sss" localSheetId="13" hidden="1">{#N/A,#N/A,FALSE,"현장 NCR 분석";#N/A,#N/A,FALSE,"현장품질감사";#N/A,#N/A,FALSE,"현장품질감사"}</definedName>
    <definedName name="sss" hidden="1">{#N/A,#N/A,FALSE,"현장 NCR 분석";#N/A,#N/A,FALSE,"현장품질감사";#N/A,#N/A,FALSE,"현장품질감사"}</definedName>
    <definedName name="ssss">[7]!ssss</definedName>
    <definedName name="sssss" localSheetId="13" hidden="1">{#N/A,#N/A,FALSE,"운반시간"}</definedName>
    <definedName name="sssss" hidden="1">{#N/A,#N/A,FALSE,"운반시간"}</definedName>
    <definedName name="start">#REF!</definedName>
    <definedName name="start1">#REF!</definedName>
    <definedName name="STBA">[17]설계명세서!#REF!</definedName>
    <definedName name="STH">#REF!</definedName>
    <definedName name="STICK_L">#REF!</definedName>
    <definedName name="STICK_S">#REF!</definedName>
    <definedName name="STS" localSheetId="22" hidden="1">{"'용역비'!$A$4:$C$8"}</definedName>
    <definedName name="STS" localSheetId="34" hidden="1">{"'용역비'!$A$4:$C$8"}</definedName>
    <definedName name="STS" localSheetId="35" hidden="1">{"'용역비'!$A$4:$C$8"}</definedName>
    <definedName name="STS" localSheetId="36" hidden="1">{"'용역비'!$A$4:$C$8"}</definedName>
    <definedName name="STS" localSheetId="37" hidden="1">{"'용역비'!$A$4:$C$8"}</definedName>
    <definedName name="STS" localSheetId="13" hidden="1">{"'용역비'!$A$4:$C$8"}</definedName>
    <definedName name="STS" localSheetId="15" hidden="1">{"'용역비'!$A$4:$C$8"}</definedName>
    <definedName name="STS" hidden="1">{"'용역비'!$A$4:$C$8"}</definedName>
    <definedName name="sukkwanghyun">#REF!</definedName>
    <definedName name="SUPORT">#REF!</definedName>
    <definedName name="SURGE_C">#REF!</definedName>
    <definedName name="SW" localSheetId="13">[6]소요자재!$H$78</definedName>
    <definedName name="SW">[23]소요자재!$H$78</definedName>
    <definedName name="swt">#REF!</definedName>
    <definedName name="swtest">#REF!</definedName>
    <definedName name="sw설치">#REF!</definedName>
    <definedName name="sw시험">#REF!</definedName>
    <definedName name="SW시험기사">#REF!</definedName>
    <definedName name="sys">#REF!</definedName>
    <definedName name="SZ">#REF!</definedName>
    <definedName name="T" localSheetId="13">'8-2.설비자재산출(무인보안)'!T</definedName>
    <definedName name="T" localSheetId="15">'8-4.일위대가표'!T</definedName>
    <definedName name="T">'8-2.설비자재산출(무인보안)'!T</definedName>
    <definedName name="T_1">#REF!</definedName>
    <definedName name="T_HUK">#REF!</definedName>
    <definedName name="T1_3240">#REF!</definedName>
    <definedName name="T1_MOD">#REF!</definedName>
    <definedName name="T10M">#REF!</definedName>
    <definedName name="T10P">#REF!</definedName>
    <definedName name="T11M">#REF!</definedName>
    <definedName name="T11P">#REF!</definedName>
    <definedName name="T12M">#REF!</definedName>
    <definedName name="T12P">#REF!</definedName>
    <definedName name="T13M">#REF!</definedName>
    <definedName name="T13P">#REF!</definedName>
    <definedName name="T14M">#REF!</definedName>
    <definedName name="T14P">#REF!</definedName>
    <definedName name="T15M">#REF!</definedName>
    <definedName name="T15P">#REF!</definedName>
    <definedName name="T16M">#REF!</definedName>
    <definedName name="T16P">#REF!</definedName>
    <definedName name="T17M">#REF!</definedName>
    <definedName name="T17P">#REF!</definedName>
    <definedName name="T18M">#REF!</definedName>
    <definedName name="T18P">#REF!</definedName>
    <definedName name="T19M">#REF!</definedName>
    <definedName name="T19P">#REF!</definedName>
    <definedName name="T1E">#REF!</definedName>
    <definedName name="T1M">#REF!</definedName>
    <definedName name="T1P">#REF!</definedName>
    <definedName name="T1카드" localSheetId="13">[6]소요자재!$H$10</definedName>
    <definedName name="T1카드">[23]소요자재!$H$10</definedName>
    <definedName name="T20M">#REF!</definedName>
    <definedName name="T20P">#REF!</definedName>
    <definedName name="T21M">#REF!</definedName>
    <definedName name="T21P">#REF!</definedName>
    <definedName name="T22E">#REF!</definedName>
    <definedName name="T23M">#REF!</definedName>
    <definedName name="T23P">#REF!</definedName>
    <definedName name="T24M">#REF!</definedName>
    <definedName name="T24P">#REF!</definedName>
    <definedName name="T2E">#REF!</definedName>
    <definedName name="T2M">#REF!</definedName>
    <definedName name="T2P">#REF!</definedName>
    <definedName name="T3P">#REF!</definedName>
    <definedName name="T4M">#REF!</definedName>
    <definedName name="T4P">#REF!</definedName>
    <definedName name="T5M">#REF!</definedName>
    <definedName name="T5P">#REF!</definedName>
    <definedName name="T6M">#REF!</definedName>
    <definedName name="T6P">#REF!</definedName>
    <definedName name="T7M">#REF!</definedName>
    <definedName name="T7P">#REF!</definedName>
    <definedName name="T8M">#REF!</definedName>
    <definedName name="T8P">#REF!</definedName>
    <definedName name="T9M">#REF!</definedName>
    <definedName name="T9P">#REF!</definedName>
    <definedName name="TA">#REF!</definedName>
    <definedName name="TABLE">[69]총괄집계표!#REF!</definedName>
    <definedName name="TABLE_14">[69]총괄집계표!#REF!</definedName>
    <definedName name="TABLE_15">[69]총괄집계표!#REF!</definedName>
    <definedName name="TABLE_2">[69]총괄집계표!#REF!</definedName>
    <definedName name="TABLE_23">[69]총괄집계표!#REF!</definedName>
    <definedName name="TABLE_24">[69]총괄집계표!#REF!</definedName>
    <definedName name="TABLE_25">[69]총괄집계표!#REF!</definedName>
    <definedName name="TABLE_26">[69]총괄집계표!#REF!</definedName>
    <definedName name="TABLE_27">[69]총괄집계표!#REF!</definedName>
    <definedName name="TABLE_28">[69]총괄집계표!#REF!</definedName>
    <definedName name="TABLE_29">[69]총괄집계표!#REF!</definedName>
    <definedName name="TABLE_30">[69]총괄집계표!#REF!</definedName>
    <definedName name="TABLE_31">[69]총괄집계표!#REF!</definedName>
    <definedName name="TABLE_32">[69]총괄집계표!#REF!</definedName>
    <definedName name="TABLE_33">[69]총괄집계표!#REF!</definedName>
    <definedName name="TABLE_34">[69]총괄집계표!#REF!</definedName>
    <definedName name="TABLE_35">[69]총괄집계표!#REF!</definedName>
    <definedName name="TABLE_36">[69]총괄집계표!#REF!</definedName>
    <definedName name="TABLE_37">[69]총괄집계표!#REF!</definedName>
    <definedName name="TABLE_38">[69]총괄집계표!#REF!</definedName>
    <definedName name="TABLE_39">[69]총괄집계표!#REF!</definedName>
    <definedName name="TABLE_40">[69]총괄집계표!#REF!</definedName>
    <definedName name="TABLE_41">[69]총괄집계표!#REF!</definedName>
    <definedName name="TABLE_42">[69]총괄집계표!#REF!</definedName>
    <definedName name="TABLE_43">[69]총괄집계표!#REF!</definedName>
    <definedName name="TABLE_44">[69]총괄집계표!#REF!</definedName>
    <definedName name="TABLE_45">[69]총괄집계표!#REF!</definedName>
    <definedName name="TABLE_46">[69]총괄집계표!#REF!</definedName>
    <definedName name="TABLE_47">[69]총괄집계표!#REF!</definedName>
    <definedName name="TABLE_48">[69]총괄집계표!#REF!</definedName>
    <definedName name="TABLE_49">[69]총괄집계표!#REF!</definedName>
    <definedName name="TABLE_50">[69]총괄집계표!#REF!</definedName>
    <definedName name="TABLE_51">[69]총괄집계표!#REF!</definedName>
    <definedName name="TABLE_52">[69]총괄집계표!#REF!</definedName>
    <definedName name="TABLE_53">[69]총괄집계표!#REF!</definedName>
    <definedName name="TABLE_54">[69]총괄집계표!#REF!</definedName>
    <definedName name="TABLE_55">[69]총괄집계표!#REF!</definedName>
    <definedName name="TABLE_56">[69]총괄집계표!#REF!</definedName>
    <definedName name="TABLE_57">[69]총괄집계표!#REF!</definedName>
    <definedName name="TABLE_58">[69]총괄집계표!#REF!</definedName>
    <definedName name="TABLE_59">[69]총괄집계표!#REF!</definedName>
    <definedName name="TABLE_60">[69]총괄집계표!#REF!</definedName>
    <definedName name="TABLE_61">[69]총괄집계표!#REF!</definedName>
    <definedName name="TABLE_62">[69]총괄집계표!#REF!</definedName>
    <definedName name="TABLE_63">[69]총괄집계표!#REF!</definedName>
    <definedName name="TABLE_64">[69]총괄집계표!#REF!</definedName>
    <definedName name="TABLE_65">[69]총괄집계표!#REF!</definedName>
    <definedName name="TABLE_66">[69]총괄집계표!#REF!</definedName>
    <definedName name="TABLE_67">[69]총괄집계표!#REF!</definedName>
    <definedName name="TABLE_68">[69]총괄집계표!#REF!</definedName>
    <definedName name="TABLE_69">[69]총괄집계표!#REF!</definedName>
    <definedName name="TAP">#REF!</definedName>
    <definedName name="TAP_1">#REF!</definedName>
    <definedName name="TAP_2">#REF!</definedName>
    <definedName name="TAP_4">#REF!</definedName>
    <definedName name="TAP_8">#REF!</definedName>
    <definedName name="TAP4_1">#REF!</definedName>
    <definedName name="TAP8_1">#REF!</definedName>
    <definedName name="TBA">#REF!</definedName>
    <definedName name="TBA_1">#REF!</definedName>
    <definedName name="tbgj">[17]설계명세서!#REF!</definedName>
    <definedName name="tbi">#REF!</definedName>
    <definedName name="tc">#REF!</definedName>
    <definedName name="TCARD" localSheetId="13">[6]소요자재!$H$141</definedName>
    <definedName name="TCARD">[23]소요자재!$H$141</definedName>
    <definedName name="TCP">#REF!</definedName>
    <definedName name="TCU">BlankMacro1</definedName>
    <definedName name="te">#REF!</definedName>
    <definedName name="TEMP">BlankMacro1</definedName>
    <definedName name="TENSION_고온계">#REF!</definedName>
    <definedName name="test">#REF!</definedName>
    <definedName name="TEWGDSGVDSFGVDSVGSD" localSheetId="13" hidden="1">{#N/A,#N/A,FALSE,"운반시간"}</definedName>
    <definedName name="TEWGDSGVDSFGVDSVGSD" hidden="1">{#N/A,#N/A,FALSE,"운반시간"}</definedName>
    <definedName name="text200">#REF!</definedName>
    <definedName name="TFUI" localSheetId="22" hidden="1">{"'용역비'!$A$4:$C$8"}</definedName>
    <definedName name="TFUI" localSheetId="34" hidden="1">{"'용역비'!$A$4:$C$8"}</definedName>
    <definedName name="TFUI" localSheetId="35" hidden="1">{"'용역비'!$A$4:$C$8"}</definedName>
    <definedName name="TFUI" localSheetId="36" hidden="1">{"'용역비'!$A$4:$C$8"}</definedName>
    <definedName name="TFUI" localSheetId="37" hidden="1">{"'용역비'!$A$4:$C$8"}</definedName>
    <definedName name="TFUI" localSheetId="13" hidden="1">{"'용역비'!$A$4:$C$8"}</definedName>
    <definedName name="TFUI" localSheetId="15" hidden="1">{"'용역비'!$A$4:$C$8"}</definedName>
    <definedName name="TFUI" hidden="1">{"'용역비'!$A$4:$C$8"}</definedName>
    <definedName name="THEEND" localSheetId="29">[37]!THEEND</definedName>
    <definedName name="THEEND" localSheetId="19">[37]!THEEND</definedName>
    <definedName name="THEEND">[37]!THEEND</definedName>
    <definedName name="THRU" localSheetId="13">[6]소요자재!$H$77</definedName>
    <definedName name="THRU">[23]소요자재!$H$77</definedName>
    <definedName name="THSLV12C_1">#REF!</definedName>
    <definedName name="THSLV12C_2">#REF!</definedName>
    <definedName name="THSLV17C_1">#REF!</definedName>
    <definedName name="THSLV17C_2">#REF!</definedName>
    <definedName name="tip">#REF!</definedName>
    <definedName name="TIT">#REF!</definedName>
    <definedName name="title">#REF!</definedName>
    <definedName name="tjf"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tjf"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tjf"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tmp" localSheetId="22" hidden="1">{#N/A,#N/A,FALSE,"회선임차현황"}</definedName>
    <definedName name="tmp" localSheetId="34" hidden="1">{#N/A,#N/A,FALSE,"회선임차현황"}</definedName>
    <definedName name="tmp" localSheetId="35" hidden="1">{#N/A,#N/A,FALSE,"회선임차현황"}</definedName>
    <definedName name="tmp" localSheetId="36" hidden="1">{#N/A,#N/A,FALSE,"회선임차현황"}</definedName>
    <definedName name="tmp" localSheetId="37" hidden="1">{#N/A,#N/A,FALSE,"회선임차현황"}</definedName>
    <definedName name="tmp" localSheetId="13" hidden="1">{#N/A,#N/A,FALSE,"회선임차현황"}</definedName>
    <definedName name="tmp" localSheetId="15" hidden="1">{#N/A,#N/A,FALSE,"회선임차현황"}</definedName>
    <definedName name="tmp" hidden="1">{#N/A,#N/A,FALSE,"회선임차현황"}</definedName>
    <definedName name="TN"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TN"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to">#REF!</definedName>
    <definedName name="toc">#REF!</definedName>
    <definedName name="ton">#REF!</definedName>
    <definedName name="TOP">#N/A</definedName>
    <definedName name="tos">#REF!</definedName>
    <definedName name="tot">'[45]설계명세서(종합)'!#REF!</definedName>
    <definedName name="TOT_1">[17]설계명세서!#REF!</definedName>
    <definedName name="TOT_2">#REF!</definedName>
    <definedName name="tot_a" localSheetId="13">[65]선로분!$H$158</definedName>
    <definedName name="tot_a">[70]선로분!$H$158</definedName>
    <definedName name="tot_d">#REF!</definedName>
    <definedName name="TOT_D_1">[17]설계명세서!#REF!</definedName>
    <definedName name="TOT_D_2">[17]설계명세서!#REF!</definedName>
    <definedName name="tot_s">#REF!</definedName>
    <definedName name="TOT_S_1">[17]설계명세서!#REF!</definedName>
    <definedName name="TOT_S_2">#REF!</definedName>
    <definedName name="TOTALNAME1" localSheetId="29">IF([39]!__ENG1=[39]!__HAN1,[39]!__ENG1,[39]!__ENG1&amp;" ("&amp;[39]!__HAN1&amp;")")</definedName>
    <definedName name="TOTALNAME1" localSheetId="19">IF([39]!__ENG1=[39]!__HAN1,[39]!__ENG1,[39]!__ENG1&amp;" ("&amp;[39]!__HAN1&amp;")")</definedName>
    <definedName name="TOTALNAME1">IF([39]!__ENG1=[39]!__HAN1,[39]!__ENG1,[39]!__ENG1&amp;" ("&amp;[39]!__HAN1&amp;")")</definedName>
    <definedName name="TOTALNAME2" localSheetId="29">IF([39]!__ENG2=[39]!__HAN2,[39]!__ENG2,[39]!__ENG2&amp;" ("&amp;[39]!__HAN2&amp;")")</definedName>
    <definedName name="TOTALNAME2" localSheetId="19">IF([39]!__ENG2=[39]!__HAN2,[39]!__ENG2,[39]!__ENG2&amp;" ("&amp;[39]!__HAN2&amp;")")</definedName>
    <definedName name="TOTALNAME2">IF([39]!__ENG2=[39]!__HAN2,[39]!__ENG2,[39]!__ENG2&amp;" ("&amp;[39]!__HAN2&amp;")")</definedName>
    <definedName name="TOTALNAME3" localSheetId="29">IF([39]!__ENG3=[39]!__HAN3,[39]!__ENG3,[39]!__ENG3&amp;" ("&amp;[39]!__HAN3&amp;")")</definedName>
    <definedName name="TOTALNAME3" localSheetId="19">IF([39]!__ENG3=[39]!__HAN3,[39]!__ENG3,[39]!__ENG3&amp;" ("&amp;[39]!__HAN3&amp;")")</definedName>
    <definedName name="TOTALNAME3">IF([39]!__ENG3=[39]!__HAN3,[39]!__ENG3,[39]!__ENG3&amp;" ("&amp;[39]!__HAN3&amp;")")</definedName>
    <definedName name="toy">#REF!</definedName>
    <definedName name="TR" localSheetId="22" hidden="1">{#N/A,#N/A,FALSE,"회선임차현황"}</definedName>
    <definedName name="TR" localSheetId="34" hidden="1">{#N/A,#N/A,FALSE,"회선임차현황"}</definedName>
    <definedName name="TR" localSheetId="35" hidden="1">{#N/A,#N/A,FALSE,"회선임차현황"}</definedName>
    <definedName name="TR" localSheetId="36" hidden="1">{#N/A,#N/A,FALSE,"회선임차현황"}</definedName>
    <definedName name="TR" localSheetId="37" hidden="1">{#N/A,#N/A,FALSE,"회선임차현황"}</definedName>
    <definedName name="TR" localSheetId="13" hidden="1">{#N/A,#N/A,FALSE,"회선임차현황"}</definedName>
    <definedName name="TR" localSheetId="15" hidden="1">{#N/A,#N/A,FALSE,"회선임차현황"}</definedName>
    <definedName name="TR" hidden="1">{#N/A,#N/A,FALSE,"회선임차현황"}</definedName>
    <definedName name="Tray_size">[71]data!$D$5:$D$38</definedName>
    <definedName name="TRHLKL">#REF!</definedName>
    <definedName name="trrrtrrtr" localSheetId="13" hidden="1">{#N/A,#N/A,FALSE,"포장2"}</definedName>
    <definedName name="trrrtrrtr" hidden="1">{#N/A,#N/A,FALSE,"포장2"}</definedName>
    <definedName name="tsc">#REF!</definedName>
    <definedName name="TSI" localSheetId="13">[6]소요자재!$H$76</definedName>
    <definedName name="TSI">[23]소요자재!$H$76</definedName>
    <definedName name="tsn">#REF!</definedName>
    <definedName name="tso">#REF!</definedName>
    <definedName name="tss">#REF!</definedName>
    <definedName name="TT">#REF!</definedName>
    <definedName name="TTT">#REF!</definedName>
    <definedName name="tu" localSheetId="22" hidden="1">{"'용역비'!$A$4:$C$8"}</definedName>
    <definedName name="tu" localSheetId="34" hidden="1">{"'용역비'!$A$4:$C$8"}</definedName>
    <definedName name="tu" localSheetId="35" hidden="1">{"'용역비'!$A$4:$C$8"}</definedName>
    <definedName name="tu" localSheetId="36" hidden="1">{"'용역비'!$A$4:$C$8"}</definedName>
    <definedName name="tu" localSheetId="37" hidden="1">{"'용역비'!$A$4:$C$8"}</definedName>
    <definedName name="tu" localSheetId="13" hidden="1">{"'용역비'!$A$4:$C$8"}</definedName>
    <definedName name="tu" localSheetId="15" hidden="1">{"'용역비'!$A$4:$C$8"}</definedName>
    <definedName name="tu" hidden="1">{"'용역비'!$A$4:$C$8"}</definedName>
    <definedName name="tuilol" localSheetId="22" hidden="1">{"'용역비'!$A$4:$C$8"}</definedName>
    <definedName name="tuilol" localSheetId="34" hidden="1">{"'용역비'!$A$4:$C$8"}</definedName>
    <definedName name="tuilol" localSheetId="35" hidden="1">{"'용역비'!$A$4:$C$8"}</definedName>
    <definedName name="tuilol" localSheetId="36" hidden="1">{"'용역비'!$A$4:$C$8"}</definedName>
    <definedName name="tuilol" localSheetId="37" hidden="1">{"'용역비'!$A$4:$C$8"}</definedName>
    <definedName name="tuilol" localSheetId="13" hidden="1">{"'용역비'!$A$4:$C$8"}</definedName>
    <definedName name="tuilol" localSheetId="15" hidden="1">{"'용역비'!$A$4:$C$8"}</definedName>
    <definedName name="tuilol" hidden="1">{"'용역비'!$A$4:$C$8"}</definedName>
    <definedName name="TUIUIO" localSheetId="13">'8-2.설비자재산출(무인보안)'!TUIUIO</definedName>
    <definedName name="TUIUIO" localSheetId="15">'8-4.일위대가표'!TUIUIO</definedName>
    <definedName name="TUIUIO">'8-2.설비자재산출(무인보안)'!TUIUIO</definedName>
    <definedName name="TV신설">#REF!</definedName>
    <definedName name="TV이설">#REF!</definedName>
    <definedName name="TV철거">#REF!</definedName>
    <definedName name="ty">#REF!</definedName>
    <definedName name="TYHFDGFD" localSheetId="13" hidden="1">{#N/A,#N/A,FALSE,"배수2"}</definedName>
    <definedName name="TYHFDGFD" hidden="1">{#N/A,#N/A,FALSE,"배수2"}</definedName>
    <definedName name="TYJ" localSheetId="22" hidden="1">{"'용역비'!$A$4:$C$8"}</definedName>
    <definedName name="TYJ" localSheetId="34" hidden="1">{"'용역비'!$A$4:$C$8"}</definedName>
    <definedName name="TYJ" localSheetId="35" hidden="1">{"'용역비'!$A$4:$C$8"}</definedName>
    <definedName name="TYJ" localSheetId="36" hidden="1">{"'용역비'!$A$4:$C$8"}</definedName>
    <definedName name="TYJ" localSheetId="37" hidden="1">{"'용역비'!$A$4:$C$8"}</definedName>
    <definedName name="TYJ" localSheetId="13" hidden="1">{"'용역비'!$A$4:$C$8"}</definedName>
    <definedName name="TYJ" localSheetId="15" hidden="1">{"'용역비'!$A$4:$C$8"}</definedName>
    <definedName name="TYJ" hidden="1">{"'용역비'!$A$4:$C$8"}</definedName>
    <definedName name="tyje" localSheetId="22" hidden="1">{"'용역비'!$A$4:$C$8"}</definedName>
    <definedName name="tyje" localSheetId="34" hidden="1">{"'용역비'!$A$4:$C$8"}</definedName>
    <definedName name="tyje" localSheetId="35" hidden="1">{"'용역비'!$A$4:$C$8"}</definedName>
    <definedName name="tyje" localSheetId="36" hidden="1">{"'용역비'!$A$4:$C$8"}</definedName>
    <definedName name="tyje" localSheetId="37" hidden="1">{"'용역비'!$A$4:$C$8"}</definedName>
    <definedName name="tyje" localSheetId="13" hidden="1">{"'용역비'!$A$4:$C$8"}</definedName>
    <definedName name="tyje" localSheetId="15" hidden="1">{"'용역비'!$A$4:$C$8"}</definedName>
    <definedName name="tyje" hidden="1">{"'용역비'!$A$4:$C$8"}</definedName>
    <definedName name="tyjet" localSheetId="22" hidden="1">{"'용역비'!$A$4:$C$8"}</definedName>
    <definedName name="tyjet" localSheetId="34" hidden="1">{"'용역비'!$A$4:$C$8"}</definedName>
    <definedName name="tyjet" localSheetId="35" hidden="1">{"'용역비'!$A$4:$C$8"}</definedName>
    <definedName name="tyjet" localSheetId="36" hidden="1">{"'용역비'!$A$4:$C$8"}</definedName>
    <definedName name="tyjet" localSheetId="37" hidden="1">{"'용역비'!$A$4:$C$8"}</definedName>
    <definedName name="tyjet" localSheetId="13" hidden="1">{"'용역비'!$A$4:$C$8"}</definedName>
    <definedName name="tyjet" localSheetId="15" hidden="1">{"'용역비'!$A$4:$C$8"}</definedName>
    <definedName name="tyjet" hidden="1">{"'용역비'!$A$4:$C$8"}</definedName>
    <definedName name="type">#REF!</definedName>
    <definedName name="typepart">#REF!</definedName>
    <definedName name="TYRH">#REF!</definedName>
    <definedName name="tytju4tewete" localSheetId="13" hidden="1">{#N/A,#N/A,FALSE,"속도"}</definedName>
    <definedName name="tytju4tewete" hidden="1">{#N/A,#N/A,FALSE,"속도"}</definedName>
    <definedName name="tyu" localSheetId="22" hidden="1">{"'용역비'!$A$4:$C$8"}</definedName>
    <definedName name="tyu" localSheetId="34" hidden="1">{"'용역비'!$A$4:$C$8"}</definedName>
    <definedName name="tyu" localSheetId="35" hidden="1">{"'용역비'!$A$4:$C$8"}</definedName>
    <definedName name="tyu" localSheetId="36" hidden="1">{"'용역비'!$A$4:$C$8"}</definedName>
    <definedName name="tyu" localSheetId="37" hidden="1">{"'용역비'!$A$4:$C$8"}</definedName>
    <definedName name="tyu" localSheetId="13" hidden="1">{"'용역비'!$A$4:$C$8"}</definedName>
    <definedName name="tyu" localSheetId="15" hidden="1">{"'용역비'!$A$4:$C$8"}</definedName>
    <definedName name="tyu" hidden="1">{"'용역비'!$A$4:$C$8"}</definedName>
    <definedName name="T자R10">[72]계수시트!$B$19</definedName>
    <definedName name="T자R15">[72]계수시트!$B$17</definedName>
    <definedName name="T자R20">[72]계수시트!$B$16</definedName>
    <definedName name="T자R5">[72]계수시트!$B$23</definedName>
    <definedName name="T자R6">[72]계수시트!$B$22</definedName>
    <definedName name="T자R7">[72]계수시트!$B$21</definedName>
    <definedName name="T자R8">[72]계수시트!$B$20</definedName>
    <definedName name="T자W0.3">[72]계수시트!$B$24</definedName>
    <definedName name="T자W0.4">[72]계수시트!$B$25</definedName>
    <definedName name="T자W0.5">[72]계수시트!$B$26</definedName>
    <definedName name="T자W0.6">[72]계수시트!$B$27</definedName>
    <definedName name="T자W0.8">[72]계수시트!$B$28</definedName>
    <definedName name="T자W1.0">[72]계수시트!$B$29</definedName>
    <definedName name="T자W1.2">[72]계수시트!$B$30</definedName>
    <definedName name="T형">#REF!</definedName>
    <definedName name="t형후크">#REF!</definedName>
    <definedName name="U" localSheetId="22" hidden="1">{"'용역비'!$A$4:$C$8"}</definedName>
    <definedName name="U" localSheetId="34" hidden="1">{"'용역비'!$A$4:$C$8"}</definedName>
    <definedName name="U" localSheetId="35" hidden="1">{"'용역비'!$A$4:$C$8"}</definedName>
    <definedName name="U" localSheetId="36" hidden="1">{"'용역비'!$A$4:$C$8"}</definedName>
    <definedName name="U" localSheetId="37" hidden="1">{"'용역비'!$A$4:$C$8"}</definedName>
    <definedName name="U" localSheetId="13" hidden="1">{"'용역비'!$A$4:$C$8"}</definedName>
    <definedName name="U" localSheetId="15" hidden="1">{"'용역비'!$A$4:$C$8"}</definedName>
    <definedName name="U" hidden="1">{"'용역비'!$A$4:$C$8"}</definedName>
    <definedName name="U_VOLT">#REF!</definedName>
    <definedName name="UHHH" localSheetId="13">'8-2.설비자재산출(무인보안)'!UHHH</definedName>
    <definedName name="UHHH" localSheetId="15">'8-4.일위대가표'!UHHH</definedName>
    <definedName name="UHHH">'8-2.설비자재산출(무인보안)'!UHHH</definedName>
    <definedName name="uhio8ou" localSheetId="13" hidden="1">{#N/A,#N/A,FALSE,"포장2"}</definedName>
    <definedName name="uhio8ou" hidden="1">{#N/A,#N/A,FALSE,"포장2"}</definedName>
    <definedName name="uiok" localSheetId="13" hidden="1">{#N/A,#N/A,FALSE,"표지목차"}</definedName>
    <definedName name="uiok" hidden="1">{#N/A,#N/A,FALSE,"표지목차"}</definedName>
    <definedName name="ujdffdf" localSheetId="13" hidden="1">{#N/A,#N/A,FALSE,"단가표지"}</definedName>
    <definedName name="ujdffdf" hidden="1">{#N/A,#N/A,FALSE,"단가표지"}</definedName>
    <definedName name="ujk" localSheetId="13" hidden="1">{#N/A,#N/A,FALSE,"운반시간"}</definedName>
    <definedName name="ujk" hidden="1">{#N/A,#N/A,FALSE,"운반시간"}</definedName>
    <definedName name="ulo" localSheetId="22" hidden="1">{"'용역비'!$A$4:$C$8"}</definedName>
    <definedName name="ulo" localSheetId="34" hidden="1">{"'용역비'!$A$4:$C$8"}</definedName>
    <definedName name="ulo" localSheetId="35" hidden="1">{"'용역비'!$A$4:$C$8"}</definedName>
    <definedName name="ulo" localSheetId="36" hidden="1">{"'용역비'!$A$4:$C$8"}</definedName>
    <definedName name="ulo" localSheetId="37" hidden="1">{"'용역비'!$A$4:$C$8"}</definedName>
    <definedName name="ulo" localSheetId="13" hidden="1">{"'용역비'!$A$4:$C$8"}</definedName>
    <definedName name="ulo" localSheetId="15" hidden="1">{"'용역비'!$A$4:$C$8"}</definedName>
    <definedName name="ulo" hidden="1">{"'용역비'!$A$4:$C$8"}</definedName>
    <definedName name="un_공통공사비">#REF!</definedName>
    <definedName name="un_단위시설별공사비">#REF!</definedName>
    <definedName name="UNBAN_1">#REF!</definedName>
    <definedName name="UNBAN_2">#REF!</definedName>
    <definedName name="und_jae">#REF!</definedName>
    <definedName name="und_nomuj">#REF!</definedName>
    <definedName name="UNI">#REF!</definedName>
    <definedName name="UNI_ACCESSORY">#REF!</definedName>
    <definedName name="UNI_CPU">#REF!</definedName>
    <definedName name="UNI_NMU">#REF!</definedName>
    <definedName name="UNI_OFAT">#REF!</definedName>
    <definedName name="UNI_PW_AC">#REF!</definedName>
    <definedName name="UNI_PW_DC">#REF!</definedName>
    <definedName name="UNI_RS232">#REF!</definedName>
    <definedName name="UNI_V35">#REF!</definedName>
    <definedName name="UNIAC">#REF!</definedName>
    <definedName name="UNIA형" localSheetId="13">[6]소요자재!$H$99</definedName>
    <definedName name="UNIA형">[23]소요자재!$H$99</definedName>
    <definedName name="UNIB형" localSheetId="13">[6]소요자재!$H$100</definedName>
    <definedName name="UNIB형">[23]소요자재!$H$100</definedName>
    <definedName name="UNICPU">#REF!</definedName>
    <definedName name="UNIC형" localSheetId="13">[6]소요자재!$H$101</definedName>
    <definedName name="UNIC형">[23]소요자재!$H$101</definedName>
    <definedName name="UNIDC">#REF!</definedName>
    <definedName name="UNID형" localSheetId="13">[6]소요자재!$H$102</definedName>
    <definedName name="UNID형">[23]소요자재!$H$102</definedName>
    <definedName name="UNIE형" localSheetId="13">[6]소요자재!$H$103</definedName>
    <definedName name="UNIE형">[23]소요자재!$H$103</definedName>
    <definedName name="UNIF형" localSheetId="13">[6]소요자재!$H$104</definedName>
    <definedName name="UNIF형">[23]소요자재!$H$104</definedName>
    <definedName name="UNIMUX">#REF!</definedName>
    <definedName name="UNIOJC1">#REF!</definedName>
    <definedName name="UNIOJC2">#REF!</definedName>
    <definedName name="UNIRS232">#REF!</definedName>
    <definedName name="UNIV">#REF!</definedName>
    <definedName name="uoi8p" localSheetId="13" hidden="1">{#N/A,#N/A,FALSE,"운반시간"}</definedName>
    <definedName name="uoi8p" hidden="1">{#N/A,#N/A,FALSE,"운반시간"}</definedName>
    <definedName name="uoi8u" localSheetId="13" hidden="1">{#N/A,#N/A,FALSE,"토공2"}</definedName>
    <definedName name="uoi8u" hidden="1">{#N/A,#N/A,FALSE,"토공2"}</definedName>
    <definedName name="uoio" localSheetId="13" hidden="1">{#N/A,#N/A,FALSE,"포장1";#N/A,#N/A,FALSE,"포장1"}</definedName>
    <definedName name="uoio" hidden="1">{#N/A,#N/A,FALSE,"포장1";#N/A,#N/A,FALSE,"포장1"}</definedName>
    <definedName name="uoiup" localSheetId="13" hidden="1">{#N/A,#N/A,FALSE,"구조1"}</definedName>
    <definedName name="uoiup" hidden="1">{#N/A,#N/A,FALSE,"구조1"}</definedName>
    <definedName name="UPG_PN">#REF!</definedName>
    <definedName name="UPS">#REF!</definedName>
    <definedName name="uu" localSheetId="22" hidden="1">{"'용역비'!$A$4:$C$8"}</definedName>
    <definedName name="uu" localSheetId="34" hidden="1">{"'용역비'!$A$4:$C$8"}</definedName>
    <definedName name="uu" localSheetId="35" hidden="1">{"'용역비'!$A$4:$C$8"}</definedName>
    <definedName name="uu" localSheetId="36" hidden="1">{"'용역비'!$A$4:$C$8"}</definedName>
    <definedName name="uu" localSheetId="37" hidden="1">{"'용역비'!$A$4:$C$8"}</definedName>
    <definedName name="uu" localSheetId="13" hidden="1">{"'용역비'!$A$4:$C$8"}</definedName>
    <definedName name="uu" localSheetId="15" hidden="1">{"'용역비'!$A$4:$C$8"}</definedName>
    <definedName name="uu" hidden="1">{"'용역비'!$A$4:$C$8"}</definedName>
    <definedName name="UUU" localSheetId="22" hidden="1">{"'광피스표'!$A$3:$N$54"}</definedName>
    <definedName name="UUU" localSheetId="13" hidden="1">{"'광피스표'!$A$3:$N$54"}</definedName>
    <definedName name="UUU" localSheetId="15" hidden="1">{"'광피스표'!$A$3:$N$54"}</definedName>
    <definedName name="UUU" hidden="1">{"'광피스표'!$A$3:$N$54"}</definedName>
    <definedName name="uyjesc" localSheetId="13" hidden="1">{#N/A,#N/A,FALSE,"포장1";#N/A,#N/A,FALSE,"포장1"}</definedName>
    <definedName name="uyjesc" hidden="1">{#N/A,#N/A,FALSE,"포장1";#N/A,#N/A,FALSE,"포장1"}</definedName>
    <definedName name="v">#N/A</definedName>
    <definedName name="V.35" localSheetId="13">[6]소요자재!$H$54</definedName>
    <definedName name="V.35">[23]소요자재!$H$54</definedName>
    <definedName name="V35_3240">#REF!</definedName>
    <definedName name="V35CARD" localSheetId="13">[6]소요자재!$H$143</definedName>
    <definedName name="V35CARD">[23]소요자재!$H$143</definedName>
    <definedName name="VAT" localSheetId="13">'[73]7.설계명세서(통합보안)'!$G$260</definedName>
    <definedName name="VAT">'[74]7.설계명세서'!$G$178</definedName>
    <definedName name="VB" localSheetId="13" hidden="1">{#N/A,#N/A,FALSE,"이태원철근"}</definedName>
    <definedName name="VB" hidden="1">{#N/A,#N/A,FALSE,"이태원철근"}</definedName>
    <definedName name="vbbc">[75]예산내역서!#REF!</definedName>
    <definedName name="VBN" localSheetId="13" hidden="1">{#N/A,#N/A,FALSE,"이태원철근"}</definedName>
    <definedName name="VBN" hidden="1">{#N/A,#N/A,FALSE,"이태원철근"}</definedName>
    <definedName name="Vc">#REF!</definedName>
    <definedName name="vcvcvc" localSheetId="13" hidden="1">{#N/A,#N/A,FALSE,"현장 NCR 분석";#N/A,#N/A,FALSE,"현장품질감사";#N/A,#N/A,FALSE,"현장품질감사"}</definedName>
    <definedName name="vcvcvc" localSheetId="15" hidden="1">{#N/A,#N/A,FALSE,"현장 NCR 분석";#N/A,#N/A,FALSE,"현장품질감사";#N/A,#N/A,FALSE,"현장품질감사"}</definedName>
    <definedName name="vcvcvc" hidden="1">{#N/A,#N/A,FALSE,"현장 NCR 분석";#N/A,#N/A,FALSE,"현장품질감사";#N/A,#N/A,FALSE,"현장품질감사"}</definedName>
    <definedName name="VD">#REF!</definedName>
    <definedName name="VFD">#REF!</definedName>
    <definedName name="VGA">#REF!</definedName>
    <definedName name="VGAP">#REF!</definedName>
    <definedName name="VINYL_WIRE">#REF!</definedName>
    <definedName name="Vl">#REF!</definedName>
    <definedName name="VLXOJC1">#REF!</definedName>
    <definedName name="VLXOJC2">#REF!</definedName>
    <definedName name="VLXOJC3">#REF!</definedName>
    <definedName name="VVV">#REF!</definedName>
    <definedName name="Vw">#REF!</definedName>
    <definedName name="vwat" localSheetId="13" hidden="1">{#N/A,#N/A,FALSE,"운반시간"}</definedName>
    <definedName name="vwat" hidden="1">{#N/A,#N/A,FALSE,"운반시간"}</definedName>
    <definedName name="W">#REF!</definedName>
    <definedName name="w2e3" localSheetId="22" hidden="1">{"'광피스표'!$A$3:$N$54"}</definedName>
    <definedName name="w2e3" localSheetId="13" hidden="1">{"'광피스표'!$A$3:$N$54"}</definedName>
    <definedName name="w2e3" localSheetId="15" hidden="1">{"'광피스표'!$A$3:$N$54"}</definedName>
    <definedName name="w2e3" hidden="1">{"'광피스표'!$A$3:$N$54"}</definedName>
    <definedName name="WALL_BRAKET">#REF!</definedName>
    <definedName name="way">#REF!</definedName>
    <definedName name="WEDFS">#REF!</definedName>
    <definedName name="weki_9701.xls" localSheetId="29" hidden="1">'[2]Eq. Mobilization'!#REF!</definedName>
    <definedName name="weki_9701.xls" localSheetId="19" hidden="1">'[2]Eq. Mobilization'!#REF!</definedName>
    <definedName name="weki_9701.xls" hidden="1">'[2]Eq. Mobilization'!#REF!</definedName>
    <definedName name="wekir9701.xls" localSheetId="29" hidden="1">'[2]Eq. Mobilization'!#REF!</definedName>
    <definedName name="wekir9701.xls" localSheetId="19" hidden="1">'[2]Eq. Mobilization'!#REF!</definedName>
    <definedName name="wekir9701.xls" hidden="1">'[2]Eq. Mobilization'!#REF!</definedName>
    <definedName name="WER" localSheetId="22" hidden="1">{"'광피스표'!$A$3:$N$54"}</definedName>
    <definedName name="WER" localSheetId="13" hidden="1">{"'광피스표'!$A$3:$N$54"}</definedName>
    <definedName name="WER" localSheetId="15" hidden="1">{"'광피스표'!$A$3:$N$54"}</definedName>
    <definedName name="WER" hidden="1">{"'광피스표'!$A$3:$N$54"}</definedName>
    <definedName name="wererr" localSheetId="13" hidden="1">{#N/A,#N/A,FALSE,"운반시간"}</definedName>
    <definedName name="wererr" hidden="1">{#N/A,#N/A,FALSE,"운반시간"}</definedName>
    <definedName name="werewr" localSheetId="13" hidden="1">{#N/A,#N/A,FALSE,"골재소요량";#N/A,#N/A,FALSE,"골재소요량"}</definedName>
    <definedName name="werewr" hidden="1">{#N/A,#N/A,FALSE,"골재소요량";#N/A,#N/A,FALSE,"골재소요량"}</definedName>
    <definedName name="wessdd">#REF!</definedName>
    <definedName name="wew" localSheetId="13" hidden="1">{#N/A,#N/A,FALSE,"현장 NCR 분석";#N/A,#N/A,FALSE,"현장품질감사";#N/A,#N/A,FALSE,"현장품질감사"}</definedName>
    <definedName name="wew" localSheetId="15" hidden="1">{#N/A,#N/A,FALSE,"현장 NCR 분석";#N/A,#N/A,FALSE,"현장품질감사";#N/A,#N/A,FALSE,"현장품질감사"}</definedName>
    <definedName name="wew" hidden="1">{#N/A,#N/A,FALSE,"현장 NCR 분석";#N/A,#N/A,FALSE,"현장품질감사";#N/A,#N/A,FALSE,"현장품질감사"}</definedName>
    <definedName name="wind_span">#REF!</definedName>
    <definedName name="wj" localSheetId="22" hidden="1">{"'선로집계'!$A$1:$G$68"}</definedName>
    <definedName name="wj" localSheetId="34" hidden="1">{"'선로집계'!$A$1:$G$68"}</definedName>
    <definedName name="wj" localSheetId="35" hidden="1">{"'선로집계'!$A$1:$G$68"}</definedName>
    <definedName name="wj" localSheetId="36" hidden="1">{"'선로집계'!$A$1:$G$68"}</definedName>
    <definedName name="wj" localSheetId="37" hidden="1">{"'선로집계'!$A$1:$G$68"}</definedName>
    <definedName name="wj" localSheetId="13" hidden="1">{"'선로집계'!$A$1:$G$68"}</definedName>
    <definedName name="wj" localSheetId="15" hidden="1">{"'선로집계'!$A$1:$G$68"}</definedName>
    <definedName name="wj" hidden="1">{"'선로집계'!$A$1:$G$68"}</definedName>
    <definedName name="WJD">[41]소요자재!$H$139</definedName>
    <definedName name="WJSDNJ"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JSDNJ"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JSDNJ"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jstjr" localSheetId="13" hidden="1">{#N/A,#N/A,FALSE,"현장 NCR 분석";#N/A,#N/A,FALSE,"현장품질감사";#N/A,#N/A,FALSE,"현장품질감사"}</definedName>
    <definedName name="wjstjr" localSheetId="15" hidden="1">{#N/A,#N/A,FALSE,"현장 NCR 분석";#N/A,#N/A,FALSE,"현장품질감사";#N/A,#N/A,FALSE,"현장품질감사"}</definedName>
    <definedName name="wjstjr" hidden="1">{#N/A,#N/A,FALSE,"현장 NCR 분석";#N/A,#N/A,FALSE,"현장품질감사";#N/A,#N/A,FALSE,"현장품질감사"}</definedName>
    <definedName name="wm.조골재1" localSheetId="13" hidden="1">{#N/A,#N/A,FALSE,"조골재"}</definedName>
    <definedName name="wm.조골재1" hidden="1">{#N/A,#N/A,FALSE,"조골재"}</definedName>
    <definedName name="wrn.0812ESC." localSheetId="1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localSheetId="13" hidden="1">{#N/A,#N/A,FALSE,"2~8번"}</definedName>
    <definedName name="wrn.2번." hidden="1">{#N/A,#N/A,FALSE,"2~8번"}</definedName>
    <definedName name="wrn.34건물기초." localSheetId="13"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97." localSheetId="13" hidden="1">{#N/A,#N/A,FALSE,"지침";#N/A,#N/A,FALSE,"환경분석";#N/A,#N/A,FALSE,"Sheet16"}</definedName>
    <definedName name="wrn.97." hidden="1">{#N/A,#N/A,FALSE,"지침";#N/A,#N/A,FALSE,"환경분석";#N/A,#N/A,FALSE,"Sheet16"}</definedName>
    <definedName name="WRN.98." localSheetId="13" hidden="1">{#N/A,#N/A,FALSE,"지침";#N/A,#N/A,FALSE,"환경분석";#N/A,#N/A,FALSE,"Sheet16"}</definedName>
    <definedName name="WRN.98." hidden="1">{#N/A,#N/A,FALSE,"지침";#N/A,#N/A,FALSE,"환경분석";#N/A,#N/A,FALSE,"Sheet16"}</definedName>
    <definedName name="wrn.ac30prn." localSheetId="13"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chi._.tiÆt." localSheetId="13" hidden="1">{#N/A,#N/A,FALSE,"Chi tiÆt"}</definedName>
    <definedName name="wrn.chi._.tiÆt." hidden="1">{#N/A,#N/A,FALSE,"Chi tiÆt"}</definedName>
    <definedName name="wrn.DACOM._.광전송장치._.투찰가._.검토." localSheetId="22" hidden="1">{#N/A,#N/A,FALSE,"DAOCM 2차 검토"}</definedName>
    <definedName name="wrn.DACOM._.광전송장치._.투찰가._.검토." localSheetId="13" hidden="1">{#N/A,#N/A,FALSE,"DAOCM 2차 검토"}</definedName>
    <definedName name="wrn.DACOM._.광전송장치._.투찰가._.검토." localSheetId="15" hidden="1">{#N/A,#N/A,FALSE,"DAOCM 2차 검토"}</definedName>
    <definedName name="wrn.DACOM._.광전송장치._.투찰가._.검토." hidden="1">{#N/A,#N/A,FALSE,"DAOCM 2차 검토"}</definedName>
    <definedName name="wrn.STAFFS." localSheetId="13" hidden="1">{#N/A,#N/A,FALSE,"TABLE"}</definedName>
    <definedName name="wrn.STAFFS." hidden="1">{#N/A,#N/A,FALSE,"TABLE"}</definedName>
    <definedName name="wrn.test1." localSheetId="13" hidden="1">{#N/A,#N/A,FALSE,"명세표"}</definedName>
    <definedName name="wrn.test1." hidden="1">{#N/A,#N/A,FALSE,"명세표"}</definedName>
    <definedName name="wrn.각종보고서._.전체인쇄._.기본형." localSheetId="13"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기본형."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 localSheetId="13"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수자원."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 localSheetId="13"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일반형."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 localSheetId="13"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보고서._.전체인쇄._.토개공."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 localSheetId="13" hidden="1">{#N/A,#N/A,FALSE,"일위대가목록";#N/A,#N/A,FALSE,"산출근거목록";#N/A,#N/A,FALSE,"노무비";#N/A,#N/A,FALSE,"재료비";#N/A,#N/A,FALSE,"경비";#N/A,#N/A,FALSE,"기타";#N/A,#N/A,FALSE,"중기목록"}</definedName>
    <definedName name="wrn.각종수량집계._.전체인쇄." hidden="1">{#N/A,#N/A,FALSE,"일위대가목록";#N/A,#N/A,FALSE,"산출근거목록";#N/A,#N/A,FALSE,"노무비";#N/A,#N/A,FALSE,"재료비";#N/A,#N/A,FALSE,"경비";#N/A,#N/A,FALSE,"기타";#N/A,#N/A,FALSE,"중기목록"}</definedName>
    <definedName name="wrn.건물기초."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견적." localSheetId="13" hidden="1">{#N/A,#N/A,FALSE,"Sheet1";#N/A,#N/A,FALSE,"Sheet2";#N/A,#N/A,FALSE,"TAB96-1"}</definedName>
    <definedName name="wrn.견적." hidden="1">{#N/A,#N/A,FALSE,"Sheet1";#N/A,#N/A,FALSE,"Sheet2";#N/A,#N/A,FALSE,"TAB96-1"}</definedName>
    <definedName name="wrn.견적서." localSheetId="22" hidden="1">{#N/A,#N/A,FALSE,"QUOT_960527"}</definedName>
    <definedName name="wrn.견적서." localSheetId="13" hidden="1">{#N/A,#N/A,FALSE,"QUOT_960527"}</definedName>
    <definedName name="wrn.견적서." localSheetId="15" hidden="1">{#N/A,#N/A,FALSE,"QUOT_960527"}</definedName>
    <definedName name="wrn.견적서." hidden="1">{#N/A,#N/A,FALSE,"QUOT_960527"}</definedName>
    <definedName name="wrn.경비인쇄." localSheetId="13" hidden="1">{#N/A,#N/A,FALSE,"경비"}</definedName>
    <definedName name="wrn.경비인쇄." hidden="1">{#N/A,#N/A,FALSE,"경비"}</definedName>
    <definedName name="wrn.고철소정교." localSheetId="13" hidden="1">{#N/A,#N/A,TRUE,"단가산출서";#N/A,#N/A,TRUE,"수량산출서"}</definedName>
    <definedName name="wrn.고철소정교." hidden="1">{#N/A,#N/A,TRUE,"단가산출서";#N/A,#N/A,TRUE,"수량산출서"}</definedName>
    <definedName name="wrn.골재소요량." localSheetId="13" hidden="1">{#N/A,#N/A,FALSE,"골재소요량";#N/A,#N/A,FALSE,"골재소요량"}</definedName>
    <definedName name="wrn.골재소요량." hidden="1">{#N/A,#N/A,FALSE,"골재소요량";#N/A,#N/A,FALSE,"골재소요량"}</definedName>
    <definedName name="wrn.교육청." localSheetId="13" hidden="1">{#N/A,#N/A,FALSE,"전력간선"}</definedName>
    <definedName name="wrn.교육청." hidden="1">{#N/A,#N/A,FALSE,"전력간선"}</definedName>
    <definedName name="wrn.교육청.1" localSheetId="13" hidden="1">{#N/A,#N/A,FALSE,"전력간선"}</definedName>
    <definedName name="wrn.교육청.1" hidden="1">{#N/A,#N/A,FALSE,"전력간선"}</definedName>
    <definedName name="wrn.구리청소년수련원." localSheetId="13" hidden="1">{#N/A,#N/A,TRUE,"1. 부하계산";#N/A,#N/A,TRUE,"1-1.부하계산기준";#N/A,#N/A,TRUE,"1-2.부하계산방법";#N/A,#N/A,TRUE,"1-3.부하집계";#N/A,#N/A,TRUE,"공조기부하집계";#N/A,#N/A,TRUE,"FCU";#N/A,#N/A,TRUE,"방열기";#N/A,#N/A,TRUE,"장비선정";#N/A,#N/A,TRUE,"1-4.부하계산";#N/A,#N/A,TRUE,"1-4.부하계산 (2)";#N/A,#N/A,TRUE,"2.장비선정";#N/A,#N/A,TRUE,"2-1AHU";#N/A,#N/A,TRUE,"2-2보일러";#N/A,#N/A,TRUE,"2-3냉온수기";#N/A,#N/A,TRUE,"2-4냉각탑";#N/A,#N/A,TRUE,"2-5PAC";#N/A,#N/A,TRUE,"2-6열교환기";#N/A,#N/A,TRUE,"2-7탱크";#N/A,#N/A,TRUE,"2-8펌프";#N/A,#N/A,TRUE,"2-9팬";#N/A,#N/A,TRUE,"팬정압 (2)"}</definedName>
    <definedName name="wrn.구리청소년수련원." hidden="1">{#N/A,#N/A,TRUE,"1. 부하계산";#N/A,#N/A,TRUE,"1-1.부하계산기준";#N/A,#N/A,TRUE,"1-2.부하계산방법";#N/A,#N/A,TRUE,"1-3.부하집계";#N/A,#N/A,TRUE,"공조기부하집계";#N/A,#N/A,TRUE,"FCU";#N/A,#N/A,TRUE,"방열기";#N/A,#N/A,TRUE,"장비선정";#N/A,#N/A,TRUE,"1-4.부하계산";#N/A,#N/A,TRUE,"1-4.부하계산 (2)";#N/A,#N/A,TRUE,"2.장비선정";#N/A,#N/A,TRUE,"2-1AHU";#N/A,#N/A,TRUE,"2-2보일러";#N/A,#N/A,TRUE,"2-3냉온수기";#N/A,#N/A,TRUE,"2-4냉각탑";#N/A,#N/A,TRUE,"2-5PAC";#N/A,#N/A,TRUE,"2-6열교환기";#N/A,#N/A,TRUE,"2-7탱크";#N/A,#N/A,TRUE,"2-8펌프";#N/A,#N/A,TRUE,"2-9팬";#N/A,#N/A,TRUE,"팬정압 (2)"}</definedName>
    <definedName name="wrn.구조2." localSheetId="13" hidden="1">{#N/A,#N/A,FALSE,"구조2"}</definedName>
    <definedName name="wrn.구조2." hidden="1">{#N/A,#N/A,FALSE,"구조2"}</definedName>
    <definedName name="wrn.금산상휴게소." localSheetId="13"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wrn.금산상휴게소."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wrn.기성." localSheetId="13" hidden="1">{#N/A,#N/A,FALSE,"신청통보";#N/A,#N/A,FALSE,"기성확인서";#N/A,#N/A,FALSE,"기성내역서"}</definedName>
    <definedName name="wrn.기성." hidden="1">{#N/A,#N/A,FALSE,"신청통보";#N/A,#N/A,FALSE,"기성확인서";#N/A,#N/A,FALSE,"기성내역서"}</definedName>
    <definedName name="wrn.기초." localSheetId="13" hidden="1">{#N/A,#N/A,FALSE,"터빈집계";#N/A,#N/A,FALSE,"터빈내역";#N/A,#N/A,FALSE,"보일러집계";#N/A,#N/A,FALSE,"보일러내역"}</definedName>
    <definedName name="wrn.기초." hidden="1">{#N/A,#N/A,FALSE,"터빈집계";#N/A,#N/A,FALSE,"터빈내역";#N/A,#N/A,FALSE,"보일러집계";#N/A,#N/A,FALSE,"보일러내역"}</definedName>
    <definedName name="wrn.기타인쇄." localSheetId="13" hidden="1">{#N/A,#N/A,FALSE,"기타"}</definedName>
    <definedName name="wrn.기타인쇄." hidden="1">{#N/A,#N/A,FALSE,"기타"}</definedName>
    <definedName name="wrn.남원공설운동장." localSheetId="13" hidden="1">{#N/A,#N/A,TRUE,"1. 부하계산";#N/A,#N/A,TRUE,"1-1.부하계산기준";#N/A,#N/A,TRUE,"1-2.부하계산";#N/A,#N/A,TRUE,"2.장비선정";#N/A,#N/A,TRUE,"2-1보일러";#N/A,#N/A,TRUE,"2-2펌프";#N/A,#N/A,TRUE,"2-3탱크";#N/A,#N/A,TRUE,"2-4전기방열기";#N/A,#N/A,TRUE,"2-5전기온수기";#N/A,#N/A,TRUE,"2-6팬"}</definedName>
    <definedName name="wrn.남원공설운동장." hidden="1">{#N/A,#N/A,TRUE,"1. 부하계산";#N/A,#N/A,TRUE,"1-1.부하계산기준";#N/A,#N/A,TRUE,"1-2.부하계산";#N/A,#N/A,TRUE,"2.장비선정";#N/A,#N/A,TRUE,"2-1보일러";#N/A,#N/A,TRUE,"2-2펌프";#N/A,#N/A,TRUE,"2-3탱크";#N/A,#N/A,TRUE,"2-4전기방열기";#N/A,#N/A,TRUE,"2-5전기온수기";#N/A,#N/A,TRUE,"2-6팬"}</definedName>
    <definedName name="wrn.노무비인쇄." localSheetId="13" hidden="1">{#N/A,#N/A,FALSE,"노무비"}</definedName>
    <definedName name="wrn.노무비인쇄." hidden="1">{#N/A,#N/A,FALSE,"노무비"}</definedName>
    <definedName name="wrn.단가표지." localSheetId="13" hidden="1">{#N/A,#N/A,FALSE,"단가표지"}</definedName>
    <definedName name="wrn.단가표지." hidden="1">{#N/A,#N/A,FALSE,"단가표지"}</definedName>
    <definedName name="wrn.대한생명보험._.강남사옥._.신축공사." localSheetId="13" hidden="1">{#N/A,#N/A,TRUE,"공조기";#N/A,#N/A,TRUE,"FCU";#N/A,#N/A,TRUE,"1-20";#N/A,#N/A,TRUE,"21-40";#N/A,#N/A,TRUE,"41-60";#N/A,#N/A,TRUE,"61-80";#N/A,#N/A,TRUE,"화장실부하집계";#N/A,#N/A,TRUE,"화장실"}</definedName>
    <definedName name="wrn.대한생명보험._.강남사옥._.신축공사." hidden="1">{#N/A,#N/A,TRUE,"공조기";#N/A,#N/A,TRUE,"FCU";#N/A,#N/A,TRUE,"1-20";#N/A,#N/A,TRUE,"21-40";#N/A,#N/A,TRUE,"41-60";#N/A,#N/A,TRUE,"61-80";#N/A,#N/A,TRUE,"화장실부하집계";#N/A,#N/A,TRUE,"화장실"}</definedName>
    <definedName name="wrn.목동재건축아파트." localSheetId="13" hidden="1">{#N/A,#N/A,TRUE,"1. 부하계산";#N/A,#N/A,TRUE,"1-1.부하계산기준";#N/A,#N/A,TRUE,"1-3.부하집계";#N/A,#N/A,TRUE,"1-4.부하계산(24평)";#N/A,#N/A,TRUE,"1-4.부하계산(33평)";#N/A,#N/A,TRUE,"1-4.부하계산 (40평)";#N/A,#N/A,TRUE,"1-4.부하계산 (부속)";#N/A,#N/A,TRUE,"2.장비선정";#N/A,#N/A,TRUE,"2-1보일러";#N/A,#N/A,TRUE,"2-4팬";#N/A,#N/A,TRUE,"팬(2)"}</definedName>
    <definedName name="wrn.목동재건축아파트." hidden="1">{#N/A,#N/A,TRUE,"1. 부하계산";#N/A,#N/A,TRUE,"1-1.부하계산기준";#N/A,#N/A,TRUE,"1-3.부하집계";#N/A,#N/A,TRUE,"1-4.부하계산(24평)";#N/A,#N/A,TRUE,"1-4.부하계산(33평)";#N/A,#N/A,TRUE,"1-4.부하계산 (40평)";#N/A,#N/A,TRUE,"1-4.부하계산 (부속)";#N/A,#N/A,TRUE,"2.장비선정";#N/A,#N/A,TRUE,"2-1보일러";#N/A,#N/A,TRUE,"2-4팬";#N/A,#N/A,TRUE,"팬(2)"}</definedName>
    <definedName name="wrn.배수1." localSheetId="13" hidden="1">{#N/A,#N/A,FALSE,"배수1"}</definedName>
    <definedName name="wrn.배수1." hidden="1">{#N/A,#N/A,FALSE,"배수1"}</definedName>
    <definedName name="wrn.배수2." localSheetId="13" hidden="1">{#N/A,#N/A,FALSE,"배수2"}</definedName>
    <definedName name="wrn.배수2." hidden="1">{#N/A,#N/A,FALSE,"배수2"}</definedName>
    <definedName name="wrn.보일러마감." localSheetId="13"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부대1." localSheetId="13" hidden="1">{#N/A,#N/A,FALSE,"부대1"}</definedName>
    <definedName name="wrn.부대1." hidden="1">{#N/A,#N/A,FALSE,"부대1"}</definedName>
    <definedName name="wrn.부대2." localSheetId="13" hidden="1">{#N/A,#N/A,FALSE,"부대2"}</definedName>
    <definedName name="wrn.부대2." hidden="1">{#N/A,#N/A,FALSE,"부대2"}</definedName>
    <definedName name="wrn.부하계산서." localSheetId="13" hidden="1">{#N/A,#N/A,TRUE,"1.부하계산기준";#N/A,#N/A,TRUE,"2.부하계산방법"}</definedName>
    <definedName name="wrn.부하계산서." hidden="1">{#N/A,#N/A,TRUE,"1.부하계산기준";#N/A,#N/A,TRUE,"2.부하계산방법"}</definedName>
    <definedName name="wrn.산출근거목록인쇄." localSheetId="13" hidden="1">{#N/A,#N/A,FALSE,"산출근거목록"}</definedName>
    <definedName name="wrn.산출근거목록인쇄." hidden="1">{#N/A,#N/A,FALSE,"산출근거목록"}</definedName>
    <definedName name="wrn.산출근거인쇄." localSheetId="13" hidden="1">{#N/A,#N/A,FALSE,"산출근거"}</definedName>
    <definedName name="wrn.산출근거인쇄." hidden="1">{#N/A,#N/A,FALSE,"산출근거"}</definedName>
    <definedName name="wrn.산출근거인쇄._.토개공변환." localSheetId="13" hidden="1">{#N/A,#N/A,FALSE,"산출근거변환"}</definedName>
    <definedName name="wrn.산출근거인쇄._.토개공변환." hidden="1">{#N/A,#N/A,FALSE,"산출근거변환"}</definedName>
    <definedName name="wrn.서울제일성결교회." localSheetId="13" hidden="1">{#N/A,#N/A,TRUE,"1. 부하계산";#N/A,#N/A,TRUE,"1-1.부하계산기준";#N/A,#N/A,TRUE,"1-2.부하계산방법";#N/A,#N/A,TRUE,"1-3.부하집계";#N/A,#N/A,TRUE,"1-4.부하계산"}</definedName>
    <definedName name="wrn.서울제일성결교회." hidden="1">{#N/A,#N/A,TRUE,"1. 부하계산";#N/A,#N/A,TRUE,"1-1.부하계산기준";#N/A,#N/A,TRUE,"1-2.부하계산방법";#N/A,#N/A,TRUE,"1-3.부하집계";#N/A,#N/A,TRUE,"1-4.부하계산"}</definedName>
    <definedName name="wrn.설계내역서인쇄." localSheetId="13" hidden="1">{#N/A,#N/A,FALSE,"설계내역서"}</definedName>
    <definedName name="wrn.설계내역서인쇄." hidden="1">{#N/A,#N/A,FALSE,"설계내역서"}</definedName>
    <definedName name="wrn.속도." localSheetId="13" hidden="1">{#N/A,#N/A,FALSE,"속도"}</definedName>
    <definedName name="wrn.속도." hidden="1">{#N/A,#N/A,FALSE,"속도"}</definedName>
    <definedName name="wrn.송변전공종단가."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3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3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36"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37"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수." localSheetId="13" hidden="1">{#N/A,"수불부",FALSE,"사급자재수불서";#N/A,"수불부",FALSE,"사급자재수불서"}</definedName>
    <definedName name="wrn.수." localSheetId="15" hidden="1">{#N/A,"수불부",FALSE,"사급자재수불서";#N/A,"수불부",FALSE,"사급자재수불서"}</definedName>
    <definedName name="wrn.수." hidden="1">{#N/A,"수불부",FALSE,"사급자재수불서";#N/A,"수불부",FALSE,"사급자재수불서"}</definedName>
    <definedName name="wrn.시행결의." localSheetId="13" hidden="1">{#N/A,#N/A,FALSE,"도급대비시행율";#N/A,#N/A,FALSE,"결의서";#N/A,#N/A,FALSE,"내역서";#N/A,#N/A,FALSE,"도급예상"}</definedName>
    <definedName name="wrn.시행결의." hidden="1">{#N/A,#N/A,FALSE,"도급대비시행율";#N/A,#N/A,FALSE,"결의서";#N/A,#N/A,FALSE,"내역서";#N/A,#N/A,FALSE,"도급예상"}</definedName>
    <definedName name="wrn.신용찬." localSheetId="22" hidden="1">{#N/A,#N/A,TRUE,"토적및재료집계";#N/A,#N/A,TRUE,"토적및재료집계";#N/A,#N/A,TRUE,"단위량"}</definedName>
    <definedName name="wrn.신용찬." localSheetId="13" hidden="1">{#N/A,#N/A,TRUE,"토적및재료집계";#N/A,#N/A,TRUE,"토적및재료집계";#N/A,#N/A,TRUE,"단위량"}</definedName>
    <definedName name="wrn.신용찬." localSheetId="15" hidden="1">{#N/A,#N/A,TRUE,"토적및재료집계";#N/A,#N/A,TRUE,"토적및재료집계";#N/A,#N/A,TRUE,"단위량"}</definedName>
    <definedName name="wrn.신용찬." hidden="1">{#N/A,#N/A,TRUE,"토적및재료집계";#N/A,#N/A,TRUE,"토적및재료집계";#N/A,#N/A,TRUE,"단위량"}</definedName>
    <definedName name="wrn.실행예산."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실행예산."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외주기성." localSheetId="13" hidden="1">{#N/A,#N/A,FALSE,"신청통보";#N/A,#N/A,FALSE,"기성확인서";#N/A,#N/A,FALSE,"기성내역서"}</definedName>
    <definedName name="wrn.외주기성." hidden="1">{#N/A,#N/A,FALSE,"신청통보";#N/A,#N/A,FALSE,"기성확인서";#N/A,#N/A,FALSE,"기성내역서"}</definedName>
    <definedName name="wrn.운반시간." localSheetId="13" hidden="1">{#N/A,#N/A,FALSE,"운반시간"}</definedName>
    <definedName name="wrn.운반시간." hidden="1">{#N/A,#N/A,FALSE,"운반시간"}</definedName>
    <definedName name="wrn.원가계산서인쇄." localSheetId="13" hidden="1">{#N/A,#N/A,FALSE,"원가계산서"}</definedName>
    <definedName name="wrn.원가계산서인쇄." hidden="1">{#N/A,#N/A,FALSE,"원가계산서"}</definedName>
    <definedName name="wrn.은행1동" localSheetId="13"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wrn.은행1동"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wrn.이정표." localSheetId="13" hidden="1">{#N/A,#N/A,FALSE,"이정표"}</definedName>
    <definedName name="wrn.이정표." hidden="1">{#N/A,#N/A,FALSE,"이정표"}</definedName>
    <definedName name="wrn.이태원._.철근." localSheetId="13" hidden="1">{#N/A,#N/A,FALSE,"이태원철근"}</definedName>
    <definedName name="wrn.이태원._.철근." hidden="1">{#N/A,#N/A,FALSE,"이태원철근"}</definedName>
    <definedName name="wrn.일산대교." localSheetId="13" hidden="1">{#N/A,#N/A,TRUE,"부하계산서표지";#N/A,#N/A,TRUE,"1. 부하계산";#N/A,#N/A,TRUE,"1-1.부하계산기준";#N/A,#N/A,TRUE,"1-2.부하계산";#N/A,#N/A,TRUE,"1-3부하집계"}</definedName>
    <definedName name="wrn.일산대교." hidden="1">{#N/A,#N/A,TRUE,"부하계산서표지";#N/A,#N/A,TRUE,"1. 부하계산";#N/A,#N/A,TRUE,"1-1.부하계산기준";#N/A,#N/A,TRUE,"1-2.부하계산";#N/A,#N/A,TRUE,"1-3부하집계"}</definedName>
    <definedName name="wrn.일위대가." localSheetId="13" hidden="1">{#N/A,#N/A,TRUE,"대가1"}</definedName>
    <definedName name="wrn.일위대가." hidden="1">{#N/A,#N/A,TRUE,"대가1"}</definedName>
    <definedName name="wrn.일위대가목록인쇄." localSheetId="13" hidden="1">{#N/A,#N/A,FALSE,"일위대가목록"}</definedName>
    <definedName name="wrn.일위대가목록인쇄." hidden="1">{#N/A,#N/A,FALSE,"일위대가목록"}</definedName>
    <definedName name="wrn.일위대가인쇄." localSheetId="13" hidden="1">{#N/A,#N/A,FALSE,"일위대가"}</definedName>
    <definedName name="wrn.일위대가인쇄." hidden="1">{#N/A,#N/A,FALSE,"일위대가"}</definedName>
    <definedName name="wrn.일위대가인쇄._.수자원변환." localSheetId="13" hidden="1">{#N/A,#N/A,FALSE,"일위대가변환"}</definedName>
    <definedName name="wrn.일위대가인쇄._.수자원변환." hidden="1">{#N/A,#N/A,FALSE,"일위대가변환"}</definedName>
    <definedName name="wrn.재료비인쇄." localSheetId="13" hidden="1">{#N/A,#N/A,FALSE,"재료비"}</definedName>
    <definedName name="wrn.재료비인쇄." hidden="1">{#N/A,#N/A,FALSE,"재료비"}</definedName>
    <definedName name="wrn.조골재." localSheetId="13" hidden="1">{#N/A,#N/A,FALSE,"조골재"}</definedName>
    <definedName name="wrn.조골재." hidden="1">{#N/A,#N/A,FALSE,"조골재"}</definedName>
    <definedName name="wrn.중기목록인쇄." localSheetId="13" hidden="1">{#N/A,#N/A,FALSE,"중기목록"}</definedName>
    <definedName name="wrn.중기목록인쇄." hidden="1">{#N/A,#N/A,FALSE,"중기목록"}</definedName>
    <definedName name="wrn.중기산출기초인쇄." localSheetId="13" hidden="1">{#N/A,#N/A,FALSE,"중기산출기초"}</definedName>
    <definedName name="wrn.중기산출기초인쇄." hidden="1">{#N/A,#N/A,FALSE,"중기산출기초"}</definedName>
    <definedName name="wrn.중기인쇄." localSheetId="13" hidden="1">{#N/A,#N/A,FALSE,"중기"}</definedName>
    <definedName name="wrn.중기인쇄." hidden="1">{#N/A,#N/A,FALSE,"중기"}</definedName>
    <definedName name="wrn.중기인쇄._.일반형변환." localSheetId="13" hidden="1">{#N/A,#N/A,FALSE,"중기변환"}</definedName>
    <definedName name="wrn.중기인쇄._.일반형변환." hidden="1">{#N/A,#N/A,FALSE,"중기변환"}</definedName>
    <definedName name="wrn.지수1." localSheetId="1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철골집계표._.5칸." localSheetId="13" hidden="1">{#N/A,#N/A,FALSE,"Sheet1"}</definedName>
    <definedName name="wrn.철골집계표._.5칸." hidden="1">{#N/A,#N/A,FALSE,"Sheet1"}</definedName>
    <definedName name="wrn.토공1." localSheetId="13" hidden="1">{#N/A,#N/A,FALSE,"구조1"}</definedName>
    <definedName name="wrn.토공1." hidden="1">{#N/A,#N/A,FALSE,"구조1"}</definedName>
    <definedName name="wrn.토공2." localSheetId="13" hidden="1">{#N/A,#N/A,FALSE,"토공2"}</definedName>
    <definedName name="wrn.토공2." hidden="1">{#N/A,#N/A,FALSE,"토공2"}</definedName>
    <definedName name="wrn.포장1." localSheetId="13" hidden="1">{#N/A,#N/A,FALSE,"포장1";#N/A,#N/A,FALSE,"포장1"}</definedName>
    <definedName name="wrn.포장1." hidden="1">{#N/A,#N/A,FALSE,"포장1";#N/A,#N/A,FALSE,"포장1"}</definedName>
    <definedName name="wrn.포장2." localSheetId="13" hidden="1">{#N/A,#N/A,FALSE,"포장2"}</definedName>
    <definedName name="wrn.포장2." hidden="1">{#N/A,#N/A,FALSE,"포장2"}</definedName>
    <definedName name="wrn.포장단가." localSheetId="13" hidden="1">{#N/A,#N/A,FALSE,"포장단가"}</definedName>
    <definedName name="wrn.포장단가." hidden="1">{#N/A,#N/A,FALSE,"포장단가"}</definedName>
    <definedName name="wrn.표준공종단가." localSheetId="2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34"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3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36"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37"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목차." localSheetId="13" hidden="1">{#N/A,#N/A,FALSE,"표지목차"}</definedName>
    <definedName name="wrn.표지목차." hidden="1">{#N/A,#N/A,FALSE,"표지목차"}</definedName>
    <definedName name="wrn.현장._.NCR._.분석." localSheetId="22" hidden="1">{#N/A,#N/A,FALSE,"현장 NCR 분석";#N/A,#N/A,FALSE,"현장품질감사";#N/A,#N/A,FALSE,"현장품질감사"}</definedName>
    <definedName name="wrn.현장._.NCR._.분석." localSheetId="34" hidden="1">{#N/A,#N/A,FALSE,"현장 NCR 분석";#N/A,#N/A,FALSE,"현장품질감사";#N/A,#N/A,FALSE,"현장품질감사"}</definedName>
    <definedName name="wrn.현장._.NCR._.분석." localSheetId="35" hidden="1">{#N/A,#N/A,FALSE,"현장 NCR 분석";#N/A,#N/A,FALSE,"현장품질감사";#N/A,#N/A,FALSE,"현장품질감사"}</definedName>
    <definedName name="wrn.현장._.NCR._.분석." localSheetId="36" hidden="1">{#N/A,#N/A,FALSE,"현장 NCR 분석";#N/A,#N/A,FALSE,"현장품질감사";#N/A,#N/A,FALSE,"현장품질감사"}</definedName>
    <definedName name="wrn.현장._.NCR._.분석." localSheetId="37" hidden="1">{#N/A,#N/A,FALSE,"현장 NCR 분석";#N/A,#N/A,FALSE,"현장품질감사";#N/A,#N/A,FALSE,"현장품질감사"}</definedName>
    <definedName name="wrn.현장._.NCR._.분석." localSheetId="13" hidden="1">{#N/A,#N/A,FALSE,"현장 NCR 분석";#N/A,#N/A,FALSE,"현장품질감사";#N/A,#N/A,FALSE,"현장품질감사"}</definedName>
    <definedName name="wrn.현장._.NCR._.분석." localSheetId="15" hidden="1">{#N/A,#N/A,FALSE,"현장 NCR 분석";#N/A,#N/A,FALSE,"현장품질감사";#N/A,#N/A,FALSE,"현장품질감사"}</definedName>
    <definedName name="wrn.현장._.NCR._.분석." hidden="1">{#N/A,#N/A,FALSE,"현장 NCR 분석";#N/A,#N/A,FALSE,"현장품질감사";#N/A,#N/A,FALSE,"현장품질감사"}</definedName>
    <definedName name="wrn.혼합골재." localSheetId="13" hidden="1">{#N/A,#N/A,FALSE,"혼합골재"}</definedName>
    <definedName name="wrn.혼합골재." hidden="1">{#N/A,#N/A,FALSE,"혼합골재"}</definedName>
    <definedName name="wrn.화장실." localSheetId="13" hidden="1">{#N/A,#N/A,FALSE,"화장실부하집계";#N/A,#N/A,FALSE,"화장실"}</definedName>
    <definedName name="wrn.화장실." hidden="1">{#N/A,#N/A,FALSE,"화장실부하집계";#N/A,#N/A,FALSE,"화장실"}</definedName>
    <definedName name="wrn.황금동." localSheetId="13" hidden="1">{#N/A,#N/A,FALSE,"단면 제원"}</definedName>
    <definedName name="wrn.황금동." hidden="1">{#N/A,#N/A,FALSE,"단면 제원"}</definedName>
    <definedName name="wrn.회선임차현황." localSheetId="22" hidden="1">{#N/A,#N/A,FALSE,"회선임차현황"}</definedName>
    <definedName name="wrn.회선임차현황." localSheetId="34" hidden="1">{#N/A,#N/A,FALSE,"회선임차현황"}</definedName>
    <definedName name="wrn.회선임차현황." localSheetId="35" hidden="1">{#N/A,#N/A,FALSE,"회선임차현황"}</definedName>
    <definedName name="wrn.회선임차현황." localSheetId="36" hidden="1">{#N/A,#N/A,FALSE,"회선임차현황"}</definedName>
    <definedName name="wrn.회선임차현황." localSheetId="37" hidden="1">{#N/A,#N/A,FALSE,"회선임차현황"}</definedName>
    <definedName name="wrn.회선임차현황." localSheetId="13" hidden="1">{#N/A,#N/A,FALSE,"회선임차현황"}</definedName>
    <definedName name="wrn.회선임차현황." localSheetId="15" hidden="1">{#N/A,#N/A,FALSE,"회선임차현황"}</definedName>
    <definedName name="wrn.회선임차현황." hidden="1">{#N/A,#N/A,FALSE,"회선임차현황"}</definedName>
    <definedName name="wrty" localSheetId="22" hidden="1">{"'용역비'!$A$4:$C$8"}</definedName>
    <definedName name="wrty" localSheetId="34" hidden="1">{"'용역비'!$A$4:$C$8"}</definedName>
    <definedName name="wrty" localSheetId="35" hidden="1">{"'용역비'!$A$4:$C$8"}</definedName>
    <definedName name="wrty" localSheetId="36" hidden="1">{"'용역비'!$A$4:$C$8"}</definedName>
    <definedName name="wrty" localSheetId="37" hidden="1">{"'용역비'!$A$4:$C$8"}</definedName>
    <definedName name="wrty" localSheetId="13" hidden="1">{"'용역비'!$A$4:$C$8"}</definedName>
    <definedName name="wrty" localSheetId="15" hidden="1">{"'용역비'!$A$4:$C$8"}</definedName>
    <definedName name="wrty" hidden="1">{"'용역비'!$A$4:$C$8"}</definedName>
    <definedName name="wrtyrtyrt" localSheetId="22" hidden="1">{"'용역비'!$A$4:$C$8"}</definedName>
    <definedName name="wrtyrtyrt" localSheetId="34" hidden="1">{"'용역비'!$A$4:$C$8"}</definedName>
    <definedName name="wrtyrtyrt" localSheetId="35" hidden="1">{"'용역비'!$A$4:$C$8"}</definedName>
    <definedName name="wrtyrtyrt" localSheetId="36" hidden="1">{"'용역비'!$A$4:$C$8"}</definedName>
    <definedName name="wrtyrtyrt" localSheetId="37" hidden="1">{"'용역비'!$A$4:$C$8"}</definedName>
    <definedName name="wrtyrtyrt" localSheetId="13" hidden="1">{"'용역비'!$A$4:$C$8"}</definedName>
    <definedName name="wrtyrtyrt" localSheetId="15" hidden="1">{"'용역비'!$A$4:$C$8"}</definedName>
    <definedName name="wrtyrtyrt" hidden="1">{"'용역비'!$A$4:$C$8"}</definedName>
    <definedName name="wrtywrtywr" localSheetId="22" hidden="1">{"'용역비'!$A$4:$C$8"}</definedName>
    <definedName name="wrtywrtywr" localSheetId="34" hidden="1">{"'용역비'!$A$4:$C$8"}</definedName>
    <definedName name="wrtywrtywr" localSheetId="35" hidden="1">{"'용역비'!$A$4:$C$8"}</definedName>
    <definedName name="wrtywrtywr" localSheetId="36" hidden="1">{"'용역비'!$A$4:$C$8"}</definedName>
    <definedName name="wrtywrtywr" localSheetId="37" hidden="1">{"'용역비'!$A$4:$C$8"}</definedName>
    <definedName name="wrtywrtywr" localSheetId="13" hidden="1">{"'용역비'!$A$4:$C$8"}</definedName>
    <definedName name="wrtywrtywr" localSheetId="15" hidden="1">{"'용역비'!$A$4:$C$8"}</definedName>
    <definedName name="wrtywrtywr" hidden="1">{"'용역비'!$A$4:$C$8"}</definedName>
    <definedName name="wtvegrh" localSheetId="13" hidden="1">{#N/A,#N/A,FALSE,"포장2"}</definedName>
    <definedName name="wtvegrh" hidden="1">{#N/A,#N/A,FALSE,"포장2"}</definedName>
    <definedName name="WTY">#REF!</definedName>
    <definedName name="wuy" localSheetId="22" hidden="1">{"'용역비'!$A$4:$C$8"}</definedName>
    <definedName name="wuy" localSheetId="34" hidden="1">{"'용역비'!$A$4:$C$8"}</definedName>
    <definedName name="wuy" localSheetId="35" hidden="1">{"'용역비'!$A$4:$C$8"}</definedName>
    <definedName name="wuy" localSheetId="36" hidden="1">{"'용역비'!$A$4:$C$8"}</definedName>
    <definedName name="wuy" localSheetId="37" hidden="1">{"'용역비'!$A$4:$C$8"}</definedName>
    <definedName name="wuy" localSheetId="13" hidden="1">{"'용역비'!$A$4:$C$8"}</definedName>
    <definedName name="wuy" localSheetId="15" hidden="1">{"'용역비'!$A$4:$C$8"}</definedName>
    <definedName name="wuy" hidden="1">{"'용역비'!$A$4:$C$8"}</definedName>
    <definedName name="wvyh" localSheetId="13" hidden="1">{#N/A,#N/A,FALSE,"혼합골재"}</definedName>
    <definedName name="wvyh" hidden="1">{#N/A,#N/A,FALSE,"혼합골재"}</definedName>
    <definedName name="ww" localSheetId="13" hidden="1">{#N/A,#N/A,FALSE,"골재소요량";#N/A,#N/A,FALSE,"골재소요량"}</definedName>
    <definedName name="ww" hidden="1">{#N/A,#N/A,FALSE,"골재소요량";#N/A,#N/A,FALSE,"골재소요량"}</definedName>
    <definedName name="WWEW">#N/A</definedName>
    <definedName name="WWW" localSheetId="13">[69]노임!$A$11:$F$79</definedName>
    <definedName name="WWW">[76]노임!$A$11:$F$79</definedName>
    <definedName name="x" localSheetId="13">{#N/A,#N/A,FALSE,"운반시간"}</definedName>
    <definedName name="x">{#N/A,#N/A,FALSE,"운반시간"}</definedName>
    <definedName name="x5xX94">#REF!</definedName>
    <definedName name="XC" localSheetId="22" hidden="1">{"'광피스표'!$A$3:$N$54"}</definedName>
    <definedName name="XC" localSheetId="13" hidden="1">{"'광피스표'!$A$3:$N$54"}</definedName>
    <definedName name="XC" localSheetId="15" hidden="1">{"'광피스표'!$A$3:$N$54"}</definedName>
    <definedName name="XC" hidden="1">{"'광피스표'!$A$3:$N$54"}</definedName>
    <definedName name="XCCFD" localSheetId="22" hidden="1">{"'광피스표'!$A$3:$N$54"}</definedName>
    <definedName name="XCCFD" localSheetId="13" hidden="1">{"'광피스표'!$A$3:$N$54"}</definedName>
    <definedName name="XCCFD" localSheetId="15" hidden="1">{"'광피스표'!$A$3:$N$54"}</definedName>
    <definedName name="XCCFD" hidden="1">{"'광피스표'!$A$3:$N$54"}</definedName>
    <definedName name="XCCFSRF" localSheetId="13">'8-2.설비자재산출(무인보안)'!XCCFSRF</definedName>
    <definedName name="XCCFSRF" localSheetId="15">'8-4.일위대가표'!XCCFSRF</definedName>
    <definedName name="XCCFSRF">'8-2.설비자재산출(무인보안)'!XCCFSRF</definedName>
    <definedName name="XCCT">0.5</definedName>
    <definedName name="xddas" localSheetId="13" hidden="1">{#N/A,#N/A,FALSE,"골재소요량";#N/A,#N/A,FALSE,"골재소요량"}</definedName>
    <definedName name="xddas" hidden="1">{#N/A,#N/A,FALSE,"골재소요량";#N/A,#N/A,FALSE,"골재소요량"}</definedName>
    <definedName name="XX" localSheetId="22" hidden="1">{#N/A,#N/A,FALSE,"회선임차현황"}</definedName>
    <definedName name="XX" localSheetId="34" hidden="1">{#N/A,#N/A,FALSE,"회선임차현황"}</definedName>
    <definedName name="XX" localSheetId="35" hidden="1">{#N/A,#N/A,FALSE,"회선임차현황"}</definedName>
    <definedName name="XX" localSheetId="36" hidden="1">{#N/A,#N/A,FALSE,"회선임차현황"}</definedName>
    <definedName name="XX" localSheetId="37" hidden="1">{#N/A,#N/A,FALSE,"회선임차현황"}</definedName>
    <definedName name="XX" localSheetId="13" hidden="1">{#N/A,#N/A,FALSE,"회선임차현황"}</definedName>
    <definedName name="XX" localSheetId="15" hidden="1">{#N/A,#N/A,FALSE,"회선임차현황"}</definedName>
    <definedName name="XX" hidden="1">{#N/A,#N/A,FALSE,"회선임차현황"}</definedName>
    <definedName name="xxx">#REF!</definedName>
    <definedName name="XXXX" localSheetId="13" hidden="1">{"'용역비'!$A$4:$C$8"}</definedName>
    <definedName name="XXXX" localSheetId="15" hidden="1">{"'용역비'!$A$4:$C$8"}</definedName>
    <definedName name="XXXX" hidden="1">{"'용역비'!$A$4:$C$8"}</definedName>
    <definedName name="XXXXXX" localSheetId="4">{"'공사부문'!$A$6:$A$32"}</definedName>
    <definedName name="XXXXXX" localSheetId="13">{"'공사부문'!$A$6:$A$32"}</definedName>
    <definedName name="XXXXXX" localSheetId="15">{"'공사부문'!$A$6:$A$32"}</definedName>
    <definedName name="XXXXXX">{"'공사부문'!$A$6:$A$32"}</definedName>
    <definedName name="y" localSheetId="22" hidden="1">{"'용역비'!$A$4:$C$8"}</definedName>
    <definedName name="y" localSheetId="34" hidden="1">{"'용역비'!$A$4:$C$8"}</definedName>
    <definedName name="y" localSheetId="35" hidden="1">{"'용역비'!$A$4:$C$8"}</definedName>
    <definedName name="y" localSheetId="36" hidden="1">{"'용역비'!$A$4:$C$8"}</definedName>
    <definedName name="y" localSheetId="37" hidden="1">{"'용역비'!$A$4:$C$8"}</definedName>
    <definedName name="y" localSheetId="13" hidden="1">{"'용역비'!$A$4:$C$8"}</definedName>
    <definedName name="y" localSheetId="15" hidden="1">{"'용역비'!$A$4:$C$8"}</definedName>
    <definedName name="y" hidden="1">{"'용역비'!$A$4:$C$8"}</definedName>
    <definedName name="y5bewy5vgr" localSheetId="13" hidden="1">{#N/A,#N/A,FALSE,"운반시간"}</definedName>
    <definedName name="y5bewy5vgr" hidden="1">{#N/A,#N/A,FALSE,"운반시간"}</definedName>
    <definedName name="Y87Y9809">#N/A</definedName>
    <definedName name="yc">[17]설계명세서!#REF!</definedName>
    <definedName name="YDPYEONG">#REF!</definedName>
    <definedName name="YFU" localSheetId="22" hidden="1">{"'용역비'!$A$4:$C$8"}</definedName>
    <definedName name="YFU" localSheetId="34" hidden="1">{"'용역비'!$A$4:$C$8"}</definedName>
    <definedName name="YFU" localSheetId="35" hidden="1">{"'용역비'!$A$4:$C$8"}</definedName>
    <definedName name="YFU" localSheetId="36" hidden="1">{"'용역비'!$A$4:$C$8"}</definedName>
    <definedName name="YFU" localSheetId="37" hidden="1">{"'용역비'!$A$4:$C$8"}</definedName>
    <definedName name="YFU" localSheetId="13" hidden="1">{"'용역비'!$A$4:$C$8"}</definedName>
    <definedName name="YFU" localSheetId="15" hidden="1">{"'용역비'!$A$4:$C$8"}</definedName>
    <definedName name="YFU" hidden="1">{"'용역비'!$A$4:$C$8"}</definedName>
    <definedName name="YL" localSheetId="22" hidden="1">{"'용역비'!$A$4:$C$8"}</definedName>
    <definedName name="YL" localSheetId="34" hidden="1">{"'용역비'!$A$4:$C$8"}</definedName>
    <definedName name="YL" localSheetId="35" hidden="1">{"'용역비'!$A$4:$C$8"}</definedName>
    <definedName name="YL" localSheetId="36" hidden="1">{"'용역비'!$A$4:$C$8"}</definedName>
    <definedName name="YL" localSheetId="37" hidden="1">{"'용역비'!$A$4:$C$8"}</definedName>
    <definedName name="YL" localSheetId="13" hidden="1">{"'용역비'!$A$4:$C$8"}</definedName>
    <definedName name="YL" localSheetId="15" hidden="1">{"'용역비'!$A$4:$C$8"}</definedName>
    <definedName name="YL" hidden="1">{"'용역비'!$A$4:$C$8"}</definedName>
    <definedName name="YOUNG">#REF!</definedName>
    <definedName name="YS" localSheetId="13">'8-2.설비자재산출(무인보안)'!YS</definedName>
    <definedName name="YS" localSheetId="15">'8-4.일위대가표'!YS</definedName>
    <definedName name="YS">'8-2.설비자재산출(무인보안)'!YS</definedName>
    <definedName name="YT">#REF!</definedName>
    <definedName name="yu" localSheetId="22" hidden="1">{"'용역비'!$A$4:$C$8"}</definedName>
    <definedName name="yu" localSheetId="34" hidden="1">{"'용역비'!$A$4:$C$8"}</definedName>
    <definedName name="yu" localSheetId="35" hidden="1">{"'용역비'!$A$4:$C$8"}</definedName>
    <definedName name="yu" localSheetId="36" hidden="1">{"'용역비'!$A$4:$C$8"}</definedName>
    <definedName name="yu" localSheetId="37" hidden="1">{"'용역비'!$A$4:$C$8"}</definedName>
    <definedName name="yu" localSheetId="13" hidden="1">{"'용역비'!$A$4:$C$8"}</definedName>
    <definedName name="yu" localSheetId="15" hidden="1">{"'용역비'!$A$4:$C$8"}</definedName>
    <definedName name="yu" hidden="1">{"'용역비'!$A$4:$C$8"}</definedName>
    <definedName name="yucgfcf" localSheetId="13" hidden="1">{#N/A,#N/A,FALSE,"배수2"}</definedName>
    <definedName name="yucgfcf" hidden="1">{#N/A,#N/A,FALSE,"배수2"}</definedName>
    <definedName name="YUK" localSheetId="22" hidden="1">{"'용역비'!$A$4:$C$8"}</definedName>
    <definedName name="YUK" localSheetId="34" hidden="1">{"'용역비'!$A$4:$C$8"}</definedName>
    <definedName name="YUK" localSheetId="35" hidden="1">{"'용역비'!$A$4:$C$8"}</definedName>
    <definedName name="YUK" localSheetId="36" hidden="1">{"'용역비'!$A$4:$C$8"}</definedName>
    <definedName name="YUK" localSheetId="37" hidden="1">{"'용역비'!$A$4:$C$8"}</definedName>
    <definedName name="YUK" localSheetId="13" hidden="1">{"'용역비'!$A$4:$C$8"}</definedName>
    <definedName name="YUK" localSheetId="15" hidden="1">{"'용역비'!$A$4:$C$8"}</definedName>
    <definedName name="YUK" hidden="1">{"'용역비'!$A$4:$C$8"}</definedName>
    <definedName name="yuy" localSheetId="13" hidden="1">{#N/A,#N/A,FALSE,"단가표지"}</definedName>
    <definedName name="yuy" hidden="1">{#N/A,#N/A,FALSE,"단가표지"}</definedName>
    <definedName name="YUYUY" localSheetId="13" hidden="1">{#N/A,#N/A,FALSE,"혼합골재"}</definedName>
    <definedName name="YUYUY" hidden="1">{#N/A,#N/A,FALSE,"혼합골재"}</definedName>
    <definedName name="yvdfvhd" localSheetId="13" hidden="1">{#N/A,#N/A,FALSE,"이정표"}</definedName>
    <definedName name="yvdfvhd" hidden="1">{#N/A,#N/A,FALSE,"이정표"}</definedName>
    <definedName name="ywrtvwvy" localSheetId="13" hidden="1">{#N/A,#N/A,FALSE,"부대1"}</definedName>
    <definedName name="ywrtvwvy" hidden="1">{#N/A,#N/A,FALSE,"부대1"}</definedName>
    <definedName name="yyuty" localSheetId="13" hidden="1">{#N/A,#N/A,FALSE,"부대2"}</definedName>
    <definedName name="yyuty" hidden="1">{#N/A,#N/A,FALSE,"부대2"}</definedName>
    <definedName name="Z" localSheetId="13">'8-2.설비자재산출(무인보안)'!Z</definedName>
    <definedName name="Z" localSheetId="15">'8-4.일위대가표'!Z</definedName>
    <definedName name="Z">'8-2.설비자재산출(무인보안)'!Z</definedName>
    <definedName name="Z_TERMINAL">#REF!</definedName>
    <definedName name="Z1형" localSheetId="13">[6]소요자재!$H$42</definedName>
    <definedName name="Z1형">[23]소요자재!$H$42</definedName>
    <definedName name="ZA" localSheetId="22" hidden="1">{"'광피스표'!$A$3:$N$54"}</definedName>
    <definedName name="ZA" localSheetId="13" hidden="1">{"'광피스표'!$A$3:$N$54"}</definedName>
    <definedName name="ZA" localSheetId="15" hidden="1">{"'광피스표'!$A$3:$N$54"}</definedName>
    <definedName name="ZA" hidden="1">{"'광피스표'!$A$3:$N$54"}</definedName>
    <definedName name="ZCDG">#REF!</definedName>
    <definedName name="ZXCV" localSheetId="13">'8-2.설비자재산출(무인보안)'!ZXCV</definedName>
    <definedName name="ZXCV" localSheetId="15">'8-4.일위대가표'!ZXCV</definedName>
    <definedName name="ZXCV">'8-2.설비자재산출(무인보안)'!ZXCV</definedName>
    <definedName name="zz">#REF!</definedName>
    <definedName name="Z형" localSheetId="13">[6]소요자재!$H$20</definedName>
    <definedName name="Z형">[23]소요자재!$H$20</definedName>
    <definedName name="π">PI()</definedName>
    <definedName name="ㄱ" localSheetId="22" hidden="1">{"'용역비'!$A$4:$C$8"}</definedName>
    <definedName name="ㄱ" localSheetId="34" hidden="1">{"'용역비'!$A$4:$C$8"}</definedName>
    <definedName name="ㄱ" localSheetId="35" hidden="1">{"'용역비'!$A$4:$C$8"}</definedName>
    <definedName name="ㄱ" localSheetId="36" hidden="1">{"'용역비'!$A$4:$C$8"}</definedName>
    <definedName name="ㄱ" localSheetId="37" hidden="1">{"'용역비'!$A$4:$C$8"}</definedName>
    <definedName name="ㄱ" localSheetId="13" hidden="1">{"'용역비'!$A$4:$C$8"}</definedName>
    <definedName name="ㄱ" localSheetId="15" hidden="1">{"'용역비'!$A$4:$C$8"}</definedName>
    <definedName name="ㄱ" hidden="1">{"'용역비'!$A$4:$C$8"}</definedName>
    <definedName name="ㄱ.">#REF!</definedName>
    <definedName name="ㄱㄱ" localSheetId="13" hidden="1">{#N/A,#N/A,FALSE,"구조2"}</definedName>
    <definedName name="ㄱㄱ" hidden="1">{#N/A,#N/A,FALSE,"구조2"}</definedName>
    <definedName name="ㄱㄱㄱ" localSheetId="22" hidden="1">{#N/A,#N/A,FALSE,"회선임차현황"}</definedName>
    <definedName name="ㄱㄱㄱ" localSheetId="13" hidden="1">{"'선로집계'!$A$1:$G$68"}</definedName>
    <definedName name="ㄱㄱㄱ" localSheetId="15" hidden="1">{"'선로집계'!$A$1:$G$68"}</definedName>
    <definedName name="ㄱㄱㄱ" hidden="1">{#N/A,#N/A,FALSE,"회선임차현황"}</definedName>
    <definedName name="ㄱㄱㄱㄱ">#N/A</definedName>
    <definedName name="ㄱㄱㄱㄱㄱㄱㄱㄱ" localSheetId="29" hidden="1">#REF!</definedName>
    <definedName name="ㄱㄱㄱㄱㄱㄱㄱㄱ" localSheetId="13" hidden="1">#REF!</definedName>
    <definedName name="ㄱㄱㄱㄱㄱㄱㄱㄱ" localSheetId="19" hidden="1">#REF!</definedName>
    <definedName name="ㄱㄱㄱㄱㄱㄱㄱㄱ" hidden="1">#REF!</definedName>
    <definedName name="ㄱㄱㄷㄱㄷㄱㄱ" localSheetId="13" hidden="1">{#N/A,#N/A,FALSE,"현장 NCR 분석";#N/A,#N/A,FALSE,"현장품질감사";#N/A,#N/A,FALSE,"현장품질감사"}</definedName>
    <definedName name="ㄱㄱㄷㄱㄷㄱㄱ" hidden="1">{#N/A,#N/A,FALSE,"현장 NCR 분석";#N/A,#N/A,FALSE,"현장품질감사";#N/A,#N/A,FALSE,"현장품질감사"}</definedName>
    <definedName name="ㄱㄳㅅ" localSheetId="13" hidden="1">{#N/A,#N/A,FALSE,"배수1"}</definedName>
    <definedName name="ㄱㄳㅅ" hidden="1">{#N/A,#N/A,FALSE,"배수1"}</definedName>
    <definedName name="ㄱ뉴ㅠㅠㅠ" localSheetId="29" hidden="1">[46]내역서!#REF!</definedName>
    <definedName name="ㄱ뉴ㅠㅠㅠ" localSheetId="19" hidden="1">[46]내역서!#REF!</definedName>
    <definedName name="ㄱ뉴ㅠㅠㅠ" hidden="1">[46]내역서!#REF!</definedName>
    <definedName name="ㄱㄷ">[56]준공정산!#REF!</definedName>
    <definedName name="ㄱㄷㄱㄷ" localSheetId="13" hidden="1">{#N/A,#N/A,FALSE,"현장 NCR 분석";#N/A,#N/A,FALSE,"현장품질감사";#N/A,#N/A,FALSE,"현장품질감사"}</definedName>
    <definedName name="ㄱㄷㄱㄷ" localSheetId="15" hidden="1">{#N/A,#N/A,FALSE,"현장 NCR 분석";#N/A,#N/A,FALSE,"현장품질감사";#N/A,#N/A,FALSE,"현장품질감사"}</definedName>
    <definedName name="ㄱㄷㄱㄷ" hidden="1">{#N/A,#N/A,FALSE,"현장 NCR 분석";#N/A,#N/A,FALSE,"현장품질감사";#N/A,#N/A,FALSE,"현장품질감사"}</definedName>
    <definedName name="ㄱㅁ" localSheetId="13" hidden="1">{#N/A,#N/A,FALSE,"전력간선"}</definedName>
    <definedName name="ㄱㅁ" hidden="1">{#N/A,#N/A,FALSE,"전력간선"}</definedName>
    <definedName name="ㄱㅈㅎ" hidden="1">'[1]#REF'!$A$1:$A$1714</definedName>
    <definedName name="가">#REF!</definedName>
    <definedName name="가S_O" localSheetId="22" hidden="1">{#N/A,#N/A,FALSE,"DAOCM 2차 검토"}</definedName>
    <definedName name="가S_O" localSheetId="13" hidden="1">{#N/A,#N/A,FALSE,"DAOCM 2차 검토"}</definedName>
    <definedName name="가S_O" localSheetId="15" hidden="1">{#N/A,#N/A,FALSE,"DAOCM 2차 검토"}</definedName>
    <definedName name="가S_O" hidden="1">{#N/A,#N/A,FALSE,"DAOCM 2차 검토"}</definedName>
    <definedName name="가가각">#REF!</definedName>
    <definedName name="가가나">#REF!</definedName>
    <definedName name="가공10">#REF!</definedName>
    <definedName name="가공12C" localSheetId="13">[6]소요자재!$H$156</definedName>
    <definedName name="가공12C">[23]소요자재!$H$156</definedName>
    <definedName name="가공144">#REF!</definedName>
    <definedName name="가공24C" localSheetId="13">[6]소요자재!$H$157</definedName>
    <definedName name="가공24C">[23]소요자재!$H$157</definedName>
    <definedName name="가공288">#REF!</definedName>
    <definedName name="가공30">#REF!</definedName>
    <definedName name="가공36C" localSheetId="13">[6]소요자재!$H$158</definedName>
    <definedName name="가공36C">[23]소요자재!$H$158</definedName>
    <definedName name="가공48C" localSheetId="13">[6]소요자재!$H$159</definedName>
    <definedName name="가공48C">[23]소요자재!$H$159</definedName>
    <definedName name="가공50">#REF!</definedName>
    <definedName name="가공6C" localSheetId="13">[6]소요자재!$H$155</definedName>
    <definedName name="가공6C">[23]소요자재!$H$155</definedName>
    <definedName name="가공96">#REF!</definedName>
    <definedName name="가공거리">#REF!</definedName>
    <definedName name="가공명찰취부" localSheetId="13">[29]노무산출서!$H$58</definedName>
    <definedName name="가공명찰취부">[30]노무산출서!$H$58</definedName>
    <definedName name="가공비">#REF!</definedName>
    <definedName name="가공장"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가공장"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가공철거">#REF!</definedName>
    <definedName name="가공케이블누적거리1">#REF!</definedName>
    <definedName name="가공케이블누적거리2">#REF!</definedName>
    <definedName name="가공포설">#REF!</definedName>
    <definedName name="가공포설1">#REF!</definedName>
    <definedName name="가공포설A">#REF!</definedName>
    <definedName name="가공함체10">#REF!</definedName>
    <definedName name="가공함체144">#REF!</definedName>
    <definedName name="가공함체288">#REF!</definedName>
    <definedName name="가공함체30">#REF!</definedName>
    <definedName name="가공함체50">#REF!</definedName>
    <definedName name="가공함체96">#REF!</definedName>
    <definedName name="가나">#REF!</definedName>
    <definedName name="가나다">#REF!</definedName>
    <definedName name="가나다라마"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가나다라마"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가나다라마"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가나다라마바사" localSheetId="13" hidden="1">{#N/A,#N/A,FALSE,"QUOT_960527"}</definedName>
    <definedName name="가나다라마바사" localSheetId="15" hidden="1">{#N/A,#N/A,FALSE,"QUOT_960527"}</definedName>
    <definedName name="가나다라마바사" hidden="1">{#N/A,#N/A,FALSE,"QUOT_960527"}</definedName>
    <definedName name="가로" localSheetId="13" hidden="1">{#N/A,#N/A,FALSE,"전력간선"}</definedName>
    <definedName name="가로" hidden="1">{#N/A,#N/A,FALSE,"전력간선"}</definedName>
    <definedName name="가로간지" localSheetId="13" hidden="1">{#N/A,#N/A,FALSE,"현장 NCR 분석";#N/A,#N/A,FALSE,"현장품질감사";#N/A,#N/A,FALSE,"현장품질감사"}</definedName>
    <definedName name="가로간지" hidden="1">{#N/A,#N/A,FALSE,"현장 NCR 분석";#N/A,#N/A,FALSE,"현장품질감사";#N/A,#N/A,FALSE,"현장품질감사"}</definedName>
    <definedName name="가로등공사집계">#REF!</definedName>
    <definedName name="가설">#REF!</definedName>
    <definedName name="가설비">#REF!</definedName>
    <definedName name="가설비1">#REF!</definedName>
    <definedName name="가설비2">#REF!</definedName>
    <definedName name="가설비계">#REF!</definedName>
    <definedName name="가설사무소">#REF!</definedName>
    <definedName name="가설사무소경">[77]시설물일위!#REF!</definedName>
    <definedName name="가설사무소노">[77]가설공사!#REF!</definedName>
    <definedName name="가설사무소재">[77]시설물일위!#REF!</definedName>
    <definedName name="가설사무실">#REF!</definedName>
    <definedName name="가설장비손료">[78]준공정산!#REF!</definedName>
    <definedName name="가설장비손료.">[79]준공정산!#REF!</definedName>
    <definedName name="가설창고">#REF!</definedName>
    <definedName name="가설창고경">[77]시설물일위!#REF!</definedName>
    <definedName name="가설창고노">[77]시설물일위!#REF!</definedName>
    <definedName name="가설창고재">[77]시설물일위!#REF!</definedName>
    <definedName name="가시나무5노무">#REF!</definedName>
    <definedName name="가시나무5재료">#REF!</definedName>
    <definedName name="가시나무6노무">#REF!</definedName>
    <definedName name="가시나무6재료">#REF!</definedName>
    <definedName name="가시나무R4">[80]수목데이타!$E$2</definedName>
    <definedName name="가시나무R5">[80]수목데이타!$E$3</definedName>
    <definedName name="가시나무R6">[81]데이타!$E$4</definedName>
    <definedName name="가시나무R8">[81]데이타!$E$5</definedName>
    <definedName name="가시나무노무8">#REF!</definedName>
    <definedName name="가시나무재료8">#REF!</definedName>
    <definedName name="가옥" localSheetId="13" hidden="1">{#N/A,#N/A,FALSE,"속도"}</definedName>
    <definedName name="가옥" hidden="1">{#N/A,#N/A,FALSE,"속도"}</definedName>
    <definedName name="가이즈까">[50]단가!$A$94</definedName>
    <definedName name="가이즈까향1204">[81]데이타!$E$6</definedName>
    <definedName name="가이즈까향1505">[81]데이타!$E$7</definedName>
    <definedName name="가이즈까향2006">[81]데이타!$E$8</definedName>
    <definedName name="가이즈까향2008">[81]데이타!$E$9</definedName>
    <definedName name="가이즈까향2510">[81]데이타!$E$10</definedName>
    <definedName name="가입자">#REF!</definedName>
    <definedName name="가자" localSheetId="13" hidden="1">{"'Sheet1'!$A$4:$Y$100"}</definedName>
    <definedName name="가자" localSheetId="15" hidden="1">{"'Sheet1'!$A$4:$Y$100"}</definedName>
    <definedName name="가자" hidden="1">{"'Sheet1'!$A$4:$Y$100"}</definedName>
    <definedName name="가중나무B10">[81]데이타!$E$19</definedName>
    <definedName name="가중나무B4">[81]데이타!$E$15</definedName>
    <definedName name="가중나무B5">[81]데이타!$E$16</definedName>
    <definedName name="가중나무B6">[81]데이타!$E$17</definedName>
    <definedName name="가중나무B8">[81]데이타!$E$18</definedName>
    <definedName name="가지치기">#REF!</definedName>
    <definedName name="각암타이">#REF!</definedName>
    <definedName name="간노" localSheetId="13">'[73]7.설계명세서(통합보안)'!$G$215</definedName>
    <definedName name="간노">#REF!</definedName>
    <definedName name="간노_1">#REF!</definedName>
    <definedName name="간노_3" localSheetId="13">[79]설계명세서!$G$177</definedName>
    <definedName name="간노_3">[82]설계명세서!$G$177</definedName>
    <definedName name="간노1">#REF!</definedName>
    <definedName name="간노2">#REF!</definedName>
    <definedName name="간노3">#REF!</definedName>
    <definedName name="간노변경" localSheetId="13">[82]노무비변경!$J$23</definedName>
    <definedName name="간노변경">[83]노무비변경!$J$23</definedName>
    <definedName name="간노비" localSheetId="13">[84]설계!$G$170</definedName>
    <definedName name="간노비">#REF!</definedName>
    <definedName name="간노율">#N/A</definedName>
    <definedName name="간도">#REF!</definedName>
    <definedName name="간접">#REF!</definedName>
    <definedName name="간접경비">#REF!</definedName>
    <definedName name="간접노무">#REF!</definedName>
    <definedName name="간접노무1">#REF!</definedName>
    <definedName name="간접노무2">#REF!</definedName>
    <definedName name="간접노무3">#REF!</definedName>
    <definedName name="간접노무비">#REF!</definedName>
    <definedName name="간접노무비1">#REF!</definedName>
    <definedName name="간접노무비2">#REF!</definedName>
    <definedName name="간접노무비3">#REF!</definedName>
    <definedName name="간접노무비4">#REF!</definedName>
    <definedName name="간접노무비A">#REF!</definedName>
    <definedName name="간접노무비계">#REF!</definedName>
    <definedName name="간접재료비">#REF!</definedName>
    <definedName name="간접재료비_관로" localSheetId="13">'[83]예산내역서(총괄)'!$I$11</definedName>
    <definedName name="간접재료비_관로">'[85]예산내역서(총괄)'!$I$11</definedName>
    <definedName name="간접재료비_케이블" localSheetId="13">'[83]예산내역서(총괄)'!$I$21</definedName>
    <definedName name="간접재료비_케이블">'[85]예산내역서(총괄)'!$I$21</definedName>
    <definedName name="간지" localSheetId="29" hidden="1">[86]조명시설!#REF!</definedName>
    <definedName name="간지" localSheetId="13" hidden="1">[86]조명시설!#REF!</definedName>
    <definedName name="간지" localSheetId="19" hidden="1">[86]조명시설!#REF!</definedName>
    <definedName name="간지" hidden="1">[86]조명시설!#REF!</definedName>
    <definedName name="간지_공사설계서" localSheetId="29" hidden="1">#REF!</definedName>
    <definedName name="간지_공사설계서" localSheetId="13" hidden="1">#REF!</definedName>
    <definedName name="간지_공사설계서" localSheetId="19" hidden="1">#REF!</definedName>
    <definedName name="간지_공사설계서" hidden="1">#REF!</definedName>
    <definedName name="갈15">[72]계수시트!#REF!</definedName>
    <definedName name="갈대">[50]단가!$A$149</definedName>
    <definedName name="갈대3">[87]단가조사!#REF!</definedName>
    <definedName name="갈대노">[88]식재!$H$209</definedName>
    <definedName name="갈대재">[88]식재!$F$209</definedName>
    <definedName name="감">[50]단가!$A$102</definedName>
    <definedName name="감R10">[81]데이타!$E$24</definedName>
    <definedName name="감R12">[81]데이타!$E$25</definedName>
    <definedName name="감R15">[81]데이타!$E$26</definedName>
    <definedName name="감R5">[81]데이타!$E$20</definedName>
    <definedName name="감R6">[81]데이타!$E$21</definedName>
    <definedName name="감R7">[81]데이타!$E$22</definedName>
    <definedName name="감R8">[81]데이타!$E$23</definedName>
    <definedName name="감독자" localSheetId="13" hidden="1">{#N/A,#N/A,FALSE,"회선임차현황"}</definedName>
    <definedName name="감독자" hidden="1">{#N/A,#N/A,FALSE,"회선임차현황"}</definedName>
    <definedName name="감리상주" localSheetId="13" hidden="1">{#N/A,#N/A,FALSE,"지침";#N/A,#N/A,FALSE,"환경분석";#N/A,#N/A,FALSE,"Sheet16"}</definedName>
    <definedName name="감리상주" hidden="1">{#N/A,#N/A,FALSE,"지침";#N/A,#N/A,FALSE,"환경분석";#N/A,#N/A,FALSE,"Sheet16"}</definedName>
    <definedName name="감만중계기" localSheetId="13">'8-2.설비자재산출(무인보안)'!감만중계기</definedName>
    <definedName name="감만중계기" localSheetId="15">'8-4.일위대가표'!감만중계기</definedName>
    <definedName name="감만중계기">'8-2.설비자재산출(무인보안)'!감만중계기</definedName>
    <definedName name="감시모듈">#REF!</definedName>
    <definedName name="감시장치후배치도" localSheetId="22" hidden="1">{#N/A,#N/A,FALSE,"회선임차현황"}</definedName>
    <definedName name="감시장치후배치도" localSheetId="13" hidden="1">{#N/A,#N/A,FALSE,"회선임차현황"}</definedName>
    <definedName name="감시장치후배치도" localSheetId="15" hidden="1">{#N/A,#N/A,FALSE,"회선임차현황"}</definedName>
    <definedName name="감시장치후배치도" hidden="1">{#N/A,#N/A,FALSE,"회선임차현황"}</definedName>
    <definedName name="감자">[84]설계!$G$176</definedName>
    <definedName name="갑지">#REF!</definedName>
    <definedName name="갑지2"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갑지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갑표지" localSheetId="13" hidden="1">{#N/A,#N/A,FALSE,"부대1"}</definedName>
    <definedName name="갑표지" hidden="1">{#N/A,#N/A,FALSE,"부대1"}</definedName>
    <definedName name="강" localSheetId="13">'8-2.설비자재산출(무인보안)'!강</definedName>
    <definedName name="강" localSheetId="15">'8-4.일위대가표'!강</definedName>
    <definedName name="강">'8-2.설비자재산출(무인보안)'!강</definedName>
    <definedName name="강경욱" localSheetId="13" hidden="1">{#N/A,#N/A,FALSE,"골재소요량";#N/A,#N/A,FALSE,"골재소요량"}</definedName>
    <definedName name="강경욱" hidden="1">{#N/A,#N/A,FALSE,"골재소요량";#N/A,#N/A,FALSE,"골재소요량"}</definedName>
    <definedName name="강곤">#REF!</definedName>
    <definedName name="강관" localSheetId="13">[29]소요자재!$H$190</definedName>
    <definedName name="강관">#REF!</definedName>
    <definedName name="강관1">#REF!</definedName>
    <definedName name="강관80MM">#REF!</definedName>
    <definedName name="강관A">#REF!</definedName>
    <definedName name="강관건주">#REF!</definedName>
    <definedName name="강관건주1">#REF!</definedName>
    <definedName name="강관건주A">#REF!</definedName>
    <definedName name="강관시설1">#REF!</definedName>
    <definedName name="강관시설A">#REF!</definedName>
    <definedName name="강관주">#REF!</definedName>
    <definedName name="강관주1">#REF!</definedName>
    <definedName name="강관주A">#REF!</definedName>
    <definedName name="강관주건주" localSheetId="13">[29]노무산출서!$H$87</definedName>
    <definedName name="강관주건주">[30]노무산출서!$H$87</definedName>
    <definedName name="강교" localSheetId="13" hidden="1">{#N/A,#N/A,FALSE,"포장2"}</definedName>
    <definedName name="강교" hidden="1">{#N/A,#N/A,FALSE,"포장2"}</definedName>
    <definedName name="강구조물" localSheetId="13" hidden="1">{#N/A,#N/A,FALSE,"포장1";#N/A,#N/A,FALSE,"포장1"}</definedName>
    <definedName name="강구조물" hidden="1">{#N/A,#N/A,FALSE,"포장1";#N/A,#N/A,FALSE,"포장1"}</definedName>
    <definedName name="강릉교동" localSheetId="29" hidden="1">#REF!</definedName>
    <definedName name="강릉교동" localSheetId="13" hidden="1">#REF!</definedName>
    <definedName name="강릉교동" localSheetId="19" hidden="1">#REF!</definedName>
    <definedName name="강릉교동" hidden="1">#REF!</definedName>
    <definedName name="강릉교동터파기" localSheetId="29" hidden="1">#REF!</definedName>
    <definedName name="강릉교동터파기" localSheetId="13" hidden="1">#REF!</definedName>
    <definedName name="강릉교동터파기" localSheetId="19" hidden="1">#REF!</definedName>
    <definedName name="강릉교동터파기" hidden="1">#REF!</definedName>
    <definedName name="강릉교동토목" localSheetId="29" hidden="1">#REF!</definedName>
    <definedName name="강릉교동토목" localSheetId="13" hidden="1">#REF!</definedName>
    <definedName name="강릉교동토목" localSheetId="19" hidden="1">#REF!</definedName>
    <definedName name="강릉교동토목" hidden="1">#REF!</definedName>
    <definedName name="강릉교동흙막이" localSheetId="29" hidden="1">#REF!</definedName>
    <definedName name="강릉교동흙막이" localSheetId="13" hidden="1">#REF!</definedName>
    <definedName name="강릉교동흙막이" localSheetId="19" hidden="1">#REF!</definedName>
    <definedName name="강릉교동흙막이" hidden="1">#REF!</definedName>
    <definedName name="강릉토공사" localSheetId="29" hidden="1">#REF!</definedName>
    <definedName name="강릉토공사" localSheetId="13" hidden="1">#REF!</definedName>
    <definedName name="강릉토공사" localSheetId="19" hidden="1">#REF!</definedName>
    <definedName name="강릉토공사" hidden="1">#REF!</definedName>
    <definedName name="강릉토목공사" localSheetId="29" hidden="1">#REF!</definedName>
    <definedName name="강릉토목공사" localSheetId="13" hidden="1">#REF!</definedName>
    <definedName name="강릉토목공사" localSheetId="19" hidden="1">#REF!</definedName>
    <definedName name="강릉토목공사" hidden="1">#REF!</definedName>
    <definedName name="강릉토목임" localSheetId="29" hidden="1">#REF!</definedName>
    <definedName name="강릉토목임" localSheetId="13" hidden="1">#REF!</definedName>
    <definedName name="강릉토목임" localSheetId="19" hidden="1">#REF!</definedName>
    <definedName name="강릉토목임" hidden="1">#REF!</definedName>
    <definedName name="강상묵">[89]교환노무!#REF!</definedName>
    <definedName name="강성찬" localSheetId="13" hidden="1">{#N/A,#N/A,FALSE,"골재소요량";#N/A,#N/A,FALSE,"골재소요량"}</definedName>
    <definedName name="강성찬" hidden="1">{#N/A,#N/A,FALSE,"골재소요량";#N/A,#N/A,FALSE,"골재소요량"}</definedName>
    <definedName name="강성찬1" localSheetId="13" hidden="1">{#N/A,#N/A,FALSE,"2~8번"}</definedName>
    <definedName name="강성찬1" hidden="1">{#N/A,#N/A,FALSE,"2~8번"}</definedName>
    <definedName name="강성찬2" localSheetId="13" hidden="1">{#N/A,#N/A,FALSE,"혼합골재"}</definedName>
    <definedName name="강성찬2" hidden="1">{#N/A,#N/A,FALSE,"혼합골재"}</definedName>
    <definedName name="강성찬3" localSheetId="13" hidden="1">{#N/A,#N/A,FALSE,"골재소요량";#N/A,#N/A,FALSE,"골재소요량"}</definedName>
    <definedName name="강성찬3" hidden="1">{#N/A,#N/A,FALSE,"골재소요량";#N/A,#N/A,FALSE,"골재소요량"}</definedName>
    <definedName name="강성찬4" localSheetId="13" hidden="1">{#N/A,#N/A,FALSE,"골재소요량";#N/A,#N/A,FALSE,"골재소요량"}</definedName>
    <definedName name="강성찬4" hidden="1">{#N/A,#N/A,FALSE,"골재소요량";#N/A,#N/A,FALSE,"골재소요량"}</definedName>
    <definedName name="강아지">#REF!</definedName>
    <definedName name="강연선">#REF!</definedName>
    <definedName name="강연선1">#REF!</definedName>
    <definedName name="강연선A">#REF!</definedName>
    <definedName name="강재">#REF!</definedName>
    <definedName name="강재시설">#REF!</definedName>
    <definedName name="강재전선관">[38]소요자재!#REF!</definedName>
    <definedName name="강재전선관시설">[38]노무산출서!#REF!</definedName>
    <definedName name="강재포설">#REF!</definedName>
    <definedName name="강제간선" localSheetId="13">[29]노무산출서!$H$46</definedName>
    <definedName name="강제간선">[30]노무산출서!$H$46</definedName>
    <definedName name="강제간선A">#REF!</definedName>
    <definedName name="강제간선시설">#REF!</definedName>
    <definedName name="강제전선관">#REF!</definedName>
    <definedName name="강제전선관부속품">#REF!</definedName>
    <definedName name="강제전선관시설">#REF!</definedName>
    <definedName name="개" localSheetId="13">'8-2.설비자재산출(무인보안)'!개</definedName>
    <definedName name="개" localSheetId="15">'8-4.일위대가표'!개</definedName>
    <definedName name="개">'8-2.설비자재산출(무인보안)'!개</definedName>
    <definedName name="개나리">[90]단가!$A$140</definedName>
    <definedName name="개나리12">[81]데이타!$E$31</definedName>
    <definedName name="개나리3">[81]데이타!$E$27</definedName>
    <definedName name="개나리5">[81]데이타!$E$28</definedName>
    <definedName name="개나리7">[81]데이타!$E$29</definedName>
    <definedName name="개나리9">[81]데이타!$E$30</definedName>
    <definedName name="개쉬땅1204">[81]데이타!$E$32</definedName>
    <definedName name="개쉬땅1506">[81]데이타!$E$33</definedName>
    <definedName name="개통">'[56]5. 설계명세서'!#REF!</definedName>
    <definedName name="개통시험1">#REF!</definedName>
    <definedName name="개통시험2">#REF!</definedName>
    <definedName name="개통시험3">#REF!</definedName>
    <definedName name="개통시험비">#REF!</definedName>
    <definedName name="갯버들">[87]단가조사!#REF!</definedName>
    <definedName name="갯버들노">[88]식재!$H$156</definedName>
    <definedName name="갯버들재">[88]식재!$F$156</definedName>
    <definedName name="갱______부">#REF!</definedName>
    <definedName name="갱부">#REF!</definedName>
    <definedName name="거래처">#REF!</definedName>
    <definedName name="거리">#REF!</definedName>
    <definedName name="거리철">#REF!</definedName>
    <definedName name="건_축_목_공">#REF!</definedName>
    <definedName name="건가정산">#REF!</definedName>
    <definedName name="건산">#REF!</definedName>
    <definedName name="건설기계운전기사">#REF!</definedName>
    <definedName name="건접노무비4">#REF!</definedName>
    <definedName name="건주1">#REF!</definedName>
    <definedName name="건주2">#REF!</definedName>
    <definedName name="건주A">#REF!</definedName>
    <definedName name="건축" localSheetId="13" hidden="1">{#N/A,#N/A,TRUE,"토적및재료집계";#N/A,#N/A,TRUE,"토적및재료집계";#N/A,#N/A,TRUE,"단위량"}</definedName>
    <definedName name="건축" hidden="1">{#N/A,#N/A,TRUE,"토적및재료집계";#N/A,#N/A,TRUE,"토적및재료집계";#N/A,#N/A,TRUE,"단위량"}</definedName>
    <definedName name="건축목공">#REF!</definedName>
    <definedName name="검__조__부">#REF!</definedName>
    <definedName name="검사자">#REF!</definedName>
    <definedName name="검토" localSheetId="13" hidden="1">{#N/A,#N/A,FALSE,"현장 NCR 분석";#N/A,#N/A,FALSE,"현장품질감사";#N/A,#N/A,FALSE,"현장품질감사"}</definedName>
    <definedName name="검토" localSheetId="15" hidden="1">{#N/A,#N/A,FALSE,"현장 NCR 분석";#N/A,#N/A,FALSE,"현장품질감사";#N/A,#N/A,FALSE,"현장품질감사"}</definedName>
    <definedName name="검토" hidden="1">{#N/A,#N/A,FALSE,"현장 NCR 분석";#N/A,#N/A,FALSE,"현장품질감사";#N/A,#N/A,FALSE,"현장품질감사"}</definedName>
    <definedName name="검토서D" localSheetId="13" hidden="1">{#N/A,#N/A,FALSE,"현장 NCR 분석";#N/A,#N/A,FALSE,"현장품질감사";#N/A,#N/A,FALSE,"현장품질감사"}</definedName>
    <definedName name="검토서D" localSheetId="15" hidden="1">{#N/A,#N/A,FALSE,"현장 NCR 분석";#N/A,#N/A,FALSE,"현장품질감사";#N/A,#N/A,FALSE,"현장품질감사"}</definedName>
    <definedName name="검토서D" hidden="1">{#N/A,#N/A,FALSE,"현장 NCR 분석";#N/A,#N/A,FALSE,"현장품질감사";#N/A,#N/A,FALSE,"현장품질감사"}</definedName>
    <definedName name="검토자" localSheetId="13">[91]기초자료입력!$B$20</definedName>
    <definedName name="검토자">[92]기초자료입력!$B$20</definedName>
    <definedName name="것" localSheetId="13" hidden="1">{#N/A,#N/A,FALSE,"골재소요량";#N/A,#N/A,FALSE,"골재소요량"}</definedName>
    <definedName name="것" hidden="1">{#N/A,#N/A,FALSE,"골재소요량";#N/A,#N/A,FALSE,"골재소요량"}</definedName>
    <definedName name="겉표지" localSheetId="29" hidden="1">#REF!</definedName>
    <definedName name="겉표지" localSheetId="32" hidden="1">#REF!</definedName>
    <definedName name="겉표지" localSheetId="27" hidden="1">#REF!</definedName>
    <definedName name="겉표지" localSheetId="30" hidden="1">#REF!</definedName>
    <definedName name="겉표지" localSheetId="13" hidden="1">#REF!</definedName>
    <definedName name="겉표지" localSheetId="15" hidden="1">#REF!</definedName>
    <definedName name="겉표지" localSheetId="19" hidden="1">#REF!</definedName>
    <definedName name="겉표지" hidden="1">#REF!</definedName>
    <definedName name="게이트">[93]단가!$B$35</definedName>
    <definedName name="겨">#REF!</definedName>
    <definedName name="견">'[94]#REF'!#REF!</definedName>
    <definedName name="견__출__공">#REF!</definedName>
    <definedName name="견_적_명___인천11차_확장공사_견적_件">#REF!</definedName>
    <definedName name="견1">#REF!</definedName>
    <definedName name="견2">#REF!</definedName>
    <definedName name="견월악_성판악">#REF!</definedName>
    <definedName name="견인선">#REF!</definedName>
    <definedName name="견인선1" localSheetId="13">[29]노무산출서!$H$98</definedName>
    <definedName name="견인선1">[30]노무산출서!$H$98</definedName>
    <definedName name="견인선A">#REF!</definedName>
    <definedName name="견인선시설">[38]노무산출서!#REF!</definedName>
    <definedName name="견인선시설A">#REF!</definedName>
    <definedName name="견인선포설">#REF!</definedName>
    <definedName name="견적">#REF!</definedName>
    <definedName name="견적갑지">'[94]#REF'!#REF!</definedName>
    <definedName name="견적탱크">#REF!</definedName>
    <definedName name="견출공">#REF!</definedName>
    <definedName name="결" localSheetId="13" hidden="1">{#N/A,#N/A,FALSE,"포장2"}</definedName>
    <definedName name="결" hidden="1">{#N/A,#N/A,FALSE,"포장2"}</definedName>
    <definedName name="결과" localSheetId="13" hidden="1">{#N/A,#N/A,FALSE,"포장2"}</definedName>
    <definedName name="결과" hidden="1">{#N/A,#N/A,FALSE,"포장2"}</definedName>
    <definedName name="결속선">[90]단가!$A$18</definedName>
    <definedName name="겹동백1002">[80]수목데이타!$E$145</definedName>
    <definedName name="겹동백1204">[80]수목데이타!$E$146</definedName>
    <definedName name="겹동백1506">[80]수목데이타!$E$147</definedName>
    <definedName name="겹벗R6">[81]데이타!$E$34</definedName>
    <definedName name="겹벗R8">[81]데이타!$E$35</definedName>
    <definedName name="겹철쭉">[50]단가!$A$143</definedName>
    <definedName name="겹철쭉0304">[81]데이타!$E$36</definedName>
    <definedName name="겹철쭉0506">[81]데이타!$E$37</definedName>
    <definedName name="겹철쭉0608">[81]데이타!$E$38</definedName>
    <definedName name="겹철쭉0810">[81]데이타!$E$39</definedName>
    <definedName name="겹철쭉0812">[81]데이타!$E$40</definedName>
    <definedName name="경" localSheetId="13">'8-2.설비자재산출(무인보안)'!경</definedName>
    <definedName name="경" localSheetId="15">'8-4.일위대가표'!경</definedName>
    <definedName name="경">'8-2.설비자재산출(무인보안)'!경</definedName>
    <definedName name="경3">#REF!</definedName>
    <definedName name="경경비">[84]설계!$G$196</definedName>
    <definedName name="경계블럭연장" localSheetId="29" hidden="1">[95]조명시설!#REF!</definedName>
    <definedName name="경계블럭연장" localSheetId="13" hidden="1">[95]조명시설!#REF!</definedName>
    <definedName name="경계블럭연장" localSheetId="19" hidden="1">[95]조명시설!#REF!</definedName>
    <definedName name="경계블럭연장" hidden="1">[95]조명시설!#REF!</definedName>
    <definedName name="경고표시테이프">#REF!</definedName>
    <definedName name="경비" localSheetId="13">'[73]7.설계명세서(통합보안)'!$G$218</definedName>
    <definedName name="경비">#REF!</definedName>
    <definedName name="경비." localSheetId="13">[96]설계!$G$61</definedName>
    <definedName name="경비.">[97]설계!$G$61</definedName>
    <definedName name="경비_1">#REF!</definedName>
    <definedName name="경비_3" localSheetId="13">[79]설계명세서!$G$194</definedName>
    <definedName name="경비_3">[82]설계명세서!$G$194</definedName>
    <definedName name="경비_f">#REF!</definedName>
    <definedName name="경비_관로" localSheetId="13">'[83]예산내역서(총괄)'!$M$11</definedName>
    <definedName name="경비_관로">'[85]예산내역서(총괄)'!$M$11</definedName>
    <definedName name="경비1">#REF!</definedName>
    <definedName name="경비2">#REF!</definedName>
    <definedName name="경비3">#REF!</definedName>
    <definedName name="경비4">#REF!</definedName>
    <definedName name="경비5">#REF!</definedName>
    <definedName name="경비6">#REF!</definedName>
    <definedName name="경비7">#REF!</definedName>
    <definedName name="경비8">#REF!</definedName>
    <definedName name="경비A">#REF!</definedName>
    <definedName name="경비계">#REF!</definedName>
    <definedName name="경비변경" localSheetId="13">[82]경비변경!$J$6</definedName>
    <definedName name="경비변경">[83]경비변경!$J$6</definedName>
    <definedName name="경비분계">#REF!</definedName>
    <definedName name="경비합">#REF!</definedName>
    <definedName name="경비합2">#REF!</definedName>
    <definedName name="경비합계">#REF!</definedName>
    <definedName name="경비합계_1">#REF!</definedName>
    <definedName name="경비합계_2">#REF!</definedName>
    <definedName name="경수" localSheetId="13" hidden="1">{#N/A,#N/A,FALSE,"도급대비시행율";#N/A,#N/A,FALSE,"결의서";#N/A,#N/A,FALSE,"내역서";#N/A,#N/A,FALSE,"도급예상"}</definedName>
    <definedName name="경수" hidden="1">{#N/A,#N/A,FALSE,"도급대비시행율";#N/A,#N/A,FALSE,"결의서";#N/A,#N/A,FALSE,"내역서";#N/A,#N/A,FALSE,"도급예상"}</definedName>
    <definedName name="경수을지" localSheetId="1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완금">#REF!</definedName>
    <definedName name="경완금1">#REF!</definedName>
    <definedName name="경완금2">#REF!</definedName>
    <definedName name="경완금설치">#REF!</definedName>
    <definedName name="경완금시설">#REF!</definedName>
    <definedName name="경유">#REF!</definedName>
    <definedName name="경한" localSheetId="13" hidden="1">{#N/A,#N/A,FALSE,"표지목차"}</definedName>
    <definedName name="경한" hidden="1">{#N/A,#N/A,FALSE,"표지목차"}</definedName>
    <definedName name="경한1" localSheetId="13" hidden="1">{#N/A,#N/A,FALSE,"포장2"}</definedName>
    <definedName name="경한1" hidden="1">{#N/A,#N/A,FALSE,"포장2"}</definedName>
    <definedName name="경한3" localSheetId="13" hidden="1">{#N/A,#N/A,FALSE,"운반시간"}</definedName>
    <definedName name="경한3" hidden="1">{#N/A,#N/A,FALSE,"운반시간"}</definedName>
    <definedName name="경한4" localSheetId="13" hidden="1">{#N/A,#N/A,FALSE,"혼합골재"}</definedName>
    <definedName name="경한4" hidden="1">{#N/A,#N/A,FALSE,"혼합골재"}</definedName>
    <definedName name="경한5" localSheetId="13" hidden="1">{#N/A,#N/A,FALSE,"2~8번"}</definedName>
    <definedName name="경한5" hidden="1">{#N/A,#N/A,FALSE,"2~8번"}</definedName>
    <definedName name="경한6" localSheetId="13" hidden="1">{#N/A,#N/A,FALSE,"골재소요량";#N/A,#N/A,FALSE,"골재소요량"}</definedName>
    <definedName name="경한6" hidden="1">{#N/A,#N/A,FALSE,"골재소요량";#N/A,#N/A,FALSE,"골재소요량"}</definedName>
    <definedName name="경한7" localSheetId="13" hidden="1">{#N/A,#N/A,FALSE,"구조2"}</definedName>
    <definedName name="경한7" hidden="1">{#N/A,#N/A,FALSE,"구조2"}</definedName>
    <definedName name="경한8" localSheetId="13" hidden="1">{#N/A,#N/A,FALSE,"단가표지"}</definedName>
    <definedName name="경한8" hidden="1">{#N/A,#N/A,FALSE,"단가표지"}</definedName>
    <definedName name="경한9" localSheetId="13" hidden="1">{#N/A,#N/A,FALSE,"배수1"}</definedName>
    <definedName name="경한9" hidden="1">{#N/A,#N/A,FALSE,"배수1"}</definedName>
    <definedName name="계__령__공">#REF!</definedName>
    <definedName name="계__장__공">#REF!</definedName>
    <definedName name="계량소">#REF!</definedName>
    <definedName name="계보율">#REF!</definedName>
    <definedName name="계산서2">[7]!계산서2</definedName>
    <definedName name="계산차량대수">#REF!</definedName>
    <definedName name="계수">[53]소운반!#REF!</definedName>
    <definedName name="계수B5">[81]데이타!$E$41</definedName>
    <definedName name="계수B6">[81]데이타!$E$42</definedName>
    <definedName name="계수B8">[81]데이타!$E$43</definedName>
    <definedName name="계수나무6노무">#REF!</definedName>
    <definedName name="계수나무6재료">#REF!</definedName>
    <definedName name="계약금액">#REF!</definedName>
    <definedName name="계약날짜">#REF!</definedName>
    <definedName name="계약방법" localSheetId="13">[98]설명서!$D$49</definedName>
    <definedName name="계약방법">#REF!</definedName>
    <definedName name="계약번호">#REF!</definedName>
    <definedName name="계약이윤" localSheetId="13">[82]기초자료!$Q$66</definedName>
    <definedName name="계약이윤">[83]기초자료!$Q$66</definedName>
    <definedName name="계약일">#REF!</definedName>
    <definedName name="계약일반" localSheetId="13">[82]기초자료!$Q$65</definedName>
    <definedName name="계약일반">[83]기초자료!$Q$65</definedName>
    <definedName name="계장공">#REF!</definedName>
    <definedName name="계전2" localSheetId="29" hidden="1">#REF!</definedName>
    <definedName name="계전2" localSheetId="13" hidden="1">#REF!</definedName>
    <definedName name="계전2" localSheetId="19" hidden="1">#REF!</definedName>
    <definedName name="계전2" hidden="1">#REF!</definedName>
    <definedName name="계정과목">#REF!</definedName>
    <definedName name="계통" localSheetId="2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계통"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계통"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계통"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계통도" localSheetId="2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계통도"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계통도"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계통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계통도1">#REF!</definedName>
    <definedName name="계획서2">#REF!</definedName>
    <definedName name="계획표">#REF!</definedName>
    <definedName name="고">#REF!</definedName>
    <definedName name="고_급_선_원">#REF!</definedName>
    <definedName name="고객검색">#REF!</definedName>
    <definedName name="고광3">[81]데이타!$E$44</definedName>
    <definedName name="고광5">[81]데이타!$E$45</definedName>
    <definedName name="고급공사비." localSheetId="13">[96]설계!$G$71</definedName>
    <definedName name="고급공사비.">[97]설계!$G$71</definedName>
    <definedName name="고급기술자">#REF!</definedName>
    <definedName name="고급선원">#REF!</definedName>
    <definedName name="고급원자력비파괴시험">#REF!</definedName>
    <definedName name="고문" localSheetId="13" hidden="1">{#N/A,#N/A,FALSE,"현장 NCR 분석";#N/A,#N/A,FALSE,"현장품질감사";#N/A,#N/A,FALSE,"현장품질감사"}</definedName>
    <definedName name="고문" localSheetId="15" hidden="1">{#N/A,#N/A,FALSE,"현장 NCR 분석";#N/A,#N/A,FALSE,"현장품질감사";#N/A,#N/A,FALSE,"현장품질감사"}</definedName>
    <definedName name="고문" hidden="1">{#N/A,#N/A,FALSE,"현장 NCR 분석";#N/A,#N/A,FALSE,"현장품질감사";#N/A,#N/A,FALSE,"현장품질감사"}</definedName>
    <definedName name="고석진">#N/A</definedName>
    <definedName name="고압">#REF!</definedName>
    <definedName name="고압케이블공">#REF!</definedName>
    <definedName name="고압케이블전공">#REF!</definedName>
    <definedName name="고용">#REF!</definedName>
    <definedName name="고용1">#REF!</definedName>
    <definedName name="고용2">#REF!</definedName>
    <definedName name="고용보험" localSheetId="13">'[73]7.설계명세서(통합보안)'!$G$225</definedName>
    <definedName name="고용보험">'[99]7.설계명세서(통합보안)'!$G$225</definedName>
    <definedName name="고용보험료">#REF!</definedName>
    <definedName name="고용보험료2">#REF!</definedName>
    <definedName name="고주파케이블">#REF!</definedName>
    <definedName name="고주파케이블12M">#REF!</definedName>
    <definedName name="고창" localSheetId="22" hidden="1">{#N/A,#N/A,FALSE,"회선임차현황"}</definedName>
    <definedName name="고창" localSheetId="13" hidden="1">{#N/A,#N/A,FALSE,"회선임차현황"}</definedName>
    <definedName name="고창" localSheetId="15" hidden="1">{#N/A,#N/A,FALSE,"회선임차현황"}</definedName>
    <definedName name="고창" hidden="1">{#N/A,#N/A,FALSE,"회선임차현황"}</definedName>
    <definedName name="고창배치도" localSheetId="22" hidden="1">{#N/A,#N/A,FALSE,"회선임차현황"}</definedName>
    <definedName name="고창배치도" localSheetId="13" hidden="1">{#N/A,#N/A,FALSE,"회선임차현황"}</definedName>
    <definedName name="고창배치도" localSheetId="15" hidden="1">{#N/A,#N/A,FALSE,"회선임차현황"}</definedName>
    <definedName name="고창배치도" hidden="1">{#N/A,#N/A,FALSE,"회선임차현황"}</definedName>
    <definedName name="곡관">#REF!</definedName>
    <definedName name="곡동" localSheetId="13" hidden="1">{"'Firr(선)'!$AS$1:$AY$62","'Firr(사)'!$AS$1:$AY$62","'Firr(회)'!$AS$1:$AY$62","'Firr(선)'!$L$1:$V$62","'Firr(사)'!$L$1:$V$62","'Firr(회)'!$L$1:$V$62"}</definedName>
    <definedName name="곡동" hidden="1">{"'Firr(선)'!$AS$1:$AY$62","'Firr(사)'!$AS$1:$AY$62","'Firr(회)'!$AS$1:$AY$62","'Firr(선)'!$L$1:$V$62","'Firr(사)'!$L$1:$V$62","'Firr(회)'!$L$1:$V$62"}</definedName>
    <definedName name="골재량" localSheetId="13" hidden="1">{#N/A,#N/A,FALSE,"현장 NCR 분석";#N/A,#N/A,FALSE,"현장품질감사";#N/A,#N/A,FALSE,"현장품질감사"}</definedName>
    <definedName name="골재량" hidden="1">{#N/A,#N/A,FALSE,"현장 NCR 분석";#N/A,#N/A,FALSE,"현장품질감사";#N/A,#N/A,FALSE,"현장품질감사"}</definedName>
    <definedName name="곰솔2508">[100]데이타!$E$46</definedName>
    <definedName name="곰솔3010">[81]데이타!$E$47</definedName>
    <definedName name="곰솔R10">[80]수목데이타!$E$48</definedName>
    <definedName name="곰솔R12">[80]수목데이타!$E$49</definedName>
    <definedName name="곰솔R15">[80]수목데이타!$E$50</definedName>
    <definedName name="공">#REF!</definedName>
    <definedName name="공9501">#REF!</definedName>
    <definedName name="공가원가VMS\" localSheetId="22" hidden="1">{#N/A,#N/A,TRUE,"토적및재료집계";#N/A,#N/A,TRUE,"토적및재료집계";#N/A,#N/A,TRUE,"단위량"}</definedName>
    <definedName name="공가원가VMS\" localSheetId="13" hidden="1">{#N/A,#N/A,TRUE,"토적및재료집계";#N/A,#N/A,TRUE,"토적및재료집계";#N/A,#N/A,TRUE,"단위량"}</definedName>
    <definedName name="공가원가VMS\" localSheetId="15" hidden="1">{#N/A,#N/A,TRUE,"토적및재료집계";#N/A,#N/A,TRUE,"토적및재료집계";#N/A,#N/A,TRUE,"단위량"}</definedName>
    <definedName name="공가원가VMS\" hidden="1">{#N/A,#N/A,TRUE,"토적및재료집계";#N/A,#N/A,TRUE,"토적및재료집계";#N/A,#N/A,TRUE,"단위량"}</definedName>
    <definedName name="공간노">#N/A</definedName>
    <definedName name="공과금">#REF!</definedName>
    <definedName name="공구">#REF!</definedName>
    <definedName name="공구1">#REF!</definedName>
    <definedName name="공구2">#REF!</definedName>
    <definedName name="공구손">[84]설계!$G$180</definedName>
    <definedName name="공구손료" localSheetId="13">'[73]7.설계명세서(통합보안)'!$G$223</definedName>
    <definedName name="공구손료">#REF!</definedName>
    <definedName name="공구손료." localSheetId="13">[96]설계!$G$55</definedName>
    <definedName name="공구손료.">[97]설계!$G$55</definedName>
    <definedName name="공구손료변경" localSheetId="13">[82]경비변경!$J$10</definedName>
    <definedName name="공구손료변경">[83]경비변경!$J$10</definedName>
    <definedName name="공급">#REF!</definedName>
    <definedName name="공급1">#REF!</definedName>
    <definedName name="공급가액">#REF!</definedName>
    <definedName name="공급가액2">#REF!</definedName>
    <definedName name="공급가액4">#REF!</definedName>
    <definedName name="공급계1">#REF!</definedName>
    <definedName name="공급계2">#REF!</definedName>
    <definedName name="공급계3">#REF!</definedName>
    <definedName name="공급계약" localSheetId="13">[101]설계명세서!$L$66</definedName>
    <definedName name="공급계약">[102]설계명세서!$L$66</definedName>
    <definedName name="공기">#REF!</definedName>
    <definedName name="공드럼">[103]준공정산!$G$64</definedName>
    <definedName name="공량산출" localSheetId="2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량산출"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량산출"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량산출"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리">[19]공리일!$J$8</definedName>
    <definedName name="공리일공제">'[45]설계명세서(종합)'!#REF!</definedName>
    <definedName name="공문" localSheetId="13" hidden="1">{#N/A,#N/A,FALSE,"현장 NCR 분석";#N/A,#N/A,FALSE,"현장품질감사";#N/A,#N/A,FALSE,"현장품질감사"}</definedName>
    <definedName name="공문" hidden="1">{#N/A,#N/A,FALSE,"현장 NCR 분석";#N/A,#N/A,FALSE,"현장품질감사";#N/A,#N/A,FALSE,"현장품질감사"}</definedName>
    <definedName name="공사">#REF!</definedName>
    <definedName name="공사1">#REF!</definedName>
    <definedName name="공사2">#REF!</definedName>
    <definedName name="공사감독">#REF!</definedName>
    <definedName name="공사감독자">#REF!</definedName>
    <definedName name="공사개요10">[104]공사계획서!$B$37</definedName>
    <definedName name="공사개요9">[104]공사계획서!$B$36</definedName>
    <definedName name="공사경비" localSheetId="13">[83]예산내역서!$O$75</definedName>
    <definedName name="공사경비">[85]예산내역서!$O$75</definedName>
    <definedName name="공사계획서">#REF!</definedName>
    <definedName name="공사명" localSheetId="13">'[73]1.공사계획서'!$B$3</definedName>
    <definedName name="공사명">'[74]1.공사계획서'!$B$4</definedName>
    <definedName name="공사목적4">[104]공사계획서!$B$27</definedName>
    <definedName name="공사바변경내역서" localSheetId="29" hidden="1">#REF!</definedName>
    <definedName name="공사바변경내역서" localSheetId="32" hidden="1">#REF!</definedName>
    <definedName name="공사바변경내역서" localSheetId="27" hidden="1">#REF!</definedName>
    <definedName name="공사바변경내역서" localSheetId="30" hidden="1">#REF!</definedName>
    <definedName name="공사바변경내역서" localSheetId="13" hidden="1">#REF!</definedName>
    <definedName name="공사바변경내역서" localSheetId="15" hidden="1">#REF!</definedName>
    <definedName name="공사바변경내역서" localSheetId="19" hidden="1">#REF!</definedName>
    <definedName name="공사바변경내역서" hidden="1">#REF!</definedName>
    <definedName name="공사방법" localSheetId="13">[105]기초자료입력!$B$18</definedName>
    <definedName name="공사방법">[106]기초자료입력!$B$18</definedName>
    <definedName name="공사비">#REF!</definedName>
    <definedName name="공사비계">#REF!</definedName>
    <definedName name="공사비변경" localSheetId="29" hidden="1">#REF!</definedName>
    <definedName name="공사비변경" localSheetId="32" hidden="1">#REF!</definedName>
    <definedName name="공사비변경" localSheetId="27" hidden="1">#REF!</definedName>
    <definedName name="공사비변경" localSheetId="30" hidden="1">#REF!</definedName>
    <definedName name="공사비변경" localSheetId="13" hidden="1">#REF!</definedName>
    <definedName name="공사비변경" localSheetId="15" hidden="1">#REF!</definedName>
    <definedName name="공사비변경" localSheetId="19" hidden="1">#REF!</definedName>
    <definedName name="공사비변경" hidden="1">#REF!</definedName>
    <definedName name="공사비예산">#REF!</definedName>
    <definedName name="공사비집계표1"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공사비집계표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공사설계서표지"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공사설계서표지"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공사설명">#REF!</definedName>
    <definedName name="공사성격">#REF!</definedName>
    <definedName name="공사원가계산서" localSheetId="13" hidden="1">{#N/A,#N/A,TRUE,"토적및재료집계";#N/A,#N/A,TRUE,"토적및재료집계";#N/A,#N/A,TRUE,"단위량"}</definedName>
    <definedName name="공사원가계산서" hidden="1">{#N/A,#N/A,TRUE,"토적및재료집계";#N/A,#N/A,TRUE,"토적및재료집계";#N/A,#N/A,TRUE,"단위량"}</definedName>
    <definedName name="공사인수자">#REF!</definedName>
    <definedName name="공사준비">#REF!</definedName>
    <definedName name="공사책임자">#REF!</definedName>
    <definedName name="공사칸막이">#REF!</definedName>
    <definedName name="공사표시판">#REF!</definedName>
    <definedName name="공산">#REF!</definedName>
    <definedName name="공산품">#REF!</definedName>
    <definedName name="공이">#REF!</definedName>
    <definedName name="공일">#REF!</definedName>
    <definedName name="공정">#REF!</definedName>
    <definedName name="공정량">#REF!</definedName>
    <definedName name="공정집계준공" localSheetId="29" hidden="1">#REF!</definedName>
    <definedName name="공정집계준공" localSheetId="32" hidden="1">#REF!</definedName>
    <definedName name="공정집계준공" localSheetId="27" hidden="1">#REF!</definedName>
    <definedName name="공정집계준공" localSheetId="30" hidden="1">#REF!</definedName>
    <definedName name="공정집계준공" localSheetId="13" hidden="1">#REF!</definedName>
    <definedName name="공정집계준공" localSheetId="15" hidden="1">#REF!</definedName>
    <definedName name="공정집계준공" localSheetId="19" hidden="1">#REF!</definedName>
    <definedName name="공정집계준공" hidden="1">#REF!</definedName>
    <definedName name="공정표"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공정표"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공정표"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공정표"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공정표1" localSheetId="13" hidden="1">{"'Sheet1'!$A$4:$Y$100"}</definedName>
    <definedName name="공정표1" localSheetId="15" hidden="1">{"'Sheet1'!$A$4:$Y$100"}</definedName>
    <definedName name="공정표1" hidden="1">{"'Sheet1'!$A$4:$Y$100"}</definedName>
    <definedName name="공정품">#REF!</definedName>
    <definedName name="공제" localSheetId="13">[106]공리일!$J$7</definedName>
    <definedName name="공제">[107]공리일!$J$7</definedName>
    <definedName name="공제대" localSheetId="13">[83]공제대산출!$O$12</definedName>
    <definedName name="공제대">[85]공제대산출!$O$12</definedName>
    <definedName name="공종">#REF!</definedName>
    <definedName name="공종1">#REF!</definedName>
    <definedName name="공종간지" localSheetId="29" hidden="1">[108]수량집계!#REF!</definedName>
    <definedName name="공종간지" localSheetId="13" hidden="1">[108]수량집계!#REF!</definedName>
    <definedName name="공종간지" localSheetId="19" hidden="1">[108]수량집계!#REF!</definedName>
    <definedName name="공종간지" hidden="1">[108]수량집계!#REF!</definedName>
    <definedName name="공종단"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단"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단"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차속도">#REF!</definedName>
    <definedName name="공통">#REF!</definedName>
    <definedName name="공통공삽">[109]도급내역!$B$6</definedName>
    <definedName name="공통비" localSheetId="29" hidden="1">[110]유림골조!#REF!</definedName>
    <definedName name="공통비" localSheetId="13" hidden="1">[110]유림골조!#REF!</definedName>
    <definedName name="공통비" localSheetId="19" hidden="1">[110]유림골조!#REF!</definedName>
    <definedName name="공통비" hidden="1">[110]유림골조!#REF!</definedName>
    <definedName name="공통비코아" localSheetId="29" hidden="1">[15]Sheet2!#REF!</definedName>
    <definedName name="공통비코아" localSheetId="13" hidden="1">[15]Sheet2!#REF!</definedName>
    <definedName name="공통비코아" localSheetId="19" hidden="1">[15]Sheet2!#REF!</definedName>
    <definedName name="공통비코아" hidden="1">[15]Sheet2!#REF!</definedName>
    <definedName name="공포">#REF!</definedName>
    <definedName name="곽동준" localSheetId="13" hidden="1">{"'Firr(선)'!$AS$1:$AY$62","'Firr(사)'!$AS$1:$AY$62","'Firr(회)'!$AS$1:$AY$62","'Firr(선)'!$L$1:$V$62","'Firr(사)'!$L$1:$V$62","'Firr(회)'!$L$1:$V$62"}</definedName>
    <definedName name="곽동준" hidden="1">{"'Firr(선)'!$AS$1:$AY$62","'Firr(사)'!$AS$1:$AY$62","'Firr(회)'!$AS$1:$AY$62","'Firr(선)'!$L$1:$V$62","'Firr(사)'!$L$1:$V$62","'Firr(회)'!$L$1:$V$62"}</definedName>
    <definedName name="곽동중" localSheetId="13" hidden="1">{"'Firr(선)'!$AS$1:$AY$62","'Firr(사)'!$AS$1:$AY$62","'Firr(회)'!$AS$1:$AY$62","'Firr(선)'!$L$1:$V$62","'Firr(사)'!$L$1:$V$62","'Firr(회)'!$L$1:$V$62"}</definedName>
    <definedName name="곽동중" hidden="1">{"'Firr(선)'!$AS$1:$AY$62","'Firr(사)'!$AS$1:$AY$62","'Firr(회)'!$AS$1:$AY$62","'Firr(선)'!$L$1:$V$62","'Firr(사)'!$L$1:$V$62","'Firr(회)'!$L$1:$V$62"}</definedName>
    <definedName name="관" localSheetId="13" hidden="1">{#N/A,#N/A,FALSE,"회선임차현황"}</definedName>
    <definedName name="관" localSheetId="15" hidden="1">{#N/A,#N/A,FALSE,"회선임차현황"}</definedName>
    <definedName name="관" hidden="1">{#N/A,#N/A,FALSE,"회선임차현황"}</definedName>
    <definedName name="관경03">[111]계수시트!$B$67</definedName>
    <definedName name="관경06">[111]계수시트!$B$70</definedName>
    <definedName name="관경08">[111]계수시트!$B$71</definedName>
    <definedName name="관경10">[111]계수시트!$B$63</definedName>
    <definedName name="관경15">[111]계수시트!$B$65</definedName>
    <definedName name="관경5">[111]계수시트!$B$59</definedName>
    <definedName name="관경6">[111]계수시트!$B$60</definedName>
    <definedName name="관경7">[111]계수시트!$B$61</definedName>
    <definedName name="관경8">[111]계수시트!$B$62</definedName>
    <definedName name="관계단노">[88]시설물!$H$294</definedName>
    <definedName name="관계단재">[88]시설물!$F$294</definedName>
    <definedName name="관급" localSheetId="29">#REF!,#REF!,#REF!</definedName>
    <definedName name="관급" localSheetId="13">#REF!,#REF!,#REF!</definedName>
    <definedName name="관급" localSheetId="19">#REF!,#REF!,#REF!</definedName>
    <definedName name="관급">#REF!,#REF!,#REF!</definedName>
    <definedName name="관급1" localSheetId="29">'[7]10-2.광코아 계통도(154kV)'!관급</definedName>
    <definedName name="관급1" localSheetId="19">'[7]10-2.광코아 계통도(154kV)'!관급</definedName>
    <definedName name="관급1">'[7]10-2.광코아 계통도(154kV)'!관급</definedName>
    <definedName name="관급단가">#REF!</definedName>
    <definedName name="관급자재대">#REF!</definedName>
    <definedName name="관노03">[111]계수시트!$B$39</definedName>
    <definedName name="관노06">[111]계수시트!$B$42</definedName>
    <definedName name="관노08">[111]계수시트!$B$43</definedName>
    <definedName name="관노10">[111]계수시트!$B$35</definedName>
    <definedName name="관노15">[111]계수시트!$B$37</definedName>
    <definedName name="관노5">[111]계수시트!$B$31</definedName>
    <definedName name="관노6">[111]계수시트!$B$32</definedName>
    <definedName name="관노7">[111]계수시트!$B$33</definedName>
    <definedName name="관노8">[111]계수시트!$B$34</definedName>
    <definedName name="관로">#REF!</definedName>
    <definedName name="관로1">#REF!</definedName>
    <definedName name="관로2">#REF!</definedName>
    <definedName name="관로3">#REF!</definedName>
    <definedName name="관로4">#REF!</definedName>
    <definedName name="관로A">#REF!</definedName>
    <definedName name="관로B">#REF!</definedName>
    <definedName name="관로C">#REF!</definedName>
    <definedName name="관로D">#REF!</definedName>
    <definedName name="관로공사1">#REF!</definedName>
    <definedName name="관로공사2">#REF!</definedName>
    <definedName name="관로공사3">#REF!</definedName>
    <definedName name="관로공사4">#REF!</definedName>
    <definedName name="관로공사A">#REF!</definedName>
    <definedName name="관로공사B">#REF!</definedName>
    <definedName name="관로공사C">#REF!</definedName>
    <definedName name="관로공사D">#REF!</definedName>
    <definedName name="관로구삽입형방">[38]소요자재!#REF!</definedName>
    <definedName name="관로구삽입형방수" localSheetId="13">[29]노무산출서!$H$95</definedName>
    <definedName name="관로구삽입형방수">[38]노무산출서!#REF!</definedName>
    <definedName name="관로구삽입형방수장치" localSheetId="13">[29]소요자재!$H$234</definedName>
    <definedName name="관로구삽입형방수장치">[30]소요자재!$H$234</definedName>
    <definedName name="관로기계경비">[75]예산내역서!#REF!</definedName>
    <definedName name="관로대리석">[38]소요자재!#REF!</definedName>
    <definedName name="관로대리석시설">[38]노무산출서!#REF!</definedName>
    <definedName name="관로및기타">#REF!</definedName>
    <definedName name="관로보도">[38]소요자재!#REF!</definedName>
    <definedName name="관로보도시설">[38]노무산출서!#REF!</definedName>
    <definedName name="관로사리도">[38]소요자재!#REF!</definedName>
    <definedName name="관로선통">#REF!</definedName>
    <definedName name="관로아스팔트">[38]소요자재!#REF!</definedName>
    <definedName name="관로아스팔트1">#REF!</definedName>
    <definedName name="관로아스팔트시설">[38]노무산출서!#REF!</definedName>
    <definedName name="관로청소">#REF!</definedName>
    <definedName name="관로청소A">#REF!</definedName>
    <definedName name="관로총괄">#REF!</definedName>
    <definedName name="관로콘크리트">[38]소요자재!#REF!</definedName>
    <definedName name="관로콘크리트시설">[38]노무산출서!#REF!</definedName>
    <definedName name="관로포설">#REF!</definedName>
    <definedName name="관로포설재">#REF!</definedName>
    <definedName name="관리">#REF!</definedName>
    <definedName name="관리처" localSheetId="22" hidden="1">{#N/A,#N/A,FALSE,"회선임차현황"}</definedName>
    <definedName name="관리처" localSheetId="34" hidden="1">{#N/A,#N/A,FALSE,"회선임차현황"}</definedName>
    <definedName name="관리처" localSheetId="35" hidden="1">{#N/A,#N/A,FALSE,"회선임차현황"}</definedName>
    <definedName name="관리처" localSheetId="36" hidden="1">{#N/A,#N/A,FALSE,"회선임차현황"}</definedName>
    <definedName name="관리처" localSheetId="37" hidden="1">{#N/A,#N/A,FALSE,"회선임차현황"}</definedName>
    <definedName name="관리처" localSheetId="13" hidden="1">{#N/A,#N/A,FALSE,"회선임차현황"}</definedName>
    <definedName name="관리처" localSheetId="15" hidden="1">{#N/A,#N/A,FALSE,"회선임차현황"}</definedName>
    <definedName name="관리처" hidden="1">{#N/A,#N/A,FALSE,"회선임차현황"}</definedName>
    <definedName name="관용접노무">#REF!</definedName>
    <definedName name="관용접노무비">#REF!</definedName>
    <definedName name="관용접재료">#REF!</definedName>
    <definedName name="관용접재료비">#REF!</definedName>
    <definedName name="관재03">[111]계수시트!$B$53</definedName>
    <definedName name="관재06">[111]계수시트!$B$56</definedName>
    <definedName name="관재08">[111]계수시트!$B$57</definedName>
    <definedName name="관재10">[111]계수시트!$B$49</definedName>
    <definedName name="관재15">[111]계수시트!$B$51</definedName>
    <definedName name="관재5">[111]계수시트!$B$45</definedName>
    <definedName name="관재6">[111]계수시트!$B$46</definedName>
    <definedName name="관재7">[111]계수시트!$B$47</definedName>
    <definedName name="관재8">[111]계수시트!$B$48</definedName>
    <definedName name="관찰4경">[88]시설물!$J$357</definedName>
    <definedName name="관찰4노">[88]시설물!$H$357</definedName>
    <definedName name="관찰4재">[88]시설물!$F$357</definedName>
    <definedName name="관찰다리노">[88]시설물!$H$383</definedName>
    <definedName name="관찰다리재">[88]시설물!$F$383</definedName>
    <definedName name="관찰로경">[88]시설물!$J$370</definedName>
    <definedName name="관찰로노">[88]시설물!$H$370</definedName>
    <definedName name="관찰로재">[88]시설물!$F$370</definedName>
    <definedName name="광" localSheetId="13">'8-2.설비자재산출(무인보안)'!광</definedName>
    <definedName name="광" localSheetId="15">'8-4.일위대가표'!광</definedName>
    <definedName name="광">'8-2.설비자재산출(무인보안)'!광</definedName>
    <definedName name="광1">#REF!</definedName>
    <definedName name="광10">#REF!</definedName>
    <definedName name="광10C">'[44]4차설계'!#REF!</definedName>
    <definedName name="광11">#REF!</definedName>
    <definedName name="광12">#REF!</definedName>
    <definedName name="광2">#REF!</definedName>
    <definedName name="광3">#REF!</definedName>
    <definedName name="광4">#REF!</definedName>
    <definedName name="광5">#REF!</definedName>
    <definedName name="광6">#REF!</definedName>
    <definedName name="광7">#REF!</definedName>
    <definedName name="광8">#REF!</definedName>
    <definedName name="광9">#REF!</definedName>
    <definedName name="광가여울신">#REF!</definedName>
    <definedName name="광가여울철">#REF!</definedName>
    <definedName name="광가울신">#REF!</definedName>
    <definedName name="광가울철">#REF!</definedName>
    <definedName name="광나무1003">[80]수목데이타!$E$51</definedName>
    <definedName name="광나무1203">[80]수목데이타!$E$52</definedName>
    <definedName name="광나무1506">[80]수목데이타!$E$53</definedName>
    <definedName name="광노무비" localSheetId="13">[107]정산설계!$G$245</definedName>
    <definedName name="광노무비">[112]정산설계!$G$245</definedName>
    <definedName name="광단국1">#REF!</definedName>
    <definedName name="광단국2">#REF!</definedName>
    <definedName name="광단국3">#REF!</definedName>
    <definedName name="광단국4">#REF!</definedName>
    <definedName name="광단국5">#REF!</definedName>
    <definedName name="광단국6">#REF!</definedName>
    <definedName name="광분배1" localSheetId="13">[6]소요자재!$H$107</definedName>
    <definedName name="광분배1">[23]소요자재!$H$107</definedName>
    <definedName name="광분배2" localSheetId="13">[6]소요자재!$H$108</definedName>
    <definedName name="광분배2">[23]소요자재!$H$108</definedName>
    <definedName name="광분배3" localSheetId="13">[6]소요자재!$H$109</definedName>
    <definedName name="광분배3">[23]소요자재!$H$109</definedName>
    <definedName name="광분배함1">[45]소요자재!#REF!</definedName>
    <definedName name="광분배함144">#REF!</definedName>
    <definedName name="광분배함2">[45]소요자재!#REF!</definedName>
    <definedName name="광분배함24">#REF!</definedName>
    <definedName name="광분배함288">#REF!</definedName>
    <definedName name="광분배함3">[45]소요자재!#REF!</definedName>
    <definedName name="광분배함4">[45]소요자재!#REF!</definedName>
    <definedName name="광분배함48">#REF!</definedName>
    <definedName name="광분배함5">[45]소요자재!#REF!</definedName>
    <definedName name="광분배함6">[45]소요자재!#REF!</definedName>
    <definedName name="광분배함7">[45]소요자재!#REF!</definedName>
    <definedName name="광분배함8">[45]소요자재!#REF!</definedName>
    <definedName name="광분배함96">#REF!</definedName>
    <definedName name="광분배함XX">#REF!</definedName>
    <definedName name="광분배함취부" localSheetId="13">[29]노무산출서!$H$19</definedName>
    <definedName name="광분배함취부">[30]노무산출서!$H$19</definedName>
    <definedName name="광산">#REF!</definedName>
    <definedName name="광산품">#REF!</definedName>
    <definedName name="광송수신기">#REF!</definedName>
    <definedName name="광수신감도">#REF!</definedName>
    <definedName name="광수신감도A">#REF!</definedName>
    <definedName name="광수신감도축정">[45]노무산출서!#REF!</definedName>
    <definedName name="광수신감도측정" localSheetId="13">[29]노무산출서!$H$10</definedName>
    <definedName name="광수신감도측정">[38]노무산출서!#REF!</definedName>
    <definedName name="광심">#REF!</definedName>
    <definedName name="광심선" localSheetId="29" hidden="1">#REF!</definedName>
    <definedName name="광심선" localSheetId="32" hidden="1">#REF!</definedName>
    <definedName name="광심선" localSheetId="27" hidden="1">#REF!</definedName>
    <definedName name="광심선" localSheetId="30" hidden="1">#REF!</definedName>
    <definedName name="광심선" localSheetId="13" hidden="1">#REF!</definedName>
    <definedName name="광심선" localSheetId="15" hidden="1">#REF!</definedName>
    <definedName name="광심선" localSheetId="19" hidden="1">#REF!</definedName>
    <definedName name="광심선" hidden="1">#REF!</definedName>
    <definedName name="광심선선">#REF!</definedName>
    <definedName name="광심선수용">#REF!</definedName>
    <definedName name="광심선수용도">#REF!</definedName>
    <definedName name="광아답터">#REF!</definedName>
    <definedName name="광아답터1">#REF!</definedName>
    <definedName name="광아답터10">[68]성단물량!#REF!</definedName>
    <definedName name="광아답터2">#REF!</definedName>
    <definedName name="광아답터3">[68]성단물량!#REF!</definedName>
    <definedName name="광아답터4">[68]성단물량!#REF!</definedName>
    <definedName name="광아답터5">[68]성단물량!#REF!</definedName>
    <definedName name="광아답터6">[68]성단물량!#REF!</definedName>
    <definedName name="광아답터7">[68]성단물량!#REF!</definedName>
    <definedName name="광아답터8">[68]성단물량!#REF!</definedName>
    <definedName name="광아답터9">#REF!</definedName>
    <definedName name="광아답터A">#REF!</definedName>
    <definedName name="광외피접속">#REF!</definedName>
    <definedName name="광원파장">#REF!</definedName>
    <definedName name="광원파장A">#REF!</definedName>
    <definedName name="광원파장작성">#REF!</definedName>
    <definedName name="광원파장측정" localSheetId="13">[29]노무산출서!$H$8</definedName>
    <definedName name="광원파장측정">[38]노무산출서!#REF!</definedName>
    <definedName name="광재활용철거">#REF!</definedName>
    <definedName name="광전송_1">#REF!</definedName>
    <definedName name="광전송_2">#REF!</definedName>
    <definedName name="광전송계">#REF!</definedName>
    <definedName name="광전송설치">#REF!</definedName>
    <definedName name="광전송장치">#REF!</definedName>
    <definedName name="광점퍼코드">#REF!</definedName>
    <definedName name="광점퍼코드1" localSheetId="13">[29]소요자재!$H$173</definedName>
    <definedName name="광점퍼코드1">[30]소요자재!$H$173</definedName>
    <definedName name="광점퍼코드10">[38]소요자재!#REF!</definedName>
    <definedName name="광점퍼코드2" localSheetId="13">[29]소요자재!$H$174</definedName>
    <definedName name="광점퍼코드2">[30]소요자재!$H$174</definedName>
    <definedName name="광점퍼코드3" localSheetId="13">[29]소요자재!$H$175</definedName>
    <definedName name="광점퍼코드3">[38]소요자재!#REF!</definedName>
    <definedName name="광점퍼코트3M">#REF!</definedName>
    <definedName name="광접속10">#REF!</definedName>
    <definedName name="광접속20">#REF!</definedName>
    <definedName name="광접속함체24">#REF!</definedName>
    <definedName name="광접속함체48">#REF!</definedName>
    <definedName name="광접속함체96">#REF!</definedName>
    <definedName name="광접속함체XXC">#REF!</definedName>
    <definedName name="광접속함체설치" localSheetId="13">[29]노무산출서!$H$51</definedName>
    <definedName name="광접속함체설치">[30]노무산출서!$H$51</definedName>
    <definedName name="광주">#REF!</definedName>
    <definedName name="광철거1">#REF!</definedName>
    <definedName name="광철거A">#REF!</definedName>
    <definedName name="광케">#REF!</definedName>
    <definedName name="광케기">#REF!</definedName>
    <definedName name="광케기사" localSheetId="13">[112]인부임!$F$37</definedName>
    <definedName name="광케기사">[113]인부임!$F$37</definedName>
    <definedName name="광케노무비" localSheetId="13">[107]정산설계!$G$280</definedName>
    <definedName name="광케노무비">[112]정산설계!$G$280</definedName>
    <definedName name="광케이블">#REF!</definedName>
    <definedName name="광케이블_1">#REF!</definedName>
    <definedName name="광케이블_2">#REF!</definedName>
    <definedName name="광케이블2열">#REF!</definedName>
    <definedName name="광케이블3열">#REF!</definedName>
    <definedName name="광케이블가공12">#REF!</definedName>
    <definedName name="광케이블가공24">#REF!</definedName>
    <definedName name="광케이블가공48">#REF!</definedName>
    <definedName name="광케이블가공6">#REF!</definedName>
    <definedName name="광케이블가공96">#REF!</definedName>
    <definedName name="광케이블계">#REF!</definedName>
    <definedName name="광케이블기사">#REF!</definedName>
    <definedName name="광케이블설치사">#REF!</definedName>
    <definedName name="광케이블성단">#REF!</definedName>
    <definedName name="광케이블야간할증">#REF!</definedName>
    <definedName name="광케이블접속">#REF!</definedName>
    <definedName name="광케이블접속할증">#REF!</definedName>
    <definedName name="광케이블지중12">#REF!</definedName>
    <definedName name="광케이블지중24">#REF!</definedName>
    <definedName name="광케이블지중48">#REF!</definedName>
    <definedName name="광케이블지중6">#REF!</definedName>
    <definedName name="광케이블지중96">#REF!</definedName>
    <definedName name="광케이블철거">#REF!</definedName>
    <definedName name="광케이블철거1">#REF!</definedName>
    <definedName name="광케이블철거2">#REF!</definedName>
    <definedName name="광케이블최종시험">#REF!</definedName>
    <definedName name="광케이블포설">#REF!</definedName>
    <definedName name="광케이블포설1">#REF!</definedName>
    <definedName name="광케이블포설2">#REF!</definedName>
    <definedName name="광케이블포설가공">#REF!</definedName>
    <definedName name="광케이블포설관로">#REF!</definedName>
    <definedName name="광코드01">#REF!</definedName>
    <definedName name="광코드02">#REF!</definedName>
    <definedName name="광코드03">#REF!</definedName>
    <definedName name="광코드04">#REF!</definedName>
    <definedName name="광코드10">#REF!</definedName>
    <definedName name="광코드11">#REF!</definedName>
    <definedName name="광코드12">#REF!</definedName>
    <definedName name="광코드13">#REF!</definedName>
    <definedName name="광코드14">#REF!</definedName>
    <definedName name="광코드20">#REF!</definedName>
    <definedName name="광코드21">#REF!</definedName>
    <definedName name="광코드22">#REF!</definedName>
    <definedName name="광코드23">#REF!</definedName>
    <definedName name="광코드24">#REF!</definedName>
    <definedName name="광코드3">#REF!</definedName>
    <definedName name="광코드31">#REF!</definedName>
    <definedName name="광코드32">#REF!</definedName>
    <definedName name="광코드33">#REF!</definedName>
    <definedName name="광코드34">#REF!</definedName>
    <definedName name="광코드41">#REF!</definedName>
    <definedName name="광코드42">#REF!</definedName>
    <definedName name="광코드43">#REF!</definedName>
    <definedName name="광코드44">#REF!</definedName>
    <definedName name="광코드51">#REF!</definedName>
    <definedName name="광코드52">#REF!</definedName>
    <definedName name="광코드53">#REF!</definedName>
    <definedName name="광코드54">#REF!</definedName>
    <definedName name="광코드61">#REF!</definedName>
    <definedName name="광코드62">#REF!</definedName>
    <definedName name="광코드63">#REF!</definedName>
    <definedName name="광코드64">#REF!</definedName>
    <definedName name="광코드71">#REF!</definedName>
    <definedName name="광코드72">#REF!</definedName>
    <definedName name="광코드73">#REF!</definedName>
    <definedName name="광코드74">#REF!</definedName>
    <definedName name="광코아" localSheetId="13" hidden="1">{"'선로집계'!$A$1:$G$68"}</definedName>
    <definedName name="광코아" localSheetId="15" hidden="1">{"'선로집계'!$A$1:$G$68"}</definedName>
    <definedName name="광코아" hidden="1">{"'선로집계'!$A$1:$G$68"}</definedName>
    <definedName name="광코아접속">#REF!</definedName>
    <definedName name="광통">#REF!</definedName>
    <definedName name="광통기">#REF!</definedName>
    <definedName name="광통기사" localSheetId="13">[112]인부임!$F$36</definedName>
    <definedName name="광통기사">[113]인부임!$F$36</definedName>
    <definedName name="광통신">#REF!</definedName>
    <definedName name="광통신기사">#REF!</definedName>
    <definedName name="광편백0405">[80]수목데이타!$E$153</definedName>
    <definedName name="광편백0507">[80]수목데이타!$E$154</definedName>
    <definedName name="광편백0509">[80]수목데이타!$E$155</definedName>
    <definedName name="광포설가공">#REF!</definedName>
    <definedName name="광포설관로">#REF!</definedName>
    <definedName name="교대공" localSheetId="13" hidden="1">{#N/A,#N/A,FALSE,"단면 제원"}</definedName>
    <definedName name="교대공" hidden="1">{#N/A,#N/A,FALSE,"단면 제원"}</definedName>
    <definedName name="교대펄근집계" localSheetId="13" hidden="1">{#N/A,#N/A,FALSE,"배수1"}</definedName>
    <definedName name="교대펄근집계" hidden="1">{#N/A,#N/A,FALSE,"배수1"}</definedName>
    <definedName name="교동토" localSheetId="29" hidden="1">#REF!</definedName>
    <definedName name="교동토" localSheetId="13" hidden="1">#REF!</definedName>
    <definedName name="교동토" localSheetId="19" hidden="1">#REF!</definedName>
    <definedName name="교동토" hidden="1">#REF!</definedName>
    <definedName name="교동토목" localSheetId="13" hidden="1">{#N/A,#N/A,FALSE,"이태원철근"}</definedName>
    <definedName name="교동토목" hidden="1">{#N/A,#N/A,FALSE,"이태원철근"}</definedName>
    <definedName name="교동토목공사" localSheetId="13" hidden="1">{#N/A,#N/A,FALSE,"이태원철근"}</definedName>
    <definedName name="교동토목공사" hidden="1">{#N/A,#N/A,FALSE,"이태원철근"}</definedName>
    <definedName name="교량깨기" localSheetId="13" hidden="1">{"'산출근거'!$B$4:$D$8"}</definedName>
    <definedName name="교량깨기" hidden="1">{"'산출근거'!$B$4:$D$8"}</definedName>
    <definedName name="교량용임시환기시설" localSheetId="13" hidden="1">{#N/A,#N/A,FALSE,"배수2"}</definedName>
    <definedName name="교량용임시환기시설" hidden="1">{#N/A,#N/A,FALSE,"배수2"}</definedName>
    <definedName name="교량첨가집계표">#REF!</definedName>
    <definedName name="교육행사">#REF!</definedName>
    <definedName name="교좌" localSheetId="13" hidden="1">{#N/A,#N/A,FALSE,"포장2"}</definedName>
    <definedName name="교좌" hidden="1">{#N/A,#N/A,FALSE,"포장2"}</definedName>
    <definedName name="교첨">#REF!</definedName>
    <definedName name="교통통신비">#REF!</definedName>
    <definedName name="교환설비">[57]!교환설비</definedName>
    <definedName name="구">#REF!</definedName>
    <definedName name="구1"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간">#REF!</definedName>
    <definedName name="구간1">#REF!</definedName>
    <definedName name="구간2">#REF!</definedName>
    <definedName name="구간3">#REF!</definedName>
    <definedName name="구간4">#REF!</definedName>
    <definedName name="구간거리">#REF!</definedName>
    <definedName name="구내접지선" localSheetId="13">[29]소요자재!$H$182</definedName>
    <definedName name="구내접지선">[38]소요자재!#REF!</definedName>
    <definedName name="구내접지선1" localSheetId="13">[29]소요자재!$H$183</definedName>
    <definedName name="구내접지선1">[30]소요자재!$H$183</definedName>
    <definedName name="구내접지선2" localSheetId="13">[29]소요자재!$H$184</definedName>
    <definedName name="구내접지선2">[30]소요자재!$H$184</definedName>
    <definedName name="구내접지선장비">[38]소요자재!#REF!</definedName>
    <definedName name="구멍">#REF!</definedName>
    <definedName name="구분">#REF!</definedName>
    <definedName name="구분2">#REF!</definedName>
    <definedName name="구산갑지" localSheetId="29" hidden="1">#REF!</definedName>
    <definedName name="구산갑지" localSheetId="13" hidden="1">#REF!</definedName>
    <definedName name="구산갑지" localSheetId="19" hidden="1">#REF!</definedName>
    <definedName name="구산갑지" hidden="1">#REF!</definedName>
    <definedName name="구상나무1505">[80]수목데이타!$E$69</definedName>
    <definedName name="구상나무2008">[80]수목데이타!$E$70</definedName>
    <definedName name="구상나무2510">[80]수목데이타!$E$71</definedName>
    <definedName name="구상나무3012">[80]수목데이타!$E$72</definedName>
    <definedName name="구입재료">#REF!</definedName>
    <definedName name="구자관" localSheetId="13" hidden="1">{#N/A,#N/A,FALSE,"신청통보";#N/A,#N/A,FALSE,"기성확인서";#N/A,#N/A,FALSE,"기성내역서"}</definedName>
    <definedName name="구자관" hidden="1">{#N/A,#N/A,FALSE,"신청통보";#N/A,#N/A,FALSE,"기성확인서";#N/A,#N/A,FALSE,"기성내역서"}</definedName>
    <definedName name="구재">#REF!</definedName>
    <definedName name="구조" localSheetId="13" hidden="1">{#N/A,#N/A,FALSE,"구조1"}</definedName>
    <definedName name="구조" hidden="1">{#N/A,#N/A,FALSE,"구조1"}</definedName>
    <definedName name="구조물2" localSheetId="13" hidden="1">{#N/A,#N/A,FALSE,"구조1"}</definedName>
    <definedName name="구조물2" hidden="1">{#N/A,#N/A,FALSE,"구조1"}</definedName>
    <definedName name="구조물R">#REF!</definedName>
    <definedName name="구조물깨기간지" localSheetId="13" hidden="1">{"'산출근거'!$B$4:$D$8"}</definedName>
    <definedName name="구조물깨기간지" hidden="1">{"'산출근거'!$B$4:$D$8"}</definedName>
    <definedName name="구조물설치">#REF!</definedName>
    <definedName name="구조물철거">#REF!</definedName>
    <definedName name="국내성단">#REF!</definedName>
    <definedName name="국내성단A">#REF!</definedName>
    <definedName name="국내장비">#REF!</definedName>
    <definedName name="국내장비계">#REF!</definedName>
    <definedName name="국내포설">#REF!</definedName>
    <definedName name="국명">#REF!</definedName>
    <definedName name="국민건강" localSheetId="13">'[73]7.설계명세서(통합보안)'!$G$226</definedName>
    <definedName name="국민건강">'[99]7.설계명세서(통합보안)'!$G$226</definedName>
    <definedName name="국민건강보험료">'[114]7.설계명세서'!#REF!</definedName>
    <definedName name="국민연금" localSheetId="13">'[73]7.설계명세서(통합보안)'!$G$227</definedName>
    <definedName name="국민연금">'[99]7.설계명세서(통합보안)'!$G$227</definedName>
    <definedName name="국사" localSheetId="13">'8-2.설비자재산출(무인보안)'!국사</definedName>
    <definedName name="국사" localSheetId="15">'8-4.일위대가표'!국사</definedName>
    <definedName name="국사">'8-2.설비자재산출(무인보안)'!국사</definedName>
    <definedName name="국재료" localSheetId="13" hidden="1">{"'5국공정'!$A$1:$E$128"}</definedName>
    <definedName name="국재료" localSheetId="15" hidden="1">{"'5국공정'!$A$1:$E$128"}</definedName>
    <definedName name="국재료" hidden="1">{"'5국공정'!$A$1:$E$128"}</definedName>
    <definedName name="군산" localSheetId="22" hidden="1">{"'당진'!$A$1:$P$34","'당진'!$N$13"}</definedName>
    <definedName name="군산" localSheetId="13" hidden="1">{"'당진'!$A$1:$P$34","'당진'!$N$13"}</definedName>
    <definedName name="군산" localSheetId="15" hidden="1">{"'당진'!$A$1:$P$34","'당진'!$N$13"}</definedName>
    <definedName name="군산" hidden="1">{"'당진'!$A$1:$P$34","'당진'!$N$13"}</definedName>
    <definedName name="군산PO" localSheetId="13" hidden="1">{#N/A,#N/A,FALSE,"회선임차현황"}</definedName>
    <definedName name="군산PO" localSheetId="15" hidden="1">{#N/A,#N/A,FALSE,"회선임차현황"}</definedName>
    <definedName name="군산PO" hidden="1">{#N/A,#N/A,FALSE,"회선임차현황"}</definedName>
    <definedName name="군포시수련관" localSheetId="13" hidden="1">{#N/A,#N/A,TRUE,"공조기";#N/A,#N/A,TRUE,"FCU";#N/A,#N/A,TRUE,"1-20";#N/A,#N/A,TRUE,"21-40";#N/A,#N/A,TRUE,"41-60";#N/A,#N/A,TRUE,"61-80";#N/A,#N/A,TRUE,"화장실부하집계";#N/A,#N/A,TRUE,"화장실"}</definedName>
    <definedName name="군포시수련관" hidden="1">{#N/A,#N/A,TRUE,"공조기";#N/A,#N/A,TRUE,"FCU";#N/A,#N/A,TRUE,"1-20";#N/A,#N/A,TRUE,"21-40";#N/A,#N/A,TRUE,"41-60";#N/A,#N/A,TRUE,"61-80";#N/A,#N/A,TRUE,"화장실부하집계";#N/A,#N/A,TRUE,"화장실"}</definedName>
    <definedName name="군포시청소년" localSheetId="13" hidden="1">{#N/A,#N/A,TRUE,"1. 부하계산";#N/A,#N/A,TRUE,"1-1.부하계산기준";#N/A,#N/A,TRUE,"1-2.부하계산";#N/A,#N/A,TRUE,"2.장비선정";#N/A,#N/A,TRUE,"2-1보일러";#N/A,#N/A,TRUE,"2-2펌프";#N/A,#N/A,TRUE,"2-3탱크";#N/A,#N/A,TRUE,"2-4전기방열기";#N/A,#N/A,TRUE,"2-5전기온수기";#N/A,#N/A,TRUE,"2-6팬"}</definedName>
    <definedName name="군포시청소년" hidden="1">{#N/A,#N/A,TRUE,"1. 부하계산";#N/A,#N/A,TRUE,"1-1.부하계산기준";#N/A,#N/A,TRUE,"1-2.부하계산";#N/A,#N/A,TRUE,"2.장비선정";#N/A,#N/A,TRUE,"2-1보일러";#N/A,#N/A,TRUE,"2-2펌프";#N/A,#N/A,TRUE,"2-3탱크";#N/A,#N/A,TRUE,"2-4전기방열기";#N/A,#N/A,TRUE,"2-5전기온수기";#N/A,#N/A,TRUE,"2-6팬"}</definedName>
    <definedName name="군포시청소년수련관" localSheetId="13"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군포시청소년수련관"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굴착1">#REF!</definedName>
    <definedName name="굴착2">#REF!</definedName>
    <definedName name="굴착3">#REF!</definedName>
    <definedName name="굴착4">#REF!</definedName>
    <definedName name="굴착공사1" localSheetId="13">[29]소요자재!$H$238</definedName>
    <definedName name="굴착공사1">[30]소요자재!$H$238</definedName>
    <definedName name="굴착공사2" localSheetId="13">[29]소요자재!$H$239</definedName>
    <definedName name="굴착공사2">[30]소요자재!$H$239</definedName>
    <definedName name="굴착공사3" localSheetId="13">[29]소요자재!$H$240</definedName>
    <definedName name="굴착공사3">[30]소요자재!$H$240</definedName>
    <definedName name="굴착공사4" localSheetId="13">[29]소요자재!$H$241</definedName>
    <definedName name="굴착공사4">[30]소요자재!$H$241</definedName>
    <definedName name="굴착공사5" localSheetId="13">[6]노무산출서!$H$101</definedName>
    <definedName name="굴착공사5">[23]노무산출서!$H$101</definedName>
    <definedName name="굴착공사6" localSheetId="13">[6]노무산출서!$H$102</definedName>
    <definedName name="굴착공사6">[23]노무산출서!$H$102</definedName>
    <definedName name="굴착공사7" localSheetId="13">[6]노무산출서!$H$103</definedName>
    <definedName name="굴착공사7">[23]노무산출서!$H$103</definedName>
    <definedName name="굴착공사8" localSheetId="13">[6]노무산출서!$H$104</definedName>
    <definedName name="굴착공사8">[23]노무산출서!$H$104</definedName>
    <definedName name="굴착보도">#REF!</definedName>
    <definedName name="굴착사리도">#REF!</definedName>
    <definedName name="굴착아스콘">#REF!</definedName>
    <definedName name="권" localSheetId="29" hidden="1">#REF!</definedName>
    <definedName name="권" localSheetId="13" hidden="1">#REF!</definedName>
    <definedName name="권" localSheetId="19" hidden="1">#REF!</definedName>
    <definedName name="권" hidden="1">#REF!</definedName>
    <definedName name="궤__도__공">#REF!</definedName>
    <definedName name="궤도공">#REF!</definedName>
    <definedName name="규격">#REF!</definedName>
    <definedName name="규격표">#REF!</definedName>
    <definedName name="규준노">[88]시설물!#REF!</definedName>
    <definedName name="규준재">[88]시설물!#REF!</definedName>
    <definedName name="균3way">#REF!</definedName>
    <definedName name="균등3WAY">#REF!</definedName>
    <definedName name="그냥" localSheetId="13" hidden="1">{#N/A,#N/A,FALSE,"현장 NCR 분석";#N/A,#N/A,FALSE,"현장품질감사";#N/A,#N/A,FALSE,"현장품질감사"}</definedName>
    <definedName name="그냥" localSheetId="15" hidden="1">{#N/A,#N/A,FALSE,"현장 NCR 분석";#N/A,#N/A,FALSE,"현장품질감사";#N/A,#N/A,FALSE,"현장품질감사"}</definedName>
    <definedName name="그냥" hidden="1">{#N/A,#N/A,FALSE,"현장 NCR 분석";#N/A,#N/A,FALSE,"현장품질감사";#N/A,#N/A,FALSE,"현장품질감사"}</definedName>
    <definedName name="그래요">#REF!</definedName>
    <definedName name="그량" localSheetId="13" hidden="1">{#N/A,#N/A,FALSE,"현장 NCR 분석";#N/A,#N/A,FALSE,"현장품질감사";#N/A,#N/A,FALSE,"현장품질감사"}</definedName>
    <definedName name="그량" hidden="1">{#N/A,#N/A,FALSE,"현장 NCR 분석";#N/A,#N/A,FALSE,"현장품질감사";#N/A,#N/A,FALSE,"현장품질감사"}</definedName>
    <definedName name="근01">#REF!</definedName>
    <definedName name="근가">#REF!</definedName>
    <definedName name="근거">#REF!</definedName>
    <definedName name="근거1">#REF!</definedName>
    <definedName name="근린공원1집계">#REF!</definedName>
    <definedName name="근린공원2집계">#REF!</definedName>
    <definedName name="금">#REF!</definedName>
    <definedName name="금광추정" localSheetId="13" hidden="1">{#N/A,#N/A,FALSE,"포장2"}</definedName>
    <definedName name="금광추정" hidden="1">{#N/A,#N/A,FALSE,"포장2"}</definedName>
    <definedName name="금구류">#REF!</definedName>
    <definedName name="금구류설치">#REF!</definedName>
    <definedName name="금구류설치암타이">#REF!</definedName>
    <definedName name="금구류설치암타이할증">#REF!</definedName>
    <definedName name="금구류설치인류">#REF!</definedName>
    <definedName name="금구류설치인류할증">#REF!</definedName>
    <definedName name="금릉G"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금릉G"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금릉G"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금산">BlankMacro1</definedName>
    <definedName name="금속">#REF!</definedName>
    <definedName name="금속덕트">#REF!</definedName>
    <definedName name="금송1006">[80]수목데이타!$E$73</definedName>
    <definedName name="금송1208">[80]수목데이타!$E$74</definedName>
    <definedName name="금송1510">[80]수목데이타!$E$75</definedName>
    <definedName name="금액">#REF!</definedName>
    <definedName name="금액비교2">'[115]별표 '!$C$2:$C$50</definedName>
    <definedName name="금인1">#REF!</definedName>
    <definedName name="금인2">#REF!</definedName>
    <definedName name="급전용통신회선" localSheetId="22" hidden="1">{#N/A,#N/A,FALSE,"회선임차현황"}</definedName>
    <definedName name="급전용통신회선" localSheetId="13" hidden="1">{#N/A,#N/A,FALSE,"회선임차현황"}</definedName>
    <definedName name="급전용통신회선" localSheetId="15" hidden="1">{#N/A,#N/A,FALSE,"회선임차현황"}</definedName>
    <definedName name="급전용통신회선" hidden="1">{#N/A,#N/A,FALSE,"회선임차현황"}</definedName>
    <definedName name="기">#REF!</definedName>
    <definedName name="기__계__공">#REF!</definedName>
    <definedName name="기1997">#REF!</definedName>
    <definedName name="기96083">#REF!</definedName>
    <definedName name="기96091">#REF!</definedName>
    <definedName name="기96093">#REF!</definedName>
    <definedName name="기96101">#REF!</definedName>
    <definedName name="기96103">#REF!</definedName>
    <definedName name="기96111">#REF!</definedName>
    <definedName name="기96113">#REF!</definedName>
    <definedName name="기96121">#REF!</definedName>
    <definedName name="기96123">#REF!</definedName>
    <definedName name="기97011">#REF!</definedName>
    <definedName name="기97013">#REF!</definedName>
    <definedName name="기간망월요금">#REF!</definedName>
    <definedName name="기간망제공회선요금">#REF!</definedName>
    <definedName name="기계">#REF!</definedName>
    <definedName name="기계_설치공">#REF!</definedName>
    <definedName name="기계가격">#REF!</definedName>
    <definedName name="기계경비">#REF!</definedName>
    <definedName name="기계공">#REF!</definedName>
    <definedName name="기계근거">#REF!</definedName>
    <definedName name="기계되경">#REF!</definedName>
    <definedName name="기계되노">#REF!</definedName>
    <definedName name="기계되재">#REF!</definedName>
    <definedName name="기계산정">#REF!</definedName>
    <definedName name="기계산정표" localSheetId="29">#REF!,#REF!</definedName>
    <definedName name="기계산정표" localSheetId="13">#REF!,#REF!</definedName>
    <definedName name="기계산정표" localSheetId="19">#REF!,#REF!</definedName>
    <definedName name="기계산정표">#REF!,#REF!</definedName>
    <definedName name="기계설치공">#REF!</definedName>
    <definedName name="기계운전">#REF!</definedName>
    <definedName name="기계운전기사">'[116]99노임기준'!#REF!</definedName>
    <definedName name="기계운전사">'[117]중기조종사 단위단가'!$B$4</definedName>
    <definedName name="기계잔경">#REF!</definedName>
    <definedName name="기계잔노">#REF!</definedName>
    <definedName name="기계잔재">#REF!</definedName>
    <definedName name="기계터경">#REF!</definedName>
    <definedName name="기계터노">#REF!</definedName>
    <definedName name="기계터재">#REF!</definedName>
    <definedName name="기능사1">#REF!</definedName>
    <definedName name="기능사2">#REF!</definedName>
    <definedName name="기능실" localSheetId="13"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기능실"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기능실2" localSheetId="13"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기능실2"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기록사진대">#REF!</definedName>
    <definedName name="기모ㅈ">#REF!</definedName>
    <definedName name="기별">#REF!</definedName>
    <definedName name="기별2" localSheetId="13">'8-2.설비자재산출(무인보안)'!기별2</definedName>
    <definedName name="기별2" localSheetId="15">'8-4.일위대가표'!기별2</definedName>
    <definedName name="기별2">'8-2.설비자재산출(무인보안)'!기별2</definedName>
    <definedName name="기별명세">#REF!</definedName>
    <definedName name="기별명세_실사" localSheetId="13">'8-2.설비자재산출(무인보안)'!기별명세_실사</definedName>
    <definedName name="기별명세_실사" localSheetId="15">'8-4.일위대가표'!기별명세_실사</definedName>
    <definedName name="기별명세_실사">'8-2.설비자재산출(무인보안)'!기별명세_실사</definedName>
    <definedName name="기별원본">#REF!</definedName>
    <definedName name="기별현황1" localSheetId="13" hidden="1">{#N/A,#N/A,FALSE,"현장 NCR 분석";#N/A,#N/A,FALSE,"현장품질감사";#N/A,#N/A,FALSE,"현장품질감사"}</definedName>
    <definedName name="기별현황1" hidden="1">{#N/A,#N/A,FALSE,"현장 NCR 분석";#N/A,#N/A,FALSE,"현장품질감사";#N/A,#N/A,FALSE,"현장품질감사"}</definedName>
    <definedName name="기본">#REF!</definedName>
    <definedName name="기본비용">#REF!</definedName>
    <definedName name="기사">#REF!</definedName>
    <definedName name="기사1">#REF!</definedName>
    <definedName name="기사1급">#REF!</definedName>
    <definedName name="기사2">#REF!</definedName>
    <definedName name="기사2급">#REF!</definedName>
    <definedName name="기술" localSheetId="13" hidden="1">{#N/A,#N/A,FALSE,"부대1"}</definedName>
    <definedName name="기술" hidden="1">{#N/A,#N/A,FALSE,"부대1"}</definedName>
    <definedName name="기와공">#REF!</definedName>
    <definedName name="기전작업장"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기전작업장"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기전장"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기전장"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기존포장깨기2" localSheetId="13" hidden="1">{"'산출근거'!$B$4:$D$8"}</definedName>
    <definedName name="기존포장깨기2" hidden="1">{"'산출근거'!$B$4:$D$8"}</definedName>
    <definedName name="기준비용">#REF!</definedName>
    <definedName name="기준일">#REF!</definedName>
    <definedName name="기지국">[68]성단물량!#REF!</definedName>
    <definedName name="기지수">#REF!</definedName>
    <definedName name="기초">#REF!</definedName>
    <definedName name="기초량">#REF!</definedName>
    <definedName name="기초말뚝">[88]시설물!#REF!</definedName>
    <definedName name="기타">#REF!</definedName>
    <definedName name="기타경비" localSheetId="13">'[73]7.설계명세서(통합보안)'!$G$233</definedName>
    <definedName name="기타경비">#REF!</definedName>
    <definedName name="기타경비2">#REF!</definedName>
    <definedName name="기타경비4">#REF!</definedName>
    <definedName name="기타비목">#REF!</definedName>
    <definedName name="기타설치및기술지원품">#REF!</definedName>
    <definedName name="기터경비2">#REF!</definedName>
    <definedName name="긴급전화" localSheetId="22" hidden="1">{#N/A,#N/A,TRUE,"토적및재료집계";#N/A,#N/A,TRUE,"토적및재료집계";#N/A,#N/A,TRUE,"단위량"}</definedName>
    <definedName name="긴급전화" localSheetId="13" hidden="1">{#N/A,#N/A,TRUE,"토적및재료집계";#N/A,#N/A,TRUE,"토적및재료집계";#N/A,#N/A,TRUE,"단위량"}</definedName>
    <definedName name="긴급전화" localSheetId="15" hidden="1">{#N/A,#N/A,TRUE,"토적및재료집계";#N/A,#N/A,TRUE,"토적및재료집계";#N/A,#N/A,TRUE,"단위량"}</definedName>
    <definedName name="긴급전화" hidden="1">{#N/A,#N/A,TRUE,"토적및재료집계";#N/A,#N/A,TRUE,"토적및재료집계";#N/A,#N/A,TRUE,"단위량"}</definedName>
    <definedName name="길이">#REF!</definedName>
    <definedName name="길화" localSheetId="1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13"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13"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 localSheetId="13">'8-2.설비자재산출(무인보안)'!김</definedName>
    <definedName name="김" localSheetId="15">'8-4.일위대가표'!김</definedName>
    <definedName name="김">'8-2.설비자재산출(무인보안)'!김</definedName>
    <definedName name="김1" localSheetId="13" hidden="1">{#N/A,#N/A,FALSE,"부대1"}</definedName>
    <definedName name="김1" hidden="1">{#N/A,#N/A,FALSE,"부대1"}</definedName>
    <definedName name="김10" localSheetId="13" hidden="1">{#N/A,#N/A,FALSE,"배수2"}</definedName>
    <definedName name="김10" hidden="1">{#N/A,#N/A,FALSE,"배수2"}</definedName>
    <definedName name="김규중" localSheetId="13" hidden="1">{#N/A,#N/A,FALSE,"포장1";#N/A,#N/A,FALSE,"포장1"}</definedName>
    <definedName name="김규중" hidden="1">{#N/A,#N/A,FALSE,"포장1";#N/A,#N/A,FALSE,"포장1"}</definedName>
    <definedName name="김나영">BlankMacro1</definedName>
    <definedName name="김대덕" localSheetId="13" hidden="1">{"'5국공정'!$A$1:$E$128"}</definedName>
    <definedName name="김대덕" localSheetId="15" hidden="1">{"'5국공정'!$A$1:$E$128"}</definedName>
    <definedName name="김대덕" hidden="1">{"'5국공정'!$A$1:$E$128"}</definedName>
    <definedName name="김도형" localSheetId="13">'8-2.설비자재산출(무인보안)'!김도형</definedName>
    <definedName name="김도형" localSheetId="15">'8-4.일위대가표'!김도형</definedName>
    <definedName name="김도형">'8-2.설비자재산출(무인보안)'!김도형</definedName>
    <definedName name="김동" localSheetId="13" hidden="1">{"'Firr(선)'!$AS$1:$AY$62","'Firr(사)'!$AS$1:$AY$62","'Firr(회)'!$AS$1:$AY$62","'Firr(선)'!$L$1:$V$62","'Firr(사)'!$L$1:$V$62","'Firr(회)'!$L$1:$V$62"}</definedName>
    <definedName name="김동" hidden="1">{"'Firr(선)'!$AS$1:$AY$62","'Firr(사)'!$AS$1:$AY$62","'Firr(회)'!$AS$1:$AY$62","'Firr(선)'!$L$1:$V$62","'Firr(사)'!$L$1:$V$62","'Firr(회)'!$L$1:$V$62"}</definedName>
    <definedName name="김동준" localSheetId="13" hidden="1">{"'Firr(선)'!$AS$1:$AY$62","'Firr(사)'!$AS$1:$AY$62","'Firr(회)'!$AS$1:$AY$62","'Firr(선)'!$L$1:$V$62","'Firr(사)'!$L$1:$V$62","'Firr(회)'!$L$1:$V$62"}</definedName>
    <definedName name="김동준" hidden="1">{"'Firr(선)'!$AS$1:$AY$62","'Firr(사)'!$AS$1:$AY$62","'Firr(회)'!$AS$1:$AY$62","'Firr(선)'!$L$1:$V$62","'Firr(사)'!$L$1:$V$62","'Firr(회)'!$L$1:$V$62"}</definedName>
    <definedName name="김병규" localSheetId="29" hidden="1">#REF!</definedName>
    <definedName name="김병규" localSheetId="32" hidden="1">#REF!</definedName>
    <definedName name="김병규" localSheetId="27" hidden="1">#REF!</definedName>
    <definedName name="김병규" localSheetId="30" hidden="1">#REF!</definedName>
    <definedName name="김병규" localSheetId="13" hidden="1">#REF!</definedName>
    <definedName name="김병규" localSheetId="15" hidden="1">#REF!</definedName>
    <definedName name="김병규" localSheetId="19" hidden="1">#REF!</definedName>
    <definedName name="김병규" hidden="1">#REF!</definedName>
    <definedName name="김상원" localSheetId="13" hidden="1">{#N/A,#N/A,FALSE,"골재소요량";#N/A,#N/A,FALSE,"골재소요량"}</definedName>
    <definedName name="김상원" hidden="1">{#N/A,#N/A,FALSE,"골재소요량";#N/A,#N/A,FALSE,"골재소요량"}</definedName>
    <definedName name="김성율">#REF!</definedName>
    <definedName name="김순종"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김순종"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김영준" localSheetId="13" hidden="1">{#N/A,#N/A,FALSE,"전력간선"}</definedName>
    <definedName name="김영준" hidden="1">{#N/A,#N/A,FALSE,"전력간선"}</definedName>
    <definedName name="김윤기" localSheetId="13" hidden="1">{"'5국공정'!$A$1:$E$128"}</definedName>
    <definedName name="김윤기" localSheetId="15" hidden="1">{"'5국공정'!$A$1:$E$128"}</definedName>
    <definedName name="김윤기" hidden="1">{"'5국공정'!$A$1:$E$128"}</definedName>
    <definedName name="깍기경">[111]계수시트!$B$88</definedName>
    <definedName name="깍기노">[111]계수시트!$B$86</definedName>
    <definedName name="깍기재">[111]계수시트!$B$87</definedName>
    <definedName name="깨기조서" localSheetId="13" hidden="1">{#N/A,#N/A,FALSE,"2~8번"}</definedName>
    <definedName name="깨기조서" hidden="1">{#N/A,#N/A,FALSE,"2~8번"}</definedName>
    <definedName name="꼬리">[19]아파트기별!$S$52</definedName>
    <definedName name="꼬리표">#REF!</definedName>
    <definedName name="꽃복숭아R3">[80]수목데이타!$E$58</definedName>
    <definedName name="꽃복숭아R4">[80]수목데이타!$E$59</definedName>
    <definedName name="꽃복숭아R5">[80]수목데이타!$E$60</definedName>
    <definedName name="꽃사과">[50]단가!$A$130</definedName>
    <definedName name="꽃사과10노무">#REF!</definedName>
    <definedName name="꽃사과10재료">#REF!</definedName>
    <definedName name="꽃사과6노무">#REF!</definedName>
    <definedName name="꽃사과6재료">#REF!</definedName>
    <definedName name="꽃사과8노무">#REF!</definedName>
    <definedName name="꽃사과8재료">#REF!</definedName>
    <definedName name="꽃사과R10">[80]수목데이타!$E$64</definedName>
    <definedName name="꽃사과R4">[80]수목데이타!$E$61</definedName>
    <definedName name="꽃사과R6">[80]수목데이타!$E$62</definedName>
    <definedName name="꽃사과R8">[80]수목데이타!$E$63</definedName>
    <definedName name="꽃아그배R10">[80]수목데이타!$E$68</definedName>
    <definedName name="꽃아그배R4">[80]수목데이타!$E$65</definedName>
    <definedName name="꽃아그배R6">[80]수목데이타!$E$66</definedName>
    <definedName name="꽃아그배R8">[80]수목데이타!$E$67</definedName>
    <definedName name="꽝꽝0304">[80]수목데이타!$E$54</definedName>
    <definedName name="꽝꽝0406">[80]수목데이타!$E$55</definedName>
    <definedName name="꽝꽝0508">[80]수목데이타!$E$56</definedName>
    <definedName name="꽝꽝0610">[80]수목데이타!$E$57</definedName>
    <definedName name="ㄳ">BlankMacro1</definedName>
    <definedName name="ㄳㄱㄷㅅㄷ">[51]기초자료입력!$B$16</definedName>
    <definedName name="ㄳㄳ">[51]설계명세서!$H$212</definedName>
    <definedName name="ㄳㄳㄱㄷ">[51]준공정산!$L$9</definedName>
    <definedName name="ㄳㄳㄳㄳ" localSheetId="22" hidden="1">{"'용역비'!$A$4:$C$8"}</definedName>
    <definedName name="ㄳㄳㄳㄳ" localSheetId="34" hidden="1">{"'용역비'!$A$4:$C$8"}</definedName>
    <definedName name="ㄳㄳㄳㄳ" localSheetId="35" hidden="1">{"'용역비'!$A$4:$C$8"}</definedName>
    <definedName name="ㄳㄳㄳㄳ" localSheetId="36" hidden="1">{"'용역비'!$A$4:$C$8"}</definedName>
    <definedName name="ㄳㄳㄳㄳ" localSheetId="37" hidden="1">{"'용역비'!$A$4:$C$8"}</definedName>
    <definedName name="ㄳㄳㄳㄳ" localSheetId="13" hidden="1">{"'용역비'!$A$4:$C$8"}</definedName>
    <definedName name="ㄳㄳㄳㄳ" localSheetId="15" hidden="1">{"'용역비'!$A$4:$C$8"}</definedName>
    <definedName name="ㄳㄳㄳㄳ" hidden="1">{"'용역비'!$A$4:$C$8"}</definedName>
    <definedName name="ㄴ" localSheetId="4" hidden="1">{#N/A,#N/A,FALSE,"회선임차현황"}</definedName>
    <definedName name="ㄴ" localSheetId="13" hidden="1">{#N/A,#N/A,FALSE,"회선임차현황"}</definedName>
    <definedName name="ㄴ" localSheetId="15" hidden="1">{#N/A,#N/A,FALSE,"회선임차현황"}</definedName>
    <definedName name="ㄴ" hidden="1">{#N/A,#N/A,FALSE,"회선임차현황"}</definedName>
    <definedName name="ㄴ.">#REF!</definedName>
    <definedName name="ㄴㄱㄹ" hidden="1">[1]BID!$A$1:$A$734</definedName>
    <definedName name="ㄴㄴ">#REF!</definedName>
    <definedName name="ㄴㄴㄴ" localSheetId="29" hidden="1">'[40]#REF'!#REF!</definedName>
    <definedName name="ㄴㄴㄴ" localSheetId="34" hidden="1">'[40]#REF'!#REF!</definedName>
    <definedName name="ㄴㄴㄴ" localSheetId="35" hidden="1">'[40]#REF'!#REF!</definedName>
    <definedName name="ㄴㄴㄴ" localSheetId="36" hidden="1">'[40]#REF'!#REF!</definedName>
    <definedName name="ㄴㄴㄴ" localSheetId="37" hidden="1">'[40]#REF'!#REF!</definedName>
    <definedName name="ㄴㄴㄴ" localSheetId="19" hidden="1">'[40]#REF'!#REF!</definedName>
    <definedName name="ㄴㄴㄴ" hidden="1">'[40]#REF'!#REF!</definedName>
    <definedName name="ㄴㄴㄴㄴ" localSheetId="34" hidden="1">'[40]#REF'!#REF!</definedName>
    <definedName name="ㄴㄴㄴㄴ" localSheetId="35" hidden="1">'[40]#REF'!#REF!</definedName>
    <definedName name="ㄴㄴㄴㄴ" localSheetId="36" hidden="1">'[40]#REF'!#REF!</definedName>
    <definedName name="ㄴㄴㄴㄴ" localSheetId="37" hidden="1">'[40]#REF'!#REF!</definedName>
    <definedName name="ㄴㄴㄴㄴ" localSheetId="13" hidden="1">{"'당진'!$A$1:$P$34","'당진'!$N$13"}</definedName>
    <definedName name="ㄴㄴㄴㄴ" localSheetId="15" hidden="1">{"'당진'!$A$1:$P$34","'당진'!$N$13"}</definedName>
    <definedName name="ㄴㄴㄴㄴ" hidden="1">{"'당진'!$A$1:$P$34","'당진'!$N$13"}</definedName>
    <definedName name="ㄴㄴㄴㄴㄴ" localSheetId="29" hidden="1">#REF!</definedName>
    <definedName name="ㄴㄴㄴㄴㄴ" localSheetId="34" hidden="1">'[40]#REF'!$A$3:$H$292</definedName>
    <definedName name="ㄴㄴㄴㄴㄴ" localSheetId="35" hidden="1">'[40]#REF'!$A$3:$H$292</definedName>
    <definedName name="ㄴㄴㄴㄴㄴ" localSheetId="36" hidden="1">'[40]#REF'!$A$3:$H$292</definedName>
    <definedName name="ㄴㄴㄴㄴㄴ" localSheetId="37" hidden="1">'[40]#REF'!$A$3:$H$292</definedName>
    <definedName name="ㄴㄴㄴㄴㄴ" localSheetId="13" hidden="1">#REF!</definedName>
    <definedName name="ㄴㄴㄴㄴㄴ" localSheetId="19" hidden="1">#REF!</definedName>
    <definedName name="ㄴㄴㄴㄴㄴ" hidden="1">#REF!</definedName>
    <definedName name="ㄴㄴㄹ" localSheetId="13">'8-2.설비자재산출(무인보안)'!ㄴㄴㄹ</definedName>
    <definedName name="ㄴㄴㄹ" localSheetId="15">'8-4.일위대가표'!ㄴㄴㄹ</definedName>
    <definedName name="ㄴㄴㄹ">'8-2.설비자재산출(무인보안)'!ㄴㄴㄹ</definedName>
    <definedName name="ㄴ낭ㅇㄴ" localSheetId="13" hidden="1">{#N/A,#N/A,FALSE,"현장 NCR 분석";#N/A,#N/A,FALSE,"현장품질감사";#N/A,#N/A,FALSE,"현장품질감사"}</definedName>
    <definedName name="ㄴ낭ㅇㄴ" hidden="1">{#N/A,#N/A,FALSE,"현장 NCR 분석";#N/A,#N/A,FALSE,"현장품질감사";#N/A,#N/A,FALSE,"현장품질감사"}</definedName>
    <definedName name="ㄴㄷ" localSheetId="13">'8-2.설비자재산출(무인보안)'!ㄴㄷ</definedName>
    <definedName name="ㄴㄷ" localSheetId="15">'8-4.일위대가표'!ㄴㄷ</definedName>
    <definedName name="ㄴㄷ">'8-2.설비자재산출(무인보안)'!ㄴㄷ</definedName>
    <definedName name="ㄴㄹㄴㄹ" localSheetId="13" hidden="1">{#N/A,#N/A,FALSE,"혼합골재"}</definedName>
    <definedName name="ㄴㄹㄴㄹ" hidden="1">{#N/A,#N/A,FALSE,"혼합골재"}</definedName>
    <definedName name="ㄴㄹㅇㄹㅇ" localSheetId="13" hidden="1">{#N/A,#N/A,FALSE,"2~8번"}</definedName>
    <definedName name="ㄴㄹㅇㄹㅇ" hidden="1">{#N/A,#N/A,FALSE,"2~8번"}</definedName>
    <definedName name="ㄴㅁ" localSheetId="13">'8-2.설비자재산출(무인보안)'!ㄴㅁ</definedName>
    <definedName name="ㄴㅁ" localSheetId="15">'8-4.일위대가표'!ㄴㅁ</definedName>
    <definedName name="ㄴㅁ">'8-2.설비자재산출(무인보안)'!ㄴㅁ</definedName>
    <definedName name="ㄴㅁㄴㅇ">[118]공사설명서외!#REF!</definedName>
    <definedName name="ㄴㅁㄹㅈㄹ" localSheetId="29" hidden="1">#REF!</definedName>
    <definedName name="ㄴㅁㄹㅈㄹ" localSheetId="13" hidden="1">#REF!</definedName>
    <definedName name="ㄴㅁㄹㅈㄹ" localSheetId="19" hidden="1">#REF!</definedName>
    <definedName name="ㄴㅁㄹㅈㄹ" hidden="1">#REF!</definedName>
    <definedName name="ㄴㅁㅇ" localSheetId="13" hidden="1">{#N/A,#N/A,FALSE,"골재소요량";#N/A,#N/A,FALSE,"골재소요량"}</definedName>
    <definedName name="ㄴㅁㅇ" hidden="1">{#N/A,#N/A,FALSE,"골재소요량";#N/A,#N/A,FALSE,"골재소요량"}</definedName>
    <definedName name="ㄴㅁㅌㅇㅁㅇㅈㄷㅂㅁㅊㄹㅇ휺ㄹㅇㄶㄱㅊㅁㄹㅇㅈㅁㅌ" localSheetId="29" hidden="1">[119]내역서!#REF!</definedName>
    <definedName name="ㄴㅁㅌㅇㅁㅇㅈㄷㅂㅁㅊㄹㅇ휺ㄹㅇㄶㄱㅊㅁㄹㅇㅈㅁㅌ" localSheetId="19" hidden="1">[119]내역서!#REF!</definedName>
    <definedName name="ㄴㅁㅌㅇㅁㅇㅈㄷㅂㅁㅊㄹㅇ휺ㄹㅇㄶㄱㅊㅁㄹㅇㅈㅁㅌ" hidden="1">[119]내역서!#REF!</definedName>
    <definedName name="ㄴㅁㅎ" localSheetId="13" hidden="1">{#N/A,#N/A,FALSE,"혼합골재"}</definedName>
    <definedName name="ㄴㅁㅎ" hidden="1">{#N/A,#N/A,FALSE,"혼합골재"}</definedName>
    <definedName name="ㄴ모ㅓㅗ" localSheetId="13" hidden="1">{#N/A,#N/A,FALSE,"골재소요량";#N/A,#N/A,FALSE,"골재소요량"}</definedName>
    <definedName name="ㄴ모ㅓㅗ" hidden="1">{#N/A,#N/A,FALSE,"골재소요량";#N/A,#N/A,FALSE,"골재소요량"}</definedName>
    <definedName name="ㄴㅇ" localSheetId="13">'8-2.설비자재산출(무인보안)'!ㄴㅇ</definedName>
    <definedName name="ㄴㅇ" localSheetId="15">'8-4.일위대가표'!ㄴㅇ</definedName>
    <definedName name="ㄴㅇ">'8-2.설비자재산출(무인보안)'!ㄴㅇ</definedName>
    <definedName name="ㄴㅇㄴㅇ" localSheetId="13" hidden="1">{#N/A,#N/A,FALSE,"현장 NCR 분석";#N/A,#N/A,FALSE,"현장품질감사";#N/A,#N/A,FALSE,"현장품질감사"}</definedName>
    <definedName name="ㄴㅇㄴㅇ" hidden="1">{#N/A,#N/A,FALSE,"현장 NCR 분석";#N/A,#N/A,FALSE,"현장품질감사";#N/A,#N/A,FALSE,"현장품질감사"}</definedName>
    <definedName name="ㄴㅇㄹ" localSheetId="13" hidden="1">{#N/A,#N/A,FALSE,"속도"}</definedName>
    <definedName name="ㄴㅇㄹ" hidden="1">{#N/A,#N/A,FALSE,"속도"}</definedName>
    <definedName name="ㄴㅇㄹㄴㅁㅎ" localSheetId="13" hidden="1">{#N/A,#N/A,FALSE,"골재소요량";#N/A,#N/A,FALSE,"골재소요량"}</definedName>
    <definedName name="ㄴㅇㄹㄴㅁㅎ" hidden="1">{#N/A,#N/A,FALSE,"골재소요량";#N/A,#N/A,FALSE,"골재소요량"}</definedName>
    <definedName name="ㄴㅇ로ㅠㅎ" localSheetId="13" hidden="1">{#N/A,#N/A,FALSE,"구조2"}</definedName>
    <definedName name="ㄴㅇ로ㅠㅎ" hidden="1">{#N/A,#N/A,FALSE,"구조2"}</definedName>
    <definedName name="ㄴㅇㄻㄴㅇㄹ" localSheetId="13" hidden="1">{#N/A,#N/A,FALSE,"골재소요량";#N/A,#N/A,FALSE,"골재소요량"}</definedName>
    <definedName name="ㄴㅇㄻㄴㅇㄹ" hidden="1">{#N/A,#N/A,FALSE,"골재소요량";#N/A,#N/A,FALSE,"골재소요량"}</definedName>
    <definedName name="ㄴㅇㅀ" localSheetId="13" hidden="1">{#N/A,#N/A,FALSE,"토공2"}</definedName>
    <definedName name="ㄴㅇㅀ" hidden="1">{#N/A,#N/A,FALSE,"토공2"}</definedName>
    <definedName name="ㄴㅇㅁㄴㄻㅎ" localSheetId="13" hidden="1">{#N/A,#N/A,FALSE,"골재소요량";#N/A,#N/A,FALSE,"골재소요량"}</definedName>
    <definedName name="ㄴㅇㅁㄴㄻㅎ" hidden="1">{#N/A,#N/A,FALSE,"골재소요량";#N/A,#N/A,FALSE,"골재소요량"}</definedName>
    <definedName name="ㄴㅇㅍ">#N/A</definedName>
    <definedName name="ㄴ호노">BlankMacro1</definedName>
    <definedName name="ㄴ혼">BlankMacro1</definedName>
    <definedName name="ㄴ혼혼">BlankMacro1</definedName>
    <definedName name="ㄴ흂" localSheetId="13" hidden="1">{#N/A,#N/A,FALSE,"단가표지"}</definedName>
    <definedName name="ㄴ흂" hidden="1">{#N/A,#N/A,FALSE,"단가표지"}</definedName>
    <definedName name="나">#REF!</definedName>
    <definedName name="나.">#REF!</definedName>
    <definedName name="나나" localSheetId="13" hidden="1">{#N/A,#N/A,FALSE,"2~8번"}</definedName>
    <definedName name="나나" hidden="1">{#N/A,#N/A,FALSE,"2~8번"}</definedName>
    <definedName name="나나나" localSheetId="13" hidden="1">{#N/A,#N/A,FALSE,"속도"}</definedName>
    <definedName name="나나나" hidden="1">{#N/A,#N/A,FALSE,"속도"}</definedName>
    <definedName name="나나나나나" localSheetId="13" hidden="1">{#N/A,#N/A,FALSE,"2~8번"}</definedName>
    <definedName name="나나나나나" hidden="1">{#N/A,#N/A,FALSE,"2~8번"}</definedName>
    <definedName name="나나나나나나나나" localSheetId="13" hidden="1">{#N/A,#N/A,FALSE,"혼합골재"}</definedName>
    <definedName name="나나나나나나나나" hidden="1">{#N/A,#N/A,FALSE,"혼합골재"}</definedName>
    <definedName name="나나나나나나나나난" localSheetId="13" hidden="1">{#N/A,#N/A,FALSE,"표지목차"}</definedName>
    <definedName name="나나나나나나나나난" hidden="1">{#N/A,#N/A,FALSE,"표지목차"}</definedName>
    <definedName name="나나아" localSheetId="13" hidden="1">{#N/A,#N/A,FALSE,"2~8번"}</definedName>
    <definedName name="나나아" hidden="1">{#N/A,#N/A,FALSE,"2~8번"}</definedName>
    <definedName name="나무">#REF!</definedName>
    <definedName name="나야나" localSheetId="13" hidden="1">{#N/A,#N/A,FALSE,"현장 NCR 분석";#N/A,#N/A,FALSE,"현장품질감사";#N/A,#N/A,FALSE,"현장품질감사"}</definedName>
    <definedName name="나야나" hidden="1">{#N/A,#N/A,FALSE,"현장 NCR 분석";#N/A,#N/A,FALSE,"현장품질감사";#N/A,#N/A,FALSE,"현장품질감사"}</definedName>
    <definedName name="나영">BlankMacro1</definedName>
    <definedName name="나이로" localSheetId="13" hidden="1">{#N/A,#N/A,FALSE,"속도"}</definedName>
    <definedName name="나이로" hidden="1">{#N/A,#N/A,FALSE,"속도"}</definedName>
    <definedName name="낙">[16]설계명세서!#REF!</definedName>
    <definedName name="낙상홍1004">[80]수목데이타!$E$76</definedName>
    <definedName name="낙상홍1506">[80]수목데이타!$E$77</definedName>
    <definedName name="낙상홍1808">[80]수목데이타!$E$78</definedName>
    <definedName name="낙상홍2010">[80]수목데이타!$E$79</definedName>
    <definedName name="낙상홍2515">[80]수목데이타!$E$80</definedName>
    <definedName name="낙우송6노무">#REF!</definedName>
    <definedName name="낙우송6재료">#REF!</definedName>
    <definedName name="낙우송8노무">#REF!</definedName>
    <definedName name="낙우송8재료">#REF!</definedName>
    <definedName name="낙우송R10">[80]수목데이타!$E$84</definedName>
    <definedName name="낙우송R12">[80]수목데이타!$E$85</definedName>
    <definedName name="낙우송R5">[80]수목데이타!$E$81</definedName>
    <definedName name="낙우송R6">[80]수목데이타!$E$82</definedName>
    <definedName name="낙우송R8">[80]수목데이타!$E$83</definedName>
    <definedName name="낙찰가">#N/A</definedName>
    <definedName name="낙찰율">#REF!</definedName>
    <definedName name="난산_독자봉">#REF!</definedName>
    <definedName name="난연">#REF!</definedName>
    <definedName name="난연PE전선관">[38]소요자재!#REF!</definedName>
    <definedName name="난연강남">#REF!</definedName>
    <definedName name="난연광교">#REF!</definedName>
    <definedName name="난연광주">#REF!</definedName>
    <definedName name="난연내관포설">#REF!</definedName>
    <definedName name="난연대구">#REF!</definedName>
    <definedName name="난연대전">#REF!</definedName>
    <definedName name="난연동교">#REF!</definedName>
    <definedName name="난연르네상스">#REF!</definedName>
    <definedName name="난연발산">#REF!</definedName>
    <definedName name="난연방배">#REF!</definedName>
    <definedName name="난연보라매">#REF!</definedName>
    <definedName name="난연본사">#REF!</definedName>
    <definedName name="난연사당">#REF!</definedName>
    <definedName name="난연삼성">#REF!</definedName>
    <definedName name="난연삼풍">#REF!</definedName>
    <definedName name="난연서초">#REF!</definedName>
    <definedName name="난연수원">#REF!</definedName>
    <definedName name="난연신반포">#REF!</definedName>
    <definedName name="난연압구정">#REF!</definedName>
    <definedName name="난연울산">#REF!</definedName>
    <definedName name="난연울산2">#REF!</definedName>
    <definedName name="난연인천">#REF!</definedName>
    <definedName name="난연잠실">#REF!</definedName>
    <definedName name="난연전선관" localSheetId="13">[29]소요자재!$H$188</definedName>
    <definedName name="난연전선관">[30]소요자재!$H$188</definedName>
    <definedName name="난연전주">#REF!</definedName>
    <definedName name="난연청담">#REF!</definedName>
    <definedName name="난연화정">#REF!</definedName>
    <definedName name="날짜">YEAR(NOW())&amp;"  . "&amp;MONTH(NOW())&amp;"  . "&amp;DAY(NOW())</definedName>
    <definedName name="남덕">BlankMacro1</definedName>
    <definedName name="남덕1">BlankMacro1</definedName>
    <definedName name="남부">[120]강동!$D$2:$X$358</definedName>
    <definedName name="남서울">#REF!</definedName>
    <definedName name="남서울2">[57]!남서울2</definedName>
    <definedName name="남서울문화체육관" localSheetId="1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남서울문화체육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남시화" localSheetId="13">'8-2.설비자재산출(무인보안)'!남시화</definedName>
    <definedName name="남시화" localSheetId="15">'8-4.일위대가표'!남시화</definedName>
    <definedName name="남시화">'8-2.설비자재산출(무인보안)'!남시화</definedName>
    <definedName name="남양" localSheetId="13" hidden="1">{#N/A,#N/A,FALSE,"혼합골재"}</definedName>
    <definedName name="남양" hidden="1">{#N/A,#N/A,FALSE,"혼합골재"}</definedName>
    <definedName name="남춘천증설분" localSheetId="2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남춘천증설분"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남춘천증설분"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남춘천증설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납기1">#REF!</definedName>
    <definedName name="납기2">#REF!</definedName>
    <definedName name="납기3">#REF!</definedName>
    <definedName name="납기4">#REF!</definedName>
    <definedName name="납땜">#REF!</definedName>
    <definedName name="납품일자___계약후_30일">#REF!</definedName>
    <definedName name="납품장소___계약조건에_따름">#REF!</definedName>
    <definedName name="내">#REF!</definedName>
    <definedName name="내__장__공">#REF!</definedName>
    <definedName name="내_선_전_공">#REF!</definedName>
    <definedName name="내관1조10">#REF!</definedName>
    <definedName name="내관1조20">#REF!</definedName>
    <definedName name="내관2조10">#REF!</definedName>
    <definedName name="내관2조20">#REF!</definedName>
    <definedName name="내관3조10">#REF!</definedName>
    <definedName name="내관3조20">#REF!</definedName>
    <definedName name="내벽방수" localSheetId="4">{"'별표'!$N$220"}</definedName>
    <definedName name="내벽방수" localSheetId="13">{"'별표'!$N$220"}</definedName>
    <definedName name="내벽방수" localSheetId="15">{"'별표'!$N$220"}</definedName>
    <definedName name="내벽방수">{"'별표'!$N$220"}</definedName>
    <definedName name="내부거래분"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부거래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선">#REF!</definedName>
    <definedName name="내선공">#REF!</definedName>
    <definedName name="내선전">#REF!</definedName>
    <definedName name="내선전공">#REF!</definedName>
    <definedName name="내신">#REF!</definedName>
    <definedName name="내역" localSheetId="13" hidden="1">{#N/A,#N/A,FALSE,"회선임차현황"}</definedName>
    <definedName name="내역" localSheetId="15" hidden="1">{#N/A,#N/A,FALSE,"회선임차현황"}</definedName>
    <definedName name="내역" hidden="1">{#N/A,#N/A,FALSE,"회선임차현황"}</definedName>
    <definedName name="내역2">#REF!</definedName>
    <definedName name="내역노무"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역노무"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역서">#REF!</definedName>
    <definedName name="내역서1">#REF!</definedName>
    <definedName name="내역서2" localSheetId="4">{"'단계별시설공사비'!$A$3:$K$51"}</definedName>
    <definedName name="내역서2" localSheetId="13">{"'단계별시설공사비'!$A$3:$K$51"}</definedName>
    <definedName name="내역서2" localSheetId="15">{"'단계별시설공사비'!$A$3:$K$51"}</definedName>
    <definedName name="내역서2">{"'단계별시설공사비'!$A$3:$K$51"}</definedName>
    <definedName name="내역서3" localSheetId="29">[39]!BlankMacro1</definedName>
    <definedName name="내역서3" localSheetId="19">[39]!BlankMacro1</definedName>
    <definedName name="내역서3">[39]!BlankMacro1</definedName>
    <definedName name="내역수량" localSheetId="29" hidden="1">#REF!</definedName>
    <definedName name="내역수량" localSheetId="13" hidden="1">#REF!</definedName>
    <definedName name="내역수량" localSheetId="19" hidden="1">#REF!</definedName>
    <definedName name="내역수량" hidden="1">#REF!</definedName>
    <definedName name="내장공">#REF!</definedName>
    <definedName name="내철">#REF!</definedName>
    <definedName name="냐" localSheetId="13" hidden="1">{#N/A,#N/A,FALSE,"혼합골재"}</definedName>
    <definedName name="냐" hidden="1">{#N/A,#N/A,FALSE,"혼합골재"}</definedName>
    <definedName name="너">#N/A</definedName>
    <definedName name="년도">#REF!</definedName>
    <definedName name="년월" localSheetId="13">[118]기별명세!$A$19</definedName>
    <definedName name="년월">[121]기별명세!$A$19</definedName>
    <definedName name="노">#REF!</definedName>
    <definedName name="노__무__비">[50]시설물일위!#REF!</definedName>
    <definedName name="노9501">#REF!</definedName>
    <definedName name="노경">#REF!</definedName>
    <definedName name="노들">#REF!</definedName>
    <definedName name="노랑이" localSheetId="13" hidden="1">{"'5국공정'!$A$1:$E$128"}</definedName>
    <definedName name="노랑이" localSheetId="15" hidden="1">{"'5국공정'!$A$1:$E$128"}</definedName>
    <definedName name="노랑이" hidden="1">{"'5국공정'!$A$1:$E$128"}</definedName>
    <definedName name="노르웨이R12">[80]수목데이타!$E$90</definedName>
    <definedName name="노르웨이R15">[80]수목데이타!$E$91</definedName>
    <definedName name="노르웨이R4">[80]수목데이타!$E$86</definedName>
    <definedName name="노르웨이R5">[80]수목데이타!$E$87</definedName>
    <definedName name="노르웨이R6">[80]수목데이타!$E$88</definedName>
    <definedName name="노르웨이R8">[80]수목데이타!$E$89</definedName>
    <definedName name="노무">#REF!</definedName>
    <definedName name="노무_f">#REF!</definedName>
    <definedName name="노무1">#REF!</definedName>
    <definedName name="노무2">#REF!</definedName>
    <definedName name="노무3">#REF!</definedName>
    <definedName name="노무단가">#REF!</definedName>
    <definedName name="노무밈">[84]설계!$G$172</definedName>
    <definedName name="노무변경" localSheetId="13">[82]노무비변경!$J$6</definedName>
    <definedName name="노무변경">[83]노무비변경!$J$6</definedName>
    <definedName name="노무비" localSheetId="13">'[73]7.설계명세서(통합보안)'!$G$123</definedName>
    <definedName name="노무비">'[74]7.설계명세서'!$G$70</definedName>
    <definedName name="노무비." localSheetId="13">[96]설계!$G$47</definedName>
    <definedName name="노무비.">[97]설계!$G$47</definedName>
    <definedName name="노무비_1">#REF!</definedName>
    <definedName name="노무비_3" localSheetId="13">[79]설계명세서!$G$179</definedName>
    <definedName name="노무비_3">[82]설계명세서!$G$179</definedName>
    <definedName name="노무비1">#REF!</definedName>
    <definedName name="노무비2">#REF!</definedName>
    <definedName name="노무비3">#REF!</definedName>
    <definedName name="노무비4">#REF!</definedName>
    <definedName name="노무비A">#REF!</definedName>
    <definedName name="노무비계">#REF!</definedName>
    <definedName name="노무비계_1">#REF!</definedName>
    <definedName name="노무비내역"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무비내역"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무비단가산출서" localSheetId="29" hidden="1">#REF!</definedName>
    <definedName name="노무비단가산출서" localSheetId="13" hidden="1">#REF!</definedName>
    <definedName name="노무비단가산출서" localSheetId="19" hidden="1">#REF!</definedName>
    <definedName name="노무비단가산출서" hidden="1">#REF!</definedName>
    <definedName name="노무비소계">#REF!</definedName>
    <definedName name="노무비식별" localSheetId="13">[121]기별!$B$1:$B$65536</definedName>
    <definedName name="노무비식별">[122]기별!$B$1:$B$65536</definedName>
    <definedName name="노무비품셈표" localSheetId="29" hidden="1">#REF!</definedName>
    <definedName name="노무비품셈표" localSheetId="32" hidden="1">#REF!</definedName>
    <definedName name="노무비품셈표" localSheetId="27" hidden="1">#REF!</definedName>
    <definedName name="노무비품셈표" localSheetId="30" hidden="1">#REF!</definedName>
    <definedName name="노무비품셈표" localSheetId="13" hidden="1">#REF!</definedName>
    <definedName name="노무비품셈표" localSheetId="15" hidden="1">#REF!</definedName>
    <definedName name="노무비품셈표" localSheetId="19" hidden="1">#REF!</definedName>
    <definedName name="노무비품셈표" hidden="1">#REF!</definedName>
    <definedName name="노무비합">[123]설계명세서!#REF!</definedName>
    <definedName name="노무비합_1">[124]설계명세서!#REF!</definedName>
    <definedName name="노무비합1" localSheetId="13">[101]설계명세서!$L$39</definedName>
    <definedName name="노무비합1">[102]설계명세서!$L$39</definedName>
    <definedName name="노무비합계">#REF!</definedName>
    <definedName name="노무산출내역" localSheetId="13">'8-2.설비자재산출(무인보안)'!노무산출내역</definedName>
    <definedName name="노무산출내역" localSheetId="15">'8-4.일위대가표'!노무산출내역</definedName>
    <definedName name="노무산출내역">'8-2.설비자재산출(무인보안)'!노무산출내역</definedName>
    <definedName name="노무율">#REF!</definedName>
    <definedName name="노무임" localSheetId="29" hidden="1">#REF!</definedName>
    <definedName name="노무임" localSheetId="32" hidden="1">#REF!</definedName>
    <definedName name="노무임" localSheetId="27" hidden="1">#REF!</definedName>
    <definedName name="노무임" localSheetId="30" hidden="1">#REF!</definedName>
    <definedName name="노무임" localSheetId="13" hidden="1">#REF!</definedName>
    <definedName name="노무임" localSheetId="15" hidden="1">#REF!</definedName>
    <definedName name="노무임" localSheetId="19" hidden="1">#REF!</definedName>
    <definedName name="노무임" hidden="1">#REF!</definedName>
    <definedName name="노반경">#REF!</definedName>
    <definedName name="노반노무">#REF!</definedName>
    <definedName name="노반재료">#REF!</definedName>
    <definedName name="노부비">#REF!</definedName>
    <definedName name="노원" localSheetId="22" hidden="1">{#N/A,#N/A,FALSE,"회선임차현황"}</definedName>
    <definedName name="노원" localSheetId="4" hidden="1">{#N/A,#N/A,FALSE,"회선임차현황"}</definedName>
    <definedName name="노원" localSheetId="13" hidden="1">{#N/A,#N/A,FALSE,"회선임차현황"}</definedName>
    <definedName name="노원" localSheetId="15" hidden="1">{#N/A,#N/A,FALSE,"회선임차현황"}</definedName>
    <definedName name="노원" hidden="1">{#N/A,#N/A,FALSE,"회선임차현황"}</definedName>
    <definedName name="노인장기" localSheetId="13">'[73]7.설계명세서(통합보안)'!$G$228</definedName>
    <definedName name="노인장기">'[99]7.설계명세서(통합보안)'!$G$228</definedName>
    <definedName name="노임">#REF!</definedName>
    <definedName name="노임01">[125]설계명세CR!$A$13:$F$76</definedName>
    <definedName name="노임02">#REF!</definedName>
    <definedName name="노임단가">#REF!</definedName>
    <definedName name="노임단가9월" localSheetId="29" hidden="1">#REF!</definedName>
    <definedName name="노임단가9월" localSheetId="13" hidden="1">#REF!</definedName>
    <definedName name="노임단가9월" localSheetId="19" hidden="1">#REF!</definedName>
    <definedName name="노임단가9월" hidden="1">#REF!</definedName>
    <definedName name="노임단가수정완료">[7]!노임단가수정완료</definedName>
    <definedName name="노임담가">#REF!</definedName>
    <definedName name="노임표">#REF!</definedName>
    <definedName name="노즐공">#REF!</definedName>
    <definedName name="노지율">#REF!</definedName>
    <definedName name="노출직부">#REF!</definedName>
    <definedName name="녹지노">#REF!</definedName>
    <definedName name="녹지재">#REF!</definedName>
    <definedName name="농림">#REF!</definedName>
    <definedName name="놓노">#REF!</definedName>
    <definedName name="놓노노놓">BlankMacro1</definedName>
    <definedName name="눈주목">[50]단가!$A$134</definedName>
    <definedName name="눈향">[90]단가!$A$135</definedName>
    <definedName name="눈향L06">[80]수목데이타!$E$92</definedName>
    <definedName name="눈향L08">[80]수목데이타!$E$93</definedName>
    <definedName name="눈향L10">[80]수목데이타!$E$94</definedName>
    <definedName name="눈향L14">[80]수목데이타!$E$95</definedName>
    <definedName name="눈향L20">[80]수목데이타!$E$96</definedName>
    <definedName name="느릅">[50]단가!$A$103</definedName>
    <definedName name="느릅R10">[80]수목데이타!$E$100</definedName>
    <definedName name="느릅R4">[80]수목데이타!$E$97</definedName>
    <definedName name="느릅R5">[80]수목데이타!$E$98</definedName>
    <definedName name="느릅R8">[80]수목데이타!$E$99</definedName>
    <definedName name="느릅나무10노무">#REF!</definedName>
    <definedName name="느릅나무10재료">#REF!</definedName>
    <definedName name="느릅나무5노무">#REF!</definedName>
    <definedName name="느릅나무5재료">#REF!</definedName>
    <definedName name="느릅나무8노무">#REF!</definedName>
    <definedName name="느릅나무8재료">#REF!</definedName>
    <definedName name="느티10">[50]단가!$A$106</definedName>
    <definedName name="느티15">[50]단가!$A$105</definedName>
    <definedName name="느티20">[50]단가!$A$104</definedName>
    <definedName name="느티8">[50]단가!$A$107</definedName>
    <definedName name="느티R10">[80]수목데이타!$E$104</definedName>
    <definedName name="느티R12">[80]수목데이타!$E$105</definedName>
    <definedName name="느티R15">[80]수목데이타!$E$106</definedName>
    <definedName name="느티R18">[80]수목데이타!$E$107</definedName>
    <definedName name="느티R20">[80]수목데이타!$E$108</definedName>
    <definedName name="느티R25">[80]수목데이타!$E$109</definedName>
    <definedName name="느티R30">[80]수목데이타!$E$110</definedName>
    <definedName name="느티R5">[80]수목데이타!$E$101</definedName>
    <definedName name="느티R6">[80]수목데이타!$E$102</definedName>
    <definedName name="느티R8">[80]수목데이타!$E$103</definedName>
    <definedName name="능소화R2">[80]수목데이타!$E$111</definedName>
    <definedName name="능소화R4">[80]수목데이타!$E$112</definedName>
    <definedName name="능소화R6">[80]수목데이타!$E$113</definedName>
    <definedName name="니">#REF!</definedName>
    <definedName name="ㄶ">#REF!</definedName>
    <definedName name="ㄶ뫃ㄴㅁㄹㄴㅁㄹㄴㅇ" localSheetId="13" hidden="1">{#N/A,#N/A,FALSE,"부대2"}</definedName>
    <definedName name="ㄶ뫃ㄴㅁㄹㄴㅁㄹㄴㅇ" hidden="1">{#N/A,#N/A,FALSE,"부대2"}</definedName>
    <definedName name="ㄷ">#REF!</definedName>
    <definedName name="ㄷ6ㅓ" localSheetId="22" hidden="1">{"'용역비'!$A$4:$C$8"}</definedName>
    <definedName name="ㄷ6ㅓ" localSheetId="34" hidden="1">{"'용역비'!$A$4:$C$8"}</definedName>
    <definedName name="ㄷ6ㅓ" localSheetId="35" hidden="1">{"'용역비'!$A$4:$C$8"}</definedName>
    <definedName name="ㄷ6ㅓ" localSheetId="36" hidden="1">{"'용역비'!$A$4:$C$8"}</definedName>
    <definedName name="ㄷ6ㅓ" localSheetId="37" hidden="1">{"'용역비'!$A$4:$C$8"}</definedName>
    <definedName name="ㄷ6ㅓ" localSheetId="13" hidden="1">{"'용역비'!$A$4:$C$8"}</definedName>
    <definedName name="ㄷ6ㅓ" localSheetId="15" hidden="1">{"'용역비'!$A$4:$C$8"}</definedName>
    <definedName name="ㄷ6ㅓ" hidden="1">{"'용역비'!$A$4:$C$8"}</definedName>
    <definedName name="ㄷㄱ" localSheetId="29" hidden="1">#REF!</definedName>
    <definedName name="ㄷㄱ" localSheetId="32" hidden="1">#REF!</definedName>
    <definedName name="ㄷㄱ" localSheetId="27" hidden="1">#REF!</definedName>
    <definedName name="ㄷㄱ" localSheetId="30" hidden="1">#REF!</definedName>
    <definedName name="ㄷㄱ" localSheetId="13" hidden="1">#REF!</definedName>
    <definedName name="ㄷㄱ" localSheetId="15" hidden="1">#REF!</definedName>
    <definedName name="ㄷㄱ" localSheetId="19" hidden="1">#REF!</definedName>
    <definedName name="ㄷㄱ" hidden="1">#REF!</definedName>
    <definedName name="ㄷㄳ">#N/A</definedName>
    <definedName name="ㄷㄷ" localSheetId="29" hidden="1">#REF!</definedName>
    <definedName name="ㄷㄷ" localSheetId="34" hidden="1">'[40]#REF'!#REF!</definedName>
    <definedName name="ㄷㄷ" localSheetId="35" hidden="1">'[40]#REF'!#REF!</definedName>
    <definedName name="ㄷㄷ" localSheetId="36" hidden="1">'[40]#REF'!#REF!</definedName>
    <definedName name="ㄷㄷ" localSheetId="37" hidden="1">'[40]#REF'!#REF!</definedName>
    <definedName name="ㄷㄷ" localSheetId="13" hidden="1">#REF!</definedName>
    <definedName name="ㄷㄷ" localSheetId="19" hidden="1">#REF!</definedName>
    <definedName name="ㄷㄷ" hidden="1">#REF!</definedName>
    <definedName name="ㄷㄷㄷ" localSheetId="29" hidden="1">[126]조명시설!#REF!</definedName>
    <definedName name="ㄷㄷㄷ" localSheetId="13" hidden="1">[126]조명시설!#REF!</definedName>
    <definedName name="ㄷㄷㄷ" localSheetId="19" hidden="1">[126]조명시설!#REF!</definedName>
    <definedName name="ㄷㄷㄷ" hidden="1">[126]조명시설!#REF!</definedName>
    <definedName name="ㄷㄹㅈㄴㄹ" localSheetId="29" hidden="1">#REF!</definedName>
    <definedName name="ㄷㄹㅈㄴㄹ" localSheetId="13" hidden="1">#REF!</definedName>
    <definedName name="ㄷㄹㅈㄴㄹ" localSheetId="19" hidden="1">#REF!</definedName>
    <definedName name="ㄷㄹㅈㄴㄹ" hidden="1">#REF!</definedName>
    <definedName name="ㄷㅂㅎ">#REF!</definedName>
    <definedName name="ㄷㅇㄱㄱㄹㄿㅍ">#REF!</definedName>
    <definedName name="ㄷㅇㄴ" localSheetId="13" hidden="1">{#N/A,#N/A,FALSE,"현장 NCR 분석";#N/A,#N/A,FALSE,"현장품질감사";#N/A,#N/A,FALSE,"현장품질감사"}</definedName>
    <definedName name="ㄷㅇㄴ" localSheetId="15" hidden="1">{#N/A,#N/A,FALSE,"현장 NCR 분석";#N/A,#N/A,FALSE,"현장품질감사";#N/A,#N/A,FALSE,"현장품질감사"}</definedName>
    <definedName name="ㄷㅇㄴ" hidden="1">{#N/A,#N/A,FALSE,"현장 NCR 분석";#N/A,#N/A,FALSE,"현장품질감사";#N/A,#N/A,FALSE,"현장품질감사"}</definedName>
    <definedName name="ㄷㅇㅇㅇㄷㅈ">#REF!</definedName>
    <definedName name="ㄷㅈㄷ" localSheetId="13">[127]설계서!$G$56</definedName>
    <definedName name="ㄷㅈㄷ">[56]설계서!$G$56</definedName>
    <definedName name="ㄷㅍㅂ" localSheetId="22" hidden="1">{"'용역비'!$A$4:$C$8"}</definedName>
    <definedName name="ㄷㅍㅂ" localSheetId="34" hidden="1">{"'용역비'!$A$4:$C$8"}</definedName>
    <definedName name="ㄷㅍㅂ" localSheetId="35" hidden="1">{"'용역비'!$A$4:$C$8"}</definedName>
    <definedName name="ㄷㅍㅂ" localSheetId="36" hidden="1">{"'용역비'!$A$4:$C$8"}</definedName>
    <definedName name="ㄷㅍㅂ" localSheetId="37" hidden="1">{"'용역비'!$A$4:$C$8"}</definedName>
    <definedName name="ㄷㅍㅂ" localSheetId="13" hidden="1">{"'용역비'!$A$4:$C$8"}</definedName>
    <definedName name="ㄷㅍㅂ" localSheetId="15" hidden="1">{"'용역비'!$A$4:$C$8"}</definedName>
    <definedName name="ㄷㅍㅂ" hidden="1">{"'용역비'!$A$4:$C$8"}</definedName>
    <definedName name="ㄷㅎㄹㅇ" localSheetId="29" hidden="1">#REF!</definedName>
    <definedName name="ㄷㅎㄹㅇ" localSheetId="19" hidden="1">#REF!</definedName>
    <definedName name="ㄷㅎㄹㅇ" hidden="1">#REF!</definedName>
    <definedName name="다">#REF!</definedName>
    <definedName name="다.">#REF!</definedName>
    <definedName name="다기능전화기신설">#REF!</definedName>
    <definedName name="다기능전화기이설">#REF!</definedName>
    <definedName name="다기능전화기철거">#REF!</definedName>
    <definedName name="다라">#REF!</definedName>
    <definedName name="다라마"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다라마"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다라마"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다른">#REF!</definedName>
    <definedName name="다른이름" localSheetId="2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다른이름"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다른이름"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다른이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다짐1경비">[50]시설물일위!#REF!</definedName>
    <definedName name="다짐1노무비">[50]시설물일위!#REF!</definedName>
    <definedName name="다짐1재료비">[50]시설물일위!#REF!</definedName>
    <definedName name="다짐경비">[50]시설물일위!#REF!</definedName>
    <definedName name="다짐노무비">[50]시설물일위!#REF!</definedName>
    <definedName name="닥트2" localSheetId="29">[39]!BlankMacro1</definedName>
    <definedName name="닥트2" localSheetId="19">[39]!BlankMacro1</definedName>
    <definedName name="닥트2">[39]!BlankMacro1</definedName>
    <definedName name="닥트공">#REF!</definedName>
    <definedName name="단_가">#REF!</definedName>
    <definedName name="단_가2">[128]일위대가표!#REF!</definedName>
    <definedName name="단_가3">[128]일위대가표!#REF!</definedName>
    <definedName name="단_가4">[128]일위대가표!#REF!</definedName>
    <definedName name="단_가5">[128]일위대가표!#REF!</definedName>
    <definedName name="단_가6">[128]일위대가표!#REF!</definedName>
    <definedName name="단가">#REF!</definedName>
    <definedName name="단가12">#REF!</definedName>
    <definedName name="단가13">#REF!</definedName>
    <definedName name="단가14">#REF!</definedName>
    <definedName name="단가15">#REF!</definedName>
    <definedName name="단가16">#REF!</definedName>
    <definedName name="단가29">#REF!</definedName>
    <definedName name="단가35">#REF!</definedName>
    <definedName name="단가49">#REF!</definedName>
    <definedName name="단가50">#REF!</definedName>
    <definedName name="단가51">#REF!</definedName>
    <definedName name="단가56">#REF!</definedName>
    <definedName name="단가60">#REF!</definedName>
    <definedName name="단가61">#REF!</definedName>
    <definedName name="단가67">#REF!</definedName>
    <definedName name="단가68">#REF!</definedName>
    <definedName name="단가69">#REF!</definedName>
    <definedName name="단가8">#REF!</definedName>
    <definedName name="단가9">#REF!</definedName>
    <definedName name="단가비교표" localSheetId="29">#REF!,#REF!</definedName>
    <definedName name="단가비교표" localSheetId="13">#REF!,#REF!</definedName>
    <definedName name="단가비교표" localSheetId="19">#REF!,#REF!</definedName>
    <definedName name="단가비교표">#REF!,#REF!</definedName>
    <definedName name="단가산출">#REF!</definedName>
    <definedName name="단가산출근거" localSheetId="29" hidden="1">'[1]토량1-1'!#REF!</definedName>
    <definedName name="단가산출근거" localSheetId="13" hidden="1">'[1]토량1-1'!#REF!</definedName>
    <definedName name="단가산출근거" localSheetId="19" hidden="1">'[1]토량1-1'!#REF!</definedName>
    <definedName name="단가산출근거" hidden="1">'[1]토량1-1'!#REF!</definedName>
    <definedName name="단가산출서">#REF!</definedName>
    <definedName name="단가조사표">#REF!</definedName>
    <definedName name="단가테이블">#REF!</definedName>
    <definedName name="단가표" localSheetId="13" hidden="1">{#N/A,#N/A,FALSE,"포장1";#N/A,#N/A,FALSE,"포장1"}</definedName>
    <definedName name="단가표" hidden="1">{#N/A,#N/A,FALSE,"포장1";#N/A,#N/A,FALSE,"포장1"}</definedName>
    <definedName name="단가확정분내역" localSheetId="29" hidden="1">#REF!</definedName>
    <definedName name="단가확정분내역" localSheetId="13" hidden="1">#REF!</definedName>
    <definedName name="단가확정분내역" localSheetId="19" hidden="1">#REF!</definedName>
    <definedName name="단가확정분내역" hidden="1">#REF!</definedName>
    <definedName name="단가확정분집계표" localSheetId="29" hidden="1">#REF!</definedName>
    <definedName name="단가확정분집계표" localSheetId="13" hidden="1">#REF!</definedName>
    <definedName name="단가확정분집계표" localSheetId="19" hidden="1">#REF!</definedName>
    <definedName name="단가확정분집계표" hidden="1">#REF!</definedName>
    <definedName name="단같">#N/A</definedName>
    <definedName name="단같1">#N/A</definedName>
    <definedName name="단같2">#N/A</definedName>
    <definedName name="단같3">#N/A</definedName>
    <definedName name="단같4">#N/A</definedName>
    <definedName name="단독" localSheetId="13">[6]소요자재!$H$139</definedName>
    <definedName name="단독">[23]소요자재!$H$139</definedName>
    <definedName name="단수정리3">#REF!</definedName>
    <definedName name="단수정리4">#REF!</definedName>
    <definedName name="단수처리">#REF!</definedName>
    <definedName name="단순철거10C">#REF!</definedName>
    <definedName name="단순철거30C">#REF!</definedName>
    <definedName name="단순철거긍장">#REF!</definedName>
    <definedName name="단위">"Label 21"</definedName>
    <definedName name="단위공량1">#REF!</definedName>
    <definedName name="단위공량10">[128]일위대가표!#REF!</definedName>
    <definedName name="단위공량11">[128]일위대가표!#REF!</definedName>
    <definedName name="단위공량12">[128]일위대가표!#REF!</definedName>
    <definedName name="단위공량13">[128]일위대가표!#REF!</definedName>
    <definedName name="단위공량14">[128]일위대가표!#REF!</definedName>
    <definedName name="단위공량15">[128]일위대가표!#REF!</definedName>
    <definedName name="단위공량16">[128]일위대가표!#REF!</definedName>
    <definedName name="단위공량17">[128]일위대가표!#REF!</definedName>
    <definedName name="단위공량2">#REF!</definedName>
    <definedName name="단위공량3">#REF!</definedName>
    <definedName name="단위공량4">[128]일위대가표!#REF!</definedName>
    <definedName name="단위공량5">[128]일위대가표!#REF!</definedName>
    <definedName name="단위공량6">[128]일위대가표!#REF!</definedName>
    <definedName name="단위공량7">[128]일위대가표!#REF!</definedName>
    <definedName name="단위공량8">[128]일위대가표!#REF!</definedName>
    <definedName name="단위공량9">[128]일위대가표!#REF!</definedName>
    <definedName name="단위량">#REF!</definedName>
    <definedName name="단위수량1" localSheetId="13" hidden="1">{"'산출근거'!$B$4:$D$8"}</definedName>
    <definedName name="단위수량1" hidden="1">{"'산출근거'!$B$4:$D$8"}</definedName>
    <definedName name="단위시설">[129]설계예시!$B$84</definedName>
    <definedName name="단위시설공사비">[109]도급내역!$B$78</definedName>
    <definedName name="단위조장" localSheetId="2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단위조장"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단위조장"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단위조장"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단위중량">2.5</definedName>
    <definedName name="단자">#REF!</definedName>
    <definedName name="단자10P신설">#REF!</definedName>
    <definedName name="단자블러취부">[38]노무산출서!#REF!</definedName>
    <definedName name="단자블럭취부">#REF!</definedName>
    <definedName name="단자블럭취부A">#REF!</definedName>
    <definedName name="단자취부1">#REF!</definedName>
    <definedName name="단자취부2">#REF!</definedName>
    <definedName name="단자취부A">#REF!</definedName>
    <definedName name="달러환율" localSheetId="13">[128]환율!$C$1</definedName>
    <definedName name="달러환율">[130]환율!$C$1</definedName>
    <definedName name="담당과장">#REF!</definedName>
    <definedName name="담쟁이L03">[80]수목데이타!$E$114</definedName>
    <definedName name="당진군예술회관" localSheetId="1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당진군예술회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당초계획" localSheetId="29" hidden="1">#REF!</definedName>
    <definedName name="당초계획" localSheetId="13" hidden="1">#REF!</definedName>
    <definedName name="당초계획" localSheetId="19" hidden="1">#REF!</definedName>
    <definedName name="당초계획" hidden="1">#REF!</definedName>
    <definedName name="대__장__공">#REF!</definedName>
    <definedName name="대관인허가">#REF!</definedName>
    <definedName name="대교건설" localSheetId="1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대교건설"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대교건설2" localSheetId="1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대교건설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대구">#REF!</definedName>
    <definedName name="대기영역">#REF!</definedName>
    <definedName name="대나무">[116]일위대가!#REF!</definedName>
    <definedName name="대나무지주목">[88]식재출력용!#REF!</definedName>
    <definedName name="대수">#REF!</definedName>
    <definedName name="대왕참R10">[80]수목데이타!$E$118</definedName>
    <definedName name="대왕참R4">[80]수목데이타!$E$115</definedName>
    <definedName name="대왕참R6">[80]수목데이타!$E$116</definedName>
    <definedName name="대왕참R8">[80]수목데이타!$E$117</definedName>
    <definedName name="대운반거리" localSheetId="29" hidden="1">#REF!</definedName>
    <definedName name="대운반거리" localSheetId="13" hidden="1">#REF!</definedName>
    <definedName name="대운반거리" localSheetId="19" hidden="1">#REF!</definedName>
    <definedName name="대운반거리" hidden="1">#REF!</definedName>
    <definedName name="대전">#REF!</definedName>
    <definedName name="대천변전소" localSheetId="13" hidden="1">{"'당진'!$A$1:$P$34","'당진'!$N$13"}</definedName>
    <definedName name="대천변전소" localSheetId="15" hidden="1">{"'당진'!$A$1:$P$34","'당진'!$N$13"}</definedName>
    <definedName name="대천변전소" hidden="1">{"'당진'!$A$1:$P$34","'당진'!$N$13"}</definedName>
    <definedName name="대추">[50]단가!$A$108</definedName>
    <definedName name="대추R10">[80]수목데이타!$E$123</definedName>
    <definedName name="대추R4">[80]수목데이타!$E$119</definedName>
    <definedName name="대추R5">[80]수목데이타!$E$120</definedName>
    <definedName name="대추R6">[80]수목데이타!$E$121</definedName>
    <definedName name="대추R8">[80]수목데이타!$E$122</definedName>
    <definedName name="대호">#REF!</definedName>
    <definedName name="덕" localSheetId="13" hidden="1">{#N/A,#N/A,FALSE,"포장2"}</definedName>
    <definedName name="덕" hidden="1">{#N/A,#N/A,FALSE,"포장2"}</definedName>
    <definedName name="덕__트__공">#REF!</definedName>
    <definedName name="덕진" localSheetId="13" hidden="1">{#N/A,#N/A,FALSE,"포장2"}</definedName>
    <definedName name="덕진" hidden="1">{#N/A,#N/A,FALSE,"포장2"}</definedName>
    <definedName name="덕호" localSheetId="13" hidden="1">{#N/A,#N/A,FALSE,"포장2"}</definedName>
    <definedName name="덕호" hidden="1">{#N/A,#N/A,FALSE,"포장2"}</definedName>
    <definedName name="덤프15경">#REF!</definedName>
    <definedName name="덤프15노무">#REF!</definedName>
    <definedName name="덤프15재료">#REF!</definedName>
    <definedName name="덤프2.5경">#REF!</definedName>
    <definedName name="덤프2.5노무">#REF!</definedName>
    <definedName name="덤프2.5재료">#REF!</definedName>
    <definedName name="덤프경비">#REF!</definedName>
    <definedName name="덤프노무">#REF!</definedName>
    <definedName name="덤프재료">#REF!</definedName>
    <definedName name="덩굴장미">[90]단가!$A$148</definedName>
    <definedName name="덩굴장미3">[80]수목데이타!$E$128</definedName>
    <definedName name="덩굴장미4">[80]수목데이타!$E$129</definedName>
    <definedName name="덩굴장미5">[80]수목데이타!$E$130</definedName>
    <definedName name="데이타" localSheetId="29" hidden="1">#REF!</definedName>
    <definedName name="데이타" localSheetId="32" hidden="1">#REF!</definedName>
    <definedName name="데이타" localSheetId="27" hidden="1">#REF!</definedName>
    <definedName name="데이타" localSheetId="30" hidden="1">#REF!</definedName>
    <definedName name="데이타" localSheetId="13" hidden="1">#REF!</definedName>
    <definedName name="데이타" localSheetId="15" hidden="1">#REF!</definedName>
    <definedName name="데이타" localSheetId="19" hidden="1">#REF!</definedName>
    <definedName name="데이타" hidden="1">#REF!</definedName>
    <definedName name="뎡유">#REF!</definedName>
    <definedName name="도" localSheetId="13">[131]설계!$G$138</definedName>
    <definedName name="도">[56]설계!$G$138</definedName>
    <definedName name="도__목__수">#REF!</definedName>
    <definedName name="도__배__공">#REF!</definedName>
    <definedName name="도__장__공">#REF!</definedName>
    <definedName name="도경" localSheetId="13">'[73]7.설계명세서(통합보안)'!$G$222</definedName>
    <definedName name="도경">'[74]7.설계명세서'!$G$135</definedName>
    <definedName name="도경_1">#REF!</definedName>
    <definedName name="도경1">#REF!</definedName>
    <definedName name="도경2">#REF!</definedName>
    <definedName name="도그분경비">[97]설계!#REF!</definedName>
    <definedName name="도급" localSheetId="13">'[132]5-1.설계명세서'!$G$28</definedName>
    <definedName name="도급">#REF!</definedName>
    <definedName name="도급.">#REF!</definedName>
    <definedName name="도급_1">#REF!</definedName>
    <definedName name="도급1">#REF!</definedName>
    <definedName name="도급2">#REF!</definedName>
    <definedName name="도급가">#REF!</definedName>
    <definedName name="도급경비">#REF!</definedName>
    <definedName name="도급경비1">#REF!</definedName>
    <definedName name="도급경비2">#REF!</definedName>
    <definedName name="도급경비3">#REF!</definedName>
    <definedName name="도급경비계">#REF!</definedName>
    <definedName name="도급계">#REF!</definedName>
    <definedName name="도급계1">#REF!</definedName>
    <definedName name="도급계2">#REF!</definedName>
    <definedName name="도급계3">#REF!</definedName>
    <definedName name="도급공사">[84]설계!$G$208</definedName>
    <definedName name="도급공사비">#REF!</definedName>
    <definedName name="도급공사비1" localSheetId="13">[133]설계명세서!$H$11</definedName>
    <definedName name="도급공사비1">[134]설계명세서!$H$11</definedName>
    <definedName name="도급노무비">#REF!</definedName>
    <definedName name="도급단가">#REF!</definedName>
    <definedName name="도급분">#REF!</definedName>
    <definedName name="도급분1">#REF!</definedName>
    <definedName name="도급분경비">#REF!</definedName>
    <definedName name="도급분경비." localSheetId="13">[96]설계!$G$60</definedName>
    <definedName name="도급분경비.">[97]설계!$G$60</definedName>
    <definedName name="도급분경비1">#REF!</definedName>
    <definedName name="도급분경비A">#REF!</definedName>
    <definedName name="도급분경비합계">#REF!</definedName>
    <definedName name="도급분계">'[135]적용기준표(98년상반기)'!#REF!</definedName>
    <definedName name="도급분계_3" localSheetId="13">[79]설계명세서!$G$206</definedName>
    <definedName name="도급분계_3">[82]설계명세서!$G$206</definedName>
    <definedName name="도급분계1_1" localSheetId="13">[79]설계명세서!$J$206</definedName>
    <definedName name="도급분계1_1">[82]설계명세서!$J$206</definedName>
    <definedName name="도급분재료비계">#REF!</definedName>
    <definedName name="도급분총계_1" localSheetId="13">[136]정산!$J$67</definedName>
    <definedName name="도급분총계_1">[137]정산!$J$67</definedName>
    <definedName name="도급분총합">#REF!</definedName>
    <definedName name="도급분합계">#REF!</definedName>
    <definedName name="도급비">#REF!</definedName>
    <definedName name="도급액">#REF!</definedName>
    <definedName name="도급여산" localSheetId="29" hidden="1">[3]B!#REF!</definedName>
    <definedName name="도급여산" localSheetId="13" hidden="1">[3]B!#REF!</definedName>
    <definedName name="도급여산" localSheetId="19" hidden="1">[3]B!#REF!</definedName>
    <definedName name="도급여산" hidden="1">[3]B!#REF!</definedName>
    <definedName name="도급예정액2">#REF!</definedName>
    <definedName name="도급예정액3">#REF!</definedName>
    <definedName name="도급예정액4">#REF!</definedName>
    <definedName name="도급운반" localSheetId="13">'[82](14)경비'!$H$19</definedName>
    <definedName name="도급운반">'[83](14)경비'!$H$19</definedName>
    <definedName name="도급운반변경" localSheetId="13">[82]경비변경!$J$9</definedName>
    <definedName name="도급운반변경">[83]경비변경!$J$9</definedName>
    <definedName name="도급자재">#REF!</definedName>
    <definedName name="도급재" localSheetId="13">'[73]7.설계명세서(통합보안)'!$G$57</definedName>
    <definedName name="도급재">'[99]7.설계명세서(통합보안)'!$G$57</definedName>
    <definedName name="도급재료">#REF!</definedName>
    <definedName name="도급재료1">#REF!</definedName>
    <definedName name="도급재료2">#REF!</definedName>
    <definedName name="도급재료3">#REF!</definedName>
    <definedName name="도급재료5">[138]설계명세서!#REF!</definedName>
    <definedName name="도급재료비">#REF!</definedName>
    <definedName name="도급재료비2">#REF!</definedName>
    <definedName name="도급총계">#REF!</definedName>
    <definedName name="도급총합_1">#REF!</definedName>
    <definedName name="도급총합_2">#REF!</definedName>
    <definedName name="도목수">#REF!</definedName>
    <definedName name="도배공">#REF!</definedName>
    <definedName name="도븍분경">[84]설계!$G$194</definedName>
    <definedName name="도서">#REF!</definedName>
    <definedName name="도서1">#REF!</definedName>
    <definedName name="도서2">#REF!</definedName>
    <definedName name="도서2way">#REF!</definedName>
    <definedName name="도서8way">#REF!</definedName>
    <definedName name="도서ONU">#REF!</definedName>
    <definedName name="도서동축12">#REF!</definedName>
    <definedName name="도서인쇄">#REF!</definedName>
    <definedName name="도서인쇄비">'[56]5. 설계명세서'!#REF!</definedName>
    <definedName name="도서전력공급기">#REF!</definedName>
    <definedName name="도서전력삽입기">#REF!</definedName>
    <definedName name="도서증폭기">#REF!</definedName>
    <definedName name="도서축전지설치품">#REF!</definedName>
    <definedName name="도서축전지이설품">#REF!</definedName>
    <definedName name="도운반비">#REF!</definedName>
    <definedName name="도장공">#REF!</definedName>
    <definedName name="도장노임">#REF!</definedName>
    <definedName name="도장손료">#REF!</definedName>
    <definedName name="도장손료노무비" localSheetId="13" hidden="1">{#N/A,#N/A,FALSE,"현장 NCR 분석";#N/A,#N/A,FALSE,"현장품질감사";#N/A,#N/A,FALSE,"현장품질감사"}</definedName>
    <definedName name="도장손료노무비" localSheetId="15" hidden="1">{#N/A,#N/A,FALSE,"현장 NCR 분석";#N/A,#N/A,FALSE,"현장품질감사";#N/A,#N/A,FALSE,"현장품질감사"}</definedName>
    <definedName name="도장손료노무비" hidden="1">{#N/A,#N/A,FALSE,"현장 NCR 분석";#N/A,#N/A,FALSE,"현장품질감사";#N/A,#N/A,FALSE,"현장품질감사"}</definedName>
    <definedName name="도장할증">#REF!</definedName>
    <definedName name="도재">#REF!</definedName>
    <definedName name="도재_1">#REF!</definedName>
    <definedName name="도편수">#REF!</definedName>
    <definedName name="도형" localSheetId="13">'8-2.설비자재산출(무인보안)'!도형</definedName>
    <definedName name="도형" localSheetId="15">'8-4.일위대가표'!도형</definedName>
    <definedName name="도형">'8-2.설비자재산출(무인보안)'!도형</definedName>
    <definedName name="독산">#REF!</definedName>
    <definedName name="독산공장" localSheetId="13"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독산공장"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독산공장2" localSheetId="13" hidden="1">{#N/A,#N/A,TRUE,"1. 부하계산";#N/A,#N/A,TRUE,"1-1.부하계산기준";#N/A,#N/A,TRUE,"1-2.부하계산";#N/A,#N/A,TRUE,"2.장비선정";#N/A,#N/A,TRUE,"2-1보일러";#N/A,#N/A,TRUE,"2-2펌프";#N/A,#N/A,TRUE,"2-3탱크";#N/A,#N/A,TRUE,"2-4전기방열기";#N/A,#N/A,TRUE,"2-5전기온수기";#N/A,#N/A,TRUE,"2-6팬"}</definedName>
    <definedName name="독산공장2" hidden="1">{#N/A,#N/A,TRUE,"1. 부하계산";#N/A,#N/A,TRUE,"1-1.부하계산기준";#N/A,#N/A,TRUE,"1-2.부하계산";#N/A,#N/A,TRUE,"2.장비선정";#N/A,#N/A,TRUE,"2-1보일러";#N/A,#N/A,TRUE,"2-2펌프";#N/A,#N/A,TRUE,"2-3탱크";#N/A,#N/A,TRUE,"2-4전기방열기";#N/A,#N/A,TRUE,"2-5전기온수기";#N/A,#N/A,TRUE,"2-6팬"}</definedName>
    <definedName name="독산공장3" localSheetId="13" hidden="1">{#N/A,#N/A,TRUE,"공조기";#N/A,#N/A,TRUE,"FCU";#N/A,#N/A,TRUE,"1-20";#N/A,#N/A,TRUE,"21-40";#N/A,#N/A,TRUE,"41-60";#N/A,#N/A,TRUE,"61-80";#N/A,#N/A,TRUE,"화장실부하집계";#N/A,#N/A,TRUE,"화장실"}</definedName>
    <definedName name="독산공장3" hidden="1">{#N/A,#N/A,TRUE,"공조기";#N/A,#N/A,TRUE,"FCU";#N/A,#N/A,TRUE,"1-20";#N/A,#N/A,TRUE,"21-40";#N/A,#N/A,TRUE,"41-60";#N/A,#N/A,TRUE,"61-80";#N/A,#N/A,TRUE,"화장실부하집계";#N/A,#N/A,TRUE,"화장실"}</definedName>
    <definedName name="독산공장4" localSheetId="13" hidden="1">{#N/A,#N/A,TRUE,"1.부하계산기준";#N/A,#N/A,TRUE,"2.부하계산방법"}</definedName>
    <definedName name="독산공장4" hidden="1">{#N/A,#N/A,TRUE,"1.부하계산기준";#N/A,#N/A,TRUE,"2.부하계산방법"}</definedName>
    <definedName name="독산공장5" localSheetId="13" hidden="1">{#N/A,#N/A,TRUE,"1. 부하계산";#N/A,#N/A,TRUE,"1-1.부하계산기준";#N/A,#N/A,TRUE,"1-2.부하계산방법";#N/A,#N/A,TRUE,"1-3.부하집계";#N/A,#N/A,TRUE,"1-4.부하계산"}</definedName>
    <definedName name="독산공장5" hidden="1">{#N/A,#N/A,TRUE,"1. 부하계산";#N/A,#N/A,TRUE,"1-1.부하계산기준";#N/A,#N/A,TRUE,"1-2.부하계산방법";#N/A,#N/A,TRUE,"1-3.부하집계";#N/A,#N/A,TRUE,"1-4.부하계산"}</definedName>
    <definedName name="독산공장6" localSheetId="13" hidden="1">{#N/A,#N/A,TRUE,"부하계산서표지";#N/A,#N/A,TRUE,"1. 부하계산";#N/A,#N/A,TRUE,"1-1.부하계산기준";#N/A,#N/A,TRUE,"1-2.부하계산";#N/A,#N/A,TRUE,"1-3부하집계"}</definedName>
    <definedName name="독산공장6" hidden="1">{#N/A,#N/A,TRUE,"부하계산서표지";#N/A,#N/A,TRUE,"1. 부하계산";#N/A,#N/A,TRUE,"1-1.부하계산기준";#N/A,#N/A,TRUE,"1-2.부하계산";#N/A,#N/A,TRUE,"1-3부하집계"}</definedName>
    <definedName name="독산공장7" localSheetId="13" hidden="1">{#N/A,#N/A,FALSE,"화장실부하집계";#N/A,#N/A,FALSE,"화장실"}</definedName>
    <definedName name="독산공장7" hidden="1">{#N/A,#N/A,FALSE,"화장실부하집계";#N/A,#N/A,FALSE,"화장실"}</definedName>
    <definedName name="독야">#REF!</definedName>
    <definedName name="독일가문비1206">[80]수목데이타!$E$131</definedName>
    <definedName name="독일가문비1508">[80]수목데이타!$E$132</definedName>
    <definedName name="독일가문비2010">[80]수목데이타!$E$133</definedName>
    <definedName name="독일가문비2512">[80]수목데이타!$E$134</definedName>
    <definedName name="독일가문비3015">[80]수목데이타!$E$135</definedName>
    <definedName name="독일가문비3518">[80]수목데이타!$E$136</definedName>
    <definedName name="독평">#REF!</definedName>
    <definedName name="돈나무0504">[80]수목데이타!$E$137</definedName>
    <definedName name="돈나무0805">[80]수목데이타!$E$138</definedName>
    <definedName name="돈나무1007">[80]수목데이타!$E$139</definedName>
    <definedName name="돈나무1210">[80]수목데이타!$E$140</definedName>
    <definedName name="동교1">#REF!</definedName>
    <definedName name="동교2">#REF!</definedName>
    <definedName name="동교3">#REF!</definedName>
    <definedName name="동교4">#REF!</definedName>
    <definedName name="동대전통신실" localSheetId="13" hidden="1">{"'당진'!$A$1:$P$34","'당진'!$N$13"}</definedName>
    <definedName name="동대전통신실" localSheetId="15" hidden="1">{"'당진'!$A$1:$P$34","'당진'!$N$13"}</definedName>
    <definedName name="동대전통신실" hidden="1">{"'당진'!$A$1:$P$34","'당진'!$N$13"}</definedName>
    <definedName name="동발공">#REF!</definedName>
    <definedName name="동발공_터널">#REF!</definedName>
    <definedName name="동백1002">[80]수목데이타!$E$141</definedName>
    <definedName name="동백1204">[80]수목데이타!$E$142</definedName>
    <definedName name="동백1506">[80]수목데이타!$E$143</definedName>
    <definedName name="동백1808">[80]수목데이타!$E$144</definedName>
    <definedName name="동백나무2노무">#REF!</definedName>
    <definedName name="동백나무2재료">#REF!</definedName>
    <definedName name="동백나무4노무">#REF!</definedName>
    <definedName name="동백나무4재료">#REF!</definedName>
    <definedName name="동백나무6노무">#REF!</definedName>
    <definedName name="동백나무6재료">#REF!</definedName>
    <definedName name="동백나무8노무">#REF!</definedName>
    <definedName name="동백나무8재료">#REF!</definedName>
    <definedName name="동부경찰서">BlankMacro1</definedName>
    <definedName name="동원">#REF!</definedName>
    <definedName name="동전주" localSheetId="13" hidden="1">{#N/A,#N/A,FALSE,"회선임차현황"}</definedName>
    <definedName name="동전주" localSheetId="15" hidden="1">{#N/A,#N/A,FALSE,"회선임차현황"}</definedName>
    <definedName name="동전주" hidden="1">{#N/A,#N/A,FALSE,"회선임차현황"}</definedName>
    <definedName name="동준" localSheetId="13" hidden="1">{"'Firr(선)'!$AS$1:$AY$62","'Firr(사)'!$AS$1:$AY$62","'Firr(회)'!$AS$1:$AY$62","'Firr(선)'!$L$1:$V$62","'Firr(사)'!$L$1:$V$62","'Firr(회)'!$L$1:$V$62"}</definedName>
    <definedName name="동준" hidden="1">{"'Firr(선)'!$AS$1:$AY$62","'Firr(사)'!$AS$1:$AY$62","'Firr(회)'!$AS$1:$AY$62","'Firr(선)'!$L$1:$V$62","'Firr(사)'!$L$1:$V$62","'Firr(회)'!$L$1:$V$62"}</definedName>
    <definedName name="동축_1">#REF!</definedName>
    <definedName name="동축_2">#REF!</definedName>
    <definedName name="동축_7C">#REF!</definedName>
    <definedName name="동축12">#REF!</definedName>
    <definedName name="동축12C">#REF!</definedName>
    <definedName name="동축12C2열">#REF!</definedName>
    <definedName name="동축17">#REF!</definedName>
    <definedName name="동축17C">#REF!</definedName>
    <definedName name="동축17C12C">#REF!</definedName>
    <definedName name="동축17C12C2열">#REF!</definedName>
    <definedName name="동축노무비" localSheetId="13">[107]정산설계!$G$263</definedName>
    <definedName name="동축노무비">[112]정산설계!$G$263</definedName>
    <definedName name="동축전송_1">#REF!</definedName>
    <definedName name="동축전송_2">#REF!</definedName>
    <definedName name="동축전송계">#REF!</definedName>
    <definedName name="동축전송설치">#REF!</definedName>
    <definedName name="동축전송장치">#REF!</definedName>
    <definedName name="동축케이블">#REF!</definedName>
    <definedName name="동축케이블17C">#REF!</definedName>
    <definedName name="동축케이블계">#REF!</definedName>
    <definedName name="동축포설">#REF!</definedName>
    <definedName name="되" localSheetId="13" hidden="1">{#N/A,#N/A,FALSE,"운반시간"}</definedName>
    <definedName name="되" hidden="1">{#N/A,#N/A,FALSE,"운반시간"}</definedName>
    <definedName name="되다짐경비">[50]시설물일위!#REF!</definedName>
    <definedName name="되메우기">#REF!</definedName>
    <definedName name="되메우기경">#REF!</definedName>
    <definedName name="되메우기노">#REF!</definedName>
    <definedName name="되메우기다짐경비">[50]시설물일위!#REF!</definedName>
    <definedName name="되메우기다짐노무비">[50]시설물일위!#REF!</definedName>
    <definedName name="되메우기다짐재료비">[50]시설물일위!#REF!</definedName>
    <definedName name="되메우기재">#REF!</definedName>
    <definedName name="두겁노">#REF!</definedName>
    <definedName name="두겁재">#REF!</definedName>
    <definedName name="두루넷">#N/A</definedName>
    <definedName name="두호" localSheetId="13" hidden="1">{#N/A,#N/A,FALSE,"2~8번"}</definedName>
    <definedName name="두호" hidden="1">{#N/A,#N/A,FALSE,"2~8번"}</definedName>
    <definedName name="둔지" localSheetId="13" hidden="1">{#N/A,#N/A,FALSE,"회선임차현황"}</definedName>
    <definedName name="둔지" localSheetId="15" hidden="1">{#N/A,#N/A,FALSE,"회선임차현황"}</definedName>
    <definedName name="둔지" hidden="1">{#N/A,#N/A,FALSE,"회선임차현황"}</definedName>
    <definedName name="둔지내역" localSheetId="13" hidden="1">{#N/A,#N/A,FALSE,"회선임차현황"}</definedName>
    <definedName name="둔지내역" localSheetId="15" hidden="1">{#N/A,#N/A,FALSE,"회선임차현황"}</definedName>
    <definedName name="둔지내역" hidden="1">{#N/A,#N/A,FALSE,"회선임차현황"}</definedName>
    <definedName name="드럼감기철거">#REF!</definedName>
    <definedName name="드럼감기철거10C">#REF!</definedName>
    <definedName name="드럼감기철거30C">#REF!</definedName>
    <definedName name="드럼감기철거긍장">#REF!</definedName>
    <definedName name="드럼산출2">#REF!</definedName>
    <definedName name="드럼표">#N/A</definedName>
    <definedName name="드럼표222" localSheetId="13">'8-2.설비자재산출(무인보안)'!드럼표222</definedName>
    <definedName name="드럼표222" localSheetId="15">'8-4.일위대가표'!드럼표222</definedName>
    <definedName name="드럼표222">'8-2.설비자재산출(무인보안)'!드럼표222</definedName>
    <definedName name="드잡이공">#REF!</definedName>
    <definedName name="등R2">[80]수목데이타!$E$156</definedName>
    <definedName name="등R4">[80]수목데이타!$E$157</definedName>
    <definedName name="등R6">[80]수목데이타!$E$158</definedName>
    <definedName name="등R8">[80]수목데이타!$E$159</definedName>
    <definedName name="디">#REF!</definedName>
    <definedName name="때죽">[50]단가!$A$109</definedName>
    <definedName name="때죽R10">[80]수목데이타!$E$127</definedName>
    <definedName name="때죽R4">[80]수목데이타!$E$124</definedName>
    <definedName name="때죽R6">[80]수목데이타!$E$125</definedName>
    <definedName name="때죽R8">[80]수목데이타!$E$126</definedName>
    <definedName name="뚜껑1" localSheetId="13" hidden="1">{#N/A,#N/A,FALSE,"배수2"}</definedName>
    <definedName name="뚜껑1" hidden="1">{#N/A,#N/A,FALSE,"배수2"}</definedName>
    <definedName name="뜨껑" localSheetId="13" hidden="1">{#N/A,#N/A,FALSE,"부대1"}</definedName>
    <definedName name="뜨껑" hidden="1">{#N/A,#N/A,FALSE,"부대1"}</definedName>
    <definedName name="ㄹ" localSheetId="22" hidden="1">{#N/A,#N/A,TRUE,"토적및재료집계";#N/A,#N/A,TRUE,"토적및재료집계";#N/A,#N/A,TRUE,"단위량"}</definedName>
    <definedName name="ㄹ" localSheetId="13">'8-2.설비자재산출(무인보안)'!ㄹ</definedName>
    <definedName name="ㄹ" localSheetId="15" hidden="1">{#N/A,#N/A,TRUE,"토적및재료집계";#N/A,#N/A,TRUE,"토적및재료집계";#N/A,#N/A,TRUE,"단위량"}</definedName>
    <definedName name="ㄹ" hidden="1">{#N/A,#N/A,TRUE,"토적및재료집계";#N/A,#N/A,TRUE,"토적및재료집계";#N/A,#N/A,TRUE,"단위량"}</definedName>
    <definedName name="ㄹ1" localSheetId="29">[97]설계명세서!#REF!</definedName>
    <definedName name="ㄹ1" localSheetId="32">[97]설계명세서!#REF!</definedName>
    <definedName name="ㄹ1" localSheetId="27">[97]설계명세서!#REF!</definedName>
    <definedName name="ㄹ1" localSheetId="30">[97]설계명세서!#REF!</definedName>
    <definedName name="ㄹ1" localSheetId="19">[97]설계명세서!#REF!</definedName>
    <definedName name="ㄹ1">[97]설계명세서!#REF!</definedName>
    <definedName name="ㄹㄷㄹ">[7]!ㄹㄷㄹ</definedName>
    <definedName name="ㄹㄹ" localSheetId="2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ㄹㄹ" localSheetId="34" hidden="1">{#N/A,#N/A,FALSE,"회선임차현황"}</definedName>
    <definedName name="ㄹㄹ" localSheetId="35" hidden="1">{#N/A,#N/A,FALSE,"회선임차현황"}</definedName>
    <definedName name="ㄹㄹ" localSheetId="36" hidden="1">{#N/A,#N/A,FALSE,"회선임차현황"}</definedName>
    <definedName name="ㄹㄹ" localSheetId="37" hidden="1">{#N/A,#N/A,FALSE,"회선임차현황"}</definedName>
    <definedName name="ㄹㄹ"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ㄹㄹ"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ㄹㄹ"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ㄹㄹㄹ">#REF!</definedName>
    <definedName name="ㄹㄹㄹㄹ">#REF!</definedName>
    <definedName name="ㄹㅇ">#REF!</definedName>
    <definedName name="ㄹㅇㄶ" localSheetId="29" hidden="1">#REF!</definedName>
    <definedName name="ㄹㅇㄶ" localSheetId="32" hidden="1">#REF!</definedName>
    <definedName name="ㄹㅇㄶ" localSheetId="27" hidden="1">#REF!</definedName>
    <definedName name="ㄹㅇㄶ" localSheetId="30" hidden="1">#REF!</definedName>
    <definedName name="ㄹㅇㄶ" localSheetId="13" hidden="1">#REF!</definedName>
    <definedName name="ㄹㅇㄶ" localSheetId="15" hidden="1">#REF!</definedName>
    <definedName name="ㄹㅇㄶ" localSheetId="19" hidden="1">#REF!</definedName>
    <definedName name="ㄹㅇㄶ" hidden="1">#REF!</definedName>
    <definedName name="ㄹㅇㄶ옿" hidden="1">'[139]N賃率-職'!$I$5:$I$30</definedName>
    <definedName name="ㄹㅇㅁ노로ㅗㅗ">[140]LANGUAGE!$B$44</definedName>
    <definedName name="ㄹㅇㅇㅇ">BlankMacro1</definedName>
    <definedName name="ㄹ호" hidden="1">'[1]#REF'!$C$1:$H$533</definedName>
    <definedName name="라">#REF!</definedName>
    <definedName name="라1">#REF!</definedName>
    <definedName name="라2">#REF!</definedName>
    <definedName name="라마">#REF!</definedName>
    <definedName name="라인트럭">#REF!</definedName>
    <definedName name="라ㅏㅇ">#REF!</definedName>
    <definedName name="라ㅓㄿ">BlankMacro1</definedName>
    <definedName name="라ㅓㅗ라라">#REF!</definedName>
    <definedName name="락산">#REF!</definedName>
    <definedName name="락야">#REF!</definedName>
    <definedName name="락평">#REF!</definedName>
    <definedName name="랙1">[45]소요자재!#REF!</definedName>
    <definedName name="랙2">[45]소요자재!#REF!</definedName>
    <definedName name="랙20" localSheetId="13">[6]소요자재!$H$133</definedName>
    <definedName name="랙20">[23]소요자재!$H$133</definedName>
    <definedName name="랙21" localSheetId="13">[6]소요자재!$H$134</definedName>
    <definedName name="랙21">[23]소요자재!$H$134</definedName>
    <definedName name="랙3">[45]소요자재!#REF!</definedName>
    <definedName name="랙4">[45]소요자재!#REF!</definedName>
    <definedName name="랙설치">#REF!</definedName>
    <definedName name="랙설치A">#REF!</definedName>
    <definedName name="랙이설">#REF!</definedName>
    <definedName name="랙이설A">#REF!</definedName>
    <definedName name="랙철거">#REF!</definedName>
    <definedName name="랙철거A">#REF!</definedName>
    <definedName name="램머경">#REF!</definedName>
    <definedName name="램머경비">[50]시설물일위!#REF!</definedName>
    <definedName name="램머노무">#REF!</definedName>
    <definedName name="램머노무비">[50]시설물일위!#REF!</definedName>
    <definedName name="램머재료">#REF!</definedName>
    <definedName name="램머재료비">[50]시설물일위!#REF!</definedName>
    <definedName name="러헐" localSheetId="13" hidden="1">{#N/A,#N/A,FALSE,"도급대비시행율";#N/A,#N/A,FALSE,"결의서";#N/A,#N/A,FALSE,"내역서";#N/A,#N/A,FALSE,"도급예상"}</definedName>
    <definedName name="러헐" hidden="1">{#N/A,#N/A,FALSE,"도급대비시행율";#N/A,#N/A,FALSE,"결의서";#N/A,#N/A,FALSE,"내역서";#N/A,#N/A,FALSE,"도급예상"}</definedName>
    <definedName name="레미콘135">[50]단가!$A$49</definedName>
    <definedName name="레미콘150">[50]단가!$A$50</definedName>
    <definedName name="레미콘180">[50]단가!$A$51</definedName>
    <definedName name="레미콘210">[50]단가!$A$52</definedName>
    <definedName name="레미콘무노">#REF!</definedName>
    <definedName name="레미콘무재">#REF!</definedName>
    <definedName name="레미콘소노">#REF!</definedName>
    <definedName name="레미콘소재">#REF!</definedName>
    <definedName name="레미콘철">#REF!</definedName>
    <definedName name="레미콘철노">#REF!</definedName>
    <definedName name="레미콘철재">#REF!</definedName>
    <definedName name="로">#N/A</definedName>
    <definedName name="로드머">[50]단가!$A$66</definedName>
    <definedName name="로ㅗ" localSheetId="13" hidden="1">{#N/A,#N/A,FALSE,"현장 NCR 분석";#N/A,#N/A,FALSE,"현장품질감사";#N/A,#N/A,FALSE,"현장품질감사"}</definedName>
    <definedName name="로ㅗ" localSheetId="15" hidden="1">{#N/A,#N/A,FALSE,"현장 NCR 분석";#N/A,#N/A,FALSE,"현장품질감사";#N/A,#N/A,FALSE,"현장품질감사"}</definedName>
    <definedName name="로ㅗ" hidden="1">{#N/A,#N/A,FALSE,"현장 NCR 분석";#N/A,#N/A,FALSE,"현장품질감사";#N/A,#N/A,FALSE,"현장품질감사"}</definedName>
    <definedName name="롤라경비">[50]시설물일위!#REF!</definedName>
    <definedName name="롤라노무비">[50]시설물일위!#REF!</definedName>
    <definedName name="롤라재료비">[50]시설물일위!#REF!</definedName>
    <definedName name="롯드">#REF!</definedName>
    <definedName name="루__핑__공">#REF!</definedName>
    <definedName name="루피공">#REF!</definedName>
    <definedName name="류효정" localSheetId="13" hidden="1">{"'Firr(선)'!$AS$1:$AY$62","'Firr(사)'!$AS$1:$AY$62","'Firr(회)'!$AS$1:$AY$62","'Firr(선)'!$L$1:$V$62","'Firr(사)'!$L$1:$V$62","'Firr(회)'!$L$1:$V$62"}</definedName>
    <definedName name="류효정" hidden="1">{"'Firr(선)'!$AS$1:$AY$62","'Firr(사)'!$AS$1:$AY$62","'Firr(회)'!$AS$1:$AY$62","'Firr(선)'!$L$1:$V$62","'Firr(사)'!$L$1:$V$62","'Firr(회)'!$L$1:$V$62"}</definedName>
    <definedName name="리" localSheetId="13">'8-2.설비자재산출(무인보안)'!리</definedName>
    <definedName name="리" localSheetId="15">'8-4.일위대가표'!리</definedName>
    <definedName name="리">'8-2.설비자재산출(무인보안)'!리</definedName>
    <definedName name="리__벳__공">#REF!</definedName>
    <definedName name="리벳공">#REF!</definedName>
    <definedName name="ㅀ" localSheetId="13" hidden="1">{#N/A,#N/A,TRUE,"토적및재료집계";#N/A,#N/A,TRUE,"토적및재료집계";#N/A,#N/A,TRUE,"단위량"}</definedName>
    <definedName name="ㅀ" hidden="1">{#N/A,#N/A,TRUE,"토적및재료집계";#N/A,#N/A,TRUE,"토적및재료집계";#N/A,#N/A,TRUE,"단위량"}</definedName>
    <definedName name="ㅀㅀㅀ">[51]준공정산!$H$9</definedName>
    <definedName name="ㅀ오ㅓㅎ롱ㄶㄹㄴ" localSheetId="13" hidden="1">{#N/A,#N/A,FALSE,"2~8번"}</definedName>
    <definedName name="ㅀ오ㅓㅎ롱ㄶㄹㄴ" hidden="1">{#N/A,#N/A,FALSE,"2~8번"}</definedName>
    <definedName name="ㅁ">#REF!</definedName>
    <definedName name="ㅁ01">#REF!</definedName>
    <definedName name="ㅁ1" localSheetId="29">#REF!,#REF!,#REF!,#REF!</definedName>
    <definedName name="ㅁ1" localSheetId="13">#REF!,#REF!,#REF!,#REF!</definedName>
    <definedName name="ㅁ1" localSheetId="19">#REF!,#REF!,#REF!,#REF!</definedName>
    <definedName name="ㅁ1">#REF!,#REF!,#REF!,#REF!</definedName>
    <definedName name="ㅁ1600">#REF!</definedName>
    <definedName name="ㅁ2000">#REF!</definedName>
    <definedName name="ㅁ331">#REF!</definedName>
    <definedName name="ㅁ451">#REF!</definedName>
    <definedName name="ㅁ545">#REF!</definedName>
    <definedName name="ㅁ636">#REF!</definedName>
    <definedName name="ㅁ863">#REF!</definedName>
    <definedName name="ㅁ9">#REF!</definedName>
    <definedName name="ㅁㄴ">#REF!</definedName>
    <definedName name="ㅁㄴㄹㄴㅁㄹㄴㅁㄻㄻㅁㅁㅁㅁ" localSheetId="13" hidden="1">{#N/A,#N/A,FALSE,"혼합골재"}</definedName>
    <definedName name="ㅁㄴㄹㄴㅁㄹㄴㅁㄻㄻㅁㅁㅁㅁ" hidden="1">{#N/A,#N/A,FALSE,"혼합골재"}</definedName>
    <definedName name="ㅁㄴㅁ" localSheetId="13">[140]LANGUAGE!$B$44</definedName>
    <definedName name="ㅁㄴㅁ">#REF!</definedName>
    <definedName name="ㅁㄴㅁㅇ" localSheetId="29" hidden="1">[94]유림골조!#REF!</definedName>
    <definedName name="ㅁㄴㅁㅇ" localSheetId="19" hidden="1">[94]유림골조!#REF!</definedName>
    <definedName name="ㅁㄴㅁㅇ" hidden="1">[94]유림골조!#REF!</definedName>
    <definedName name="ㅁㄴㅇ">#REF!</definedName>
    <definedName name="ㅁㄴㅇ노" localSheetId="13" hidden="1">{#N/A,#N/A,FALSE,"골재소요량";#N/A,#N/A,FALSE,"골재소요량"}</definedName>
    <definedName name="ㅁㄴㅇ노" hidden="1">{#N/A,#N/A,FALSE,"골재소요량";#N/A,#N/A,FALSE,"골재소요량"}</definedName>
    <definedName name="ㅁㄴㅇㄹ">BlankMacro1</definedName>
    <definedName name="ㅁㄴㅇㄻㄴ" localSheetId="13" hidden="1">{"'5국공정'!$A$1:$E$128"}</definedName>
    <definedName name="ㅁㄴㅇㄻㄴ" localSheetId="15" hidden="1">{"'5국공정'!$A$1:$E$128"}</definedName>
    <definedName name="ㅁㄴㅇㄻㄴ" hidden="1">{"'5국공정'!$A$1:$E$128"}</definedName>
    <definedName name="ㅁㄴㅇㅁ" localSheetId="22" hidden="1">{"'용역비'!$A$4:$C$8"}</definedName>
    <definedName name="ㅁㄴㅇㅁ" localSheetId="34" hidden="1">{"'용역비'!$A$4:$C$8"}</definedName>
    <definedName name="ㅁㄴㅇㅁ" localSheetId="35" hidden="1">{"'용역비'!$A$4:$C$8"}</definedName>
    <definedName name="ㅁㄴㅇㅁ" localSheetId="36" hidden="1">{"'용역비'!$A$4:$C$8"}</definedName>
    <definedName name="ㅁㄴㅇㅁ" localSheetId="37" hidden="1">{"'용역비'!$A$4:$C$8"}</definedName>
    <definedName name="ㅁㄴㅇㅁ" localSheetId="13" hidden="1">{"'용역비'!$A$4:$C$8"}</definedName>
    <definedName name="ㅁㄴㅇㅁ" localSheetId="15" hidden="1">{"'용역비'!$A$4:$C$8"}</definedName>
    <definedName name="ㅁㄴㅇㅁ" hidden="1">{"'용역비'!$A$4:$C$8"}</definedName>
    <definedName name="ㅁ뇻ㅎ" localSheetId="13" hidden="1">{#N/A,#N/A,FALSE,"골재소요량";#N/A,#N/A,FALSE,"골재소요량"}</definedName>
    <definedName name="ㅁ뇻ㅎ" hidden="1">{#N/A,#N/A,FALSE,"골재소요량";#N/A,#N/A,FALSE,"골재소요량"}</definedName>
    <definedName name="ㅁㄶ" localSheetId="13" hidden="1">{#N/A,#N/A,FALSE,"골재소요량";#N/A,#N/A,FALSE,"골재소요량"}</definedName>
    <definedName name="ㅁㄶ" hidden="1">{#N/A,#N/A,FALSE,"골재소요량";#N/A,#N/A,FALSE,"골재소요량"}</definedName>
    <definedName name="ㅁㄶㄱㅇ"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ㅁㄶㄱㅇ"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ㅁㄶㄱㅇ"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ㅁㄶㄷㅎㄴㄹㅇㄴ" localSheetId="13" hidden="1">{#N/A,#N/A,FALSE,"배수1"}</definedName>
    <definedName name="ㅁㄶㄷㅎㄴㄹㅇㄴ" hidden="1">{#N/A,#N/A,FALSE,"배수1"}</definedName>
    <definedName name="ㅁㄹ" localSheetId="13" hidden="1">{#N/A,#N/A,FALSE,"2~8번"}</definedName>
    <definedName name="ㅁㄹ" hidden="1">{#N/A,#N/A,FALSE,"2~8번"}</definedName>
    <definedName name="ㅁㄹㄴㄻㄴㄹㄴㅁㄹㄴㅇㄹㄴㅇㄹ" localSheetId="13" hidden="1">{#N/A,#N/A,FALSE,"포장2"}</definedName>
    <definedName name="ㅁㄹㄴㄻㄴㄹㄴㅁㄹㄴㅇㄹㄴㅇㄹ" hidden="1">{#N/A,#N/A,FALSE,"포장2"}</definedName>
    <definedName name="ㅁㄹㄴㅇㄹㄴㅁㄹ" localSheetId="13" hidden="1">{#N/A,#N/A,FALSE,"포장1";#N/A,#N/A,FALSE,"포장1"}</definedName>
    <definedName name="ㅁㄹㄴㅇㄹㄴㅁㄹ" hidden="1">{#N/A,#N/A,FALSE,"포장1";#N/A,#N/A,FALSE,"포장1"}</definedName>
    <definedName name="ㅁㄹㄴㅇㅁㄻㄹㄴㅁㄹ" localSheetId="13" hidden="1">{#N/A,#N/A,FALSE,"조골재"}</definedName>
    <definedName name="ㅁㄹㄴㅇㅁㄻㄹㄴㅁㄹ" hidden="1">{#N/A,#N/A,FALSE,"조골재"}</definedName>
    <definedName name="ㅁㄹㄴㅇㅎㄴㄻㄴㄹㄴㅇ" localSheetId="13" hidden="1">{#N/A,#N/A,FALSE,"부대1"}</definedName>
    <definedName name="ㅁㄹㄴㅇㅎㄴㄻㄴㄹㄴㅇ" hidden="1">{#N/A,#N/A,FALSE,"부대1"}</definedName>
    <definedName name="ㅁㄹㄹ" localSheetId="13" hidden="1">{#N/A,#N/A,FALSE,"2~8번"}</definedName>
    <definedName name="ㅁㄹㄹ" hidden="1">{#N/A,#N/A,FALSE,"2~8번"}</definedName>
    <definedName name="ㅁㄹㅇㄴㅇㅁㄹㄴㄻㄴ" localSheetId="13" hidden="1">{#N/A,#N/A,FALSE,"이정표"}</definedName>
    <definedName name="ㅁㄹㅇㄴㅇㅁㄹㄴㄻㄴ" hidden="1">{#N/A,#N/A,FALSE,"이정표"}</definedName>
    <definedName name="ㅁㄹㅇㄹㅇㄴㄹㅇㄹㅇ" localSheetId="13" hidden="1">{#N/A,#N/A,FALSE,"표지목차"}</definedName>
    <definedName name="ㅁㄹㅇㄹㅇㄴㄹㅇㄹㅇ" hidden="1">{#N/A,#N/A,FALSE,"표지목차"}</definedName>
    <definedName name="ㅁㄻ">#N/A</definedName>
    <definedName name="ㅁㄻㅁㅁㅁㄹㄴㅇㄹㅇㄴㄹㅈㄹㄴㅇ" localSheetId="13" hidden="1">{#N/A,#N/A,FALSE,"운반시간"}</definedName>
    <definedName name="ㅁㄻㅁㅁㅁㄹㄴㅇㄹㅇㄴㄹㅈㄹㄴㅇ" hidden="1">{#N/A,#N/A,FALSE,"운반시간"}</definedName>
    <definedName name="ㅁㅀㅎ" localSheetId="13" hidden="1">{#N/A,#N/A,FALSE,"골재소요량";#N/A,#N/A,FALSE,"골재소요량"}</definedName>
    <definedName name="ㅁㅀㅎ" hidden="1">{#N/A,#N/A,FALSE,"골재소요량";#N/A,#N/A,FALSE,"골재소요량"}</definedName>
    <definedName name="ㅁㅁ" localSheetId="2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ㅁㅁ" localSheetId="34"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ㅁㅁ" localSheetId="3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ㅁㅁ" localSheetId="36"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ㅁㅁ" localSheetId="37"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ㅁㅁ"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ㅁㅁ"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ㅁㅁ"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ㅁㅁㅁ" localSheetId="13">'8-2.설비자재산출(무인보안)'!ㅁㅁㅁ</definedName>
    <definedName name="ㅁㅁㅁ" localSheetId="15">'8-4.일위대가표'!ㅁㅁㅁ</definedName>
    <definedName name="ㅁㅁㅁ">'8-2.설비자재산출(무인보안)'!ㅁㅁㅁ</definedName>
    <definedName name="ㅁㅁㅁㅁ" localSheetId="29" hidden="1">#REF!</definedName>
    <definedName name="ㅁㅁㅁㅁ" localSheetId="32" hidden="1">#REF!</definedName>
    <definedName name="ㅁㅁㅁㅁ" localSheetId="27" hidden="1">#REF!</definedName>
    <definedName name="ㅁㅁㅁㅁ" localSheetId="30" hidden="1">#REF!</definedName>
    <definedName name="ㅁㅁㅁㅁ" localSheetId="13" hidden="1">#REF!</definedName>
    <definedName name="ㅁㅁㅁㅁ" localSheetId="15" hidden="1">#REF!</definedName>
    <definedName name="ㅁㅁㅁㅁ" localSheetId="19" hidden="1">#REF!</definedName>
    <definedName name="ㅁㅁㅁㅁ" hidden="1">#REF!</definedName>
    <definedName name="ㅁㅁㅁㅁㅁ" localSheetId="22" hidden="1">{"'용역비'!$A$4:$C$8"}</definedName>
    <definedName name="ㅁㅁㅁㅁㅁ" localSheetId="34" hidden="1">{"'용역비'!$A$4:$C$8"}</definedName>
    <definedName name="ㅁㅁㅁㅁㅁ" localSheetId="35" hidden="1">{"'용역비'!$A$4:$C$8"}</definedName>
    <definedName name="ㅁㅁㅁㅁㅁ" localSheetId="36" hidden="1">{"'용역비'!$A$4:$C$8"}</definedName>
    <definedName name="ㅁㅁㅁㅁㅁ" localSheetId="37" hidden="1">{"'용역비'!$A$4:$C$8"}</definedName>
    <definedName name="ㅁㅁㅁㅁㅁ" localSheetId="13" hidden="1">{"'용역비'!$A$4:$C$8"}</definedName>
    <definedName name="ㅁㅁㅁㅁㅁ" localSheetId="15" hidden="1">{"'용역비'!$A$4:$C$8"}</definedName>
    <definedName name="ㅁㅁㅁㅁㅁ" hidden="1">{"'용역비'!$A$4:$C$8"}</definedName>
    <definedName name="ㅁㅁㅁㅁㅁㅁ" localSheetId="29" hidden="1">#REF!</definedName>
    <definedName name="ㅁㅁㅁㅁㅁㅁ" localSheetId="19" hidden="1">#REF!</definedName>
    <definedName name="ㅁㅁㅁㅁㅁㅁ" hidden="1">#REF!</definedName>
    <definedName name="ㅁㅁㅁㅁㅁㅁㅁ" localSheetId="13" hidden="1">{#N/A,#N/A,FALSE,"단가표지"}</definedName>
    <definedName name="ㅁㅁㅁㅁㅁㅁㅁ" hidden="1">{#N/A,#N/A,FALSE,"단가표지"}</definedName>
    <definedName name="ㅁㅁㅁㅁㅁㅁㅁㅁ" localSheetId="13" hidden="1">{#N/A,#N/A,FALSE,"배수1"}</definedName>
    <definedName name="ㅁㅁㅁㅁㅁㅁㅁㅁ" hidden="1">{#N/A,#N/A,FALSE,"배수1"}</definedName>
    <definedName name="ㅁㅁㅁㅁㅁㅇㄹ" localSheetId="13" hidden="1">{#N/A,#N/A,FALSE,"구조2"}</definedName>
    <definedName name="ㅁㅁㅁㅁㅁㅇㄹ" hidden="1">{#N/A,#N/A,FALSE,"구조2"}</definedName>
    <definedName name="ㅁㅂ" localSheetId="22" hidden="1">{#N/A,#N/A,FALSE,"회선임차현황"}</definedName>
    <definedName name="ㅁㅂ" localSheetId="34" hidden="1">{#N/A,#N/A,FALSE,"회선임차현황"}</definedName>
    <definedName name="ㅁㅂ" localSheetId="35" hidden="1">{#N/A,#N/A,FALSE,"회선임차현황"}</definedName>
    <definedName name="ㅁㅂ" localSheetId="36" hidden="1">{#N/A,#N/A,FALSE,"회선임차현황"}</definedName>
    <definedName name="ㅁㅂ" localSheetId="37" hidden="1">{#N/A,#N/A,FALSE,"회선임차현황"}</definedName>
    <definedName name="ㅁㅂ" localSheetId="13" hidden="1">{#N/A,#N/A,FALSE,"회선임차현황"}</definedName>
    <definedName name="ㅁㅂ" localSheetId="15" hidden="1">{#N/A,#N/A,FALSE,"회선임차현황"}</definedName>
    <definedName name="ㅁㅂ" hidden="1">{#N/A,#N/A,FALSE,"회선임차현황"}</definedName>
    <definedName name="ㅁㅇㅇㅁㅇ" localSheetId="29" hidden="1">#REF!</definedName>
    <definedName name="ㅁㅇㅇㅁㅇ" localSheetId="32" hidden="1">#REF!</definedName>
    <definedName name="ㅁㅇㅇㅁㅇ" localSheetId="27" hidden="1">#REF!</definedName>
    <definedName name="ㅁㅇㅇㅁㅇ" localSheetId="30" hidden="1">#REF!</definedName>
    <definedName name="ㅁㅇㅇㅁㅇ" localSheetId="13" hidden="1">#REF!</definedName>
    <definedName name="ㅁㅇㅇㅁㅇ" localSheetId="15" hidden="1">#REF!</definedName>
    <definedName name="ㅁㅇㅇㅁㅇ" localSheetId="19" hidden="1">#REF!</definedName>
    <definedName name="ㅁㅇㅇㅁㅇ" hidden="1">#REF!</definedName>
    <definedName name="ㅁㅇㅇ모" localSheetId="13" hidden="1">{#N/A,#N/A,FALSE,"표지목차"}</definedName>
    <definedName name="ㅁㅇㅇ모" hidden="1">{#N/A,#N/A,FALSE,"표지목차"}</definedName>
    <definedName name="ㅁㅊ">#REF!</definedName>
    <definedName name="ㅁㅋㄹㄴㅁㄻㄻㄴㄻ" localSheetId="13" hidden="1">{#N/A,#N/A,FALSE,"구조1"}</definedName>
    <definedName name="ㅁㅋㄹㄴㅁㄻㄻㄴㄻ" hidden="1">{#N/A,#N/A,FALSE,"구조1"}</definedName>
    <definedName name="ㅁㅍㅊ" localSheetId="13" hidden="1">{#N/A,#N/A,FALSE,"속도"}</definedName>
    <definedName name="ㅁㅍㅊ" hidden="1">{#N/A,#N/A,FALSE,"속도"}</definedName>
    <definedName name="ㅁㅎㅎㄴㅁㄹㅈ" localSheetId="13" hidden="1">{#N/A,#N/A,FALSE,"배수2"}</definedName>
    <definedName name="ㅁㅎㅎㄴㅁㄹㅈ" hidden="1">{#N/A,#N/A,FALSE,"배수2"}</definedName>
    <definedName name="마" localSheetId="22" hidden="1">{#N/A,#N/A,FALSE,"회선임차현황"}</definedName>
    <definedName name="마" localSheetId="13" hidden="1">{#N/A,#N/A,FALSE,"회선임차현황"}</definedName>
    <definedName name="마" localSheetId="15" hidden="1">{#N/A,#N/A,FALSE,"회선임차현황"}</definedName>
    <definedName name="마" hidden="1">{#N/A,#N/A,FALSE,"회선임차현황"}</definedName>
    <definedName name="마가목">[50]단가!$A$110</definedName>
    <definedName name="마가목R3">[80]수목데이타!$E$160</definedName>
    <definedName name="마가목R5">[80]수목데이타!$E$161</definedName>
    <definedName name="마가목R7">[80]수목데이타!$E$162</definedName>
    <definedName name="마대">[50]단가!$A$65</definedName>
    <definedName name="마부_우마차포함">#REF!</definedName>
    <definedName name="마사토">[50]단가!$A$29</definedName>
    <definedName name="마산">BlankMacro1</definedName>
    <definedName name="마산영업국" localSheetId="13">'8-2.설비자재산출(무인보안)'!마산영업국</definedName>
    <definedName name="마산영업국" localSheetId="15">'8-4.일위대가표'!마산영업국</definedName>
    <definedName name="마산영업국">'8-2.설비자재산출(무인보안)'!마산영업국</definedName>
    <definedName name="마직막" localSheetId="29" hidden="1">#REF!</definedName>
    <definedName name="마직막" localSheetId="32" hidden="1">#REF!</definedName>
    <definedName name="마직막" localSheetId="27" hidden="1">#REF!</definedName>
    <definedName name="마직막" localSheetId="34" hidden="1">#REF!</definedName>
    <definedName name="마직막" localSheetId="35" hidden="1">#REF!</definedName>
    <definedName name="마직막" localSheetId="36" hidden="1">#REF!</definedName>
    <definedName name="마직막" localSheetId="37" hidden="1">#REF!</definedName>
    <definedName name="마직막" localSheetId="30" hidden="1">#REF!</definedName>
    <definedName name="마직막" localSheetId="13" hidden="1">#REF!</definedName>
    <definedName name="마직막" localSheetId="15" hidden="1">#REF!</definedName>
    <definedName name="마직막" localSheetId="19" hidden="1">#REF!</definedName>
    <definedName name="마직막" hidden="1">#REF!</definedName>
    <definedName name="마케담경">#REF!</definedName>
    <definedName name="마케담노무">#REF!</definedName>
    <definedName name="마케담재료">#REF!</definedName>
    <definedName name="만득이" localSheetId="13" hidden="1">{#N/A,#N/A,FALSE,"2~8번"}</definedName>
    <definedName name="만득이" hidden="1">{#N/A,#N/A,FALSE,"2~8번"}</definedName>
    <definedName name="말뚝박기노">[88]시설물!#REF!</definedName>
    <definedName name="말뚝박기재">[88]시설물!#REF!</definedName>
    <definedName name="말발도리1003">[80]수목데이타!$E$163</definedName>
    <definedName name="말발도리1204">[80]수목데이타!$E$164</definedName>
    <definedName name="말발도리1506">[80]수목데이타!$E$165</definedName>
    <definedName name="말일">#REF!</definedName>
    <definedName name="망루"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폴기초" localSheetId="2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망루폴기초"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망루폴기초"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망루폴기초"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매암" localSheetId="13">'8-2.설비자재산출(무인보안)'!매암</definedName>
    <definedName name="매암" localSheetId="15">'8-4.일위대가표'!매암</definedName>
    <definedName name="매암">'8-2.설비자재산출(무인보안)'!매암</definedName>
    <definedName name="매자0804">[80]수목데이타!$E$166</definedName>
    <definedName name="매자1005">[80]수목데이타!$E$167</definedName>
    <definedName name="매츠로33">#N/A</definedName>
    <definedName name="매크로1">#REF!</definedName>
    <definedName name="매크로11">#REF!</definedName>
    <definedName name="매크로2" localSheetId="13">'[22]#REF'!$A$1</definedName>
    <definedName name="매크로2">'[56]#REF'!$A$1</definedName>
    <definedName name="매프로3">#REF!</definedName>
    <definedName name="매화4노무">#REF!</definedName>
    <definedName name="매화4재료">#REF!</definedName>
    <definedName name="매화6노무">#REF!</definedName>
    <definedName name="매화6재료">#REF!</definedName>
    <definedName name="매화8노무">#REF!</definedName>
    <definedName name="매화8재료">#REF!</definedName>
    <definedName name="매화R10">[80]수목데이타!$E$174</definedName>
    <definedName name="매화R4">[80]수목데이타!$E$171</definedName>
    <definedName name="매화R6">[80]수목데이타!$E$172</definedName>
    <definedName name="매화R8">[80]수목데이타!$E$173</definedName>
    <definedName name="맥문동">[90]단가!$A$151</definedName>
    <definedName name="맥문동1">[87]단가조사!#REF!</definedName>
    <definedName name="맨" localSheetId="13" hidden="1">{#N/A,#N/A,FALSE,"혼합골재"}</definedName>
    <definedName name="맨" hidden="1">{#N/A,#N/A,FALSE,"혼합골재"}</definedName>
    <definedName name="맨홀">#REF!</definedName>
    <definedName name="머" localSheetId="13" hidden="1">{#N/A,#N/A,FALSE,"명세표"}</definedName>
    <definedName name="머" hidden="1">{#N/A,#N/A,FALSE,"명세표"}</definedName>
    <definedName name="머신">#REF!</definedName>
    <definedName name="먹스">[45]소요자재!#REF!</definedName>
    <definedName name="먹스1" localSheetId="13">[6]소요자재!$H$8</definedName>
    <definedName name="먹스1">[23]소요자재!$H$8</definedName>
    <definedName name="먹스2" localSheetId="13">[6]소요자재!$H$9</definedName>
    <definedName name="먹스2">[23]소요자재!$H$9</definedName>
    <definedName name="먼득이" localSheetId="13" hidden="1">{#N/A,#N/A,FALSE,"골재소요량";#N/A,#N/A,FALSE,"골재소요량"}</definedName>
    <definedName name="먼득이" hidden="1">{#N/A,#N/A,FALSE,"골재소요량";#N/A,#N/A,FALSE,"골재소요량"}</definedName>
    <definedName name="멋진승하0">#REF!</definedName>
    <definedName name="메렁">BlankMacro1</definedName>
    <definedName name="메타">[50]단가!$A$111</definedName>
    <definedName name="메타10노무">#REF!</definedName>
    <definedName name="메타10재료">#REF!</definedName>
    <definedName name="메타5노무">#REF!</definedName>
    <definedName name="메타5재료">#REF!</definedName>
    <definedName name="메타6노무">#REF!</definedName>
    <definedName name="메타6재료">#REF!</definedName>
    <definedName name="메타8노무">#REF!</definedName>
    <definedName name="메타8재료">#REF!</definedName>
    <definedName name="메타B10">[80]수목데이타!$E$179</definedName>
    <definedName name="메타B12">[80]수목데이타!$E$180</definedName>
    <definedName name="메타B15">[80]수목데이타!$E$181</definedName>
    <definedName name="메타B18">[80]수목데이타!$E$182</definedName>
    <definedName name="메타B4">[80]수목데이타!$E$175</definedName>
    <definedName name="메타B5">[80]수목데이타!$E$176</definedName>
    <definedName name="메타B6">[80]수목데이타!$E$177</definedName>
    <definedName name="메타B8">[80]수목데이타!$E$178</definedName>
    <definedName name="면고르기">[88]식재출력용!$H$249</definedName>
    <definedName name="면적">#REF!</definedName>
    <definedName name="명" localSheetId="13">[137]지시서!$C$13</definedName>
    <definedName name="명">[141]지시서!$C$13</definedName>
    <definedName name="명성" localSheetId="13">'8-2.설비자재산출(무인보안)'!명성</definedName>
    <definedName name="명성" localSheetId="15">'8-4.일위대가표'!명성</definedName>
    <definedName name="명성">'8-2.설비자재산출(무인보안)'!명성</definedName>
    <definedName name="명세">#REF!</definedName>
    <definedName name="명세서" localSheetId="29" hidden="1">[3]B!#REF!</definedName>
    <definedName name="명세서" localSheetId="13" hidden="1">[3]B!#REF!</definedName>
    <definedName name="명세서" localSheetId="19" hidden="1">[3]B!#REF!</definedName>
    <definedName name="명세서" hidden="1">[3]B!#REF!</definedName>
    <definedName name="명일" localSheetId="13" hidden="1">{#N/A,#N/A,FALSE,"속도"}</definedName>
    <definedName name="명일" hidden="1">{#N/A,#N/A,FALSE,"속도"}</definedName>
    <definedName name="명자0604">[80]수목데이타!$E$183</definedName>
    <definedName name="명자0805">[80]수목데이타!$E$184</definedName>
    <definedName name="명자1006">[80]수목데이타!$E$185</definedName>
    <definedName name="명자1208">[80]수목데이타!$E$186</definedName>
    <definedName name="명찰1">#REF!</definedName>
    <definedName name="명찰2">#REF!</definedName>
    <definedName name="명찰가공">#REF!</definedName>
    <definedName name="명찰가공A">#REF!</definedName>
    <definedName name="명찰가공울산신">#REF!</definedName>
    <definedName name="명찰가공울산철">#REF!</definedName>
    <definedName name="명찰지중">#REF!</definedName>
    <definedName name="명찰지중A">#REF!</definedName>
    <definedName name="명찰지중울산신">#REF!</definedName>
    <definedName name="명찰지중울산철">#REF!</definedName>
    <definedName name="명찰철거">[38]노무산출서!#REF!</definedName>
    <definedName name="명찰철거1">#REF!</definedName>
    <definedName name="명찰철거A">#REF!</definedName>
    <definedName name="명찰취부">#REF!</definedName>
    <definedName name="명찰취부1">#REF!</definedName>
    <definedName name="명찰취부2">#REF!</definedName>
    <definedName name="명찰취부A">#REF!</definedName>
    <definedName name="명찰취부B">#REF!</definedName>
    <definedName name="명철거1">#REF!</definedName>
    <definedName name="명철거2">#REF!</definedName>
    <definedName name="명철거3">#REF!</definedName>
    <definedName name="명취부1">#REF!</definedName>
    <definedName name="명취부2">#REF!</definedName>
    <definedName name="명취부3">#REF!</definedName>
    <definedName name="명칭">#REF!</definedName>
    <definedName name="모">#REF!</definedName>
    <definedName name="모감주">[50]단가!$A$124</definedName>
    <definedName name="모감주R10">[80]수목데이타!$E$190</definedName>
    <definedName name="모감주R4">[80]수목데이타!$E$187</definedName>
    <definedName name="모감주R6">[80]수목데이타!$E$188</definedName>
    <definedName name="모감주R8">[80]수목데이타!$E$189</definedName>
    <definedName name="모과10">[50]단가!$A$129</definedName>
    <definedName name="모과15">[50]단가!$A$128</definedName>
    <definedName name="모과2005">[80]수목데이타!$E$191</definedName>
    <definedName name="모과2507">[80]수목데이타!$E$192</definedName>
    <definedName name="모과R10">[80]수목데이타!$E$195</definedName>
    <definedName name="모과R12">[80]수목데이타!$E$196</definedName>
    <definedName name="모과R15">[80]수목데이타!$E$197</definedName>
    <definedName name="모과R20">[80]수목데이타!$E$198</definedName>
    <definedName name="모과R25">[80]수목데이타!$E$199</definedName>
    <definedName name="모과R5">[80]수목데이타!$E$193</definedName>
    <definedName name="모과R8">[80]수목데이타!$E$194</definedName>
    <definedName name="모니터">#REF!</definedName>
    <definedName name="모니터신설">#REF!</definedName>
    <definedName name="모니터이설">#REF!</definedName>
    <definedName name="모니터철거">#REF!</definedName>
    <definedName name="모뎀">#REF!</definedName>
    <definedName name="모뎀신설">#REF!</definedName>
    <definedName name="모뎀이설">#REF!</definedName>
    <definedName name="모란5가지">[80]수목데이타!$E$200</definedName>
    <definedName name="모란6가지">[80]수목데이타!$E$201</definedName>
    <definedName name="모래">[90]단가!$A$4</definedName>
    <definedName name="모래노">#REF!</definedName>
    <definedName name="모래막이노">#REF!</definedName>
    <definedName name="모래막이재">#REF!</definedName>
    <definedName name="모래분사공">#REF!</definedName>
    <definedName name="모래사장노">#REF!</definedName>
    <definedName name="모래사장재">#REF!</definedName>
    <definedName name="모래재">#REF!</definedName>
    <definedName name="모래필터층경비">#REF!</definedName>
    <definedName name="모래필터층노무비">#REF!</definedName>
    <definedName name="모래필터층재료비">#REF!</definedName>
    <definedName name="모선자재2"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모선자재2"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모선자재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모선자재3"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모선자재3"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모선자재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모선절연"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모선절연"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모선절연"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모자국구분">#REF!</definedName>
    <definedName name="모터경">#REF!</definedName>
    <definedName name="모터노무비">#REF!</definedName>
    <definedName name="모터재료">#REF!</definedName>
    <definedName name="목">#REF!</definedName>
    <definedName name="목______도">#REF!</definedName>
    <definedName name="목공가공장"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목공가공장"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목도">#REF!</definedName>
    <definedName name="목도공">#REF!</definedName>
    <definedName name="목련R10">[80]수목데이타!$E$206</definedName>
    <definedName name="목련R12">[80]수목데이타!$E$207</definedName>
    <definedName name="목련R15">[80]수목데이타!$E$208</definedName>
    <definedName name="목련R20">[80]수목데이타!$E$209</definedName>
    <definedName name="목련R4">[80]수목데이타!$E$202</definedName>
    <definedName name="목련R5">[80]수목데이타!$E$203</definedName>
    <definedName name="목련R6">[80]수목데이타!$E$204</definedName>
    <definedName name="목련R8">[80]수목데이타!$E$205</definedName>
    <definedName name="목서1506">[80]수목데이타!$E$213</definedName>
    <definedName name="목서2012">[80]수목데이타!$E$214</definedName>
    <definedName name="목서2515">[80]수목데이타!$E$215</definedName>
    <definedName name="목수국1006">[80]수목데이타!$E$210</definedName>
    <definedName name="목수국1208">[80]수목데이타!$E$211</definedName>
    <definedName name="목수국1510">[80]수목데이타!$E$212</definedName>
    <definedName name="목재가공">#REF!</definedName>
    <definedName name="목조각종">#REF!</definedName>
    <definedName name="몰탈노">#REF!</definedName>
    <definedName name="몰탈재">#REF!</definedName>
    <definedName name="못">[50]단가!$A$12</definedName>
    <definedName name="무" localSheetId="29">#REF!</definedName>
    <definedName name="무" localSheetId="32">#REF!</definedName>
    <definedName name="무" localSheetId="27">#REF!</definedName>
    <definedName name="무" localSheetId="30">#REF!</definedName>
    <definedName name="무" localSheetId="19">#REF!</definedName>
    <definedName name="무">#REF!</definedName>
    <definedName name="무궁화">[50]단가!$A$139</definedName>
    <definedName name="무궁화1003">[80]수목데이타!$E$216</definedName>
    <definedName name="무궁화1203">[80]수목데이타!$E$217</definedName>
    <definedName name="무궁화1504">[80]수목데이타!$E$218</definedName>
    <definedName name="무궁화1805">[80]수목데이타!$E$219</definedName>
    <definedName name="무궁화2006">[80]수목데이타!$E$220</definedName>
    <definedName name="무기질노">#REF!</definedName>
    <definedName name="무기질재">#REF!</definedName>
    <definedName name="무선" localSheetId="13">'8-2.설비자재산출(무인보안)'!무선</definedName>
    <definedName name="무선" localSheetId="15">'8-4.일위대가표'!무선</definedName>
    <definedName name="무선">'8-2.설비자재산출(무인보안)'!무선</definedName>
    <definedName name="무선1" localSheetId="13">'8-2.설비자재산출(무인보안)'!무선1</definedName>
    <definedName name="무선1" localSheetId="15">'8-4.일위대가표'!무선1</definedName>
    <definedName name="무선1">'8-2.설비자재산출(무인보안)'!무선1</definedName>
    <definedName name="무선공">#REF!</definedName>
    <definedName name="무선안공" localSheetId="13">[112]인부임!$F$23</definedName>
    <definedName name="무선안공">[113]인부임!$F$23</definedName>
    <definedName name="무선안테나공">#REF!</definedName>
    <definedName name="무선안테니공">#REF!</definedName>
    <definedName name="무선전화" localSheetId="13">'8-2.설비자재산출(무인보안)'!무선전화</definedName>
    <definedName name="무선전화" localSheetId="15">'8-4.일위대가표'!무선전화</definedName>
    <definedName name="무선전화">'8-2.설비자재산출(무인보안)'!무선전화</definedName>
    <definedName name="무선전화기" localSheetId="13">'8-2.설비자재산출(무인보안)'!무선전화기</definedName>
    <definedName name="무선전화기" localSheetId="15">'8-4.일위대가표'!무선전화기</definedName>
    <definedName name="무선전화기">'8-2.설비자재산출(무인보안)'!무선전화기</definedName>
    <definedName name="무주"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무주"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무주"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문서2" localSheetId="13" hidden="1">{#N/A,#N/A,FALSE,"현장 NCR 분석";#N/A,#N/A,FALSE,"현장품질감사";#N/A,#N/A,FALSE,"현장품질감사"}</definedName>
    <definedName name="문서2" hidden="1">{#N/A,#N/A,FALSE,"현장 NCR 분석";#N/A,#N/A,FALSE,"현장품질감사";#N/A,#N/A,FALSE,"현장품질감사"}</definedName>
    <definedName name="문서의_처음">[69]총괄집계표!#REF!</definedName>
    <definedName name="문자계산">#REF!</definedName>
    <definedName name="문종현" localSheetId="13" hidden="1">{#N/A,#N/A,FALSE,"골재소요량";#N/A,#N/A,FALSE,"골재소요량"}</definedName>
    <definedName name="문종현" hidden="1">{#N/A,#N/A,FALSE,"골재소요량";#N/A,#N/A,FALSE,"골재소요량"}</definedName>
    <definedName name="물" localSheetId="13" hidden="1">{#N/A,#N/A,FALSE,"이태원철근"}</definedName>
    <definedName name="물" hidden="1">{#N/A,#N/A,FALSE,"이태원철근"}</definedName>
    <definedName name="물가" localSheetId="13" hidden="1">{#N/A,#N/A,FALSE,"이태원철근"}</definedName>
    <definedName name="물가" hidden="1">{#N/A,#N/A,FALSE,"이태원철근"}</definedName>
    <definedName name="물가자료">#REF!</definedName>
    <definedName name="물경">#REF!</definedName>
    <definedName name="물노무">#REF!</definedName>
    <definedName name="물량">#REF!</definedName>
    <definedName name="물량산출내역">#N/A</definedName>
    <definedName name="물류" localSheetId="13" hidden="1">{"'5국공정'!$A$1:$E$128"}</definedName>
    <definedName name="물류" localSheetId="15" hidden="1">{"'5국공정'!$A$1:$E$128"}</definedName>
    <definedName name="물류" hidden="1">{"'5국공정'!$A$1:$E$128"}</definedName>
    <definedName name="물싸리노">[88]식재!$H$190</definedName>
    <definedName name="물싸리재">[88]식재!$F$190</definedName>
    <definedName name="물억새노">[88]식재!$H$151</definedName>
    <definedName name="물억새재">[88]식재!$F$151</definedName>
    <definedName name="물재료">#REF!</definedName>
    <definedName name="물푸레R5">[80]수목데이타!$E$221</definedName>
    <definedName name="물푸레R6">[80]수목데이타!$E$222</definedName>
    <definedName name="물푸레R8">[80]수목데이타!$E$223</definedName>
    <definedName name="물풀" localSheetId="13" hidden="1">{"'5국공정'!$A$1:$E$128"}</definedName>
    <definedName name="물풀" localSheetId="15" hidden="1">{"'5국공정'!$A$1:$E$128"}</definedName>
    <definedName name="물풀" hidden="1">{"'5국공정'!$A$1:$E$128"}</definedName>
    <definedName name="뭐" localSheetId="13" hidden="1">{#N/A,#N/A,FALSE,"단가표지"}</definedName>
    <definedName name="뭐" hidden="1">{#N/A,#N/A,FALSE,"단가표지"}</definedName>
    <definedName name="뭐가이태원이야" localSheetId="13" hidden="1">{#N/A,#N/A,FALSE,"이태원철근"}</definedName>
    <definedName name="뭐가이태원이야" hidden="1">{#N/A,#N/A,FALSE,"이태원철근"}</definedName>
    <definedName name="뭐야">#REF!</definedName>
    <definedName name="미">#N/A</definedName>
    <definedName name="미__장__공">#REF!</definedName>
    <definedName name="미선0804">[80]수목데이타!$E$224</definedName>
    <definedName name="미선1206">[80]수목데이타!$E$225</definedName>
    <definedName name="미송">[50]단가!$A$10</definedName>
    <definedName name="미송원목">#REF!</definedName>
    <definedName name="미송판재">[50]단가!$A$16</definedName>
    <definedName name="미스미스타">#REF!</definedName>
    <definedName name="미장공">#REF!</definedName>
    <definedName name="ㅂ" localSheetId="22" hidden="1">{#N/A,#N/A,FALSE,"DAOCM 2차 검토"}</definedName>
    <definedName name="ㅂ" localSheetId="13" hidden="1">{#N/A,#N/A,FALSE,"DAOCM 2차 검토"}</definedName>
    <definedName name="ㅂ" localSheetId="15" hidden="1">{#N/A,#N/A,FALSE,"DAOCM 2차 검토"}</definedName>
    <definedName name="ㅂ" hidden="1">{#N/A,#N/A,FALSE,"DAOCM 2차 검토"}</definedName>
    <definedName name="ㅂㅂ">#REF!</definedName>
    <definedName name="ㅂㅂㅂ" localSheetId="22" hidden="1">{#N/A,#N/A,TRUE,"토적및재료집계";#N/A,#N/A,TRUE,"토적및재료집계";#N/A,#N/A,TRUE,"단위량"}</definedName>
    <definedName name="ㅂㅂㅂ" localSheetId="13" hidden="1">{#N/A,#N/A,TRUE,"토적및재료집계";#N/A,#N/A,TRUE,"토적및재료집계";#N/A,#N/A,TRUE,"단위량"}</definedName>
    <definedName name="ㅂㅂㅂ" localSheetId="15" hidden="1">{#N/A,#N/A,TRUE,"토적및재료집계";#N/A,#N/A,TRUE,"토적및재료집계";#N/A,#N/A,TRUE,"단위량"}</definedName>
    <definedName name="ㅂㅂㅂ" hidden="1">{#N/A,#N/A,TRUE,"토적및재료집계";#N/A,#N/A,TRUE,"토적및재료집계";#N/A,#N/A,TRUE,"단위량"}</definedName>
    <definedName name="ㅂㅂㅂㅂ" localSheetId="13">'8-2.설비자재산출(무인보안)'!ㅂㅂㅂㅂ</definedName>
    <definedName name="ㅂㅂㅂㅂ" localSheetId="15">'8-4.일위대가표'!ㅂㅂㅂㅂ</definedName>
    <definedName name="ㅂㅂㅂㅂ">'8-2.설비자재산출(무인보안)'!ㅂㅂㅂㅂ</definedName>
    <definedName name="ㅂㅂㅂㅂㅂㅂ" localSheetId="22" hidden="1">{"'용역비'!$A$4:$C$8"}</definedName>
    <definedName name="ㅂㅂㅂㅂㅂㅂ" localSheetId="34" hidden="1">{"'용역비'!$A$4:$C$8"}</definedName>
    <definedName name="ㅂㅂㅂㅂㅂㅂ" localSheetId="35" hidden="1">{"'용역비'!$A$4:$C$8"}</definedName>
    <definedName name="ㅂㅂㅂㅂㅂㅂ" localSheetId="36" hidden="1">{"'용역비'!$A$4:$C$8"}</definedName>
    <definedName name="ㅂㅂㅂㅂㅂㅂ" localSheetId="37" hidden="1">{"'용역비'!$A$4:$C$8"}</definedName>
    <definedName name="ㅂㅂㅂㅂㅂㅂ" localSheetId="13" hidden="1">{"'용역비'!$A$4:$C$8"}</definedName>
    <definedName name="ㅂㅂㅂㅂㅂㅂ" localSheetId="15" hidden="1">{"'용역비'!$A$4:$C$8"}</definedName>
    <definedName name="ㅂㅂㅂㅂㅂㅂ" hidden="1">{"'용역비'!$A$4:$C$8"}</definedName>
    <definedName name="ㅂㅂㅂㅂㅂㅂㅂ" localSheetId="13" hidden="1">{#N/A,#N/A,FALSE,"명세표"}</definedName>
    <definedName name="ㅂㅂㅂㅂㅂㅂㅂ" hidden="1">{#N/A,#N/A,FALSE,"명세표"}</definedName>
    <definedName name="ㅂㅈ">[56]준공정산!#REF!</definedName>
    <definedName name="ㅂㅈㄷㄳ" localSheetId="13" hidden="1">{#N/A,#N/A,FALSE,"골재소요량";#N/A,#N/A,FALSE,"골재소요량"}</definedName>
    <definedName name="ㅂㅈㄷㄳ" hidden="1">{#N/A,#N/A,FALSE,"골재소요량";#N/A,#N/A,FALSE,"골재소요량"}</definedName>
    <definedName name="ㅂㅈㄷㄷㄷ" localSheetId="22" hidden="1">{#N/A,#N/A,FALSE,"회선임차현황"}</definedName>
    <definedName name="ㅂㅈㄷㄷㄷ" localSheetId="34" hidden="1">{#N/A,#N/A,FALSE,"회선임차현황"}</definedName>
    <definedName name="ㅂㅈㄷㄷㄷ" localSheetId="35" hidden="1">{#N/A,#N/A,FALSE,"회선임차현황"}</definedName>
    <definedName name="ㅂㅈㄷㄷㄷ" localSheetId="36" hidden="1">{#N/A,#N/A,FALSE,"회선임차현황"}</definedName>
    <definedName name="ㅂㅈㄷㄷㄷ" localSheetId="37" hidden="1">{#N/A,#N/A,FALSE,"회선임차현황"}</definedName>
    <definedName name="ㅂㅈㄷㄷㄷ" localSheetId="13" hidden="1">{#N/A,#N/A,FALSE,"회선임차현황"}</definedName>
    <definedName name="ㅂㅈㄷㄷㄷ" localSheetId="15" hidden="1">{#N/A,#N/A,FALSE,"회선임차현황"}</definedName>
    <definedName name="ㅂㅈㄷㄷㄷ" hidden="1">{#N/A,#N/A,FALSE,"회선임차현황"}</definedName>
    <definedName name="ㅂㅈㅈ" localSheetId="13">[127]설계서!$G$10</definedName>
    <definedName name="ㅂㅈㅈ">[56]설계서!$G$10</definedName>
    <definedName name="ㅂ쟈ㅕㅑㅂ1" localSheetId="13" hidden="1">{#N/A,#N/A,FALSE,"배수1"}</definedName>
    <definedName name="ㅂ쟈ㅕㅑㅂ1" hidden="1">{#N/A,#N/A,FALSE,"배수1"}</definedName>
    <definedName name="바">#REF!</definedName>
    <definedName name="바개">#REF!</definedName>
    <definedName name="바거">#REF!</definedName>
    <definedName name="바꿔"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바꿔"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바꿔"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바물">#REF!</definedName>
    <definedName name="바보" localSheetId="13">'8-2.설비자재산출(무인보안)'!바보</definedName>
    <definedName name="바보" localSheetId="15">'8-4.일위대가표'!바보</definedName>
    <definedName name="바보">'8-2.설비자재산출(무인보안)'!바보</definedName>
    <definedName name="바이브레이타공">#REF!</definedName>
    <definedName name="바이오">#REF!</definedName>
    <definedName name="바인드1">#REF!</definedName>
    <definedName name="바인드10">#REF!</definedName>
    <definedName name="바인드1열">#REF!</definedName>
    <definedName name="바인드2">#REF!</definedName>
    <definedName name="바인드2열">#REF!</definedName>
    <definedName name="바인드3">#REF!</definedName>
    <definedName name="바인드3열">#REF!</definedName>
    <definedName name="바인드4">#REF!</definedName>
    <definedName name="바인드4열">#REF!</definedName>
    <definedName name="바인드A">#REF!</definedName>
    <definedName name="바인드B">#REF!</definedName>
    <definedName name="바인드C">#REF!</definedName>
    <definedName name="바인드D">#REF!</definedName>
    <definedName name="바인드선">#REF!</definedName>
    <definedName name="바인드선1">#REF!</definedName>
    <definedName name="바인드선A">#REF!</definedName>
    <definedName name="바인드신설1">#REF!</definedName>
    <definedName name="바인드신설2">#REF!</definedName>
    <definedName name="바인드신설3">#REF!</definedName>
    <definedName name="바인드신설4">#REF!</definedName>
    <definedName name="바인드해체">#REF!</definedName>
    <definedName name="바인드해체1">#REF!</definedName>
    <definedName name="바인드해체A">#REF!</definedName>
    <definedName name="바인딩">#REF!</definedName>
    <definedName name="바인딩1조">#REF!</definedName>
    <definedName name="바인딩1조철거">#REF!</definedName>
    <definedName name="바인딩2조">#REF!</definedName>
    <definedName name="바인딩2조철거">#REF!</definedName>
    <definedName name="바탕원본표1">#REF!</definedName>
    <definedName name="박경수1" localSheetId="13">'8-2.설비자재산출(무인보안)'!박경수1</definedName>
    <definedName name="박경수1" localSheetId="15">'8-4.일위대가표'!박경수1</definedName>
    <definedName name="박경수1">'8-2.설비자재산출(무인보안)'!박경수1</definedName>
    <definedName name="박경수10" localSheetId="13">'8-2.설비자재산출(무인보안)'!박경수10</definedName>
    <definedName name="박경수10" localSheetId="15">'8-4.일위대가표'!박경수10</definedName>
    <definedName name="박경수10">'8-2.설비자재산출(무인보안)'!박경수10</definedName>
    <definedName name="박경수2" localSheetId="13">'8-2.설비자재산출(무인보안)'!박경수2</definedName>
    <definedName name="박경수2" localSheetId="15">'8-4.일위대가표'!박경수2</definedName>
    <definedName name="박경수2">'8-2.설비자재산출(무인보안)'!박경수2</definedName>
    <definedName name="박경수3" localSheetId="13">'8-2.설비자재산출(무인보안)'!박경수3</definedName>
    <definedName name="박경수3" localSheetId="15">'8-4.일위대가표'!박경수3</definedName>
    <definedName name="박경수3">'8-2.설비자재산출(무인보안)'!박경수3</definedName>
    <definedName name="박경수4" localSheetId="13">'8-2.설비자재산출(무인보안)'!박경수4</definedName>
    <definedName name="박경수4" localSheetId="15">'8-4.일위대가표'!박경수4</definedName>
    <definedName name="박경수4">'8-2.설비자재산출(무인보안)'!박경수4</definedName>
    <definedName name="박경수5" localSheetId="13">'8-2.설비자재산출(무인보안)'!박경수5</definedName>
    <definedName name="박경수5" localSheetId="15">'8-4.일위대가표'!박경수5</definedName>
    <definedName name="박경수5">'8-2.설비자재산출(무인보안)'!박경수5</definedName>
    <definedName name="박경수6" localSheetId="13">'8-2.설비자재산출(무인보안)'!박경수6</definedName>
    <definedName name="박경수6" localSheetId="15">'8-4.일위대가표'!박경수6</definedName>
    <definedName name="박경수6">'8-2.설비자재산출(무인보안)'!박경수6</definedName>
    <definedName name="박경수7" localSheetId="13">'8-2.설비자재산출(무인보안)'!박경수7</definedName>
    <definedName name="박경수7" localSheetId="15">'8-4.일위대가표'!박경수7</definedName>
    <definedName name="박경수7">'8-2.설비자재산출(무인보안)'!박경수7</definedName>
    <definedName name="박경수8" localSheetId="13">'8-2.설비자재산출(무인보안)'!박경수8</definedName>
    <definedName name="박경수8" localSheetId="15">'8-4.일위대가표'!박경수8</definedName>
    <definedName name="박경수8">'8-2.설비자재산출(무인보안)'!박경수8</definedName>
    <definedName name="박경수9" localSheetId="13">'8-2.설비자재산출(무인보안)'!박경수9</definedName>
    <definedName name="박경수9" localSheetId="15">'8-4.일위대가표'!박경수9</definedName>
    <definedName name="박경수9">'8-2.설비자재산출(무인보안)'!박경수9</definedName>
    <definedName name="박리제">[50]단가!$A$13</definedName>
    <definedName name="박어쟈루" localSheetId="29" hidden="1">#REF!</definedName>
    <definedName name="박어쟈루" localSheetId="13" hidden="1">#REF!</definedName>
    <definedName name="박어쟈루" localSheetId="19" hidden="1">#REF!</definedName>
    <definedName name="박어쟈루" hidden="1">#REF!</definedName>
    <definedName name="박태기">[50]단가!$A$155</definedName>
    <definedName name="박피">#REF!</definedName>
    <definedName name="반강남">#REF!</definedName>
    <definedName name="반경관">#REF!</definedName>
    <definedName name="반경관1">#REF!</definedName>
    <definedName name="반경관A">#REF!</definedName>
    <definedName name="반경관취부밴드">#REF!</definedName>
    <definedName name="반광교">#REF!</definedName>
    <definedName name="반광주">#REF!</definedName>
    <definedName name="반대구">#REF!</definedName>
    <definedName name="반대전">#REF!</definedName>
    <definedName name="반동교">#REF!</definedName>
    <definedName name="반르네상스">#REF!</definedName>
    <definedName name="반발산">#REF!</definedName>
    <definedName name="반방배">#REF!</definedName>
    <definedName name="반보라매">#REF!</definedName>
    <definedName name="반본사">#REF!</definedName>
    <definedName name="반사당">#REF!</definedName>
    <definedName name="반삼성">#REF!</definedName>
    <definedName name="반삼풍">#REF!</definedName>
    <definedName name="반서초">#REF!</definedName>
    <definedName name="반송1012">[80]수목데이타!$E$148</definedName>
    <definedName name="반송1215">[80]수목데이타!$E$149</definedName>
    <definedName name="반송1518">[80]수목데이타!$E$150</definedName>
    <definedName name="반송1520">[80]수목데이타!$E$151</definedName>
    <definedName name="반송2022">[80]수목데이타!$E$152</definedName>
    <definedName name="반송쉴드">[38]소요자재!#REF!</definedName>
    <definedName name="반송쉴드납땜">[38]노무산출서!#REF!</definedName>
    <definedName name="반송쉴드케이블" localSheetId="13">[29]소요자재!$H$177</definedName>
    <definedName name="반송쉴드케이블">[30]소요자재!$H$177</definedName>
    <definedName name="반송쉴드케이블포선남땜" localSheetId="13">[29]노무산출서!$H$27</definedName>
    <definedName name="반송쉴드케이블포선남땜">[30]노무산출서!$H$27</definedName>
    <definedName name="반송쉴드케이블포설">[45]노무산출서!#REF!</definedName>
    <definedName name="반송포설">#REF!</definedName>
    <definedName name="반송포설A">#REF!</definedName>
    <definedName name="반수원">#REF!</definedName>
    <definedName name="반신반포">#REF!</definedName>
    <definedName name="반압구정">#REF!</definedName>
    <definedName name="반여수량">#REF!</definedName>
    <definedName name="반울산">#REF!</definedName>
    <definedName name="반울산2">#REF!</definedName>
    <definedName name="반울산신">#REF!</definedName>
    <definedName name="반울산철">#REF!</definedName>
    <definedName name="반인천">#REF!</definedName>
    <definedName name="반잠실">#REF!</definedName>
    <definedName name="반전주">#REF!</definedName>
    <definedName name="반청담">#REF!</definedName>
    <definedName name="반취부강남">#REF!</definedName>
    <definedName name="반취부광교">#REF!</definedName>
    <definedName name="반취부광주">#REF!</definedName>
    <definedName name="반취부대구">#REF!</definedName>
    <definedName name="반취부대전">#REF!</definedName>
    <definedName name="반취부동교">#REF!</definedName>
    <definedName name="반취부르네상스">#REF!</definedName>
    <definedName name="반취부발산">#REF!</definedName>
    <definedName name="반취부방배">#REF!</definedName>
    <definedName name="반취부보라매">#REF!</definedName>
    <definedName name="반취부본사">#REF!</definedName>
    <definedName name="반취부사당">#REF!</definedName>
    <definedName name="반취부삼성">#REF!</definedName>
    <definedName name="반취부삼풍">#REF!</definedName>
    <definedName name="반취부서초">#REF!</definedName>
    <definedName name="반취부수원">#REF!</definedName>
    <definedName name="반취부신반포">#REF!</definedName>
    <definedName name="반취부압구정">#REF!</definedName>
    <definedName name="반취부울산">#REF!</definedName>
    <definedName name="반취부울산2">#REF!</definedName>
    <definedName name="반취부울산신">#REF!</definedName>
    <definedName name="반취부울산철">#REF!</definedName>
    <definedName name="반취부인천">#REF!</definedName>
    <definedName name="반취부잠실">#REF!</definedName>
    <definedName name="반취부전주">#REF!</definedName>
    <definedName name="반취부청담">#REF!</definedName>
    <definedName name="반취부화정">#REF!</definedName>
    <definedName name="반화정">#REF!</definedName>
    <definedName name="발">#N/A</definedName>
    <definedName name="발신자">#REF!</definedName>
    <definedName name="발파암경">[142]시설물일위!#REF!</definedName>
    <definedName name="발파암노">[142]시설물일위!#REF!</definedName>
    <definedName name="발파암재">[142]시설물일위!#REF!</definedName>
    <definedName name="발포">#REF!</definedName>
    <definedName name="발포1">#REF!</definedName>
    <definedName name="발포2">#REF!</definedName>
    <definedName name="발포A">#REF!</definedName>
    <definedName name="발포지수재">#REF!</definedName>
    <definedName name="발포지수제">#REF!</definedName>
    <definedName name="발포지수제A">#REF!</definedName>
    <definedName name="발포지수제분사">[38]노무산출서!#REF!</definedName>
    <definedName name="발포지수제분사처리" localSheetId="13">[29]노무산출서!$H$96</definedName>
    <definedName name="발포지수제분사처리">[30]노무산출서!$H$96</definedName>
    <definedName name="발포지수제처리">#REF!</definedName>
    <definedName name="발포처리">#REF!</definedName>
    <definedName name="밤나무10노무">#REF!</definedName>
    <definedName name="밤나무10재료">#REF!</definedName>
    <definedName name="밤나무6노무">#REF!</definedName>
    <definedName name="밤나무6재료">#REF!</definedName>
    <definedName name="밤나무8노무">#REF!</definedName>
    <definedName name="밤나무8재료">#REF!</definedName>
    <definedName name="밧데리">#REF!</definedName>
    <definedName name="밧데리1">[45]소요자재!#REF!</definedName>
    <definedName name="밧데리2">[45]소요자재!#REF!</definedName>
    <definedName name="방">BlankMacro1</definedName>
    <definedName name="방__수__공">#REF!</definedName>
    <definedName name="방송설비" localSheetId="13">[31]수량산출1!$A$209:$AB$305</definedName>
    <definedName name="방송설비">[32]수량산출1!$A$209:$AB$305</definedName>
    <definedName name="방수">#REF!</definedName>
    <definedName name="방수A">#REF!</definedName>
    <definedName name="방수공">#REF!</definedName>
    <definedName name="방수시설">#REF!</definedName>
    <definedName name="방수장치">#REF!</definedName>
    <definedName name="방수장치A">#REF!</definedName>
    <definedName name="방열기">[143]노무비단가!$B$75</definedName>
    <definedName name="방재종합"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방재종합"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방재종합"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방화구획재설계서"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방화구획재설계서"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방화구획재설계서"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배" localSheetId="29">#REF!</definedName>
    <definedName name="배" localSheetId="32">#REF!</definedName>
    <definedName name="배" localSheetId="27">#REF!</definedName>
    <definedName name="배" localSheetId="30">#REF!</definedName>
    <definedName name="배" localSheetId="19">#REF!</definedName>
    <definedName name="배">#REF!</definedName>
    <definedName name="배__관__공">#REF!</definedName>
    <definedName name="배_전_전_공">#REF!</definedName>
    <definedName name="배관">#REF!</definedName>
    <definedName name="배관3"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공" localSheetId="29">#REF!</definedName>
    <definedName name="배관공" localSheetId="32">#REF!</definedName>
    <definedName name="배관공" localSheetId="27">#REF!</definedName>
    <definedName name="배관공" localSheetId="30">#REF!</definedName>
    <definedName name="배관공" localSheetId="19">#REF!</definedName>
    <definedName name="배관공">#REF!</definedName>
    <definedName name="배관공_1" localSheetId="13">[141]인부임!$F$9</definedName>
    <definedName name="배관공_1">[144]인부임!$F$9</definedName>
    <definedName name="배관공수율" hidden="1">'[145]N賃率-職'!$I$5:$I$30</definedName>
    <definedName name="배관전공">#REF!</definedName>
    <definedName name="배기">[143]노무비단가!$B$73</definedName>
    <definedName name="배롱">[50]단가!$A$132</definedName>
    <definedName name="배수" localSheetId="13" hidden="1">{#N/A,#N/A,FALSE,"2~8번"}</definedName>
    <definedName name="배수" hidden="1">{#N/A,#N/A,FALSE,"2~8번"}</definedName>
    <definedName name="배수12" localSheetId="13" hidden="1">{#N/A,#N/A,FALSE,"2~8번"}</definedName>
    <definedName name="배수12" hidden="1">{#N/A,#N/A,FALSE,"2~8번"}</definedName>
    <definedName name="배수공수량집계" localSheetId="13" hidden="1">{"'산출근거'!$B$4:$D$8"}</definedName>
    <definedName name="배수공수량집계" hidden="1">{"'산출근거'!$B$4:$D$8"}</definedName>
    <definedName name="배전공">#REF!</definedName>
    <definedName name="배전반자재단가영">#REF!</definedName>
    <definedName name="배전전공" localSheetId="29">#REF!</definedName>
    <definedName name="배전전공" localSheetId="32">#REF!</definedName>
    <definedName name="배전전공" localSheetId="27">#REF!</definedName>
    <definedName name="배전전공" localSheetId="30">#REF!</definedName>
    <definedName name="배전전공" localSheetId="19">#REF!</definedName>
    <definedName name="배전전공">#REF!</definedName>
    <definedName name="배전활선전공">#REF!</definedName>
    <definedName name="배치" localSheetId="13">'8-2.설비자재산출(무인보안)'!배치</definedName>
    <definedName name="배치" localSheetId="15">'8-4.일위대가표'!배치</definedName>
    <definedName name="배치">'8-2.설비자재산출(무인보안)'!배치</definedName>
    <definedName name="배치도" localSheetId="13">'8-2.설비자재산출(무인보안)'!배치도</definedName>
    <definedName name="배치도" localSheetId="15">'8-4.일위대가표'!배치도</definedName>
    <definedName name="배치도">'8-2.설비자재산출(무인보안)'!배치도</definedName>
    <definedName name="배치도1" localSheetId="13">#N/A</definedName>
    <definedName name="배치도1" localSheetId="15">#N/A</definedName>
    <definedName name="배치도1">'8-2.설비자재산출(무인보안)'!배치도1</definedName>
    <definedName name="배활활선전공">#REF!</definedName>
    <definedName name="백" localSheetId="13" hidden="1">{"'5국공정'!$A$1:$E$128"}</definedName>
    <definedName name="백" localSheetId="15" hidden="1">{"'5국공정'!$A$1:$E$128"}</definedName>
    <definedName name="백" hidden="1">{"'5국공정'!$A$1:$E$128"}</definedName>
    <definedName name="백목련">[50]단가!$A$112</definedName>
    <definedName name="백사십">#REF!</definedName>
    <definedName name="백사십일">#REF!</definedName>
    <definedName name="백업제">[50]단가!$A$60</definedName>
    <definedName name="백인섭" localSheetId="13" hidden="1">{"'5국공정'!$A$1:$E$128"}</definedName>
    <definedName name="백인섭" localSheetId="15" hidden="1">{"'5국공정'!$A$1:$E$128"}</definedName>
    <definedName name="백인섭" hidden="1">{"'5국공정'!$A$1:$E$128"}</definedName>
    <definedName name="백호2경">#REF!</definedName>
    <definedName name="백호2노무">#REF!</definedName>
    <definedName name="백호2재료">#REF!</definedName>
    <definedName name="백호7경">#REF!</definedName>
    <definedName name="백호7노무">#REF!</definedName>
    <definedName name="백호7재료">#REF!</definedName>
    <definedName name="백호우0.4" localSheetId="13" hidden="1">{#N/A,#N/A,FALSE,"현장 NCR 분석";#N/A,#N/A,FALSE,"현장품질감사";#N/A,#N/A,FALSE,"현장품질감사"}</definedName>
    <definedName name="백호우0.4" hidden="1">{#N/A,#N/A,FALSE,"현장 NCR 분석";#N/A,#N/A,FALSE,"현장품질감사";#N/A,#N/A,FALSE,"현장품질감사"}</definedName>
    <definedName name="밴드">#REF!</definedName>
    <definedName name="밴드1">#REF!</definedName>
    <definedName name="밴드2">#REF!</definedName>
    <definedName name="밴드설치">#REF!</definedName>
    <definedName name="밴드철거">#REF!</definedName>
    <definedName name="밴드철거A">#REF!</definedName>
    <definedName name="밴드취부">#REF!</definedName>
    <definedName name="밴드취부1">#REF!</definedName>
    <definedName name="밴드취부A">#REF!</definedName>
    <definedName name="버즘">[50]단가!$A$113</definedName>
    <definedName name="번호">#REF!</definedName>
    <definedName name="번화가1">#REF!</definedName>
    <definedName name="번화가2">#REF!</definedName>
    <definedName name="벌" localSheetId="13" hidden="1">{#N/A,#N/A,FALSE,"전력간선"}</definedName>
    <definedName name="벌" hidden="1">{#N/A,#N/A,FALSE,"전력간선"}</definedName>
    <definedName name="벌__목__부">#REF!</definedName>
    <definedName name="벌개제근공" localSheetId="13" hidden="1">{#N/A,#N/A,FALSE,"현장 NCR 분석";#N/A,#N/A,FALSE,"현장품질감사";#N/A,#N/A,FALSE,"현장품질감사"}</definedName>
    <definedName name="벌개제근공" hidden="1">{#N/A,#N/A,FALSE,"현장 NCR 분석";#N/A,#N/A,FALSE,"현장품질감사";#N/A,#N/A,FALSE,"현장품질감사"}</definedName>
    <definedName name="벌목공">#REF!</definedName>
    <definedName name="범례" localSheetId="13" hidden="1">{#N/A,#N/A,FALSE,"전력간선"}</definedName>
    <definedName name="범례" hidden="1">{#N/A,#N/A,FALSE,"전력간선"}</definedName>
    <definedName name="범우12" localSheetId="13" hidden="1">{"'5국공정'!$A$1:$E$128"}</definedName>
    <definedName name="범우12" localSheetId="15" hidden="1">{"'5국공정'!$A$1:$E$128"}</definedName>
    <definedName name="범우12" hidden="1">{"'5국공정'!$A$1:$E$128"}</definedName>
    <definedName name="법면복구">#REF!</definedName>
    <definedName name="벨트콤베어작업공">#REF!</definedName>
    <definedName name="벽관통">#REF!</definedName>
    <definedName name="벽관통1">#REF!</definedName>
    <definedName name="벽관통a">#REF!</definedName>
    <definedName name="벽관통구멍뚫기">#REF!</definedName>
    <definedName name="벽관통구멍파기">#REF!</definedName>
    <definedName name="벽돌_블럭_제작공">#REF!</definedName>
    <definedName name="벽돌제작공">#REF!</definedName>
    <definedName name="벽철">#REF!</definedName>
    <definedName name="벽철1">#REF!</definedName>
    <definedName name="벽철A">#REF!</definedName>
    <definedName name="벽철물">#REF!</definedName>
    <definedName name="벽철취부">#REF!</definedName>
    <definedName name="벽철취부1">#REF!</definedName>
    <definedName name="벽철취부A">#REF!</definedName>
    <definedName name="벽체" localSheetId="13" hidden="1">{#N/A,#N/A,FALSE,"혼합골재"}</definedName>
    <definedName name="벽체" hidden="1">{#N/A,#N/A,FALSE,"혼합골재"}</definedName>
    <definedName name="변" localSheetId="13" hidden="1">{"'5국공정'!$A$1:$E$128"}</definedName>
    <definedName name="변" localSheetId="15" hidden="1">{"'5국공정'!$A$1:$E$128"}</definedName>
    <definedName name="변" hidden="1">{"'5국공정'!$A$1:$E$128"}</definedName>
    <definedName name="변2" hidden="1">"전체현황"</definedName>
    <definedName name="변간접노무비">#REF!</definedName>
    <definedName name="변경" localSheetId="13" hidden="1">{#N/A,#N/A,FALSE,"현장 NCR 분석";#N/A,#N/A,FALSE,"현장품질감사";#N/A,#N/A,FALSE,"현장품질감사"}</definedName>
    <definedName name="변경" localSheetId="15" hidden="1">{#N/A,#N/A,FALSE,"현장 NCR 분석";#N/A,#N/A,FALSE,"현장품질감사";#N/A,#N/A,FALSE,"현장품질감사"}</definedName>
    <definedName name="변경" hidden="1">{#N/A,#N/A,FALSE,"현장 NCR 분석";#N/A,#N/A,FALSE,"현장품질감사";#N/A,#N/A,FALSE,"현장품질감사"}</definedName>
    <definedName name="변경경비">#REF!</definedName>
    <definedName name="변경내역"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내역"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내역닥트" localSheetId="29">[39]!BlankMacro1</definedName>
    <definedName name="변경내역닥트" localSheetId="19">[39]!BlankMacro1</definedName>
    <definedName name="변경내역닥트">[39]!BlankMacro1</definedName>
    <definedName name="변경노무비">#REF!</definedName>
    <definedName name="변경분" localSheetId="22" hidden="1">{"'선로집계'!$A$1:$G$68"}</definedName>
    <definedName name="변경분" localSheetId="34" hidden="1">{"'선로집계'!$A$1:$G$68"}</definedName>
    <definedName name="변경분" localSheetId="35" hidden="1">{"'선로집계'!$A$1:$G$68"}</definedName>
    <definedName name="변경분" localSheetId="36" hidden="1">{"'선로집계'!$A$1:$G$68"}</definedName>
    <definedName name="변경분" localSheetId="37" hidden="1">{"'선로집계'!$A$1:$G$68"}</definedName>
    <definedName name="변경분" localSheetId="13" hidden="1">{"'선로집계'!$A$1:$G$68"}</definedName>
    <definedName name="변경분" localSheetId="15" hidden="1">{"'선로집계'!$A$1:$G$68"}</definedName>
    <definedName name="변경분" hidden="1">{"'선로집계'!$A$1:$G$68"}</definedName>
    <definedName name="변경수량집계"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수량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원가" localSheetId="29" hidden="1">'[1]#REF'!#REF!</definedName>
    <definedName name="변경원가" localSheetId="19" hidden="1">'[1]#REF'!#REF!</definedName>
    <definedName name="변경원가" hidden="1">'[1]#REF'!#REF!</definedName>
    <definedName name="변경이윤">#REF!</definedName>
    <definedName name="변경일반관리비">#REF!</definedName>
    <definedName name="변경전" localSheetId="13" hidden="1">{"'용역비'!$A$4:$C$8"}</definedName>
    <definedName name="변경전" localSheetId="15" hidden="1">{"'용역비'!$A$4:$C$8"}</definedName>
    <definedName name="변경전" hidden="1">{"'용역비'!$A$4:$C$8"}</definedName>
    <definedName name="변경지입재료비">#REF!</definedName>
    <definedName name="변경직접노무비">#REF!</definedName>
    <definedName name="변공구손료">#REF!</definedName>
    <definedName name="변기록사진대">#REF!</definedName>
    <definedName name="변동" localSheetId="22" hidden="1">{"'선로집계'!$A$1:$G$68"}</definedName>
    <definedName name="변동" localSheetId="34" hidden="1">{"'선로집계'!$A$1:$G$68"}</definedName>
    <definedName name="변동" localSheetId="35" hidden="1">{"'선로집계'!$A$1:$G$68"}</definedName>
    <definedName name="변동" localSheetId="36" hidden="1">{"'선로집계'!$A$1:$G$68"}</definedName>
    <definedName name="변동" localSheetId="37" hidden="1">{"'선로집계'!$A$1:$G$68"}</definedName>
    <definedName name="변동" localSheetId="13" hidden="1">{"'선로집계'!$A$1:$G$68"}</definedName>
    <definedName name="변동" localSheetId="15" hidden="1">{"'선로집계'!$A$1:$G$68"}</definedName>
    <definedName name="변동" hidden="1">{"'선로집계'!$A$1:$G$68"}</definedName>
    <definedName name="변동분" localSheetId="22" hidden="1">{"'선로집계'!$A$1:$G$68"}</definedName>
    <definedName name="변동분" localSheetId="34" hidden="1">{"'선로집계'!$A$1:$G$68"}</definedName>
    <definedName name="변동분" localSheetId="35" hidden="1">{"'선로집계'!$A$1:$G$68"}</definedName>
    <definedName name="변동분" localSheetId="36" hidden="1">{"'선로집계'!$A$1:$G$68"}</definedName>
    <definedName name="변동분" localSheetId="37" hidden="1">{"'선로집계'!$A$1:$G$68"}</definedName>
    <definedName name="변동분" localSheetId="13" hidden="1">{"'선로집계'!$A$1:$G$68"}</definedName>
    <definedName name="변동분" localSheetId="15" hidden="1">{"'선로집계'!$A$1:$G$68"}</definedName>
    <definedName name="변동분" hidden="1">{"'선로집계'!$A$1:$G$68"}</definedName>
    <definedName name="변동분신" localSheetId="22" hidden="1">{"'선로집계'!$A$1:$G$68"}</definedName>
    <definedName name="변동분신" localSheetId="13" hidden="1">{"'선로집계'!$A$1:$G$68"}</definedName>
    <definedName name="변동분신" localSheetId="15" hidden="1">{"'선로집계'!$A$1:$G$68"}</definedName>
    <definedName name="변동분신" hidden="1">{"'선로집계'!$A$1:$G$68"}</definedName>
    <definedName name="변동사항">#REF!</definedName>
    <definedName name="변동코드">#REF!</definedName>
    <definedName name="변동폭">#REF!</definedName>
    <definedName name="변복리후생비">#REF!</definedName>
    <definedName name="변본사본">#REF!</definedName>
    <definedName name="변본사분">#REF!</definedName>
    <definedName name="변세금공과금">#REF!</definedName>
    <definedName name="변소모품비">#REF!</definedName>
    <definedName name="변안전관리비">#REF!</definedName>
    <definedName name="변압기품"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변압기품"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변압기품"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변여비교통통신비">#REF!</definedName>
    <definedName name="변이윤">#REF!</definedName>
    <definedName name="변일반관리비">#REF!</definedName>
    <definedName name="변전소_505__Query1">#REF!</definedName>
    <definedName name="변전소별설치자재물량내역">[146]준공정산!#REF!</definedName>
    <definedName name="변전전공">#REF!</definedName>
    <definedName name="변직접노무비">#REF!</definedName>
    <definedName name="변현평">#REF!</definedName>
    <definedName name="별표총2" localSheetId="13" hidden="1">{#N/A,#N/A,FALSE,"현장 NCR 분석";#N/A,#N/A,FALSE,"현장품질감사";#N/A,#N/A,FALSE,"현장품질감사"}</definedName>
    <definedName name="별표총2" hidden="1">{#N/A,#N/A,FALSE,"현장 NCR 분석";#N/A,#N/A,FALSE,"현장품질감사";#N/A,#N/A,FALSE,"현장품질감사"}</definedName>
    <definedName name="보" localSheetId="29">#REF!</definedName>
    <definedName name="보" localSheetId="32">#REF!</definedName>
    <definedName name="보" localSheetId="27">#REF!</definedName>
    <definedName name="보" localSheetId="30">#REF!</definedName>
    <definedName name="보" localSheetId="19">#REF!</definedName>
    <definedName name="보">#REF!</definedName>
    <definedName name="보__안__공">#REF!</definedName>
    <definedName name="보__온__공">#REF!</definedName>
    <definedName name="보_일_러_공">#REF!</definedName>
    <definedName name="보_통_선_원">#REF!</definedName>
    <definedName name="보_통_인_부">#REF!</definedName>
    <definedName name="보관증" localSheetId="13">'8-2.설비자재산출(무인보안)'!보관증</definedName>
    <definedName name="보관증" localSheetId="15">'8-4.일위대가표'!보관증</definedName>
    <definedName name="보관증">'8-2.설비자재산출(무인보안)'!보관증</definedName>
    <definedName name="보굴착">#REF!</definedName>
    <definedName name="보급과통보" localSheetId="13" hidden="1">{"'5국공정'!$A$1:$E$128"}</definedName>
    <definedName name="보급과통보" localSheetId="15" hidden="1">{"'5국공정'!$A$1:$E$128"}</definedName>
    <definedName name="보급과통보" hidden="1">{"'5국공정'!$A$1:$E$128"}</definedName>
    <definedName name="보도">#REF!</definedName>
    <definedName name="보도노">#REF!</definedName>
    <definedName name="보도재">#REF!</definedName>
    <definedName name="보람증권" localSheetId="13">'8-2.설비자재산출(무인보안)'!보람증권</definedName>
    <definedName name="보람증권" localSheetId="15">'8-4.일위대가표'!보람증권</definedName>
    <definedName name="보람증권">'8-2.설비자재산출(무인보안)'!보람증권</definedName>
    <definedName name="보링" localSheetId="13" hidden="1">{#N/A,#N/A,FALSE,"포장2"}</definedName>
    <definedName name="보링" hidden="1">{#N/A,#N/A,FALSE,"포장2"}</definedName>
    <definedName name="보링공">#REF!</definedName>
    <definedName name="보링공_지질조사">#REF!</definedName>
    <definedName name="보습제">#REF!</definedName>
    <definedName name="보안공">#REF!</definedName>
    <definedName name="보온공">#REF!</definedName>
    <definedName name="보인">#REF!</definedName>
    <definedName name="보일러공">#REF!</definedName>
    <definedName name="보조기층부설">#REF!</definedName>
    <definedName name="보차도경계석">[50]단가!$A$67</definedName>
    <definedName name="보충" localSheetId="29" hidden="1">#REF!</definedName>
    <definedName name="보충" localSheetId="13" hidden="1">#REF!</definedName>
    <definedName name="보충" localSheetId="19" hidden="1">#REF!</definedName>
    <definedName name="보충" hidden="1">#REF!</definedName>
    <definedName name="보통">#REF!</definedName>
    <definedName name="보통선원">#REF!</definedName>
    <definedName name="보통인부" localSheetId="29">#REF!</definedName>
    <definedName name="보통인부" localSheetId="32">#REF!</definedName>
    <definedName name="보통인부" localSheetId="27">#REF!</definedName>
    <definedName name="보통인부" localSheetId="30">#REF!</definedName>
    <definedName name="보통인부" localSheetId="19">#REF!</definedName>
    <definedName name="보통인부">#REF!</definedName>
    <definedName name="보통인부1">[87]단가조사!#REF!</definedName>
    <definedName name="보통인부B10">[81]식재인부!$C$24</definedName>
    <definedName name="보통인부B4이하">[81]식재인부!$C$18</definedName>
    <definedName name="보통인부B5">[81]식재인부!$C$19</definedName>
    <definedName name="보통인부B6">[81]식재인부!$C$20</definedName>
    <definedName name="보통인부B8">[81]식재인부!$C$22</definedName>
    <definedName name="보통인부R10">[81]식재인부!$C$54</definedName>
    <definedName name="보통인부R12">[81]식재인부!$C$56</definedName>
    <definedName name="보통인부R15">[81]식재인부!$C$59</definedName>
    <definedName name="보통인부R4이하">[147]식재인부!$C$48</definedName>
    <definedName name="보통인부R5">[147]식재인부!$C$49</definedName>
    <definedName name="보통인부R6">[81]식재인부!$C$50</definedName>
    <definedName name="보통인부R7">[81]식재인부!$C$51</definedName>
    <definedName name="보통인부R8">[81]식재인부!$C$52</definedName>
    <definedName name="보험료">#REF!</definedName>
    <definedName name="복구_간재" localSheetId="13">'[83]예산내역서(총괄)'!$I$10</definedName>
    <definedName name="복구_간재">'[85]예산내역서(총괄)'!$I$10</definedName>
    <definedName name="복구_경비" localSheetId="13">'[83]예산내역서(총괄)'!$M$10</definedName>
    <definedName name="복구_경비">'[85]예산내역서(총괄)'!$M$10</definedName>
    <definedName name="복구_직노" localSheetId="13">'[83]예산내역서(총괄)'!$K$10</definedName>
    <definedName name="복구_직노">'[85]예산내역서(총괄)'!$K$10</definedName>
    <definedName name="복구_직재" localSheetId="13">'[83]예산내역서(총괄)'!$G$10</definedName>
    <definedName name="복구_직재">'[85]예산내역서(총괄)'!$G$10</definedName>
    <definedName name="복구계획도2" localSheetId="13" hidden="1">{#N/A,#N/A,FALSE,"현장 NCR 분석";#N/A,#N/A,FALSE,"현장품질감사";#N/A,#N/A,FALSE,"현장품질감사"}</definedName>
    <definedName name="복구계획도2" localSheetId="15" hidden="1">{#N/A,#N/A,FALSE,"현장 NCR 분석";#N/A,#N/A,FALSE,"현장품질감사";#N/A,#N/A,FALSE,"현장품질감사"}</definedName>
    <definedName name="복구계획도2" hidden="1">{#N/A,#N/A,FALSE,"현장 NCR 분석";#N/A,#N/A,FALSE,"현장품질감사";#N/A,#N/A,FALSE,"현장품질감사"}</definedName>
    <definedName name="복리">#REF!</definedName>
    <definedName name="복리1">#REF!</definedName>
    <definedName name="복리2">#REF!</definedName>
    <definedName name="복리후생">[16]설계명세서!$G$137</definedName>
    <definedName name="복리후생변경" localSheetId="13">[82]경비변경!$J$12</definedName>
    <definedName name="복리후생변경">[83]경비변경!$J$12</definedName>
    <definedName name="복리후생비">#REF!</definedName>
    <definedName name="복리후행비." localSheetId="13">[96]설계!$G$56</definedName>
    <definedName name="복리후행비.">[97]설계!$G$56</definedName>
    <definedName name="복사본"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복사본"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복사비" localSheetId="13">[146]설계명세!$H$37</definedName>
    <definedName name="복사비">[148]설계명세!$H$37</definedName>
    <definedName name="본" localSheetId="29" hidden="1">[149]설계명세!#REF!</definedName>
    <definedName name="본" localSheetId="13" hidden="1">[149]설계명세!#REF!</definedName>
    <definedName name="본" localSheetId="19" hidden="1">[149]설계명세!#REF!</definedName>
    <definedName name="본" hidden="1">[149]설계명세!#REF!</definedName>
    <definedName name="본사" localSheetId="13">'[82](12)자재비'!$H$11</definedName>
    <definedName name="본사">'[83](12)자재비'!$H$11</definedName>
    <definedName name="본사구입">#REF!</definedName>
    <definedName name="본사분">#REF!</definedName>
    <definedName name="본사분자재">#REF!</definedName>
    <definedName name="본사소계">#REF!</definedName>
    <definedName name="본사재료비">#REF!</definedName>
    <definedName name="본사조달분">#REF!</definedName>
    <definedName name="본사취급액">#REF!</definedName>
    <definedName name="볼트">#REF!</definedName>
    <definedName name="봉시설1">#REF!</definedName>
    <definedName name="봉시설2">#REF!</definedName>
    <definedName name="봉시설3">#REF!</definedName>
    <definedName name="부" localSheetId="13" hidden="1">{#N/A,#N/A,FALSE,"골재소요량";#N/A,#N/A,FALSE,"골재소요량"}</definedName>
    <definedName name="부" hidden="1">{#N/A,#N/A,FALSE,"골재소요량";#N/A,#N/A,FALSE,"골재소요량"}</definedName>
    <definedName name="부15">[72]계수시트!#REF!</definedName>
    <definedName name="부가">#REF!</definedName>
    <definedName name="부가가치세2">#REF!</definedName>
    <definedName name="부가가치세4">#REF!</definedName>
    <definedName name="부가세" localSheetId="29">#REF!</definedName>
    <definedName name="부가세" localSheetId="32">#REF!</definedName>
    <definedName name="부가세" localSheetId="27">#REF!</definedName>
    <definedName name="부가세" localSheetId="30">#REF!</definedName>
    <definedName name="부가세" localSheetId="19">#REF!</definedName>
    <definedName name="부가세">#REF!</definedName>
    <definedName name="부경비">#REF!</definedName>
    <definedName name="부기경비">#REF!</definedName>
    <definedName name="부대" localSheetId="13" hidden="1">{#N/A,#N/A,FALSE,"부대1"}</definedName>
    <definedName name="부대" hidden="1">{#N/A,#N/A,FALSE,"부대1"}</definedName>
    <definedName name="부대3" localSheetId="13" hidden="1">{#N/A,#N/A,FALSE,"부대2"}</definedName>
    <definedName name="부대3" hidden="1">{#N/A,#N/A,FALSE,"부대2"}</definedName>
    <definedName name="부대a" localSheetId="13" hidden="1">{#N/A,#N/A,FALSE,"골재소요량";#N/A,#N/A,FALSE,"골재소요량"}</definedName>
    <definedName name="부대a" hidden="1">{#N/A,#N/A,FALSE,"골재소요량";#N/A,#N/A,FALSE,"골재소요량"}</definedName>
    <definedName name="부대건축2" localSheetId="29" hidden="1">#REF!</definedName>
    <definedName name="부대건축2" localSheetId="13" hidden="1">#REF!</definedName>
    <definedName name="부대건축2" localSheetId="19" hidden="1">#REF!</definedName>
    <definedName name="부대건축2" hidden="1">#REF!</definedName>
    <definedName name="부대공사" localSheetId="29" hidden="1">#REF!</definedName>
    <definedName name="부대공사" localSheetId="13" hidden="1">#REF!</definedName>
    <definedName name="부대공사" localSheetId="19" hidden="1">#REF!</definedName>
    <definedName name="부대공사" hidden="1">#REF!</definedName>
    <definedName name="부대구조" localSheetId="13" hidden="1">{#N/A,#N/A,FALSE,"골재소요량";#N/A,#N/A,FALSE,"골재소요량"}</definedName>
    <definedName name="부대구조" hidden="1">{#N/A,#N/A,FALSE,"골재소요량";#N/A,#N/A,FALSE,"골재소요량"}</definedName>
    <definedName name="부대원가" localSheetId="13" hidden="1">{#N/A,#N/A,FALSE,"배수2"}</definedName>
    <definedName name="부대원가" hidden="1">{#N/A,#N/A,FALSE,"배수2"}</definedName>
    <definedName name="부대원본" localSheetId="13" hidden="1">{#N/A,#N/A,FALSE,"토공2"}</definedName>
    <definedName name="부대원본" hidden="1">{#N/A,#N/A,FALSE,"토공2"}</definedName>
    <definedName name="부들노">[88]식재!$H$180</definedName>
    <definedName name="부들재">[88]식재!$F$180</definedName>
    <definedName name="부산">#REF!</definedName>
    <definedName name="부산2" localSheetId="22" hidden="1">{"'선로집계'!$A$1:$G$68"}</definedName>
    <definedName name="부산2" localSheetId="34" hidden="1">{"'선로집계'!$A$1:$G$68"}</definedName>
    <definedName name="부산2" localSheetId="35" hidden="1">{"'선로집계'!$A$1:$G$68"}</definedName>
    <definedName name="부산2" localSheetId="36" hidden="1">{"'선로집계'!$A$1:$G$68"}</definedName>
    <definedName name="부산2" localSheetId="37" hidden="1">{"'선로집계'!$A$1:$G$68"}</definedName>
    <definedName name="부산2" localSheetId="13" hidden="1">{"'선로집계'!$A$1:$G$68"}</definedName>
    <definedName name="부산2" localSheetId="15" hidden="1">{"'선로집계'!$A$1:$G$68"}</definedName>
    <definedName name="부산2" hidden="1">{"'선로집계'!$A$1:$G$68"}</definedName>
    <definedName name="부서">#REF!</definedName>
    <definedName name="부손익" localSheetId="22" hidden="1">{#N/A,#N/A,FALSE,"현장 NCR 분석";#N/A,#N/A,FALSE,"현장품질감사";#N/A,#N/A,FALSE,"현장품질감사"}</definedName>
    <definedName name="부손익" localSheetId="34" hidden="1">{#N/A,#N/A,FALSE,"현장 NCR 분석";#N/A,#N/A,FALSE,"현장품질감사";#N/A,#N/A,FALSE,"현장품질감사"}</definedName>
    <definedName name="부손익" localSheetId="35" hidden="1">{#N/A,#N/A,FALSE,"현장 NCR 분석";#N/A,#N/A,FALSE,"현장품질감사";#N/A,#N/A,FALSE,"현장품질감사"}</definedName>
    <definedName name="부손익" localSheetId="36" hidden="1">{#N/A,#N/A,FALSE,"현장 NCR 분석";#N/A,#N/A,FALSE,"현장품질감사";#N/A,#N/A,FALSE,"현장품질감사"}</definedName>
    <definedName name="부손익" localSheetId="37" hidden="1">{#N/A,#N/A,FALSE,"현장 NCR 분석";#N/A,#N/A,FALSE,"현장품질감사";#N/A,#N/A,FALSE,"현장품질감사"}</definedName>
    <definedName name="부손익" localSheetId="13" hidden="1">{#N/A,#N/A,FALSE,"현장 NCR 분석";#N/A,#N/A,FALSE,"현장품질감사";#N/A,#N/A,FALSE,"현장품질감사"}</definedName>
    <definedName name="부손익" localSheetId="15" hidden="1">{#N/A,#N/A,FALSE,"현장 NCR 분석";#N/A,#N/A,FALSE,"현장품질감사";#N/A,#N/A,FALSE,"현장품질감사"}</definedName>
    <definedName name="부손익" hidden="1">{#N/A,#N/A,FALSE,"현장 NCR 분석";#N/A,#N/A,FALSE,"현장품질감사";#N/A,#N/A,FALSE,"현장품질감사"}</definedName>
    <definedName name="부손익1" localSheetId="13" hidden="1">{#N/A,#N/A,FALSE,"현장 NCR 분석";#N/A,#N/A,FALSE,"현장품질감사";#N/A,#N/A,FALSE,"현장품질감사"}</definedName>
    <definedName name="부손익1" hidden="1">{#N/A,#N/A,FALSE,"현장 NCR 분석";#N/A,#N/A,FALSE,"현장품질감사";#N/A,#N/A,FALSE,"현장품질감사"}</definedName>
    <definedName name="부여변전소" localSheetId="13" hidden="1">{"'당진'!$A$1:$P$34","'당진'!$N$13"}</definedName>
    <definedName name="부여변전소" localSheetId="15" hidden="1">{"'당진'!$A$1:$P$34","'당진'!$N$13"}</definedName>
    <definedName name="부여변전소" hidden="1">{"'당진'!$A$1:$P$34","'당진'!$N$13"}</definedName>
    <definedName name="부지복구논" localSheetId="13" hidden="1">{#N/A,#N/A,FALSE,"현장 NCR 분석";#N/A,#N/A,FALSE,"현장품질감사";#N/A,#N/A,FALSE,"현장품질감사"}</definedName>
    <definedName name="부지복구논" hidden="1">{#N/A,#N/A,FALSE,"현장 NCR 분석";#N/A,#N/A,FALSE,"현장품질감사";#N/A,#N/A,FALSE,"현장품질감사"}</definedName>
    <definedName name="부직포">[90]단가!$A$73</definedName>
    <definedName name="부직포노">#REF!</definedName>
    <definedName name="부직포재">#REF!</definedName>
    <definedName name="부천">#REF!</definedName>
    <definedName name="부표"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부표"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부표"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북울산" localSheetId="22" hidden="1">{"'선로집계'!$A$1:$G$68"}</definedName>
    <definedName name="북울산" localSheetId="34" hidden="1">{"'선로집계'!$A$1:$G$68"}</definedName>
    <definedName name="북울산" localSheetId="35" hidden="1">{"'선로집계'!$A$1:$G$68"}</definedName>
    <definedName name="북울산" localSheetId="36" hidden="1">{"'선로집계'!$A$1:$G$68"}</definedName>
    <definedName name="북울산" localSheetId="37" hidden="1">{"'선로집계'!$A$1:$G$68"}</definedName>
    <definedName name="북울산" localSheetId="13" hidden="1">{"'선로집계'!$A$1:$G$68"}</definedName>
    <definedName name="북울산" localSheetId="15" hidden="1">{"'선로집계'!$A$1:$G$68"}</definedName>
    <definedName name="북울산" hidden="1">{"'선로집계'!$A$1:$G$68"}</definedName>
    <definedName name="북측도로유동표" localSheetId="13" hidden="1">{#N/A,#N/A,FALSE,"표지목차"}</definedName>
    <definedName name="북측도로유동표" hidden="1">{#N/A,#N/A,FALSE,"표지목차"}</definedName>
    <definedName name="분" localSheetId="13" hidden="1">{#N/A,#N/A,FALSE,"이태원철근"}</definedName>
    <definedName name="분" hidden="1">{#N/A,#N/A,FALSE,"이태원철근"}</definedName>
    <definedName name="분기구2" localSheetId="13" hidden="1">{#N/A,#N/A,FALSE,"2~8번"}</definedName>
    <definedName name="분기구2" hidden="1">{#N/A,#N/A,FALSE,"2~8번"}</definedName>
    <definedName name="분기기4WAY">#REF!</definedName>
    <definedName name="분당공" hidden="1">[12]Sheet4!$A$58:$A$97</definedName>
    <definedName name="분당물가" hidden="1">[5]Sheet4!$F$58:$F$73</definedName>
    <definedName name="분당코아" hidden="1">[150]마산월령동골조물량변경!$F$58:$F$73</definedName>
    <definedName name="분당협조" localSheetId="13" hidden="1">{#N/A,#N/A,FALSE,"이태원철근"}</definedName>
    <definedName name="분당협조" hidden="1">{#N/A,#N/A,FALSE,"이태원철근"}</definedName>
    <definedName name="분류A">#REF!</definedName>
    <definedName name="분배2way">#REF!</definedName>
    <definedName name="분배기">[143]노무비단가!$B$76</definedName>
    <definedName name="분배기2">#REF!</definedName>
    <definedName name="분배기2WAY">#REF!</definedName>
    <definedName name="분배함">#REF!</definedName>
    <definedName name="분배함144">#REF!</definedName>
    <definedName name="분배함288">#REF!</definedName>
    <definedName name="분배함48">#REF!</definedName>
    <definedName name="분배함96">#REF!</definedName>
    <definedName name="분배함철거">#REF!</definedName>
    <definedName name="분배함취부">#REF!</definedName>
    <definedName name="분배함취부1">#REF!</definedName>
    <definedName name="분배함취부A">#REF!</definedName>
    <definedName name="분사">#REF!</definedName>
    <definedName name="분사1">#REF!</definedName>
    <definedName name="분사2">#REF!</definedName>
    <definedName name="분사A">#REF!</definedName>
    <definedName name="분사처리">#REF!</definedName>
    <definedName name="분석CHART">#REF!</definedName>
    <definedName name="분석CHAT">#REF!</definedName>
    <definedName name="분석챠트" localSheetId="29">#REF!,#REF!</definedName>
    <definedName name="분석챠트" localSheetId="13">#REF!,#REF!</definedName>
    <definedName name="분석챠트" localSheetId="19">#REF!,#REF!</definedName>
    <definedName name="분석챠트">#REF!,#REF!</definedName>
    <definedName name="분수경">#REF!</definedName>
    <definedName name="분수노">#REF!</definedName>
    <definedName name="분수재">#REF!</definedName>
    <definedName name="분전반">BlankMacro1</definedName>
    <definedName name="분전반철거후" localSheetId="22" hidden="1">{#N/A,#N/A,FALSE,"회선임차현황"}</definedName>
    <definedName name="분전반철거후" localSheetId="13" hidden="1">{#N/A,#N/A,FALSE,"회선임차현황"}</definedName>
    <definedName name="분전반철거후" localSheetId="15" hidden="1">{#N/A,#N/A,FALSE,"회선임차현황"}</definedName>
    <definedName name="분전반철거후" hidden="1">{#N/A,#N/A,FALSE,"회선임차현황"}</definedName>
    <definedName name="불균3way">#REF!</definedName>
    <definedName name="불균등3WAY">#REF!</definedName>
    <definedName name="불도자15경">#REF!</definedName>
    <definedName name="불도자15노무">#REF!</definedName>
    <definedName name="불도자15재료">#REF!</definedName>
    <definedName name="붉은병꽃">[50]단가!$A$145</definedName>
    <definedName name="브랑누아">#REF!</definedName>
    <definedName name="브랑느아">#REF!</definedName>
    <definedName name="브레드">#REF!</definedName>
    <definedName name="블레이드">[50]단가!$A$64</definedName>
    <definedName name="비__계__공">#REF!</definedName>
    <definedName name="비강남">#REF!</definedName>
    <definedName name="비계공">#REF!</definedName>
    <definedName name="비계노">[88]시설물!#REF!</definedName>
    <definedName name="비계재">[88]시설물!#REF!</definedName>
    <definedName name="비고">#REF!</definedName>
    <definedName name="비광교">#REF!</definedName>
    <definedName name="비광주">#REF!</definedName>
    <definedName name="비교">BlankMacro1</definedName>
    <definedName name="비교가">#REF!</definedName>
    <definedName name="비금속광철거">[38]노무산출서!#REF!</definedName>
    <definedName name="비금속광철거지중">[38]노무산출서!#REF!</definedName>
    <definedName name="비닐">#REF!</definedName>
    <definedName name="비닐바인드선" localSheetId="13">[29]소요자재!$H$213</definedName>
    <definedName name="비닐바인드선">[38]소요자재!#REF!</definedName>
    <definedName name="비닐전선">#REF!</definedName>
    <definedName name="비닐절연전선">[38]소요자재!#REF!</definedName>
    <definedName name="비닐절연전선1">#REF!</definedName>
    <definedName name="비닐절연전선2">#REF!</definedName>
    <definedName name="비닐절연전선3">#REF!</definedName>
    <definedName name="비닐절연전선4">#REF!</definedName>
    <definedName name="비닐절연전선5">#REF!</definedName>
    <definedName name="비닐철">#REF!</definedName>
    <definedName name="비대구">#REF!</definedName>
    <definedName name="비대전">#REF!</definedName>
    <definedName name="비동교">#REF!</definedName>
    <definedName name="비료">[50]단가!$A$154</definedName>
    <definedName name="비르네상스">#REF!</definedName>
    <definedName name="비목1">#REF!</definedName>
    <definedName name="비목2">#REF!</definedName>
    <definedName name="비목3">#REF!</definedName>
    <definedName name="비목4">#REF!</definedName>
    <definedName name="비목군분류표">#REF!</definedName>
    <definedName name="비발산">#REF!</definedName>
    <definedName name="비방배">#REF!</definedName>
    <definedName name="비보라매">#REF!</definedName>
    <definedName name="비본사">#REF!</definedName>
    <definedName name="비비추">[90]단가!$A$150</definedName>
    <definedName name="비사당">#REF!</definedName>
    <definedName name="비삼성">#REF!</definedName>
    <definedName name="비삼풍">#REF!</definedName>
    <definedName name="비서초">#REF!</definedName>
    <definedName name="비수원">#REF!</definedName>
    <definedName name="비신반포">#REF!</definedName>
    <definedName name="비압구정">#REF!</definedName>
    <definedName name="비울산">#REF!</definedName>
    <definedName name="비울산2">#REF!</definedName>
    <definedName name="비울산신">#REF!</definedName>
    <definedName name="비울산철">#REF!</definedName>
    <definedName name="비율">#REF!</definedName>
    <definedName name="비인천">#REF!</definedName>
    <definedName name="비잠실">#REF!</definedName>
    <definedName name="비전주">#REF!</definedName>
    <definedName name="비지수">#REF!</definedName>
    <definedName name="비청담">#REF!</definedName>
    <definedName name="비할증노임">#REF!</definedName>
    <definedName name="비화정">#REF!</definedName>
    <definedName name="뻐꾸기">0</definedName>
    <definedName name="ㅅ" localSheetId="22" hidden="1">{#N/A,#N/A,TRUE,"토적및재료집계";#N/A,#N/A,TRUE,"토적및재료집계";#N/A,#N/A,TRUE,"단위량"}</definedName>
    <definedName name="ㅅ" localSheetId="13" hidden="1">{#N/A,#N/A,TRUE,"토적및재료집계";#N/A,#N/A,TRUE,"토적및재료집계";#N/A,#N/A,TRUE,"단위량"}</definedName>
    <definedName name="ㅅ" localSheetId="15" hidden="1">{#N/A,#N/A,TRUE,"토적및재료집계";#N/A,#N/A,TRUE,"토적및재료집계";#N/A,#N/A,TRUE,"단위량"}</definedName>
    <definedName name="ㅅ" hidden="1">{#N/A,#N/A,TRUE,"토적및재료집계";#N/A,#N/A,TRUE,"토적및재료집계";#N/A,#N/A,TRUE,"단위량"}</definedName>
    <definedName name="ㅅㄱ" localSheetId="13" hidden="1">{"'5국공정'!$A$1:$E$128"}</definedName>
    <definedName name="ㅅㄱ" localSheetId="15" hidden="1">{"'5국공정'!$A$1:$E$128"}</definedName>
    <definedName name="ㅅㄱ" hidden="1">{"'5국공정'!$A$1:$E$128"}</definedName>
    <definedName name="ㅅㅅ" localSheetId="13">'8-2.설비자재산출(무인보안)'!ㅅㅅ</definedName>
    <definedName name="ㅅㅅ" localSheetId="15">'8-4.일위대가표'!ㅅㅅ</definedName>
    <definedName name="ㅅㅅ">'8-2.설비자재산출(무인보안)'!ㅅㅅ</definedName>
    <definedName name="ㅅㅅㅅ" localSheetId="13" hidden="1">{#N/A,#N/A,FALSE,"조골재"}</definedName>
    <definedName name="ㅅㅅㅅ" hidden="1">{#N/A,#N/A,FALSE,"조골재"}</definedName>
    <definedName name="사">#REF!</definedName>
    <definedName name="사1" localSheetId="13">'[151]257A1'!$E$68</definedName>
    <definedName name="사1">#REF!</definedName>
    <definedName name="사10" localSheetId="13">'[151]257A1'!$AF$68</definedName>
    <definedName name="사10">#REF!</definedName>
    <definedName name="사11" localSheetId="13">'[151]257A1'!$AI$68</definedName>
    <definedName name="사11">#REF!</definedName>
    <definedName name="사12" localSheetId="13">'[151]257A1'!$AL$68</definedName>
    <definedName name="사12">#REF!</definedName>
    <definedName name="사13" localSheetId="13">'[151]257A1'!$AO$68</definedName>
    <definedName name="사13">#REF!</definedName>
    <definedName name="사14" localSheetId="13">'[151]257A1'!$AR$68</definedName>
    <definedName name="사14">#REF!</definedName>
    <definedName name="사15" localSheetId="13">'[151]257A1'!$G$70</definedName>
    <definedName name="사15">#REF!</definedName>
    <definedName name="사2" localSheetId="13">'[151]257A1'!$H$68</definedName>
    <definedName name="사2">#REF!</definedName>
    <definedName name="사3" localSheetId="13">'[151]257A1'!$K$68</definedName>
    <definedName name="사3">#REF!</definedName>
    <definedName name="사4" localSheetId="13">'[151]257A1'!$N$68</definedName>
    <definedName name="사4">#REF!</definedName>
    <definedName name="사5" localSheetId="13">'[151]257A1'!$Q$68</definedName>
    <definedName name="사5">#REF!</definedName>
    <definedName name="사6" localSheetId="13">'[151]257A1'!$T$68</definedName>
    <definedName name="사6">#REF!</definedName>
    <definedName name="사7" localSheetId="13">'[151]257A1'!$W$68</definedName>
    <definedName name="사7">#REF!</definedName>
    <definedName name="사8" localSheetId="13">'[151]257A1'!$Z$68</definedName>
    <definedName name="사8">#REF!</definedName>
    <definedName name="사9" localSheetId="13">'[151]257A1'!$AC$68</definedName>
    <definedName name="사9">#REF!</definedName>
    <definedName name="사a" localSheetId="13">'[151]257A1'!$J$65</definedName>
    <definedName name="사a">#REF!</definedName>
    <definedName name="사b" localSheetId="13">'[151]257A1'!$K$64</definedName>
    <definedName name="사b">#REF!</definedName>
    <definedName name="사c" localSheetId="13">'[151]257A1'!$N$64</definedName>
    <definedName name="사c">#REF!</definedName>
    <definedName name="사d" localSheetId="13">'[151]257A1'!$Q$64</definedName>
    <definedName name="사d">#REF!</definedName>
    <definedName name="사e" localSheetId="13">'[151]257A1'!$N$62</definedName>
    <definedName name="사e">#REF!</definedName>
    <definedName name="사f" localSheetId="13">'[151]257A1'!$V$71</definedName>
    <definedName name="사f">#REF!</definedName>
    <definedName name="사g" localSheetId="13">'[151]257A1'!$W$74</definedName>
    <definedName name="사g">#REF!</definedName>
    <definedName name="사h" localSheetId="13">'[151]257A1'!$AT$65</definedName>
    <definedName name="사h">#REF!</definedName>
    <definedName name="사I" localSheetId="13">'[151]257A1'!$AQ$70</definedName>
    <definedName name="사I">#REF!</definedName>
    <definedName name="사j" localSheetId="13">'[151]257A1'!$AU$68</definedName>
    <definedName name="사j">#REF!</definedName>
    <definedName name="사k" localSheetId="13">'[151]257A1'!$AU$64</definedName>
    <definedName name="사k">#REF!</definedName>
    <definedName name="사r">#REF!</definedName>
    <definedName name="사경">#REF!</definedName>
    <definedName name="사경_1">#REF!</definedName>
    <definedName name="사경_3" localSheetId="13">[79]설계명세서!$G$183</definedName>
    <definedName name="사경_3">[82]설계명세서!$G$183</definedName>
    <definedName name="사경1">#REF!</definedName>
    <definedName name="사경2">#REF!</definedName>
    <definedName name="사공_배포함">#REF!</definedName>
    <definedName name="사공구기계경비">[72]원가계산서!#REF!</definedName>
    <definedName name="사공구부가가치세">[152]산출내역서!#REF!</definedName>
    <definedName name="사공구직영비">[152]산출내역서!#REF!</definedName>
    <definedName name="사공구직접노무비">[72]원가계산서!#REF!</definedName>
    <definedName name="사공구직접재료비">[72]원가계산서!#REF!</definedName>
    <definedName name="사굴착">#REF!</definedName>
    <definedName name="사급" localSheetId="13">'[132]5-1.설계명세서'!$G$6</definedName>
    <definedName name="사급">'[74]7.설계명세서'!$G$6</definedName>
    <definedName name="사급1" localSheetId="13" hidden="1">{"'5국공정'!$A$1:$E$128"}</definedName>
    <definedName name="사급1" localSheetId="15" hidden="1">{"'5국공정'!$A$1:$E$128"}</definedName>
    <definedName name="사급1" hidden="1">{"'5국공정'!$A$1:$E$128"}</definedName>
    <definedName name="사급2" localSheetId="13" hidden="1">{"'5국공정'!$A$1:$E$128"}</definedName>
    <definedName name="사급2" localSheetId="15" hidden="1">{"'5국공정'!$A$1:$E$128"}</definedName>
    <definedName name="사급2" hidden="1">{"'5국공정'!$A$1:$E$128"}</definedName>
    <definedName name="사급경비">#REF!</definedName>
    <definedName name="사급경비1">#REF!</definedName>
    <definedName name="사급경비2">#REF!</definedName>
    <definedName name="사급경비계">#REF!</definedName>
    <definedName name="사급복사" localSheetId="13" hidden="1">{"'5국공정'!$A$1:$E$128"}</definedName>
    <definedName name="사급복사" localSheetId="15" hidden="1">{"'5국공정'!$A$1:$E$128"}</definedName>
    <definedName name="사급복사" hidden="1">{"'5국공정'!$A$1:$E$128"}</definedName>
    <definedName name="사급분">#REF!</definedName>
    <definedName name="사급분경비">#REF!</definedName>
    <definedName name="사급분계">#REF!</definedName>
    <definedName name="사급분자재">#REF!</definedName>
    <definedName name="사급분재료비">#REF!</definedName>
    <definedName name="사급자재">#REF!</definedName>
    <definedName name="사급자재사용량" localSheetId="29" hidden="1">#REF!</definedName>
    <definedName name="사급자재사용량" localSheetId="32" hidden="1">#REF!</definedName>
    <definedName name="사급자재사용량" localSheetId="27" hidden="1">#REF!</definedName>
    <definedName name="사급자재사용량" localSheetId="30" hidden="1">#REF!</definedName>
    <definedName name="사급자재사용량" localSheetId="13" hidden="1">#REF!</definedName>
    <definedName name="사급자재사용량" localSheetId="15" hidden="1">#REF!</definedName>
    <definedName name="사급자재사용량" localSheetId="19" hidden="1">#REF!</definedName>
    <definedName name="사급자재사용량" hidden="1">#REF!</definedName>
    <definedName name="사급자재산출서" localSheetId="2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사급자재산출서"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사급자재산출서"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사급자재산출서"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사급장비">#REF!</definedName>
    <definedName name="사급장비비">#REF!</definedName>
    <definedName name="사급재" localSheetId="13">'[73]7.설계명세서(통합보안)'!$G$6</definedName>
    <definedName name="사급재">'[99]7.설계명세서(통합보안)'!$G$6</definedName>
    <definedName name="사급재료" localSheetId="13">[153]설계서!$G$10</definedName>
    <definedName name="사급재료">[154]설계서!$G$10</definedName>
    <definedName name="사급재료." localSheetId="13">[155]설계서!$G$10</definedName>
    <definedName name="사급재료.">[156]설계서!$G$10</definedName>
    <definedName name="사급재료1">[138]설계명세서!#REF!</definedName>
    <definedName name="사급재료2">#REF!</definedName>
    <definedName name="사급재료비">#REF!</definedName>
    <definedName name="사급재료비2">#REF!</definedName>
    <definedName name="사급재료비3">#REF!</definedName>
    <definedName name="사급재료비4">#REF!</definedName>
    <definedName name="사급재료비A">#REF!</definedName>
    <definedName name="사급총계">#REF!</definedName>
    <definedName name="사급카피" localSheetId="13" hidden="1">{"'5국공정'!$A$1:$E$128"}</definedName>
    <definedName name="사급카피" localSheetId="15" hidden="1">{"'5국공정'!$A$1:$E$128"}</definedName>
    <definedName name="사급카피" hidden="1">{"'5국공정'!$A$1:$E$128"}</definedName>
    <definedName name="사다" localSheetId="29" hidden="1">'[157]6PILE  (돌출)'!#REF!</definedName>
    <definedName name="사다" localSheetId="19" hidden="1">'[157]6PILE  (돌출)'!#REF!</definedName>
    <definedName name="사다" hidden="1">'[157]6PILE  (돌출)'!#REF!</definedName>
    <definedName name="사랑">#REF!</definedName>
    <definedName name="사리도">#REF!</definedName>
    <definedName name="사리도경">#REF!</definedName>
    <definedName name="사리도노무">#REF!</definedName>
    <definedName name="사리도밑면">[34]사리도!$D$13</definedName>
    <definedName name="사리도재료">#REF!</definedName>
    <definedName name="사방품셈1" localSheetId="29" hidden="1">#REF!</definedName>
    <definedName name="사방품셈1" localSheetId="13" hidden="1">#REF!</definedName>
    <definedName name="사방품셈1" localSheetId="19" hidden="1">#REF!</definedName>
    <definedName name="사방품셈1" hidden="1">#REF!</definedName>
    <definedName name="사방품셈별표" localSheetId="29" hidden="1">#REF!</definedName>
    <definedName name="사방품셈별표" localSheetId="13" hidden="1">#REF!</definedName>
    <definedName name="사방품셈별표" localSheetId="19" hidden="1">#REF!</definedName>
    <definedName name="사방품셈별표" hidden="1">#REF!</definedName>
    <definedName name="사불" localSheetId="13" hidden="1">{"'5국공정'!$A$1:$E$128"}</definedName>
    <definedName name="사불" localSheetId="15" hidden="1">{"'5국공정'!$A$1:$E$128"}</definedName>
    <definedName name="사불" hidden="1">{"'5국공정'!$A$1:$E$128"}</definedName>
    <definedName name="사업계획" localSheetId="29" hidden="1">#REF!</definedName>
    <definedName name="사업계획" localSheetId="19" hidden="1">#REF!</definedName>
    <definedName name="사업계획" hidden="1">#REF!</definedName>
    <definedName name="사업부양식2" localSheetId="29" hidden="1">#REF!</definedName>
    <definedName name="사업부양식2" localSheetId="13" hidden="1">#REF!</definedName>
    <definedName name="사업부양식2" localSheetId="19" hidden="1">#REF!</definedName>
    <definedName name="사업부양식2" hidden="1">#REF!</definedName>
    <definedName name="사업소">#REF!</definedName>
    <definedName name="사업소구입">#REF!</definedName>
    <definedName name="사업소분">#REF!</definedName>
    <definedName name="사업소분자재">#REF!</definedName>
    <definedName name="사업소재료비">#REF!</definedName>
    <definedName name="사업소재료비계">'[135]적용기준표(98년상반기)'!#REF!</definedName>
    <definedName name="사업소출고분">#REF!</definedName>
    <definedName name="사업소출고재료비">#REF!</definedName>
    <definedName name="사업소취급액">#REF!</definedName>
    <definedName name="사옥건설처">[57]!사옥건설처</definedName>
    <definedName name="사용전검사비2">#REF!</definedName>
    <definedName name="사재">#REF!</definedName>
    <definedName name="사재_1">#REF!</definedName>
    <definedName name="사재_3" localSheetId="13">[79]설계명세서!$G$72</definedName>
    <definedName name="사재_3">[82]설계명세서!$G$72</definedName>
    <definedName name="사재1">#REF!</definedName>
    <definedName name="사재2">#REF!</definedName>
    <definedName name="사재3">#REF!</definedName>
    <definedName name="사정가격">#REF!</definedName>
    <definedName name="사진대">[56]설계서SC!#REF!</definedName>
    <definedName name="사차직접노무비">'[158]4차원가계산서'!$H$3</definedName>
    <definedName name="산1">#REF!</definedName>
    <definedName name="산벗">[50]단가!$A$114</definedName>
    <definedName name="산소">[50]단가!$A$58</definedName>
    <definedName name="산안">#REF!</definedName>
    <definedName name="산재">#REF!</definedName>
    <definedName name="산재1">#REF!</definedName>
    <definedName name="산재2">#REF!</definedName>
    <definedName name="산재보험" localSheetId="13">'[73]7.설계명세서(통합보안)'!$G$224</definedName>
    <definedName name="산재보험">[16]설계명세서!$G$136</definedName>
    <definedName name="산재보험료">#REF!</definedName>
    <definedName name="산재보험료.">[97]설계!#REF!</definedName>
    <definedName name="산재보험료2">#REF!</definedName>
    <definedName name="산재보험료4">#REF!</definedName>
    <definedName name="산재보험료G43">#REF!</definedName>
    <definedName name="산재보험변경" localSheetId="13">[82]경비변경!$J$16</definedName>
    <definedName name="산재보험변경">[83]경비변경!$J$16</definedName>
    <definedName name="산정2">#REF!</definedName>
    <definedName name="산정표">#REF!</definedName>
    <definedName name="산철쭉">[50]단가!$A$142</definedName>
    <definedName name="산출">#REF!</definedName>
    <definedName name="산출경비">#REF!</definedName>
    <definedName name="산출근거"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산출근거"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산출근거"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산출내역">#REF!</definedName>
    <definedName name="산출내역서">#REF!</definedName>
    <definedName name="산출시트"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산출시트"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산출시트"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삼1" localSheetId="13">'[151]257A1'!$E$50</definedName>
    <definedName name="삼1">#REF!</definedName>
    <definedName name="삼10" localSheetId="13">'[151]257A1'!$AF$50</definedName>
    <definedName name="삼10">#REF!</definedName>
    <definedName name="삼11" localSheetId="13">'[151]257A1'!$AI$50</definedName>
    <definedName name="삼11">#REF!</definedName>
    <definedName name="삼12" localSheetId="13">'[151]257A1'!$AL$50</definedName>
    <definedName name="삼12">#REF!</definedName>
    <definedName name="삼13" localSheetId="13">'[151]257A1'!$AO$50</definedName>
    <definedName name="삼13">#REF!</definedName>
    <definedName name="삼14" localSheetId="13">'[151]257A1'!$P$46</definedName>
    <definedName name="삼14">#REF!</definedName>
    <definedName name="삼15" localSheetId="13">'[151]257A1'!$S$52</definedName>
    <definedName name="삼15">#REF!</definedName>
    <definedName name="삼2" localSheetId="13">'[151]257A1'!$H$50</definedName>
    <definedName name="삼2">#REF!</definedName>
    <definedName name="삼3" localSheetId="13">'[151]257A1'!$K$50</definedName>
    <definedName name="삼3">#REF!</definedName>
    <definedName name="삼4" localSheetId="13">'[151]257A1'!$N$50</definedName>
    <definedName name="삼4">#REF!</definedName>
    <definedName name="삼5" localSheetId="13">'[151]257A1'!$Q$50</definedName>
    <definedName name="삼5">#REF!</definedName>
    <definedName name="삼6" localSheetId="13">'[151]257A1'!$T$50</definedName>
    <definedName name="삼6">#REF!</definedName>
    <definedName name="삼7" localSheetId="13">'[151]257A1'!$W$50</definedName>
    <definedName name="삼7">#REF!</definedName>
    <definedName name="삼8" localSheetId="13">'[151]257A1'!$Z$50</definedName>
    <definedName name="삼8">#REF!</definedName>
    <definedName name="삼9" localSheetId="13">'[151]257A1'!$AC$50</definedName>
    <definedName name="삼9">#REF!</definedName>
    <definedName name="삼a" localSheetId="13">'[151]257A1'!$AB$46</definedName>
    <definedName name="삼a">#REF!</definedName>
    <definedName name="삼b" localSheetId="13">'[151]257A1'!$AB$53</definedName>
    <definedName name="삼b">#REF!</definedName>
    <definedName name="삼c" localSheetId="13">'[151]257A1'!$AC$56</definedName>
    <definedName name="삼c">#REF!</definedName>
    <definedName name="삼d" localSheetId="13">'[151]257A1'!$AF$45</definedName>
    <definedName name="삼d">#REF!</definedName>
    <definedName name="삼e" localSheetId="13">'[151]257A1'!$AI$44</definedName>
    <definedName name="삼e">#REF!</definedName>
    <definedName name="삼f" localSheetId="13">'[151]257A1'!$AI$46</definedName>
    <definedName name="삼f">#REF!</definedName>
    <definedName name="삼g" localSheetId="13">'[151]257A1'!$AK$52</definedName>
    <definedName name="삼g">#REF!</definedName>
    <definedName name="삼각">[159]단가!$A$24</definedName>
    <definedName name="삼각노">[116]일위대가!#REF!</definedName>
    <definedName name="삼각재">[116]일위대가!#REF!</definedName>
    <definedName name="삼노">#REF!</definedName>
    <definedName name="삼발">[159]단가!$A$22</definedName>
    <definedName name="삼발이대노">[116]일위대가!#REF!</definedName>
    <definedName name="삼발이대재">[116]일위대가!#REF!</definedName>
    <definedName name="삼발이소노">[116]일위대가!#REF!</definedName>
    <definedName name="삼발이소재">[116]일위대가!#REF!</definedName>
    <definedName name="삼성">#REF!</definedName>
    <definedName name="삼성제출내역" localSheetId="29">[39]!BlankMacro1</definedName>
    <definedName name="삼성제출내역" localSheetId="19">[39]!BlankMacro1</definedName>
    <definedName name="삼성제출내역">[39]!BlankMacro1</definedName>
    <definedName name="삼재">#REF!</definedName>
    <definedName name="삼호" localSheetId="13" hidden="1">{#N/A,#N/A,FALSE,"배수2"}</definedName>
    <definedName name="삼호" hidden="1">{#N/A,#N/A,FALSE,"배수2"}</definedName>
    <definedName name="상급원자력기술자">#REF!</definedName>
    <definedName name="상반기노임단가">#REF!</definedName>
    <definedName name="상위국명">#REF!</definedName>
    <definedName name="상위국주소">#REF!</definedName>
    <definedName name="상주" localSheetId="13" hidden="1">{#N/A,#N/A,FALSE,"지침";#N/A,#N/A,FALSE,"환경분석";#N/A,#N/A,FALSE,"Sheet16"}</definedName>
    <definedName name="상주" hidden="1">{#N/A,#N/A,FALSE,"지침";#N/A,#N/A,FALSE,"환경분석";#N/A,#N/A,FALSE,"Sheet16"}</definedName>
    <definedName name="상주감리" localSheetId="13" hidden="1">{#N/A,#N/A,FALSE,"지침";#N/A,#N/A,FALSE,"환경분석";#N/A,#N/A,FALSE,"Sheet16"}</definedName>
    <definedName name="상주감리" hidden="1">{#N/A,#N/A,FALSE,"지침";#N/A,#N/A,FALSE,"환경분석";#N/A,#N/A,FALSE,"Sheet16"}</definedName>
    <definedName name="상호">#REF!</definedName>
    <definedName name="새공통" localSheetId="13" hidden="1">{#N/A,#N/A,FALSE,"이태원철근"}</definedName>
    <definedName name="새공통" hidden="1">{#N/A,#N/A,FALSE,"이태원철근"}</definedName>
    <definedName name="새노임단가" localSheetId="13">'[160]노임단가(2000하반기)'!$A$12:$F$72</definedName>
    <definedName name="새노임단가">'[56]노임단가(2000하반기)'!$A$12:$F$72</definedName>
    <definedName name="새들">#REF!</definedName>
    <definedName name="새들1">#REF!</definedName>
    <definedName name="새들2">#REF!</definedName>
    <definedName name="새들A">#REF!</definedName>
    <definedName name="새로운">#REF!</definedName>
    <definedName name="새로움" localSheetId="1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새로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색인">#REF!</definedName>
    <definedName name="생B10">[77]단가결정!$B$472</definedName>
    <definedName name="생B12">[77]단가결정!$B$471</definedName>
    <definedName name="생B20">[77]단가결정!$B$469</definedName>
    <definedName name="생B6">[77]단가결정!$B$475</definedName>
    <definedName name="생B8">[77]단가결정!$B$473</definedName>
    <definedName name="생H1.5">[77]단가결정!$B$450</definedName>
    <definedName name="생H2.0">[77]단가결정!$B$448</definedName>
    <definedName name="생H2.5">[77]단가결정!$B$447</definedName>
    <definedName name="생H3.0">[77]단가결정!$B$446</definedName>
    <definedName name="생H3.5">[77]단가결정!$B$445</definedName>
    <definedName name="생R10">[77]단가결정!$B$459</definedName>
    <definedName name="생R12">[77]단가결정!$B$458</definedName>
    <definedName name="생R15">[77]단가결정!$B$457</definedName>
    <definedName name="생R4">[77]단가결정!$B$464</definedName>
    <definedName name="생R5">[77]단가결정!$B$463</definedName>
    <definedName name="생R6">[77]단가결정!$B$462</definedName>
    <definedName name="생R8">[77]단가결정!$B$460</definedName>
    <definedName name="생관0.4">[77]단가결정!$B$490</definedName>
    <definedName name="생관0.5">[77]단가결정!$B$489</definedName>
    <definedName name="생관0.6">[77]단가결정!$B$488</definedName>
    <definedName name="생관1.0">[77]단가결정!$B$486</definedName>
    <definedName name="생관1.2">[77]단가결정!$B$485</definedName>
    <definedName name="생관1.5">[77]단가결정!$B$483</definedName>
    <definedName name="생관2.0">[77]단가결정!$B$481</definedName>
    <definedName name="생지">[77]단가결정!$B$493</definedName>
    <definedName name="샤시공">#REF!</definedName>
    <definedName name="샷__시__공">#REF!</definedName>
    <definedName name="샷시공">#REF!</definedName>
    <definedName name="서4" localSheetId="22" hidden="1">{#N/A,#N/A,FALSE,"회선임차현황"}</definedName>
    <definedName name="서4" localSheetId="34" hidden="1">{#N/A,#N/A,FALSE,"회선임차현황"}</definedName>
    <definedName name="서4" localSheetId="35" hidden="1">{#N/A,#N/A,FALSE,"회선임차현황"}</definedName>
    <definedName name="서4" localSheetId="36" hidden="1">{#N/A,#N/A,FALSE,"회선임차현황"}</definedName>
    <definedName name="서4" localSheetId="37" hidden="1">{#N/A,#N/A,FALSE,"회선임차현황"}</definedName>
    <definedName name="서4" localSheetId="13" hidden="1">{#N/A,#N/A,FALSE,"회선임차현황"}</definedName>
    <definedName name="서4" localSheetId="15" hidden="1">{#N/A,#N/A,FALSE,"회선임차현황"}</definedName>
    <definedName name="서4" hidden="1">{#N/A,#N/A,FALSE,"회선임차현황"}</definedName>
    <definedName name="서대구TL기별" localSheetId="13">'8-2.설비자재산출(무인보안)'!서대구TL기별</definedName>
    <definedName name="서대구TL기별" localSheetId="15">'8-4.일위대가표'!서대구TL기별</definedName>
    <definedName name="서대구TL기별">'8-2.설비자재산출(무인보안)'!서대구TL기별</definedName>
    <definedName name="서부산소요자재">#REF!</definedName>
    <definedName name="서식" localSheetId="22" hidden="1">{#N/A,#N/A,FALSE,"회선임차현황"}</definedName>
    <definedName name="서식" localSheetId="34" hidden="1">{#N/A,#N/A,FALSE,"회선임차현황"}</definedName>
    <definedName name="서식" localSheetId="35" hidden="1">{#N/A,#N/A,FALSE,"회선임차현황"}</definedName>
    <definedName name="서식" localSheetId="36" hidden="1">{#N/A,#N/A,FALSE,"회선임차현황"}</definedName>
    <definedName name="서식" localSheetId="37" hidden="1">{#N/A,#N/A,FALSE,"회선임차현황"}</definedName>
    <definedName name="서식" localSheetId="13" hidden="1">{#N/A,#N/A,FALSE,"회선임차현황"}</definedName>
    <definedName name="서식" localSheetId="15" hidden="1">{#N/A,#N/A,FALSE,"회선임차현황"}</definedName>
    <definedName name="서식" hidden="1">{#N/A,#N/A,FALSE,"회선임차현황"}</definedName>
    <definedName name="서식3" localSheetId="22" hidden="1">{#N/A,#N/A,FALSE,"회선임차현황"}</definedName>
    <definedName name="서식3" localSheetId="34" hidden="1">{#N/A,#N/A,FALSE,"회선임차현황"}</definedName>
    <definedName name="서식3" localSheetId="35" hidden="1">{#N/A,#N/A,FALSE,"회선임차현황"}</definedName>
    <definedName name="서식3" localSheetId="36" hidden="1">{#N/A,#N/A,FALSE,"회선임차현황"}</definedName>
    <definedName name="서식3" localSheetId="37" hidden="1">{#N/A,#N/A,FALSE,"회선임차현황"}</definedName>
    <definedName name="서식3" localSheetId="13" hidden="1">{#N/A,#N/A,FALSE,"회선임차현황"}</definedName>
    <definedName name="서식3" localSheetId="15" hidden="1">{#N/A,#N/A,FALSE,"회선임차현황"}</definedName>
    <definedName name="서식3" hidden="1">{#N/A,#N/A,FALSE,"회선임차현황"}</definedName>
    <definedName name="서식4" localSheetId="22" hidden="1">{#N/A,#N/A,FALSE,"회선임차현황"}</definedName>
    <definedName name="서식4" localSheetId="34" hidden="1">{#N/A,#N/A,FALSE,"회선임차현황"}</definedName>
    <definedName name="서식4" localSheetId="35" hidden="1">{#N/A,#N/A,FALSE,"회선임차현황"}</definedName>
    <definedName name="서식4" localSheetId="36" hidden="1">{#N/A,#N/A,FALSE,"회선임차현황"}</definedName>
    <definedName name="서식4" localSheetId="37" hidden="1">{#N/A,#N/A,FALSE,"회선임차현황"}</definedName>
    <definedName name="서식4" localSheetId="13" hidden="1">{#N/A,#N/A,FALSE,"회선임차현황"}</definedName>
    <definedName name="서식4" localSheetId="15" hidden="1">{#N/A,#N/A,FALSE,"회선임차현황"}</definedName>
    <definedName name="서식4" hidden="1">{#N/A,#N/A,FALSE,"회선임차현황"}</definedName>
    <definedName name="서울">#REF!</definedName>
    <definedName name="석" localSheetId="13" hidden="1">{#N/A,#N/A,FALSE,"지침";#N/A,#N/A,FALSE,"환경분석";#N/A,#N/A,FALSE,"Sheet16"}</definedName>
    <definedName name="석" hidden="1">{#N/A,#N/A,FALSE,"지침";#N/A,#N/A,FALSE,"환경분석";#N/A,#N/A,FALSE,"Sheet16"}</definedName>
    <definedName name="석______공">#REF!</definedName>
    <definedName name="석공">#REF!</definedName>
    <definedName name="석재타일">[50]단가!$A$62</definedName>
    <definedName name="석재타일경">#REF!</definedName>
    <definedName name="석재타일노">#REF!</definedName>
    <definedName name="석재타일재">#REF!</definedName>
    <definedName name="석조각종">#REF!</definedName>
    <definedName name="석항" localSheetId="13" hidden="1">{#N/A,#N/A,FALSE,"명세표"}</definedName>
    <definedName name="석항" hidden="1">{#N/A,#N/A,FALSE,"명세표"}</definedName>
    <definedName name="선________부">#REF!</definedName>
    <definedName name="선__반__공">#REF!</definedName>
    <definedName name="선로명">#REF!</definedName>
    <definedName name="선로분계">'[56]5. 설계명세서'!#REF!</definedName>
    <definedName name="선ㅂㅈ">#N/A</definedName>
    <definedName name="선반공">#REF!</definedName>
    <definedName name="선번장" localSheetId="13">'8-2.설비자재산출(무인보안)'!선번장</definedName>
    <definedName name="선번장" localSheetId="15">'8-4.일위대가표'!선번장</definedName>
    <definedName name="선번장">'8-2.설비자재산출(무인보안)'!선번장</definedName>
    <definedName name="선부">#REF!</definedName>
    <definedName name="선양" localSheetId="29" hidden="1">#REF!</definedName>
    <definedName name="선양" localSheetId="13" hidden="1">#REF!</definedName>
    <definedName name="선양" localSheetId="19" hidden="1">#REF!</definedName>
    <definedName name="선양" hidden="1">#REF!</definedName>
    <definedName name="선정팬111" localSheetId="13" hidden="1">{#N/A,#N/A,TRUE,"부하계산서표지";#N/A,#N/A,TRUE,"1. 부하계산";#N/A,#N/A,TRUE,"1-1.부하계산기준";#N/A,#N/A,TRUE,"1-2.부하계산";#N/A,#N/A,TRUE,"1-3부하집계"}</definedName>
    <definedName name="선정팬111" hidden="1">{#N/A,#N/A,TRUE,"부하계산서표지";#N/A,#N/A,TRUE,"1. 부하계산";#N/A,#N/A,TRUE,"1-1.부하계산기준";#N/A,#N/A,TRUE,"1-2.부하계산";#N/A,#N/A,TRUE,"1-3부하집계"}</definedName>
    <definedName name="설" localSheetId="4" hidden="1">{#N/A,#N/A,FALSE,"회선임차현황"}</definedName>
    <definedName name="설" localSheetId="13" hidden="1">{#N/A,#N/A,FALSE,"회선임차현황"}</definedName>
    <definedName name="설" localSheetId="15" hidden="1">{#N/A,#N/A,FALSE,"회선임차현황"}</definedName>
    <definedName name="설" hidden="1">{#N/A,#N/A,FALSE,"회선임차현황"}</definedName>
    <definedName name="설1">#N/A</definedName>
    <definedName name="설간접">#N/A</definedName>
    <definedName name="설개">[7]!설개</definedName>
    <definedName name="설게">#REF!</definedName>
    <definedName name="설게도급경비">#REF!</definedName>
    <definedName name="설게직접노무비">#REF!</definedName>
    <definedName name="설계" localSheetId="2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설계"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설계"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설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설계가">#N/A</definedName>
    <definedName name="설계간접노무비">#REF!</definedName>
    <definedName name="설계경비">#REF!</definedName>
    <definedName name="설계계획서">#REF!</definedName>
    <definedName name="설계계획서12" localSheetId="13" hidden="1">{#N/A,#N/A,FALSE,"회선임차현황"}</definedName>
    <definedName name="설계계획서12" hidden="1">{#N/A,#N/A,FALSE,"회선임차현황"}</definedName>
    <definedName name="설계노무비">#REF!</definedName>
    <definedName name="설계단면력요약.SAP90Work">[7]!설계단면력요약.SAP90Work</definedName>
    <definedName name="설계대예산대비표" localSheetId="29" hidden="1">#REF!</definedName>
    <definedName name="설계대예산대비표" localSheetId="13" hidden="1">#REF!</definedName>
    <definedName name="설계대예산대비표" localSheetId="19" hidden="1">#REF!</definedName>
    <definedName name="설계대예산대비표" hidden="1">#REF!</definedName>
    <definedName name="설계도급경비">#REF!</definedName>
    <definedName name="설계도급분">#REF!</definedName>
    <definedName name="설계명세" localSheetId="2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설계명세"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설계명세"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설계명세"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설계명세서"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설계명세서"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설계명세서"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설계명세서"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설계명세서광단국" localSheetId="29" hidden="1">#REF!</definedName>
    <definedName name="설계명세서광단국" localSheetId="32" hidden="1">#REF!</definedName>
    <definedName name="설계명세서광단국" localSheetId="27" hidden="1">#REF!</definedName>
    <definedName name="설계명세서광단국" localSheetId="30" hidden="1">#REF!</definedName>
    <definedName name="설계명세서광단국" localSheetId="13" hidden="1">#REF!</definedName>
    <definedName name="설계명세서광단국" localSheetId="15" hidden="1">#REF!</definedName>
    <definedName name="설계명세서광단국" localSheetId="19" hidden="1">#REF!</definedName>
    <definedName name="설계명세서광단국" hidden="1">#REF!</definedName>
    <definedName name="설계변경5">#REF!</definedName>
    <definedName name="설계복사">#REF!</definedName>
    <definedName name="설계부표"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설계부표"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설계부표"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설계사급" localSheetId="13" hidden="1">{"'5국공정'!$A$1:$E$128"}</definedName>
    <definedName name="설계사급" localSheetId="15" hidden="1">{"'5국공정'!$A$1:$E$128"}</definedName>
    <definedName name="설계사급" hidden="1">{"'5국공정'!$A$1:$E$128"}</definedName>
    <definedName name="설계사급경비">#REF!</definedName>
    <definedName name="설계사급재료비">#REF!</definedName>
    <definedName name="설계서">#REF!</definedName>
    <definedName name="설계서1">#REF!</definedName>
    <definedName name="설계용역비계" localSheetId="13">[146]설계명세!$H$33</definedName>
    <definedName name="설계용역비계">[148]설계명세!$H$33</definedName>
    <definedName name="설계이윤">#REF!</definedName>
    <definedName name="설계일반관리비">#REF!</definedName>
    <definedName name="설계재료비">#REF!</definedName>
    <definedName name="설계조정율">#REF!</definedName>
    <definedName name="설계지입재료비">#REF!</definedName>
    <definedName name="설계직접노무비">#REF!</definedName>
    <definedName name="설계회사분">#REF!</definedName>
    <definedName name="설명서">#REF!</definedName>
    <definedName name="설명서1"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설명서1"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설명서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설명서2">#REF!</definedName>
    <definedName name="설비" localSheetId="4" hidden="1">{#N/A,#N/A,FALSE,"회선임차현황"}</definedName>
    <definedName name="설비" localSheetId="13" hidden="1">{#N/A,#N/A,FALSE,"회선임차현황"}</definedName>
    <definedName name="설비" localSheetId="15" hidden="1">{#N/A,#N/A,FALSE,"회선임차현황"}</definedName>
    <definedName name="설비" hidden="1">{#N/A,#N/A,FALSE,"회선임차현황"}</definedName>
    <definedName name="설비공" localSheetId="29">#REF!</definedName>
    <definedName name="설비공" localSheetId="32">#REF!</definedName>
    <definedName name="설비공" localSheetId="27">#REF!</definedName>
    <definedName name="설비공" localSheetId="30">#REF!</definedName>
    <definedName name="설비공" localSheetId="19">#REF!</definedName>
    <definedName name="설비공">#REF!</definedName>
    <definedName name="설비취득">#REF!</definedName>
    <definedName name="설비현항" localSheetId="13">'8-2.설비자재산출(무인보안)'!설비현항</definedName>
    <definedName name="설비현항" localSheetId="15">'8-4.일위대가표'!설비현항</definedName>
    <definedName name="설비현항">'8-2.설비자재산출(무인보안)'!설비현항</definedName>
    <definedName name="설비현황" localSheetId="13">'8-2.설비자재산출(무인보안)'!설비현황</definedName>
    <definedName name="설비현황" localSheetId="15">'8-4.일위대가표'!설비현황</definedName>
    <definedName name="설비현황">'8-2.설비자재산출(무인보안)'!설비현황</definedName>
    <definedName name="설집">#REF!</definedName>
    <definedName name="설ㅊ치17">#REF!</definedName>
    <definedName name="설치">#REF!</definedName>
    <definedName name="설치1">#REF!</definedName>
    <definedName name="설치12">#REF!</definedName>
    <definedName name="설치12c">#REF!</definedName>
    <definedName name="설치12ㅊ">#REF!</definedName>
    <definedName name="설치17c">#REF!</definedName>
    <definedName name="설치2">#REF!</definedName>
    <definedName name="설치3">#REF!</definedName>
    <definedName name="설치4">#REF!</definedName>
    <definedName name="설치5">#REF!</definedName>
    <definedName name="설치6">#REF!</definedName>
    <definedName name="설치7">#REF!</definedName>
    <definedName name="설치간재">#REF!</definedName>
    <definedName name="설치경비">#REF!</definedName>
    <definedName name="설치노무비">#REF!</definedName>
    <definedName name="설치시공">'[45]설계명세서(종합)'!#REF!</definedName>
    <definedName name="설치이윤">#REF!</definedName>
    <definedName name="설치재료비">#REF!</definedName>
    <definedName name="설치직노">#REF!</definedName>
    <definedName name="설치직재">#REF!</definedName>
    <definedName name="설치직접노무비">#REF!</definedName>
    <definedName name="설치직접노무비전">#REF!</definedName>
    <definedName name="설치품셈광">#REF!</definedName>
    <definedName name="설치효대GIS산출시트"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설치효대GIS산출시트"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설치효대GIS산출시트"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섬잣">[50]단가!$A$95</definedName>
    <definedName name="섬진강배치도" localSheetId="22" hidden="1">{#N/A,#N/A,FALSE,"회선임차현황"}</definedName>
    <definedName name="섬진강배치도" localSheetId="13" hidden="1">{#N/A,#N/A,FALSE,"회선임차현황"}</definedName>
    <definedName name="섬진강배치도" localSheetId="15" hidden="1">{#N/A,#N/A,FALSE,"회선임차현황"}</definedName>
    <definedName name="섬진강배치도" hidden="1">{#N/A,#N/A,FALSE,"회선임차현황"}</definedName>
    <definedName name="성">#REF!</definedName>
    <definedName name="성남">#REF!</definedName>
    <definedName name="성단">#REF!</definedName>
    <definedName name="세">[84]설계!$G$193</definedName>
    <definedName name="세금">#REF!</definedName>
    <definedName name="세금1">#REF!</definedName>
    <definedName name="세금2">#REF!</definedName>
    <definedName name="세금공과">#REF!</definedName>
    <definedName name="세금공과금" localSheetId="13">[153]설계서!$G$56</definedName>
    <definedName name="세금공과금">#REF!</definedName>
    <definedName name="세금공과금." localSheetId="13">[155]설계서!$G$56</definedName>
    <definedName name="세금공과금.">[156]설계서!$G$56</definedName>
    <definedName name="세금과">#REF!</definedName>
    <definedName name="세금과공">[16]설계명세서!$G$139</definedName>
    <definedName name="세금과공과">#REF!</definedName>
    <definedName name="세금과공과금">#REF!</definedName>
    <definedName name="세금과공과금.">[97]설계!#REF!</definedName>
    <definedName name="세금과공과변경" localSheetId="13">[82]경비변경!$J$15</definedName>
    <definedName name="세금과공과변경">[83]경비변경!$J$15</definedName>
    <definedName name="세로" localSheetId="13" hidden="1">{#N/A,#N/A,FALSE,"전력간선"}</definedName>
    <definedName name="세로" hidden="1">{#N/A,#N/A,FALSE,"전력간선"}</definedName>
    <definedName name="세륜" localSheetId="29" hidden="1">#REF!</definedName>
    <definedName name="세륜" localSheetId="13" hidden="1">#REF!</definedName>
    <definedName name="세륜" localSheetId="19" hidden="1">#REF!</definedName>
    <definedName name="세륜" hidden="1">#REF!</definedName>
    <definedName name="세륜2" localSheetId="29" hidden="1">#REF!</definedName>
    <definedName name="세륜2" localSheetId="13" hidden="1">#REF!</definedName>
    <definedName name="세륜2" localSheetId="19" hidden="1">#REF!</definedName>
    <definedName name="세륜2" hidden="1">#REF!</definedName>
    <definedName name="세부" localSheetId="29">#REF!</definedName>
    <definedName name="세부" localSheetId="32">#REF!</definedName>
    <definedName name="세부" localSheetId="27">#REF!</definedName>
    <definedName name="세부" localSheetId="30">#REF!</definedName>
    <definedName name="세부" localSheetId="19">#REF!</definedName>
    <definedName name="세부">#REF!</definedName>
    <definedName name="세액">#REF!</definedName>
    <definedName name="셀별사용량" localSheetId="13">'8-2.설비자재산출(무인보안)'!셀별사용량</definedName>
    <definedName name="셀별사용량" localSheetId="15">'8-4.일위대가표'!셀별사용량</definedName>
    <definedName name="셀별사용량">'8-2.설비자재산출(무인보안)'!셀별사용량</definedName>
    <definedName name="셔터공">#REF!</definedName>
    <definedName name="셧__터__공">#REF!</definedName>
    <definedName name="셧터공">#REF!</definedName>
    <definedName name="소" localSheetId="13">[84]설계!$G$191</definedName>
    <definedName name="소">[161]산출명세서!$I$4</definedName>
    <definedName name="소_계">#REF!</definedName>
    <definedName name="소1_1">#REF!</definedName>
    <definedName name="소1_2">#REF!</definedName>
    <definedName name="소1_3">#REF!</definedName>
    <definedName name="소1_4">#REF!</definedName>
    <definedName name="소2_1">#REF!</definedName>
    <definedName name="소2_2">#REF!</definedName>
    <definedName name="소2_3">#REF!</definedName>
    <definedName name="소2_4">#REF!</definedName>
    <definedName name="소3_1">#REF!</definedName>
    <definedName name="소3_2">#REF!</definedName>
    <definedName name="소3_3">#REF!</definedName>
    <definedName name="소3_4">#REF!</definedName>
    <definedName name="소4_1">#REF!</definedName>
    <definedName name="소4_2">#REF!</definedName>
    <definedName name="소5_1">#REF!</definedName>
    <definedName name="소5_2">#REF!</definedName>
    <definedName name="소5_3">#REF!</definedName>
    <definedName name="소5_4">#REF!</definedName>
    <definedName name="소6_1">#REF!</definedName>
    <definedName name="소6_10">#REF!</definedName>
    <definedName name="소6_2">#REF!</definedName>
    <definedName name="소6_3">#REF!</definedName>
    <definedName name="소6_4">#REF!</definedName>
    <definedName name="소6_5">#REF!</definedName>
    <definedName name="소6_6">#REF!</definedName>
    <definedName name="소6_7">#REF!</definedName>
    <definedName name="소6_8">#REF!</definedName>
    <definedName name="소6_9">#REF!</definedName>
    <definedName name="소7_1">#REF!</definedName>
    <definedName name="소7_2">#REF!</definedName>
    <definedName name="소7_3">#REF!</definedName>
    <definedName name="소7_4">#REF!</definedName>
    <definedName name="소7_5">#REF!</definedName>
    <definedName name="소7_6">#REF!</definedName>
    <definedName name="소8_1">#REF!</definedName>
    <definedName name="소8_2">#REF!</definedName>
    <definedName name="소8_3">#REF!</definedName>
    <definedName name="소B7">#REF!</definedName>
    <definedName name="소계">#REF!</definedName>
    <definedName name="소계1">#REF!</definedName>
    <definedName name="소계2">#REF!</definedName>
    <definedName name="소계3">#REF!</definedName>
    <definedName name="소나무10">[90]단가!$A$98</definedName>
    <definedName name="소나무15">[90]단가!$A$97</definedName>
    <definedName name="소나무20">[90]단가!$A$96</definedName>
    <definedName name="소라"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소라"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소라"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소모">#REF!</definedName>
    <definedName name="소모1">#REF!</definedName>
    <definedName name="소모2">#REF!</definedName>
    <definedName name="소모품">#REF!</definedName>
    <definedName name="소모품1">#REF!</definedName>
    <definedName name="소모품2">#REF!</definedName>
    <definedName name="소모품변경" localSheetId="13">[82]경비변경!$J$13</definedName>
    <definedName name="소모품변경">[83]경비변경!$J$13</definedName>
    <definedName name="소모품비">#REF!</definedName>
    <definedName name="소모품비." localSheetId="13">[96]설계!$G$57</definedName>
    <definedName name="소모품비.">[97]설계!$G$57</definedName>
    <definedName name="소방">#REF!</definedName>
    <definedName name="소보품비">#REF!</definedName>
    <definedName name="소석회">[50]단가!$A$161</definedName>
    <definedName name="소요물자">#REF!</definedName>
    <definedName name="소요물자1">[162]소요물자명세서!$A$1:$AU$43</definedName>
    <definedName name="소요물자2" localSheetId="2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소요물자2"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소요물자2"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소요물자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소요자재명세서" localSheetId="13" hidden="1">{"'Sheet1'!$A$4:$Y$100"}</definedName>
    <definedName name="소요자재명세서" localSheetId="15" hidden="1">{"'Sheet1'!$A$4:$Y$100"}</definedName>
    <definedName name="소요자재명세서" hidden="1">{"'Sheet1'!$A$4:$Y$100"}</definedName>
    <definedName name="소용량충전기" localSheetId="13">[6]소요자재!$H$151</definedName>
    <definedName name="소용량충전기">[23]소요자재!$H$151</definedName>
    <definedName name="소일위대가1">#REF!</definedName>
    <definedName name="소프트">#N/A</definedName>
    <definedName name="소프트시험사" localSheetId="13">[144]노임단가표!$D$32</definedName>
    <definedName name="소프트시험사">[163]노임단가표!$D$32</definedName>
    <definedName name="소화기">[143]노무비단가!$B$74</definedName>
    <definedName name="손료">#REF!</definedName>
    <definedName name="손익계산서" localSheetId="29" hidden="1">#REF!</definedName>
    <definedName name="손익계산서" localSheetId="13" hidden="1">#REF!</definedName>
    <definedName name="손익계산서" localSheetId="19" hidden="1">#REF!</definedName>
    <definedName name="손익계산서" hidden="1">#REF!</definedName>
    <definedName name="손학일" localSheetId="13" hidden="1">{#N/A,#N/A,FALSE,"골재소요량";#N/A,#N/A,FALSE,"골재소요량"}</definedName>
    <definedName name="손학일" hidden="1">{#N/A,#N/A,FALSE,"골재소요량";#N/A,#N/A,FALSE,"골재소요량"}</definedName>
    <definedName name="손혜정">#REF!</definedName>
    <definedName name="손혜정.손혜정">#REF!</definedName>
    <definedName name="손혜종">#N/A</definedName>
    <definedName name="솜품">#REF!</definedName>
    <definedName name="송_전_전_공">#REF!</definedName>
    <definedName name="송단">#REF!</definedName>
    <definedName name="송변전공종단가"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송변전공종단가"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송신광출력">#REF!</definedName>
    <definedName name="송신광출력A">#REF!</definedName>
    <definedName name="송신광출력작성" localSheetId="13">[29]노무산출서!$H$9</definedName>
    <definedName name="송신광출력작성">[30]노무산출서!$H$9</definedName>
    <definedName name="송신광출력측정">[38]노무산출서!#REF!</definedName>
    <definedName name="송전">#REF!</definedName>
    <definedName name="송전기성17회기성내역서">'[164]토목수량(공정)'!#REF!</definedName>
    <definedName name="송전전공">#REF!</definedName>
    <definedName name="송전활선전공">#REF!</definedName>
    <definedName name="쇠흙손경비">#REF!</definedName>
    <definedName name="쇠흙손노무비">#REF!</definedName>
    <definedName name="쇠흙손재료비">#REF!</definedName>
    <definedName name="수">#REF!</definedName>
    <definedName name="수1소B">#REF!</definedName>
    <definedName name="수2" localSheetId="22" hidden="1">{#N/A,#N/A,TRUE,"토적및재료집계";#N/A,#N/A,TRUE,"토적및재료집계";#N/A,#N/A,TRUE,"단위량"}</definedName>
    <definedName name="수2" localSheetId="13" hidden="1">{#N/A,#N/A,TRUE,"토적및재료집계";#N/A,#N/A,TRUE,"토적및재료집계";#N/A,#N/A,TRUE,"단위량"}</definedName>
    <definedName name="수2" localSheetId="15" hidden="1">{#N/A,#N/A,TRUE,"토적및재료집계";#N/A,#N/A,TRUE,"토적및재료집계";#N/A,#N/A,TRUE,"단위량"}</definedName>
    <definedName name="수2" hidden="1">{#N/A,#N/A,TRUE,"토적및재료집계";#N/A,#N/A,TRUE,"토적및재료집계";#N/A,#N/A,TRUE,"단위량"}</definedName>
    <definedName name="수3" localSheetId="22" hidden="1">{#N/A,#N/A,TRUE,"토적및재료집계";#N/A,#N/A,TRUE,"토적및재료집계";#N/A,#N/A,TRUE,"단위량"}</definedName>
    <definedName name="수3" localSheetId="13" hidden="1">{#N/A,#N/A,TRUE,"토적및재료집계";#N/A,#N/A,TRUE,"토적및재료집계";#N/A,#N/A,TRUE,"단위량"}</definedName>
    <definedName name="수3" localSheetId="15" hidden="1">{#N/A,#N/A,TRUE,"토적및재료집계";#N/A,#N/A,TRUE,"토적및재료집계";#N/A,#N/A,TRUE,"단위량"}</definedName>
    <definedName name="수3" hidden="1">{#N/A,#N/A,TRUE,"토적및재료집계";#N/A,#N/A,TRUE,"토적및재료집계";#N/A,#N/A,TRUE,"단위량"}</definedName>
    <definedName name="수간6노">[88]유지관리!#REF!</definedName>
    <definedName name="수간6재">[88]유지관리!#REF!</definedName>
    <definedName name="수간8노">[88]유지관리!#REF!</definedName>
    <definedName name="수간8재">[88]유지관리!#REF!</definedName>
    <definedName name="수금조건___납품후_현금">#REF!</definedName>
    <definedName name="수급">#REF!</definedName>
    <definedName name="수도">#REF!</definedName>
    <definedName name="수도1">#REF!</definedName>
    <definedName name="수도2">#REF!</definedName>
    <definedName name="수도광열">#REF!</definedName>
    <definedName name="수도광열비">#REF!</definedName>
    <definedName name="수동소자류">#REF!</definedName>
    <definedName name="수량"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수량"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수량"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수량"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수량1" localSheetId="29" hidden="1">'[165]12호기내역서(건축분)'!#REF!</definedName>
    <definedName name="수량1" localSheetId="19" hidden="1">'[165]12호기내역서(건축분)'!#REF!</definedName>
    <definedName name="수량1" hidden="1">'[165]12호기내역서(건축분)'!#REF!</definedName>
    <definedName name="수량계산">#REF!</definedName>
    <definedName name="수량산">#REF!</definedName>
    <definedName name="수량산출" localSheetId="2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수량산출"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수량산출"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수량산출"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수량산출서" localSheetId="2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수량산출서"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수량산출서"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수량산출서"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수량산출서태백"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수량산출서태백"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수량산출서태백"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수량산출서태백"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수량산출서표지양식"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수량산출서표지양식"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수량서표지"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수량서표지"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수량재역" localSheetId="29" hidden="1">#REF!</definedName>
    <definedName name="수량재역" localSheetId="13" hidden="1">#REF!</definedName>
    <definedName name="수량재역" localSheetId="19" hidden="1">#REF!</definedName>
    <definedName name="수량재역" hidden="1">#REF!</definedName>
    <definedName name="수량지우기">#REF!</definedName>
    <definedName name="수량집계"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수량집계"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수량집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수량표지"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수량표지"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수목">#REF!</definedName>
    <definedName name="수불" localSheetId="13" hidden="1">{"'5국공정'!$A$1:$E$128"}</definedName>
    <definedName name="수불" localSheetId="15" hidden="1">{"'5국공정'!$A$1:$E$128"}</definedName>
    <definedName name="수불" hidden="1">{"'5국공정'!$A$1:$E$128"}</definedName>
    <definedName name="수소_및_탄산가스창고">#REF!</definedName>
    <definedName name="수수꽃다리">[90]단가!$A$144</definedName>
    <definedName name="수양3">[159]단가!$A$14</definedName>
    <definedName name="수양5노">[88]식재!$H$49</definedName>
    <definedName name="수양5재">[88]식재!$F$49</definedName>
    <definedName name="수양6">[159]단가!$A$12</definedName>
    <definedName name="수원">#REF!</definedName>
    <definedName name="수원철도">#REF!</definedName>
    <definedName name="수입장비">#REF!</definedName>
    <definedName name="수입장비계">#REF!</definedName>
    <definedName name="수작업_반장">#REF!</definedName>
    <definedName name="수정" localSheetId="22" hidden="1">{"'선로집계'!$A$1:$G$68"}</definedName>
    <definedName name="수정" localSheetId="34" hidden="1">{"'선로집계'!$A$1:$G$68"}</definedName>
    <definedName name="수정" localSheetId="35" hidden="1">{"'선로집계'!$A$1:$G$68"}</definedName>
    <definedName name="수정" localSheetId="36" hidden="1">{"'선로집계'!$A$1:$G$68"}</definedName>
    <definedName name="수정" localSheetId="37" hidden="1">{"'선로집계'!$A$1:$G$68"}</definedName>
    <definedName name="수정" localSheetId="13" hidden="1">{"'선로집계'!$A$1:$G$68"}</definedName>
    <definedName name="수정" localSheetId="15" hidden="1">{"'선로집계'!$A$1:$G$68"}</definedName>
    <definedName name="수정" hidden="1">{"'선로집계'!$A$1:$G$68"}</definedName>
    <definedName name="수정1" localSheetId="13">'8-2.설비자재산출(무인보안)'!수정1</definedName>
    <definedName name="수정1" localSheetId="15">'8-4.일위대가표'!수정1</definedName>
    <definedName name="수정1">'8-2.설비자재산출(무인보안)'!수정1</definedName>
    <definedName name="수정10" localSheetId="13">'8-2.설비자재산출(무인보안)'!수정10</definedName>
    <definedName name="수정10" localSheetId="15">'8-4.일위대가표'!수정10</definedName>
    <definedName name="수정10">'8-2.설비자재산출(무인보안)'!수정10</definedName>
    <definedName name="수정11" localSheetId="13">'8-2.설비자재산출(무인보안)'!수정11</definedName>
    <definedName name="수정11" localSheetId="15">'8-4.일위대가표'!수정11</definedName>
    <definedName name="수정11">'8-2.설비자재산출(무인보안)'!수정11</definedName>
    <definedName name="수정12" localSheetId="13">'8-2.설비자재산출(무인보안)'!수정12</definedName>
    <definedName name="수정12" localSheetId="15">'8-4.일위대가표'!수정12</definedName>
    <definedName name="수정12">'8-2.설비자재산출(무인보안)'!수정12</definedName>
    <definedName name="수정13" localSheetId="13">'8-2.설비자재산출(무인보안)'!수정13</definedName>
    <definedName name="수정13" localSheetId="15">'8-4.일위대가표'!수정13</definedName>
    <definedName name="수정13">'8-2.설비자재산출(무인보안)'!수정13</definedName>
    <definedName name="수정14" localSheetId="13">'8-2.설비자재산출(무인보안)'!수정14</definedName>
    <definedName name="수정14" localSheetId="15">'8-4.일위대가표'!수정14</definedName>
    <definedName name="수정14">'8-2.설비자재산출(무인보안)'!수정14</definedName>
    <definedName name="수정15" localSheetId="13">'8-2.설비자재산출(무인보안)'!수정15</definedName>
    <definedName name="수정15" localSheetId="15">'8-4.일위대가표'!수정15</definedName>
    <definedName name="수정15">'8-2.설비자재산출(무인보안)'!수정15</definedName>
    <definedName name="수정16" localSheetId="13">'8-2.설비자재산출(무인보안)'!수정16</definedName>
    <definedName name="수정16" localSheetId="15">'8-4.일위대가표'!수정16</definedName>
    <definedName name="수정16">'8-2.설비자재산출(무인보안)'!수정16</definedName>
    <definedName name="수정17" localSheetId="13">'8-2.설비자재산출(무인보안)'!수정17</definedName>
    <definedName name="수정17" localSheetId="15">'8-4.일위대가표'!수정17</definedName>
    <definedName name="수정17">'8-2.설비자재산출(무인보안)'!수정17</definedName>
    <definedName name="수정18" localSheetId="13">'8-2.설비자재산출(무인보안)'!수정18</definedName>
    <definedName name="수정18" localSheetId="15">'8-4.일위대가표'!수정18</definedName>
    <definedName name="수정18">'8-2.설비자재산출(무인보안)'!수정18</definedName>
    <definedName name="수정19" localSheetId="13">'8-2.설비자재산출(무인보안)'!수정19</definedName>
    <definedName name="수정19" localSheetId="15">'8-4.일위대가표'!수정19</definedName>
    <definedName name="수정19">'8-2.설비자재산출(무인보안)'!수정19</definedName>
    <definedName name="수정2" localSheetId="13">'8-2.설비자재산출(무인보안)'!수정2</definedName>
    <definedName name="수정2" localSheetId="15">'8-4.일위대가표'!수정2</definedName>
    <definedName name="수정2">'8-2.설비자재산출(무인보안)'!수정2</definedName>
    <definedName name="수정20" localSheetId="13">'8-2.설비자재산출(무인보안)'!수정20</definedName>
    <definedName name="수정20" localSheetId="15">'8-4.일위대가표'!수정20</definedName>
    <definedName name="수정20">'8-2.설비자재산출(무인보안)'!수정20</definedName>
    <definedName name="수정21" localSheetId="13">'8-2.설비자재산출(무인보안)'!수정21</definedName>
    <definedName name="수정21" localSheetId="15">'8-4.일위대가표'!수정21</definedName>
    <definedName name="수정21">'8-2.설비자재산출(무인보안)'!수정21</definedName>
    <definedName name="수정22" localSheetId="13">'8-2.설비자재산출(무인보안)'!수정22</definedName>
    <definedName name="수정22" localSheetId="15">'8-4.일위대가표'!수정22</definedName>
    <definedName name="수정22">'8-2.설비자재산출(무인보안)'!수정22</definedName>
    <definedName name="수정23" localSheetId="13">'8-2.설비자재산출(무인보안)'!수정23</definedName>
    <definedName name="수정23" localSheetId="15">'8-4.일위대가표'!수정23</definedName>
    <definedName name="수정23">'8-2.설비자재산출(무인보안)'!수정23</definedName>
    <definedName name="수정24" localSheetId="13">'8-2.설비자재산출(무인보안)'!수정24</definedName>
    <definedName name="수정24" localSheetId="15">'8-4.일위대가표'!수정24</definedName>
    <definedName name="수정24">'8-2.설비자재산출(무인보안)'!수정24</definedName>
    <definedName name="수정25" localSheetId="13">'8-2.설비자재산출(무인보안)'!수정25</definedName>
    <definedName name="수정25" localSheetId="15">'8-4.일위대가표'!수정25</definedName>
    <definedName name="수정25">'8-2.설비자재산출(무인보안)'!수정25</definedName>
    <definedName name="수정26" localSheetId="13">'8-2.설비자재산출(무인보안)'!수정26</definedName>
    <definedName name="수정26" localSheetId="15">'8-4.일위대가표'!수정26</definedName>
    <definedName name="수정26">'8-2.설비자재산출(무인보안)'!수정26</definedName>
    <definedName name="수정27" localSheetId="13">'8-2.설비자재산출(무인보안)'!수정27</definedName>
    <definedName name="수정27" localSheetId="15">'8-4.일위대가표'!수정27</definedName>
    <definedName name="수정27">'8-2.설비자재산출(무인보안)'!수정27</definedName>
    <definedName name="수정28" localSheetId="13">'8-2.설비자재산출(무인보안)'!수정28</definedName>
    <definedName name="수정28" localSheetId="15">'8-4.일위대가표'!수정28</definedName>
    <definedName name="수정28">'8-2.설비자재산출(무인보안)'!수정28</definedName>
    <definedName name="수정3" localSheetId="13">'8-2.설비자재산출(무인보안)'!수정3</definedName>
    <definedName name="수정3" localSheetId="15">'8-4.일위대가표'!수정3</definedName>
    <definedName name="수정3">'8-2.설비자재산출(무인보안)'!수정3</definedName>
    <definedName name="수정4" localSheetId="13">'8-2.설비자재산출(무인보안)'!수정4</definedName>
    <definedName name="수정4" localSheetId="15">'8-4.일위대가표'!수정4</definedName>
    <definedName name="수정4">'8-2.설비자재산출(무인보안)'!수정4</definedName>
    <definedName name="수정5" localSheetId="13">'8-2.설비자재산출(무인보안)'!수정5</definedName>
    <definedName name="수정5" localSheetId="15">'8-4.일위대가표'!수정5</definedName>
    <definedName name="수정5">'8-2.설비자재산출(무인보안)'!수정5</definedName>
    <definedName name="수정6" localSheetId="13">'8-2.설비자재산출(무인보안)'!수정6</definedName>
    <definedName name="수정6" localSheetId="15">'8-4.일위대가표'!수정6</definedName>
    <definedName name="수정6">'8-2.설비자재산출(무인보안)'!수정6</definedName>
    <definedName name="수정7" localSheetId="13">'8-2.설비자재산출(무인보안)'!수정7</definedName>
    <definedName name="수정7" localSheetId="15">'8-4.일위대가표'!수정7</definedName>
    <definedName name="수정7">'8-2.설비자재산출(무인보안)'!수정7</definedName>
    <definedName name="수정8" localSheetId="13">'8-2.설비자재산출(무인보안)'!수정8</definedName>
    <definedName name="수정8" localSheetId="15">'8-4.일위대가표'!수정8</definedName>
    <definedName name="수정8">'8-2.설비자재산출(무인보안)'!수정8</definedName>
    <definedName name="수정9" localSheetId="13">'8-2.설비자재산출(무인보안)'!수정9</definedName>
    <definedName name="수정9" localSheetId="15">'8-4.일위대가표'!수정9</definedName>
    <definedName name="수정9">'8-2.설비자재산출(무인보안)'!수정9</definedName>
    <definedName name="수정요망" localSheetId="13">'8-2.설비자재산출(무인보안)'!수정요망</definedName>
    <definedName name="수정요망" localSheetId="15">'8-4.일위대가표'!수정요망</definedName>
    <definedName name="수정요망">'8-2.설비자재산출(무인보안)'!수정요망</definedName>
    <definedName name="수주율">#REF!</definedName>
    <definedName name="수직규준틀노무비">#REF!</definedName>
    <definedName name="수직규준틀재료비">#REF!</definedName>
    <definedName name="수직기준틀노무비">#REF!</definedName>
    <definedName name="수직기준틀재료비">#REF!</definedName>
    <definedName name="수축12">[19]아파트기별!$AR$52</definedName>
    <definedName name="수축17">[19]아파트기별!$AQ$52</definedName>
    <definedName name="수축줄눈경비">#REF!</definedName>
    <definedName name="수축줄눈노무비">#REF!</definedName>
    <definedName name="수축줄눈재료비">#REF!</definedName>
    <definedName name="수평규준틀노무비">#REF!</definedName>
    <definedName name="수평규준틀재료비">#REF!</definedName>
    <definedName name="숙소"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2"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3"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A1"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A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C"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C"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C1" localSheetId="13" hidden="1">{#N/A,#N/A,FALSE,"별표20 ";#N/A,#N/A,FALSE,"부표";#N/A,#N/A,FALSE,"품셈내역";#N/A,#N/A,FALSE,"품셈집계";#N/A,#N/A,FALSE,"내역서";#N/A,#N/A,FALSE,"집계표";#N/A,#N/A,FALSE,"표지";#N/A,#N/A,FALSE,"별표총괄표"}</definedName>
    <definedName name="숙소C1" hidden="1">{#N/A,#N/A,FALSE,"별표20 ";#N/A,#N/A,FALSE,"부표";#N/A,#N/A,FALSE,"품셈내역";#N/A,#N/A,FALSE,"품셈집계";#N/A,#N/A,FALSE,"내역서";#N/A,#N/A,FALSE,"집계표";#N/A,#N/A,FALSE,"표지";#N/A,#N/A,FALSE,"별표총괄표"}</definedName>
    <definedName name="숙소D"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D"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D2"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F"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숙소F"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순공사비">#REF!</definedName>
    <definedName name="순공사비2">#REF!</definedName>
    <definedName name="순공사비4">#REF!</definedName>
    <definedName name="순공사원가">#REF!</definedName>
    <definedName name="순공사원가2">#REF!</definedName>
    <definedName name="순공사원가4">#REF!</definedName>
    <definedName name="숫소D1"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숫소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숫자노무비">#REF!</definedName>
    <definedName name="쉴드">#REF!</definedName>
    <definedName name="쉴드1">#REF!</definedName>
    <definedName name="쉴드A">#REF!</definedName>
    <definedName name="스가공울산신">#REF!</definedName>
    <definedName name="스가공울산철">#REF!</definedName>
    <definedName name="스지">#REF!</definedName>
    <definedName name="스지중울산신">#REF!</definedName>
    <definedName name="스지중울산철">#REF!</definedName>
    <definedName name="스튜디오소계">#REF!</definedName>
    <definedName name="스트로브잣12노무">#REF!</definedName>
    <definedName name="스트로브잣12재료">#REF!</definedName>
    <definedName name="스트로브잣15노무">#REF!</definedName>
    <definedName name="스트로브잣15재료">#REF!</definedName>
    <definedName name="스트로브잣18노무">#REF!</definedName>
    <definedName name="스트로브잣18재료">#REF!</definedName>
    <definedName name="스트로브잣20노무">#REF!</definedName>
    <definedName name="스트로브잣20재료">#REF!</definedName>
    <definedName name="스트로브잣40노무">#REF!</definedName>
    <definedName name="스트로브잣40재료">#REF!</definedName>
    <definedName name="스트롱앵커시설">#REF!</definedName>
    <definedName name="스파이">[19]아파트기별!$T$52</definedName>
    <definedName name="스파이라슬리브가공">[45]노무산출서!#REF!</definedName>
    <definedName name="스파이랄1">#REF!</definedName>
    <definedName name="스파이랄2">#REF!</definedName>
    <definedName name="스파이랄가공">#REF!</definedName>
    <definedName name="스파이랄슬리브">#REF!</definedName>
    <definedName name="스파이랄슬리브1" localSheetId="13">[29]소요자재!$H$200</definedName>
    <definedName name="스파이랄슬리브1">[30]소요자재!$H$200</definedName>
    <definedName name="스파이랄슬리브2" localSheetId="13">[29]소요자재!$H$199</definedName>
    <definedName name="스파이랄슬리브2">[30]소요자재!$H$199</definedName>
    <definedName name="스파이랄슬리브가공" localSheetId="13">[29]노무산출서!$H$62</definedName>
    <definedName name="스파이랄슬리브가공">[30]노무산출서!$H$62</definedName>
    <definedName name="스파이랄슬리브가공1M">#REF!</definedName>
    <definedName name="스파이랄슬리브난연">#REF!</definedName>
    <definedName name="스파이랄슬리브맨홀4M">#REF!</definedName>
    <definedName name="스파이랄슬리브일반">#REF!</definedName>
    <definedName name="스파이랄슬리브접속20M">#REF!</definedName>
    <definedName name="스파이랄슬리브지중" localSheetId="13">[29]노무산출서!$H$63</definedName>
    <definedName name="스파이랄슬리브지중">[30]노무산출서!$H$63</definedName>
    <definedName name="스파이랄지중">#REF!</definedName>
    <definedName name="스파이랄철거">#REF!</definedName>
    <definedName name="스파이랄취부1">#REF!</definedName>
    <definedName name="스파이랄취부2">#REF!</definedName>
    <definedName name="스파이럴슬리브">#REF!</definedName>
    <definedName name="스파이럴슬리브가공">#REF!</definedName>
    <definedName name="스파이럴슬리브난연">#REF!</definedName>
    <definedName name="스파이럴슬리브지중">#REF!</definedName>
    <definedName name="스파취부1">#REF!</definedName>
    <definedName name="스파취부2">#REF!</definedName>
    <definedName name="스팬각형">#REF!</definedName>
    <definedName name="스팬수평">#REF!</definedName>
    <definedName name="스팸수평">#REF!</definedName>
    <definedName name="스피커신설">#REF!</definedName>
    <definedName name="스피커이설">#REF!</definedName>
    <definedName name="스피터철거">#REF!</definedName>
    <definedName name="슬레이트공">#REF!</definedName>
    <definedName name="슬리브">#REF!</definedName>
    <definedName name="슬리브1">#REF!</definedName>
    <definedName name="슬리브2">#REF!</definedName>
    <definedName name="슬리브A">#REF!</definedName>
    <definedName name="슬리브B">#REF!</definedName>
    <definedName name="슬리브설치">#REF!</definedName>
    <definedName name="슬리브시설1">#REF!</definedName>
    <definedName name="슬리브시설2">#REF!</definedName>
    <definedName name="슬리브시설A">#REF!</definedName>
    <definedName name="슬리브시설B">#REF!</definedName>
    <definedName name="승" localSheetId="13" hidden="1">{#N/A,#N/A,FALSE,"지침";#N/A,#N/A,FALSE,"환경분석";#N/A,#N/A,FALSE,"Sheet16"}</definedName>
    <definedName name="승" hidden="1">{#N/A,#N/A,FALSE,"지침";#N/A,#N/A,FALSE,"환경분석";#N/A,#N/A,FALSE,"Sheet16"}</definedName>
    <definedName name="승용교" localSheetId="13" hidden="1">{#N/A,#N/A,FALSE,"2~8번"}</definedName>
    <definedName name="승용교" hidden="1">{#N/A,#N/A,FALSE,"2~8번"}</definedName>
    <definedName name="시공__측량사">#REF!</definedName>
    <definedName name="시공과">#REF!</definedName>
    <definedName name="시공측량사">#REF!</definedName>
    <definedName name="시공측량사조수">#REF!</definedName>
    <definedName name="시멘트1">[50]단가!$A$48</definedName>
    <definedName name="시발">#REF!</definedName>
    <definedName name="시방서" localSheetId="29" hidden="1">[166]내역서!#REF!</definedName>
    <definedName name="시방서" localSheetId="32" hidden="1">[166]내역서!#REF!</definedName>
    <definedName name="시방서" localSheetId="27" hidden="1">[166]내역서!#REF!</definedName>
    <definedName name="시방서" localSheetId="30" hidden="1">[166]내역서!#REF!</definedName>
    <definedName name="시방서" localSheetId="19" hidden="1">[166]내역서!#REF!</definedName>
    <definedName name="시방서" hidden="1">[166]내역서!#REF!</definedName>
    <definedName name="시방서2" localSheetId="29" hidden="1">#REF!</definedName>
    <definedName name="시방서2" localSheetId="13" hidden="1">#REF!</definedName>
    <definedName name="시방서2" localSheetId="19" hidden="1">#REF!</definedName>
    <definedName name="시방서2" hidden="1">#REF!</definedName>
    <definedName name="시비1노">[88]유지관리!$H$100</definedName>
    <definedName name="시비1재">[88]유지관리!$F$100</definedName>
    <definedName name="시비경">[111]계수시트!$B$92</definedName>
    <definedName name="시비관노">[88]유지관리!$H$105</definedName>
    <definedName name="시비관재">[88]유지관리!$F$105</definedName>
    <definedName name="시비노">[111]계수시트!$B$90</definedName>
    <definedName name="시비수량">#REF!</definedName>
    <definedName name="시비재">[111]계수시트!$B$91</definedName>
    <definedName name="시설">#REF!</definedName>
    <definedName name="시설광케이블">#REF!</definedName>
    <definedName name="시외할인">#REF!</definedName>
    <definedName name="시이방서" localSheetId="13">'8-2.설비자재산출(무인보안)'!시이방서</definedName>
    <definedName name="시이방서" localSheetId="15">'8-4.일위대가표'!시이방서</definedName>
    <definedName name="시이방서">'8-2.설비자재산출(무인보안)'!시이방서</definedName>
    <definedName name="시작일">#REF!</definedName>
    <definedName name="시점">#REF!</definedName>
    <definedName name="시점명">#REF!</definedName>
    <definedName name="시중노임">#REF!</definedName>
    <definedName name="시중노임단가">#REF!</definedName>
    <definedName name="시중단가" localSheetId="4">{"'단계별시설공사비'!$A$3:$K$51"}</definedName>
    <definedName name="시중단가" localSheetId="13">{"'단계별시설공사비'!$A$3:$K$51"}</definedName>
    <definedName name="시중단가" localSheetId="15">{"'단계별시설공사비'!$A$3:$K$51"}</definedName>
    <definedName name="시중단가">{"'단계별시설공사비'!$A$3:$K$51"}</definedName>
    <definedName name="시행" localSheetId="13" hidden="1">{#N/A,#N/A,FALSE,"이태원철근"}</definedName>
    <definedName name="시행" hidden="1">{#N/A,#N/A,FALSE,"이태원철근"}</definedName>
    <definedName name="시행년월">#REF!</definedName>
    <definedName name="시행처">#REF!</definedName>
    <definedName name="시험" localSheetId="13" hidden="1">{"'선로집계'!$A$1:$G$68"}</definedName>
    <definedName name="시험" localSheetId="15" hidden="1">{"'선로집계'!$A$1:$G$68"}</definedName>
    <definedName name="시험" hidden="1">{"'선로집계'!$A$1:$G$68"}</definedName>
    <definedName name="시험보조수">#REF!</definedName>
    <definedName name="시험사1급">#REF!</definedName>
    <definedName name="시험사2급">#REF!</definedName>
    <definedName name="시험사3급">#REF!</definedName>
    <definedName name="시험사4급">#REF!</definedName>
    <definedName name="시험성적서">#REF!</definedName>
    <definedName name="시험성적서A">#REF!</definedName>
    <definedName name="시험성적서작성" localSheetId="13">[29]노무산출서!$H$7</definedName>
    <definedName name="시험성적서작성">[38]노무산출서!#REF!</definedName>
    <definedName name="시험작성서작서">[45]노무산출서!#REF!</definedName>
    <definedName name="시헙사2급">#REF!</definedName>
    <definedName name="식재">#REF!</definedName>
    <definedName name="신" localSheetId="13">'8-2.설비자재산출(무인보안)'!신</definedName>
    <definedName name="신" localSheetId="15">'8-4.일위대가표'!신</definedName>
    <definedName name="신">'8-2.설비자재산출(무인보안)'!신</definedName>
    <definedName name="신거리">#REF!</definedName>
    <definedName name="신공항1역기능실2" localSheetId="13"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신공항1역기능실2"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신과" localSheetId="13" hidden="1">{#N/A,#N/A,TRUE,"공조기";#N/A,#N/A,TRUE,"FCU";#N/A,#N/A,TRUE,"1-20";#N/A,#N/A,TRUE,"21-40";#N/A,#N/A,TRUE,"41-60";#N/A,#N/A,TRUE,"61-80";#N/A,#N/A,TRUE,"화장실부하집계";#N/A,#N/A,TRUE,"화장실"}</definedName>
    <definedName name="신과" hidden="1">{#N/A,#N/A,TRUE,"공조기";#N/A,#N/A,TRUE,"FCU";#N/A,#N/A,TRUE,"1-20";#N/A,#N/A,TRUE,"21-40";#N/A,#N/A,TRUE,"41-60";#N/A,#N/A,TRUE,"61-80";#N/A,#N/A,TRUE,"화장실부하집계";#N/A,#N/A,TRUE,"화장실"}</definedName>
    <definedName name="신광주신남원" localSheetId="22" hidden="1">{"'선로집계'!$A$1:$G$68"}</definedName>
    <definedName name="신광주신남원" localSheetId="13" hidden="1">{"'선로집계'!$A$1:$G$68"}</definedName>
    <definedName name="신광주신남원" localSheetId="15" hidden="1">{"'선로집계'!$A$1:$G$68"}</definedName>
    <definedName name="신광주신남원" hidden="1">{"'선로집계'!$A$1:$G$68"}</definedName>
    <definedName name="신규" localSheetId="13" hidden="1">{"'5국공정'!$A$1:$E$128"}</definedName>
    <definedName name="신규" localSheetId="15" hidden="1">{"'5국공정'!$A$1:$E$128"}</definedName>
    <definedName name="신규" hidden="1">{"'5국공정'!$A$1:$E$128"}</definedName>
    <definedName name="신규단가" localSheetId="29" hidden="1">#REF!</definedName>
    <definedName name="신규단가" localSheetId="32" hidden="1">#REF!</definedName>
    <definedName name="신규단가" localSheetId="27" hidden="1">#REF!</definedName>
    <definedName name="신규단가" localSheetId="30" hidden="1">#REF!</definedName>
    <definedName name="신규단가" localSheetId="13" hidden="1">#REF!</definedName>
    <definedName name="신규단가" localSheetId="15" hidden="1">#REF!</definedName>
    <definedName name="신규단가" localSheetId="19" hidden="1">#REF!</definedName>
    <definedName name="신규단가" hidden="1">#REF!</definedName>
    <definedName name="신규단가2" localSheetId="13" hidden="1">{"'5국공정'!$A$1:$E$128"}</definedName>
    <definedName name="신규단가2" localSheetId="15" hidden="1">{"'5국공정'!$A$1:$E$128"}</definedName>
    <definedName name="신규단가2" hidden="1">{"'5국공정'!$A$1:$E$128"}</definedName>
    <definedName name="신나">[50]단가!$A$56</definedName>
    <definedName name="신노임">#REF!</definedName>
    <definedName name="신당진">#REF!</definedName>
    <definedName name="신머신">#REF!</definedName>
    <definedName name="신비닐">#REF!</definedName>
    <definedName name="신설10C">#REF!</definedName>
    <definedName name="신설30C">#REF!</definedName>
    <definedName name="신설IJP옥외">#REF!</definedName>
    <definedName name="신설OFD48">#REF!</definedName>
    <definedName name="신설OFD96">#REF!</definedName>
    <definedName name="신설OFD랙">#REF!</definedName>
    <definedName name="신설강연선">#REF!</definedName>
    <definedName name="신설긍장">#REF!</definedName>
    <definedName name="신설내관">#REF!</definedName>
    <definedName name="신설명찰">#REF!</definedName>
    <definedName name="신설바인드">#REF!</definedName>
    <definedName name="신설바인드선">#REF!</definedName>
    <definedName name="신설반경관">#REF!</definedName>
    <definedName name="신설분기슬리브">#REF!</definedName>
    <definedName name="신설스파이랄">#REF!</definedName>
    <definedName name="신설암타이">#REF!</definedName>
    <definedName name="신설열수축슬리브">#REF!</definedName>
    <definedName name="신설인류">#REF!</definedName>
    <definedName name="신설점퍼코드">#REF!</definedName>
    <definedName name="신설접속">#REF!</definedName>
    <definedName name="신설접속10C">#REF!</definedName>
    <definedName name="신설접속30C">#REF!</definedName>
    <definedName name="신설접속함체10C">#REF!</definedName>
    <definedName name="신설접속함체30C">#REF!</definedName>
    <definedName name="신설접지선">#REF!</definedName>
    <definedName name="신설주의">#REF!</definedName>
    <definedName name="신설지선">#REF!</definedName>
    <definedName name="신설타이">#REF!</definedName>
    <definedName name="신암타">#REF!</definedName>
    <definedName name="신양재" localSheetId="13">'8-2.설비자재산출(무인보안)'!신양재</definedName>
    <definedName name="신양재" localSheetId="15">'8-4.일위대가표'!신양재</definedName>
    <definedName name="신양재">'8-2.설비자재산출(무인보안)'!신양재</definedName>
    <definedName name="신영주">#REF!</definedName>
    <definedName name="신인크">#REF!</definedName>
    <definedName name="신자산번호" localSheetId="13">OFFSET([167]자산번호!$B$3,0,0,COUNTA([167]자산번호!$B$3:$B$200)+1,1)</definedName>
    <definedName name="신자산번호">OFFSET([168]자산번호!$B$3,0,0,COUNTA([168]자산번호!$B$3:$B$200)+1,1)</definedName>
    <definedName name="신접커">#REF!</definedName>
    <definedName name="신접크">#REF!</definedName>
    <definedName name="신지선">#REF!</definedName>
    <definedName name="신축공사" localSheetId="4">{"'단계별시설공사비'!$A$3:$K$51"}</definedName>
    <definedName name="신축공사" localSheetId="13">{"'단계별시설공사비'!$A$3:$K$51"}</definedName>
    <definedName name="신축공사" localSheetId="15">{"'단계별시설공사비'!$A$3:$K$51"}</definedName>
    <definedName name="신축공사">{"'단계별시설공사비'!$A$3:$K$51"}</definedName>
    <definedName name="신품셈">#REF!</definedName>
    <definedName name="실간접노무비">#REF!</definedName>
    <definedName name="실공정계획" localSheetId="13" hidden="1">{#N/A,#N/A,FALSE,"이태원철근"}</definedName>
    <definedName name="실공정계획" hidden="1">{#N/A,#N/A,FALSE,"이태원철근"}</definedName>
    <definedName name="실노무비">#REF!</definedName>
    <definedName name="실도급경비">#REF!</definedName>
    <definedName name="실도급비">#REF!</definedName>
    <definedName name="실도장노임">#REF!</definedName>
    <definedName name="실란">[50]단가!$A$152</definedName>
    <definedName name="실링제">[50]단가!$A$61</definedName>
    <definedName name="실사급재료비">#REF!</definedName>
    <definedName name="실외주가공비">#REF!</definedName>
    <definedName name="실이윤">#REF!</definedName>
    <definedName name="실일반관리비">#REF!</definedName>
    <definedName name="실전기노임">#REF!</definedName>
    <definedName name="실지입재료비">#REF!</definedName>
    <definedName name="실직접노무비">#REF!</definedName>
    <definedName name="실토공노임">#REF!</definedName>
    <definedName name="실투입">BlankMacro1</definedName>
    <definedName name="실편백10노무">#REF!</definedName>
    <definedName name="실편백10재료">#REF!</definedName>
    <definedName name="실편백15노무">#REF!</definedName>
    <definedName name="실편백15재료">#REF!</definedName>
    <definedName name="실행" localSheetId="1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실행"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실행내역" localSheetId="29">[39]!BlankMacro1</definedName>
    <definedName name="실행내역" localSheetId="19">[39]!BlankMacro1</definedName>
    <definedName name="실행내역">[39]!BlankMacro1</definedName>
    <definedName name="실행총괄" localSheetId="29" hidden="1">#REF!</definedName>
    <definedName name="실행총괄" localSheetId="13" hidden="1">#REF!</definedName>
    <definedName name="실행총괄" localSheetId="19" hidden="1">#REF!</definedName>
    <definedName name="실행총괄" hidden="1">#REF!</definedName>
    <definedName name="실회사경비">#REF!</definedName>
    <definedName name="심산">#REF!</definedName>
    <definedName name="심야">#REF!</definedName>
    <definedName name="심평">#REF!</definedName>
    <definedName name="써강남">#REF!</definedName>
    <definedName name="써광교">#REF!</definedName>
    <definedName name="써광주">#REF!</definedName>
    <definedName name="써대구">#REF!</definedName>
    <definedName name="써대전">#REF!</definedName>
    <definedName name="써동교">#REF!</definedName>
    <definedName name="써르네상스">#REF!</definedName>
    <definedName name="써발산">#REF!</definedName>
    <definedName name="써방배">#REF!</definedName>
    <definedName name="써보라매">#REF!</definedName>
    <definedName name="써본사">#REF!</definedName>
    <definedName name="써비스커넥터">#REF!</definedName>
    <definedName name="써비스컨넥타" localSheetId="13">[29]소요자재!$H$215</definedName>
    <definedName name="써비스컨넥타">[30]소요자재!$H$215</definedName>
    <definedName name="써비스콘넥터">#REF!</definedName>
    <definedName name="써사당">#REF!</definedName>
    <definedName name="써삼성">#REF!</definedName>
    <definedName name="써삼풍">#REF!</definedName>
    <definedName name="써서초">#REF!</definedName>
    <definedName name="써수원">#REF!</definedName>
    <definedName name="써신반포">#REF!</definedName>
    <definedName name="써압구정">#REF!</definedName>
    <definedName name="써울산">#REF!</definedName>
    <definedName name="써울산2">#REF!</definedName>
    <definedName name="써울산신">#REF!</definedName>
    <definedName name="써울산철">#REF!</definedName>
    <definedName name="써인천">#REF!</definedName>
    <definedName name="써잠실">#REF!</definedName>
    <definedName name="써전주">#REF!</definedName>
    <definedName name="써청담">#REF!</definedName>
    <definedName name="써콘">#REF!</definedName>
    <definedName name="써콘1">#REF!</definedName>
    <definedName name="써콘2">#REF!</definedName>
    <definedName name="써콘A">#REF!</definedName>
    <definedName name="써콘시설">#REF!</definedName>
    <definedName name="써콘시설1">#REF!</definedName>
    <definedName name="써콘시설A">#REF!</definedName>
    <definedName name="써콘해체">#REF!</definedName>
    <definedName name="써화정">#REF!</definedName>
    <definedName name="ㅇ" localSheetId="4" hidden="1">{#N/A,#N/A,FALSE,"회선임차현황"}</definedName>
    <definedName name="ㅇ" localSheetId="13" hidden="1">{#N/A,#N/A,FALSE,"회선임차현황"}</definedName>
    <definedName name="ㅇ" localSheetId="15" hidden="1">{#N/A,#N/A,FALSE,"회선임차현황"}</definedName>
    <definedName name="ㅇ" hidden="1">{#N/A,#N/A,FALSE,"회선임차현황"}</definedName>
    <definedName name="ㅇ48">#REF!</definedName>
    <definedName name="ㅇㄱㅀㅊ">#REF!</definedName>
    <definedName name="ㅇㄴ" localSheetId="13" hidden="1">{#N/A,#N/A,FALSE,"회선임차현황"}</definedName>
    <definedName name="ㅇㄴ" hidden="1">{#N/A,#N/A,FALSE,"회선임차현황"}</definedName>
    <definedName name="ㅇㄴㄴㄴㄴ" localSheetId="13" hidden="1">{#N/A,#N/A,FALSE,"혼합골재"}</definedName>
    <definedName name="ㅇㄴㄴㄴㄴ" hidden="1">{#N/A,#N/A,FALSE,"혼합골재"}</definedName>
    <definedName name="ㅇㄴㄹ" localSheetId="13" hidden="1">{#N/A,#N/A,FALSE,"골재소요량";#N/A,#N/A,FALSE,"골재소요량"}</definedName>
    <definedName name="ㅇㄴㄹ" hidden="1">{#N/A,#N/A,FALSE,"골재소요량";#N/A,#N/A,FALSE,"골재소요량"}</definedName>
    <definedName name="ㅇㄴㄻㅇㄹㄴㅁ" localSheetId="29" hidden="1">#REF!</definedName>
    <definedName name="ㅇㄴㄻㅇㄹㄴㅁ" localSheetId="13" hidden="1">#REF!</definedName>
    <definedName name="ㅇㄴㄻㅇㄹㄴㅁ" localSheetId="19" hidden="1">#REF!</definedName>
    <definedName name="ㅇㄴㄻㅇㄹㄴㅁ" hidden="1">#REF!</definedName>
    <definedName name="ㅇㄴㅁ" hidden="1">[1]실행철강하도!$A$1:$A$4</definedName>
    <definedName name="ㅇㄴ미ㅣ러ㅗ" localSheetId="13" hidden="1">{#N/A,#N/A,FALSE,"골재소요량";#N/A,#N/A,FALSE,"골재소요량"}</definedName>
    <definedName name="ㅇㄴ미ㅣ러ㅗ" hidden="1">{#N/A,#N/A,FALSE,"골재소요량";#N/A,#N/A,FALSE,"골재소요량"}</definedName>
    <definedName name="ㅇㄴㅇㄴ">#REF!</definedName>
    <definedName name="ㅇㄷㄴㄶㅎ" localSheetId="13" hidden="1">{#N/A,#N/A,FALSE,"골재소요량";#N/A,#N/A,FALSE,"골재소요량"}</definedName>
    <definedName name="ㅇㄷㄴㄶㅎ" hidden="1">{#N/A,#N/A,FALSE,"골재소요량";#N/A,#N/A,FALSE,"골재소요량"}</definedName>
    <definedName name="ㅇㄹ" localSheetId="13">'8-2.설비자재산출(무인보안)'!ㅇㄹ</definedName>
    <definedName name="ㅇㄹ" localSheetId="15">'8-4.일위대가표'!ㅇㄹ</definedName>
    <definedName name="ㅇㄹ">'8-2.설비자재산출(무인보안)'!ㅇㄹ</definedName>
    <definedName name="ㅇㄹㄴㅇㄹㄴㄹ">[7]!ㅇㄹㄴㅇㄹㄴㄹ</definedName>
    <definedName name="ㅇㄹㄹ" hidden="1">'[169]N賃率-職'!$I$5:$I$30</definedName>
    <definedName name="ㅇㄹㄹㄴㅇㄹㅇㄹㄴㅇ" localSheetId="29" hidden="1">[86]조명시설!#REF!</definedName>
    <definedName name="ㅇㄹㄹㄴㅇㄹㅇㄹㄴㅇ" localSheetId="13" hidden="1">[86]조명시설!#REF!</definedName>
    <definedName name="ㅇㄹㄹㄴㅇㄹㅇㄹㄴㅇ" localSheetId="19" hidden="1">[86]조명시설!#REF!</definedName>
    <definedName name="ㅇㄹㄹㄴㅇㄹㅇㄹㄴㅇ" hidden="1">[86]조명시설!#REF!</definedName>
    <definedName name="ㅇㄹㄹㄹㄹㄹㄹㄹㄹ">[7]!ㅇㄹㄹㄹㄹㄹㄹㄹㄹ</definedName>
    <definedName name="ㅇㄹㅇㄹ" localSheetId="29" hidden="1">#REF!</definedName>
    <definedName name="ㅇㄹㅇㄹ" localSheetId="32" hidden="1">#REF!</definedName>
    <definedName name="ㅇㄹㅇㄹ" localSheetId="27" hidden="1">#REF!</definedName>
    <definedName name="ㅇㄹㅇㄹ" localSheetId="34" hidden="1">'[40]#REF'!$A$3:$H$292</definedName>
    <definedName name="ㅇㄹㅇㄹ" localSheetId="35" hidden="1">'[40]#REF'!$A$3:$H$292</definedName>
    <definedName name="ㅇㄹㅇㄹ" localSheetId="36" hidden="1">'[40]#REF'!$A$3:$H$292</definedName>
    <definedName name="ㅇㄹㅇㄹ" localSheetId="37" hidden="1">'[40]#REF'!$A$3:$H$292</definedName>
    <definedName name="ㅇㄹㅇㄹ" localSheetId="30" hidden="1">#REF!</definedName>
    <definedName name="ㅇㄹㅇㄹ" localSheetId="13" hidden="1">#REF!</definedName>
    <definedName name="ㅇㄹㅇㄹ" localSheetId="15" hidden="1">#REF!</definedName>
    <definedName name="ㅇㄹㅇㄹ" localSheetId="19" hidden="1">#REF!</definedName>
    <definedName name="ㅇㄹㅇㄹ" hidden="1">#REF!</definedName>
    <definedName name="ㅇㄹㅇㄹㅇㄹ">#REF!</definedName>
    <definedName name="ㅇㄹ호">#REF!</definedName>
    <definedName name="ㅇ러" localSheetId="13" hidden="1">{#N/A,#N/A,FALSE,"단가표지"}</definedName>
    <definedName name="ㅇ러" hidden="1">{#N/A,#N/A,FALSE,"단가표지"}</definedName>
    <definedName name="ㅇ러알ㅇㄹㅇㄹ" localSheetId="29" hidden="1">[126]조명시설!#REF!</definedName>
    <definedName name="ㅇ러알ㅇㄹㅇㄹ" localSheetId="19" hidden="1">[126]조명시설!#REF!</definedName>
    <definedName name="ㅇ러알ㅇㄹㅇㄹ" hidden="1">[126]조명시설!#REF!</definedName>
    <definedName name="ㅇ런">[51]설계명세서!$H$11</definedName>
    <definedName name="ㅇ롤옹롤ㅇ" localSheetId="13" hidden="1">{#N/A,#N/A,FALSE,"운반시간"}</definedName>
    <definedName name="ㅇ롤옹롤ㅇ" hidden="1">{#N/A,#N/A,FALSE,"운반시간"}</definedName>
    <definedName name="ㅇㄻㄴ" localSheetId="13" hidden="1">{#N/A,#N/A,FALSE,"골재소요량";#N/A,#N/A,FALSE,"골재소요량"}</definedName>
    <definedName name="ㅇㄻㄴ" hidden="1">{#N/A,#N/A,FALSE,"골재소요량";#N/A,#N/A,FALSE,"골재소요량"}</definedName>
    <definedName name="ㅇㄻㄴㄹ" localSheetId="13" hidden="1">{#N/A,#N/A,FALSE,"골재소요량";#N/A,#N/A,FALSE,"골재소요량"}</definedName>
    <definedName name="ㅇㄻㄴㄹ" hidden="1">{#N/A,#N/A,FALSE,"골재소요량";#N/A,#N/A,FALSE,"골재소요량"}</definedName>
    <definedName name="ㅇㄽㄱ" localSheetId="13" hidden="1">{#N/A,#N/A,FALSE,"전력간선"}</definedName>
    <definedName name="ㅇㄽㄱ" hidden="1">{#N/A,#N/A,FALSE,"전력간선"}</definedName>
    <definedName name="ㅇㅀㅎㅎㅎㅎㅎㄴㄷㄷㄷ" localSheetId="13" hidden="1">{#N/A,#N/A,FALSE,"현장 NCR 분석";#N/A,#N/A,FALSE,"현장품질감사";#N/A,#N/A,FALSE,"현장품질감사"}</definedName>
    <definedName name="ㅇㅀㅎㅎㅎㅎㅎㄴㄷㄷㄷ" hidden="1">{#N/A,#N/A,FALSE,"현장 NCR 분석";#N/A,#N/A,FALSE,"현장품질감사";#N/A,#N/A,FALSE,"현장품질감사"}</definedName>
    <definedName name="ㅇㅁㄴㄹ" localSheetId="22" hidden="1">{#N/A,#N/A,TRUE,"토적및재료집계";#N/A,#N/A,TRUE,"토적및재료집계";#N/A,#N/A,TRUE,"단위량"}</definedName>
    <definedName name="ㅇㅁㄴㄹ" localSheetId="13" hidden="1">{#N/A,#N/A,TRUE,"토적및재료집계";#N/A,#N/A,TRUE,"토적및재료집계";#N/A,#N/A,TRUE,"단위량"}</definedName>
    <definedName name="ㅇㅁㄴㄹ" localSheetId="15" hidden="1">{#N/A,#N/A,TRUE,"토적및재료집계";#N/A,#N/A,TRUE,"토적및재료집계";#N/A,#N/A,TRUE,"단위량"}</definedName>
    <definedName name="ㅇㅁㄴㄹ" hidden="1">{#N/A,#N/A,TRUE,"토적및재료집계";#N/A,#N/A,TRUE,"토적및재료집계";#N/A,#N/A,TRUE,"단위량"}</definedName>
    <definedName name="ㅇㅁㄴㄹㄴㅇㅁㅎㄹ" localSheetId="13" hidden="1">{#N/A,#N/A,FALSE,"골재소요량";#N/A,#N/A,FALSE,"골재소요량"}</definedName>
    <definedName name="ㅇㅁㄴㄹㄴㅇㅁㅎㄹ" hidden="1">{#N/A,#N/A,FALSE,"골재소요량";#N/A,#N/A,FALSE,"골재소요량"}</definedName>
    <definedName name="ㅇㅁㅇㄹ" localSheetId="13" hidden="1">{#N/A,#N/A,FALSE,"2~8번"}</definedName>
    <definedName name="ㅇㅁㅇㄹ" hidden="1">{#N/A,#N/A,FALSE,"2~8번"}</definedName>
    <definedName name="ㅇㅇ"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ㅇ"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ㅇ"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ㅇ"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ㅇㄹ" localSheetId="22" hidden="1">{#N/A,#N/A,TRUE,"토적및재료집계";#N/A,#N/A,TRUE,"토적및재료집계";#N/A,#N/A,TRUE,"단위량"}</definedName>
    <definedName name="ㅇㅇㄹ" localSheetId="34" hidden="1">'[40]#REF'!#REF!</definedName>
    <definedName name="ㅇㅇㄹ" localSheetId="35" hidden="1">'[40]#REF'!#REF!</definedName>
    <definedName name="ㅇㅇㄹ" localSheetId="36" hidden="1">'[40]#REF'!#REF!</definedName>
    <definedName name="ㅇㅇㄹ" localSheetId="37" hidden="1">'[40]#REF'!#REF!</definedName>
    <definedName name="ㅇㅇㄹ" localSheetId="13" hidden="1">{#N/A,#N/A,TRUE,"토적및재료집계";#N/A,#N/A,TRUE,"토적및재료집계";#N/A,#N/A,TRUE,"단위량"}</definedName>
    <definedName name="ㅇㅇㄹ" localSheetId="15" hidden="1">{#N/A,#N/A,TRUE,"토적및재료집계";#N/A,#N/A,TRUE,"토적및재료집계";#N/A,#N/A,TRUE,"단위량"}</definedName>
    <definedName name="ㅇㅇㄹ" hidden="1">{#N/A,#N/A,TRUE,"토적및재료집계";#N/A,#N/A,TRUE,"토적및재료집계";#N/A,#N/A,TRUE,"단위량"}</definedName>
    <definedName name="ㅇㅇㅇ" localSheetId="22" hidden="1">{"'Sheet1'!$A$4:$Y$100"}</definedName>
    <definedName name="ㅇㅇㅇ" localSheetId="34" hidden="1">{"'Sheet1'!$A$4:$Y$100"}</definedName>
    <definedName name="ㅇㅇㅇ" localSheetId="35" hidden="1">{"'Sheet1'!$A$4:$Y$100"}</definedName>
    <definedName name="ㅇㅇㅇ" localSheetId="36" hidden="1">{"'Sheet1'!$A$4:$Y$100"}</definedName>
    <definedName name="ㅇㅇㅇ" localSheetId="37" hidden="1">{"'Sheet1'!$A$4:$Y$100"}</definedName>
    <definedName name="ㅇㅇㅇ" localSheetId="13" hidden="1">{"'Sheet1'!$A$4:$Y$100"}</definedName>
    <definedName name="ㅇㅇㅇ" localSheetId="15" hidden="1">{"'Sheet1'!$A$4:$Y$100"}</definedName>
    <definedName name="ㅇㅇㅇ" hidden="1">{"'Sheet1'!$A$4:$Y$100"}</definedName>
    <definedName name="ㅇㅇㅇㅇ" localSheetId="29" hidden="1">#REF!</definedName>
    <definedName name="ㅇㅇㅇㅇ" localSheetId="32" hidden="1">#REF!</definedName>
    <definedName name="ㅇㅇㅇㅇ" localSheetId="27" hidden="1">#REF!</definedName>
    <definedName name="ㅇㅇㅇㅇ" localSheetId="30" hidden="1">#REF!</definedName>
    <definedName name="ㅇㅇㅇㅇ" localSheetId="13" hidden="1">#REF!</definedName>
    <definedName name="ㅇㅇㅇㅇ" localSheetId="15" hidden="1">#REF!</definedName>
    <definedName name="ㅇㅇㅇㅇ" localSheetId="19" hidden="1">#REF!</definedName>
    <definedName name="ㅇㅇㅇㅇ" hidden="1">#REF!</definedName>
    <definedName name="ㅇㅇㅇㅇㅇ">#REF!</definedName>
    <definedName name="ㅇㅇㅇㅇㅇㅇㅇㅇㅇㅇㅇㅇㅇㅇ" localSheetId="13" hidden="1">{#N/A,#N/A,FALSE,"표지목차"}</definedName>
    <definedName name="ㅇㅇㅇㅇㅇㅇㅇㅇㅇㅇㅇㅇㅇㅇ" hidden="1">{#N/A,#N/A,FALSE,"표지목차"}</definedName>
    <definedName name="ㅇㅇㅈㄷ" localSheetId="2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ㅇㅇㅈㄷ"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ㅇㅇㅈㄷ"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ㅇㅇㅈㄷ"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ㅇㅊㅍㅍㅊㅌㅍㅊㅌㅍㅌ" localSheetId="29" hidden="1">[86]조명시설!#REF!</definedName>
    <definedName name="ㅇㅊㅍㅍㅊㅌㅍㅊㅌㅍㅌ" localSheetId="19" hidden="1">[86]조명시설!#REF!</definedName>
    <definedName name="ㅇㅊㅍㅍㅊㅌㅍㅊㅌㅍㅌ" hidden="1">[86]조명시설!#REF!</definedName>
    <definedName name="ㅇ철">#REF!</definedName>
    <definedName name="ㅇㅎㄹㄴㅇㄹ" localSheetId="29" hidden="1">#REF!</definedName>
    <definedName name="ㅇㅎㄹㄴㅇㄹ" localSheetId="32" hidden="1">#REF!</definedName>
    <definedName name="ㅇㅎㄹㄴㅇㄹ" localSheetId="27" hidden="1">#REF!</definedName>
    <definedName name="ㅇㅎㄹㄴㅇㄹ" localSheetId="30" hidden="1">#REF!</definedName>
    <definedName name="ㅇㅎㄹㄴㅇㄹ" localSheetId="13" hidden="1">#REF!</definedName>
    <definedName name="ㅇㅎㄹㄴㅇㄹ" localSheetId="15" hidden="1">#REF!</definedName>
    <definedName name="ㅇㅎㄹㄴㅇㄹ" localSheetId="19" hidden="1">#REF!</definedName>
    <definedName name="ㅇㅎㄹㄴㅇㄹ" hidden="1">#REF!</definedName>
    <definedName name="ㅇㅎㅇㅁ호">BlankMacro1</definedName>
    <definedName name="ㅇ호옹ㄹ홓로" localSheetId="22" hidden="1">{#N/A,#N/A,FALSE,"회선임차현황"}</definedName>
    <definedName name="ㅇ호옹ㄹ홓로" localSheetId="13" hidden="1">{#N/A,#N/A,FALSE,"회선임차현황"}</definedName>
    <definedName name="ㅇ호옹ㄹ홓로" localSheetId="15" hidden="1">{#N/A,#N/A,FALSE,"회선임차현황"}</definedName>
    <definedName name="ㅇ호옹ㄹ홓로" hidden="1">{#N/A,#N/A,FALSE,"회선임차현황"}</definedName>
    <definedName name="아">#REF!</definedName>
    <definedName name="아굴착">#REF!</definedName>
    <definedName name="아기경비">#REF!</definedName>
    <definedName name="아답타">#REF!</definedName>
    <definedName name="아답터">#REF!</definedName>
    <definedName name="아디에프">[38]소요자재!#REF!</definedName>
    <definedName name="아디에프취부">[38]노무산출서!#REF!</definedName>
    <definedName name="아마" localSheetId="13" hidden="1">{#N/A,#N/A,FALSE,"현장 NCR 분석";#N/A,#N/A,FALSE,"현장품질감사";#N/A,#N/A,FALSE,"현장품질감사"}</definedName>
    <definedName name="아마" localSheetId="15" hidden="1">{#N/A,#N/A,FALSE,"현장 NCR 분석";#N/A,#N/A,FALSE,"현장품질감사";#N/A,#N/A,FALSE,"현장품질감사"}</definedName>
    <definedName name="아마" hidden="1">{#N/A,#N/A,FALSE,"현장 NCR 분석";#N/A,#N/A,FALSE,"현장품질감사";#N/A,#N/A,FALSE,"현장품질감사"}</definedName>
    <definedName name="아마로드">#REF!</definedName>
    <definedName name="아무" localSheetId="13" hidden="1">{#N/A,#N/A,FALSE,"배수2"}</definedName>
    <definedName name="아무" hidden="1">{#N/A,#N/A,FALSE,"배수2"}</definedName>
    <definedName name="아무거나" localSheetId="13" hidden="1">{#N/A,#N/A,FALSE,"배수2"}</definedName>
    <definedName name="아무거나" hidden="1">{#N/A,#N/A,FALSE,"배수2"}</definedName>
    <definedName name="아사">[77]내역아!#REF!</definedName>
    <definedName name="아세틸렌">[50]단가!$A$59</definedName>
    <definedName name="아스콘">#REF!</definedName>
    <definedName name="아스콘2" localSheetId="29" hidden="1">[170]조명시설!#REF!</definedName>
    <definedName name="아스콘2" localSheetId="19" hidden="1">[170]조명시설!#REF!</definedName>
    <definedName name="아스콘2" hidden="1">[170]조명시설!#REF!</definedName>
    <definedName name="아스타일공">#REF!</definedName>
    <definedName name="아스팔트">#REF!</definedName>
    <definedName name="아싸가오리" localSheetId="13" hidden="1">{#N/A,#N/A,FALSE,"전력간선"}</definedName>
    <definedName name="아싸가오리" hidden="1">{#N/A,#N/A,FALSE,"전력간선"}</definedName>
    <definedName name="아아" localSheetId="13" hidden="1">{#N/A,#N/A,FALSE,"단가표지"}</definedName>
    <definedName name="아아" hidden="1">{#N/A,#N/A,FALSE,"단가표지"}</definedName>
    <definedName name="아아.엉ㅇ." localSheetId="13" hidden="1">{#N/A,#N/A,FALSE,"조골재"}</definedName>
    <definedName name="아아.엉ㅇ." hidden="1">{#N/A,#N/A,FALSE,"조골재"}</definedName>
    <definedName name="아연">#REF!</definedName>
    <definedName name="아연도강연선">#REF!</definedName>
    <definedName name="아왜나무12노무">#REF!</definedName>
    <definedName name="아왜나무12재료">#REF!</definedName>
    <definedName name="아운">[77]내역아!#REF!</definedName>
    <definedName name="아이디">[41]소요자재!$H$110</definedName>
    <definedName name="아이디에프" localSheetId="13">[6]소요자재!$H$110</definedName>
    <definedName name="아이디에프">[23]소요자재!$H$110</definedName>
    <definedName name="아이디에프1" localSheetId="13">[6]소요자재!$H$111</definedName>
    <definedName name="아이디에프1">[23]소요자재!$H$111</definedName>
    <definedName name="아카노">[88]식재!$H$83</definedName>
    <definedName name="아카시아">[50]단가!$A$131</definedName>
    <definedName name="아카재">[88]식재!$F$83</definedName>
    <definedName name="아파트">#REF!</definedName>
    <definedName name="아ㅏ" localSheetId="13" hidden="1">{#N/A,#N/A,FALSE,"조골재"}</definedName>
    <definedName name="아ㅏ" hidden="1">{#N/A,#N/A,FALSE,"조골재"}</definedName>
    <definedName name="아ㅓ림" localSheetId="13" hidden="1">{#N/A,#N/A,FALSE,"포장1";#N/A,#N/A,FALSE,"포장1"}</definedName>
    <definedName name="아ㅓ림" hidden="1">{#N/A,#N/A,FALSE,"포장1";#N/A,#N/A,FALSE,"포장1"}</definedName>
    <definedName name="안">#REF!</definedName>
    <definedName name="안양현대" localSheetId="13" hidden="1">{#N/A,#N/A,FALSE,"이태원철근"}</definedName>
    <definedName name="안양현대" hidden="1">{#N/A,#N/A,FALSE,"이태원철근"}</definedName>
    <definedName name="안전">#REF!</definedName>
    <definedName name="안전1">#REF!</definedName>
    <definedName name="안전2">#REF!</definedName>
    <definedName name="안전계수">0.98</definedName>
    <definedName name="안전관리" localSheetId="13">'[73]7.설계명세서(통합보안)'!$G$230</definedName>
    <definedName name="안전관리">[82]설계명세서!$G$188</definedName>
    <definedName name="안전관리변경" localSheetId="13">[82]경비변경!$J$11</definedName>
    <definedName name="안전관리변경">[83]경비변경!$J$11</definedName>
    <definedName name="안전관리비">#REF!</definedName>
    <definedName name="안전관리비.">[97]설계!#REF!</definedName>
    <definedName name="안전관리비2">#REF!</definedName>
    <definedName name="안전관리비4">#REF!</definedName>
    <definedName name="안전관리비계">#REF!</definedName>
    <definedName name="안전광리비" localSheetId="13" hidden="1">{"'5국공정'!$A$1:$E$128"}</definedName>
    <definedName name="안전광리비" localSheetId="15" hidden="1">{"'5국공정'!$A$1:$E$128"}</definedName>
    <definedName name="안전광리비" hidden="1">{"'5국공정'!$A$1:$E$128"}</definedName>
    <definedName name="안전기사1급">#REF!</definedName>
    <definedName name="안전기사2급">#REF!</definedName>
    <definedName name="안전기초">#REF!</definedName>
    <definedName name="안전설비">#REF!</definedName>
    <definedName name="안테나공" localSheetId="29">#REF!</definedName>
    <definedName name="안테나공" localSheetId="32">#REF!</definedName>
    <definedName name="안테나공" localSheetId="27">#REF!</definedName>
    <definedName name="안테나공" localSheetId="30">#REF!</definedName>
    <definedName name="안테나공" localSheetId="19">#REF!</definedName>
    <definedName name="안테나공">#REF!</definedName>
    <definedName name="암강남">#REF!</definedName>
    <definedName name="암광교">#REF!</definedName>
    <definedName name="암광주">#REF!</definedName>
    <definedName name="암대구">#REF!</definedName>
    <definedName name="암대전">#REF!</definedName>
    <definedName name="암동교">#REF!</definedName>
    <definedName name="암르네상스">#REF!</definedName>
    <definedName name="암발산">#REF!</definedName>
    <definedName name="암방배">#REF!</definedName>
    <definedName name="암보라매">#REF!</definedName>
    <definedName name="암본사">#REF!</definedName>
    <definedName name="암사당">#REF!</definedName>
    <definedName name="암삼성">#REF!</definedName>
    <definedName name="암삼풍">#REF!</definedName>
    <definedName name="암서초">#REF!</definedName>
    <definedName name="암수원">#REF!</definedName>
    <definedName name="암신반포">#REF!</definedName>
    <definedName name="암압구정">#REF!</definedName>
    <definedName name="암울산">#REF!</definedName>
    <definedName name="암울산2">#REF!</definedName>
    <definedName name="암울신">#REF!</definedName>
    <definedName name="암울철">#REF!</definedName>
    <definedName name="암인천">#REF!</definedName>
    <definedName name="암잠실">#REF!</definedName>
    <definedName name="암전주">#REF!</definedName>
    <definedName name="암청담">#REF!</definedName>
    <definedName name="암타">#REF!</definedName>
    <definedName name="암타이">#REF!</definedName>
    <definedName name="암타이1">#REF!</definedName>
    <definedName name="암타이2">#REF!</definedName>
    <definedName name="암타이A">#REF!</definedName>
    <definedName name="암타이B">#REF!</definedName>
    <definedName name="암타이밴드">#REF!</definedName>
    <definedName name="암타이밴드2">[38]소요자재!#REF!</definedName>
    <definedName name="암타이밴드250">#REF!</definedName>
    <definedName name="암타이밴드280">#REF!</definedName>
    <definedName name="암타철">#REF!</definedName>
    <definedName name="암화정">#REF!</definedName>
    <definedName name="압착1">#REF!</definedName>
    <definedName name="압착B">#REF!</definedName>
    <definedName name="압착단자">#REF!</definedName>
    <definedName name="압축단자">#REF!</definedName>
    <definedName name="압축단자시설">#REF!</definedName>
    <definedName name="압축단자시설A">#REF!</definedName>
    <definedName name="앙" localSheetId="13">'8-2.설비자재산출(무인보안)'!앙</definedName>
    <definedName name="앙" localSheetId="15">'8-4.일위대가표'!앙</definedName>
    <definedName name="앙">'8-2.설비자재산출(무인보안)'!앙</definedName>
    <definedName name="앙카">#REF!</definedName>
    <definedName name="앙카1">#REF!</definedName>
    <definedName name="앙카2">#REF!</definedName>
    <definedName name="앙카A">#REF!</definedName>
    <definedName name="앙카구멍">#REF!</definedName>
    <definedName name="앙카구멍A">#REF!</definedName>
    <definedName name="앙카볼트" localSheetId="13">[29]소요자재!$H$192</definedName>
    <definedName name="앙카볼트">[38]소요자재!#REF!</definedName>
    <definedName name="앙카볼트설치" localSheetId="13">[29]노무산출서!$H$48</definedName>
    <definedName name="앙카볼트설치">[38]노무산출서!#REF!</definedName>
    <definedName name="앙카설치">#REF!</definedName>
    <definedName name="앙카파기">#REF!</definedName>
    <definedName name="앙카파기A">#REF!</definedName>
    <definedName name="애자">#REF!</definedName>
    <definedName name="앨보1">[93]단가!$B$36</definedName>
    <definedName name="앵커볼트">#REF!</definedName>
    <definedName name="앵커볼트설치">#REF!</definedName>
    <definedName name="야">#REF!</definedName>
    <definedName name="야간" localSheetId="13" hidden="1">{#N/A,#N/A,FALSE,"지침";#N/A,#N/A,FALSE,"환경분석";#N/A,#N/A,FALSE,"Sheet16"}</definedName>
    <definedName name="야간" hidden="1">{#N/A,#N/A,FALSE,"지침";#N/A,#N/A,FALSE,"환경분석";#N/A,#N/A,FALSE,"Sheet16"}</definedName>
    <definedName name="야자노">[88]유지관리!$H$82</definedName>
    <definedName name="야자재">[88]유지관리!$F$82</definedName>
    <definedName name="양" localSheetId="13" hidden="1">{#N/A,#N/A,FALSE,"2~8번"}</definedName>
    <definedName name="양" hidden="1">{#N/A,#N/A,FALSE,"2~8번"}</definedName>
    <definedName name="양__생__공">#REF!</definedName>
    <definedName name="양매자0403">[80]수목데이타!$E$168</definedName>
    <definedName name="양매자0505">[80]수목데이타!$E$169</definedName>
    <definedName name="양매자0606">[80]수목데이타!$E$170</definedName>
    <definedName name="양생경비">#REF!</definedName>
    <definedName name="양생공">#REF!</definedName>
    <definedName name="양생노무비">#REF!</definedName>
    <definedName name="양생재료비">#REF!</definedName>
    <definedName name="양수기">#REF!</definedName>
    <definedName name="양수기간접">#REF!</definedName>
    <definedName name="양수기경비">#REF!</definedName>
    <definedName name="양식" localSheetId="13" hidden="1">{#N/A,#N/A,FALSE,"현장 NCR 분석";#N/A,#N/A,FALSE,"현장품질감사";#N/A,#N/A,FALSE,"현장품질감사"}</definedName>
    <definedName name="양식" hidden="1">{#N/A,#N/A,FALSE,"현장 NCR 분석";#N/A,#N/A,FALSE,"현장품질감사";#N/A,#N/A,FALSE,"현장품질감사"}</definedName>
    <definedName name="어">#N/A</definedName>
    <definedName name="어댑터">#REF!</definedName>
    <definedName name="억이상" localSheetId="13" hidden="1">{#N/A,#N/A,FALSE,"2~8번"}</definedName>
    <definedName name="억이상" hidden="1">{#N/A,#N/A,FALSE,"2~8번"}</definedName>
    <definedName name="업" localSheetId="13"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무수당">#REF!</definedName>
    <definedName name="업무협력비" localSheetId="29" hidden="1">[171]합천내역!#REF!</definedName>
    <definedName name="업무협력비" localSheetId="32" hidden="1">[171]합천내역!#REF!</definedName>
    <definedName name="업무협력비" localSheetId="27" hidden="1">[171]합천내역!#REF!</definedName>
    <definedName name="업무협력비" localSheetId="30" hidden="1">[171]합천내역!#REF!</definedName>
    <definedName name="업무협력비" localSheetId="19" hidden="1">[171]합천내역!#REF!</definedName>
    <definedName name="업무협력비" hidden="1">[171]합천내역!#REF!</definedName>
    <definedName name="업종" localSheetId="13" hidden="1">{#N/A,#N/A,FALSE,"포장2"}</definedName>
    <definedName name="업종" hidden="1">{#N/A,#N/A,FALSE,"포장2"}</definedName>
    <definedName name="업체" localSheetId="29" hidden="1">#REF!</definedName>
    <definedName name="업체" localSheetId="13" hidden="1">#REF!</definedName>
    <definedName name="업체" localSheetId="19" hidden="1">#REF!</definedName>
    <definedName name="업체" hidden="1">#REF!</definedName>
    <definedName name="업체순위" localSheetId="13" hidden="1">{#N/A,#N/A,FALSE,"배수2"}</definedName>
    <definedName name="업체순위" hidden="1">{#N/A,#N/A,FALSE,"배수2"}</definedName>
    <definedName name="에멀전페인트">[50]단가!$A$71</definedName>
    <definedName name="에스터">#REF!</definedName>
    <definedName name="여분">#REF!</definedName>
    <definedName name="여비">#REF!</definedName>
    <definedName name="여비." localSheetId="13">[96]설계!$G$58</definedName>
    <definedName name="여비.">[97]설계!$G$58</definedName>
    <definedName name="여비1">#REF!</definedName>
    <definedName name="여비2">#REF!</definedName>
    <definedName name="여비교통">[16]설계명세서!$G$135</definedName>
    <definedName name="여비교통변경" localSheetId="13">[82]경비변경!$J$14</definedName>
    <definedName name="여비교통변경">[83]경비변경!$J$14</definedName>
    <definedName name="여비교통비">#REF!</definedName>
    <definedName name="여비교통통신">#REF!</definedName>
    <definedName name="여비교통통신비">#REF!</definedName>
    <definedName name="여수축">#REF!</definedName>
    <definedName name="여신교통비">#REF!</definedName>
    <definedName name="여장">#REF!</definedName>
    <definedName name="역T형" localSheetId="13" hidden="1">{#N/A,#N/A,FALSE,"2~8번"}</definedName>
    <definedName name="역T형" hidden="1">{#N/A,#N/A,FALSE,"2~8번"}</definedName>
    <definedName name="연__돌__공">#REF!</definedName>
    <definedName name="연__마__공">#REF!</definedName>
    <definedName name="연강남">#REF!</definedName>
    <definedName name="연경1교" localSheetId="13" hidden="1">{#N/A,#N/A,FALSE,"단면 제원"}</definedName>
    <definedName name="연경1교" hidden="1">{#N/A,#N/A,FALSE,"단면 제원"}</definedName>
    <definedName name="연경1교1" localSheetId="13" hidden="1">{#N/A,#N/A,FALSE,"단면 제원"}</definedName>
    <definedName name="연경1교1" hidden="1">{#N/A,#N/A,FALSE,"단면 제원"}</definedName>
    <definedName name="연공기계" localSheetId="29">#REF!,#REF!</definedName>
    <definedName name="연공기계" localSheetId="13">#REF!,#REF!</definedName>
    <definedName name="연공기계" localSheetId="19">#REF!,#REF!</definedName>
    <definedName name="연공기계">#REF!,#REF!</definedName>
    <definedName name="연광교">#REF!</definedName>
    <definedName name="연광주">#REF!</definedName>
    <definedName name="연대구">#REF!</definedName>
    <definedName name="연대전">#REF!</definedName>
    <definedName name="연동교">#REF!</definedName>
    <definedName name="연동연선">#REF!</definedName>
    <definedName name="연동연선1">#REF!</definedName>
    <definedName name="연동연선A">#REF!</definedName>
    <definedName name="연동연선중성선">[38]소요자재!#REF!</definedName>
    <definedName name="연르네상스">#REF!</definedName>
    <definedName name="연마공">#REF!</definedName>
    <definedName name="연마지">[50]단가!$A$72</definedName>
    <definedName name="연발산">#REF!</definedName>
    <definedName name="연방배">#REF!</definedName>
    <definedName name="연보라매">#REF!</definedName>
    <definedName name="연본사">#REF!</definedName>
    <definedName name="연사당">#REF!</definedName>
    <definedName name="연삼성">#REF!</definedName>
    <definedName name="연삼풍">#REF!</definedName>
    <definedName name="연서초">#REF!</definedName>
    <definedName name="연선">#REF!</definedName>
    <definedName name="연수원">#REF!</definedName>
    <definedName name="연습">#REF!</definedName>
    <definedName name="연신반포">#REF!</definedName>
    <definedName name="연압구정">#REF!</definedName>
    <definedName name="연울산">#REF!</definedName>
    <definedName name="연울산2">#REF!</definedName>
    <definedName name="연울산신">#REF!</definedName>
    <definedName name="연울산철">#REF!</definedName>
    <definedName name="연인천">#REF!</definedName>
    <definedName name="연잠실">#REF!</definedName>
    <definedName name="연장">#REF!</definedName>
    <definedName name="연전주">#REF!</definedName>
    <definedName name="연청담">#REF!</definedName>
    <definedName name="연화정">#REF!</definedName>
    <definedName name="열수축1">#REF!</definedName>
    <definedName name="열수축2">#REF!</definedName>
    <definedName name="열수축A">#REF!</definedName>
    <definedName name="열수축B">#REF!</definedName>
    <definedName name="열수축KIT_A">#REF!</definedName>
    <definedName name="열수축KIT_B">#REF!</definedName>
    <definedName name="열수축KIT1">#REF!</definedName>
    <definedName name="열수축KIT2">#REF!</definedName>
    <definedName name="열수축KIT몸체">[38]소요자재!#REF!</definedName>
    <definedName name="열수축KIT분기">[38]소요자재!#REF!</definedName>
    <definedName name="열수축관">#REF!</definedName>
    <definedName name="열수축슬리브" localSheetId="13">[29]소요자재!$H$201</definedName>
    <definedName name="열수축슬리브">[30]소요자재!$H$201</definedName>
    <definedName name="열수축슬리브1" localSheetId="13">[29]소요자재!$H$172</definedName>
    <definedName name="열수축슬리브1">[30]소요자재!$H$172</definedName>
    <definedName name="열수축슬리브성단">[38]소요자재!#REF!</definedName>
    <definedName name="열수축슬리브중간접속">[38]소요자재!#REF!</definedName>
    <definedName name="열차무선전화설비">#REF!</definedName>
    <definedName name="영" localSheetId="13">'8-2.설비자재산출(무인보안)'!영</definedName>
    <definedName name="영" localSheetId="15">'8-4.일위대가표'!영</definedName>
    <definedName name="영">'8-2.설비자재산출(무인보안)'!영</definedName>
    <definedName name="영_림_기_사">#REF!</definedName>
    <definedName name="영서전력소">[120]강동!$D$2:$X$358</definedName>
    <definedName name="영서직할" localSheetId="13">#N/A</definedName>
    <definedName name="영서직할" localSheetId="15">#N/A</definedName>
    <definedName name="영서직할">'8-2.설비자재산출(무인보안)'!영서직할</definedName>
    <definedName name="영종12C">'[44]4차설계'!#REF!</definedName>
    <definedName name="영종17C">'[44]4차설계'!#REF!</definedName>
    <definedName name="영종17C12C">#REF!</definedName>
    <definedName name="영종2WAY">'[44]4차설계'!#REF!</definedName>
    <definedName name="영종4WAY">'[44]4차설계'!#REF!</definedName>
    <definedName name="영종조가선">'[44]4차설계'!#REF!</definedName>
    <definedName name="예" localSheetId="29" hidden="1">[3]B!#REF!</definedName>
    <definedName name="예" localSheetId="13" hidden="1">[3]B!#REF!</definedName>
    <definedName name="예" localSheetId="19" hidden="1">[3]B!#REF!</definedName>
    <definedName name="예" hidden="1">[3]B!#REF!</definedName>
    <definedName name="예가율">#REF!</definedName>
    <definedName name="예비파악">#REF!</definedName>
    <definedName name="예산">#REF!</definedName>
    <definedName name="예산1">#REF!</definedName>
    <definedName name="예산내역GI"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예산내역GI"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예산내역GI"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예산서">#REF!</definedName>
    <definedName name="예산서2"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예산서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예산조서" localSheetId="13" hidden="1">{#N/A,#N/A,FALSE,"현장 NCR 분석";#N/A,#N/A,FALSE,"현장품질감사";#N/A,#N/A,FALSE,"현장품질감사"}</definedName>
    <definedName name="예산조서" hidden="1">{#N/A,#N/A,FALSE,"현장 NCR 분석";#N/A,#N/A,FALSE,"현장품질감사";#N/A,#N/A,FALSE,"현장품질감사"}</definedName>
    <definedName name="예술의_전당_앞_광케이블_이설공사_품셈표_List">#REF!</definedName>
    <definedName name="예신사"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예신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예정가" localSheetId="13" hidden="1">{#N/A,#N/A,FALSE,"포장2"}</definedName>
    <definedName name="예정가" hidden="1">{#N/A,#N/A,FALSE,"포장2"}</definedName>
    <definedName name="예정가격">#REF!</definedName>
    <definedName name="예정가율">#REF!</definedName>
    <definedName name="오1" localSheetId="13">'[151]257A1'!$N$81</definedName>
    <definedName name="오1">#REF!</definedName>
    <definedName name="오2" localSheetId="13">'[151]257A1'!$Q$81</definedName>
    <definedName name="오2">#REF!</definedName>
    <definedName name="오3" localSheetId="13">'[151]257A1'!$T$81</definedName>
    <definedName name="오3">#REF!</definedName>
    <definedName name="오4" localSheetId="13">'[151]257A1'!$W$80</definedName>
    <definedName name="오4">#REF!</definedName>
    <definedName name="오5" localSheetId="13">'[151]257A1'!$W$82</definedName>
    <definedName name="오5">#REF!</definedName>
    <definedName name="오6" localSheetId="13">'[151]257A1'!$J$83</definedName>
    <definedName name="오6">#REF!</definedName>
    <definedName name="오나멘트">[50]단가!$A$54</definedName>
    <definedName name="오씨">#REF!</definedName>
    <definedName name="오씨에스">#REF!</definedName>
    <definedName name="오페디1" localSheetId="13">[6]소요자재!$H$135</definedName>
    <definedName name="오페디1">[23]소요자재!$H$135</definedName>
    <definedName name="오페디2" localSheetId="13">[6]소요자재!$H$136</definedName>
    <definedName name="오페디2">[23]소요자재!$H$136</definedName>
    <definedName name="오페디3" localSheetId="13">[6]소요자재!$H$137</definedName>
    <definedName name="오페디3">[23]소요자재!$H$137</definedName>
    <definedName name="옥내잡공사">#REF!</definedName>
    <definedName name="옥내접지" localSheetId="13">[29]노무산출서!$H$34</definedName>
    <definedName name="옥내접지">[30]노무산출서!$H$34</definedName>
    <definedName name="옥내접지1">#REF!</definedName>
    <definedName name="옥내접지2">#REF!</definedName>
    <definedName name="옥내접지3">#REF!</definedName>
    <definedName name="옥내접지A">#REF!</definedName>
    <definedName name="옥내접지B">#REF!</definedName>
    <definedName name="옥내접지C">#REF!</definedName>
    <definedName name="옥내케이블">#REF!</definedName>
    <definedName name="옥내케이블시설" localSheetId="13">[29]노무산출서!$H$38</definedName>
    <definedName name="옥내케이블시설">[38]노무산출서!#REF!</definedName>
    <definedName name="옥외공사" localSheetId="13" hidden="1">{#N/A,#N/A,FALSE,"이태원철근"}</definedName>
    <definedName name="옥외공사" hidden="1">{#N/A,#N/A,FALSE,"이태원철근"}</definedName>
    <definedName name="옥외대비" localSheetId="13" hidden="1">{#N/A,#N/A,FALSE,"이태원철근"}</definedName>
    <definedName name="옥외대비" hidden="1">{#N/A,#N/A,FALSE,"이태원철근"}</definedName>
    <definedName name="옥외접지">#REF!</definedName>
    <definedName name="옥향">[90]단가!$A$136</definedName>
    <definedName name="온__돌__공">#REF!</definedName>
    <definedName name="온돌공">#REF!</definedName>
    <definedName name="온수보일러">[143]노무비단가!$B$72</definedName>
    <definedName name="올ㅇ">#REF!</definedName>
    <definedName name="옹" localSheetId="13" hidden="1">{#N/A,#N/A,FALSE,"골재소요량";#N/A,#N/A,FALSE,"골재소요량"}</definedName>
    <definedName name="옹" hidden="1">{#N/A,#N/A,FALSE,"골재소요량";#N/A,#N/A,FALSE,"골재소요량"}</definedName>
    <definedName name="옹벽" localSheetId="13" hidden="1">{#N/A,#N/A,FALSE,"단면 제원"}</definedName>
    <definedName name="옹벽" hidden="1">{#N/A,#N/A,FALSE,"단면 제원"}</definedName>
    <definedName name="옹벽111" localSheetId="13" hidden="1">{#N/A,#N/A,FALSE,"단가표지"}</definedName>
    <definedName name="옹벽111" hidden="1">{#N/A,#N/A,FALSE,"단가표지"}</definedName>
    <definedName name="옹벽수량집계표" localSheetId="13" hidden="1">{#N/A,#N/A,FALSE,"2~8번"}</definedName>
    <definedName name="옹벽수량집계표" hidden="1">{#N/A,#N/A,FALSE,"2~8번"}</definedName>
    <definedName name="옹벽수량집계표총괄" localSheetId="13" hidden="1">{#N/A,#N/A,FALSE,"혼합골재"}</definedName>
    <definedName name="옹벽수량집계표총괄" hidden="1">{#N/A,#N/A,FALSE,"혼합골재"}</definedName>
    <definedName name="옹벽철근수량" localSheetId="13" hidden="1">{#N/A,#N/A,FALSE,"2~8번"}</definedName>
    <definedName name="옹벽철근수량" hidden="1">{#N/A,#N/A,FALSE,"2~8번"}</definedName>
    <definedName name="옹벽철근집계" localSheetId="13" hidden="1">{#N/A,#N/A,FALSE,"조골재"}</definedName>
    <definedName name="옹벽철근집계" hidden="1">{#N/A,#N/A,FALSE,"조골재"}</definedName>
    <definedName name="와이어메쉬">[90]단가!$A$53</definedName>
    <definedName name="완금">#REF!</definedName>
    <definedName name="완금U밴드">#REF!</definedName>
    <definedName name="완금U볼트" localSheetId="13">[29]소요자재!$H$211</definedName>
    <definedName name="완금U볼트">[30]소요자재!$H$211</definedName>
    <definedName name="완금볼트">[38]소요자재!#REF!</definedName>
    <definedName name="완도" localSheetId="13" hidden="1">{#N/A,#N/A,FALSE,"포장2"}</definedName>
    <definedName name="완도" hidden="1">{#N/A,#N/A,FALSE,"포장2"}</definedName>
    <definedName name="완철설치">#REF!</definedName>
    <definedName name="완철설치1">#REF!</definedName>
    <definedName name="완철설치2">#REF!</definedName>
    <definedName name="완철설치A">#REF!</definedName>
    <definedName name="왕벗">[50]단가!$A$115</definedName>
    <definedName name="왜" localSheetId="13" hidden="1">{#N/A,#N/A,FALSE,"배수2"}</definedName>
    <definedName name="왜" hidden="1">{#N/A,#N/A,FALSE,"배수2"}</definedName>
    <definedName name="외" localSheetId="29">#REF!</definedName>
    <definedName name="외" localSheetId="32">#REF!</definedName>
    <definedName name="외" localSheetId="27">#REF!</definedName>
    <definedName name="외" localSheetId="30">#REF!</definedName>
    <definedName name="외" localSheetId="19">#REF!</definedName>
    <definedName name="외">#REF!</definedName>
    <definedName name="외동">#REF!</definedName>
    <definedName name="외선" localSheetId="29">#REF!</definedName>
    <definedName name="외선" localSheetId="32">#REF!</definedName>
    <definedName name="외선" localSheetId="27">#REF!</definedName>
    <definedName name="외선" localSheetId="30">#REF!</definedName>
    <definedName name="외선" localSheetId="19">#REF!</definedName>
    <definedName name="외선">#REF!</definedName>
    <definedName name="외선공" localSheetId="29">#REF!</definedName>
    <definedName name="외선공" localSheetId="32">#REF!</definedName>
    <definedName name="외선공" localSheetId="27">#REF!</definedName>
    <definedName name="외선공" localSheetId="30">#REF!</definedName>
    <definedName name="외선공" localSheetId="19">#REF!</definedName>
    <definedName name="외선공">#REF!</definedName>
    <definedName name="외주비">#REF!</definedName>
    <definedName name="외피접속">#REF!</definedName>
    <definedName name="외피접속1">#REF!</definedName>
    <definedName name="외피접속10">#REF!</definedName>
    <definedName name="외피접속20">#REF!</definedName>
    <definedName name="외피접속A">#REF!</definedName>
    <definedName name="외피접속할증">#REF!</definedName>
    <definedName name="외피해체">#REF!</definedName>
    <definedName name="요율">#REF!</definedName>
    <definedName name="요율인쇄">#REF!</definedName>
    <definedName name="용동교" localSheetId="13" hidden="1">{#N/A,#N/A,FALSE,"배수1"}</definedName>
    <definedName name="용동교" hidden="1">{#N/A,#N/A,FALSE,"배수1"}</definedName>
    <definedName name="용산4F">#REF!</definedName>
    <definedName name="용용" localSheetId="13" hidden="1">{#N/A,#N/A,FALSE,"포장2"}</definedName>
    <definedName name="용용" hidden="1">{#N/A,#N/A,FALSE,"포장2"}</definedName>
    <definedName name="용인">#REF!</definedName>
    <definedName name="용접200경비">#REF!</definedName>
    <definedName name="용접300경비">#REF!</definedName>
    <definedName name="용접공">#REF!</definedName>
    <definedName name="용접공_일반">#REF!</definedName>
    <definedName name="용접공_철도">#REF!</definedName>
    <definedName name="용접봉">[50]단가!$A$57</definedName>
    <definedName name="우">#REF!</definedName>
    <definedName name="우__물__공">#REF!</definedName>
    <definedName name="우리"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우리"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우리"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우리"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우리집">#N/A</definedName>
    <definedName name="우산">#REF!</definedName>
    <definedName name="우수13">#REF!</definedName>
    <definedName name="우씨" localSheetId="13">'8-2.설비자재산출(무인보안)'!우씨</definedName>
    <definedName name="우씨" localSheetId="15">'8-4.일위대가표'!우씨</definedName>
    <definedName name="우씨">'8-2.설비자재산출(무인보안)'!우씨</definedName>
    <definedName name="우야">#REF!</definedName>
    <definedName name="우평">#REF!</definedName>
    <definedName name="운">'[172]#REF'!#REF!</definedName>
    <definedName name="운_전_사_기계">#REF!</definedName>
    <definedName name="운_전_사_운반차">#REF!</definedName>
    <definedName name="운반">#REF!</definedName>
    <definedName name="운반.">#REF!</definedName>
    <definedName name="운반4">#REF!</definedName>
    <definedName name="운반비" localSheetId="13">'8-2.설비자재산출(무인보안)'!운반비</definedName>
    <definedName name="운반비" localSheetId="15">'8-4.일위대가표'!운반비</definedName>
    <definedName name="운반비">'8-2.설비자재산출(무인보안)'!운반비</definedName>
    <definedName name="운반비.">[97]설계!#REF!</definedName>
    <definedName name="운반비2"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운반비2"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운반비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운반비신설">#REF!</definedName>
    <definedName name="운반비정산">#REF!</definedName>
    <definedName name="운반비철거">#REF!</definedName>
    <definedName name="운반비합계">[78]준공정산!#REF!</definedName>
    <definedName name="운반비합계.">[79]준공정산!#REF!</definedName>
    <definedName name="운반신설계">#REF!</definedName>
    <definedName name="운반정산">#REF!</definedName>
    <definedName name="운반정산건">#REF!</definedName>
    <definedName name="운반중량1" localSheetId="29" hidden="1">#REF!</definedName>
    <definedName name="운반중량1" localSheetId="13" hidden="1">#REF!</definedName>
    <definedName name="운반중량1" localSheetId="19" hidden="1">#REF!</definedName>
    <definedName name="운반중량1" hidden="1">#REF!</definedName>
    <definedName name="운반차">#REF!</definedName>
    <definedName name="운반차운전사">'[117]중기조종사 단위단가'!$B$5</definedName>
    <definedName name="운반철거2">#REF!</definedName>
    <definedName name="운반철거계">#REF!</definedName>
    <definedName name="운송">#REF!</definedName>
    <definedName name="운송.">#REF!</definedName>
    <definedName name="운영분담금" localSheetId="34" hidden="1">{#N/A,#N/A,FALSE,"회선임차현황"}</definedName>
    <definedName name="운영분담금" localSheetId="35" hidden="1">{#N/A,#N/A,FALSE,"회선임차현황"}</definedName>
    <definedName name="운영분담금" localSheetId="36" hidden="1">{#N/A,#N/A,FALSE,"회선임차현황"}</definedName>
    <definedName name="운영분담금" localSheetId="37" hidden="1">{#N/A,#N/A,FALSE,"회선임차현황"}</definedName>
    <definedName name="운영분담금" localSheetId="13" hidden="1">{#N/A,#N/A,FALSE,"회선임차현황"}</definedName>
    <definedName name="운영분담금" localSheetId="15" hidden="1">{#N/A,#N/A,FALSE,"회선임차현황"}</definedName>
    <definedName name="운영분담금" hidden="1">{#N/A,#N/A,FALSE,"회선임차현황"}</definedName>
    <definedName name="운전">#REF!</definedName>
    <definedName name="운전기사">'[116]99노임기준'!#REF!</definedName>
    <definedName name="운전사">#REF!</definedName>
    <definedName name="울사">[77]울타리!#REF!</definedName>
    <definedName name="울운">[77]울타리!#REF!</definedName>
    <definedName name="원">#REF!</definedName>
    <definedName name="원가">#REF!</definedName>
    <definedName name="원가계산서">#REF!</definedName>
    <definedName name="원격검침">#REF!</definedName>
    <definedName name="원남내역" hidden="1">[173]실행철강하도!$A$1:$A$4</definedName>
    <definedName name="원자력계장공">#REF!</definedName>
    <definedName name="원자력기계설치공">#REF!</definedName>
    <definedName name="원자력기술자">#REF!</definedName>
    <definedName name="원자력기술장">#REF!</definedName>
    <definedName name="원자력닥트공">#REF!</definedName>
    <definedName name="원자력배관공">#REF!</definedName>
    <definedName name="원자력보온공">#REF!</definedName>
    <definedName name="원자력용접공">#REF!</definedName>
    <definedName name="원자력제관공">#REF!</definedName>
    <definedName name="원자력케이블공">#REF!</definedName>
    <definedName name="원자력특별인부">#REF!</definedName>
    <definedName name="원자력품질관리자">#REF!</definedName>
    <definedName name="원자력플랜트공">#REF!</definedName>
    <definedName name="원지반경">[88]시설물!#REF!</definedName>
    <definedName name="원지반노">[88]시설물!#REF!</definedName>
    <definedName name="원지반다짐">#REF!</definedName>
    <definedName name="원지반재">[88]시설물!#REF!</definedName>
    <definedName name="원파고라노">#REF!</definedName>
    <definedName name="원파고라재">#REF!</definedName>
    <definedName name="월">#REF!</definedName>
    <definedName name="월별투입" localSheetId="13" hidden="1">{#N/A,#N/A,FALSE,"지침";#N/A,#N/A,FALSE,"환경분석";#N/A,#N/A,FALSE,"Sheet16"}</definedName>
    <definedName name="월별투입" hidden="1">{#N/A,#N/A,FALSE,"지침";#N/A,#N/A,FALSE,"환경분석";#N/A,#N/A,FALSE,"Sheet16"}</definedName>
    <definedName name="위__생__공">#REF!</definedName>
    <definedName name="위생공">#REF!</definedName>
    <definedName name="위생배관공사">BlankMacro1</definedName>
    <definedName name="위치">#REF!</definedName>
    <definedName name="위험울산신">#REF!</definedName>
    <definedName name="위험표시찰" localSheetId="13">[29]소요자재!$H$198</definedName>
    <definedName name="위험표시찰">[38]소요자재!#REF!</definedName>
    <definedName name="위험표시찰취부" localSheetId="13">[29]노무산출서!$H$60</definedName>
    <definedName name="위험표시찰취부">[30]노무산출서!$H$60</definedName>
    <definedName name="위험표시판시설">#REF!</definedName>
    <definedName name="위험표지판">#REF!</definedName>
    <definedName name="윈치경">[88]시설물!$J$305</definedName>
    <definedName name="윈치노">[88]시설물!$H$305</definedName>
    <definedName name="윈치재">[88]시설물!$F$305</definedName>
    <definedName name="유__리__공">#REF!</definedName>
    <definedName name="유_지_창_고">#REF!</definedName>
    <definedName name="유니1" localSheetId="13">[6]소요자재!$H$95</definedName>
    <definedName name="유니1">[23]소요자재!$H$95</definedName>
    <definedName name="유니2" localSheetId="13">[6]소요자재!$H$96</definedName>
    <definedName name="유니2">[23]소요자재!$H$96</definedName>
    <definedName name="유니3">[45]소요자재!#REF!</definedName>
    <definedName name="유니랙" localSheetId="13">[6]소요자재!$H$105</definedName>
    <definedName name="유니랙">[23]소요자재!$H$105</definedName>
    <definedName name="유니랙1" localSheetId="13">[6]소요자재!$H$106</definedName>
    <definedName name="유니랙1">[23]소요자재!$H$106</definedName>
    <definedName name="유리공">#REF!</definedName>
    <definedName name="유리노">[77]시설물일위!#REF!</definedName>
    <definedName name="유리재">[77]시설물일위!#REF!</definedName>
    <definedName name="유볼트">#REF!</definedName>
    <definedName name="유선" localSheetId="13">'8-2.설비자재산출(무인보안)'!유선</definedName>
    <definedName name="유선" localSheetId="15">'8-4.일위대가표'!유선</definedName>
    <definedName name="유선">'8-2.설비자재산출(무인보안)'!유선</definedName>
    <definedName name="유성재" localSheetId="13" hidden="1">{"'5국공정'!$A$1:$E$128"}</definedName>
    <definedName name="유성재" localSheetId="15" hidden="1">{"'5국공정'!$A$1:$E$128"}</definedName>
    <definedName name="유성재" hidden="1">{"'5국공정'!$A$1:$E$128"}</definedName>
    <definedName name="유성재11" localSheetId="13" hidden="1">{"'5국공정'!$A$1:$E$128"}</definedName>
    <definedName name="유성재11" localSheetId="15" hidden="1">{"'5국공정'!$A$1:$E$128"}</definedName>
    <definedName name="유성재11" hidden="1">{"'5국공정'!$A$1:$E$128"}</definedName>
    <definedName name="유입부산근" localSheetId="13" hidden="1">{"'산출근거'!$B$4:$D$8"}</definedName>
    <definedName name="유입부산근" hidden="1">{"'산출근거'!$B$4:$D$8"}</definedName>
    <definedName name="유입부산근33" localSheetId="13" hidden="1">{"'산출근거'!$B$4:$D$8"}</definedName>
    <definedName name="유입부산근33" hidden="1">{"'산출근거'!$B$4:$D$8"}</definedName>
    <definedName name="유카">[50]단가!$A$153</definedName>
    <definedName name="유희정" localSheetId="13" hidden="1">{#N/A,#N/A,FALSE,"골재소요량";#N/A,#N/A,FALSE,"골재소요량"}</definedName>
    <definedName name="유희정" hidden="1">{#N/A,#N/A,FALSE,"골재소요량";#N/A,#N/A,FALSE,"골재소요량"}</definedName>
    <definedName name="육1" localSheetId="13">'[151]257A1'!$E$91</definedName>
    <definedName name="육1">#REF!</definedName>
    <definedName name="육10" localSheetId="13">'[151]257A1'!$AF$91</definedName>
    <definedName name="육10">#REF!</definedName>
    <definedName name="육11" localSheetId="13">'[151]257A1'!$AI$91</definedName>
    <definedName name="육11">#REF!</definedName>
    <definedName name="육12" localSheetId="13">'[151]257A1'!$AL$91</definedName>
    <definedName name="육12">#REF!</definedName>
    <definedName name="육13" localSheetId="13">'[151]257A1'!$S$88</definedName>
    <definedName name="육13">#REF!</definedName>
    <definedName name="육14" localSheetId="13">'[151]257A1'!$AB$94</definedName>
    <definedName name="육14">#REF!</definedName>
    <definedName name="육2" localSheetId="13">'[151]257A1'!$H$91</definedName>
    <definedName name="육2">#REF!</definedName>
    <definedName name="육3" localSheetId="13">'[151]257A1'!$K$91</definedName>
    <definedName name="육3">#REF!</definedName>
    <definedName name="육4" localSheetId="13">'[151]257A1'!$N$91</definedName>
    <definedName name="육4">#REF!</definedName>
    <definedName name="육5" localSheetId="13">'[151]257A1'!$Q$91</definedName>
    <definedName name="육5">#REF!</definedName>
    <definedName name="육6" localSheetId="13">'[151]257A1'!$T$91</definedName>
    <definedName name="육6">#REF!</definedName>
    <definedName name="육7" localSheetId="13">'[151]257A1'!$W$91</definedName>
    <definedName name="육7">#REF!</definedName>
    <definedName name="육8" localSheetId="13">'[151]257A1'!$Z$91</definedName>
    <definedName name="육8">#REF!</definedName>
    <definedName name="육9" localSheetId="13">'[151]257A1'!$AC$91</definedName>
    <definedName name="육9">#REF!</definedName>
    <definedName name="융착접속">#REF!</definedName>
    <definedName name="융착접속1">#REF!</definedName>
    <definedName name="융착접속A">#REF!</definedName>
    <definedName name="은" localSheetId="13" hidden="1">{#N/A,#N/A,FALSE,"구조2"}</definedName>
    <definedName name="은" hidden="1">{#N/A,#N/A,FALSE,"구조2"}</definedName>
    <definedName name="은행12">[50]단가!$A$118</definedName>
    <definedName name="은행15">[50]단가!$A$117</definedName>
    <definedName name="은행6">[50]단가!$A$120</definedName>
    <definedName name="은행8">[50]단가!$A$119</definedName>
    <definedName name="을" localSheetId="13" hidden="1">{#N/A,#N/A,FALSE,"도급대비시행율";#N/A,#N/A,FALSE,"결의서";#N/A,#N/A,FALSE,"내역서";#N/A,#N/A,FALSE,"도급예상"}</definedName>
    <definedName name="을" hidden="1">{#N/A,#N/A,FALSE,"도급대비시행율";#N/A,#N/A,FALSE,"결의서";#N/A,#N/A,FALSE,"내역서";#N/A,#N/A,FALSE,"도급예상"}</definedName>
    <definedName name="의" localSheetId="13" hidden="1">{#N/A,#N/A,FALSE,"운반시간"}</definedName>
    <definedName name="의" hidden="1">{#N/A,#N/A,FALSE,"운반시간"}</definedName>
    <definedName name="이" localSheetId="13">'8-2.설비자재산출(무인보안)'!이</definedName>
    <definedName name="이" localSheetId="15">'8-4.일위대가표'!이</definedName>
    <definedName name="이">'8-2.설비자재산출(무인보안)'!이</definedName>
    <definedName name="이1" localSheetId="13">'[151]257A1'!$E$32</definedName>
    <definedName name="이1">#REF!</definedName>
    <definedName name="이10" localSheetId="13">'[151]257A1'!$AU$32</definedName>
    <definedName name="이10">#REF!</definedName>
    <definedName name="이11" localSheetId="13">'[151]257A1'!$AB$35</definedName>
    <definedName name="이11">#REF!</definedName>
    <definedName name="이12" localSheetId="13">'[151]257A1'!$AC$38</definedName>
    <definedName name="이12">#REF!</definedName>
    <definedName name="이13" localSheetId="13">'[151]257A1'!$AF$38</definedName>
    <definedName name="이13">#REF!</definedName>
    <definedName name="이14" localSheetId="13">'[151]257A1'!$AI$38</definedName>
    <definedName name="이14">#REF!</definedName>
    <definedName name="이15" localSheetId="13">'[151]257A1'!$AH$33</definedName>
    <definedName name="이15">#REF!</definedName>
    <definedName name="이2" localSheetId="13">'[151]257A1'!$H$32</definedName>
    <definedName name="이2">#REF!</definedName>
    <definedName name="이3" localSheetId="13">'[151]257A1'!$K$32</definedName>
    <definedName name="이3">#REF!</definedName>
    <definedName name="이4" localSheetId="13">'[151]257A1'!$N$32</definedName>
    <definedName name="이4">#REF!</definedName>
    <definedName name="이5" localSheetId="13">'[151]257A1'!$AF$32</definedName>
    <definedName name="이5">#REF!</definedName>
    <definedName name="이6" localSheetId="13">'[151]257A1'!$AI$32</definedName>
    <definedName name="이6">#REF!</definedName>
    <definedName name="이7" localSheetId="13">'[151]257A1'!$AL$32</definedName>
    <definedName name="이7">#REF!</definedName>
    <definedName name="이8" localSheetId="13">'[151]257A1'!$AO$32</definedName>
    <definedName name="이8">#REF!</definedName>
    <definedName name="이9" localSheetId="13">'[151]257A1'!$AR$32</definedName>
    <definedName name="이9">#REF!</definedName>
    <definedName name="이a" localSheetId="13">'[151]257A1'!$AK$29</definedName>
    <definedName name="이a">#REF!</definedName>
    <definedName name="이b" localSheetId="13">'[151]257A1'!$AN$34</definedName>
    <definedName name="이b">#REF!</definedName>
    <definedName name="이가" localSheetId="13" hidden="1">{"'Firr(선)'!$AS$1:$AY$62","'Firr(사)'!$AS$1:$AY$62","'Firr(회)'!$AS$1:$AY$62","'Firr(선)'!$L$1:$V$62","'Firr(사)'!$L$1:$V$62","'Firr(회)'!$L$1:$V$62"}</definedName>
    <definedName name="이가" hidden="1">{"'Firr(선)'!$AS$1:$AY$62","'Firr(사)'!$AS$1:$AY$62","'Firr(회)'!$AS$1:$AY$62","'Firr(선)'!$L$1:$V$62","'Firr(사)'!$L$1:$V$62","'Firr(회)'!$L$1:$V$62"}</definedName>
    <definedName name="이각">[159]단가!$A$23</definedName>
    <definedName name="이각노">[116]일위대가!#REF!</definedName>
    <definedName name="이각재">[116]일위대가!#REF!</definedName>
    <definedName name="이각지주목">#REF!</definedName>
    <definedName name="이경훈" localSheetId="13" hidden="1">{#N/A,#N/A,FALSE,"골재소요량";#N/A,#N/A,FALSE,"골재소요량"}</definedName>
    <definedName name="이경훈" hidden="1">{#N/A,#N/A,FALSE,"골재소요량";#N/A,#N/A,FALSE,"골재소요량"}</definedName>
    <definedName name="이경희" localSheetId="13" hidden="1">{#N/A,#N/A,FALSE,"부대2"}</definedName>
    <definedName name="이경희" hidden="1">{#N/A,#N/A,FALSE,"부대2"}</definedName>
    <definedName name="이공구가설비">#REF!</definedName>
    <definedName name="이공구간접노무비">#REF!</definedName>
    <definedName name="이공구공사원가">#REF!</definedName>
    <definedName name="이공구기타경비">#REF!</definedName>
    <definedName name="이공구부가가치세">'[174]2공구산출내역'!#REF!</definedName>
    <definedName name="이공구산재보험료">#REF!</definedName>
    <definedName name="이공구안전관리비">#REF!</definedName>
    <definedName name="이공구이윤">#REF!</definedName>
    <definedName name="이공구일반관리비">#REF!</definedName>
    <definedName name="이노">#REF!</definedName>
    <definedName name="이론" localSheetId="13" hidden="1">{#N/A,#N/A,FALSE,"속도"}</definedName>
    <definedName name="이론" hidden="1">{#N/A,#N/A,FALSE,"속도"}</definedName>
    <definedName name="이름">#REF!</definedName>
    <definedName name="이름1" localSheetId="13">'[175]설계명세서(선로)'!$B$4</definedName>
    <definedName name="이름1">'[176]설계명세서(선로)'!$B$4</definedName>
    <definedName name="이름충돌">#REF!</definedName>
    <definedName name="이릉" localSheetId="29" hidden="1">#REF!</definedName>
    <definedName name="이릉" localSheetId="13" hidden="1">#REF!</definedName>
    <definedName name="이릉" localSheetId="19" hidden="1">#REF!</definedName>
    <definedName name="이릉" hidden="1">#REF!</definedName>
    <definedName name="이병훈" localSheetId="13" hidden="1">{"'5국공정'!$A$1:$E$128"}</definedName>
    <definedName name="이병훈" localSheetId="15" hidden="1">{"'5국공정'!$A$1:$E$128"}</definedName>
    <definedName name="이병훈" hidden="1">{"'5국공정'!$A$1:$E$128"}</definedName>
    <definedName name="이상">#REF!</definedName>
    <definedName name="이상하다">#REF!</definedName>
    <definedName name="이상해" localSheetId="13" hidden="1">{#N/A,#N/A,FALSE,"골재소요량";#N/A,#N/A,FALSE,"골재소요량"}</definedName>
    <definedName name="이상해" hidden="1">{#N/A,#N/A,FALSE,"골재소요량";#N/A,#N/A,FALSE,"골재소요량"}</definedName>
    <definedName name="이설">#REF!</definedName>
    <definedName name="이설1">#REF!</definedName>
    <definedName name="이설10C">#REF!</definedName>
    <definedName name="이설2">#REF!</definedName>
    <definedName name="이설3">#REF!</definedName>
    <definedName name="이설30C">#REF!</definedName>
    <definedName name="이설4">#REF!</definedName>
    <definedName name="이설5">#REF!</definedName>
    <definedName name="이설6">#REF!</definedName>
    <definedName name="이설7">#REF!</definedName>
    <definedName name="이설긍장">#REF!</definedName>
    <definedName name="이식">#REF!</definedName>
    <definedName name="이오팔"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이오팔"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이오팔"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이윤" localSheetId="13">'[73]7.설계명세서(통합보안)'!$G$238</definedName>
    <definedName name="이윤">'[74]7.설계명세서'!$G$155</definedName>
    <definedName name="이윤." localSheetId="13">[96]설계!$G$67</definedName>
    <definedName name="이윤.">[97]설계!$G$67</definedName>
    <definedName name="이윤_1">#REF!</definedName>
    <definedName name="이윤_3" localSheetId="13">[79]설계명세서!$G$201</definedName>
    <definedName name="이윤_3">[82]설계명세서!$G$201</definedName>
    <definedName name="이윤_f">#REF!</definedName>
    <definedName name="이윤1" localSheetId="29">[97]설계명세서!#REF!</definedName>
    <definedName name="이윤1" localSheetId="32">[97]설계명세서!#REF!</definedName>
    <definedName name="이윤1" localSheetId="27">[97]설계명세서!#REF!</definedName>
    <definedName name="이윤1" localSheetId="30">[97]설계명세서!#REF!</definedName>
    <definedName name="이윤1" localSheetId="19">[97]설계명세서!#REF!</definedName>
    <definedName name="이윤1">[97]설계명세서!#REF!</definedName>
    <definedName name="이윤2">#REF!</definedName>
    <definedName name="이윤3">#REF!</definedName>
    <definedName name="이윤4">#REF!</definedName>
    <definedName name="이윤A">#REF!</definedName>
    <definedName name="이윤계">#REF!</definedName>
    <definedName name="이윤변경" localSheetId="13">'[82]일반,이윤변경'!$J$18</definedName>
    <definedName name="이윤변경">'[83]일반,이윤변경'!$J$18</definedName>
    <definedName name="이윤섭">#REF!</definedName>
    <definedName name="이재">#REF!</definedName>
    <definedName name="이전가">#REF!</definedName>
    <definedName name="이전코드">#REF!</definedName>
    <definedName name="이정" localSheetId="13" hidden="1">{#N/A,#N/A,FALSE,"2~8번"}</definedName>
    <definedName name="이정" hidden="1">{#N/A,#N/A,FALSE,"2~8번"}</definedName>
    <definedName name="이정민" localSheetId="13" hidden="1">{"'5국공정'!$A$1:$E$128"}</definedName>
    <definedName name="이정민" localSheetId="15" hidden="1">{"'5국공정'!$A$1:$E$128"}</definedName>
    <definedName name="이정민" hidden="1">{"'5국공정'!$A$1:$E$128"}</definedName>
    <definedName name="이정호1" localSheetId="22" hidden="1">{#N/A,#N/A,FALSE,"QUOT_960527"}</definedName>
    <definedName name="이정호1" localSheetId="13" hidden="1">{#N/A,#N/A,FALSE,"QUOT_960527"}</definedName>
    <definedName name="이정호1" localSheetId="15" hidden="1">{#N/A,#N/A,FALSE,"QUOT_960527"}</definedName>
    <definedName name="이정호1" hidden="1">{#N/A,#N/A,FALSE,"QUOT_960527"}</definedName>
    <definedName name="이종구" localSheetId="13" hidden="1">{#N/A,#N/A,FALSE,"배수1"}</definedName>
    <definedName name="이종구" hidden="1">{#N/A,#N/A,FALSE,"배수1"}</definedName>
    <definedName name="이종화" localSheetId="13" hidden="1">{"'5국공정'!$A$1:$E$128"}</definedName>
    <definedName name="이종화" localSheetId="15" hidden="1">{"'5국공정'!$A$1:$E$128"}</definedName>
    <definedName name="이종화" hidden="1">{"'5국공정'!$A$1:$E$128"}</definedName>
    <definedName name="이종훈" hidden="1">'[177]guard(mac)'!$A$4:$A$163</definedName>
    <definedName name="인강남">#REF!</definedName>
    <definedName name="인광교">#REF!</definedName>
    <definedName name="인광주">#REF!</definedName>
    <definedName name="인대구">#REF!</definedName>
    <definedName name="인대전">#REF!</definedName>
    <definedName name="인동교">#REF!</definedName>
    <definedName name="인력운반비">#N/A</definedName>
    <definedName name="인류">#REF!</definedName>
    <definedName name="인류1">#REF!</definedName>
    <definedName name="인류A">#REF!</definedName>
    <definedName name="인류클램프">#REF!</definedName>
    <definedName name="인르네상스">#REF!</definedName>
    <definedName name="인발산">#REF!</definedName>
    <definedName name="인방배">#REF!</definedName>
    <definedName name="인보라매">#REF!</definedName>
    <definedName name="인본사">#REF!</definedName>
    <definedName name="인사당">#REF!</definedName>
    <definedName name="인삼성">#REF!</definedName>
    <definedName name="인삼풍">#REF!</definedName>
    <definedName name="인상PVC">#REF!</definedName>
    <definedName name="인상PVC곡관">[38]소요자재!#REF!</definedName>
    <definedName name="인서초">#REF!</definedName>
    <definedName name="인쇄양식">[7]!인쇄양식</definedName>
    <definedName name="인수공청소">#REF!</definedName>
    <definedName name="인수원">#REF!</definedName>
    <definedName name="인식표찰">#REF!</definedName>
    <definedName name="인신반포">#REF!</definedName>
    <definedName name="인압구정">#REF!</definedName>
    <definedName name="인울산">#REF!</definedName>
    <definedName name="인울산2">#REF!</definedName>
    <definedName name="인울신">#REF!</definedName>
    <definedName name="인울철">#REF!</definedName>
    <definedName name="인원">#REF!</definedName>
    <definedName name="인인천">#REF!</definedName>
    <definedName name="인입">#REF!</definedName>
    <definedName name="인입7">[19]아파트기별!$Q$52</definedName>
    <definedName name="인입주" localSheetId="13">'8-2.설비자재산출(무인보안)'!인입주</definedName>
    <definedName name="인입주" localSheetId="15">'8-4.일위대가표'!인입주</definedName>
    <definedName name="인입주">'8-2.설비자재산출(무인보안)'!인입주</definedName>
    <definedName name="인입크">[19]아파트기별!$P$52</definedName>
    <definedName name="인입크램프">#REF!</definedName>
    <definedName name="인잠실">#REF!</definedName>
    <definedName name="인전주">#REF!</definedName>
    <definedName name="인지대">#REF!</definedName>
    <definedName name="인천">#REF!</definedName>
    <definedName name="인청담">#REF!</definedName>
    <definedName name="인출전력구">[172]준공정산!#REF!</definedName>
    <definedName name="인크">#REF!</definedName>
    <definedName name="인크철">#REF!</definedName>
    <definedName name="인터폰신설">#REF!</definedName>
    <definedName name="인터폰이설">#REF!</definedName>
    <definedName name="인터폰철거">#REF!</definedName>
    <definedName name="인테리어소계">#REF!</definedName>
    <definedName name="인화정">#REF!</definedName>
    <definedName name="일">#REF!</definedName>
    <definedName name="일1" localSheetId="13">'[151]257A1'!$E$19</definedName>
    <definedName name="일1">#REF!</definedName>
    <definedName name="일11" localSheetId="13">'[151]257A1'!$H$14</definedName>
    <definedName name="일11">#REF!</definedName>
    <definedName name="일12" localSheetId="13">'[151]257A1'!$J$12</definedName>
    <definedName name="일12">#REF!</definedName>
    <definedName name="일13" localSheetId="13">'[151]257A1'!$K$14</definedName>
    <definedName name="일13">#REF!</definedName>
    <definedName name="일14" localSheetId="13">'[151]257A1'!$N$13</definedName>
    <definedName name="일14">#REF!</definedName>
    <definedName name="일15" localSheetId="13">'[151]257A1'!$N$15</definedName>
    <definedName name="일15">#REF!</definedName>
    <definedName name="일2" localSheetId="13">'[151]257A1'!$H$19</definedName>
    <definedName name="일2">#REF!</definedName>
    <definedName name="일3" localSheetId="13">'[151]257A1'!$K$19</definedName>
    <definedName name="일3">#REF!</definedName>
    <definedName name="일4" localSheetId="13">'[151]257A1'!$N$19</definedName>
    <definedName name="일4">#REF!</definedName>
    <definedName name="일5" localSheetId="13">'[151]257A1'!$Q$19</definedName>
    <definedName name="일5">#REF!</definedName>
    <definedName name="일6" localSheetId="13">'[151]257A1'!$T$19</definedName>
    <definedName name="일6">#REF!</definedName>
    <definedName name="일7" localSheetId="13">'[151]257A1'!$W$19</definedName>
    <definedName name="일7">#REF!</definedName>
    <definedName name="일8" localSheetId="13">'[151]257A1'!$Z$19</definedName>
    <definedName name="일8">#REF!</definedName>
    <definedName name="일9" localSheetId="13">'[151]257A1'!$AC$19</definedName>
    <definedName name="일9">#REF!</definedName>
    <definedName name="일a" localSheetId="13">'[151]257A1'!$M$21</definedName>
    <definedName name="일a">#REF!</definedName>
    <definedName name="일b" localSheetId="13">'[151]257A1'!$Q$22</definedName>
    <definedName name="일b">#REF!</definedName>
    <definedName name="일B0.6">#REF!</definedName>
    <definedName name="일B6">#REF!</definedName>
    <definedName name="일c" localSheetId="13">'[151]257A1'!$T$22</definedName>
    <definedName name="일c">#REF!</definedName>
    <definedName name="일d" localSheetId="13">'[151]257A1'!$W$22</definedName>
    <definedName name="일d">#REF!</definedName>
    <definedName name="일각">[159]단가!$A$27</definedName>
    <definedName name="일공" localSheetId="13" hidden="1">{#N/A,#N/A,FALSE,"부대1"}</definedName>
    <definedName name="일공" hidden="1">{#N/A,#N/A,FALSE,"부대1"}</definedName>
    <definedName name="일공구가설">#REF!</definedName>
    <definedName name="일공구가설비">[178]원가서!$D$11</definedName>
    <definedName name="일공구간노">[178]원가서!$D$4</definedName>
    <definedName name="일공구공사">[178]원가서!$D$17</definedName>
    <definedName name="일공구기타경">[178]원가서!$D$10</definedName>
    <definedName name="일공구부가">[179]산출내역서!#REF!</definedName>
    <definedName name="일공구산재">[178]원가서!$D$8</definedName>
    <definedName name="일공구일반">[178]원가서!$D$15</definedName>
    <definedName name="일공구직영비">#REF!</definedName>
    <definedName name="일공구품질">[178]원가서!$D$12</definedName>
    <definedName name="일관" localSheetId="13">'[73]7.설계명세서(통합보안)'!$G$235</definedName>
    <definedName name="일관">#REF!</definedName>
    <definedName name="일관이윤" localSheetId="22" hidden="1">{#N/A,#N/A,FALSE,"회선임차현황"}</definedName>
    <definedName name="일관이윤" localSheetId="13" hidden="1">{#N/A,#N/A,FALSE,"회선임차현황"}</definedName>
    <definedName name="일관이윤" localSheetId="15" hidden="1">{#N/A,#N/A,FALSE,"회선임차현황"}</definedName>
    <definedName name="일관이윤" hidden="1">{#N/A,#N/A,FALSE,"회선임차현황"}</definedName>
    <definedName name="일련번호">#REF!</definedName>
    <definedName name="일반">#REF!</definedName>
    <definedName name="일반_f">#REF!</definedName>
    <definedName name="일반1" localSheetId="29">[97]설계명세서!#REF!</definedName>
    <definedName name="일반1" localSheetId="32">[97]설계명세서!#REF!</definedName>
    <definedName name="일반1" localSheetId="27">[97]설계명세서!#REF!</definedName>
    <definedName name="일반1" localSheetId="30">[97]설계명세서!#REF!</definedName>
    <definedName name="일반1" localSheetId="19">[97]설계명세서!#REF!</definedName>
    <definedName name="일반1">[97]설계명세서!#REF!</definedName>
    <definedName name="일반2">#REF!</definedName>
    <definedName name="일반개구부"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일반개구부"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일반개구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일반관ㄹ비">#REF!</definedName>
    <definedName name="일반관리">#REF!</definedName>
    <definedName name="일반관리_1">#REF!</definedName>
    <definedName name="일반관리_3" localSheetId="13">[79]설계명세서!$G$199</definedName>
    <definedName name="일반관리_3">[82]설계명세서!$G$199</definedName>
    <definedName name="일반관리1">#REF!</definedName>
    <definedName name="일반관리2">#REF!</definedName>
    <definedName name="일반관리3">#REF!</definedName>
    <definedName name="일반관리비" localSheetId="29">#REF!</definedName>
    <definedName name="일반관리비" localSheetId="32">#REF!</definedName>
    <definedName name="일반관리비" localSheetId="27">#REF!</definedName>
    <definedName name="일반관리비" localSheetId="30">#REF!</definedName>
    <definedName name="일반관리비" localSheetId="19">#REF!</definedName>
    <definedName name="일반관리비">#REF!</definedName>
    <definedName name="일반관리비." localSheetId="13">[96]설계!$G$64</definedName>
    <definedName name="일반관리비.">[97]설계!$G$64</definedName>
    <definedName name="일반관리비1">#REF!</definedName>
    <definedName name="일반관리비2">#REF!</definedName>
    <definedName name="일반관리비3">#REF!</definedName>
    <definedName name="일반관리비4">#REF!</definedName>
    <definedName name="일반관리비A">#REF!</definedName>
    <definedName name="일반관리비계">#REF!</definedName>
    <definedName name="일반변경" localSheetId="13">'[82]일반,이윤변경'!$J$6</definedName>
    <definedName name="일반변경">'[83]일반,이윤변경'!$J$6</definedName>
    <definedName name="일반시방서">#REF!</definedName>
    <definedName name="일반용접공">#REF!</definedName>
    <definedName name="일반전화기" localSheetId="13">'8-2.설비자재산출(무인보안)'!일반전화기</definedName>
    <definedName name="일반전화기" localSheetId="15">'8-4.일위대가표'!일반전화기</definedName>
    <definedName name="일반전화기">'8-2.설비자재산출(무인보안)'!일반전화기</definedName>
    <definedName name="일반통신설비" localSheetId="13">[31]수량산출1!$A$3:$AB$203</definedName>
    <definedName name="일반통신설비">[32]수량산출1!$A$3:$AB$203</definedName>
    <definedName name="일위">#REF!</definedName>
    <definedName name="일위2001">#REF!</definedName>
    <definedName name="일위대가" localSheetId="13">[31]일위대가!$B$3:$I$2091</definedName>
    <definedName name="일위대가">[32]일위대가!$B$3:$I$2091</definedName>
    <definedName name="일위대가1" localSheetId="13">[31]일위대가!$A$3:$I$2091</definedName>
    <definedName name="일위대가1">[32]일위대가!$A$3:$I$2091</definedName>
    <definedName name="일위대가2">#REF!</definedName>
    <definedName name="일위목록1">#REF!</definedName>
    <definedName name="일위산출">#REF!</definedName>
    <definedName name="일위산출1">#REF!</definedName>
    <definedName name="일자">#REF!</definedName>
    <definedName name="임">#REF!</definedName>
    <definedName name="임ㄴ" localSheetId="4">{"'공사부문'!$A$6:$A$32"}</definedName>
    <definedName name="임ㄴ" localSheetId="13">{"'공사부문'!$A$6:$A$32"}</definedName>
    <definedName name="임ㄴ" localSheetId="15">{"'공사부문'!$A$6:$A$32"}</definedName>
    <definedName name="임ㄴ">{"'공사부문'!$A$6:$A$32"}</definedName>
    <definedName name="임대료">'[44]4차설계'!#REF!</definedName>
    <definedName name="임명">#REF!</definedName>
    <definedName name="임시1" localSheetId="13" hidden="1">{#N/A,#N/A,FALSE,"전력간선"}</definedName>
    <definedName name="임시1" hidden="1">{#N/A,#N/A,FALSE,"전력간선"}</definedName>
    <definedName name="임시2" localSheetId="13" hidden="1">{#N/A,#N/A,FALSE,"전력간선"}</definedName>
    <definedName name="임시2" hidden="1">{#N/A,#N/A,FALSE,"전력간선"}</definedName>
    <definedName name="임직">#REF!</definedName>
    <definedName name="임형" localSheetId="13" hidden="1">{#N/A,#N/A,FALSE,"포장2"}</definedName>
    <definedName name="임형" hidden="1">{#N/A,#N/A,FALSE,"포장2"}</definedName>
    <definedName name="입력선택">#REF!</definedName>
    <definedName name="입력현황">#REF!</definedName>
    <definedName name="입력현황1" localSheetId="22" hidden="1">{#N/A,#N/A,FALSE,"DAOCM 2차 검토"}</definedName>
    <definedName name="입력현황1" localSheetId="13" hidden="1">{#N/A,#N/A,FALSE,"DAOCM 2차 검토"}</definedName>
    <definedName name="입력현황1" localSheetId="15" hidden="1">{#N/A,#N/A,FALSE,"DAOCM 2차 검토"}</definedName>
    <definedName name="입력현황1" hidden="1">{#N/A,#N/A,FALSE,"DAOCM 2차 검토"}</definedName>
    <definedName name="입상관">#REF!</definedName>
    <definedName name="입상관1">#REF!</definedName>
    <definedName name="입상관철거">#REF!</definedName>
    <definedName name="입상관취부">#REF!</definedName>
    <definedName name="입상관취부1">#REF!</definedName>
    <definedName name="입상관취부A">#REF!</definedName>
    <definedName name="입찰금액안" localSheetId="29" hidden="1">[1]BID!#REF!</definedName>
    <definedName name="입찰금액안" localSheetId="19" hidden="1">[1]BID!#REF!</definedName>
    <definedName name="입찰금액안" hidden="1">[1]BID!#REF!</definedName>
    <definedName name="잉" localSheetId="13" hidden="1">{"'용역비'!$A$4:$C$8"}</definedName>
    <definedName name="잉" localSheetId="15" hidden="1">{"'용역비'!$A$4:$C$8"}</definedName>
    <definedName name="잉" hidden="1">{"'용역비'!$A$4:$C$8"}</definedName>
    <definedName name="ㅈ" localSheetId="22" hidden="1">{#N/A,#N/A,TRUE,"토적및재료집계";#N/A,#N/A,TRUE,"토적및재료집계";#N/A,#N/A,TRUE,"단위량"}</definedName>
    <definedName name="ㅈ" localSheetId="13">'8-2.설비자재산출(무인보안)'!ㅈ</definedName>
    <definedName name="ㅈ" localSheetId="15" hidden="1">{#N/A,#N/A,TRUE,"토적및재료집계";#N/A,#N/A,TRUE,"토적및재료집계";#N/A,#N/A,TRUE,"단위량"}</definedName>
    <definedName name="ㅈ" hidden="1">{#N/A,#N/A,TRUE,"토적및재료집계";#N/A,#N/A,TRUE,"토적및재료집계";#N/A,#N/A,TRUE,"단위량"}</definedName>
    <definedName name="ㅈㄱ" localSheetId="13" hidden="1">{"'5국공정'!$A$1:$E$128"}</definedName>
    <definedName name="ㅈㄱ" localSheetId="15" hidden="1">{"'5국공정'!$A$1:$E$128"}</definedName>
    <definedName name="ㅈㄱ" hidden="1">{"'5국공정'!$A$1:$E$128"}</definedName>
    <definedName name="ㅈㄷ">[56]준공정산!#REF!</definedName>
    <definedName name="ㅈㄷㄱㄷㄱㄷ" localSheetId="22" hidden="1">{"'용역비'!$A$4:$C$8"}</definedName>
    <definedName name="ㅈㄷㄱㄷㄱㄷ" localSheetId="34" hidden="1">{"'용역비'!$A$4:$C$8"}</definedName>
    <definedName name="ㅈㄷㄱㄷㄱㄷ" localSheetId="35" hidden="1">{"'용역비'!$A$4:$C$8"}</definedName>
    <definedName name="ㅈㄷㄱㄷㄱㄷ" localSheetId="36" hidden="1">{"'용역비'!$A$4:$C$8"}</definedName>
    <definedName name="ㅈㄷㄱㄷㄱㄷ" localSheetId="37" hidden="1">{"'용역비'!$A$4:$C$8"}</definedName>
    <definedName name="ㅈㄷㄱㄷㄱㄷ" localSheetId="13" hidden="1">{"'용역비'!$A$4:$C$8"}</definedName>
    <definedName name="ㅈㄷㄱㄷㄱㄷ" localSheetId="15" hidden="1">{"'용역비'!$A$4:$C$8"}</definedName>
    <definedName name="ㅈㄷㄱㄷㄱㄷ" hidden="1">{"'용역비'!$A$4:$C$8"}</definedName>
    <definedName name="ㅈㄷㄱㅈㄷㄱ" localSheetId="13" hidden="1">{"'5국공정'!$A$1:$E$128"}</definedName>
    <definedName name="ㅈㄷㄱㅈㄷㄱ" localSheetId="15" hidden="1">{"'5국공정'!$A$1:$E$128"}</definedName>
    <definedName name="ㅈㄷㄱㅈㄷㄱ" hidden="1">{"'5국공정'!$A$1:$E$128"}</definedName>
    <definedName name="ㅈㅅ" localSheetId="13" hidden="1">{"'5국공정'!$A$1:$E$128"}</definedName>
    <definedName name="ㅈㅅ" localSheetId="15" hidden="1">{"'5국공정'!$A$1:$E$128"}</definedName>
    <definedName name="ㅈㅅ" hidden="1">{"'5국공정'!$A$1:$E$128"}</definedName>
    <definedName name="ㅈㅇ" localSheetId="22" hidden="1">{"'용역비'!$A$4:$C$8"}</definedName>
    <definedName name="ㅈㅇ" localSheetId="34" hidden="1">{"'용역비'!$A$4:$C$8"}</definedName>
    <definedName name="ㅈㅇ" localSheetId="35" hidden="1">{"'용역비'!$A$4:$C$8"}</definedName>
    <definedName name="ㅈㅇ" localSheetId="36" hidden="1">{"'용역비'!$A$4:$C$8"}</definedName>
    <definedName name="ㅈㅇ" localSheetId="37" hidden="1">{"'용역비'!$A$4:$C$8"}</definedName>
    <definedName name="ㅈㅇ" localSheetId="13" hidden="1">{"'용역비'!$A$4:$C$8"}</definedName>
    <definedName name="ㅈㅇ" localSheetId="15" hidden="1">{"'용역비'!$A$4:$C$8"}</definedName>
    <definedName name="ㅈㅇ" hidden="1">{"'용역비'!$A$4:$C$8"}</definedName>
    <definedName name="ㅈㅈ">#REF!</definedName>
    <definedName name="ㅈㅈㅈ" localSheetId="22" hidden="1">{"'용역비'!$A$4:$C$8"}</definedName>
    <definedName name="ㅈㅈㅈ" localSheetId="13" hidden="1">{"'용역비'!$A$4:$C$8"}</definedName>
    <definedName name="ㅈㅈㅈ" localSheetId="15" hidden="1">{"'용역비'!$A$4:$C$8"}</definedName>
    <definedName name="ㅈㅈㅈ" hidden="1">{"'용역비'!$A$4:$C$8"}</definedName>
    <definedName name="ㅈㅈㅈㅈ" localSheetId="29" hidden="1">[42]조명시설!#REF!</definedName>
    <definedName name="ㅈㅈㅈㅈ" localSheetId="19" hidden="1">[42]조명시설!#REF!</definedName>
    <definedName name="ㅈㅈㅈㅈ" hidden="1">[42]조명시설!#REF!</definedName>
    <definedName name="ㅈㅈㅈㅈㅈㅈ" localSheetId="22" hidden="1">{"'용역비'!$A$4:$C$8"}</definedName>
    <definedName name="ㅈㅈㅈㅈㅈㅈ" localSheetId="34" hidden="1">{"'용역비'!$A$4:$C$8"}</definedName>
    <definedName name="ㅈㅈㅈㅈㅈㅈ" localSheetId="35" hidden="1">{"'용역비'!$A$4:$C$8"}</definedName>
    <definedName name="ㅈㅈㅈㅈㅈㅈ" localSheetId="36" hidden="1">{"'용역비'!$A$4:$C$8"}</definedName>
    <definedName name="ㅈㅈㅈㅈㅈㅈ" localSheetId="37" hidden="1">{"'용역비'!$A$4:$C$8"}</definedName>
    <definedName name="ㅈㅈㅈㅈㅈㅈ" localSheetId="13" hidden="1">{"'용역비'!$A$4:$C$8"}</definedName>
    <definedName name="ㅈㅈㅈㅈㅈㅈ" localSheetId="15" hidden="1">{"'용역비'!$A$4:$C$8"}</definedName>
    <definedName name="ㅈㅈㅈㅈㅈㅈ" hidden="1">{"'용역비'!$A$4:$C$8"}</definedName>
    <definedName name="자">#REF!</definedName>
    <definedName name="자R10">[72]계수시트!$B$4</definedName>
    <definedName name="자R15">[72]계수시트!$B$2</definedName>
    <definedName name="자R20">[72]계수시트!$B$1</definedName>
    <definedName name="자R5">[72]계수시트!$B$8</definedName>
    <definedName name="자R6">[72]계수시트!$B$7</definedName>
    <definedName name="자R7">[72]계수시트!$B$6</definedName>
    <definedName name="자R8">[72]계수시트!$B$5</definedName>
    <definedName name="자W0.3">[72]계수시트!$B$9</definedName>
    <definedName name="자W0.4">[72]계수시트!$B$10</definedName>
    <definedName name="자W0.5">[72]계수시트!$B$11</definedName>
    <definedName name="자W0.6">[72]계수시트!$B$12</definedName>
    <definedName name="자W0.8">[72]계수시트!$B$13</definedName>
    <definedName name="자W1.0">[72]계수시트!$B$14</definedName>
    <definedName name="자W1.2">[72]계수시트!$B$15</definedName>
    <definedName name="자간" localSheetId="13">'8-2.설비자재산출(무인보안)'!자간</definedName>
    <definedName name="자간" localSheetId="15">'8-4.일위대가표'!자간</definedName>
    <definedName name="자간">'8-2.설비자재산출(무인보안)'!자간</definedName>
    <definedName name="자갈경">[88]단가!$A$5</definedName>
    <definedName name="자갈노">[88]단가!$A$3</definedName>
    <definedName name="자갈재">[88]단가!$A$4</definedName>
    <definedName name="자갈포설" localSheetId="13" hidden="1">{#N/A,#N/A,FALSE,"현장 NCR 분석";#N/A,#N/A,FALSE,"현장품질감사";#N/A,#N/A,FALSE,"현장품질감사"}</definedName>
    <definedName name="자갈포설" localSheetId="15" hidden="1">{#N/A,#N/A,FALSE,"현장 NCR 분석";#N/A,#N/A,FALSE,"현장품질감사";#N/A,#N/A,FALSE,"현장품질감사"}</definedName>
    <definedName name="자갈포설" hidden="1">{#N/A,#N/A,FALSE,"현장 NCR 분석";#N/A,#N/A,FALSE,"현장품질감사";#N/A,#N/A,FALSE,"현장품질감사"}</definedName>
    <definedName name="자귀">[50]단가!$A$133</definedName>
    <definedName name="자금구분">#REF!</definedName>
    <definedName name="자동안내방송설비">#REF!</definedName>
    <definedName name="자동전화기신설">#REF!</definedName>
    <definedName name="자동전화기이설">#REF!</definedName>
    <definedName name="자동전화기철거">#REF!</definedName>
    <definedName name="자동화재탐지설비" localSheetId="13">[31]수량산출1!$A$632:$AB$699</definedName>
    <definedName name="자동화재탐지설비">[32]수량산출1!$A$632:$AB$699</definedName>
    <definedName name="자리" localSheetId="13">'8-2.설비자재산출(무인보안)'!자리</definedName>
    <definedName name="자리" localSheetId="15">'8-4.일위대가표'!자리</definedName>
    <definedName name="자리">'8-2.설비자재산출(무인보안)'!자리</definedName>
    <definedName name="자미" localSheetId="13" hidden="1">{#N/A,#N/A,FALSE,"명세표"}</definedName>
    <definedName name="자미" hidden="1">{#N/A,#N/A,FALSE,"명세표"}</definedName>
    <definedName name="자석전화기" localSheetId="13">'8-2.설비자재산출(무인보안)'!자석전화기</definedName>
    <definedName name="자석전화기" localSheetId="15">'8-4.일위대가표'!자석전화기</definedName>
    <definedName name="자석전화기">'8-2.설비자재산출(무인보안)'!자석전화기</definedName>
    <definedName name="자석전화기1" localSheetId="13">'8-2.설비자재산출(무인보안)'!자석전화기1</definedName>
    <definedName name="자석전화기1" localSheetId="15">'8-4.일위대가표'!자석전화기1</definedName>
    <definedName name="자석전화기1">'8-2.설비자재산출(무인보안)'!자석전화기1</definedName>
    <definedName name="자수" localSheetId="13">'8-2.설비자재산출(무인보안)'!자수</definedName>
    <definedName name="자수" localSheetId="15">'8-4.일위대가표'!자수</definedName>
    <definedName name="자수">'8-2.설비자재산출(무인보안)'!자수</definedName>
    <definedName name="자식전화기" localSheetId="13">'8-2.설비자재산출(무인보안)'!자식전화기</definedName>
    <definedName name="자식전화기" localSheetId="15">'8-4.일위대가표'!자식전화기</definedName>
    <definedName name="자식전화기">'8-2.설비자재산출(무인보안)'!자식전화기</definedName>
    <definedName name="자연석1">[50]단가!$A$162</definedName>
    <definedName name="자연석2">[50]단가!$A$163</definedName>
    <definedName name="자연석3">[50]단가!$A$164</definedName>
    <definedName name="자연석경">[142]시설물일위!#REF!</definedName>
    <definedName name="자연석노">[142]시설물일위!#REF!</definedName>
    <definedName name="자연석쌓기경">[88]시설물!#REF!</definedName>
    <definedName name="자연석쌓기노">[88]시설물!#REF!</definedName>
    <definedName name="자연석쌓기재">[88]시설물!#REF!</definedName>
    <definedName name="자연석재">[142]시설물일위!#REF!</definedName>
    <definedName name="자자자자" localSheetId="29" hidden="1">#REF!</definedName>
    <definedName name="자자자자" localSheetId="32" hidden="1">#REF!</definedName>
    <definedName name="자자자자" localSheetId="27" hidden="1">#REF!</definedName>
    <definedName name="자자자자" localSheetId="30" hidden="1">#REF!</definedName>
    <definedName name="자자자자" localSheetId="13" hidden="1">#REF!</definedName>
    <definedName name="자자자자" localSheetId="15" hidden="1">#REF!</definedName>
    <definedName name="자자자자" localSheetId="19" hidden="1">#REF!</definedName>
    <definedName name="자자자자" hidden="1">#REF!</definedName>
    <definedName name="자재">#REF!</definedName>
    <definedName name="자재_f">#REF!</definedName>
    <definedName name="자재2" localSheetId="13" hidden="1">{#N/A,#N/A,FALSE,"구조2"}</definedName>
    <definedName name="자재2" hidden="1">{#N/A,#N/A,FALSE,"구조2"}</definedName>
    <definedName name="자재단가">[7]!자재단가</definedName>
    <definedName name="자재단가수정완료">[7]!자재단가수정완료</definedName>
    <definedName name="자재단가표" localSheetId="13">[31]자재단가표!$A$4:$N$168</definedName>
    <definedName name="자재단가표">[32]자재단가표!$A$4:$N$168</definedName>
    <definedName name="자재변경" localSheetId="13">[82]자재비변경!$J$6</definedName>
    <definedName name="자재변경">[83]자재비변경!$J$6</definedName>
    <definedName name="자재산출내역" localSheetId="13">'8-2.설비자재산출(무인보안)'!자재산출내역</definedName>
    <definedName name="자재산출내역" localSheetId="15">'8-4.일위대가표'!자재산출내역</definedName>
    <definedName name="자재산출내역">'8-2.설비자재산출(무인보안)'!자재산출내역</definedName>
    <definedName name="자재산출내역서" localSheetId="13">'8-2.설비자재산출(무인보안)'!자재산출내역서</definedName>
    <definedName name="자재산출내역서" localSheetId="15">'8-4.일위대가표'!자재산출내역서</definedName>
    <definedName name="자재산출내역서">'8-2.설비자재산출(무인보안)'!자재산출내역서</definedName>
    <definedName name="자재식별" localSheetId="13">[121]기별!$A$1:$A$65536</definedName>
    <definedName name="자재식별">[122]기별!$A$1:$A$65536</definedName>
    <definedName name="자재집계" localSheetId="13" hidden="1">{"'5국공정'!$A$1:$E$128"}</definedName>
    <definedName name="자재집계" localSheetId="15" hidden="1">{"'5국공정'!$A$1:$E$128"}</definedName>
    <definedName name="자재집계" hidden="1">{"'5국공정'!$A$1:$E$128"}</definedName>
    <definedName name="자재집계1" localSheetId="13" hidden="1">{"'5국공정'!$A$1:$E$128"}</definedName>
    <definedName name="자재집계1" localSheetId="15" hidden="1">{"'5국공정'!$A$1:$E$128"}</definedName>
    <definedName name="자재집계1" hidden="1">{"'5국공정'!$A$1:$E$128"}</definedName>
    <definedName name="자재집계표" localSheetId="13" hidden="1">{"'5국공정'!$A$1:$E$128"}</definedName>
    <definedName name="자재집계표" localSheetId="15" hidden="1">{"'5국공정'!$A$1:$E$128"}</definedName>
    <definedName name="자재집계표" hidden="1">{"'5국공정'!$A$1:$E$128"}</definedName>
    <definedName name="자재합계">#REF!</definedName>
    <definedName name="자주" localSheetId="13">'8-2.설비자재산출(무인보안)'!자주</definedName>
    <definedName name="자주" localSheetId="15">'8-4.일위대가표'!자주</definedName>
    <definedName name="자주">'8-2.설비자재산출(무인보안)'!자주</definedName>
    <definedName name="자진" localSheetId="13">'8-2.설비자재산출(무인보안)'!자진</definedName>
    <definedName name="자진" localSheetId="15">'8-4.일위대가표'!자진</definedName>
    <definedName name="자진">'8-2.설비자재산출(무인보안)'!자진</definedName>
    <definedName name="작_업_반_장">#REF!</definedName>
    <definedName name="작성월">#REF!</definedName>
    <definedName name="작성일">#REF!</definedName>
    <definedName name="작성자" localSheetId="13">[91]기초자료입력!$B$19</definedName>
    <definedName name="작성자">[180]기초자료입력!$B$19</definedName>
    <definedName name="작업반장">#REF!</definedName>
    <definedName name="작업부산물">#REF!</definedName>
    <definedName name="작업설부산물">#REF!</definedName>
    <definedName name="잔">#REF!</definedName>
    <definedName name="잔디">#REF!</definedName>
    <definedName name="잔디1">[87]단가조사!#REF!</definedName>
    <definedName name="잔디5경">#REF!</definedName>
    <definedName name="잔디5노무">#REF!</definedName>
    <definedName name="잔디5재료">#REF!</definedName>
    <definedName name="잔자갈노">#REF!</definedName>
    <definedName name="잔자갈재">#REF!</definedName>
    <definedName name="잔토">#REF!</definedName>
    <definedName name="잔토경">[116]일위대가!#REF!</definedName>
    <definedName name="잔토노">[116]일위대가!#REF!</definedName>
    <definedName name="잔토재">[116]일위대가!#REF!</definedName>
    <definedName name="잘못">#REF!</definedName>
    <definedName name="잠__수__부">#REF!</definedName>
    <definedName name="잠__함__공">#REF!</definedName>
    <definedName name="잠수공">#REF!</definedName>
    <definedName name="잠수부">#REF!</definedName>
    <definedName name="잠실" localSheetId="2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잠실"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잠실"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잠실"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잡석">[50]단가!$A$5</definedName>
    <definedName name="잡석노">#REF!</definedName>
    <definedName name="잡석재">#REF!</definedName>
    <definedName name="잡자재비">#REF!</definedName>
    <definedName name="잡재료계">#REF!</definedName>
    <definedName name="잡재료비">#REF!</definedName>
    <definedName name="잡철경">[50]단가!$A$42</definedName>
    <definedName name="잡철공사"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잡철공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잡철노">[50]단가!$A$40</definedName>
    <definedName name="잡철재">[50]단가!$A$41</definedName>
    <definedName name="잣나무10노무">#REF!</definedName>
    <definedName name="잣나무10재료">#REF!</definedName>
    <definedName name="잣나무15노무">#REF!</definedName>
    <definedName name="잣나무15재료">#REF!</definedName>
    <definedName name="잣나무18노무">#REF!</definedName>
    <definedName name="잣나무18재료">#REF!</definedName>
    <definedName name="잣나무20노무">#REF!</definedName>
    <definedName name="잣나무20재료">#REF!</definedName>
    <definedName name="잣나무22노무">#REF!</definedName>
    <definedName name="잣나무22재료">#REF!</definedName>
    <definedName name="장">BlankMacro1</definedName>
    <definedName name="장구">#REF!</definedName>
    <definedName name="장림SS" localSheetId="13">'8-2.설비자재산출(무인보안)'!장림SS</definedName>
    <definedName name="장림SS" localSheetId="15">'8-4.일위대가표'!장림SS</definedName>
    <definedName name="장림SS">'8-2.설비자재산출(무인보안)'!장림SS</definedName>
    <definedName name="장병은">BlankMacro1</definedName>
    <definedName name="장볼트">#REF!</definedName>
    <definedName name="장비결선도1" localSheetId="13">'8-2.설비자재산출(무인보안)'!장비결선도1</definedName>
    <definedName name="장비결선도1" localSheetId="15">'8-4.일위대가표'!장비결선도1</definedName>
    <definedName name="장비결선도1">'8-2.설비자재산출(무인보안)'!장비결선도1</definedName>
    <definedName name="장비내역" localSheetId="29" hidden="1">#REF!</definedName>
    <definedName name="장비내역" localSheetId="32" hidden="1">#REF!</definedName>
    <definedName name="장비내역" localSheetId="27" hidden="1">#REF!</definedName>
    <definedName name="장비내역" localSheetId="30" hidden="1">#REF!</definedName>
    <definedName name="장비내역" localSheetId="13" hidden="1">#REF!</definedName>
    <definedName name="장비내역" localSheetId="15" hidden="1">#REF!</definedName>
    <definedName name="장비내역" localSheetId="19" hidden="1">#REF!</definedName>
    <definedName name="장비내역" hidden="1">#REF!</definedName>
    <definedName name="장비부표">#REF!</definedName>
    <definedName name="재" localSheetId="29" hidden="1">#REF!</definedName>
    <definedName name="재" localSheetId="13" hidden="1">#REF!</definedName>
    <definedName name="재" localSheetId="19" hidden="1">#REF!</definedName>
    <definedName name="재" hidden="1">#REF!</definedName>
    <definedName name="재료" localSheetId="29">#REF!</definedName>
    <definedName name="재료" localSheetId="32">#REF!</definedName>
    <definedName name="재료" localSheetId="27">#REF!</definedName>
    <definedName name="재료" localSheetId="30">#REF!</definedName>
    <definedName name="재료" localSheetId="19">#REF!</definedName>
    <definedName name="재료">#REF!</definedName>
    <definedName name="재료.">#REF!</definedName>
    <definedName name="재료_1">[16]설계명세서!#REF!</definedName>
    <definedName name="재료1" localSheetId="29">[97]설계명세서!#REF!</definedName>
    <definedName name="재료1" localSheetId="32">[97]설계명세서!#REF!</definedName>
    <definedName name="재료1" localSheetId="27">[97]설계명세서!#REF!</definedName>
    <definedName name="재료1" localSheetId="30">[97]설계명세서!#REF!</definedName>
    <definedName name="재료1" localSheetId="19">[97]설계명세서!#REF!</definedName>
    <definedName name="재료1">[97]설계명세서!#REF!</definedName>
    <definedName name="재료2" localSheetId="2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재료2"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재료2"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재료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재료3">#REF!</definedName>
    <definedName name="재료바계">#REF!</definedName>
    <definedName name="재료비" localSheetId="13">'[73]7.설계명세서(통합보안)'!$G$5</definedName>
    <definedName name="재료비">#REF!</definedName>
    <definedName name="재료비_1">#REF!</definedName>
    <definedName name="재료비_2">#REF!</definedName>
    <definedName name="재료비1">#REF!</definedName>
    <definedName name="재료비2">#REF!</definedName>
    <definedName name="재료비3">#REF!</definedName>
    <definedName name="재료비4">#REF!</definedName>
    <definedName name="재료비5">#REF!</definedName>
    <definedName name="재료비A">#REF!</definedName>
    <definedName name="재료비계">#REF!</definedName>
    <definedName name="재료비계." localSheetId="13">[96]설계!$G$27</definedName>
    <definedName name="재료비계.">[97]설계!$G$27</definedName>
    <definedName name="재료비합">#REF!</definedName>
    <definedName name="재료비합계">#REF!</definedName>
    <definedName name="재료집계2">#REF!</definedName>
    <definedName name="재료집계3">#REF!</definedName>
    <definedName name="재료집계호남">#REF!</definedName>
    <definedName name="재료표">#REF!</definedName>
    <definedName name="재비">#REF!</definedName>
    <definedName name="재사용케이블" localSheetId="13">[121]기별!$X$1:$X$65536</definedName>
    <definedName name="재사용케이블">[122]기별!$X$1:$X$65536</definedName>
    <definedName name="재석표시기신설">#REF!</definedName>
    <definedName name="재석표시기이설">#REF!</definedName>
    <definedName name="재석표시기철거">#REF!</definedName>
    <definedName name="잭오십">#REF!</definedName>
    <definedName name="저ㄴ" localSheetId="13" hidden="1">{#N/A,#N/A,FALSE,"회선임차현황"}</definedName>
    <definedName name="저ㄴ" localSheetId="15" hidden="1">{#N/A,#N/A,FALSE,"회선임차현황"}</definedName>
    <definedName name="저ㄴ" hidden="1">{#N/A,#N/A,FALSE,"회선임차현황"}</definedName>
    <definedName name="저압">#REF!</definedName>
    <definedName name="저압공" localSheetId="13">[181]노임단가표!$D$9</definedName>
    <definedName name="저압공">[182]노임단가표!$D$9</definedName>
    <definedName name="저압케공" localSheetId="13">[112]인부임!$F$8</definedName>
    <definedName name="저압케공">[113]인부임!$F$8</definedName>
    <definedName name="저압케이블공" localSheetId="29">#REF!</definedName>
    <definedName name="저압케이블공" localSheetId="32">#REF!</definedName>
    <definedName name="저압케이블공" localSheetId="27">#REF!</definedName>
    <definedName name="저압케이블공" localSheetId="30">#REF!</definedName>
    <definedName name="저압케이블공" localSheetId="19">#REF!</definedName>
    <definedName name="저압케이블공">#REF!</definedName>
    <definedName name="저압케이블전공">#REF!</definedName>
    <definedName name="저케공">#REF!</definedName>
    <definedName name="적상하시간">#REF!</definedName>
    <definedName name="적용" localSheetId="29" hidden="1">#REF!</definedName>
    <definedName name="적용" localSheetId="32" hidden="1">#REF!</definedName>
    <definedName name="적용" localSheetId="27" hidden="1">#REF!</definedName>
    <definedName name="적용" localSheetId="30" hidden="1">#REF!</definedName>
    <definedName name="적용" localSheetId="13" hidden="1">#REF!</definedName>
    <definedName name="적용" localSheetId="15" hidden="1">#REF!</definedName>
    <definedName name="적용" localSheetId="19" hidden="1">#REF!</definedName>
    <definedName name="적용" hidden="1">#REF!</definedName>
    <definedName name="적용단가1" localSheetId="13" hidden="1">{#N/A,#N/A,FALSE,"현장 NCR 분석";#N/A,#N/A,FALSE,"현장품질감사";#N/A,#N/A,FALSE,"현장품질감사"}</definedName>
    <definedName name="적용단가1" hidden="1">{#N/A,#N/A,FALSE,"현장 NCR 분석";#N/A,#N/A,FALSE,"현장품질감사";#N/A,#N/A,FALSE,"현장품질감사"}</definedName>
    <definedName name="적용대가산출표">#REF!</definedName>
    <definedName name="적용이윤">#REF!</definedName>
    <definedName name="적재속도">#REF!</definedName>
    <definedName name="전" localSheetId="13" hidden="1">{#N/A,#N/A,FALSE,"회선임차현황"}</definedName>
    <definedName name="전" localSheetId="15" hidden="1">{#N/A,#N/A,FALSE,"회선임차현황"}</definedName>
    <definedName name="전" hidden="1">{#N/A,#N/A,FALSE,"회선임차현황"}</definedName>
    <definedName name="전공">'[135]적용기준표(98년상반기)'!#REF!</definedName>
    <definedName name="전기공사기사">#REF!</definedName>
    <definedName name="전기공사기사1급">#REF!</definedName>
    <definedName name="전기공사기사2급">#REF!</definedName>
    <definedName name="전기노임">#REF!</definedName>
    <definedName name="전기산정표" localSheetId="29">#REF!,#REF!</definedName>
    <definedName name="전기산정표" localSheetId="13">#REF!,#REF!</definedName>
    <definedName name="전기산정표" localSheetId="19">#REF!,#REF!</definedName>
    <definedName name="전기산정표">#REF!,#REF!</definedName>
    <definedName name="전기손료">#REF!</definedName>
    <definedName name="전기재료관">#REF!</definedName>
    <definedName name="전기할증">#REF!</definedName>
    <definedName name="전력">#REF!</definedName>
    <definedName name="전력공급기">#REF!</definedName>
    <definedName name="전력구1" localSheetId="13" hidden="1">{#N/A,#N/A,FALSE,"골재소요량";#N/A,#N/A,FALSE,"골재소요량"}</definedName>
    <definedName name="전력구1" hidden="1">{#N/A,#N/A,FALSE,"골재소요량";#N/A,#N/A,FALSE,"골재소요량"}</definedName>
    <definedName name="전력삽입기">#REF!</definedName>
    <definedName name="전민철">#N/A</definedName>
    <definedName name="전북">#REF!</definedName>
    <definedName name="전서오" localSheetId="13" hidden="1">{#N/A,#N/A,FALSE,"현장 NCR 분석";#N/A,#N/A,FALSE,"현장품질감사";#N/A,#N/A,FALSE,"현장품질감사"}</definedName>
    <definedName name="전서오" localSheetId="15" hidden="1">{#N/A,#N/A,FALSE,"현장 NCR 분석";#N/A,#N/A,FALSE,"현장품질감사";#N/A,#N/A,FALSE,"현장품질감사"}</definedName>
    <definedName name="전서오" hidden="1">{#N/A,#N/A,FALSE,"현장 NCR 분석";#N/A,#N/A,FALSE,"현장품질감사";#N/A,#N/A,FALSE,"현장품질감사"}</definedName>
    <definedName name="전선공드럼해체">#REF!</definedName>
    <definedName name="전선관">#REF!</definedName>
    <definedName name="전선관PE" localSheetId="13">[29]소요자재!$H$230</definedName>
    <definedName name="전선관PE">[30]소요자재!$H$230</definedName>
    <definedName name="전선조장" localSheetId="29" hidden="1">#REF!</definedName>
    <definedName name="전선조장" localSheetId="32" hidden="1">#REF!</definedName>
    <definedName name="전선조장" localSheetId="27" hidden="1">#REF!</definedName>
    <definedName name="전선조장" localSheetId="30" hidden="1">#REF!</definedName>
    <definedName name="전선조장" localSheetId="13" hidden="1">#REF!</definedName>
    <definedName name="전선조장" localSheetId="15" hidden="1">#REF!</definedName>
    <definedName name="전선조장" localSheetId="19" hidden="1">#REF!</definedName>
    <definedName name="전선조장" hidden="1">#REF!</definedName>
    <definedName name="전송155">#REF!</definedName>
    <definedName name="전송45">#REF!</definedName>
    <definedName name="전송4E1">#REF!</definedName>
    <definedName name="전원">#REF!</definedName>
    <definedName name="전원공급기">#REF!</definedName>
    <definedName name="전원분배반">#REF!</definedName>
    <definedName name="전원선" localSheetId="13">[29]소요자재!$H$180</definedName>
    <definedName name="전원선">#REF!</definedName>
    <definedName name="전원선1">#REF!</definedName>
    <definedName name="전원선A">#REF!</definedName>
    <definedName name="전원선시설1">#REF!</definedName>
    <definedName name="전원선시설A">#REF!</definedName>
    <definedName name="전원선포설">#REF!</definedName>
    <definedName name="전원선포설1">#REF!</definedName>
    <definedName name="전원케이블">#REF!</definedName>
    <definedName name="전원케이블1" localSheetId="13">[29]노무산출서!$H$32</definedName>
    <definedName name="전원케이블1">[30]노무산출서!$H$32</definedName>
    <definedName name="전원케이블포설">[38]노무산출서!#REF!</definedName>
    <definedName name="전원포설">#REF!</definedName>
    <definedName name="전자시계신설">#REF!</definedName>
    <definedName name="전자시계이설">#REF!</definedName>
    <definedName name="전자시계철거">#REF!</definedName>
    <definedName name="전주">#REF!</definedName>
    <definedName name="전주1">#REF!</definedName>
    <definedName name="전주2">#REF!</definedName>
    <definedName name="전주A">#REF!</definedName>
    <definedName name="전주T.C배치도" localSheetId="13" hidden="1">{#N/A,#N/A,FALSE,"회선임차현황"}</definedName>
    <definedName name="전주T.C배치도" localSheetId="15" hidden="1">{#N/A,#N/A,FALSE,"회선임차현황"}</definedName>
    <definedName name="전주T.C배치도" hidden="1">{#N/A,#N/A,FALSE,"회선임차현황"}</definedName>
    <definedName name="전주건주">#REF!</definedName>
    <definedName name="전주기계시공8">#REF!</definedName>
    <definedName name="전주기계화시공">#REF!</definedName>
    <definedName name="전주설치">#REF!</definedName>
    <definedName name="전주인력시공">#REF!</definedName>
    <definedName name="전주인력시공8">#REF!</definedName>
    <definedName name="전체">#REF!</definedName>
    <definedName name="전화및TV공시청설비">#REF!</definedName>
    <definedName name="전회와수급">[183]기성내역!$I$8:$L$1067</definedName>
    <definedName name="절" localSheetId="29" hidden="1">[110]유림골조!#REF!</definedName>
    <definedName name="절" localSheetId="13" hidden="1">[110]유림골조!#REF!</definedName>
    <definedName name="절" localSheetId="19" hidden="1">[110]유림골조!#REF!</definedName>
    <definedName name="절" hidden="1">[110]유림골조!#REF!</definedName>
    <definedName name="절__단__공">#REF!</definedName>
    <definedName name="절감내역" localSheetId="29" hidden="1">#REF!</definedName>
    <definedName name="절감내역" localSheetId="32" hidden="1">#REF!</definedName>
    <definedName name="절감내역" localSheetId="27" hidden="1">#REF!</definedName>
    <definedName name="절감내역" localSheetId="30" hidden="1">#REF!</definedName>
    <definedName name="절감내역" localSheetId="13" hidden="1">#REF!</definedName>
    <definedName name="절감내역" localSheetId="15" hidden="1">#REF!</definedName>
    <definedName name="절감내역" localSheetId="19" hidden="1">#REF!</definedName>
    <definedName name="절감내역" hidden="1">#REF!</definedName>
    <definedName name="절단" localSheetId="13" hidden="1">{#N/A,#N/A,FALSE,"골재소요량";#N/A,#N/A,FALSE,"골재소요량"}</definedName>
    <definedName name="절단" hidden="1">{#N/A,#N/A,FALSE,"골재소요량";#N/A,#N/A,FALSE,"골재소요량"}</definedName>
    <definedName name="절단경비">#REF!</definedName>
    <definedName name="절단공">#REF!</definedName>
    <definedName name="절단노무비">#REF!</definedName>
    <definedName name="절단재료비">#REF!</definedName>
    <definedName name="절대공기">#REF!</definedName>
    <definedName name="절사">#REF!</definedName>
    <definedName name="절연비닐">#REF!</definedName>
    <definedName name="절연비닐A">#REF!</definedName>
    <definedName name="절취">#REF!</definedName>
    <definedName name="점수표">#REF!</definedName>
    <definedName name="점토노">#REF!</definedName>
    <definedName name="점토재">#REF!</definedName>
    <definedName name="점퍼1">#REF!</definedName>
    <definedName name="점퍼2">#REF!</definedName>
    <definedName name="점퍼3">#REF!</definedName>
    <definedName name="점퍼A">#REF!</definedName>
    <definedName name="점퍼B">#REF!</definedName>
    <definedName name="점퍼C">#REF!</definedName>
    <definedName name="점퍼카드2">[45]소요자재!#REF!</definedName>
    <definedName name="점퍼카드3">[45]소요자재!#REF!</definedName>
    <definedName name="점퍼카드4">[45]소요자재!#REF!</definedName>
    <definedName name="점퍼코드">#REF!</definedName>
    <definedName name="점퍼코드1" localSheetId="13">[6]소요자재!$H$11</definedName>
    <definedName name="점퍼코드1">[23]소요자재!$H$11</definedName>
    <definedName name="점퍼코드10" localSheetId="13">[6]소요자재!$H$61</definedName>
    <definedName name="점퍼코드10">[23]소요자재!$H$61</definedName>
    <definedName name="점퍼코드11" localSheetId="13">[6]소요자재!$H$63</definedName>
    <definedName name="점퍼코드11">[23]소요자재!$H$63</definedName>
    <definedName name="점퍼코드12" localSheetId="13">[6]소요자재!$H$62</definedName>
    <definedName name="점퍼코드12">[23]소요자재!$H$62</definedName>
    <definedName name="점퍼코드2" localSheetId="13">[6]소요자재!$H$12</definedName>
    <definedName name="점퍼코드2">[23]소요자재!$H$12</definedName>
    <definedName name="점퍼코드3" localSheetId="13">[6]소요자재!$H$13</definedName>
    <definedName name="점퍼코드3">[23]소요자재!$H$13</definedName>
    <definedName name="점퍼코드4" localSheetId="13">[6]소요자재!$H$14</definedName>
    <definedName name="점퍼코드4">[23]소요자재!$H$14</definedName>
    <definedName name="점퍼코드5" localSheetId="13">[6]소요자재!$H$33</definedName>
    <definedName name="점퍼코드5">[23]소요자재!$H$33</definedName>
    <definedName name="점퍼코드6" localSheetId="13">[6]소요자재!$H$34</definedName>
    <definedName name="점퍼코드6">[23]소요자재!$H$34</definedName>
    <definedName name="점퍼코드7" localSheetId="13">[6]소요자재!$H$35</definedName>
    <definedName name="점퍼코드7">[23]소요자재!$H$35</definedName>
    <definedName name="점퍼코드8" localSheetId="13">[6]소요자재!$H$36</definedName>
    <definedName name="점퍼코드8">[23]소요자재!$H$36</definedName>
    <definedName name="점퍼코드9" localSheetId="13">[6]소요자재!$H$60</definedName>
    <definedName name="점퍼코드9">[23]소요자재!$H$60</definedName>
    <definedName name="접강남">#REF!</definedName>
    <definedName name="접광교">#REF!</definedName>
    <definedName name="접광주">#REF!</definedName>
    <definedName name="접대구">#REF!</definedName>
    <definedName name="접대전">#REF!</definedName>
    <definedName name="접동교">#REF!</definedName>
    <definedName name="접르네상스">#REF!</definedName>
    <definedName name="접발산">#REF!</definedName>
    <definedName name="접방배">#REF!</definedName>
    <definedName name="접보라매">#REF!</definedName>
    <definedName name="접본사">#REF!</definedName>
    <definedName name="접사당">#REF!</definedName>
    <definedName name="접삼성">#REF!</definedName>
    <definedName name="접삼풍">#REF!</definedName>
    <definedName name="접서초">#REF!</definedName>
    <definedName name="접속">#REF!</definedName>
    <definedName name="접속1">#REF!</definedName>
    <definedName name="접속2">#REF!</definedName>
    <definedName name="접속3">#REF!</definedName>
    <definedName name="접속4">[184]노무비명세서2!#REF!</definedName>
    <definedName name="접속A">#REF!</definedName>
    <definedName name="접속및단자설치" localSheetId="13">[29]노무산출서!$H$36</definedName>
    <definedName name="접속및단자설치">[38]노무산출서!#REF!</definedName>
    <definedName name="접속잡재료">#REF!</definedName>
    <definedName name="접속전시험">#REF!</definedName>
    <definedName name="접속최종시험">#REF!</definedName>
    <definedName name="접속코어">[68]성단물량!#REF!</definedName>
    <definedName name="접속코어1">[68]성단물량!#REF!</definedName>
    <definedName name="접속코어10">[68]성단물량!#REF!</definedName>
    <definedName name="접속코어2">#REF!</definedName>
    <definedName name="접속코어3">[68]성단물량!#REF!</definedName>
    <definedName name="접속코어4">[68]성단물량!#REF!</definedName>
    <definedName name="접속코어5">[68]성단물량!#REF!</definedName>
    <definedName name="접속코어6">[68]성단물량!#REF!</definedName>
    <definedName name="접속코어7">[68]성단물량!#REF!</definedName>
    <definedName name="접속코어8">[68]성단물량!#REF!</definedName>
    <definedName name="접속코어9">[68]성단물량!#REF!</definedName>
    <definedName name="접속크램프">#REF!</definedName>
    <definedName name="접속클램프">#REF!</definedName>
    <definedName name="접속함체">[68]성단물량!#REF!</definedName>
    <definedName name="접속함체1">[68]성단물량!#REF!</definedName>
    <definedName name="접속함체10">#REF!</definedName>
    <definedName name="접속함체100지중">[38]소요자재!#REF!</definedName>
    <definedName name="접속함체2">#REF!</definedName>
    <definedName name="접속함체20">[38]소요자재!#REF!</definedName>
    <definedName name="접속함체3">[68]성단물량!#REF!</definedName>
    <definedName name="접속함체30">[38]소요자재!#REF!</definedName>
    <definedName name="접속함체30지중">[38]소요자재!#REF!</definedName>
    <definedName name="접속함체4">[68]성단물량!#REF!</definedName>
    <definedName name="접속함체5">[68]성단물량!#REF!</definedName>
    <definedName name="접속함체50">[38]소요자재!#REF!</definedName>
    <definedName name="접속함체50지중">[38]소요자재!#REF!</definedName>
    <definedName name="접속함체6">[68]성단물량!#REF!</definedName>
    <definedName name="접속함체7">[68]성단물량!#REF!</definedName>
    <definedName name="접속함체8">[68]성단물량!#REF!</definedName>
    <definedName name="접속함체9">#REF!</definedName>
    <definedName name="접속후시험">#REF!</definedName>
    <definedName name="접속후시험1">#REF!</definedName>
    <definedName name="접속후시험A">#REF!</definedName>
    <definedName name="접수원">#REF!</definedName>
    <definedName name="접신반포">#REF!</definedName>
    <definedName name="접압구정">#REF!</definedName>
    <definedName name="접울산">#REF!</definedName>
    <definedName name="접울신">#REF!</definedName>
    <definedName name="접울철">#REF!</definedName>
    <definedName name="접인천">#REF!</definedName>
    <definedName name="접잠실">#REF!</definedName>
    <definedName name="접전주">#REF!</definedName>
    <definedName name="접지">#REF!</definedName>
    <definedName name="접지14매설">#REF!</definedName>
    <definedName name="접지2">#REF!</definedName>
    <definedName name="접지38매설">#REF!</definedName>
    <definedName name="접지공사">#REF!</definedName>
    <definedName name="접지매설">#REF!</definedName>
    <definedName name="접지봉">#REF!</definedName>
    <definedName name="접지봉시설">#REF!</definedName>
    <definedName name="접지봉시설1">#REF!</definedName>
    <definedName name="접지봉시설1본">[38]노무산출서!#REF!</definedName>
    <definedName name="접지봉시설2">#REF!</definedName>
    <definedName name="접지봉시설2본">[38]노무산출서!#REF!</definedName>
    <definedName name="접지봉시설3">#REF!</definedName>
    <definedName name="접지봉시설3본">[38]노무산출서!#REF!</definedName>
    <definedName name="접지봉시설A">#REF!</definedName>
    <definedName name="접지봉콘넥타" localSheetId="13">[29]소요자재!$H$218</definedName>
    <definedName name="접지봉콘넥타">[38]소요자재!#REF!</definedName>
    <definedName name="접지선">#REF!</definedName>
    <definedName name="접지선1">#REF!</definedName>
    <definedName name="접지선2">#REF!</definedName>
    <definedName name="접지선50MM" localSheetId="13">[29]소요자재!$H$217</definedName>
    <definedName name="접지선50MM">[30]소요자재!$H$217</definedName>
    <definedName name="접지선A">#REF!</definedName>
    <definedName name="접지선B">#REF!</definedName>
    <definedName name="접지선랙">[38]소요자재!#REF!</definedName>
    <definedName name="접지선매설">#REF!</definedName>
    <definedName name="접지선부설">#REF!</definedName>
    <definedName name="접지선시설" localSheetId="13">[29]노무산출서!$H$78</definedName>
    <definedName name="접지선시설">[38]노무산출서!#REF!</definedName>
    <definedName name="접지선시설1">#REF!</definedName>
    <definedName name="접지선시설2">#REF!</definedName>
    <definedName name="접지선시설A">#REF!</definedName>
    <definedName name="접지선시설옥내">[38]노무산출서!#REF!</definedName>
    <definedName name="접지선시설옥내2">[38]노무산출서!#REF!</definedName>
    <definedName name="접지슬리브">#REF!</definedName>
    <definedName name="접지써비스콘넥터">[38]소요자재!#REF!</definedName>
    <definedName name="접지써콘시설" localSheetId="13">[29]노무산출서!$H$77</definedName>
    <definedName name="접지써콘시설">[30]노무산출서!$H$77</definedName>
    <definedName name="접지자재01"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접지자재01"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접지자재0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접지자재2"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접지자재2"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접지자재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접지케이블">#REF!</definedName>
    <definedName name="접지콘">#REF!</definedName>
    <definedName name="접찌선">[38]소요자재!#REF!</definedName>
    <definedName name="접청담">#REF!</definedName>
    <definedName name="접커">#REF!</definedName>
    <definedName name="접커철">#REF!</definedName>
    <definedName name="접크">#REF!</definedName>
    <definedName name="접크철">#REF!</definedName>
    <definedName name="접화정">#REF!</definedName>
    <definedName name="정">BlankMacro1</definedName>
    <definedName name="정__비__공">#REF!</definedName>
    <definedName name="정간노">#REF!</definedName>
    <definedName name="정간접노무비">#REF!</definedName>
    <definedName name="정경비">#REF!</definedName>
    <definedName name="정근호" localSheetId="22" hidden="1">{#N/A,#N/A,TRUE,"토적및재료집계";#N/A,#N/A,TRUE,"토적및재료집계";#N/A,#N/A,TRUE,"단위량"}</definedName>
    <definedName name="정근호" localSheetId="13" hidden="1">{#N/A,#N/A,TRUE,"토적및재료집계";#N/A,#N/A,TRUE,"토적및재료집계";#N/A,#N/A,TRUE,"단위량"}</definedName>
    <definedName name="정근호" localSheetId="15" hidden="1">{#N/A,#N/A,TRUE,"토적및재료집계";#N/A,#N/A,TRUE,"토적및재료집계";#N/A,#N/A,TRUE,"단위량"}</definedName>
    <definedName name="정근호" hidden="1">{#N/A,#N/A,TRUE,"토적및재료집계";#N/A,#N/A,TRUE,"토적및재료집계";#N/A,#N/A,TRUE,"단위량"}</definedName>
    <definedName name="정노무">#REF!</definedName>
    <definedName name="정노무비">#REF!</definedName>
    <definedName name="정도급경비">#REF!</definedName>
    <definedName name="정도급비" localSheetId="13">[91]준공정산!$H$9</definedName>
    <definedName name="정도급비">[56]준공정산!$H$9</definedName>
    <definedName name="정도장노임">#REF!</definedName>
    <definedName name="정류기">#REF!</definedName>
    <definedName name="정밀" localSheetId="13">'8-2.설비자재산출(무인보안)'!정밀</definedName>
    <definedName name="정밀" localSheetId="15">'8-4.일위대가표'!정밀</definedName>
    <definedName name="정밀">'8-2.설비자재산출(무인보안)'!정밀</definedName>
    <definedName name="정비공">#REF!</definedName>
    <definedName name="정사급재료비">#REF!</definedName>
    <definedName name="정산">#REF!</definedName>
    <definedName name="정산간접노무">#REF!</definedName>
    <definedName name="정산간접노무비">#REF!</definedName>
    <definedName name="정산경비">#REF!</definedName>
    <definedName name="정산노무비">#REF!</definedName>
    <definedName name="정산도급경비">#REF!</definedName>
    <definedName name="정산도급분">#REF!</definedName>
    <definedName name="정산명세서">#REF!</definedName>
    <definedName name="정산명세서111">#REF!</definedName>
    <definedName name="정산변경금액">#REF!</definedName>
    <definedName name="정산사급경비">#REF!</definedName>
    <definedName name="정산사급분">#REF!</definedName>
    <definedName name="정산사급재료">#REF!</definedName>
    <definedName name="정산사급재료비">#REF!</definedName>
    <definedName name="정산원가" localSheetId="29" hidden="1">#REF!</definedName>
    <definedName name="정산원가" localSheetId="32" hidden="1">#REF!</definedName>
    <definedName name="정산원가" localSheetId="27" hidden="1">#REF!</definedName>
    <definedName name="정산원가" localSheetId="30" hidden="1">#REF!</definedName>
    <definedName name="정산원가" localSheetId="13" hidden="1">#REF!</definedName>
    <definedName name="정산원가" localSheetId="15" hidden="1">#REF!</definedName>
    <definedName name="정산원가" localSheetId="19" hidden="1">#REF!</definedName>
    <definedName name="정산원가" hidden="1">#REF!</definedName>
    <definedName name="정산이윤">#REF!</definedName>
    <definedName name="정산일반관리비">#REF!</definedName>
    <definedName name="정산재료비">#REF!</definedName>
    <definedName name="정산증감액">#REF!</definedName>
    <definedName name="정산지입재료">#REF!</definedName>
    <definedName name="정산지입재료비">#REF!</definedName>
    <definedName name="정산직접노무">#REF!</definedName>
    <definedName name="정산직접노무비">#REF!</definedName>
    <definedName name="정산직접재료비" localSheetId="29" hidden="1">#REF!</definedName>
    <definedName name="정산직접재료비" localSheetId="32" hidden="1">#REF!</definedName>
    <definedName name="정산직접재료비" localSheetId="27" hidden="1">#REF!</definedName>
    <definedName name="정산직접재료비" localSheetId="30" hidden="1">#REF!</definedName>
    <definedName name="정산직접재료비" localSheetId="13" hidden="1">#REF!</definedName>
    <definedName name="정산직접재료비" localSheetId="15" hidden="1">#REF!</definedName>
    <definedName name="정산직접재료비" localSheetId="19" hidden="1">#REF!</definedName>
    <definedName name="정산직접재료비" hidden="1">#REF!</definedName>
    <definedName name="정산회사분">#REF!</definedName>
    <definedName name="정외주가공비">#REF!</definedName>
    <definedName name="정웅하" localSheetId="22" hidden="1">{"'광피스표'!$A$3:$N$54"}</definedName>
    <definedName name="정웅하" localSheetId="13" hidden="1">{"'광피스표'!$A$3:$N$54"}</definedName>
    <definedName name="정웅하" localSheetId="15" hidden="1">{"'광피스표'!$A$3:$N$54"}</definedName>
    <definedName name="정웅하" hidden="1">{"'광피스표'!$A$3:$N$54"}</definedName>
    <definedName name="정이윤">#REF!</definedName>
    <definedName name="정일반">#REF!</definedName>
    <definedName name="정일반관리비">#REF!</definedName>
    <definedName name="정자" localSheetId="29" hidden="1">#REF!</definedName>
    <definedName name="정자" localSheetId="32" hidden="1">#REF!</definedName>
    <definedName name="정자" localSheetId="27" hidden="1">#REF!</definedName>
    <definedName name="정자" localSheetId="30" hidden="1">#REF!</definedName>
    <definedName name="정자" localSheetId="13" hidden="1">#REF!</definedName>
    <definedName name="정자" localSheetId="15" hidden="1">#REF!</definedName>
    <definedName name="정자" localSheetId="19" hidden="1">#REF!</definedName>
    <definedName name="정자" hidden="1">#REF!</definedName>
    <definedName name="정전기노임">#REF!</definedName>
    <definedName name="정지입재료비">#REF!</definedName>
    <definedName name="정지재">'[185]간이설계(4-15)'!#REF!</definedName>
    <definedName name="정직노">#REF!</definedName>
    <definedName name="정직접노무비">#REF!</definedName>
    <definedName name="정토공노임">#REF!</definedName>
    <definedName name="정회사경비">#REF!</definedName>
    <definedName name="정훈">#REF!</definedName>
    <definedName name="제__도__사">#REF!</definedName>
    <definedName name="제__재__공">#REF!</definedName>
    <definedName name="제1호표">#REF!</definedName>
    <definedName name="제2호표">#REF!</definedName>
    <definedName name="제3호표">#REF!</definedName>
    <definedName name="제4호표">#REF!</definedName>
    <definedName name="제5호표">#REF!</definedName>
    <definedName name="제6호표">#REF!</definedName>
    <definedName name="제각경비">#REF!</definedName>
    <definedName name="제각경비2">#REF!</definedName>
    <definedName name="제각노무비">#REF!</definedName>
    <definedName name="제각이윤">#REF!</definedName>
    <definedName name="제각일관">#REF!</definedName>
    <definedName name="제각자재">#REF!</definedName>
    <definedName name="제각재료비">#REF!</definedName>
    <definedName name="제각직노">#REF!</definedName>
    <definedName name="제각직접노무비">#REF!</definedName>
    <definedName name="제각직접노무비전">#REF!</definedName>
    <definedName name="제경비" localSheetId="13">[146]설계명세!$H$16</definedName>
    <definedName name="제경비">[148]설계명세!$H$16</definedName>
    <definedName name="제도사">#REF!</definedName>
    <definedName name="제목" localSheetId="13" hidden="1">{#N/A,#N/A,FALSE,"2~8번"}</definedName>
    <definedName name="제목" hidden="1">{#N/A,#N/A,FALSE,"2~8번"}</definedName>
    <definedName name="제본비" localSheetId="13">[146]설계명세!$H$40</definedName>
    <definedName name="제본비">[148]설계명세!$H$40</definedName>
    <definedName name="제일모직" localSheetId="13">'8-2.설비자재산출(무인보안)'!제일모직</definedName>
    <definedName name="제일모직" localSheetId="15">'8-4.일위대가표'!제일모직</definedName>
    <definedName name="제일모직">'8-2.설비자재산출(무인보안)'!제일모직</definedName>
    <definedName name="제일안과병원">#REF!</definedName>
    <definedName name="제작간노">#REF!</definedName>
    <definedName name="제작경비">#REF!</definedName>
    <definedName name="제작공구손료">#REF!</definedName>
    <definedName name="제작노무비">#REF!</definedName>
    <definedName name="제작도급경비">#REF!</definedName>
    <definedName name="제작복리후생비">#REF!</definedName>
    <definedName name="제작본사재료비">#REF!</definedName>
    <definedName name="제작사운반비"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제작사운반비"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제작사운반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제작사진대">#REF!</definedName>
    <definedName name="제작산재보험료">#REF!</definedName>
    <definedName name="제작세금공과금">#REF!</definedName>
    <definedName name="제작소경비" localSheetId="13">'[82](14)경비'!$H$10</definedName>
    <definedName name="제작소경비">'[83](14)경비'!$H$10</definedName>
    <definedName name="제작소모품비">#REF!</definedName>
    <definedName name="제작소설치비">#REF!</definedName>
    <definedName name="제작안전관리비">#REF!</definedName>
    <definedName name="제작여비교통비">#REF!</definedName>
    <definedName name="제작운반비">#REF!</definedName>
    <definedName name="제작이윤">#REF!</definedName>
    <definedName name="제작일반관리비">#REF!</definedName>
    <definedName name="제작직노">#REF!</definedName>
    <definedName name="제작회사경비">#REF!</definedName>
    <definedName name="제잡비">#REF!</definedName>
    <definedName name="제주">#REF!</definedName>
    <definedName name="제천">#REF!</definedName>
    <definedName name="제철축로공">#REF!</definedName>
    <definedName name="제초">[111]계수시트!$B$89</definedName>
    <definedName name="제품">#REF!</definedName>
    <definedName name="조__경__공">#REF!</definedName>
    <definedName name="조__력__공">#REF!</definedName>
    <definedName name="조__적__공">#REF!</definedName>
    <definedName name="조_림_인_부">#REF!</definedName>
    <definedName name="조가">#REF!</definedName>
    <definedName name="조가선">#REF!</definedName>
    <definedName name="조가선1">#REF!</definedName>
    <definedName name="조가선2">#REF!</definedName>
    <definedName name="조가선22">#REF!</definedName>
    <definedName name="조가선설치">#REF!</definedName>
    <definedName name="조가선설치할증">#REF!</definedName>
    <definedName name="조가선시설">#REF!</definedName>
    <definedName name="조가선신설">#REF!</definedName>
    <definedName name="조가선신설1">#REF!</definedName>
    <definedName name="조가선신설A">#REF!</definedName>
    <definedName name="조가선철거">#REF!</definedName>
    <definedName name="조가선철거A">#REF!</definedName>
    <definedName name="조가철">#REF!</definedName>
    <definedName name="조강남">#REF!</definedName>
    <definedName name="조경">[87]단가조사!#REF!</definedName>
    <definedName name="조경경계블럭">[50]단가!$A$70</definedName>
    <definedName name="조경공">#REF!</definedName>
    <definedName name="조경공1">[87]단가조사!#REF!</definedName>
    <definedName name="조경공B10">[81]식재인부!$B$24</definedName>
    <definedName name="조경공B4이하">[81]식재인부!$B$18</definedName>
    <definedName name="조경공B5">[81]식재인부!$B$19</definedName>
    <definedName name="조경공B6">[81]식재인부!$B$20</definedName>
    <definedName name="조경공B8">[81]식재인부!$B$22</definedName>
    <definedName name="조경공R10">[81]식재인부!$B$54</definedName>
    <definedName name="조경공R12">[81]식재인부!$B$56</definedName>
    <definedName name="조경공R15">[81]식재인부!$B$59</definedName>
    <definedName name="조경공R4이하">[147]식재인부!$B$48</definedName>
    <definedName name="조경공R5">[147]식재인부!$B$49</definedName>
    <definedName name="조경공R6">[81]식재인부!$B$50</definedName>
    <definedName name="조경공R7">[81]식재인부!$B$51</definedName>
    <definedName name="조경공R8">[81]식재인부!$B$52</definedName>
    <definedName name="조경산정표" localSheetId="29">#REF!,#REF!</definedName>
    <definedName name="조경산정표" localSheetId="13">#REF!,#REF!</definedName>
    <definedName name="조경산정표" localSheetId="19">#REF!,#REF!</definedName>
    <definedName name="조경산정표">#REF!,#REF!</definedName>
    <definedName name="조광교">#REF!</definedName>
    <definedName name="조광주">#REF!</definedName>
    <definedName name="조대구">#REF!</definedName>
    <definedName name="조대전">#REF!</definedName>
    <definedName name="조동교">#REF!</definedName>
    <definedName name="조력공">#REF!</definedName>
    <definedName name="조르네상스">#REF!</definedName>
    <definedName name="조림인부">#REF!</definedName>
    <definedName name="조릿대">[50]단가!$A$147</definedName>
    <definedName name="조명장치소계">#REF!</definedName>
    <definedName name="조발산">#REF!</definedName>
    <definedName name="조방배">#REF!</definedName>
    <definedName name="조보라매">#REF!</definedName>
    <definedName name="조본사">#REF!</definedName>
    <definedName name="조사가" localSheetId="29" hidden="1">[1]입찰안!#REF!</definedName>
    <definedName name="조사가" localSheetId="19" hidden="1">[1]입찰안!#REF!</definedName>
    <definedName name="조사가" hidden="1">[1]입찰안!#REF!</definedName>
    <definedName name="조사당">#REF!</definedName>
    <definedName name="조삼성">#REF!</definedName>
    <definedName name="조삼풍">#REF!</definedName>
    <definedName name="조서초">#REF!</definedName>
    <definedName name="조선인류크램프">#REF!</definedName>
    <definedName name="조선접속크램프">#REF!</definedName>
    <definedName name="조수">#REF!</definedName>
    <definedName name="조수원">#REF!</definedName>
    <definedName name="조신반포">#REF!</definedName>
    <definedName name="조압구정">#REF!</definedName>
    <definedName name="조울산">#REF!</definedName>
    <definedName name="조울산2">#REF!</definedName>
    <definedName name="조울신">#REF!</definedName>
    <definedName name="조울철">#REF!</definedName>
    <definedName name="조원공_1.1_1.5">[81]식재인부!$B$5</definedName>
    <definedName name="조인천">#REF!</definedName>
    <definedName name="조잠실">#REF!</definedName>
    <definedName name="조장">#REF!</definedName>
    <definedName name="조장산출2">#REF!</definedName>
    <definedName name="조적공">#REF!</definedName>
    <definedName name="조전주">#REF!</definedName>
    <definedName name="조정">#REF!</definedName>
    <definedName name="조정1">#REF!</definedName>
    <definedName name="조정2">#REF!</definedName>
    <definedName name="조정기준일">#REF!</definedName>
    <definedName name="조정요율" localSheetId="29" hidden="1">#REF!</definedName>
    <definedName name="조정요율" localSheetId="13" hidden="1">#REF!</definedName>
    <definedName name="조정요율" localSheetId="19" hidden="1">#REF!</definedName>
    <definedName name="조정요율" hidden="1">#REF!</definedName>
    <definedName name="조정이윤">#REF!</definedName>
    <definedName name="조정이윤1">[138]설계명세서!#REF!</definedName>
    <definedName name="조정이윤2">#REF!</definedName>
    <definedName name="조청담">#REF!</definedName>
    <definedName name="조합노">#REF!</definedName>
    <definedName name="조합재">#REF!</definedName>
    <definedName name="조형가이즈까3010">[81]데이타!$E$11</definedName>
    <definedName name="조형가이즈까3012">[81]데이타!$E$12</definedName>
    <definedName name="조형가이즈까3014">[81]데이타!$E$13</definedName>
    <definedName name="조형가이즈까3516">[81]데이타!$E$14</definedName>
    <definedName name="조화정">#REF!</definedName>
    <definedName name="조효" localSheetId="13" hidden="1">{"'Firr(선)'!$AS$1:$AY$62","'Firr(사)'!$AS$1:$AY$62","'Firr(회)'!$AS$1:$AY$62","'Firr(선)'!$L$1:$V$62","'Firr(사)'!$L$1:$V$62","'Firr(회)'!$L$1:$V$62"}</definedName>
    <definedName name="조효" hidden="1">{"'Firr(선)'!$AS$1:$AY$62","'Firr(사)'!$AS$1:$AY$62","'Firr(회)'!$AS$1:$AY$62","'Firr(선)'!$L$1:$V$62","'Firr(사)'!$L$1:$V$62","'Firr(회)'!$L$1:$V$62"}</definedName>
    <definedName name="조효석" localSheetId="13" hidden="1">{"'Firr(선)'!$AS$1:$AY$62","'Firr(사)'!$AS$1:$AY$62","'Firr(회)'!$AS$1:$AY$62","'Firr(선)'!$L$1:$V$62","'Firr(사)'!$L$1:$V$62","'Firr(회)'!$L$1:$V$62"}</definedName>
    <definedName name="조효석" hidden="1">{"'Firr(선)'!$AS$1:$AY$62","'Firr(사)'!$AS$1:$AY$62","'Firr(회)'!$AS$1:$AY$62","'Firr(선)'!$L$1:$V$62","'Firr(사)'!$L$1:$V$62","'Firr(회)'!$L$1:$V$62"}</definedName>
    <definedName name="좀작살">[50]단가!$A$158</definedName>
    <definedName name="종목수">#REF!</definedName>
    <definedName name="종합2" localSheetId="22" hidden="1">{#N/A,#N/A,FALSE,"회선임차현황"}</definedName>
    <definedName name="종합2" localSheetId="13" hidden="1">{#N/A,#N/A,FALSE,"회선임차현황"}</definedName>
    <definedName name="종합2" localSheetId="15" hidden="1">{#N/A,#N/A,FALSE,"회선임차현황"}</definedName>
    <definedName name="종합2" hidden="1">{#N/A,#N/A,FALSE,"회선임차현황"}</definedName>
    <definedName name="종합분" localSheetId="4" hidden="1">{#N/A,#N/A,FALSE,"회선임차현황"}</definedName>
    <definedName name="종합분" localSheetId="13" hidden="1">{#N/A,#N/A,FALSE,"회선임차현황"}</definedName>
    <definedName name="종합분" localSheetId="15" hidden="1">{#N/A,#N/A,FALSE,"회선임차현황"}</definedName>
    <definedName name="종합분" hidden="1">{#N/A,#N/A,FALSE,"회선임차현황"}</definedName>
    <definedName name="주">BlankMacro1</definedName>
    <definedName name="주경기장" localSheetId="13" hidden="1">{#N/A,#N/A,FALSE,"구조1"}</definedName>
    <definedName name="주경기장" hidden="1">{#N/A,#N/A,FALSE,"구조1"}</definedName>
    <definedName name="주공2">#REF!</definedName>
    <definedName name="주목1.0노무">#REF!</definedName>
    <definedName name="주목1.0재료">#REF!</definedName>
    <definedName name="주목10노무">#REF!</definedName>
    <definedName name="주목10재료">#REF!</definedName>
    <definedName name="주목12노무">#REF!</definedName>
    <definedName name="주목12재료">#REF!</definedName>
    <definedName name="주원료">#REF!</definedName>
    <definedName name="주제어"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주제어"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주주노">#REF!</definedName>
    <definedName name="주주재">#REF!</definedName>
    <definedName name="죽전1" localSheetId="22" hidden="1">{"'용역비'!$A$4:$C$8"}</definedName>
    <definedName name="죽전1" localSheetId="13" hidden="1">{"'용역비'!$A$4:$C$8"}</definedName>
    <definedName name="죽전1" localSheetId="15" hidden="1">{"'용역비'!$A$4:$C$8"}</definedName>
    <definedName name="죽전1" hidden="1">{"'용역비'!$A$4:$C$8"}</definedName>
    <definedName name="죽전2" localSheetId="22" hidden="1">{"'용역비'!$A$4:$C$8"}</definedName>
    <definedName name="죽전2" localSheetId="13" hidden="1">{"'용역비'!$A$4:$C$8"}</definedName>
    <definedName name="죽전2" localSheetId="15" hidden="1">{"'용역비'!$A$4:$C$8"}</definedName>
    <definedName name="죽전2" hidden="1">{"'용역비'!$A$4:$C$8"}</definedName>
    <definedName name="죽전5차" localSheetId="13" hidden="1">{#N/A,#N/A,FALSE,"이태원철근"}</definedName>
    <definedName name="죽전5차" hidden="1">{#N/A,#N/A,FALSE,"이태원철근"}</definedName>
    <definedName name="준공">#REF!</definedName>
    <definedName name="준공검사자">#REF!</definedName>
    <definedName name="준공일">#REF!</definedName>
    <definedName name="준설선_관장">#REF!</definedName>
    <definedName name="준설선_선장">#REF!</definedName>
    <definedName name="준설선기관사">#REF!</definedName>
    <definedName name="준설선기관장">#REF!</definedName>
    <definedName name="준설선선장">#REF!</definedName>
    <definedName name="준설선운전사">#REF!</definedName>
    <definedName name="준설선전기사">#REF!</definedName>
    <definedName name="줄__눈__공">#REF!</definedName>
    <definedName name="줄눈공">#REF!</definedName>
    <definedName name="중_기_조_장">#REF!</definedName>
    <definedName name="중국">[50]단가!$A$121</definedName>
    <definedName name="중급기술자">#REF!</definedName>
    <definedName name="중급원자력기술자">#REF!</definedName>
    <definedName name="중기기사">'[116]99노임기준'!#REF!</definedName>
    <definedName name="중기사용" localSheetId="13">'[82](14)경비'!$H$36</definedName>
    <definedName name="중기사용">'[83](14)경비'!$H$36</definedName>
    <definedName name="중기사용변경" localSheetId="13">[82]경비변경!$J$17</definedName>
    <definedName name="중기사용변경">[83]경비변경!$J$17</definedName>
    <definedName name="중기운전기사">#REF!</definedName>
    <definedName name="중기운전사">#REF!</definedName>
    <definedName name="중기운전조수">#REF!</definedName>
    <definedName name="중기조수">'[116]99노임기준'!#REF!</definedName>
    <definedName name="중기조장">#REF!</definedName>
    <definedName name="중량물운송">#REF!</definedName>
    <definedName name="중복회선집계" localSheetId="22" hidden="1">{#N/A,#N/A,FALSE,"회선임차현황"}</definedName>
    <definedName name="중복회선집계" localSheetId="13" hidden="1">{#N/A,#N/A,FALSE,"회선임차현황"}</definedName>
    <definedName name="중복회선집계" localSheetId="15" hidden="1">{#N/A,#N/A,FALSE,"회선임차현황"}</definedName>
    <definedName name="중복회선집계" hidden="1">{#N/A,#N/A,FALSE,"회선임차현황"}</definedName>
    <definedName name="중유">[50]단가!$A$55</definedName>
    <definedName name="중접슬리브">#REF!</definedName>
    <definedName name="중추2교대거푸집집계" localSheetId="13" hidden="1">{#N/A,#N/A,FALSE,"배수1"}</definedName>
    <definedName name="중추2교대거푸집집계" hidden="1">{#N/A,#N/A,FALSE,"배수1"}</definedName>
    <definedName name="쥐똥">[50]단가!$A$138</definedName>
    <definedName name="즈">BlankMacro1</definedName>
    <definedName name="증감경비">#REF!</definedName>
    <definedName name="증감관리비">#REF!</definedName>
    <definedName name="증감내역" localSheetId="29" hidden="1">#REF!</definedName>
    <definedName name="증감내역" localSheetId="13" hidden="1">#REF!</definedName>
    <definedName name="증감내역" localSheetId="19" hidden="1">#REF!</definedName>
    <definedName name="증감내역" hidden="1">#REF!</definedName>
    <definedName name="증감노무비">#REF!</definedName>
    <definedName name="증감이윤">#REF!</definedName>
    <definedName name="증감재료비">#REF!</definedName>
    <definedName name="증외주가공비">#REF!</definedName>
    <definedName name="증폭기">#REF!</definedName>
    <definedName name="증폭기류">#REF!</definedName>
    <definedName name="지">#REF!</definedName>
    <definedName name="지강남">#REF!</definedName>
    <definedName name="지경">[124]설계명세서!#REF!</definedName>
    <definedName name="지경1" localSheetId="13">[101]설계명세서!$L$53</definedName>
    <definedName name="지경1">[102]설계명세서!$L$53</definedName>
    <definedName name="지광교">#REF!</definedName>
    <definedName name="지광주">#REF!</definedName>
    <definedName name="지급수수료">[75]예산내역서!#REF!</definedName>
    <definedName name="지급임차료">#REF!</definedName>
    <definedName name="지대구">#REF!</definedName>
    <definedName name="지대전">#REF!</definedName>
    <definedName name="지동교">#REF!</definedName>
    <definedName name="지르네상스">#REF!</definedName>
    <definedName name="지발산">#REF!</definedName>
    <definedName name="지방배">#REF!</definedName>
    <definedName name="지보라매">#REF!</definedName>
    <definedName name="지본사">#REF!</definedName>
    <definedName name="지붕잇기공">#REF!</definedName>
    <definedName name="지사당">#REF!</definedName>
    <definedName name="지산최초">#REF!</definedName>
    <definedName name="지삼성">#REF!</definedName>
    <definedName name="지삼풍">#REF!</definedName>
    <definedName name="지서" localSheetId="13" hidden="1">{#N/A,#N/A,FALSE,"현장 NCR 분석";#N/A,#N/A,FALSE,"현장품질감사";#N/A,#N/A,FALSE,"현장품질감사"}</definedName>
    <definedName name="지서" hidden="1">{#N/A,#N/A,FALSE,"현장 NCR 분석";#N/A,#N/A,FALSE,"현장품질감사";#N/A,#N/A,FALSE,"현장품질감사"}</definedName>
    <definedName name="지서초">#REF!</definedName>
    <definedName name="지선">#REF!</definedName>
    <definedName name="지선1">#REF!</definedName>
    <definedName name="지선2">#REF!</definedName>
    <definedName name="지선A">#REF!</definedName>
    <definedName name="지선B">#REF!</definedName>
    <definedName name="지선근가" localSheetId="13">[29]소요자재!$H$226</definedName>
    <definedName name="지선근가">[38]소요자재!#REF!</definedName>
    <definedName name="지선롯드" localSheetId="13">[29]소요자재!$H$227</definedName>
    <definedName name="지선롯드">[38]소요자재!#REF!</definedName>
    <definedName name="지선밴드">#REF!</definedName>
    <definedName name="지선밴드2">[38]소요자재!#REF!</definedName>
    <definedName name="지선밴드250">#REF!</definedName>
    <definedName name="지선밴드280">#REF!</definedName>
    <definedName name="지선시설">#REF!</definedName>
    <definedName name="지선애자" localSheetId="13">[29]소요자재!$H$228</definedName>
    <definedName name="지선애자">[38]소요자재!#REF!</definedName>
    <definedName name="지선철">#REF!</definedName>
    <definedName name="지수1">#REF!</definedName>
    <definedName name="지수원">#REF!</definedName>
    <definedName name="지수제">#REF!</definedName>
    <definedName name="지수제분사">#REF!</definedName>
    <definedName name="지수제분사A">#REF!</definedName>
    <definedName name="지수제처리">#REF!</definedName>
    <definedName name="지수표">#REF!</definedName>
    <definedName name="지시부" localSheetId="13" hidden="1">{#N/A,#N/A,FALSE,"현장 NCR 분석";#N/A,#N/A,FALSE,"현장품질감사";#N/A,#N/A,FALSE,"현장품질감사"}</definedName>
    <definedName name="지시부" localSheetId="15" hidden="1">{#N/A,#N/A,FALSE,"현장 NCR 분석";#N/A,#N/A,FALSE,"현장품질감사";#N/A,#N/A,FALSE,"현장품질감사"}</definedName>
    <definedName name="지시부" hidden="1">{#N/A,#N/A,FALSE,"현장 NCR 분석";#N/A,#N/A,FALSE,"현장품질감사";#N/A,#N/A,FALSE,"현장품질감사"}</definedName>
    <definedName name="지시서">#N/A</definedName>
    <definedName name="지신반포">#REF!</definedName>
    <definedName name="지압구정">#REF!</definedName>
    <definedName name="지역">#N/A</definedName>
    <definedName name="지역본부" localSheetId="22" hidden="1">{#N/A,#N/A,FALSE,"DAOCM 2차 검토"}</definedName>
    <definedName name="지역본부" localSheetId="13" hidden="1">{#N/A,#N/A,FALSE,"DAOCM 2차 검토"}</definedName>
    <definedName name="지역본부" localSheetId="15" hidden="1">{#N/A,#N/A,FALSE,"DAOCM 2차 검토"}</definedName>
    <definedName name="지역본부" hidden="1">{#N/A,#N/A,FALSE,"DAOCM 2차 검토"}</definedName>
    <definedName name="지역업체" localSheetId="13" hidden="1">{#N/A,#N/A,FALSE,"배수2"}</definedName>
    <definedName name="지역업체" hidden="1">{#N/A,#N/A,FALSE,"배수2"}</definedName>
    <definedName name="지울산">#REF!</definedName>
    <definedName name="지울산2">#REF!</definedName>
    <definedName name="지울신">#REF!</definedName>
    <definedName name="지울철">#REF!</definedName>
    <definedName name="지움" localSheetId="13" hidden="1">{#N/A,#N/A,FALSE,"속도"}</definedName>
    <definedName name="지움" hidden="1">{#N/A,#N/A,FALSE,"속도"}</definedName>
    <definedName name="지움2" localSheetId="13" hidden="1">{#N/A,#N/A,FALSE,"토공2"}</definedName>
    <definedName name="지움2" hidden="1">{#N/A,#N/A,FALSE,"토공2"}</definedName>
    <definedName name="지움3" localSheetId="13" hidden="1">{#N/A,#N/A,FALSE,"표지목차"}</definedName>
    <definedName name="지움3" hidden="1">{#N/A,#N/A,FALSE,"표지목차"}</definedName>
    <definedName name="지인천">#REF!</definedName>
    <definedName name="지입">#REF!</definedName>
    <definedName name="지입소계">#REF!</definedName>
    <definedName name="지입자재">#REF!</definedName>
    <definedName name="지입자재내역" localSheetId="29" hidden="1">#REF!</definedName>
    <definedName name="지입자재내역" localSheetId="13" hidden="1">#REF!</definedName>
    <definedName name="지입자재내역" localSheetId="19" hidden="1">#REF!</definedName>
    <definedName name="지입자재내역" hidden="1">#REF!</definedName>
    <definedName name="지입재료">#REF!</definedName>
    <definedName name="지입재료비">#REF!</definedName>
    <definedName name="지입재료비." localSheetId="13">[96]설계!$G$26</definedName>
    <definedName name="지입재료비.">[97]설계!$G$26</definedName>
    <definedName name="지입재료비3">#REF!</definedName>
    <definedName name="지입재료비4">#REF!</definedName>
    <definedName name="지입재료비A">#REF!</definedName>
    <definedName name="지입재료비계">#REF!</definedName>
    <definedName name="지입재료비계1">#REF!</definedName>
    <definedName name="지잠실">#REF!</definedName>
    <definedName name="지재">#REF!</definedName>
    <definedName name="지재.">#REF!</definedName>
    <definedName name="지재_1">[124]설계명세서!#REF!</definedName>
    <definedName name="지재_3" localSheetId="13">[79]설계명세서!$G$92</definedName>
    <definedName name="지재_3">[82]설계명세서!$G$92</definedName>
    <definedName name="지재1">#REF!</definedName>
    <definedName name="지재2">#REF!</definedName>
    <definedName name="지재3">#REF!</definedName>
    <definedName name="지적기2" localSheetId="13">[112]인부임!$F$27</definedName>
    <definedName name="지적기2">[113]인부임!$F$27</definedName>
    <definedName name="지적기능사1">#REF!</definedName>
    <definedName name="지적기능사1급">#REF!</definedName>
    <definedName name="지적기능사2">#REF!</definedName>
    <definedName name="지적기능사2급">#REF!</definedName>
    <definedName name="지적기사1">#REF!</definedName>
    <definedName name="지적기사1급">#REF!</definedName>
    <definedName name="지적기사2">#REF!</definedName>
    <definedName name="지적기사2급">#REF!</definedName>
    <definedName name="지전주">#REF!</definedName>
    <definedName name="지중10">#REF!</definedName>
    <definedName name="지중12C" localSheetId="13">[6]소요자재!$H$162</definedName>
    <definedName name="지중12C">[23]소요자재!$H$162</definedName>
    <definedName name="지중144">#REF!</definedName>
    <definedName name="지중24C" localSheetId="13">[6]소요자재!$H$163</definedName>
    <definedName name="지중24C">[23]소요자재!$H$163</definedName>
    <definedName name="지중288">#REF!</definedName>
    <definedName name="지중30">#REF!</definedName>
    <definedName name="지중36C" localSheetId="13">[6]소요자재!$H$164</definedName>
    <definedName name="지중36C">[23]소요자재!$H$164</definedName>
    <definedName name="지중48C" localSheetId="13">[6]소요자재!$H$165</definedName>
    <definedName name="지중48C">[23]소요자재!$H$165</definedName>
    <definedName name="지중50">#REF!</definedName>
    <definedName name="지중6C" localSheetId="13">[6]소요자재!$H$161</definedName>
    <definedName name="지중6C">[23]소요자재!$H$161</definedName>
    <definedName name="지중96">#REF!</definedName>
    <definedName name="지중거리">#REF!</definedName>
    <definedName name="지중명찰취부" localSheetId="13">[29]노무산출서!$H$59</definedName>
    <definedName name="지중명찰취부">[30]노무산출서!$H$59</definedName>
    <definedName name="지중철거">#REF!</definedName>
    <definedName name="지중포설">#REF!</definedName>
    <definedName name="지중포설1">#REF!</definedName>
    <definedName name="지중포설A">#REF!</definedName>
    <definedName name="지중함체10">#REF!</definedName>
    <definedName name="지중함체144">#REF!</definedName>
    <definedName name="지중함체288">#REF!</definedName>
    <definedName name="지중함체30">#REF!</definedName>
    <definedName name="지중함체50">#REF!</definedName>
    <definedName name="지중함체96">#REF!</definedName>
    <definedName name="지질" localSheetId="13" hidden="1">{#N/A,#N/A,FALSE,"현장 NCR 분석";#N/A,#N/A,FALSE,"현장품질감사";#N/A,#N/A,FALSE,"현장품질감사"}</definedName>
    <definedName name="지질" hidden="1">{#N/A,#N/A,FALSE,"현장 NCR 분석";#N/A,#N/A,FALSE,"현장품질감사";#N/A,#N/A,FALSE,"현장품질감사"}</definedName>
    <definedName name="지집" localSheetId="13" hidden="1">{"'5국공정'!$A$1:$E$128"}</definedName>
    <definedName name="지집" localSheetId="15" hidden="1">{"'5국공정'!$A$1:$E$128"}</definedName>
    <definedName name="지집" hidden="1">{"'5국공정'!$A$1:$E$128"}</definedName>
    <definedName name="지철" localSheetId="13" hidden="1">{#N/A,#N/A,FALSE,"포장2"}</definedName>
    <definedName name="지철" hidden="1">{#N/A,#N/A,FALSE,"포장2"}</definedName>
    <definedName name="지철자재" localSheetId="13" hidden="1">{#N/A,#N/A,FALSE,"포장2"}</definedName>
    <definedName name="지철자재" hidden="1">{#N/A,#N/A,FALSE,"포장2"}</definedName>
    <definedName name="지청담">#REF!</definedName>
    <definedName name="지토" localSheetId="13" hidden="1">{#N/A,#N/A,FALSE,"포장1";#N/A,#N/A,FALSE,"포장1"}</definedName>
    <definedName name="지토" hidden="1">{#N/A,#N/A,FALSE,"포장1";#N/A,#N/A,FALSE,"포장1"}</definedName>
    <definedName name="지토자재" localSheetId="13" hidden="1">{#N/A,#N/A,FALSE,"포장2"}</definedName>
    <definedName name="지토자재" hidden="1">{#N/A,#N/A,FALSE,"포장2"}</definedName>
    <definedName name="지화정">#REF!</definedName>
    <definedName name="직">#REF!</definedName>
    <definedName name="직__종__명">#REF!</definedName>
    <definedName name="직1CO">#REF!</definedName>
    <definedName name="직노" localSheetId="29">#REF!</definedName>
    <definedName name="직노" localSheetId="32">#REF!</definedName>
    <definedName name="직노" localSheetId="27">#REF!</definedName>
    <definedName name="직노" localSheetId="30">#REF!</definedName>
    <definedName name="직노" localSheetId="13">'[73]7.설계명세서(통합보안)'!$G$124</definedName>
    <definedName name="직노" localSheetId="19">#REF!</definedName>
    <definedName name="직노">#REF!</definedName>
    <definedName name="직노_1">#REF!</definedName>
    <definedName name="직노_3" localSheetId="13">[79]설계명세서!$G$176</definedName>
    <definedName name="직노_3">[82]설계명세서!$G$176</definedName>
    <definedName name="직노1" localSheetId="29">[97]설계명세서!#REF!</definedName>
    <definedName name="직노1" localSheetId="32">[97]설계명세서!#REF!</definedName>
    <definedName name="직노1" localSheetId="27">[97]설계명세서!#REF!</definedName>
    <definedName name="직노1" localSheetId="30">[97]설계명세서!#REF!</definedName>
    <definedName name="직노1" localSheetId="19">[97]설계명세서!#REF!</definedName>
    <definedName name="직노1">[97]설계명세서!#REF!</definedName>
    <definedName name="직노변경" localSheetId="13">[82]노무비변경!$J$8</definedName>
    <definedName name="직노변경">[83]노무비변경!$J$8</definedName>
    <definedName name="직노비">#REF!</definedName>
    <definedName name="직노율">#REF!</definedName>
    <definedName name="직매54P" localSheetId="22" hidden="1">{#N/A,#N/A,TRUE,"토적및재료집계";#N/A,#N/A,TRUE,"토적및재료집계";#N/A,#N/A,TRUE,"단위량"}</definedName>
    <definedName name="직매54P" localSheetId="13" hidden="1">{#N/A,#N/A,TRUE,"토적및재료집계";#N/A,#N/A,TRUE,"토적및재료집계";#N/A,#N/A,TRUE,"단위량"}</definedName>
    <definedName name="직매54P" localSheetId="15" hidden="1">{#N/A,#N/A,TRUE,"토적및재료집계";#N/A,#N/A,TRUE,"토적및재료집계";#N/A,#N/A,TRUE,"단위량"}</definedName>
    <definedName name="직매54P" hidden="1">{#N/A,#N/A,TRUE,"토적및재료집계";#N/A,#N/A,TRUE,"토적및재료집계";#N/A,#N/A,TRUE,"단위량"}</definedName>
    <definedName name="직영비">'[174]2공구산출내역'!#REF!</definedName>
    <definedName name="직원조직" localSheetId="13" hidden="1">{#N/A,#N/A,FALSE,"이태원철근"}</definedName>
    <definedName name="직원조직" hidden="1">{#N/A,#N/A,FALSE,"이태원철근"}</definedName>
    <definedName name="직원조직표" localSheetId="13" hidden="1">{#N/A,#N/A,FALSE,"이태원철근"}</definedName>
    <definedName name="직원조직표" hidden="1">{#N/A,#N/A,FALSE,"이태원철근"}</definedName>
    <definedName name="직재">[186]원가!$J$3</definedName>
    <definedName name="직재비">#REF!</definedName>
    <definedName name="직재율">#REF!</definedName>
    <definedName name="직접경비">#REF!</definedName>
    <definedName name="직접노무">#REF!</definedName>
    <definedName name="직접노무1">#REF!</definedName>
    <definedName name="직접노무2">#REF!</definedName>
    <definedName name="직접노무3">#REF!</definedName>
    <definedName name="직접노무비">#REF!</definedName>
    <definedName name="직접노무비." localSheetId="13">[96]설계!$G$45</definedName>
    <definedName name="직접노무비.">[97]설계!$G$45</definedName>
    <definedName name="직접노무비_관로" localSheetId="13">'[83]예산내역서(총괄)'!$K$11</definedName>
    <definedName name="직접노무비_관로">'[85]예산내역서(총괄)'!$K$11</definedName>
    <definedName name="직접노무비_케이블" localSheetId="13">'[83]예산내역서(총괄)'!$K$21</definedName>
    <definedName name="직접노무비_케이블">'[85]예산내역서(총괄)'!$K$21</definedName>
    <definedName name="직접노무비1">#REF!</definedName>
    <definedName name="직접노무비3">#REF!</definedName>
    <definedName name="직접노무비4">#REF!</definedName>
    <definedName name="직접노무비A">#REF!</definedName>
    <definedName name="직접노무비계">#REF!</definedName>
    <definedName name="직접노뭅ㅣ">#REF!</definedName>
    <definedName name="직접재료비">#REF!</definedName>
    <definedName name="직접재료비_관로" localSheetId="13">'[83]예산내역서(총괄)'!$G$11</definedName>
    <definedName name="직접재료비_관로">'[85]예산내역서(총괄)'!$G$11</definedName>
    <definedName name="직접재료비_케이블" localSheetId="13">'[83]예산내역서(총괄)'!$G$21</definedName>
    <definedName name="직접재료비_케이블">'[85]예산내역서(총괄)'!$G$21</definedName>
    <definedName name="직종">#REF!</definedName>
    <definedName name="직종명">#REF!</definedName>
    <definedName name="진">#REF!</definedName>
    <definedName name="진달래">[90]단가!$A$141</definedName>
    <definedName name="진동로라노무비">[50]시설물일위!#REF!</definedName>
    <definedName name="진동롤라경">#REF!</definedName>
    <definedName name="진동롤라경비">[50]시설물일위!#REF!</definedName>
    <definedName name="진동롤라노무">#REF!</definedName>
    <definedName name="진동롤라재료">#REF!</definedName>
    <definedName name="진동롤라재료비">[50]시설물일위!#REF!</definedName>
    <definedName name="진입로암" localSheetId="13" hidden="1">{#N/A,#N/A,FALSE,"현장 NCR 분석";#N/A,#N/A,FALSE,"현장품질감사";#N/A,#N/A,FALSE,"현장품질감사"}</definedName>
    <definedName name="진입로암" hidden="1">{#N/A,#N/A,FALSE,"현장 NCR 분석";#N/A,#N/A,FALSE,"현장품질감사";#N/A,#N/A,FALSE,"현장품질감사"}</definedName>
    <definedName name="진짜원가">#REF!</definedName>
    <definedName name="진홓">#REF!</definedName>
    <definedName name="질소_및_탄산가스창고">#REF!</definedName>
    <definedName name="집계">#REF!</definedName>
    <definedName name="집계1">#REF!</definedName>
    <definedName name="집계2" localSheetId="34" hidden="1">{#N/A,#N/A,FALSE,"현장 NCR 분석";#N/A,#N/A,FALSE,"현장품질감사";#N/A,#N/A,FALSE,"현장품질감사"}</definedName>
    <definedName name="집계2" localSheetId="35" hidden="1">{#N/A,#N/A,FALSE,"현장 NCR 분석";#N/A,#N/A,FALSE,"현장품질감사";#N/A,#N/A,FALSE,"현장품질감사"}</definedName>
    <definedName name="집계2" localSheetId="36" hidden="1">{#N/A,#N/A,FALSE,"현장 NCR 분석";#N/A,#N/A,FALSE,"현장품질감사";#N/A,#N/A,FALSE,"현장품질감사"}</definedName>
    <definedName name="집계2" localSheetId="37" hidden="1">{#N/A,#N/A,FALSE,"현장 NCR 분석";#N/A,#N/A,FALSE,"현장품질감사";#N/A,#N/A,FALSE,"현장품질감사"}</definedName>
    <definedName name="집계2" localSheetId="13" hidden="1">{#N/A,#N/A,FALSE,"현장 NCR 분석";#N/A,#N/A,FALSE,"현장품질감사";#N/A,#N/A,FALSE,"현장품질감사"}</definedName>
    <definedName name="집계2" localSheetId="15" hidden="1">{#N/A,#N/A,FALSE,"현장 NCR 분석";#N/A,#N/A,FALSE,"현장품질감사";#N/A,#N/A,FALSE,"현장품질감사"}</definedName>
    <definedName name="집계2" hidden="1">{#N/A,#N/A,FALSE,"현장 NCR 분석";#N/A,#N/A,FALSE,"현장품질감사";#N/A,#N/A,FALSE,"현장품질감사"}</definedName>
    <definedName name="집수" localSheetId="13" hidden="1">{#N/A,#N/A,FALSE,"토공2"}</definedName>
    <definedName name="집수" hidden="1">{#N/A,#N/A,FALSE,"토공2"}</definedName>
    <definedName name="집수구공내역" localSheetId="13" hidden="1">{#N/A,#N/A,TRUE,"토적및재료집계";#N/A,#N/A,TRUE,"토적및재료집계";#N/A,#N/A,TRUE,"단위량"}</definedName>
    <definedName name="집수구공내역" hidden="1">{#N/A,#N/A,TRUE,"토적및재료집계";#N/A,#N/A,TRUE,"토적및재료집계";#N/A,#N/A,TRUE,"단위량"}</definedName>
    <definedName name="집수정">#REF!</definedName>
    <definedName name="집수정1" localSheetId="13" hidden="1">{#N/A,#N/A,FALSE,"배수1"}</definedName>
    <definedName name="집수정1" hidden="1">{#N/A,#N/A,FALSE,"배수1"}</definedName>
    <definedName name="집수정1최종" localSheetId="13" hidden="1">{#N/A,#N/A,FALSE,"2~8번"}</definedName>
    <definedName name="집수정1최종" hidden="1">{#N/A,#N/A,FALSE,"2~8번"}</definedName>
    <definedName name="집수정관경">#REF!</definedName>
    <definedName name="집수정규격">#REF!</definedName>
    <definedName name="집수정수량">#REF!</definedName>
    <definedName name="집수정조서" localSheetId="13" hidden="1">{#N/A,#N/A,FALSE,"2~8번"}</definedName>
    <definedName name="집수정조서" hidden="1">{#N/A,#N/A,FALSE,"2~8번"}</definedName>
    <definedName name="쪽재비">[50]단가!$A$146</definedName>
    <definedName name="쪽재비노">[88]식재!$H$146</definedName>
    <definedName name="쪽재비재">[88]식재!$F$146</definedName>
    <definedName name="ㅊ" localSheetId="13" hidden="1">{#N/A,#N/A,FALSE,"운반시간"}</definedName>
    <definedName name="ㅊ" hidden="1">{#N/A,#N/A,FALSE,"운반시간"}</definedName>
    <definedName name="ㅊ1555">#REF!</definedName>
    <definedName name="ㅊ5">#REF!</definedName>
    <definedName name="ㅊㄷㅇㄷㅇ">#REF!</definedName>
    <definedName name="ㅊ얻">#REF!</definedName>
    <definedName name="ㅊㅊ" localSheetId="13" hidden="1">{"'선로집계'!$A$1:$G$68"}</definedName>
    <definedName name="ㅊㅊ" localSheetId="15">'8-4.일위대가표'!ㅊㅊ</definedName>
    <definedName name="ㅊㅊ">'8-2.설비자재산출(무인보안)'!ㅊㅊ</definedName>
    <definedName name="ㅊㅊㅊ" localSheetId="13" hidden="1">{"'선로집계'!$A$1:$G$68"}</definedName>
    <definedName name="ㅊㅊㅊ" localSheetId="15" hidden="1">{"'선로집계'!$A$1:$G$68"}</definedName>
    <definedName name="ㅊㅊㅊ" hidden="1">{"'선로집계'!$A$1:$G$68"}</definedName>
    <definedName name="ㅊㅌㅌ" localSheetId="29" hidden="1">#REF!</definedName>
    <definedName name="ㅊㅌㅌ" localSheetId="32" hidden="1">#REF!</definedName>
    <definedName name="ㅊㅌㅌ" localSheetId="27" hidden="1">#REF!</definedName>
    <definedName name="ㅊㅌㅌ" localSheetId="30" hidden="1">#REF!</definedName>
    <definedName name="ㅊㅌㅌ" localSheetId="13" hidden="1">#REF!</definedName>
    <definedName name="ㅊㅌㅌ" localSheetId="15" hidden="1">#REF!</definedName>
    <definedName name="ㅊㅌㅌ" localSheetId="19" hidden="1">#REF!</definedName>
    <definedName name="ㅊㅌㅌ" hidden="1">#REF!</definedName>
    <definedName name="차량무전기신설">#REF!</definedName>
    <definedName name="차량무전기이설">#REF!</definedName>
    <definedName name="차량무전기철거">#REF!</definedName>
    <definedName name="차수벽토공2" localSheetId="13" hidden="1">{"'산출근거'!$B$4:$D$8"}</definedName>
    <definedName name="차수벽토공2" hidden="1">{"'산출근거'!$B$4:$D$8"}</definedName>
    <definedName name="차인증감" localSheetId="13">[91]준공정산!$L$9</definedName>
    <definedName name="차인증감">[56]준공정산!$L$9</definedName>
    <definedName name="차차" localSheetId="29" hidden="1">[42]조명시설!#REF!</definedName>
    <definedName name="차차" localSheetId="13" hidden="1">[42]조명시설!#REF!</definedName>
    <definedName name="차차" localSheetId="19" hidden="1">[42]조명시설!#REF!</definedName>
    <definedName name="차차" hidden="1">[42]조명시설!#REF!</definedName>
    <definedName name="차폐막수량" localSheetId="13" hidden="1">{#N/A,#N/A,FALSE,"현장 NCR 분석";#N/A,#N/A,FALSE,"현장품질감사";#N/A,#N/A,FALSE,"현장품질감사"}</definedName>
    <definedName name="차폐막수량" hidden="1">{#N/A,#N/A,FALSE,"현장 NCR 분석";#N/A,#N/A,FALSE,"현장품질감사";#N/A,#N/A,FALSE,"현장품질감사"}</definedName>
    <definedName name="착__암__공">#REF!</definedName>
    <definedName name="착공">#REF!</definedName>
    <definedName name="착공월">#REF!</definedName>
    <definedName name="착공일">#REF!</definedName>
    <definedName name="착암공">#REF!</definedName>
    <definedName name="찰샇기" localSheetId="29" hidden="1">#REF!</definedName>
    <definedName name="찰샇기" localSheetId="13" hidden="1">#REF!</definedName>
    <definedName name="찰샇기" localSheetId="19" hidden="1">#REF!</definedName>
    <definedName name="찰샇기" hidden="1">#REF!</definedName>
    <definedName name="참고" localSheetId="13">'8-2.설비자재산출(무인보안)'!참고</definedName>
    <definedName name="참고" localSheetId="15">'8-4.일위대가표'!참고</definedName>
    <definedName name="참고">'8-2.설비자재산출(무인보안)'!참고</definedName>
    <definedName name="참고자료"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참고자료"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참고자료"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참조"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참조"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참조"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참조1"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참조1"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참조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창_호_목_공">#REF!</definedName>
    <definedName name="창원">#REF!</definedName>
    <definedName name="창포노">[88]식재!$H$185</definedName>
    <definedName name="창포재">[88]식재!$F$185</definedName>
    <definedName name="창호목공">#REF!</definedName>
    <definedName name="책임측량사">#REF!</definedName>
    <definedName name="챠01">#REF!</definedName>
    <definedName name="챠02">#REF!</definedName>
    <definedName name="챠트">#REF!</definedName>
    <definedName name="챠트2">#REF!</definedName>
    <definedName name="챠트3">#REF!</definedName>
    <definedName name="챠트4">#REF!</definedName>
    <definedName name="천녀누에">[51]설계명세서!$H$214</definedName>
    <definedName name="천년후에">[51]설계명세서!$H$362</definedName>
    <definedName name="천왕SS" localSheetId="13">'8-2.설비자재산출(무인보안)'!천왕SS</definedName>
    <definedName name="천왕SS" localSheetId="15">'8-4.일위대가표'!천왕SS</definedName>
    <definedName name="천왕SS">'8-2.설비자재산출(무인보안)'!천왕SS</definedName>
    <definedName name="철______공">#REF!</definedName>
    <definedName name="철__골__공">#REF!</definedName>
    <definedName name="철__근_공">#REF!</definedName>
    <definedName name="철__판__공">#REF!</definedName>
    <definedName name="철2" localSheetId="13" hidden="1">{#N/A,#N/A,FALSE,"혼합골재"}</definedName>
    <definedName name="철2" hidden="1">{#N/A,#N/A,FALSE,"혼합골재"}</definedName>
    <definedName name="철거">#REF!</definedName>
    <definedName name="철거2" localSheetId="13" hidden="1">{#N/A,#N/A,FALSE,"현장 NCR 분석";#N/A,#N/A,FALSE,"현장품질감사";#N/A,#N/A,FALSE,"현장품질감사"}</definedName>
    <definedName name="철거2" localSheetId="15" hidden="1">{#N/A,#N/A,FALSE,"현장 NCR 분석";#N/A,#N/A,FALSE,"현장품질감사";#N/A,#N/A,FALSE,"현장품질감사"}</definedName>
    <definedName name="철거2" hidden="1">{#N/A,#N/A,FALSE,"현장 NCR 분석";#N/A,#N/A,FALSE,"현장품질감사";#N/A,#N/A,FALSE,"현장품질감사"}</definedName>
    <definedName name="철거광케이블">#REF!</definedName>
    <definedName name="철거긍장">#REF!</definedName>
    <definedName name="철거기별">#N/A</definedName>
    <definedName name="철거기별2">#N/A</definedName>
    <definedName name="철거케이블">#REF!</definedName>
    <definedName name="철거케이블30C">#REF!</definedName>
    <definedName name="철골"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철골"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철골공">#REF!</definedName>
    <definedName name="철공">#REF!</definedName>
    <definedName name="철근2"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철근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철근가공장1"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철근가공장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철근공">#REF!</definedName>
    <definedName name="철근노">#REF!</definedName>
    <definedName name="철근량" localSheetId="13" hidden="1">{#N/A,#N/A,FALSE,"전력간선"}</definedName>
    <definedName name="철근량" hidden="1">{#N/A,#N/A,FALSE,"전력간선"}</definedName>
    <definedName name="철근용접노무">#REF!</definedName>
    <definedName name="철근용접재료">#REF!</definedName>
    <definedName name="철근자료" localSheetId="29" hidden="1">#REF!</definedName>
    <definedName name="철근자료" localSheetId="32" hidden="1">#REF!</definedName>
    <definedName name="철근자료" localSheetId="27" hidden="1">#REF!</definedName>
    <definedName name="철근자료" localSheetId="30" hidden="1">#REF!</definedName>
    <definedName name="철근자료" localSheetId="13" hidden="1">#REF!</definedName>
    <definedName name="철근자료" localSheetId="15" hidden="1">#REF!</definedName>
    <definedName name="철근자료" localSheetId="19" hidden="1">#REF!</definedName>
    <definedName name="철근자료" hidden="1">#REF!</definedName>
    <definedName name="철근재">#REF!</definedName>
    <definedName name="철도궤도공">#REF!</definedName>
    <definedName name="철도신호공">#REF!</definedName>
    <definedName name="철도용접공">#REF!</definedName>
    <definedName name="철선8">[90]단가!$A$11</definedName>
    <definedName name="철수"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철수"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철수"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철콘" localSheetId="13" hidden="1">{#N/A,#N/A,FALSE,"조골재"}</definedName>
    <definedName name="철콘" hidden="1">{#N/A,#N/A,FALSE,"조골재"}</definedName>
    <definedName name="철탑높이">#REF!</definedName>
    <definedName name="철탑철거" localSheetId="13" hidden="1">{#N/A,#N/A,FALSE,"현장 NCR 분석";#N/A,#N/A,FALSE,"현장품질감사";#N/A,#N/A,FALSE,"현장품질감사"}</definedName>
    <definedName name="철탑철거" localSheetId="15" hidden="1">{#N/A,#N/A,FALSE,"현장 NCR 분석";#N/A,#N/A,FALSE,"현장품질감사";#N/A,#N/A,FALSE,"현장품질감사"}</definedName>
    <definedName name="철탑철거" hidden="1">{#N/A,#N/A,FALSE,"현장 NCR 분석";#N/A,#N/A,FALSE,"현장품질감사";#N/A,#N/A,FALSE,"현장품질감사"}</definedName>
    <definedName name="철탑철거2" localSheetId="13" hidden="1">{#N/A,#N/A,FALSE,"현장 NCR 분석";#N/A,#N/A,FALSE,"현장품질감사";#N/A,#N/A,FALSE,"현장품질감사"}</definedName>
    <definedName name="철탑철거2" localSheetId="15" hidden="1">{#N/A,#N/A,FALSE,"현장 NCR 분석";#N/A,#N/A,FALSE,"현장품질감사";#N/A,#N/A,FALSE,"현장품질감사"}</definedName>
    <definedName name="철탑철거2" hidden="1">{#N/A,#N/A,FALSE,"현장 NCR 분석";#N/A,#N/A,FALSE,"현장품질감사";#N/A,#N/A,FALSE,"현장품질감사"}</definedName>
    <definedName name="철판공">#REF!</definedName>
    <definedName name="청단">[50]단가!$A$122</definedName>
    <definedName name="청도">#N/A</definedName>
    <definedName name="청사진복사" localSheetId="13">[146]설계명세!$H$43</definedName>
    <definedName name="청사진복사">[148]설계명세!$H$43</definedName>
    <definedName name="청주원주합침" localSheetId="22" hidden="1">{"'선로집계'!$A$1:$G$68"}</definedName>
    <definedName name="청주원주합침" localSheetId="34" hidden="1">{"'선로집계'!$A$1:$G$68"}</definedName>
    <definedName name="청주원주합침" localSheetId="35" hidden="1">{"'선로집계'!$A$1:$G$68"}</definedName>
    <definedName name="청주원주합침" localSheetId="36" hidden="1">{"'선로집계'!$A$1:$G$68"}</definedName>
    <definedName name="청주원주합침" localSheetId="37" hidden="1">{"'선로집계'!$A$1:$G$68"}</definedName>
    <definedName name="청주원주합침" localSheetId="13" hidden="1">{"'선로집계'!$A$1:$G$68"}</definedName>
    <definedName name="청주원주합침" localSheetId="15" hidden="1">{"'선로집계'!$A$1:$G$68"}</definedName>
    <definedName name="청주원주합침" hidden="1">{"'선로집계'!$A$1:$G$68"}</definedName>
    <definedName name="초급기술자">#REF!</definedName>
    <definedName name="초기예산서보고" localSheetId="13" hidden="1">{#N/A,#N/A,FALSE,"이태원철근"}</definedName>
    <definedName name="초기예산서보고" hidden="1">{#N/A,#N/A,FALSE,"이태원철근"}</definedName>
    <definedName name="총">#REF!</definedName>
    <definedName name="총_f">#REF!</definedName>
    <definedName name="총계">#REF!</definedName>
    <definedName name="총계2">#REF!</definedName>
    <definedName name="총공">#REF!</definedName>
    <definedName name="총공사_1">#REF!</definedName>
    <definedName name="총공사금액">#REF!</definedName>
    <definedName name="총공사비" localSheetId="13">'[73]7.설계명세서(통합보안)'!$G$242</definedName>
    <definedName name="총공사비">'[74]7.설계명세서'!$G$160</definedName>
    <definedName name="총공사비." localSheetId="13">[96]설계!$G$69</definedName>
    <definedName name="총공사비.">[97]설계!$G$69</definedName>
    <definedName name="총공사비1" localSheetId="13">[101]설계명세서!$L$62</definedName>
    <definedName name="총공사비1">[102]설계명세서!$L$62</definedName>
    <definedName name="총공사비2" localSheetId="13" hidden="1">{#N/A,#N/A,FALSE,"전력간선"}</definedName>
    <definedName name="총공사비2" hidden="1">{#N/A,#N/A,FALSE,"전력간선"}</definedName>
    <definedName name="총공사비계">#REF!</definedName>
    <definedName name="총괄">#REF!</definedName>
    <definedName name="총괄내역" localSheetId="29" hidden="1">#REF!</definedName>
    <definedName name="총괄내역" localSheetId="13" hidden="1">#REF!</definedName>
    <definedName name="총괄내역" localSheetId="19" hidden="1">#REF!</definedName>
    <definedName name="총괄내역" hidden="1">#REF!</definedName>
    <definedName name="총괄집계"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총괄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총괄표">#REF!</definedName>
    <definedName name="총괄표3"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총괄표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총상하차임">#REF!</definedName>
    <definedName name="총용역비" localSheetId="13">[146]설계명세!$H$48</definedName>
    <definedName name="총용역비">[148]설계명세!$H$48</definedName>
    <definedName name="총재">#REF!</definedName>
    <definedName name="총주행시간">#REF!</definedName>
    <definedName name="총타정">#REF!</definedName>
    <definedName name="총토탈">#REF!</definedName>
    <definedName name="총토탈1">#REF!</definedName>
    <definedName name="총토탈2">#REF!</definedName>
    <definedName name="총합">#REF!</definedName>
    <definedName name="최종ABSI">#REF!</definedName>
    <definedName name="최종ASCR">#REF!</definedName>
    <definedName name="최종ASCR_0">#REF!</definedName>
    <definedName name="최종ASCR_1">#REF!</definedName>
    <definedName name="최종ASCR_2">#REF!</definedName>
    <definedName name="최종ASCR_3">#REF!</definedName>
    <definedName name="최종ASCR_4">#REF!</definedName>
    <definedName name="최종ASCR_5">#REF!</definedName>
    <definedName name="최종ASCR_C">#REF!</definedName>
    <definedName name="최종ASI">#REF!</definedName>
    <definedName name="최종ASIB">#REF!</definedName>
    <definedName name="최종ASIR">#REF!</definedName>
    <definedName name="최종ASLR">#REF!</definedName>
    <definedName name="최종ASP">#REF!</definedName>
    <definedName name="최종ASP_0">#REF!</definedName>
    <definedName name="최종ASP_1">#REF!</definedName>
    <definedName name="최종ASP_2">#REF!</definedName>
    <definedName name="최종ASP_3">#REF!</definedName>
    <definedName name="최종ASP_4">#REF!</definedName>
    <definedName name="최종ASP_5">#REF!</definedName>
    <definedName name="최종ASP_C">#REF!</definedName>
    <definedName name="최종ASP_TP">#REF!</definedName>
    <definedName name="최종ASP_TP_0">#REF!</definedName>
    <definedName name="최종ASP_TP_1">#REF!</definedName>
    <definedName name="최종ASP_TP_2">#REF!</definedName>
    <definedName name="최종ASP_TP_3">#REF!</definedName>
    <definedName name="최종ASP_TP_4">#REF!</definedName>
    <definedName name="최종ASP_TP_5">#REF!</definedName>
    <definedName name="최종ASP_TP_C">#REF!</definedName>
    <definedName name="최종ASS">#REF!</definedName>
    <definedName name="최종ASS_C">#REF!</definedName>
    <definedName name="최종ASS_S">#REF!</definedName>
    <definedName name="최종ASS_T">#REF!</definedName>
    <definedName name="최종ASS_V">#REF!</definedName>
    <definedName name="최종ATCR">#REF!</definedName>
    <definedName name="최종AVCR">#REF!</definedName>
    <definedName name="최종AVIR">#REF!</definedName>
    <definedName name="최종BAMI">#REF!</definedName>
    <definedName name="최종BAMIS">#REF!</definedName>
    <definedName name="최종BCIB추가설계">#REF!</definedName>
    <definedName name="최종BRI">#REF!</definedName>
    <definedName name="최종BSI">#REF!</definedName>
    <definedName name="최종BSIB">#REF!</definedName>
    <definedName name="최종CCP">#REF!</definedName>
    <definedName name="최종CCS">#REF!</definedName>
    <definedName name="최종CDL">#REF!</definedName>
    <definedName name="최종CDLB">#REF!</definedName>
    <definedName name="최종CEPT">#REF!</definedName>
    <definedName name="최종CMX">#REF!</definedName>
    <definedName name="최종CPCR">#REF!</definedName>
    <definedName name="최종CRT">#REF!</definedName>
    <definedName name="최종CT">#REF!</definedName>
    <definedName name="최종DAT">#REF!</definedName>
    <definedName name="최종DCI">#REF!</definedName>
    <definedName name="최종DKU">#REF!</definedName>
    <definedName name="최종DTI">#REF!</definedName>
    <definedName name="최종EXIP">#REF!</definedName>
    <definedName name="최종FLI">#REF!</definedName>
    <definedName name="최종FLS">#REF!</definedName>
    <definedName name="최종H_CDL">#REF!</definedName>
    <definedName name="최종H_TRKS">#REF!</definedName>
    <definedName name="최종ILINE">#REF!</definedName>
    <definedName name="최종INCR">#REF!</definedName>
    <definedName name="최종INP">#REF!</definedName>
    <definedName name="최종INP_TP">#REF!</definedName>
    <definedName name="최종INS">#REF!</definedName>
    <definedName name="최종ITEC">#REF!</definedName>
    <definedName name="최종LGSI">#REF!</definedName>
    <definedName name="최종LINE">#REF!</definedName>
    <definedName name="최종LRP">#REF!</definedName>
    <definedName name="최종MODU">#REF!</definedName>
    <definedName name="최종MSCI">#REF!</definedName>
    <definedName name="최종MSCI_0">#REF!</definedName>
    <definedName name="최종MSCI_1">#REF!</definedName>
    <definedName name="최종MSCI_2">#REF!</definedName>
    <definedName name="최종MSCI_3">#REF!</definedName>
    <definedName name="최종MSCI_4">#REF!</definedName>
    <definedName name="최종MSCI_5">#REF!</definedName>
    <definedName name="최종MSCI_C">#REF!</definedName>
    <definedName name="최종MTU">#REF!</definedName>
    <definedName name="최종NAS">#REF!</definedName>
    <definedName name="최종NES">#REF!</definedName>
    <definedName name="최종NO.7">#REF!</definedName>
    <definedName name="최종PC">#REF!</definedName>
    <definedName name="최종PHM">#REF!</definedName>
    <definedName name="최종PLINK">#REF!</definedName>
    <definedName name="최종PRI">#REF!</definedName>
    <definedName name="최종PRT">#REF!</definedName>
    <definedName name="최종PSI">#REF!</definedName>
    <definedName name="최종RACR">#REF!</definedName>
    <definedName name="최종RASM">#REF!</definedName>
    <definedName name="최종RATIO">#REF!</definedName>
    <definedName name="최종RDKU">#REF!</definedName>
    <definedName name="최종RE1">#REF!</definedName>
    <definedName name="최종RI">#REF!</definedName>
    <definedName name="최종RI_0">#REF!</definedName>
    <definedName name="최종RI_1">#REF!</definedName>
    <definedName name="최종RI_2">#REF!</definedName>
    <definedName name="최종RI_3">#REF!</definedName>
    <definedName name="최종RI_4">#REF!</definedName>
    <definedName name="최종RI_5">#REF!</definedName>
    <definedName name="최종RI_C">#REF!</definedName>
    <definedName name="최종RT1">#REF!</definedName>
    <definedName name="최종SLINK">#REF!</definedName>
    <definedName name="최종SPCI">#REF!</definedName>
    <definedName name="최종SRASM">#REF!</definedName>
    <definedName name="최종SRCR">#REF!</definedName>
    <definedName name="최종SRE1">#REF!</definedName>
    <definedName name="최종SRI">#REF!</definedName>
    <definedName name="최종SRT1">#REF!</definedName>
    <definedName name="최종SSL">#REF!</definedName>
    <definedName name="최종SSLB">#REF!</definedName>
    <definedName name="최종SSLR">#REF!</definedName>
    <definedName name="최종SSWBB">#REF!</definedName>
    <definedName name="최종STM_1">#REF!</definedName>
    <definedName name="최종STR">#REF!</definedName>
    <definedName name="최종SYS">#REF!</definedName>
    <definedName name="최종TEC">#REF!</definedName>
    <definedName name="최종TRUNK">#REF!</definedName>
    <definedName name="최종TSL">#REF!</definedName>
    <definedName name="최종TSL_0">#REF!</definedName>
    <definedName name="최종TSL_1">#REF!</definedName>
    <definedName name="최종TSL_2">#REF!</definedName>
    <definedName name="최종TSL_3">#REF!</definedName>
    <definedName name="최종TSL_4">#REF!</definedName>
    <definedName name="최종TSL_5">#REF!</definedName>
    <definedName name="최종TSL_C">#REF!</definedName>
    <definedName name="최종TTC">#REF!</definedName>
    <definedName name="최종TTD">#REF!</definedName>
    <definedName name="최종VMH">#REF!</definedName>
    <definedName name="최종시험">#REF!</definedName>
    <definedName name="최종시험1">#REF!</definedName>
    <definedName name="최종시험A">#REF!</definedName>
    <definedName name="최종조정">#REF!</definedName>
    <definedName name="최한후">#REF!</definedName>
    <definedName name="추" localSheetId="13">[187]설계명세서!$H$11</definedName>
    <definedName name="추">[56]설계명세서!$H$11</definedName>
    <definedName name="추__정__가__격">#REF!</definedName>
    <definedName name="추가경비" localSheetId="13">[146]설계명세!$H$45</definedName>
    <definedName name="추가경비">[148]설계명세!$H$45</definedName>
    <definedName name="추강연선">#REF!</definedName>
    <definedName name="추정" localSheetId="13" hidden="1">{#N/A,#N/A,FALSE,"포장2"}</definedName>
    <definedName name="추정" hidden="1">{#N/A,#N/A,FALSE,"포장2"}</definedName>
    <definedName name="추정가격" localSheetId="13">'[73]7.설계명세서(통합보안)'!$G$259</definedName>
    <definedName name="추정가격">'[74]7.설계명세서'!$G$177</definedName>
    <definedName name="추정가격3">#REF!</definedName>
    <definedName name="추정가격4">#REF!</definedName>
    <definedName name="추정금액" localSheetId="13">'[73]7.설계명세서(통합보안)'!$G$257</definedName>
    <definedName name="추정금액">'[74]7.설계명세서'!$G$175</definedName>
    <definedName name="추정금액3">#REF!</definedName>
    <definedName name="추정금액4">#REF!</definedName>
    <definedName name="축전지">[45]노무산출서!#REF!</definedName>
    <definedName name="축전지설치">#REF!</definedName>
    <definedName name="축전지설치A">#REF!</definedName>
    <definedName name="축전지설치품">#REF!</definedName>
    <definedName name="축전지운반">#REF!</definedName>
    <definedName name="축전지이설품">#REF!</definedName>
    <definedName name="출" localSheetId="29" hidden="1">[188]합천내역!#REF!</definedName>
    <definedName name="출" localSheetId="32" hidden="1">[188]합천내역!#REF!</definedName>
    <definedName name="출" localSheetId="27" hidden="1">[188]합천내역!#REF!</definedName>
    <definedName name="출" localSheetId="30" hidden="1">[188]합천내역!#REF!</definedName>
    <definedName name="출" localSheetId="19" hidden="1">[188]합천내역!#REF!</definedName>
    <definedName name="출" hidden="1">[188]합천내역!#REF!</definedName>
    <definedName name="출고">#REF!</definedName>
    <definedName name="출고비저">#REF!</definedName>
    <definedName name="출고재료">#REF!</definedName>
    <definedName name="출고저장">#REF!</definedName>
    <definedName name="출입문2"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출입문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출장비">#REF!</definedName>
    <definedName name="출재">#REF!</definedName>
    <definedName name="충전기">[45]노무산출서!#REF!</definedName>
    <definedName name="충전기설치">#REF!</definedName>
    <definedName name="충전기설치A">#REF!</definedName>
    <definedName name="충효LGT">#N/A</definedName>
    <definedName name="취부밴드">#REF!</definedName>
    <definedName name="취부밴드1">#REF!</definedName>
    <definedName name="취부밴드A">#REF!</definedName>
    <definedName name="취수로" localSheetId="13" hidden="1">{#N/A,#N/A,FALSE,"전력간선"}</definedName>
    <definedName name="취수로" hidden="1">{#N/A,#N/A,FALSE,"전력간선"}</definedName>
    <definedName name="츄ㅗㄹㅊㄹ초" localSheetId="1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츞">#REF!</definedName>
    <definedName name="측_______부">#REF!</definedName>
    <definedName name="측량">#REF!</definedName>
    <definedName name="측량기능사">#REF!</definedName>
    <definedName name="측부">#REF!</definedName>
    <definedName name="측지기사1급">#REF!</definedName>
    <definedName name="측지기사2급">#REF!</definedName>
    <definedName name="층층">[50]단가!$A$123</definedName>
    <definedName name="치장벽돌공">#REF!</definedName>
    <definedName name="칠씨">#REF!</definedName>
    <definedName name="침수복구" localSheetId="13" hidden="1">{"'주간보고(감리)'!$A$3:$AG$23"}</definedName>
    <definedName name="침수복구" hidden="1">{"'주간보고(감리)'!$A$3:$AG$23"}</definedName>
    <definedName name="ㅋ" localSheetId="22" hidden="1">{#N/A,#N/A,TRUE,"토적및재료집계";#N/A,#N/A,TRUE,"토적및재료집계";#N/A,#N/A,TRUE,"단위량"}</definedName>
    <definedName name="ㅋ" localSheetId="13">'8-2.설비자재산출(무인보안)'!ㅋ</definedName>
    <definedName name="ㅋ" localSheetId="15" hidden="1">{#N/A,#N/A,TRUE,"토적및재료집계";#N/A,#N/A,TRUE,"토적및재료집계";#N/A,#N/A,TRUE,"단위량"}</definedName>
    <definedName name="ㅋ" hidden="1">{#N/A,#N/A,TRUE,"토적및재료집계";#N/A,#N/A,TRUE,"토적및재료집계";#N/A,#N/A,TRUE,"단위량"}</definedName>
    <definedName name="ㅋ1">#REF!</definedName>
    <definedName name="ㅋㅁ" localSheetId="13" hidden="1">{#N/A,#N/A,FALSE,"명세표"}</definedName>
    <definedName name="ㅋㅁ" hidden="1">{#N/A,#N/A,FALSE,"명세표"}</definedName>
    <definedName name="ㅋㅇㅁㅇ" localSheetId="4">{"'공사부문'!$A$6:$A$32"}</definedName>
    <definedName name="ㅋㅇㅁㅇ" localSheetId="13">{"'공사부문'!$A$6:$A$32"}</definedName>
    <definedName name="ㅋㅇㅁㅇ" localSheetId="15">{"'공사부문'!$A$6:$A$32"}</definedName>
    <definedName name="ㅋㅇㅁㅇ">{"'공사부문'!$A$6:$A$32"}</definedName>
    <definedName name="ㅋㅋ" localSheetId="29" hidden="1">'[189]8.PILE  (돌출)'!#REF!</definedName>
    <definedName name="ㅋㅋ" localSheetId="19" hidden="1">'[189]8.PILE  (돌출)'!#REF!</definedName>
    <definedName name="ㅋㅋ" hidden="1">'[189]8.PILE  (돌출)'!#REF!</definedName>
    <definedName name="ㅋㅋㅋ" localSheetId="13" hidden="1">{#N/A,#N/A,FALSE,"속도"}</definedName>
    <definedName name="ㅋㅋㅋ" hidden="1">{#N/A,#N/A,FALSE,"속도"}</definedName>
    <definedName name="ㅋㅌㅊ">#REF!</definedName>
    <definedName name="카메라" localSheetId="13" hidden="1">{#N/A,#N/A,FALSE,"지침";#N/A,#N/A,FALSE,"환경분석";#N/A,#N/A,FALSE,"Sheet16"}</definedName>
    <definedName name="카메라" hidden="1">{#N/A,#N/A,FALSE,"지침";#N/A,#N/A,FALSE,"환경분석";#N/A,#N/A,FALSE,"Sheet16"}</definedName>
    <definedName name="카메라11" localSheetId="13" hidden="1">{#N/A,#N/A,FALSE,"지침";#N/A,#N/A,FALSE,"환경분석";#N/A,#N/A,FALSE,"Sheet16"}</definedName>
    <definedName name="카메라11" hidden="1">{#N/A,#N/A,FALSE,"지침";#N/A,#N/A,FALSE,"환경분석";#N/A,#N/A,FALSE,"Sheet16"}</definedName>
    <definedName name="카메라1212" localSheetId="13" hidden="1">{#N/A,#N/A,FALSE,"지침";#N/A,#N/A,FALSE,"환경분석";#N/A,#N/A,FALSE,"Sheet16"}</definedName>
    <definedName name="카메라1212" hidden="1">{#N/A,#N/A,FALSE,"지침";#N/A,#N/A,FALSE,"환경분석";#N/A,#N/A,FALSE,"Sheet16"}</definedName>
    <definedName name="카믹서별표" localSheetId="29" hidden="1">#REF!</definedName>
    <definedName name="카믹서별표" localSheetId="13" hidden="1">#REF!</definedName>
    <definedName name="카믹서별표" localSheetId="19" hidden="1">#REF!</definedName>
    <definedName name="카믹서별표" hidden="1">#REF!</definedName>
    <definedName name="칼블럭설치">#REF!</definedName>
    <definedName name="컨넥터철거">#REF!</definedName>
    <definedName name="컨넥터철거A">#REF!</definedName>
    <definedName name="컴">#N/A</definedName>
    <definedName name="컷터경비">#REF!</definedName>
    <definedName name="컷터노무">#REF!</definedName>
    <definedName name="컷터재료">#REF!</definedName>
    <definedName name="케" localSheetId="29">#REF!</definedName>
    <definedName name="케" localSheetId="32">#REF!</definedName>
    <definedName name="케" localSheetId="27">#REF!</definedName>
    <definedName name="케" localSheetId="30">#REF!</definedName>
    <definedName name="케" localSheetId="19">#REF!</definedName>
    <definedName name="케">#REF!</definedName>
    <definedName name="케이" localSheetId="29">#REF!</definedName>
    <definedName name="케이" localSheetId="32">#REF!</definedName>
    <definedName name="케이" localSheetId="27">#REF!</definedName>
    <definedName name="케이" localSheetId="30">#REF!</definedName>
    <definedName name="케이" localSheetId="19">#REF!</definedName>
    <definedName name="케이">#REF!</definedName>
    <definedName name="케이블" localSheetId="4" hidden="1">{#N/A,#N/A,FALSE,"회선임차현황"}</definedName>
    <definedName name="케이블" localSheetId="13" hidden="1">{#N/A,#N/A,FALSE,"회선임차현황"}</definedName>
    <definedName name="케이블" localSheetId="15" hidden="1">{#N/A,#N/A,FALSE,"회선임차현황"}</definedName>
    <definedName name="케이블" hidden="1">{#N/A,#N/A,FALSE,"회선임차현황"}</definedName>
    <definedName name="케이블간지" localSheetId="22" hidden="1">{#N/A,#N/A,TRUE,"토적및재료집계";#N/A,#N/A,TRUE,"토적및재료집계";#N/A,#N/A,TRUE,"단위량"}</definedName>
    <definedName name="케이블간지" localSheetId="13" hidden="1">{#N/A,#N/A,TRUE,"토적및재료집계";#N/A,#N/A,TRUE,"토적및재료집계";#N/A,#N/A,TRUE,"단위량"}</definedName>
    <definedName name="케이블간지" localSheetId="15" hidden="1">{#N/A,#N/A,TRUE,"토적및재료집계";#N/A,#N/A,TRUE,"토적및재료집계";#N/A,#N/A,TRUE,"단위량"}</definedName>
    <definedName name="케이블간지" hidden="1">{#N/A,#N/A,TRUE,"토적및재료집계";#N/A,#N/A,TRUE,"토적및재료집계";#N/A,#N/A,TRUE,"단위량"}</definedName>
    <definedName name="케이블공" localSheetId="29">#REF!</definedName>
    <definedName name="케이블공" localSheetId="32">#REF!</definedName>
    <definedName name="케이블공" localSheetId="27">#REF!</definedName>
    <definedName name="케이블공" localSheetId="30">#REF!</definedName>
    <definedName name="케이블공" localSheetId="19">#REF!</definedName>
    <definedName name="케이블공">#REF!</definedName>
    <definedName name="케이블명찰">#REF!</definedName>
    <definedName name="케이블명찰1" localSheetId="13">[29]소요자재!$H$197</definedName>
    <definedName name="케이블명찰1">[30]소요자재!$H$197</definedName>
    <definedName name="케이블명찰가공">[38]소요자재!#REF!</definedName>
    <definedName name="케이블명찰지중">#REF!</definedName>
    <definedName name="케이블명찰취부가공">#REF!</definedName>
    <definedName name="케이블명찰취부지중">#REF!</definedName>
    <definedName name="케이블바인드신설1">#REF!</definedName>
    <definedName name="케이블바인드신설2">#REF!</definedName>
    <definedName name="케이블바인드신설3">#REF!</definedName>
    <definedName name="케이블바인드신설4">#REF!</definedName>
    <definedName name="케이블바인드신설5">#REF!</definedName>
    <definedName name="케이블바인드해체" localSheetId="13">[29]노무산출서!$H$75</definedName>
    <definedName name="케이블바인드해체">[38]노무산출서!#REF!</definedName>
    <definedName name="케이블바인딩1열">#REF!</definedName>
    <definedName name="케이블바인딩1열할증">#REF!</definedName>
    <definedName name="케이블바인딩2열">#REF!</definedName>
    <definedName name="케이블바인딩2열할증">#REF!</definedName>
    <definedName name="케이블스티커">[38]소요자재!#REF!</definedName>
    <definedName name="케이블시험">#REF!</definedName>
    <definedName name="케이블여장">#REF!</definedName>
    <definedName name="케이블철거">#REF!</definedName>
    <definedName name="케이블크리트">#REF!</definedName>
    <definedName name="케이블크리트A">#REF!</definedName>
    <definedName name="케이블크리트설치" localSheetId="13">[29]노무산출서!$H$92</definedName>
    <definedName name="케이블크리트설치">[38]노무산출서!#REF!</definedName>
    <definedName name="케이블크리트시설">#REF!</definedName>
    <definedName name="케이블크리트시설A">#REF!</definedName>
    <definedName name="케이블타이">#REF!</definedName>
    <definedName name="케이블타이A">#REF!</definedName>
    <definedName name="케이블표지시트">#REF!</definedName>
    <definedName name="케지">#REF!</definedName>
    <definedName name="케타1">#REF!</definedName>
    <definedName name="케타2">#REF!</definedName>
    <definedName name="케타A">#REF!</definedName>
    <definedName name="코너">#REF!</definedName>
    <definedName name="코드1">#REF!</definedName>
    <definedName name="코아접속">#REF!</definedName>
    <definedName name="코어접속">#REF!</definedName>
    <definedName name="코킹공">#REF!</definedName>
    <definedName name="콘굴착">#REF!</definedName>
    <definedName name="콘넥타">#REF!</definedName>
    <definedName name="콘넥터5C">#REF!</definedName>
    <definedName name="콘넥터7c">#REF!</definedName>
    <definedName name="콘노">#REF!</definedName>
    <definedName name="콘재">#REF!</definedName>
    <definedName name="콘전주">#REF!</definedName>
    <definedName name="콘전주1">#REF!</definedName>
    <definedName name="콘전주10">#REF!</definedName>
    <definedName name="콘크리이리트건주">#REF!</definedName>
    <definedName name="콘크리이트전주" localSheetId="13">[29]소요자재!$H$225</definedName>
    <definedName name="콘크리이트전주">[30]소요자재!$H$225</definedName>
    <definedName name="콘크리트">#REF!</definedName>
    <definedName name="콘크리트2" localSheetId="29" hidden="1">#REF!</definedName>
    <definedName name="콘크리트2" localSheetId="13" hidden="1">#REF!</definedName>
    <definedName name="콘크리트2" localSheetId="19" hidden="1">#REF!</definedName>
    <definedName name="콘크리트2" hidden="1">#REF!</definedName>
    <definedName name="콘크리트경계석">[50]단가!$A$69</definedName>
    <definedName name="콘크리트공">#REF!</definedName>
    <definedName name="콘크리트전선관">#REF!</definedName>
    <definedName name="콘크리트전주">[38]소요자재!#REF!</definedName>
    <definedName name="콘크리트전주건주">[38]노무산출서!#REF!</definedName>
    <definedName name="콤팩터경비">#REF!</definedName>
    <definedName name="콤팩터노무비">#REF!</definedName>
    <definedName name="콤팩터재료비">#REF!</definedName>
    <definedName name="크램프1">#REF!</definedName>
    <definedName name="크램프2">#REF!</definedName>
    <definedName name="크램프5c">#REF!</definedName>
    <definedName name="크램프ss">#REF!</definedName>
    <definedName name="크램프설치">#REF!</definedName>
    <definedName name="크램프철거">#REF!</definedName>
    <definedName name="크램프철거A">#REF!</definedName>
    <definedName name="크램프취부">#REF!</definedName>
    <definedName name="크램프취부1">#REF!</definedName>
    <definedName name="크램프취부A">#REF!</definedName>
    <definedName name="크리트">#REF!</definedName>
    <definedName name="크리트1">#REF!</definedName>
    <definedName name="크리트설치">#REF!</definedName>
    <definedName name="크리트취부">#REF!</definedName>
    <definedName name="크립">#REF!</definedName>
    <definedName name="클램프취부" localSheetId="13">[29]노무산출서!$H$66</definedName>
    <definedName name="클램프취부">[30]노무산출서!$H$66</definedName>
    <definedName name="클립">#REF!</definedName>
    <definedName name="키록">'[164]토목수량(공정)'!#REF!</definedName>
    <definedName name="ㅌ" localSheetId="13">'8-2.설비자재산출(무인보안)'!ㅌ</definedName>
    <definedName name="ㅌ" localSheetId="15">'8-4.일위대가표'!ㅌ</definedName>
    <definedName name="ㅌ">'8-2.설비자재산출(무인보안)'!ㅌ</definedName>
    <definedName name="ㅌㄹ" localSheetId="22" hidden="1">{#N/A,#N/A,FALSE,"현장 NCR 분석";#N/A,#N/A,FALSE,"현장품질감사";#N/A,#N/A,FALSE,"현장품질감사"}</definedName>
    <definedName name="ㅌㄹ" localSheetId="34" hidden="1">{#N/A,#N/A,FALSE,"현장 NCR 분석";#N/A,#N/A,FALSE,"현장품질감사";#N/A,#N/A,FALSE,"현장품질감사"}</definedName>
    <definedName name="ㅌㄹ" localSheetId="35" hidden="1">{#N/A,#N/A,FALSE,"현장 NCR 분석";#N/A,#N/A,FALSE,"현장품질감사";#N/A,#N/A,FALSE,"현장품질감사"}</definedName>
    <definedName name="ㅌㄹ" localSheetId="36" hidden="1">{#N/A,#N/A,FALSE,"현장 NCR 분석";#N/A,#N/A,FALSE,"현장품질감사";#N/A,#N/A,FALSE,"현장품질감사"}</definedName>
    <definedName name="ㅌㄹ" localSheetId="37" hidden="1">{#N/A,#N/A,FALSE,"현장 NCR 분석";#N/A,#N/A,FALSE,"현장품질감사";#N/A,#N/A,FALSE,"현장품질감사"}</definedName>
    <definedName name="ㅌㄹ" localSheetId="13" hidden="1">{#N/A,#N/A,FALSE,"현장 NCR 분석";#N/A,#N/A,FALSE,"현장품질감사";#N/A,#N/A,FALSE,"현장품질감사"}</definedName>
    <definedName name="ㅌㄹ" localSheetId="15" hidden="1">{#N/A,#N/A,FALSE,"현장 NCR 분석";#N/A,#N/A,FALSE,"현장품질감사";#N/A,#N/A,FALSE,"현장품질감사"}</definedName>
    <definedName name="ㅌㄹ" hidden="1">{#N/A,#N/A,FALSE,"현장 NCR 분석";#N/A,#N/A,FALSE,"현장품질감사";#N/A,#N/A,FALSE,"현장품질감사"}</definedName>
    <definedName name="ㅌㅇㅇㅇㅇㅇㅇㅇㅇㅇㅇㅇㅇㅇㅇㅇㅇㅇㅇㅇㅇㅇㅇㅇㅇㅇㅇㅇㅇㅇㅇㅇㅇㅇㅇㅇ" localSheetId="13" hidden="1">{#N/A,#N/A,FALSE,"운반시간"}</definedName>
    <definedName name="ㅌㅇㅇㅇㅇㅇㅇㅇㅇㅇㅇㅇㅇㅇㅇㅇㅇㅇㅇㅇㅇㅇㅇㅇㅇㅇㅇㅇㅇㅇㅇㅇㅇㅇㅇㅇ" hidden="1">{#N/A,#N/A,FALSE,"운반시간"}</definedName>
    <definedName name="ㅌㅊㅀ" localSheetId="13" hidden="1">{#N/A,#N/A,FALSE,"운반시간"}</definedName>
    <definedName name="ㅌㅊㅀ" hidden="1">{#N/A,#N/A,FALSE,"운반시간"}</definedName>
    <definedName name="ㅌㅌㅌ">#REF!</definedName>
    <definedName name="ㅌㅍㅊㅇㅌㅎ" localSheetId="13" hidden="1">{#N/A,#N/A,FALSE,"도급대비시행율";#N/A,#N/A,FALSE,"결의서";#N/A,#N/A,FALSE,"내역서";#N/A,#N/A,FALSE,"도급예상"}</definedName>
    <definedName name="ㅌㅍㅊㅇㅌㅎ" hidden="1">{#N/A,#N/A,FALSE,"도급대비시행율";#N/A,#N/A,FALSE,"결의서";#N/A,#N/A,FALSE,"내역서";#N/A,#N/A,FALSE,"도급예상"}</definedName>
    <definedName name="타__일__공">#REF!</definedName>
    <definedName name="타이">#REF!</definedName>
    <definedName name="타이어">#REF!</definedName>
    <definedName name="타이어경">#REF!</definedName>
    <definedName name="타이어노무">#REF!</definedName>
    <definedName name="타이어재료">#REF!</definedName>
    <definedName name="타일공">#REF!</definedName>
    <definedName name="탑정높이">#REF!</definedName>
    <definedName name="태산목10노무">#REF!</definedName>
    <definedName name="태산목10재료">#REF!</definedName>
    <definedName name="태산목12노무">#REF!</definedName>
    <definedName name="태산목12재료">#REF!</definedName>
    <definedName name="태영지급" localSheetId="13" hidden="1">{#N/A,#N/A,FALSE,"부대1"}</definedName>
    <definedName name="태영지급" hidden="1">{#N/A,#N/A,FALSE,"부대1"}</definedName>
    <definedName name="터파기">#REF!</definedName>
    <definedName name="터파기2">[88]시설물!#REF!</definedName>
    <definedName name="터파기경">[116]일위대가!#REF!</definedName>
    <definedName name="터파기노">[116]일위대가!#REF!</definedName>
    <definedName name="터파기재">[116]일위대가!#REF!</definedName>
    <definedName name="테B10">[77]단가결정!$B$420</definedName>
    <definedName name="테B12">[77]단가결정!$B$419</definedName>
    <definedName name="테B20">[77]단가결정!$B$417</definedName>
    <definedName name="테B6">[77]단가결정!$B$423</definedName>
    <definedName name="테B8">[77]단가결정!$B$421</definedName>
    <definedName name="테H1.5">[77]단가결정!$B$398</definedName>
    <definedName name="테H2.0">[77]단가결정!$B$396</definedName>
    <definedName name="테H2.5">[77]단가결정!$B$395</definedName>
    <definedName name="테H3.0">[77]단가결정!$B$394</definedName>
    <definedName name="테H3.5">[77]단가결정!$B$393</definedName>
    <definedName name="테R10">[77]단가결정!$B$407</definedName>
    <definedName name="테R12">[77]단가결정!$B$406</definedName>
    <definedName name="테R15">[77]단가결정!$B$405</definedName>
    <definedName name="테R4">[77]단가결정!$B$412</definedName>
    <definedName name="테R5">[77]단가결정!$B$411</definedName>
    <definedName name="테R6">[77]단가결정!$B$410</definedName>
    <definedName name="테R8">[77]단가결정!$B$408</definedName>
    <definedName name="테관0.4">[77]단가결정!$B$438</definedName>
    <definedName name="테관0.5">[77]단가결정!$B$437</definedName>
    <definedName name="테관0.6">[77]단가결정!$B$436</definedName>
    <definedName name="테관1.0">[77]단가결정!$B$434</definedName>
    <definedName name="테관1.2">[77]단가결정!$B$433</definedName>
    <definedName name="테관1.5">[77]단가결정!$B$431</definedName>
    <definedName name="테관2.0">[77]단가결정!$B$429</definedName>
    <definedName name="테스트" localSheetId="29" hidden="1">#REF!</definedName>
    <definedName name="테스트" localSheetId="13" hidden="1">#REF!</definedName>
    <definedName name="테스트" localSheetId="19" hidden="1">#REF!</definedName>
    <definedName name="테스트" hidden="1">#REF!</definedName>
    <definedName name="테이블">#REF!</definedName>
    <definedName name="테지">[77]단가결정!$B$441</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토">#REF!</definedName>
    <definedName name="토\40" localSheetId="13" hidden="1">{#N/A,#N/A,FALSE,"토공2"}</definedName>
    <definedName name="토\40" hidden="1">{#N/A,#N/A,FALSE,"토공2"}</definedName>
    <definedName name="토1" localSheetId="13" hidden="1">{#N/A,#N/A,FALSE,"이정표"}</definedName>
    <definedName name="토1" hidden="1">{#N/A,#N/A,FALSE,"이정표"}</definedName>
    <definedName name="토2" localSheetId="13" hidden="1">{#N/A,#N/A,FALSE,"조골재"}</definedName>
    <definedName name="토2" hidden="1">{#N/A,#N/A,FALSE,"조골재"}</definedName>
    <definedName name="토3" localSheetId="13" hidden="1">{#N/A,#N/A,FALSE,"구조1"}</definedName>
    <definedName name="토3" hidden="1">{#N/A,#N/A,FALSE,"구조1"}</definedName>
    <definedName name="토공" localSheetId="13" hidden="1">{#N/A,#N/A,FALSE,"배수1"}</definedName>
    <definedName name="토공" hidden="1">{#N/A,#N/A,FALSE,"배수1"}</definedName>
    <definedName name="토공11" localSheetId="13" hidden="1">{#N/A,#N/A,FALSE,"포장2"}</definedName>
    <definedName name="토공11" hidden="1">{#N/A,#N/A,FALSE,"포장2"}</definedName>
    <definedName name="토공2" localSheetId="13" hidden="1">{#N/A,#N/A,FALSE,"2~8번"}</definedName>
    <definedName name="토공2" hidden="1">{#N/A,#N/A,FALSE,"2~8번"}</definedName>
    <definedName name="토공노임">#REF!</definedName>
    <definedName name="토공분">[124]설계명세서!#REF!</definedName>
    <definedName name="토공사">[53]설계명세서!#REF!</definedName>
    <definedName name="토공전체" localSheetId="13" hidden="1">{#N/A,#N/A,FALSE,"운반시간"}</definedName>
    <definedName name="토공전체" hidden="1">{#N/A,#N/A,FALSE,"운반시간"}</definedName>
    <definedName name="토목">#REF!</definedName>
    <definedName name="토목1">[190]내역표지!#REF!</definedName>
    <definedName name="토목견적" localSheetId="13" hidden="1">{#N/A,#N/A,FALSE,"골재소요량";#N/A,#N/A,FALSE,"골재소요량"}</definedName>
    <definedName name="토목견적" hidden="1">{#N/A,#N/A,FALSE,"골재소요량";#N/A,#N/A,FALSE,"골재소요량"}</definedName>
    <definedName name="토목경비"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토목경비"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토목경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토목경비산출"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토목경비산출"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토목경비산출"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토목공사" localSheetId="13" hidden="1">{#N/A,#N/A,FALSE,"이태원철근"}</definedName>
    <definedName name="토목공사" hidden="1">{#N/A,#N/A,FALSE,"이태원철근"}</definedName>
    <definedName name="토목공사강릉" localSheetId="29" hidden="1">#REF!</definedName>
    <definedName name="토목공사강릉" localSheetId="13" hidden="1">#REF!</definedName>
    <definedName name="토목공사강릉" localSheetId="19" hidden="1">#REF!</definedName>
    <definedName name="토목공사강릉" hidden="1">#REF!</definedName>
    <definedName name="토목내역">#REF!</definedName>
    <definedName name="토목변경요약" localSheetId="29" hidden="1">#REF!</definedName>
    <definedName name="토목변경요약" localSheetId="32" hidden="1">#REF!</definedName>
    <definedName name="토목변경요약" localSheetId="27" hidden="1">#REF!</definedName>
    <definedName name="토목변경요약" localSheetId="30" hidden="1">#REF!</definedName>
    <definedName name="토목변경요약" localSheetId="13" hidden="1">#REF!</definedName>
    <definedName name="토목변경요약" localSheetId="15" hidden="1">#REF!</definedName>
    <definedName name="토목변경요약" localSheetId="19" hidden="1">#REF!</definedName>
    <definedName name="토목변경요약" hidden="1">#REF!</definedName>
    <definedName name="토목산정표" localSheetId="29">#REF!,#REF!</definedName>
    <definedName name="토목산정표" localSheetId="13">#REF!,#REF!</definedName>
    <definedName name="토목산정표" localSheetId="19">#REF!,#REF!</definedName>
    <definedName name="토목산정표">#REF!,#REF!</definedName>
    <definedName name="토목설계" localSheetId="13" hidden="1">{#N/A,#N/A,FALSE,"골재소요량";#N/A,#N/A,FALSE,"골재소요량"}</definedName>
    <definedName name="토목설계" hidden="1">{#N/A,#N/A,FALSE,"골재소요량";#N/A,#N/A,FALSE,"골재소요량"}</definedName>
    <definedName name="토목실견적" localSheetId="13" hidden="1">{#N/A,#N/A,FALSE,"이태원철근"}</definedName>
    <definedName name="토목실견적" hidden="1">{#N/A,#N/A,FALSE,"이태원철근"}</definedName>
    <definedName name="토목실행" localSheetId="13" hidden="1">{#N/A,#N/A,FALSE,"골재소요량";#N/A,#N/A,FALSE,"골재소요량"}</definedName>
    <definedName name="토목실행" hidden="1">{#N/A,#N/A,FALSE,"골재소요량";#N/A,#N/A,FALSE,"골재소요량"}</definedName>
    <definedName name="토목예산서" localSheetId="13" hidden="1">{#N/A,#N/A,FALSE,"현장 NCR 분석";#N/A,#N/A,FALSE,"현장품질감사";#N/A,#N/A,FALSE,"현장품질감사"}</definedName>
    <definedName name="토목예산서" localSheetId="15" hidden="1">{#N/A,#N/A,FALSE,"현장 NCR 분석";#N/A,#N/A,FALSE,"현장품질감사";#N/A,#N/A,FALSE,"현장품질감사"}</definedName>
    <definedName name="토목예산서" hidden="1">{#N/A,#N/A,FALSE,"현장 NCR 분석";#N/A,#N/A,FALSE,"현장품질감사";#N/A,#N/A,FALSE,"현장품질감사"}</definedName>
    <definedName name="토적" localSheetId="13" hidden="1">{#N/A,#N/A,FALSE,"현장 NCR 분석";#N/A,#N/A,FALSE,"현장품질감사";#N/A,#N/A,FALSE,"현장품질감사"}</definedName>
    <definedName name="토적" hidden="1">{#N/A,#N/A,FALSE,"현장 NCR 분석";#N/A,#N/A,FALSE,"현장품질감사";#N/A,#N/A,FALSE,"현장품질감사"}</definedName>
    <definedName name="토적집계">#REF!</definedName>
    <definedName name="토적표" localSheetId="29" hidden="1">#REF!</definedName>
    <definedName name="토적표" localSheetId="13" hidden="1">#REF!</definedName>
    <definedName name="토적표" localSheetId="19" hidden="1">#REF!</definedName>
    <definedName name="토적표" hidden="1">#REF!</definedName>
    <definedName name="토적표01" localSheetId="29" hidden="1">#REF!</definedName>
    <definedName name="토적표01" localSheetId="13" hidden="1">#REF!</definedName>
    <definedName name="토적표01" localSheetId="19" hidden="1">#REF!</definedName>
    <definedName name="토적표01" hidden="1">#REF!</definedName>
    <definedName name="톱">[159]단가!$A$25</definedName>
    <definedName name="톱밥퇴비">#REF!</definedName>
    <definedName name="통">#REF!</definedName>
    <definedName name="통1">#REF!</definedName>
    <definedName name="통IDF16T">#REF!</definedName>
    <definedName name="통기1">#REF!</definedName>
    <definedName name="통기2">#REF!</definedName>
    <definedName name="통내공">#REF!</definedName>
    <definedName name="통설공">#REF!</definedName>
    <definedName name="통신_내선공">#REF!</definedName>
    <definedName name="통신_설비공">#REF!</definedName>
    <definedName name="통신_외선공">#REF!</definedName>
    <definedName name="통신기능사" localSheetId="13">[144]노임단가표!$D$24</definedName>
    <definedName name="통신기능사">[163]노임단가표!$D$24</definedName>
    <definedName name="통신기사">#REF!</definedName>
    <definedName name="통신기사1급">#REF!</definedName>
    <definedName name="통신기사2급">#REF!</definedName>
    <definedName name="통신내">#REF!</definedName>
    <definedName name="통신내공" localSheetId="13">[112]인부임!$F$19</definedName>
    <definedName name="통신내공">[113]인부임!$F$19</definedName>
    <definedName name="통신내선">#REF!</definedName>
    <definedName name="통신내선공">#REF!</definedName>
    <definedName name="통신노임2" localSheetId="29" hidden="1">#REF!</definedName>
    <definedName name="통신노임2" localSheetId="32" hidden="1">#REF!</definedName>
    <definedName name="통신노임2" localSheetId="27" hidden="1">#REF!</definedName>
    <definedName name="통신노임2" localSheetId="30" hidden="1">#REF!</definedName>
    <definedName name="통신노임2" localSheetId="13" hidden="1">#REF!</definedName>
    <definedName name="통신노임2" localSheetId="15" hidden="1">#REF!</definedName>
    <definedName name="통신노임2" localSheetId="19" hidden="1">#REF!</definedName>
    <definedName name="통신노임2" hidden="1">#REF!</definedName>
    <definedName name="통신노임2003" localSheetId="29" hidden="1">#REF!</definedName>
    <definedName name="통신노임2003" localSheetId="32" hidden="1">#REF!</definedName>
    <definedName name="통신노임2003" localSheetId="27" hidden="1">#REF!</definedName>
    <definedName name="통신노임2003" localSheetId="30" hidden="1">#REF!</definedName>
    <definedName name="통신노임2003" localSheetId="13" hidden="1">#REF!</definedName>
    <definedName name="통신노임2003" localSheetId="15" hidden="1">#REF!</definedName>
    <definedName name="통신노임2003" localSheetId="19" hidden="1">#REF!</definedName>
    <definedName name="통신노임2003" hidden="1">#REF!</definedName>
    <definedName name="통신비">#REF!</definedName>
    <definedName name="통신설">#REF!</definedName>
    <definedName name="통신설공" localSheetId="13">[112]인부임!$F$18</definedName>
    <definedName name="통신설공">[113]인부임!$F$18</definedName>
    <definedName name="통신설비공">#REF!</definedName>
    <definedName name="통신실배치도">#REF!</definedName>
    <definedName name="통신외">#REF!</definedName>
    <definedName name="통신외공" localSheetId="13">[112]인부임!$F$17</definedName>
    <definedName name="통신외공">[113]인부임!$F$17</definedName>
    <definedName name="통신외선">#REF!</definedName>
    <definedName name="통신외선공">#REF!</definedName>
    <definedName name="통신용벽철" localSheetId="13">[29]노무산출서!$H$40</definedName>
    <definedName name="통신용벽철">[30]노무산출서!$H$40</definedName>
    <definedName name="통신용완철" localSheetId="13">[29]노무산출서!$H$68</definedName>
    <definedName name="통신용완철">[30]노무산출서!$H$68</definedName>
    <definedName name="통신용완철취부">[38]노무산출서!#REF!</definedName>
    <definedName name="통신용인입벽철" localSheetId="13">[29]소요자재!$H$187</definedName>
    <definedName name="통신용인입벽철">[38]소요자재!#REF!</definedName>
    <definedName name="통신용인입벽청">[45]소요자재!#REF!</definedName>
    <definedName name="통신집계">BlankMacro1</definedName>
    <definedName name="통신케">#REF!</definedName>
    <definedName name="통신케공" localSheetId="13">[112]인부임!$F$20</definedName>
    <definedName name="통신케공">[113]인부임!$F$20</definedName>
    <definedName name="통신케이블공">#REF!</definedName>
    <definedName name="통영수량">#REF!</definedName>
    <definedName name="통외공">#REF!</definedName>
    <definedName name="통케">#REF!</definedName>
    <definedName name="통케공">#REF!</definedName>
    <definedName name="통합" localSheetId="13">[6]소요자재!$H$138</definedName>
    <definedName name="통합">[23]소요자재!$H$138</definedName>
    <definedName name="통합물량">#REF!</definedName>
    <definedName name="통행료">#REF!</definedName>
    <definedName name="퇴직공제" localSheetId="13">'[73]7.설계명세서(통합보안)'!$G$229</definedName>
    <definedName name="퇴직공제">'[99]7.설계명세서(통합보안)'!$G$229</definedName>
    <definedName name="투3" localSheetId="13" hidden="1">{#N/A,#N/A,FALSE,"배수2"}</definedName>
    <definedName name="투3" hidden="1">{#N/A,#N/A,FALSE,"배수2"}</definedName>
    <definedName name="투수콘">[50]단가!$A$63</definedName>
    <definedName name="투찰표" localSheetId="13" hidden="1">{#N/A,#N/A,FALSE,"부대1"}</definedName>
    <definedName name="투찰표" hidden="1">{#N/A,#N/A,FALSE,"부대1"}</definedName>
    <definedName name="트레이집계"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트레이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특_별_인_부">#REF!</definedName>
    <definedName name="특고압케이블공">#REF!</definedName>
    <definedName name="특고케이블공">#REF!</definedName>
    <definedName name="특급원자력비피괴시험">#REF!</definedName>
    <definedName name="특기시방서">#REF!</definedName>
    <definedName name="특별">#REF!</definedName>
    <definedName name="특별고압케이블공">#REF!</definedName>
    <definedName name="특별인부" localSheetId="29">#REF!</definedName>
    <definedName name="특별인부" localSheetId="32">#REF!</definedName>
    <definedName name="특별인부" localSheetId="27">#REF!</definedName>
    <definedName name="특별인부" localSheetId="30">#REF!</definedName>
    <definedName name="특별인부" localSheetId="19">#REF!</definedName>
    <definedName name="특별인부">#REF!</definedName>
    <definedName name="특수">#REF!</definedName>
    <definedName name="특수별표" localSheetId="29" hidden="1">#REF!</definedName>
    <definedName name="특수별표" localSheetId="13" hidden="1">#REF!</definedName>
    <definedName name="특수별표" localSheetId="19" hidden="1">#REF!</definedName>
    <definedName name="특수별표" hidden="1">#REF!</definedName>
    <definedName name="특수비계공">#REF!</definedName>
    <definedName name="특수화공">#REF!</definedName>
    <definedName name="특인">#REF!</definedName>
    <definedName name="ㅍ" localSheetId="13">'8-2.설비자재산출(무인보안)'!ㅍ</definedName>
    <definedName name="ㅍ" localSheetId="15">'8-4.일위대가표'!ㅍ</definedName>
    <definedName name="ㅍ">'8-2.설비자재산출(무인보안)'!ㅍ</definedName>
    <definedName name="ㅍㅍ" localSheetId="13" hidden="1">{#N/A,#N/A,TRUE,"토적및재료집계";#N/A,#N/A,TRUE,"토적및재료집계";#N/A,#N/A,TRUE,"단위량"}</definedName>
    <definedName name="ㅍㅍ" hidden="1">{#N/A,#N/A,TRUE,"토적및재료집계";#N/A,#N/A,TRUE,"토적및재료집계";#N/A,#N/A,TRUE,"단위량"}</definedName>
    <definedName name="파고라노">#REF!</definedName>
    <definedName name="파고라재">#REF!</definedName>
    <definedName name="파군재교" localSheetId="13" hidden="1">{#N/A,#N/A,FALSE,"단면 제원"}</definedName>
    <definedName name="파군재교" hidden="1">{#N/A,#N/A,FALSE,"단면 제원"}</definedName>
    <definedName name="파일" localSheetId="29" hidden="1">#REF!</definedName>
    <definedName name="파일" localSheetId="13" hidden="1">#REF!</definedName>
    <definedName name="파일" localSheetId="19" hidden="1">#REF!</definedName>
    <definedName name="파일" hidden="1">#REF!</definedName>
    <definedName name="파일1간격">0.6</definedName>
    <definedName name="파일간격">1.3</definedName>
    <definedName name="파트넘버">#REF!</definedName>
    <definedName name="파ㅣㅎㄹㅇ" localSheetId="13" hidden="1">{#N/A,#N/A,FALSE,"배수1"}</definedName>
    <definedName name="파ㅣㅎㄹㅇ" hidden="1">{#N/A,#N/A,FALSE,"배수1"}</definedName>
    <definedName name="판넬" localSheetId="4">{"'단계별시설공사비'!$A$3:$K$51"}</definedName>
    <definedName name="판넬" localSheetId="13">{"'단계별시설공사비'!$A$3:$K$51"}</definedName>
    <definedName name="판넬" localSheetId="15">{"'단계별시설공사비'!$A$3:$K$51"}</definedName>
    <definedName name="판넬">{"'단계별시설공사비'!$A$3:$K$51"}</definedName>
    <definedName name="판넬조립공">#REF!</definedName>
    <definedName name="판석노">#REF!</definedName>
    <definedName name="판석재">#REF!</definedName>
    <definedName name="팔" hidden="1">'[1]#REF'!$A$1:$A$1714</definedName>
    <definedName name="팬" localSheetId="13" hidden="1">{#N/A,#N/A,TRUE,"공조기";#N/A,#N/A,TRUE,"FCU";#N/A,#N/A,TRUE,"1-20";#N/A,#N/A,TRUE,"21-40";#N/A,#N/A,TRUE,"41-60";#N/A,#N/A,TRUE,"61-80";#N/A,#N/A,TRUE,"화장실부하집계";#N/A,#N/A,TRUE,"화장실"}</definedName>
    <definedName name="팬" hidden="1">{#N/A,#N/A,TRUE,"공조기";#N/A,#N/A,TRUE,"FCU";#N/A,#N/A,TRUE,"1-20";#N/A,#N/A,TRUE,"21-40";#N/A,#N/A,TRUE,"41-60";#N/A,#N/A,TRUE,"61-80";#N/A,#N/A,TRUE,"화장실부하집계";#N/A,#N/A,TRUE,"화장실"}</definedName>
    <definedName name="팽">[50]단가!$A$125</definedName>
    <definedName name="펌프" localSheetId="13" hidden="1">{#N/A,#N/A,TRUE,"1. 부하계산";#N/A,#N/A,TRUE,"1-1.부하계산기준";#N/A,#N/A,TRUE,"1-2.부하계산방법";#N/A,#N/A,TRUE,"1-3.부하집계";#N/A,#N/A,TRUE,"1-4.부하계산"}</definedName>
    <definedName name="펌프" hidden="1">{#N/A,#N/A,TRUE,"1. 부하계산";#N/A,#N/A,TRUE,"1-1.부하계산기준";#N/A,#N/A,TRUE,"1-2.부하계산방법";#N/A,#N/A,TRUE,"1-3.부하집계";#N/A,#N/A,TRUE,"1-4.부하계산"}</definedName>
    <definedName name="페디스탈">#REF!</definedName>
    <definedName name="페이지" localSheetId="13" hidden="1">{"'Firr(선)'!$AS$1:$AY$62","'Firr(사)'!$AS$1:$AY$62","'Firr(회)'!$AS$1:$AY$62","'Firr(선)'!$L$1:$V$62","'Firr(사)'!$L$1:$V$62","'Firr(회)'!$L$1:$V$62"}</definedName>
    <definedName name="페이지" hidden="1">{"'Firr(선)'!$AS$1:$AY$62","'Firr(사)'!$AS$1:$AY$62","'Firr(회)'!$AS$1:$AY$62","'Firr(선)'!$L$1:$V$62","'Firr(사)'!$L$1:$V$62","'Firr(회)'!$L$1:$V$62"}</definedName>
    <definedName name="평">#REF!</definedName>
    <definedName name="평의자노">#REF!</definedName>
    <definedName name="평의자재">#REF!</definedName>
    <definedName name="폐기물_저장창고_및_소각로">#REF!</definedName>
    <definedName name="폐기물처리비">#REF!</definedName>
    <definedName name="폐추니아">#REF!</definedName>
    <definedName name="포__설__공">#REF!</definedName>
    <definedName name="포__장__공">#REF!</definedName>
    <definedName name="포선납땜1">#REF!</definedName>
    <definedName name="포선납땜A">#REF!</definedName>
    <definedName name="포설">#REF!</definedName>
    <definedName name="포설공">#REF!</definedName>
    <definedName name="포설관로">#REF!</definedName>
    <definedName name="포설노무비" localSheetId="13">[107]정산설계!$G$325</definedName>
    <definedName name="포설노무비">[112]정산설계!$G$325</definedName>
    <definedName name="포설잡재료">#REF!</definedName>
    <definedName name="포장">[7]!포장</definedName>
    <definedName name="포장공">#REF!</definedName>
    <definedName name="포장조서2" localSheetId="13" hidden="1">{#N/A,#N/A,FALSE,"골재소요량";#N/A,#N/A,FALSE,"골재소요량"}</definedName>
    <definedName name="포장조서2" hidden="1">{#N/A,#N/A,FALSE,"골재소요량";#N/A,#N/A,FALSE,"골재소요량"}</definedName>
    <definedName name="포지머ㅗㄱㄷㅌ킹1" localSheetId="13" hidden="1">{#N/A,#N/A,FALSE,"표지목차"}</definedName>
    <definedName name="포지머ㅗㄱㄷㅌ킹1" hidden="1">{#N/A,#N/A,FALSE,"표지목차"}</definedName>
    <definedName name="포천석노">[88]시설물!#REF!</definedName>
    <definedName name="포천석재">[88]시설물!#REF!</definedName>
    <definedName name="폽장2" localSheetId="13" hidden="1">{#N/A,#N/A,FALSE,"포장1";#N/A,#N/A,FALSE,"포장1"}</definedName>
    <definedName name="폽장2" hidden="1">{#N/A,#N/A,FALSE,"포장1";#N/A,#N/A,FALSE,"포장1"}</definedName>
    <definedName name="표"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표"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표"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표"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표면보호경비">#REF!</definedName>
    <definedName name="표면보호노무비">#REF!</definedName>
    <definedName name="표면보호재료비">#REF!</definedName>
    <definedName name="표시찰">#REF!</definedName>
    <definedName name="표시찰A">#REF!</definedName>
    <definedName name="표시찰철거">#REF!</definedName>
    <definedName name="표시찰취부">#REF!</definedName>
    <definedName name="표시찰취부1">#REF!</definedName>
    <definedName name="표시찰취부A">#REF!</definedName>
    <definedName name="표제">#REF!</definedName>
    <definedName name="표준공종">#REF!</definedName>
    <definedName name="표준양식">#REF!</definedName>
    <definedName name="표지" localSheetId="2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표지"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표지"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표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표지1" localSheetId="13">[191]기초자료입력!$B$5</definedName>
    <definedName name="표지1">[172]기초자료입력!$B$5</definedName>
    <definedName name="표지2"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표지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표지임"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표지임"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표지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품">#REF!</definedName>
    <definedName name="품1">[56]품!#REF!</definedName>
    <definedName name="품1_1">#REF!</definedName>
    <definedName name="품1_2">#REF!</definedName>
    <definedName name="품1_3">#REF!</definedName>
    <definedName name="품1_4">#REF!</definedName>
    <definedName name="품1_5">#REF!</definedName>
    <definedName name="품10">[56]품!#REF!</definedName>
    <definedName name="품11">#REF!</definedName>
    <definedName name="품14">#REF!</definedName>
    <definedName name="품2">[56]품!#REF!</definedName>
    <definedName name="품20">#REF!</definedName>
    <definedName name="품20가">#REF!</definedName>
    <definedName name="품20나">#REF!</definedName>
    <definedName name="품20다">#REF!</definedName>
    <definedName name="품20라">#REF!</definedName>
    <definedName name="품20마">#REF!</definedName>
    <definedName name="품20바">#REF!</definedName>
    <definedName name="품21">#REF!</definedName>
    <definedName name="품22">#REF!</definedName>
    <definedName name="품22가">#REF!</definedName>
    <definedName name="품22나">#REF!</definedName>
    <definedName name="품22다">#REF!</definedName>
    <definedName name="품22라">#REF!</definedName>
    <definedName name="품22마">#REF!</definedName>
    <definedName name="품22바">#REF!</definedName>
    <definedName name="품22사">#REF!</definedName>
    <definedName name="품23">#REF!</definedName>
    <definedName name="품24">#REF!</definedName>
    <definedName name="품25">#REF!</definedName>
    <definedName name="품26">#REF!</definedName>
    <definedName name="품27">#REF!</definedName>
    <definedName name="품28">#REF!</definedName>
    <definedName name="품29">#REF!</definedName>
    <definedName name="품3">[56]품!#REF!</definedName>
    <definedName name="품30">#REF!</definedName>
    <definedName name="품31">#REF!</definedName>
    <definedName name="품32">#REF!</definedName>
    <definedName name="품33">#REF!</definedName>
    <definedName name="품34">#REF!</definedName>
    <definedName name="품35">#REF!</definedName>
    <definedName name="품36">#REF!</definedName>
    <definedName name="품37">#REF!</definedName>
    <definedName name="품3가">#REF!</definedName>
    <definedName name="품3나">#REF!</definedName>
    <definedName name="품3다">#REF!</definedName>
    <definedName name="품3라">#REF!</definedName>
    <definedName name="품3마">#REF!</definedName>
    <definedName name="품3바">#REF!</definedName>
    <definedName name="품4">[56]품!#REF!</definedName>
    <definedName name="품5">[56]품!#REF!</definedName>
    <definedName name="품6">[56]품!#REF!</definedName>
    <definedName name="품7">[56]품!#REF!</definedName>
    <definedName name="품8">[56]품!#REF!</definedName>
    <definedName name="품9">[56]품!#REF!</definedName>
    <definedName name="품91">#REF!</definedName>
    <definedName name="품92">#REF!</definedName>
    <definedName name="품명">"Label 12"</definedName>
    <definedName name="품산출">#REF!</definedName>
    <definedName name="품산출1">#REF!</definedName>
    <definedName name="품산출2">#REF!</definedName>
    <definedName name="품산출공구손료">#REF!</definedName>
    <definedName name="품셈">#REF!</definedName>
    <definedName name="품셈00"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품셈00"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품셈0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품셈01">#REF!</definedName>
    <definedName name="품셈2" localSheetId="13" hidden="1">{#N/A,#N/A,FALSE,"현장 NCR 분석";#N/A,#N/A,FALSE,"현장품질감사";#N/A,#N/A,FALSE,"현장품질감사"}</definedName>
    <definedName name="품셈2" hidden="1">{#N/A,#N/A,FALSE,"현장 NCR 분석";#N/A,#N/A,FALSE,"현장품질감사";#N/A,#N/A,FALSE,"현장품질감사"}</definedName>
    <definedName name="품셈3">#N/A</definedName>
    <definedName name="품셈경비">#REF!</definedName>
    <definedName name="품셈공종" localSheetId="13">[190]품셈TABLE!$C$2:$C$50</definedName>
    <definedName name="품셈공종">[56]품셈TABLE!$C$2:$C$50</definedName>
    <definedName name="품셈내역" localSheetId="13" hidden="1">{#N/A,#N/A,FALSE,"현장 NCR 분석";#N/A,#N/A,FALSE,"현장품질감사";#N/A,#N/A,FALSE,"현장품질감사"}</definedName>
    <definedName name="품셈내역" hidden="1">{#N/A,#N/A,FALSE,"현장 NCR 분석";#N/A,#N/A,FALSE,"현장품질감사";#N/A,#N/A,FALSE,"현장품질감사"}</definedName>
    <definedName name="품셈단가" localSheetId="13">[190]품셈TABLE!$D$2:$D$50</definedName>
    <definedName name="품셈단가">[56]품셈TABLE!$D$2:$D$50</definedName>
    <definedName name="품셈이랑께">[192]입찰서!#REF!</definedName>
    <definedName name="품셈표" localSheetId="13">'[125]#REF'!$A$3:$H$58</definedName>
    <definedName name="품셈표">#REF!</definedName>
    <definedName name="품셈표2">#REF!</definedName>
    <definedName name="품셈표3">#REF!</definedName>
    <definedName name="품셈표광단국" localSheetId="29" hidden="1">#REF!</definedName>
    <definedName name="품셈표광단국" localSheetId="32" hidden="1">#REF!</definedName>
    <definedName name="품셈표광단국" localSheetId="27" hidden="1">#REF!</definedName>
    <definedName name="품셈표광단국" localSheetId="30" hidden="1">#REF!</definedName>
    <definedName name="품셈표광단국" localSheetId="13" hidden="1">#REF!</definedName>
    <definedName name="품셈표광단국" localSheetId="15" hidden="1">#REF!</definedName>
    <definedName name="품셈표광단국" localSheetId="19" hidden="1">#REF!</definedName>
    <definedName name="품셈표광단국" hidden="1">#REF!</definedName>
    <definedName name="품적용">#REF!</definedName>
    <definedName name="품종">#REF!</definedName>
    <definedName name="품질시방">#REF!</definedName>
    <definedName name="풍납동" localSheetId="29" hidden="1">[12]Sheet4!#REF!</definedName>
    <definedName name="풍납동" localSheetId="13" hidden="1">[12]Sheet4!#REF!</definedName>
    <definedName name="풍납동" localSheetId="19" hidden="1">[12]Sheet4!#REF!</definedName>
    <definedName name="풍납동" hidden="1">[12]Sheet4!#REF!</definedName>
    <definedName name="풍납동아파트" localSheetId="29" hidden="1">[12]Sheet4!#REF!</definedName>
    <definedName name="풍납동아파트" localSheetId="13" hidden="1">[12]Sheet4!#REF!</definedName>
    <definedName name="풍납동아파트" localSheetId="19" hidden="1">[12]Sheet4!#REF!</definedName>
    <definedName name="풍납동아파트" hidden="1">[12]Sheet4!#REF!</definedName>
    <definedName name="퓨퓨퓨" localSheetId="29" hidden="1">[46]내역서!#REF!</definedName>
    <definedName name="퓨퓨퓨" localSheetId="13" hidden="1">[46]내역서!#REF!</definedName>
    <definedName name="퓨퓨퓨" localSheetId="19" hidden="1">[46]내역서!#REF!</definedName>
    <definedName name="퓨퓨퓨" hidden="1">[46]내역서!#REF!</definedName>
    <definedName name="프랜트">#REF!</definedName>
    <definedName name="프랜트_전공">#REF!</definedName>
    <definedName name="프랜트공">'[135]적용기준표(98년상반기)'!#REF!</definedName>
    <definedName name="프랜트전공" localSheetId="29">#REF!</definedName>
    <definedName name="프랜트전공" localSheetId="32">#REF!</definedName>
    <definedName name="프랜트전공" localSheetId="27">#REF!</definedName>
    <definedName name="프랜트전공" localSheetId="30">#REF!</definedName>
    <definedName name="프랜트전공" localSheetId="19">#REF!</definedName>
    <definedName name="프랜트전공">#REF!</definedName>
    <definedName name="프린터">#REF!</definedName>
    <definedName name="프프">#REF!</definedName>
    <definedName name="플라타너스B8">[81]데이타!$E$552</definedName>
    <definedName name="플랜">#REF!</definedName>
    <definedName name="플랜트공">#REF!</definedName>
    <definedName name="플랜트기계설치공">#REF!</definedName>
    <definedName name="플랜트배관공">#REF!</definedName>
    <definedName name="플랜트용접공">#REF!</definedName>
    <definedName name="플랜트전공">#REF!</definedName>
    <definedName name="플랜트제관공">#REF!</definedName>
    <definedName name="플랜트특수용접공">#REF!</definedName>
    <definedName name="플렉시블">#REF!</definedName>
    <definedName name="플렉시블전선관" localSheetId="13">[29]소요자재!$H$189</definedName>
    <definedName name="플렉시블전선관">[38]소요자재!#REF!</definedName>
    <definedName name="플로어덕트">#REF!</definedName>
    <definedName name="플륨관" localSheetId="13" hidden="1">{"'산출근거'!$B$4:$D$8"}</definedName>
    <definedName name="플륨관" hidden="1">{"'산출근거'!$B$4:$D$8"}</definedName>
    <definedName name="피로티" localSheetId="13" hidden="1">{#N/A,#N/A,FALSE,"이태원철근"}</definedName>
    <definedName name="피로티" hidden="1">{#N/A,#N/A,FALSE,"이태원철근"}</definedName>
    <definedName name="피로티1" localSheetId="13" hidden="1">{#N/A,#N/A,FALSE,"이태원철근"}</definedName>
    <definedName name="피로티1" hidden="1">{#N/A,#N/A,FALSE,"이태원철근"}</definedName>
    <definedName name="피스표" localSheetId="13">'8-2.설비자재산출(무인보안)'!피스표</definedName>
    <definedName name="피스표" localSheetId="15">'8-4.일위대가표'!피스표</definedName>
    <definedName name="피스표">'8-2.설비자재산출(무인보안)'!피스표</definedName>
    <definedName name="피이강남">#REF!</definedName>
    <definedName name="피이광교">#REF!</definedName>
    <definedName name="피이광주">#REF!</definedName>
    <definedName name="피이대구">#REF!</definedName>
    <definedName name="피이대전">#REF!</definedName>
    <definedName name="피이동교">#REF!</definedName>
    <definedName name="피이르네상스">#REF!</definedName>
    <definedName name="피이발산">#REF!</definedName>
    <definedName name="피이방배">#REF!</definedName>
    <definedName name="피이보라매">#REF!</definedName>
    <definedName name="피이본사">#REF!</definedName>
    <definedName name="피이사당">#REF!</definedName>
    <definedName name="피이삼성">#REF!</definedName>
    <definedName name="피이삼풍">#REF!</definedName>
    <definedName name="피이서초">#REF!</definedName>
    <definedName name="피이수원">#REF!</definedName>
    <definedName name="피이신반포">#REF!</definedName>
    <definedName name="피이압구정">#REF!</definedName>
    <definedName name="피이울산">#REF!</definedName>
    <definedName name="피이울산2">#REF!</definedName>
    <definedName name="피이울산신">#REF!</definedName>
    <definedName name="피이울산철">#REF!</definedName>
    <definedName name="피이인천">#REF!</definedName>
    <definedName name="피이잠실">#REF!</definedName>
    <definedName name="피이전주">#REF!</definedName>
    <definedName name="피이청담">#REF!</definedName>
    <definedName name="피이화정">#REF!</definedName>
    <definedName name="피해2" localSheetId="29" hidden="1">#REF!</definedName>
    <definedName name="피해2" localSheetId="13" hidden="1">#REF!</definedName>
    <definedName name="피해2" localSheetId="19" hidden="1">#REF!</definedName>
    <definedName name="피해2" hidden="1">#REF!</definedName>
    <definedName name="픽스아디에프취부">[38]노무산출서!#REF!</definedName>
    <definedName name="ㅎ" localSheetId="13">'8-2.설비자재산출(무인보안)'!ㅎ</definedName>
    <definedName name="ㅎ" localSheetId="15">'8-4.일위대가표'!ㅎ</definedName>
    <definedName name="ㅎ">'8-2.설비자재산출(무인보안)'!ㅎ</definedName>
    <definedName name="ㅎ314">#REF!</definedName>
    <definedName name="ㅎ384">#REF!</definedName>
    <definedName name="ㅎ662">#REF!</definedName>
    <definedName name="ㅎ72">#REF!</definedName>
    <definedName name="ㅎㄴ" hidden="1">'[139]N賃率-職'!$I$5:$I$30</definedName>
    <definedName name="ㅎㄴㄹㄴㄹㄴㅇ" localSheetId="13" hidden="1">{#N/A,#N/A,FALSE,"토공2"}</definedName>
    <definedName name="ㅎㄴㄹㄴㄹㄴㅇ" hidden="1">{#N/A,#N/A,FALSE,"토공2"}</definedName>
    <definedName name="ㅎㄴㅁㄴㅇㄹㄴㅇ" localSheetId="13" hidden="1">{#N/A,#N/A,FALSE,"운반시간"}</definedName>
    <definedName name="ㅎㄴㅁㄴㅇㄹㄴㅇ" hidden="1">{#N/A,#N/A,FALSE,"운반시간"}</definedName>
    <definedName name="ㅎㄴㅁㄹㄴㅁㄹㄴㅁㄹㄷㄹㄶㄴ" localSheetId="13" hidden="1">{#N/A,#N/A,FALSE,"속도"}</definedName>
    <definedName name="ㅎㄴㅁㄹㄴㅁㄹㄴㅁㄹㄷㄹㄶㄴ" hidden="1">{#N/A,#N/A,FALSE,"속도"}</definedName>
    <definedName name="ㅎㄴㅁㄹㅈㅁㅎ" localSheetId="13" hidden="1">{#N/A,#N/A,FALSE,"단가표지"}</definedName>
    <definedName name="ㅎㄴㅁㄹㅈㅁㅎ" hidden="1">{#N/A,#N/A,FALSE,"단가표지"}</definedName>
    <definedName name="ㅎㄴㅇㅎㄴㅇㄹ">#REF!</definedName>
    <definedName name="ㅎ노ㅠ" localSheetId="13" hidden="1">{#N/A,#N/A,FALSE,"배수1"}</definedName>
    <definedName name="ㅎ노ㅠ" hidden="1">{#N/A,#N/A,FALSE,"배수1"}</definedName>
    <definedName name="ㅎㄶ" localSheetId="13" hidden="1">{#N/A,#N/A,FALSE,"속도"}</definedName>
    <definedName name="ㅎㄶ" hidden="1">{#N/A,#N/A,FALSE,"속도"}</definedName>
    <definedName name="ㅎㄹ" localSheetId="13">'8-2.설비자재산출(무인보안)'!ㅎㄹ</definedName>
    <definedName name="ㅎㄹ" localSheetId="15">'8-4.일위대가표'!ㅎㄹ</definedName>
    <definedName name="ㅎㄹ">'8-2.설비자재산출(무인보안)'!ㅎㄹ</definedName>
    <definedName name="ㅎㄹㄴㅇㅎㄴㅇㄹ">#REF!</definedName>
    <definedName name="ㅎㄹㅇㄴ">[140]LANGUAGE!$B$43</definedName>
    <definedName name="ㅎ로낟안" localSheetId="13" hidden="1">{#N/A,#N/A,FALSE,"혼합골재"}</definedName>
    <definedName name="ㅎ로낟안" hidden="1">{#N/A,#N/A,FALSE,"혼합골재"}</definedName>
    <definedName name="ㅎ로ㅗ">BlankMacro1</definedName>
    <definedName name="ㅎㅀㄴㅇㅎ" localSheetId="29" hidden="1">#REF!</definedName>
    <definedName name="ㅎㅀㄴㅇㅎ" localSheetId="32" hidden="1">#REF!</definedName>
    <definedName name="ㅎㅀㄴㅇㅎ" localSheetId="27" hidden="1">#REF!</definedName>
    <definedName name="ㅎㅀㄴㅇㅎ" localSheetId="30" hidden="1">#REF!</definedName>
    <definedName name="ㅎㅀㄴㅇㅎ" localSheetId="13" hidden="1">#REF!</definedName>
    <definedName name="ㅎㅀㄴㅇㅎ" localSheetId="15" hidden="1">#REF!</definedName>
    <definedName name="ㅎㅀㄴㅇㅎ" localSheetId="19" hidden="1">#REF!</definedName>
    <definedName name="ㅎㅀㄴㅇㅎ" hidden="1">#REF!</definedName>
    <definedName name="ㅎㅇㄱ" localSheetId="13" hidden="1">{"'용역비'!$A$4:$C$8"}</definedName>
    <definedName name="ㅎㅇㄱ" localSheetId="15" hidden="1">{"'용역비'!$A$4:$C$8"}</definedName>
    <definedName name="ㅎㅇㄱ" hidden="1">{"'용역비'!$A$4:$C$8"}</definedName>
    <definedName name="ㅎㅎ" localSheetId="13" hidden="1">{#N/A,#N/A,FALSE,"골재소요량";#N/A,#N/A,FALSE,"골재소요량"}</definedName>
    <definedName name="ㅎㅎ" hidden="1">{#N/A,#N/A,FALSE,"골재소요량";#N/A,#N/A,FALSE,"골재소요량"}</definedName>
    <definedName name="ㅎㅎㄴㅁㅎㄴㅁㅎ" localSheetId="13" hidden="1">{#N/A,#N/A,FALSE,"구조2"}</definedName>
    <definedName name="ㅎㅎㄴㅁㅎㄴㅁㅎ" hidden="1">{#N/A,#N/A,FALSE,"구조2"}</definedName>
    <definedName name="ㅎㅎ도호" localSheetId="13" hidden="1">{#N/A,#N/A,FALSE,"표지목차"}</definedName>
    <definedName name="ㅎㅎ도호" hidden="1">{#N/A,#N/A,FALSE,"표지목차"}</definedName>
    <definedName name="ㅎㅎㅀㄹ">[51]기초자료입력!$B$19</definedName>
    <definedName name="ㅎㅎㅎ" localSheetId="29" hidden="1">#REF!</definedName>
    <definedName name="ㅎㅎㅎ" localSheetId="13" hidden="1">#REF!</definedName>
    <definedName name="ㅎㅎㅎ" localSheetId="19" hidden="1">#REF!</definedName>
    <definedName name="ㅎㅎㅎ" hidden="1">#REF!</definedName>
    <definedName name="ㅎㅎㅎㅇㅇㅇㅇ" localSheetId="13" hidden="1">{#N/A,#N/A,FALSE,"조골재"}</definedName>
    <definedName name="ㅎㅎㅎㅇㅇㅇㅇ" hidden="1">{#N/A,#N/A,FALSE,"조골재"}</definedName>
    <definedName name="ㅎㅎㅎㅎ">BlankMacro1</definedName>
    <definedName name="ㅎㅎㅎㅎㅎ">#REF!</definedName>
    <definedName name="ㅎㅎㅎㅎㅎㅎㅎㅎ" localSheetId="13" hidden="1">{#N/A,#N/A,FALSE,"혼합골재"}</definedName>
    <definedName name="ㅎㅎㅎㅎㅎㅎㅎㅎ" hidden="1">{#N/A,#N/A,FALSE,"혼합골재"}</definedName>
    <definedName name="하" localSheetId="13" hidden="1">{#N/A,#N/A,FALSE,"지침";#N/A,#N/A,FALSE,"환경분석";#N/A,#N/A,FALSE,"Sheet16"}</definedName>
    <definedName name="하" hidden="1">{#N/A,#N/A,FALSE,"지침";#N/A,#N/A,FALSE,"환경분석";#N/A,#N/A,FALSE,"Sheet16"}</definedName>
    <definedName name="하늘1" localSheetId="13" hidden="1">{#N/A,#N/A,FALSE,"전력간선"}</definedName>
    <definedName name="하늘1" hidden="1">{#N/A,#N/A,FALSE,"전력간선"}</definedName>
    <definedName name="하도">#REF!</definedName>
    <definedName name="하도내역1" localSheetId="13" hidden="1">{#N/A,#N/A,FALSE,"조골재"}</definedName>
    <definedName name="하도내역1" hidden="1">{#N/A,#N/A,FALSE,"조골재"}</definedName>
    <definedName name="하도집계"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하도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하드시험">#REF!</definedName>
    <definedName name="하드시험사" localSheetId="13">[144]노임단가표!$D$31</definedName>
    <definedName name="하드시험사">[163]노임단가표!$D$31</definedName>
    <definedName name="하비람" localSheetId="13" hidden="1">{#N/A,#N/A,TRUE,"1. 부하계산";#N/A,#N/A,TRUE,"1-1.부하계산기준";#N/A,#N/A,TRUE,"1-2.부하계산방법";#N/A,#N/A,TRUE,"1-3.부하집계";#N/A,#N/A,TRUE,"1-4.부하계산"}</definedName>
    <definedName name="하비람" hidden="1">{#N/A,#N/A,TRUE,"1. 부하계산";#N/A,#N/A,TRUE,"1-1.부하계산기준";#N/A,#N/A,TRUE,"1-2.부하계산방법";#N/A,#N/A,TRUE,"1-3.부하집계";#N/A,#N/A,TRUE,"1-4.부하계산"}</definedName>
    <definedName name="하상유지공" localSheetId="13" hidden="1">{#N/A,#N/A,FALSE,"배수1"}</definedName>
    <definedName name="하상유지공" hidden="1">{#N/A,#N/A,FALSE,"배수1"}</definedName>
    <definedName name="하위국명">#REF!</definedName>
    <definedName name="하위국주소">#REF!</definedName>
    <definedName name="하재만" localSheetId="13" hidden="1">{#N/A,#N/A,FALSE,"골재소요량";#N/A,#N/A,FALSE,"골재소요량"}</definedName>
    <definedName name="하재만" hidden="1">{#N/A,#N/A,FALSE,"골재소요량";#N/A,#N/A,FALSE,"골재소요량"}</definedName>
    <definedName name="하정훈">#REF!</definedName>
    <definedName name="하정훈1">#REF!</definedName>
    <definedName name="하한선" localSheetId="13" hidden="1">{#N/A,#N/A,FALSE,"배수2"}</definedName>
    <definedName name="하한선" hidden="1">{#N/A,#N/A,FALSE,"배수2"}</definedName>
    <definedName name="한">#REF!</definedName>
    <definedName name="한국타코닉" localSheetId="1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한국타코닉"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한글노무비">#REF!</definedName>
    <definedName name="한독">#REF!</definedName>
    <definedName name="한동" localSheetId="13" hidden="1">{#N/A,#N/A,FALSE,"단가표지"}</definedName>
    <definedName name="한동" hidden="1">{#N/A,#N/A,FALSE,"단가표지"}</definedName>
    <definedName name="한생마산" localSheetId="13">'8-2.설비자재산출(무인보안)'!한생마산</definedName>
    <definedName name="한생마산" localSheetId="15">'8-4.일위대가표'!한생마산</definedName>
    <definedName name="한생마산">'8-2.설비자재산출(무인보안)'!한생마산</definedName>
    <definedName name="한식목공">#REF!</definedName>
    <definedName name="한식목공조공">#REF!</definedName>
    <definedName name="한식미장공">#REF!</definedName>
    <definedName name="한식와공">#REF!</definedName>
    <definedName name="한식와공조공">#REF!</definedName>
    <definedName name="한전수탁공사비2">#REF!</definedName>
    <definedName name="한진수">#REF!</definedName>
    <definedName name="할__석__공">#REF!</definedName>
    <definedName name="할석공">#REF!</definedName>
    <definedName name="할인율">#REF!</definedName>
    <definedName name="할인율_KT대비">#REF!</definedName>
    <definedName name="할증">#REF!</definedName>
    <definedName name="할증노무비">#REF!</definedName>
    <definedName name="할증노임">#REF!</definedName>
    <definedName name="할증분">#REF!</definedName>
    <definedName name="할증전기">#REF!</definedName>
    <definedName name="할증할인률">#REF!</definedName>
    <definedName name="함__석__공">#REF!</definedName>
    <definedName name="함석공">#REF!</definedName>
    <definedName name="함체">#REF!</definedName>
    <definedName name="함체1">#REF!</definedName>
    <definedName name="함체100">#REF!</definedName>
    <definedName name="함체2">#REF!</definedName>
    <definedName name="함체3">#REF!</definedName>
    <definedName name="함체30">#REF!</definedName>
    <definedName name="함체4">#REF!</definedName>
    <definedName name="함체5">#REF!</definedName>
    <definedName name="함체50">#REF!</definedName>
    <definedName name="함체A">#REF!</definedName>
    <definedName name="함체B">#REF!</definedName>
    <definedName name="함체C">#REF!</definedName>
    <definedName name="함체D">#REF!</definedName>
    <definedName name="함체E">#REF!</definedName>
    <definedName name="함체F">#REF!</definedName>
    <definedName name="함체설치">#REF!</definedName>
    <definedName name="함체설치1">#REF!</definedName>
    <definedName name="함체설치A">#REF!</definedName>
    <definedName name="함체신설">#REF!</definedName>
    <definedName name="함체울산신설">#REF!</definedName>
    <definedName name="함체울산철거">#REF!</definedName>
    <definedName name="함체철거">#REF!</definedName>
    <definedName name="합16P">#REF!</definedName>
    <definedName name="합2P">#REF!</definedName>
    <definedName name="합6P">#REF!</definedName>
    <definedName name="합계">#REF!</definedName>
    <definedName name="합계표"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합계표"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합산정산" localSheetId="13">'8-2.설비자재산출(무인보안)'!합산정산</definedName>
    <definedName name="합산정산" localSheetId="15">'8-4.일위대가표'!합산정산</definedName>
    <definedName name="합산정산">'8-2.설비자재산출(무인보안)'!합산정산</definedName>
    <definedName name="합성수지전선관">#REF!</definedName>
    <definedName name="합성수지파형전선관">#REF!</definedName>
    <definedName name="합침" localSheetId="22" hidden="1">{"'선로집계'!$A$1:$G$68"}</definedName>
    <definedName name="합침" localSheetId="34" hidden="1">{"'선로집계'!$A$1:$G$68"}</definedName>
    <definedName name="합침" localSheetId="35" hidden="1">{"'선로집계'!$A$1:$G$68"}</definedName>
    <definedName name="합침" localSheetId="36" hidden="1">{"'선로집계'!$A$1:$G$68"}</definedName>
    <definedName name="합침" localSheetId="37" hidden="1">{"'선로집계'!$A$1:$G$68"}</definedName>
    <definedName name="합침" localSheetId="13" hidden="1">{"'선로집계'!$A$1:$G$68"}</definedName>
    <definedName name="합침" localSheetId="15" hidden="1">{"'선로집계'!$A$1:$G$68"}</definedName>
    <definedName name="합침" hidden="1">{"'선로집계'!$A$1:$G$68"}</definedName>
    <definedName name="합판">[50]단가!$A$9</definedName>
    <definedName name="합판3">[50]단가!$A$17</definedName>
    <definedName name="합판3노">[88]시설물!#REF!</definedName>
    <definedName name="합판3재">[88]시설물!#REF!</definedName>
    <definedName name="합판거푸집">#REF!</definedName>
    <definedName name="합판노">#REF!</definedName>
    <definedName name="합판재">#REF!</definedName>
    <definedName name="항공장애구" localSheetId="13" hidden="1">{#N/A,#N/A,FALSE,"현장 NCR 분석";#N/A,#N/A,FALSE,"현장품질감사";#N/A,#N/A,FALSE,"현장품질감사"}</definedName>
    <definedName name="항공장애구" localSheetId="15" hidden="1">{#N/A,#N/A,FALSE,"현장 NCR 분석";#N/A,#N/A,FALSE,"현장품질감사";#N/A,#N/A,FALSE,"현장품질감사"}</definedName>
    <definedName name="항공장애구" hidden="1">{#N/A,#N/A,FALSE,"현장 NCR 분석";#N/A,#N/A,FALSE,"현장품질감사";#N/A,#N/A,FALSE,"현장품질감사"}</definedName>
    <definedName name="항목">#REF!</definedName>
    <definedName name="핳" localSheetId="13" hidden="1">{#N/A,#N/A,TRUE,"토적및재료집계";#N/A,#N/A,TRUE,"토적및재료집계";#N/A,#N/A,TRUE,"단위량"}</definedName>
    <definedName name="핳" hidden="1">{#N/A,#N/A,TRUE,"토적및재료집계";#N/A,#N/A,TRUE,"토적및재료집계";#N/A,#N/A,TRUE,"단위량"}</definedName>
    <definedName name="해송">[50]단가!$A$99</definedName>
    <definedName name="해송1.2">[50]단가!$A$100</definedName>
    <definedName name="해윤">#REF!</definedName>
    <definedName name="핸드홀" localSheetId="13">[193]노임단가!$A$12:$F$20</definedName>
    <definedName name="핸드홀">[194]노임단가!$A$12:$F$20</definedName>
    <definedName name="행가">#REF!</definedName>
    <definedName name="행가1">#REF!</definedName>
    <definedName name="행가2">#REF!</definedName>
    <definedName name="행가A">#REF!</definedName>
    <definedName name="행가설치">#REF!</definedName>
    <definedName name="행가시설">#REF!</definedName>
    <definedName name="행가시설A">#REF!</definedName>
    <definedName name="행거취부">#REF!</definedName>
    <definedName name="행선안내게시기설비" localSheetId="13">[31]수량산출1!$A$485:$AB$515</definedName>
    <definedName name="행선안내게시기설비">[32]수량산출1!$A$485:$AB$515</definedName>
    <definedName name="허" localSheetId="13" hidden="1">{#N/A,#N/A,FALSE,"조골재"}</definedName>
    <definedName name="허" hidden="1">{#N/A,#N/A,FALSE,"조골재"}</definedName>
    <definedName name="허용지반반력">70</definedName>
    <definedName name="허ㅏㅗ하" localSheetId="13" hidden="1">{#N/A,#N/A,FALSE,"집계";#N/A,#N/A,FALSE,"표지";#N/A,#N/A,FALSE,"터빈집계";#N/A,#N/A,FALSE,"터빈내역";#N/A,#N/A,FALSE,"주제어집계";#N/A,#N/A,FALSE,"주제어내역";#N/A,#N/A,FALSE,"보일러집계";#N/A,#N/A,FALSE,"보일러내역"}</definedName>
    <definedName name="허ㅏㅗ하" hidden="1">{#N/A,#N/A,FALSE,"집계";#N/A,#N/A,FALSE,"표지";#N/A,#N/A,FALSE,"터빈집계";#N/A,#N/A,FALSE,"터빈내역";#N/A,#N/A,FALSE,"주제어집계";#N/A,#N/A,FALSE,"주제어내역";#N/A,#N/A,FALSE,"보일러집계";#N/A,#N/A,FALSE,"보일러내역"}</definedName>
    <definedName name="허ㅗ">BlankMacro1</definedName>
    <definedName name="현__도__사">#REF!</definedName>
    <definedName name="현대코아공통비" localSheetId="29" hidden="1">#REF!</definedName>
    <definedName name="현대코아공통비" localSheetId="13" hidden="1">#REF!</definedName>
    <definedName name="현대코아공통비" localSheetId="19" hidden="1">#REF!</definedName>
    <definedName name="현대코아공통비" hidden="1">#REF!</definedName>
    <definedName name="현도사">#REF!</definedName>
    <definedName name="현산">#REF!</definedName>
    <definedName name="현야">#REF!</definedName>
    <definedName name="현장" localSheetId="22" hidden="1">{#N/A,#N/A,FALSE,"현장 NCR 분석";#N/A,#N/A,FALSE,"현장품질감사";#N/A,#N/A,FALSE,"현장품질감사"}</definedName>
    <definedName name="현장" localSheetId="34" hidden="1">{#N/A,#N/A,FALSE,"현장 NCR 분석";#N/A,#N/A,FALSE,"현장품질감사";#N/A,#N/A,FALSE,"현장품질감사"}</definedName>
    <definedName name="현장" localSheetId="35" hidden="1">{#N/A,#N/A,FALSE,"현장 NCR 분석";#N/A,#N/A,FALSE,"현장품질감사";#N/A,#N/A,FALSE,"현장품질감사"}</definedName>
    <definedName name="현장" localSheetId="36" hidden="1">{#N/A,#N/A,FALSE,"현장 NCR 분석";#N/A,#N/A,FALSE,"현장품질감사";#N/A,#N/A,FALSE,"현장품질감사"}</definedName>
    <definedName name="현장" localSheetId="37" hidden="1">{#N/A,#N/A,FALSE,"현장 NCR 분석";#N/A,#N/A,FALSE,"현장품질감사";#N/A,#N/A,FALSE,"현장품질감사"}</definedName>
    <definedName name="현장" localSheetId="13" hidden="1">{#N/A,#N/A,FALSE,"현장 NCR 분석";#N/A,#N/A,FALSE,"현장품질감사";#N/A,#N/A,FALSE,"현장품질감사"}</definedName>
    <definedName name="현장" localSheetId="15" hidden="1">{#N/A,#N/A,FALSE,"현장 NCR 분석";#N/A,#N/A,FALSE,"현장품질감사";#N/A,#N/A,FALSE,"현장품질감사"}</definedName>
    <definedName name="현장" hidden="1">{#N/A,#N/A,FALSE,"현장 NCR 분석";#N/A,#N/A,FALSE,"현장품질감사";#N/A,#N/A,FALSE,"현장품질감사"}</definedName>
    <definedName name="현장실사">'[45]설계명세서(종합)'!#REF!</definedName>
    <definedName name="현장정리">[88]시설물!#REF!</definedName>
    <definedName name="현재" localSheetId="13" hidden="1">{"'5국공정'!$A$1:$E$128"}</definedName>
    <definedName name="현재" localSheetId="15" hidden="1">{"'5국공정'!$A$1:$E$128"}</definedName>
    <definedName name="현재" hidden="1">{"'5국공정'!$A$1:$E$128"}</definedName>
    <definedName name="현평">#REF!</definedName>
    <definedName name="협" localSheetId="13" hidden="1">{#N/A,#N/A,FALSE,"배수2"}</definedName>
    <definedName name="협" hidden="1">{#N/A,#N/A,FALSE,"배수2"}</definedName>
    <definedName name="협력" localSheetId="13" hidden="1">{#N/A,#N/A,FALSE,"포장2"}</definedName>
    <definedName name="협력" hidden="1">{#N/A,#N/A,FALSE,"포장2"}</definedName>
    <definedName name="협력사" localSheetId="13" hidden="1">{"'보고양식'!$A$58:$K$111"}</definedName>
    <definedName name="협력사" localSheetId="15" hidden="1">{"'보고양식'!$A$58:$K$111"}</definedName>
    <definedName name="협력사" hidden="1">{"'보고양식'!$A$58:$K$111"}</definedName>
    <definedName name="협력업체" localSheetId="13" hidden="1">{#N/A,#N/A,FALSE,"포장2"}</definedName>
    <definedName name="협력업체" hidden="1">{#N/A,#N/A,FALSE,"포장2"}</definedName>
    <definedName name="협조전" localSheetId="29" hidden="1">#REF!</definedName>
    <definedName name="협조전" localSheetId="13" hidden="1">#REF!</definedName>
    <definedName name="협조전" localSheetId="19" hidden="1">#REF!</definedName>
    <definedName name="협조전" hidden="1">#REF!</definedName>
    <definedName name="협철" localSheetId="13" hidden="1">{#N/A,#N/A,FALSE,"포장2"}</definedName>
    <definedName name="협철" hidden="1">{#N/A,#N/A,FALSE,"포장2"}</definedName>
    <definedName name="협토" localSheetId="13" hidden="1">{#N/A,#N/A,FALSE,"포장1";#N/A,#N/A,FALSE,"포장1"}</definedName>
    <definedName name="협토" hidden="1">{#N/A,#N/A,FALSE,"포장1";#N/A,#N/A,FALSE,"포장1"}</definedName>
    <definedName name="협토1" localSheetId="13" hidden="1">{#N/A,#N/A,FALSE,"포장2"}</definedName>
    <definedName name="협토1" hidden="1">{#N/A,#N/A,FALSE,"포장2"}</definedName>
    <definedName name="협토자재" localSheetId="13" hidden="1">{#N/A,#N/A,FALSE,"포장2"}</definedName>
    <definedName name="협토자재" hidden="1">{#N/A,#N/A,FALSE,"포장2"}</definedName>
    <definedName name="형_틀_목_공">#REF!</definedName>
    <definedName name="형강">#REF!</definedName>
    <definedName name="형제" localSheetId="13" hidden="1">{#N/A,#N/A,FALSE,"포장2"}</definedName>
    <definedName name="형제" hidden="1">{#N/A,#N/A,FALSE,"포장2"}</definedName>
    <definedName name="형틀목공">#REF!</definedName>
    <definedName name="호" localSheetId="22" hidden="1">{#N/A,#N/A,FALSE,"현장 NCR 분석";#N/A,#N/A,FALSE,"현장품질감사";#N/A,#N/A,FALSE,"현장품질감사"}</definedName>
    <definedName name="호" localSheetId="34" hidden="1">{#N/A,#N/A,FALSE,"현장 NCR 분석";#N/A,#N/A,FALSE,"현장품질감사";#N/A,#N/A,FALSE,"현장품질감사"}</definedName>
    <definedName name="호" localSheetId="35" hidden="1">{#N/A,#N/A,FALSE,"현장 NCR 분석";#N/A,#N/A,FALSE,"현장품질감사";#N/A,#N/A,FALSE,"현장품질감사"}</definedName>
    <definedName name="호" localSheetId="36" hidden="1">{#N/A,#N/A,FALSE,"현장 NCR 분석";#N/A,#N/A,FALSE,"현장품질감사";#N/A,#N/A,FALSE,"현장품질감사"}</definedName>
    <definedName name="호" localSheetId="37" hidden="1">{#N/A,#N/A,FALSE,"현장 NCR 분석";#N/A,#N/A,FALSE,"현장품질감사";#N/A,#N/A,FALSE,"현장품질감사"}</definedName>
    <definedName name="호" localSheetId="13" hidden="1">{#N/A,#N/A,FALSE,"현장 NCR 분석";#N/A,#N/A,FALSE,"현장품질감사";#N/A,#N/A,FALSE,"현장품질감사"}</definedName>
    <definedName name="호" localSheetId="15" hidden="1">{#N/A,#N/A,FALSE,"현장 NCR 분석";#N/A,#N/A,FALSE,"현장품질감사";#N/A,#N/A,FALSE,"현장품질감사"}</definedName>
    <definedName name="호" hidden="1">{#N/A,#N/A,FALSE,"현장 NCR 분석";#N/A,#N/A,FALSE,"현장품질감사";#N/A,#N/A,FALSE,"현장품질감사"}</definedName>
    <definedName name="호박노">#REF!</definedName>
    <definedName name="호박재">#REF!</definedName>
    <definedName name="호호" localSheetId="13" hidden="1">{#N/A,#N/A,FALSE,"포장1";#N/A,#N/A,FALSE,"포장1"}</definedName>
    <definedName name="호호" hidden="1">{#N/A,#N/A,FALSE,"포장1";#N/A,#N/A,FALSE,"포장1"}</definedName>
    <definedName name="호호호" localSheetId="13" hidden="1">{#N/A,#N/A,FALSE,"현장 NCR 분석";#N/A,#N/A,FALSE,"현장품질감사";#N/A,#N/A,FALSE,"현장품질감사"}</definedName>
    <definedName name="호호호" localSheetId="15" hidden="1">{#N/A,#N/A,FALSE,"현장 NCR 분석";#N/A,#N/A,FALSE,"현장품질감사";#N/A,#N/A,FALSE,"현장품질감사"}</definedName>
    <definedName name="호호호" hidden="1">{#N/A,#N/A,FALSE,"현장 NCR 분석";#N/A,#N/A,FALSE,"현장품질감사";#N/A,#N/A,FALSE,"현장품질감사"}</definedName>
    <definedName name="호ㅓ" localSheetId="29" hidden="1">#REF!</definedName>
    <definedName name="호ㅓ" localSheetId="13" hidden="1">#REF!</definedName>
    <definedName name="호ㅓ" localSheetId="19" hidden="1">#REF!</definedName>
    <definedName name="호ㅓ" hidden="1">#REF!</definedName>
    <definedName name="호ㅓㅕㅏ6ㅅ서ㅛㅓ" localSheetId="29" hidden="1">[1]BID!#REF!</definedName>
    <definedName name="호ㅓㅕㅏ6ㅅ서ㅛㅓ" localSheetId="13" hidden="1">[1]BID!#REF!</definedName>
    <definedName name="호ㅓㅕㅏ6ㅅ서ㅛㅓ" localSheetId="19" hidden="1">[1]BID!#REF!</definedName>
    <definedName name="호ㅓㅕㅏ6ㅅ서ㅛㅓ" hidden="1">[1]BID!#REF!</definedName>
    <definedName name="호ㅗㅎ">BlankMacro1</definedName>
    <definedName name="홀">#REF!</definedName>
    <definedName name="홍단">[50]단가!$A$126</definedName>
    <definedName name="홓">[51]설계명세서!$H$9</definedName>
    <definedName name="화">#REF!</definedName>
    <definedName name="화강석경계석">[90]단가!$A$68</definedName>
    <definedName name="화공">#REF!</definedName>
    <definedName name="화물운전사">#REF!</definedName>
    <definedName name="화살">[50]단가!$A$157</definedName>
    <definedName name="화성설계">#REF!</definedName>
    <definedName name="화약취급공">#REF!</definedName>
    <definedName name="확인결과" localSheetId="22" hidden="1">{#N/A,#N/A,FALSE,"회선임차현황"}</definedName>
    <definedName name="확인결과" localSheetId="13" hidden="1">{#N/A,#N/A,FALSE,"회선임차현황"}</definedName>
    <definedName name="확인결과" localSheetId="15" hidden="1">{#N/A,#N/A,FALSE,"회선임차현황"}</definedName>
    <definedName name="확인결과" hidden="1">{#N/A,#N/A,FALSE,"회선임차현황"}</definedName>
    <definedName name="확정3차">#N/A</definedName>
    <definedName name="환">#REF!</definedName>
    <definedName name="환경설비신옥천" localSheetId="22" hidden="1">{"'당진'!$A$1:$P$34","'당진'!$N$13"}</definedName>
    <definedName name="환경설비신옥천" localSheetId="13" hidden="1">{"'당진'!$A$1:$P$34","'당진'!$N$13"}</definedName>
    <definedName name="환경설비신옥천" localSheetId="15" hidden="1">{"'당진'!$A$1:$P$34","'당진'!$N$13"}</definedName>
    <definedName name="환경설비신옥천" hidden="1">{"'당진'!$A$1:$P$34","'당진'!$N$13"}</definedName>
    <definedName name="환경설비청양" localSheetId="22" hidden="1">{"'당진'!$A$1:$P$34","'당진'!$N$13"}</definedName>
    <definedName name="환경설비청양" localSheetId="13" hidden="1">{"'당진'!$A$1:$P$34","'당진'!$N$13"}</definedName>
    <definedName name="환경설비청양" localSheetId="15" hidden="1">{"'당진'!$A$1:$P$34","'당진'!$N$13"}</definedName>
    <definedName name="환경설비청양" hidden="1">{"'당진'!$A$1:$P$34","'당진'!$N$13"}</definedName>
    <definedName name="환율">#REF!</definedName>
    <definedName name="환율1">#REF!</definedName>
    <definedName name="환율10">#REF!</definedName>
    <definedName name="환율11">#REF!</definedName>
    <definedName name="환율12">#REF!</definedName>
    <definedName name="환율2">#REF!</definedName>
    <definedName name="환율3">#REF!</definedName>
    <definedName name="황매화">[90]단가!$A$156</definedName>
    <definedName name="회" localSheetId="13">[187]설계명세서!$H$9</definedName>
    <definedName name="회">[56]설계명세서!$H$9</definedName>
    <definedName name="회경" localSheetId="13">'[73]7.설계명세서(통합보안)'!$G$219</definedName>
    <definedName name="회경">#REF!</definedName>
    <definedName name="회경.">#REF!</definedName>
    <definedName name="회분">#REF!</definedName>
    <definedName name="회분경">#REF!</definedName>
    <definedName name="회사">#REF!</definedName>
    <definedName name="회사.">#REF!</definedName>
    <definedName name="회사_1">#REF!</definedName>
    <definedName name="회사1">#REF!</definedName>
    <definedName name="회사2">#REF!</definedName>
    <definedName name="회사경비">#REF!</definedName>
    <definedName name="회사경비_1">[16]설계명세서!#REF!</definedName>
    <definedName name="회사경비1">#REF!</definedName>
    <definedName name="회사경비2">#REF!</definedName>
    <definedName name="회사경비3">#REF!</definedName>
    <definedName name="회사계">#REF!</definedName>
    <definedName name="회사계1">[138]설계명세서!#REF!</definedName>
    <definedName name="회사계2">#REF!</definedName>
    <definedName name="회사분" localSheetId="13">'[73]7.설계명세서(통합보안)'!$G$258</definedName>
    <definedName name="회사분">#REF!</definedName>
    <definedName name="회사분." localSheetId="13">[96]설계!$G$70</definedName>
    <definedName name="회사분.">[97]설계!$G$70</definedName>
    <definedName name="회사분3">#REF!</definedName>
    <definedName name="회사분4">#REF!</definedName>
    <definedName name="회사분경비">#REF!</definedName>
    <definedName name="회사분경비." localSheetId="13">[96]설계!$G$53</definedName>
    <definedName name="회사분경비.">[97]설계!$G$53</definedName>
    <definedName name="회사분경비계">#REF!</definedName>
    <definedName name="회사분경비합계">#REF!</definedName>
    <definedName name="회사분계">#REF!</definedName>
    <definedName name="회사분장비">#REF!</definedName>
    <definedName name="회사분재료비계">#REF!</definedName>
    <definedName name="회사분총계">#REF!</definedName>
    <definedName name="회사분합계">#REF!</definedName>
    <definedName name="회사운반비">#REF!</definedName>
    <definedName name="회사재료">#REF!</definedName>
    <definedName name="회사재료1">#REF!</definedName>
    <definedName name="회사재료2">#REF!</definedName>
    <definedName name="회사재료3">#REF!</definedName>
    <definedName name="회사재료비">#REF!</definedName>
    <definedName name="회사재료비.">[97]설계!#REF!</definedName>
    <definedName name="회사취급분">#REF!</definedName>
    <definedName name="회사취급비" localSheetId="13">[105]설계명세서!$H$9</definedName>
    <definedName name="회사취급비">[92]설계명세서!$H$9</definedName>
    <definedName name="회선">BlankMacro1</definedName>
    <definedName name="회선대장" localSheetId="13">'8-2.설비자재산출(무인보안)'!회선대장</definedName>
    <definedName name="회선대장" localSheetId="15">'8-4.일위대가표'!회선대장</definedName>
    <definedName name="회선대장">'8-2.설비자재산출(무인보안)'!회선대장</definedName>
    <definedName name="회선선번장" localSheetId="13">'8-2.설비자재산출(무인보안)'!회선선번장</definedName>
    <definedName name="회선선번장" localSheetId="15">'8-4.일위대가표'!회선선번장</definedName>
    <definedName name="회선선번장">'8-2.설비자재산출(무인보안)'!회선선번장</definedName>
    <definedName name="회선선번장2" localSheetId="13">'8-2.설비자재산출(무인보안)'!회선선번장2</definedName>
    <definedName name="회선선번장2" localSheetId="15">'8-4.일위대가표'!회선선번장2</definedName>
    <definedName name="회선선번장2">'8-2.설비자재산출(무인보안)'!회선선번장2</definedName>
    <definedName name="회양목">[90]단가!$A$137</definedName>
    <definedName name="회재">#REF!</definedName>
    <definedName name="회재.">#REF!</definedName>
    <definedName name="회재_1">#REF!</definedName>
    <definedName name="회화">[50]단가!$A$127</definedName>
    <definedName name="효석" localSheetId="13" hidden="1">{"'Firr(선)'!$AS$1:$AY$62","'Firr(사)'!$AS$1:$AY$62","'Firr(회)'!$AS$1:$AY$62","'Firr(선)'!$L$1:$V$62","'Firr(사)'!$L$1:$V$62","'Firr(회)'!$L$1:$V$62"}</definedName>
    <definedName name="효석" hidden="1">{"'Firr(선)'!$AS$1:$AY$62","'Firr(사)'!$AS$1:$AY$62","'Firr(회)'!$AS$1:$AY$62","'Firr(선)'!$L$1:$V$62","'Firr(사)'!$L$1:$V$62","'Firr(회)'!$L$1:$V$62"}</definedName>
    <definedName name="후렉시블">#REF!</definedName>
    <definedName name="후렉시블1">#REF!</definedName>
    <definedName name="후렉시블A">#REF!</definedName>
    <definedName name="후렉시블시설">#REF!</definedName>
    <definedName name="후렉시블시설1">#REF!</definedName>
    <definedName name="후렉시블시설A">#REF!</definedName>
    <definedName name="후렉시블전선관">#REF!</definedName>
    <definedName name="후렉시블전선관부속품">#REF!</definedName>
    <definedName name="후렉시블전선관설치">#REF!</definedName>
    <definedName name="후배치도" localSheetId="22" hidden="1">{#N/A,#N/A,FALSE,"회선임차현황"}</definedName>
    <definedName name="후배치도" localSheetId="13" hidden="1">{#N/A,#N/A,FALSE,"회선임차현황"}</definedName>
    <definedName name="후배치도" localSheetId="15" hidden="1">{#N/A,#N/A,FALSE,"회선임차현황"}</definedName>
    <definedName name="후배치도" hidden="1">{#N/A,#N/A,FALSE,"회선임차현황"}</definedName>
    <definedName name="후포설">#REF!</definedName>
    <definedName name="훈">[41]소요자재!$H$133</definedName>
    <definedName name="휘발유">[116]단가대비표!#REF!</definedName>
    <definedName name="흄관">#REF!</definedName>
    <definedName name="히말라야시다6노무">#REF!</definedName>
    <definedName name="히말라야시다6재료">#REF!</definedName>
    <definedName name="히말라야시다8노무">#REF!</definedName>
    <definedName name="히말라야시다8재료">#REF!</definedName>
    <definedName name="힐티핀">#REF!</definedName>
    <definedName name="ㅏ" localSheetId="13" hidden="1">{#N/A,#N/A,FALSE,"속도"}</definedName>
    <definedName name="ㅏ" hidden="1">{#N/A,#N/A,FALSE,"속도"}</definedName>
    <definedName name="ㅏ1" localSheetId="29" hidden="1">#REF!</definedName>
    <definedName name="ㅏ1" localSheetId="13" hidden="1">#REF!</definedName>
    <definedName name="ㅏ1" localSheetId="19" hidden="1">#REF!</definedName>
    <definedName name="ㅏ1" hidden="1">#REF!</definedName>
    <definedName name="ㅏ255">#REF!</definedName>
    <definedName name="ㅏ271">#REF!</definedName>
    <definedName name="ㅏ프ㅓㅍ">BlankMacro1</definedName>
    <definedName name="ㅏㅏ" localSheetId="22" hidden="1">{#N/A,#N/A,FALSE,"회선임차현황"}</definedName>
    <definedName name="ㅏㅏ" localSheetId="34" hidden="1">{#N/A,#N/A,FALSE,"회선임차현황"}</definedName>
    <definedName name="ㅏㅏ" localSheetId="35" hidden="1">{#N/A,#N/A,FALSE,"회선임차현황"}</definedName>
    <definedName name="ㅏㅏ" localSheetId="36" hidden="1">{#N/A,#N/A,FALSE,"회선임차현황"}</definedName>
    <definedName name="ㅏㅏ" localSheetId="37" hidden="1">{#N/A,#N/A,FALSE,"회선임차현황"}</definedName>
    <definedName name="ㅏㅏ" localSheetId="13">'8-2.설비자재산출(무인보안)'!ㅏㅏ</definedName>
    <definedName name="ㅏㅏ" localSheetId="15" hidden="1">{#N/A,#N/A,FALSE,"회선임차현황"}</definedName>
    <definedName name="ㅏㅏ" hidden="1">{#N/A,#N/A,FALSE,"회선임차현황"}</definedName>
    <definedName name="ㅏㅏㅏ">[195]설계명세서!#REF!</definedName>
    <definedName name="ㅏㅑㅗ" localSheetId="13">'8-2.설비자재산출(무인보안)'!ㅏㅑㅗ</definedName>
    <definedName name="ㅏㅑㅗ" localSheetId="15">'8-4.일위대가표'!ㅏㅑㅗ</definedName>
    <definedName name="ㅏㅑㅗ">'8-2.설비자재산출(무인보안)'!ㅏㅑㅗ</definedName>
    <definedName name="ㅏㅓㅏ" localSheetId="13"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ㅗ햫" localSheetId="13" hidden="1">{#N/A,#N/A,FALSE,"골재소요량";#N/A,#N/A,FALSE,"골재소요량"}</definedName>
    <definedName name="ㅏㅗ햫" hidden="1">{#N/A,#N/A,FALSE,"골재소요량";#N/A,#N/A,FALSE,"골재소요량"}</definedName>
    <definedName name="ㅐ15">#REF!</definedName>
    <definedName name="ㅐㅔ" localSheetId="13">'8-2.설비자재산출(무인보안)'!ㅐㅔ</definedName>
    <definedName name="ㅐㅔ" localSheetId="15">'8-4.일위대가표'!ㅐㅔ</definedName>
    <definedName name="ㅐㅔ">'8-2.설비자재산출(무인보안)'!ㅐㅔ</definedName>
    <definedName name="ㅐㅣㅣ" localSheetId="13" hidden="1">{"'5국공정'!$A$1:$E$128"}</definedName>
    <definedName name="ㅐㅣㅣ" localSheetId="15" hidden="1">{"'5국공정'!$A$1:$E$128"}</definedName>
    <definedName name="ㅐㅣㅣ" hidden="1">{"'5국공정'!$A$1:$E$128"}</definedName>
    <definedName name="ㅑ" localSheetId="29" hidden="1">#REF!</definedName>
    <definedName name="ㅑ" localSheetId="32" hidden="1">#REF!</definedName>
    <definedName name="ㅑ" localSheetId="27" hidden="1">#REF!</definedName>
    <definedName name="ㅑ" localSheetId="30" hidden="1">#REF!</definedName>
    <definedName name="ㅑ" localSheetId="13" hidden="1">#REF!</definedName>
    <definedName name="ㅑ" localSheetId="15" hidden="1">#REF!</definedName>
    <definedName name="ㅑ" localSheetId="19" hidden="1">#REF!</definedName>
    <definedName name="ㅑ" hidden="1">#REF!</definedName>
    <definedName name="ㅓ">[195]내역서!#REF!</definedName>
    <definedName name="ㅓ224">#REF!</definedName>
    <definedName name="ㅓㄴㄱ" hidden="1">[1]BID!$A$1:$A$4</definedName>
    <definedName name="ㅓㅇ롤ㅇ" localSheetId="13" hidden="1">{#N/A,#N/A,FALSE,"혼합골재"}</definedName>
    <definedName name="ㅓㅇ롤ㅇ" hidden="1">{#N/A,#N/A,FALSE,"혼합골재"}</definedName>
    <definedName name="ㅓㅇ호ㅓ">BlankMacro1</definedName>
    <definedName name="ㅓㅎㄹ">#REF!</definedName>
    <definedName name="ㅓㅎ렇">#REF!</definedName>
    <definedName name="ㅓ호" localSheetId="13" hidden="1">{#N/A,#N/A,FALSE,"구조2"}</definedName>
    <definedName name="ㅓ호" hidden="1">{#N/A,#N/A,FALSE,"구조2"}</definedName>
    <definedName name="ㅓㅏ">BlankMacro1</definedName>
    <definedName name="ㅓㅑㅛ츄ㅗㄱㄷㄷㅈㅈ" localSheetId="13" hidden="1">{#N/A,#N/A,FALSE,"전력간선"}</definedName>
    <definedName name="ㅓㅑㅛ츄ㅗㄱㄷㄷㅈㅈ" hidden="1">{#N/A,#N/A,FALSE,"전력간선"}</definedName>
    <definedName name="ㅓㅓ" localSheetId="13" hidden="1">{"'용역비'!$A$4:$C$8"}</definedName>
    <definedName name="ㅓㅓ" localSheetId="15" hidden="1">{"'용역비'!$A$4:$C$8"}</definedName>
    <definedName name="ㅓㅓ" hidden="1">{"'용역비'!$A$4:$C$8"}</definedName>
    <definedName name="ㅓㅓㅓ">BlankMacro1</definedName>
    <definedName name="ㅓㅛㅓㅎ">[51]설계명세서!$H$7</definedName>
    <definedName name="ㅔ">#N/A</definedName>
    <definedName name="ㅔ3" localSheetId="13" hidden="1">{#N/A,#N/A,FALSE,"배수1"}</definedName>
    <definedName name="ㅔ3" hidden="1">{#N/A,#N/A,FALSE,"배수1"}</definedName>
    <definedName name="ㅔ71">#REF!</definedName>
    <definedName name="ㅔㅐ">BlankMacro1</definedName>
    <definedName name="ㅔㅔ">#REF!</definedName>
    <definedName name="ㅔㅔㅔ" localSheetId="22" hidden="1">{#N/A,#N/A,TRUE,"토적및재료집계";#N/A,#N/A,TRUE,"토적및재료집계";#N/A,#N/A,TRUE,"단위량"}</definedName>
    <definedName name="ㅔㅔㅔ" localSheetId="13" hidden="1">{#N/A,#N/A,TRUE,"토적및재료집계";#N/A,#N/A,TRUE,"토적및재료집계";#N/A,#N/A,TRUE,"단위량"}</definedName>
    <definedName name="ㅔㅔㅔ" localSheetId="15" hidden="1">{#N/A,#N/A,TRUE,"토적및재료집계";#N/A,#N/A,TRUE,"토적및재료집계";#N/A,#N/A,TRUE,"단위량"}</definedName>
    <definedName name="ㅔㅔㅔ" hidden="1">{#N/A,#N/A,TRUE,"토적및재료집계";#N/A,#N/A,TRUE,"토적및재료집계";#N/A,#N/A,TRUE,"단위량"}</definedName>
    <definedName name="ㅔㅔㅔㅔㅔㅔ" localSheetId="13" hidden="1">{#N/A,#N/A,FALSE,"부대2"}</definedName>
    <definedName name="ㅔㅔㅔㅔㅔㅔ" hidden="1">{#N/A,#N/A,FALSE,"부대2"}</definedName>
    <definedName name="ㅕ" localSheetId="29" hidden="1">#REF!</definedName>
    <definedName name="ㅕ" localSheetId="32" hidden="1">#REF!</definedName>
    <definedName name="ㅕ" localSheetId="27" hidden="1">#REF!</definedName>
    <definedName name="ㅕ" localSheetId="30" hidden="1">#REF!</definedName>
    <definedName name="ㅕ" localSheetId="13" hidden="1">#REF!</definedName>
    <definedName name="ㅕ" localSheetId="15" hidden="1">#REF!</definedName>
    <definedName name="ㅕ" localSheetId="19" hidden="1">#REF!</definedName>
    <definedName name="ㅕ" hidden="1">#REF!</definedName>
    <definedName name="ㅕㅏㅓ">BlankMacro1</definedName>
    <definedName name="ㅕㅑ">BlankMacro1</definedName>
    <definedName name="ㅕㅓ">BlankMacro1</definedName>
    <definedName name="ㅕㅕㅕ">BlankMacro1</definedName>
    <definedName name="ㅗ" localSheetId="13">'8-2.설비자재산출(무인보안)'!ㅗ</definedName>
    <definedName name="ㅗ" localSheetId="15">'8-4.일위대가표'!ㅗ</definedName>
    <definedName name="ㅗ">'8-2.설비자재산출(무인보안)'!ㅗ</definedName>
    <definedName name="ㅗ1019">#REF!</definedName>
    <definedName name="ㅗ7254">#REF!</definedName>
    <definedName name="ㅗ76">#REF!</definedName>
    <definedName name="ㅗ노">BlankMacro1</definedName>
    <definedName name="ㅗ디ㅣㅐ"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디ㅣㅐ"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디ㅣㅐ"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ㄹㅇ">#REF!</definedName>
    <definedName name="ㅗ오">#REF!</definedName>
    <definedName name="ㅗㅌㅇㅌ">#REF!</definedName>
    <definedName name="ㅗㅎ" localSheetId="13" hidden="1">{"'5국공정'!$A$1:$E$128"}</definedName>
    <definedName name="ㅗㅎ" localSheetId="15" hidden="1">{"'5국공정'!$A$1:$E$128"}</definedName>
    <definedName name="ㅗㅎ" hidden="1">{"'5국공정'!$A$1:$E$128"}</definedName>
    <definedName name="ㅗㅎㄴ" localSheetId="13">'8-2.설비자재산출(무인보안)'!ㅗㅎㄴ</definedName>
    <definedName name="ㅗㅎㄴ" localSheetId="15">'8-4.일위대가표'!ㅗㅎㄴ</definedName>
    <definedName name="ㅗㅎㄴ">'8-2.설비자재산출(무인보안)'!ㅗㅎㄴ</definedName>
    <definedName name="ㅗㅎ롷ㄹㄴ호롷ㄹㄴ" localSheetId="13" hidden="1">{#N/A,#N/A,FALSE,"현장 NCR 분석";#N/A,#N/A,FALSE,"현장품질감사";#N/A,#N/A,FALSE,"현장품질감사"}</definedName>
    <definedName name="ㅗㅎ롷ㄹㄴ호롷ㄹㄴ" localSheetId="15" hidden="1">{#N/A,#N/A,FALSE,"현장 NCR 분석";#N/A,#N/A,FALSE,"현장품질감사";#N/A,#N/A,FALSE,"현장품질감사"}</definedName>
    <definedName name="ㅗㅎ롷ㄹㄴ호롷ㄹㄴ" hidden="1">{#N/A,#N/A,FALSE,"현장 NCR 분석";#N/A,#N/A,FALSE,"현장품질감사";#N/A,#N/A,FALSE,"현장품질감사"}</definedName>
    <definedName name="ㅗㅎㅅ" localSheetId="4">{"'공사부문'!$A$6:$A$32"}</definedName>
    <definedName name="ㅗㅎㅅ" localSheetId="13">{"'공사부문'!$A$6:$A$32"}</definedName>
    <definedName name="ㅗㅎㅅ" localSheetId="15">{"'공사부문'!$A$6:$A$32"}</definedName>
    <definedName name="ㅗㅎㅅ">{"'공사부문'!$A$6:$A$32"}</definedName>
    <definedName name="ㅗ홓">[51]기초자료입력!$B$17</definedName>
    <definedName name="ㅗㅓ" localSheetId="13" hidden="1">{"'제조(순번)'!$A$386:$A$387","'제조(순번)'!$A$1:$H$399"}</definedName>
    <definedName name="ㅗㅓ" hidden="1">{"'제조(순번)'!$A$386:$A$387","'제조(순번)'!$A$1:$H$399"}</definedName>
    <definedName name="ㅗㅓㄹ">[51]설계명세서!$H$344</definedName>
    <definedName name="ㅗㅓㅇ하">BlankMacro1</definedName>
    <definedName name="ㅗㅓㅏㄹ">BlankMacro1</definedName>
    <definedName name="ㅗㅓㅏㅎ아ㅓ">BlankMacro1</definedName>
    <definedName name="ㅗㅗ" localSheetId="13" hidden="1">{#N/A,#N/A,FALSE,"현장 NCR 분석";#N/A,#N/A,FALSE,"현장품질감사";#N/A,#N/A,FALSE,"현장품질감사"}</definedName>
    <definedName name="ㅗㅗ" localSheetId="15" hidden="1">{#N/A,#N/A,FALSE,"현장 NCR 분석";#N/A,#N/A,FALSE,"현장품질감사";#N/A,#N/A,FALSE,"현장품질감사"}</definedName>
    <definedName name="ㅗㅗ" hidden="1">{#N/A,#N/A,FALSE,"현장 NCR 분석";#N/A,#N/A,FALSE,"현장품질감사";#N/A,#N/A,FALSE,"현장품질감사"}</definedName>
    <definedName name="ㅗㅗㅗ" localSheetId="13">'8-2.설비자재산출(무인보안)'!ㅗㅗㅗ</definedName>
    <definedName name="ㅗㅗㅗ" localSheetId="15">'8-4.일위대가표'!ㅗㅗㅗ</definedName>
    <definedName name="ㅗㅗㅗ">'8-2.설비자재산출(무인보안)'!ㅗㅗㅗ</definedName>
    <definedName name="ㅗㅗㅗㅗㅗ">#REF!</definedName>
    <definedName name="ㅗㅗㅗㅗㅗㅗ" localSheetId="13" hidden="1">{"'산출근거'!$B$4:$D$8"}</definedName>
    <definedName name="ㅗㅗㅗㅗㅗㅗ" hidden="1">{"'산출근거'!$B$4:$D$8"}</definedName>
    <definedName name="ㅘㅗ허ㅎ" localSheetId="29" hidden="1">'[1]#REF'!#REF!</definedName>
    <definedName name="ㅘㅗ허ㅎ" localSheetId="19" hidden="1">'[1]#REF'!#REF!</definedName>
    <definedName name="ㅘㅗ허ㅎ" hidden="1">'[1]#REF'!#REF!</definedName>
    <definedName name="ㅛ" localSheetId="13" hidden="1">{#N/A,#N/A,FALSE,"부대2"}</definedName>
    <definedName name="ㅛ" hidden="1">{#N/A,#N/A,FALSE,"부대2"}</definedName>
    <definedName name="ㅛㅅ" localSheetId="13" hidden="1">{"'5국공정'!$A$1:$E$128"}</definedName>
    <definedName name="ㅛㅅ" localSheetId="15" hidden="1">{"'5국공정'!$A$1:$E$128"}</definedName>
    <definedName name="ㅛㅅ" hidden="1">{"'5국공정'!$A$1:$E$128"}</definedName>
    <definedName name="ㅛㅕㅑ" hidden="1">'[169]N賃率-職'!$I$5:$I$30</definedName>
    <definedName name="ㅛㅛㅛ">BlankMacro1</definedName>
    <definedName name="ㅜ" localSheetId="13" hidden="1">{#N/A,#N/A,FALSE,"명세표"}</definedName>
    <definedName name="ㅜ" hidden="1">{#N/A,#N/A,FALSE,"명세표"}</definedName>
    <definedName name="ㅜㅏ">BlankMacro1</definedName>
    <definedName name="ㅜㅜㅜㅜㅜㅜㅜㅜㅜㅜㅜㅜㅜㅜㅜㅜㅜ" hidden="1">[196]Sheet1!$A$3:$G$55</definedName>
    <definedName name="ㅜㅡㅜㅡ" localSheetId="13">'8-2.설비자재산출(무인보안)'!ㅜㅡㅜㅡ</definedName>
    <definedName name="ㅜㅡㅜㅡ" localSheetId="15">'8-4.일위대가표'!ㅜㅡㅜㅡ</definedName>
    <definedName name="ㅜㅡㅜㅡ">'8-2.설비자재산출(무인보안)'!ㅜㅡㅜㅡ</definedName>
    <definedName name="ㅜㅡㅜㅡㅜ" localSheetId="13">'8-2.설비자재산출(무인보안)'!ㅜㅡㅜㅡㅜ</definedName>
    <definedName name="ㅜㅡㅜㅡㅜ" localSheetId="15">'8-4.일위대가표'!ㅜㅡㅜㅡㅜ</definedName>
    <definedName name="ㅜㅡㅜㅡㅜ">'8-2.설비자재산출(무인보안)'!ㅜㅡㅜㅡㅜ</definedName>
    <definedName name="ㅠ" localSheetId="13">'8-2.설비자재산출(무인보안)'!ㅠ</definedName>
    <definedName name="ㅠ" localSheetId="15">'8-4.일위대가표'!ㅠ</definedName>
    <definedName name="ㅠ">'8-2.설비자재산출(무인보안)'!ㅠ</definedName>
    <definedName name="ㅠ1">#REF!</definedName>
    <definedName name="ㅠㄱ" localSheetId="22" hidden="1">{"'용역비'!$A$4:$C$8"}</definedName>
    <definedName name="ㅠㄱ" localSheetId="34" hidden="1">{"'용역비'!$A$4:$C$8"}</definedName>
    <definedName name="ㅠㄱ" localSheetId="35" hidden="1">{"'용역비'!$A$4:$C$8"}</definedName>
    <definedName name="ㅠㄱ" localSheetId="36" hidden="1">{"'용역비'!$A$4:$C$8"}</definedName>
    <definedName name="ㅠㄱ" localSheetId="37" hidden="1">{"'용역비'!$A$4:$C$8"}</definedName>
    <definedName name="ㅠㄱ" localSheetId="13" hidden="1">{"'용역비'!$A$4:$C$8"}</definedName>
    <definedName name="ㅠㄱ" localSheetId="15" hidden="1">{"'용역비'!$A$4:$C$8"}</definedName>
    <definedName name="ㅠㄱ" hidden="1">{"'용역비'!$A$4:$C$8"}</definedName>
    <definedName name="ㅠ뮤ㅐ" localSheetId="29" hidden="1">#REF!</definedName>
    <definedName name="ㅠ뮤ㅐ" localSheetId="19" hidden="1">#REF!</definedName>
    <definedName name="ㅠ뮤ㅐ" hidden="1">#REF!</definedName>
    <definedName name="ㅠ튜">BlankMacro1</definedName>
    <definedName name="ㅡ" localSheetId="13" hidden="1">{"'5국공정'!$A$1:$E$128"}</definedName>
    <definedName name="ㅡ" localSheetId="15" hidden="1">{"'5국공정'!$A$1:$E$128"}</definedName>
    <definedName name="ㅡ" hidden="1">{"'5국공정'!$A$1:$E$128"}</definedName>
    <definedName name="ㅣ">#N/A</definedName>
    <definedName name="ㅣ1">#REF!</definedName>
    <definedName name="ㅣ185">#REF!</definedName>
    <definedName name="ㅣㅑㅑ" localSheetId="13" hidden="1">{#N/A,#N/A,FALSE,"단가표지"}</definedName>
    <definedName name="ㅣㅑㅑ" hidden="1">{#N/A,#N/A,FALSE,"단가표지"}</definedName>
    <definedName name="ㅣㅗ" localSheetId="13" hidden="1">{#N/A,#N/A,FALSE,"골재소요량";#N/A,#N/A,FALSE,"골재소요량"}</definedName>
    <definedName name="ㅣㅗ" hidden="1">{#N/A,#N/A,FALSE,"골재소요량";#N/A,#N/A,FALSE,"골재소요량"}</definedName>
    <definedName name="ㅣㅣ" localSheetId="29" hidden="1">#REF!</definedName>
    <definedName name="ㅣㅣ" localSheetId="32" hidden="1">#REF!</definedName>
    <definedName name="ㅣㅣ" localSheetId="27" hidden="1">#REF!</definedName>
    <definedName name="ㅣㅣ" localSheetId="30" hidden="1">#REF!</definedName>
    <definedName name="ㅣㅣ" localSheetId="13" hidden="1">#REF!</definedName>
    <definedName name="ㅣㅣ" localSheetId="15" hidden="1">#REF!</definedName>
    <definedName name="ㅣㅣ" localSheetId="19" hidden="1">#REF!</definedName>
    <definedName name="ㅣㅣ" hidden="1">#REF!</definedName>
    <definedName name="ㅣㅣㅣ"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ㅣ" localSheetId="29" hidden="1">[170]조명시설!#REF!</definedName>
    <definedName name="ㅣㅣㅣㅣ" localSheetId="19" hidden="1">[170]조명시설!#REF!</definedName>
    <definedName name="ㅣㅣㅣㅣ" hidden="1">[170]조명시설!#REF!</definedName>
    <definedName name="ㅣㅣㅣㅣㅣ" localSheetId="29" hidden="1">[170]조명시설!#REF!</definedName>
    <definedName name="ㅣㅣㅣㅣㅣ" localSheetId="19" hidden="1">[170]조명시설!#REF!</definedName>
    <definedName name="ㅣㅣㅣㅣㅣ" hidden="1">[170]조명시설!#REF!</definedName>
    <definedName name="ㅣㅣㅣㅣㅣㅣ" localSheetId="29" hidden="1">[170]조명시설!#REF!</definedName>
    <definedName name="ㅣㅣㅣㅣㅣㅣ" localSheetId="19" hidden="1">[170]조명시설!#REF!</definedName>
    <definedName name="ㅣㅣㅣㅣㅣㅣ" hidden="1">[170]조명시설!#REF!</definedName>
  </definedNames>
  <calcPr calcId="191029"/>
</workbook>
</file>

<file path=xl/calcChain.xml><?xml version="1.0" encoding="utf-8"?>
<calcChain xmlns="http://schemas.openxmlformats.org/spreadsheetml/2006/main">
  <c r="G111" i="8" l="1"/>
  <c r="G584" i="8"/>
  <c r="G572" i="8"/>
  <c r="G568" i="8"/>
  <c r="G569" i="8"/>
  <c r="G567" i="8"/>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7" i="3"/>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9" i="4"/>
  <c r="N10" i="4"/>
  <c r="N11" i="4"/>
  <c r="N12" i="4"/>
  <c r="N8" i="4"/>
  <c r="FN81" i="153"/>
  <c r="H53" i="29" l="1"/>
  <c r="K82" i="152" l="1"/>
  <c r="L82" i="152" s="1"/>
  <c r="K81" i="152"/>
  <c r="L81" i="152" s="1"/>
  <c r="K80" i="152"/>
  <c r="L80" i="152" s="1"/>
  <c r="K79" i="152"/>
  <c r="L79" i="152" s="1"/>
  <c r="M79" i="152" l="1"/>
  <c r="E574" i="8" l="1"/>
  <c r="I84" i="29" l="1"/>
  <c r="C26" i="8" l="1"/>
  <c r="E250" i="160" l="1"/>
  <c r="D250" i="160"/>
  <c r="C250" i="160"/>
  <c r="B250" i="160"/>
  <c r="A250" i="160"/>
  <c r="E257" i="5" l="1"/>
  <c r="H257" i="5" s="1"/>
  <c r="E554" i="8" s="1"/>
  <c r="G563" i="8"/>
  <c r="D257" i="5"/>
  <c r="D554" i="8" s="1"/>
  <c r="C257" i="5"/>
  <c r="C554" i="8" s="1"/>
  <c r="B257" i="5"/>
  <c r="B554" i="8" s="1"/>
  <c r="A257" i="5"/>
  <c r="K722" i="152"/>
  <c r="L722" i="152" s="1"/>
  <c r="M722" i="152" s="1"/>
  <c r="I257" i="5" s="1"/>
  <c r="F250" i="160" s="1"/>
  <c r="G250" i="160" s="1"/>
  <c r="G8" i="166" l="1"/>
  <c r="G7" i="166"/>
  <c r="G9" i="166" s="1"/>
  <c r="A4" i="166" l="1"/>
  <c r="H38" i="51" l="1"/>
  <c r="E103" i="5"/>
  <c r="H103" i="5" s="1"/>
  <c r="E97" i="160" s="1"/>
  <c r="H40" i="51"/>
  <c r="A97" i="160"/>
  <c r="F97" i="160" s="1"/>
  <c r="D103" i="5"/>
  <c r="D401" i="8" s="1"/>
  <c r="C103" i="5"/>
  <c r="C401" i="8" s="1"/>
  <c r="B103" i="5"/>
  <c r="B401" i="8" s="1"/>
  <c r="A103" i="5"/>
  <c r="I103" i="5" s="1"/>
  <c r="K294" i="152"/>
  <c r="L294" i="152" s="1"/>
  <c r="M294" i="152" s="1"/>
  <c r="B97" i="160" l="1"/>
  <c r="D97" i="160"/>
  <c r="C97" i="160"/>
  <c r="G97" i="160"/>
  <c r="E401" i="8"/>
  <c r="C32" i="4" l="1"/>
  <c r="B32" i="4"/>
  <c r="F46" i="5" l="1"/>
  <c r="G46" i="5"/>
  <c r="E46" i="5"/>
  <c r="E199" i="5" l="1"/>
  <c r="F262" i="8"/>
  <c r="E262" i="8"/>
  <c r="D262" i="8"/>
  <c r="C262" i="8"/>
  <c r="B262" i="8"/>
  <c r="D279" i="4"/>
  <c r="C279" i="4"/>
  <c r="B279" i="4"/>
  <c r="J74" i="153"/>
  <c r="H74" i="153" s="1"/>
  <c r="B74" i="153"/>
  <c r="G262" i="8" l="1"/>
  <c r="A217" i="4"/>
  <c r="B216" i="4"/>
  <c r="F132" i="5" l="1"/>
  <c r="D37" i="4"/>
  <c r="C37" i="4"/>
  <c r="B37" i="4"/>
  <c r="A145" i="160"/>
  <c r="A119" i="160"/>
  <c r="F134" i="5"/>
  <c r="E134" i="5"/>
  <c r="H68" i="51"/>
  <c r="H77" i="165"/>
  <c r="H72" i="165"/>
  <c r="H68" i="165"/>
  <c r="G20" i="53"/>
  <c r="E125" i="8" l="1"/>
  <c r="D125" i="8"/>
  <c r="C125" i="8"/>
  <c r="B125" i="8"/>
  <c r="G74" i="5"/>
  <c r="F74" i="5"/>
  <c r="E74" i="5"/>
  <c r="L44" i="28"/>
  <c r="K44" i="28"/>
  <c r="J44" i="28"/>
  <c r="A54" i="5"/>
  <c r="K100" i="152"/>
  <c r="L100" i="152" s="1"/>
  <c r="M100" i="152" s="1"/>
  <c r="H54" i="160" s="1"/>
  <c r="H13" i="151"/>
  <c r="H12" i="151"/>
  <c r="A53" i="5"/>
  <c r="A52" i="5"/>
  <c r="F50" i="5"/>
  <c r="E50" i="5"/>
  <c r="N44" i="28" l="1"/>
  <c r="K108" i="28"/>
  <c r="J108" i="28"/>
  <c r="G126" i="5" l="1"/>
  <c r="F126" i="5"/>
  <c r="E126" i="5"/>
  <c r="A126" i="5"/>
  <c r="K354" i="152"/>
  <c r="L354" i="152" s="1"/>
  <c r="K353" i="152"/>
  <c r="L353" i="152" s="1"/>
  <c r="A39" i="8"/>
  <c r="A40" i="8"/>
  <c r="A41" i="8"/>
  <c r="A38" i="8"/>
  <c r="D41" i="8"/>
  <c r="C41" i="8"/>
  <c r="B41" i="8"/>
  <c r="M353" i="152" l="1"/>
  <c r="I126" i="5"/>
  <c r="B126" i="5"/>
  <c r="C126" i="5"/>
  <c r="D126" i="5"/>
  <c r="H126" i="5"/>
  <c r="E119" i="160" s="1"/>
  <c r="K107" i="28"/>
  <c r="J53" i="153" l="1"/>
  <c r="G125" i="5" l="1"/>
  <c r="F125" i="5"/>
  <c r="N107" i="28"/>
  <c r="E41" i="8" s="1"/>
  <c r="AK21" i="161" l="1"/>
  <c r="A161" i="160" l="1"/>
  <c r="A168" i="5"/>
  <c r="B168" i="5" s="1"/>
  <c r="B465" i="8" s="1"/>
  <c r="K472" i="152"/>
  <c r="L472" i="152" s="1"/>
  <c r="K471" i="152"/>
  <c r="L471" i="152" s="1"/>
  <c r="M471" i="152" l="1"/>
  <c r="F161" i="160"/>
  <c r="C168" i="5"/>
  <c r="C465" i="8" s="1"/>
  <c r="D168" i="5"/>
  <c r="D465" i="8" s="1"/>
  <c r="I168" i="5"/>
  <c r="D161" i="160"/>
  <c r="C161" i="160"/>
  <c r="B161" i="160"/>
  <c r="A204" i="160"/>
  <c r="K22" i="28" l="1"/>
  <c r="K21" i="28"/>
  <c r="AH11" i="161" l="1"/>
  <c r="I13" i="29" l="1"/>
  <c r="AK6" i="10"/>
  <c r="AL6" i="10" s="1"/>
  <c r="AM6" i="10" s="1"/>
  <c r="AN6" i="10" s="1"/>
  <c r="AO6" i="10" s="1"/>
  <c r="AP6" i="10" s="1"/>
  <c r="F28" i="8" l="1"/>
  <c r="D32" i="4" l="1"/>
  <c r="D28" i="8"/>
  <c r="C28" i="8"/>
  <c r="B28" i="8"/>
  <c r="N32" i="28"/>
  <c r="E28" i="8" s="1"/>
  <c r="G28" i="8" s="1"/>
  <c r="H44" i="165" l="1"/>
  <c r="H39" i="51"/>
  <c r="H44" i="51"/>
  <c r="F33" i="8" l="1"/>
  <c r="D33" i="8"/>
  <c r="C33" i="8"/>
  <c r="B33" i="8"/>
  <c r="A33" i="8"/>
  <c r="F63" i="29" l="1"/>
  <c r="F62" i="29"/>
  <c r="I75" i="29" s="1"/>
  <c r="F61" i="29"/>
  <c r="F60" i="29"/>
  <c r="H69" i="165" l="1"/>
  <c r="K179" i="28"/>
  <c r="K172" i="28"/>
  <c r="K171" i="28"/>
  <c r="K168" i="28"/>
  <c r="K166" i="28"/>
  <c r="E191" i="5"/>
  <c r="E175" i="5"/>
  <c r="E166" i="5"/>
  <c r="F170" i="5"/>
  <c r="F165" i="5"/>
  <c r="J18" i="9" l="1"/>
  <c r="ED81" i="153" l="1"/>
  <c r="FZ174" i="153"/>
  <c r="FZ166" i="153"/>
  <c r="FZ156" i="153"/>
  <c r="FZ157" i="153" s="1"/>
  <c r="FZ150" i="153"/>
  <c r="FZ151" i="153" s="1"/>
  <c r="FZ154" i="153" s="1"/>
  <c r="FZ144" i="153"/>
  <c r="FZ148" i="153" s="1"/>
  <c r="FZ136" i="153"/>
  <c r="FZ140" i="153" s="1"/>
  <c r="FZ81" i="153"/>
  <c r="FZ127" i="153" s="1"/>
  <c r="FZ78" i="153"/>
  <c r="J54" i="153"/>
  <c r="H54" i="153" l="1"/>
  <c r="E192" i="5"/>
  <c r="FZ128" i="153"/>
  <c r="FZ161" i="153"/>
  <c r="FZ162" i="153"/>
  <c r="FZ163" i="153" s="1"/>
  <c r="FZ133" i="153" l="1"/>
  <c r="FZ134" i="153" s="1"/>
  <c r="FZ132" i="153"/>
  <c r="H96" i="51" l="1"/>
  <c r="H93" i="51"/>
  <c r="E47" i="5" l="1"/>
  <c r="L4" i="151" l="1"/>
  <c r="M17" i="53"/>
  <c r="M16" i="53"/>
  <c r="M15" i="53"/>
  <c r="M16" i="87" l="1"/>
  <c r="M15" i="87"/>
  <c r="L5" i="87"/>
  <c r="L4" i="87"/>
  <c r="C27" i="8"/>
  <c r="B27" i="8"/>
  <c r="D27" i="8"/>
  <c r="J179" i="28"/>
  <c r="H91" i="51"/>
  <c r="H92" i="51"/>
  <c r="H77" i="51" l="1"/>
  <c r="H69" i="51"/>
  <c r="J178" i="28"/>
  <c r="A187" i="160" l="1"/>
  <c r="F6" i="10" l="1"/>
  <c r="G6" i="10" s="1"/>
  <c r="H6" i="10" s="1"/>
  <c r="I6" i="10" s="1"/>
  <c r="J6" i="10" s="1"/>
  <c r="K6" i="10" s="1"/>
  <c r="L6" i="10" s="1"/>
  <c r="M6" i="10" s="1"/>
  <c r="N6" i="10" s="1"/>
  <c r="O6" i="10" s="1"/>
  <c r="P6" i="10" s="1"/>
  <c r="Q6" i="10" s="1"/>
  <c r="R6" i="10" s="1"/>
  <c r="S6" i="10" s="1"/>
  <c r="T6" i="10" s="1"/>
  <c r="U6" i="10" s="1"/>
  <c r="V6" i="10" s="1"/>
  <c r="W6" i="10" s="1"/>
  <c r="X6" i="10" s="1"/>
  <c r="Y6" i="10" s="1"/>
  <c r="Z6" i="10" s="1"/>
  <c r="AA6" i="10" s="1"/>
  <c r="AB6" i="10" s="1"/>
  <c r="AC6" i="10" s="1"/>
  <c r="AD6" i="10" s="1"/>
  <c r="AE6" i="10" s="1"/>
  <c r="AF6" i="10" s="1"/>
  <c r="AG6" i="10" s="1"/>
  <c r="AH6" i="10" s="1"/>
  <c r="AI6" i="10" s="1"/>
  <c r="AJ6" i="10" s="1"/>
  <c r="K116" i="28" l="1"/>
  <c r="F96" i="5"/>
  <c r="G96" i="5"/>
  <c r="E96" i="5"/>
  <c r="K82" i="28"/>
  <c r="L9" i="151" l="1"/>
  <c r="L8" i="151"/>
  <c r="C106" i="4"/>
  <c r="D106" i="4"/>
  <c r="B106" i="4"/>
  <c r="A105" i="4"/>
  <c r="A103" i="4"/>
  <c r="A104" i="4"/>
  <c r="A99" i="4"/>
  <c r="D98" i="4" l="1"/>
  <c r="C98" i="4"/>
  <c r="B98" i="4"/>
  <c r="A98" i="4"/>
  <c r="D33" i="4" l="1"/>
  <c r="C33" i="4"/>
  <c r="B33" i="4"/>
  <c r="F150" i="5" l="1"/>
  <c r="J104" i="28" l="1"/>
  <c r="H56" i="165" l="1"/>
  <c r="H56" i="51"/>
  <c r="K125" i="28" l="1"/>
  <c r="K124" i="28"/>
  <c r="K123" i="28"/>
  <c r="K122" i="28"/>
  <c r="K121" i="28"/>
  <c r="K120" i="28"/>
  <c r="H59" i="165"/>
  <c r="K117" i="28" s="1"/>
  <c r="K115" i="28"/>
  <c r="K114" i="28"/>
  <c r="K113" i="28"/>
  <c r="K119" i="28"/>
  <c r="K118" i="28"/>
  <c r="K112" i="28"/>
  <c r="K111" i="28"/>
  <c r="K110" i="28"/>
  <c r="M17" i="87" l="1"/>
  <c r="M24" i="53"/>
  <c r="J55" i="51" l="1"/>
  <c r="H55" i="51"/>
  <c r="J54" i="51"/>
  <c r="H54" i="51"/>
  <c r="J53" i="51"/>
  <c r="H53" i="51"/>
  <c r="J52" i="51"/>
  <c r="H52" i="51"/>
  <c r="J51" i="51"/>
  <c r="H51" i="51"/>
  <c r="H82" i="165" l="1"/>
  <c r="J82" i="165" s="1"/>
  <c r="H78" i="165"/>
  <c r="K174" i="28" s="1"/>
  <c r="J76" i="165"/>
  <c r="H75" i="165"/>
  <c r="H74" i="165"/>
  <c r="H73" i="165"/>
  <c r="H70" i="165"/>
  <c r="J70" i="165" s="1"/>
  <c r="H71" i="165"/>
  <c r="K180" i="28" s="1"/>
  <c r="H50" i="165"/>
  <c r="H47" i="165"/>
  <c r="H49" i="165" s="1"/>
  <c r="H46" i="165"/>
  <c r="J46" i="165" s="1"/>
  <c r="H42" i="165"/>
  <c r="H39" i="165"/>
  <c r="J77" i="165" l="1"/>
  <c r="J109" i="28"/>
  <c r="K109" i="28"/>
  <c r="E78" i="160"/>
  <c r="E81" i="160"/>
  <c r="E82" i="160"/>
  <c r="E83" i="160"/>
  <c r="H75" i="51"/>
  <c r="H74" i="51"/>
  <c r="F97" i="5"/>
  <c r="G97" i="5"/>
  <c r="E97" i="5"/>
  <c r="D99" i="4"/>
  <c r="C99" i="4"/>
  <c r="B99" i="4"/>
  <c r="D34" i="8"/>
  <c r="C34" i="8"/>
  <c r="B34" i="8"/>
  <c r="A34" i="8"/>
  <c r="N100" i="28"/>
  <c r="E34" i="8" s="1"/>
  <c r="L6" i="53"/>
  <c r="L5" i="53"/>
  <c r="L4" i="53"/>
  <c r="H47" i="51" l="1"/>
  <c r="H45" i="51"/>
  <c r="H42" i="51"/>
  <c r="H46" i="51"/>
  <c r="J46" i="51" s="1"/>
  <c r="H59" i="51"/>
  <c r="DX92" i="153" l="1"/>
  <c r="DW92" i="153"/>
  <c r="ES157" i="153"/>
  <c r="CY81" i="153"/>
  <c r="BL81" i="153" l="1"/>
  <c r="BK81" i="153"/>
  <c r="U81" i="153" l="1"/>
  <c r="DV81" i="153" l="1"/>
  <c r="DU81" i="153"/>
  <c r="DT81" i="153"/>
  <c r="DS81" i="153"/>
  <c r="DR81" i="153"/>
  <c r="DQ81" i="153"/>
  <c r="DP81" i="153"/>
  <c r="DO81" i="153"/>
  <c r="DN81" i="153"/>
  <c r="DM81" i="153"/>
  <c r="DL81" i="153"/>
  <c r="DK81" i="153"/>
  <c r="DJ81" i="153"/>
  <c r="DI81" i="153"/>
  <c r="DH81" i="153"/>
  <c r="DG81" i="153"/>
  <c r="DF81" i="153"/>
  <c r="DE81" i="153"/>
  <c r="DD81" i="153"/>
  <c r="DC81" i="153"/>
  <c r="DB81" i="153"/>
  <c r="DA81" i="153"/>
  <c r="CZ81" i="153"/>
  <c r="CX81" i="153"/>
  <c r="CW81" i="153"/>
  <c r="CV81" i="153"/>
  <c r="CU81" i="153"/>
  <c r="CT81" i="153"/>
  <c r="CS81" i="153"/>
  <c r="CR81" i="153"/>
  <c r="CQ81" i="153"/>
  <c r="CP81" i="153"/>
  <c r="CO81" i="153"/>
  <c r="CN81" i="153"/>
  <c r="CM81" i="153"/>
  <c r="CL81" i="153"/>
  <c r="CK81" i="153"/>
  <c r="CJ81" i="153"/>
  <c r="CI81" i="153"/>
  <c r="CH81" i="153"/>
  <c r="CG81" i="153"/>
  <c r="CF81" i="153"/>
  <c r="CE81" i="153"/>
  <c r="CD81" i="153"/>
  <c r="CC81" i="153"/>
  <c r="CB81" i="153"/>
  <c r="CA81" i="153"/>
  <c r="BZ81" i="153"/>
  <c r="BY81" i="153"/>
  <c r="BX81" i="153"/>
  <c r="BW81" i="153"/>
  <c r="BV81" i="153"/>
  <c r="BU81" i="153"/>
  <c r="BT81" i="153"/>
  <c r="BS81" i="153"/>
  <c r="BR81" i="153"/>
  <c r="BQ81" i="153"/>
  <c r="BP81" i="153"/>
  <c r="BO81" i="153"/>
  <c r="BN81" i="153"/>
  <c r="BM81" i="153"/>
  <c r="BJ81" i="153"/>
  <c r="BI81" i="153"/>
  <c r="BH81" i="153"/>
  <c r="BG81" i="153"/>
  <c r="BF81" i="153"/>
  <c r="BE81" i="153"/>
  <c r="BD81" i="153"/>
  <c r="BC81" i="153"/>
  <c r="BB81" i="153"/>
  <c r="BA81" i="153"/>
  <c r="AZ81" i="153"/>
  <c r="AY81" i="153"/>
  <c r="AX81" i="153"/>
  <c r="AW81" i="153"/>
  <c r="AV81" i="153"/>
  <c r="AU81" i="153"/>
  <c r="AT81" i="153"/>
  <c r="AS81" i="153"/>
  <c r="AR81" i="153"/>
  <c r="AQ81" i="153"/>
  <c r="AP81" i="153"/>
  <c r="AO81" i="153"/>
  <c r="AN81" i="153"/>
  <c r="AM81" i="153"/>
  <c r="AL81" i="153"/>
  <c r="AK81" i="153"/>
  <c r="AJ81" i="153"/>
  <c r="AI81" i="153"/>
  <c r="AH81" i="153"/>
  <c r="AG81" i="153"/>
  <c r="AF81" i="153"/>
  <c r="AE81" i="153"/>
  <c r="AD81" i="153"/>
  <c r="AC81" i="153"/>
  <c r="AB81" i="153"/>
  <c r="AA81" i="153"/>
  <c r="Z81" i="153"/>
  <c r="Y81" i="153"/>
  <c r="X81" i="153"/>
  <c r="W81" i="153"/>
  <c r="V81" i="153"/>
  <c r="T81" i="153"/>
  <c r="S81" i="153"/>
  <c r="R81" i="153"/>
  <c r="Q81" i="153"/>
  <c r="P81" i="153"/>
  <c r="O81" i="153"/>
  <c r="N81" i="153"/>
  <c r="R89" i="153" l="1"/>
  <c r="J111" i="28" l="1"/>
  <c r="J110" i="28"/>
  <c r="N25" i="28" l="1"/>
  <c r="E27" i="8" s="1"/>
  <c r="AG30" i="164" l="1"/>
  <c r="AB30" i="164"/>
  <c r="AJ30" i="164" s="1"/>
  <c r="AG29" i="164"/>
  <c r="AB29" i="164"/>
  <c r="AJ29" i="164" s="1"/>
  <c r="AG28" i="164"/>
  <c r="AB28" i="164"/>
  <c r="AJ28" i="164" s="1"/>
  <c r="AG27" i="164"/>
  <c r="AB27" i="164"/>
  <c r="AJ27" i="164" s="1"/>
  <c r="AG26" i="164"/>
  <c r="AB26" i="164"/>
  <c r="AJ26" i="164" s="1"/>
  <c r="AG25" i="164"/>
  <c r="AB25" i="164"/>
  <c r="AJ25" i="164" s="1"/>
  <c r="AG24" i="164"/>
  <c r="AG31" i="164" s="1"/>
  <c r="AB24" i="164"/>
  <c r="AJ24" i="164" s="1"/>
  <c r="AG23" i="164"/>
  <c r="AB23" i="164"/>
  <c r="AJ23" i="164" s="1"/>
  <c r="AG22" i="164"/>
  <c r="AB22" i="164"/>
  <c r="AJ22" i="164" s="1"/>
  <c r="AG21" i="164"/>
  <c r="AB21" i="164"/>
  <c r="AJ21" i="164" s="1"/>
  <c r="AG20" i="164"/>
  <c r="AB20" i="164"/>
  <c r="AJ20" i="164" s="1"/>
  <c r="AG19" i="164"/>
  <c r="AB19" i="164"/>
  <c r="AJ19" i="164" s="1"/>
  <c r="AG17" i="164"/>
  <c r="AB17" i="164"/>
  <c r="AJ17" i="164" s="1"/>
  <c r="AG16" i="164"/>
  <c r="AB16" i="164"/>
  <c r="AJ16" i="164" s="1"/>
  <c r="AG15" i="164"/>
  <c r="AB15" i="164"/>
  <c r="AJ15" i="164" s="1"/>
  <c r="AJ14" i="164"/>
  <c r="AG14" i="164"/>
  <c r="AB14" i="164"/>
  <c r="AG13" i="164"/>
  <c r="AB13" i="164"/>
  <c r="AJ13" i="164" s="1"/>
  <c r="AG12" i="164"/>
  <c r="AB12" i="164"/>
  <c r="AJ12" i="164" s="1"/>
  <c r="AG11" i="164"/>
  <c r="AB11" i="164"/>
  <c r="AJ11" i="164" s="1"/>
  <c r="R30" i="163"/>
  <c r="AH20" i="163"/>
  <c r="AC20" i="163"/>
  <c r="AK20" i="163" s="1"/>
  <c r="AH19" i="163"/>
  <c r="AC19" i="163"/>
  <c r="AK19" i="163" s="1"/>
  <c r="AH18" i="163"/>
  <c r="AC18" i="163"/>
  <c r="AK18" i="163" s="1"/>
  <c r="AH17" i="163"/>
  <c r="AC17" i="163"/>
  <c r="AK17" i="163" s="1"/>
  <c r="AH16" i="163"/>
  <c r="AC16" i="163"/>
  <c r="AK16" i="163" s="1"/>
  <c r="AH15" i="163"/>
  <c r="AC15" i="163"/>
  <c r="AK15" i="163" s="1"/>
  <c r="AH14" i="163"/>
  <c r="AC14" i="163"/>
  <c r="AK14" i="163" s="1"/>
  <c r="AH13" i="163"/>
  <c r="AC13" i="163"/>
  <c r="AK13" i="163" s="1"/>
  <c r="AH12" i="163"/>
  <c r="AC12" i="163"/>
  <c r="AK12" i="163" s="1"/>
  <c r="AH11" i="163"/>
  <c r="AC11" i="163"/>
  <c r="AK11" i="163" s="1"/>
  <c r="AH21" i="163" l="1"/>
  <c r="R48" i="163" s="1"/>
  <c r="AG18" i="164"/>
  <c r="AJ18" i="164"/>
  <c r="R40" i="164" s="1"/>
  <c r="AJ31" i="164"/>
  <c r="AG32" i="164"/>
  <c r="R62" i="164" s="1"/>
  <c r="AE56" i="164" s="1"/>
  <c r="AK21" i="163"/>
  <c r="R29" i="163" l="1"/>
  <c r="AC41" i="163"/>
  <c r="AE42" i="163"/>
  <c r="AC55" i="164"/>
  <c r="R41" i="164"/>
  <c r="AE41" i="164" s="1"/>
  <c r="AJ32" i="164"/>
  <c r="AC40" i="164"/>
  <c r="AE28" i="163"/>
  <c r="AC27" i="163"/>
  <c r="AE42" i="164" l="1"/>
  <c r="AG30" i="162" l="1"/>
  <c r="AB30" i="162"/>
  <c r="AJ30" i="162" s="1"/>
  <c r="AG29" i="162"/>
  <c r="AB29" i="162"/>
  <c r="AJ29" i="162" s="1"/>
  <c r="AG28" i="162"/>
  <c r="AB28" i="162"/>
  <c r="AJ28" i="162" s="1"/>
  <c r="AG27" i="162"/>
  <c r="AB27" i="162"/>
  <c r="AJ27" i="162" s="1"/>
  <c r="AG26" i="162"/>
  <c r="AB26" i="162"/>
  <c r="AJ26" i="162" s="1"/>
  <c r="AG25" i="162"/>
  <c r="AB25" i="162"/>
  <c r="AJ25" i="162" s="1"/>
  <c r="AG24" i="162"/>
  <c r="AB24" i="162"/>
  <c r="AJ24" i="162" s="1"/>
  <c r="AG23" i="162"/>
  <c r="AB23" i="162"/>
  <c r="AJ23" i="162" s="1"/>
  <c r="AG22" i="162"/>
  <c r="AB22" i="162"/>
  <c r="AJ22" i="162" s="1"/>
  <c r="AG21" i="162"/>
  <c r="AB21" i="162"/>
  <c r="AJ21" i="162" s="1"/>
  <c r="AG20" i="162"/>
  <c r="AB20" i="162"/>
  <c r="AJ20" i="162" s="1"/>
  <c r="AG19" i="162"/>
  <c r="AB19" i="162"/>
  <c r="AJ19" i="162" s="1"/>
  <c r="AG17" i="162"/>
  <c r="AB17" i="162"/>
  <c r="AJ17" i="162" s="1"/>
  <c r="AG16" i="162"/>
  <c r="AB16" i="162"/>
  <c r="AJ16" i="162" s="1"/>
  <c r="AG15" i="162"/>
  <c r="AB15" i="162"/>
  <c r="AJ15" i="162" s="1"/>
  <c r="AJ14" i="162"/>
  <c r="AG14" i="162"/>
  <c r="AB14" i="162"/>
  <c r="AG13" i="162"/>
  <c r="AB13" i="162"/>
  <c r="AJ13" i="162" s="1"/>
  <c r="AG12" i="162"/>
  <c r="AB12" i="162"/>
  <c r="AJ12" i="162" s="1"/>
  <c r="AG11" i="162"/>
  <c r="AB11" i="162"/>
  <c r="AJ11" i="162" s="1"/>
  <c r="R30" i="161"/>
  <c r="AK20" i="161"/>
  <c r="AH20" i="161"/>
  <c r="AC20" i="161"/>
  <c r="AK19" i="161"/>
  <c r="AH19" i="161"/>
  <c r="AC19" i="161"/>
  <c r="AK18" i="161"/>
  <c r="AH18" i="161"/>
  <c r="AC18" i="161"/>
  <c r="AK17" i="161"/>
  <c r="AH17" i="161"/>
  <c r="AC17" i="161"/>
  <c r="AK16" i="161"/>
  <c r="AH16" i="161"/>
  <c r="AC16" i="161"/>
  <c r="AK15" i="161"/>
  <c r="AH15" i="161"/>
  <c r="AC15" i="161"/>
  <c r="AK14" i="161"/>
  <c r="AH14" i="161"/>
  <c r="AC14" i="161"/>
  <c r="AK13" i="161"/>
  <c r="AH13" i="161"/>
  <c r="AC13" i="161"/>
  <c r="AH12" i="161"/>
  <c r="AC12" i="161"/>
  <c r="AK12" i="161" s="1"/>
  <c r="AK11" i="161"/>
  <c r="AC11" i="161"/>
  <c r="AG18" i="162" l="1"/>
  <c r="AH21" i="161"/>
  <c r="R48" i="161" s="1"/>
  <c r="AC41" i="161" s="1"/>
  <c r="AG31" i="162"/>
  <c r="AJ18" i="162"/>
  <c r="R40" i="162" s="1"/>
  <c r="AJ31" i="162"/>
  <c r="AG32" i="162"/>
  <c r="R62" i="162" s="1"/>
  <c r="R29" i="161" l="1"/>
  <c r="AE42" i="161"/>
  <c r="AC55" i="162"/>
  <c r="AE56" i="162"/>
  <c r="R41" i="162"/>
  <c r="AJ32" i="162"/>
  <c r="AC40" i="162"/>
  <c r="AE28" i="161"/>
  <c r="AC27" i="161"/>
  <c r="AE41" i="162" l="1"/>
  <c r="AE42" i="162"/>
  <c r="N8" i="28"/>
  <c r="N7" i="28"/>
  <c r="FY81" i="153" l="1"/>
  <c r="FY78" i="153"/>
  <c r="FX81" i="153"/>
  <c r="FX78" i="153"/>
  <c r="FW81" i="153"/>
  <c r="FW78" i="153"/>
  <c r="FV81" i="153"/>
  <c r="FV78" i="153"/>
  <c r="FU81" i="153" l="1"/>
  <c r="FU78" i="153"/>
  <c r="FT81" i="153"/>
  <c r="FT78" i="153"/>
  <c r="FS81" i="153" l="1"/>
  <c r="FS78" i="153"/>
  <c r="FR81" i="153"/>
  <c r="FR78" i="153"/>
  <c r="FQ81" i="153"/>
  <c r="FQ78" i="153"/>
  <c r="FP81" i="153"/>
  <c r="FP78" i="153"/>
  <c r="FO81" i="153" l="1"/>
  <c r="FO78" i="153" s="1"/>
  <c r="FN78" i="153"/>
  <c r="FM81" i="153"/>
  <c r="FM78" i="153"/>
  <c r="FL81" i="153"/>
  <c r="FL78" i="153"/>
  <c r="FK81" i="153"/>
  <c r="FK78" i="153"/>
  <c r="FJ81" i="153"/>
  <c r="FJ78" i="153"/>
  <c r="FI81" i="153"/>
  <c r="FI78" i="153"/>
  <c r="FH81" i="153"/>
  <c r="FH78" i="153"/>
  <c r="FG81" i="153"/>
  <c r="FG78" i="153"/>
  <c r="FF81" i="153" l="1"/>
  <c r="FF78" i="153"/>
  <c r="FD81" i="153"/>
  <c r="FA81" i="153"/>
  <c r="FB81" i="153"/>
  <c r="FC81" i="153"/>
  <c r="FE81" i="153" l="1"/>
  <c r="EY81" i="153" l="1"/>
  <c r="EX81" i="153"/>
  <c r="EW81" i="153"/>
  <c r="EV81" i="153"/>
  <c r="EU81" i="153"/>
  <c r="ET81" i="153"/>
  <c r="ES81" i="153"/>
  <c r="ES127" i="153" s="1"/>
  <c r="ES128" i="153" s="1"/>
  <c r="ER81" i="153"/>
  <c r="EQ81" i="153"/>
  <c r="EP81" i="153"/>
  <c r="EO81" i="153" l="1"/>
  <c r="EM89" i="153"/>
  <c r="EL89" i="153"/>
  <c r="EM92" i="153"/>
  <c r="EL92" i="153"/>
  <c r="EK89" i="153"/>
  <c r="EK92" i="153"/>
  <c r="EH92" i="153"/>
  <c r="EJ92" i="153"/>
  <c r="EI92" i="153"/>
  <c r="EJ81" i="153" l="1"/>
  <c r="EJ93" i="153" s="1"/>
  <c r="EJ89" i="153"/>
  <c r="EI89" i="153"/>
  <c r="EI81" i="153"/>
  <c r="EI93" i="153" s="1"/>
  <c r="EH89" i="153" l="1"/>
  <c r="EG86" i="153"/>
  <c r="EG85" i="153"/>
  <c r="EG89" i="153" l="1"/>
  <c r="EG81" i="153"/>
  <c r="EG92" i="153"/>
  <c r="EH81" i="153"/>
  <c r="EH93" i="153" s="1"/>
  <c r="FE78" i="153" l="1"/>
  <c r="FD78" i="153"/>
  <c r="FC78" i="153"/>
  <c r="FB78" i="153"/>
  <c r="FA78" i="153"/>
  <c r="EZ78" i="153"/>
  <c r="EY78" i="153"/>
  <c r="EX78" i="153"/>
  <c r="EW78" i="153"/>
  <c r="EV78" i="153"/>
  <c r="EU78" i="153"/>
  <c r="ET78" i="153"/>
  <c r="ES78" i="153"/>
  <c r="ER78" i="153"/>
  <c r="EQ78" i="153"/>
  <c r="EP78" i="153"/>
  <c r="EO78" i="153"/>
  <c r="J112" i="8" l="1"/>
  <c r="K112" i="8"/>
  <c r="L112" i="8"/>
  <c r="M112" i="8"/>
  <c r="N112" i="8"/>
  <c r="R112" i="8" s="1"/>
  <c r="T112" i="8"/>
  <c r="FY174" i="153" l="1"/>
  <c r="FX174" i="153"/>
  <c r="FW174" i="153"/>
  <c r="FV174" i="153"/>
  <c r="FY156" i="153"/>
  <c r="FY157" i="153" s="1"/>
  <c r="FX156" i="153"/>
  <c r="FX157" i="153" s="1"/>
  <c r="FW156" i="153"/>
  <c r="FW157" i="153" s="1"/>
  <c r="FW162" i="153" s="1"/>
  <c r="FW163" i="153" s="1"/>
  <c r="FV156" i="153"/>
  <c r="FV157" i="153" s="1"/>
  <c r="FV161" i="153" s="1"/>
  <c r="FW151" i="153"/>
  <c r="FW154" i="153" s="1"/>
  <c r="FV151" i="153"/>
  <c r="FV154" i="153" s="1"/>
  <c r="FY150" i="153"/>
  <c r="FY151" i="153" s="1"/>
  <c r="FY154" i="153" s="1"/>
  <c r="FX150" i="153"/>
  <c r="FX151" i="153" s="1"/>
  <c r="FX154" i="153" s="1"/>
  <c r="FW150" i="153"/>
  <c r="FV150" i="153"/>
  <c r="FY144" i="153"/>
  <c r="FY148" i="153" s="1"/>
  <c r="FX144" i="153"/>
  <c r="FX148" i="153" s="1"/>
  <c r="FW144" i="153"/>
  <c r="FW148" i="153" s="1"/>
  <c r="FV144" i="153"/>
  <c r="FV148" i="153" s="1"/>
  <c r="FY136" i="153"/>
  <c r="FY140" i="153" s="1"/>
  <c r="FX136" i="153"/>
  <c r="FX140" i="153" s="1"/>
  <c r="FW136" i="153"/>
  <c r="FW140" i="153" s="1"/>
  <c r="FV136" i="153"/>
  <c r="FV140" i="153" s="1"/>
  <c r="FY127" i="153"/>
  <c r="FY128" i="153" s="1"/>
  <c r="FX127" i="153"/>
  <c r="FX128" i="153" s="1"/>
  <c r="FW127" i="153"/>
  <c r="FV127" i="153"/>
  <c r="FY104" i="153"/>
  <c r="FY166" i="153" s="1"/>
  <c r="FX104" i="153"/>
  <c r="FX166" i="153" s="1"/>
  <c r="FW104" i="153"/>
  <c r="FW166" i="153" s="1"/>
  <c r="FV104" i="153"/>
  <c r="FV166" i="153" s="1"/>
  <c r="FV128" i="153" l="1"/>
  <c r="FV133" i="153" s="1"/>
  <c r="FV134" i="153" s="1"/>
  <c r="FW128" i="153"/>
  <c r="FW133" i="153" s="1"/>
  <c r="FW134" i="153" s="1"/>
  <c r="FY162" i="153"/>
  <c r="FY161" i="153"/>
  <c r="FY132" i="153"/>
  <c r="FY133" i="153"/>
  <c r="FY134" i="153" s="1"/>
  <c r="FY163" i="153"/>
  <c r="FV132" i="153"/>
  <c r="FW161" i="153"/>
  <c r="FV162" i="153"/>
  <c r="FV163" i="153" s="1"/>
  <c r="FU174" i="153"/>
  <c r="FT174" i="153"/>
  <c r="FS174" i="153"/>
  <c r="FR174" i="153"/>
  <c r="FU156" i="153"/>
  <c r="FT156" i="153"/>
  <c r="FS156" i="153"/>
  <c r="FR156" i="153"/>
  <c r="FU150" i="153"/>
  <c r="FU151" i="153" s="1"/>
  <c r="FU154" i="153" s="1"/>
  <c r="FT150" i="153"/>
  <c r="FT151" i="153" s="1"/>
  <c r="FT154" i="153" s="1"/>
  <c r="FS150" i="153"/>
  <c r="FS151" i="153" s="1"/>
  <c r="FS154" i="153" s="1"/>
  <c r="FR150" i="153"/>
  <c r="FR151" i="153" s="1"/>
  <c r="FR154" i="153" s="1"/>
  <c r="FU144" i="153"/>
  <c r="FU148" i="153" s="1"/>
  <c r="FT144" i="153"/>
  <c r="FT148" i="153" s="1"/>
  <c r="FS144" i="153"/>
  <c r="FS148" i="153" s="1"/>
  <c r="FR144" i="153"/>
  <c r="FR148" i="153" s="1"/>
  <c r="FU136" i="153"/>
  <c r="FU140" i="153" s="1"/>
  <c r="FT136" i="153"/>
  <c r="FT140" i="153" s="1"/>
  <c r="FS136" i="153"/>
  <c r="FS140" i="153" s="1"/>
  <c r="FR136" i="153"/>
  <c r="FR140" i="153" s="1"/>
  <c r="FU127" i="153"/>
  <c r="FT127" i="153"/>
  <c r="FS127" i="153"/>
  <c r="FR127" i="153"/>
  <c r="FU104" i="153"/>
  <c r="FU166" i="153" s="1"/>
  <c r="FT104" i="153"/>
  <c r="FT166" i="153" s="1"/>
  <c r="FS104" i="153"/>
  <c r="FS166" i="153" s="1"/>
  <c r="FR104" i="153"/>
  <c r="FR166" i="153" s="1"/>
  <c r="FQ174" i="153"/>
  <c r="FP174" i="153"/>
  <c r="FQ156" i="153"/>
  <c r="FP156" i="153"/>
  <c r="FP157" i="153" s="1"/>
  <c r="FQ150" i="153"/>
  <c r="FQ151" i="153" s="1"/>
  <c r="FQ154" i="153" s="1"/>
  <c r="FP150" i="153"/>
  <c r="FP151" i="153" s="1"/>
  <c r="FP154" i="153" s="1"/>
  <c r="FQ144" i="153"/>
  <c r="FQ148" i="153" s="1"/>
  <c r="FP144" i="153"/>
  <c r="FP148" i="153" s="1"/>
  <c r="FQ136" i="153"/>
  <c r="FQ140" i="153" s="1"/>
  <c r="FP136" i="153"/>
  <c r="FP140" i="153" s="1"/>
  <c r="FQ127" i="153"/>
  <c r="FP127" i="153"/>
  <c r="FQ104" i="153"/>
  <c r="FQ166" i="153" s="1"/>
  <c r="FP104" i="153"/>
  <c r="FP166" i="153" s="1"/>
  <c r="FO174" i="153"/>
  <c r="FO156" i="153"/>
  <c r="FO157" i="153" s="1"/>
  <c r="FO150" i="153"/>
  <c r="FO151" i="153" s="1"/>
  <c r="FO154" i="153" s="1"/>
  <c r="FO144" i="153"/>
  <c r="FO148" i="153" s="1"/>
  <c r="FO136" i="153"/>
  <c r="FO140" i="153" s="1"/>
  <c r="FO127" i="153"/>
  <c r="FO128" i="153" s="1"/>
  <c r="FO104" i="153"/>
  <c r="FO166" i="153" s="1"/>
  <c r="FN174" i="153"/>
  <c r="FM174" i="153"/>
  <c r="FN156" i="153"/>
  <c r="FM156" i="153"/>
  <c r="FN150" i="153"/>
  <c r="FN151" i="153" s="1"/>
  <c r="FN154" i="153" s="1"/>
  <c r="FM150" i="153"/>
  <c r="FM151" i="153" s="1"/>
  <c r="FM154" i="153" s="1"/>
  <c r="FN144" i="153"/>
  <c r="FN148" i="153" s="1"/>
  <c r="FM144" i="153"/>
  <c r="FM148" i="153" s="1"/>
  <c r="FN136" i="153"/>
  <c r="FN140" i="153" s="1"/>
  <c r="FM136" i="153"/>
  <c r="FM140" i="153" s="1"/>
  <c r="FN127" i="153"/>
  <c r="FM127" i="153"/>
  <c r="FN104" i="153"/>
  <c r="FN166" i="153" s="1"/>
  <c r="FM104" i="153"/>
  <c r="FM166" i="153" s="1"/>
  <c r="FW132" i="153" l="1"/>
  <c r="FS128" i="153"/>
  <c r="FS133" i="153" s="1"/>
  <c r="FS134" i="153" s="1"/>
  <c r="FT128" i="153"/>
  <c r="FT133" i="153" s="1"/>
  <c r="FT134" i="153" s="1"/>
  <c r="FR157" i="153"/>
  <c r="FR161" i="153" s="1"/>
  <c r="FU128" i="153"/>
  <c r="FU132" i="153" s="1"/>
  <c r="FS157" i="153"/>
  <c r="FS161" i="153" s="1"/>
  <c r="FU157" i="153"/>
  <c r="FU161" i="153" s="1"/>
  <c r="FT157" i="153"/>
  <c r="FT162" i="153" s="1"/>
  <c r="FT163" i="153" s="1"/>
  <c r="FQ128" i="153"/>
  <c r="FQ132" i="153" s="1"/>
  <c r="FN157" i="153"/>
  <c r="FN162" i="153" s="1"/>
  <c r="FN163" i="153" s="1"/>
  <c r="FQ157" i="153"/>
  <c r="FQ161" i="153" s="1"/>
  <c r="FM157" i="153"/>
  <c r="FM162" i="153" s="1"/>
  <c r="FM163" i="153" s="1"/>
  <c r="FP128" i="153"/>
  <c r="FP133" i="153" s="1"/>
  <c r="FP134" i="153" s="1"/>
  <c r="FM128" i="153"/>
  <c r="FM133" i="153" s="1"/>
  <c r="FM134" i="153" s="1"/>
  <c r="FN128" i="153"/>
  <c r="FN133" i="153" s="1"/>
  <c r="FN134" i="153" s="1"/>
  <c r="FR128" i="153"/>
  <c r="FR132" i="153" s="1"/>
  <c r="FX133" i="153"/>
  <c r="FX134" i="153" s="1"/>
  <c r="FX132" i="153"/>
  <c r="FP162" i="153"/>
  <c r="FP163" i="153" s="1"/>
  <c r="FX162" i="153"/>
  <c r="FX163" i="153" s="1"/>
  <c r="FX161" i="153"/>
  <c r="FS132" i="153"/>
  <c r="FT132" i="153"/>
  <c r="FT161" i="153"/>
  <c r="EH127" i="153"/>
  <c r="EH128" i="153" s="1"/>
  <c r="FM132" i="153" l="1"/>
  <c r="FP132" i="153"/>
  <c r="FU162" i="153"/>
  <c r="FU163" i="153" s="1"/>
  <c r="FN161" i="153"/>
  <c r="FQ133" i="153"/>
  <c r="FQ134" i="153" s="1"/>
  <c r="FQ162" i="153"/>
  <c r="FQ163" i="153" s="1"/>
  <c r="FS162" i="153"/>
  <c r="FS163" i="153" s="1"/>
  <c r="FU133" i="153"/>
  <c r="FU134" i="153" s="1"/>
  <c r="FR133" i="153"/>
  <c r="FR134" i="153" s="1"/>
  <c r="FR162" i="153"/>
  <c r="FR163" i="153" s="1"/>
  <c r="FN132" i="153"/>
  <c r="FM161" i="153"/>
  <c r="FP161" i="153"/>
  <c r="FO161" i="153"/>
  <c r="FO162" i="153"/>
  <c r="FO163" i="153" s="1"/>
  <c r="FO132" i="153"/>
  <c r="FO133" i="153"/>
  <c r="FO134" i="153" s="1"/>
  <c r="EF81" i="153" l="1"/>
  <c r="EE81" i="153"/>
  <c r="EC81" i="153"/>
  <c r="EB81" i="153"/>
  <c r="EA81" i="153"/>
  <c r="DZ81" i="153"/>
  <c r="DY81" i="153"/>
  <c r="DX81" i="153" l="1"/>
  <c r="DX89" i="153" s="1"/>
  <c r="DW81" i="153"/>
  <c r="DW89" i="153" s="1"/>
  <c r="L89" i="153" l="1"/>
  <c r="M89" i="153"/>
  <c r="M156" i="153" s="1"/>
  <c r="M157" i="153" s="1"/>
  <c r="L156" i="153" l="1"/>
  <c r="L157" i="153" s="1"/>
  <c r="O89" i="153"/>
  <c r="O127" i="153"/>
  <c r="Z89" i="153"/>
  <c r="Y89" i="153"/>
  <c r="X89" i="153"/>
  <c r="W89" i="153"/>
  <c r="V89" i="153"/>
  <c r="T89" i="153"/>
  <c r="O129" i="153" l="1"/>
  <c r="O128" i="153" s="1"/>
  <c r="S89" i="153"/>
  <c r="U89" i="153"/>
  <c r="Q89" i="153"/>
  <c r="P89" i="153"/>
  <c r="N89" i="153" l="1"/>
  <c r="N127" i="153"/>
  <c r="N128" i="153" s="1"/>
  <c r="FL127" i="153" l="1"/>
  <c r="FL128" i="153" s="1"/>
  <c r="J15" i="153" l="1"/>
  <c r="K80" i="153" l="1"/>
  <c r="FC174" i="153"/>
  <c r="FB174" i="153"/>
  <c r="FA174" i="153"/>
  <c r="EZ174" i="153"/>
  <c r="EY174" i="153"/>
  <c r="EX174" i="153"/>
  <c r="EW174" i="153"/>
  <c r="EV174" i="153"/>
  <c r="EU174" i="153"/>
  <c r="ET174" i="153"/>
  <c r="ER174" i="153"/>
  <c r="EQ174" i="153"/>
  <c r="EP174" i="153"/>
  <c r="FC166" i="153"/>
  <c r="FB166" i="153"/>
  <c r="FA166" i="153"/>
  <c r="EZ166" i="153"/>
  <c r="FC156" i="153"/>
  <c r="FC157" i="153" s="1"/>
  <c r="FB156" i="153"/>
  <c r="FB157" i="153" s="1"/>
  <c r="FA156" i="153"/>
  <c r="FA157" i="153" s="1"/>
  <c r="EZ156" i="153"/>
  <c r="EZ157" i="153" s="1"/>
  <c r="EY156" i="153"/>
  <c r="EY157" i="153" s="1"/>
  <c r="EX156" i="153"/>
  <c r="EX157" i="153" s="1"/>
  <c r="EW156" i="153"/>
  <c r="EW157" i="153" s="1"/>
  <c r="EV156" i="153"/>
  <c r="EU156" i="153"/>
  <c r="ET156" i="153"/>
  <c r="ER156" i="153"/>
  <c r="EQ156" i="153"/>
  <c r="EQ157" i="153" s="1"/>
  <c r="EP156" i="153"/>
  <c r="EP157" i="153" s="1"/>
  <c r="FC150" i="153"/>
  <c r="FC151" i="153" s="1"/>
  <c r="FC154" i="153" s="1"/>
  <c r="FB150" i="153"/>
  <c r="FB151" i="153" s="1"/>
  <c r="FB154" i="153" s="1"/>
  <c r="FA150" i="153"/>
  <c r="FA151" i="153" s="1"/>
  <c r="FA154" i="153" s="1"/>
  <c r="EZ150" i="153"/>
  <c r="EZ151" i="153" s="1"/>
  <c r="EZ154" i="153" s="1"/>
  <c r="EY150" i="153"/>
  <c r="EY151" i="153" s="1"/>
  <c r="EY154" i="153" s="1"/>
  <c r="EX150" i="153"/>
  <c r="EX151" i="153" s="1"/>
  <c r="EX154" i="153" s="1"/>
  <c r="EW150" i="153"/>
  <c r="EW151" i="153" s="1"/>
  <c r="EW154" i="153" s="1"/>
  <c r="EV150" i="153"/>
  <c r="EV151" i="153" s="1"/>
  <c r="EV154" i="153" s="1"/>
  <c r="EU150" i="153"/>
  <c r="EU151" i="153" s="1"/>
  <c r="EU154" i="153" s="1"/>
  <c r="ET150" i="153"/>
  <c r="ET151" i="153" s="1"/>
  <c r="ET154" i="153" s="1"/>
  <c r="ER150" i="153"/>
  <c r="ER151" i="153" s="1"/>
  <c r="ER154" i="153" s="1"/>
  <c r="EQ150" i="153"/>
  <c r="EQ151" i="153" s="1"/>
  <c r="EQ154" i="153" s="1"/>
  <c r="EP150" i="153"/>
  <c r="EP151" i="153" s="1"/>
  <c r="EP154" i="153" s="1"/>
  <c r="FC144" i="153"/>
  <c r="FC148" i="153" s="1"/>
  <c r="FB144" i="153"/>
  <c r="FB148" i="153" s="1"/>
  <c r="FA144" i="153"/>
  <c r="FA148" i="153" s="1"/>
  <c r="EZ144" i="153"/>
  <c r="EZ148" i="153" s="1"/>
  <c r="EY144" i="153"/>
  <c r="EY148" i="153" s="1"/>
  <c r="EX144" i="153"/>
  <c r="EX148" i="153" s="1"/>
  <c r="EW144" i="153"/>
  <c r="EW148" i="153" s="1"/>
  <c r="EV144" i="153"/>
  <c r="EV148" i="153" s="1"/>
  <c r="EU144" i="153"/>
  <c r="EU148" i="153" s="1"/>
  <c r="ET144" i="153"/>
  <c r="ET148" i="153" s="1"/>
  <c r="ER144" i="153"/>
  <c r="ER148" i="153" s="1"/>
  <c r="EQ144" i="153"/>
  <c r="EQ148" i="153" s="1"/>
  <c r="EP144" i="153"/>
  <c r="EP148" i="153" s="1"/>
  <c r="FC136" i="153"/>
  <c r="FC140" i="153" s="1"/>
  <c r="FB136" i="153"/>
  <c r="FB140" i="153" s="1"/>
  <c r="FA136" i="153"/>
  <c r="FA140" i="153" s="1"/>
  <c r="EZ136" i="153"/>
  <c r="EZ140" i="153" s="1"/>
  <c r="EY136" i="153"/>
  <c r="EY140" i="153" s="1"/>
  <c r="EX136" i="153"/>
  <c r="EX140" i="153" s="1"/>
  <c r="EW136" i="153"/>
  <c r="EW140" i="153" s="1"/>
  <c r="EV136" i="153"/>
  <c r="EV140" i="153" s="1"/>
  <c r="EU136" i="153"/>
  <c r="EU140" i="153" s="1"/>
  <c r="ET136" i="153"/>
  <c r="ET140" i="153" s="1"/>
  <c r="ER136" i="153"/>
  <c r="ER140" i="153" s="1"/>
  <c r="EQ136" i="153"/>
  <c r="EQ140" i="153" s="1"/>
  <c r="EP136" i="153"/>
  <c r="EP140" i="153" s="1"/>
  <c r="FC127" i="153"/>
  <c r="FC128" i="153" s="1"/>
  <c r="FB127" i="153"/>
  <c r="FB128" i="153" s="1"/>
  <c r="FA127" i="153"/>
  <c r="FA128" i="153" s="1"/>
  <c r="EZ127" i="153"/>
  <c r="EZ128" i="153" s="1"/>
  <c r="EY127" i="153"/>
  <c r="EY128" i="153" s="1"/>
  <c r="EX127" i="153"/>
  <c r="EX128" i="153" s="1"/>
  <c r="EV127" i="153"/>
  <c r="EV128" i="153" s="1"/>
  <c r="EP127" i="153"/>
  <c r="EP128" i="153" s="1"/>
  <c r="EY104" i="153"/>
  <c r="EY166" i="153" s="1"/>
  <c r="EX104" i="153"/>
  <c r="EX166" i="153" s="1"/>
  <c r="EW104" i="153"/>
  <c r="EW166" i="153" s="1"/>
  <c r="EV104" i="153"/>
  <c r="EV166" i="153" s="1"/>
  <c r="EU104" i="153"/>
  <c r="EU166" i="153" s="1"/>
  <c r="ET104" i="153"/>
  <c r="ET166" i="153" s="1"/>
  <c r="ER104" i="153"/>
  <c r="ER166" i="153" s="1"/>
  <c r="EQ104" i="153"/>
  <c r="EQ166" i="153" s="1"/>
  <c r="EP104" i="153"/>
  <c r="EP166" i="153" s="1"/>
  <c r="EW127" i="153"/>
  <c r="EW128" i="153" s="1"/>
  <c r="EU127" i="153"/>
  <c r="EU128" i="153" s="1"/>
  <c r="ET127" i="153"/>
  <c r="EQ127" i="153"/>
  <c r="EQ128" i="153" s="1"/>
  <c r="ER157" i="153" l="1"/>
  <c r="ER161" i="153" s="1"/>
  <c r="ET157" i="153"/>
  <c r="ET162" i="153" s="1"/>
  <c r="ET163" i="153" s="1"/>
  <c r="ET128" i="153"/>
  <c r="ET133" i="153" s="1"/>
  <c r="ET134" i="153" s="1"/>
  <c r="EU157" i="153"/>
  <c r="EU162" i="153" s="1"/>
  <c r="EU163" i="153" s="1"/>
  <c r="EV157" i="153"/>
  <c r="EV161" i="153" s="1"/>
  <c r="EV133" i="153"/>
  <c r="EV134" i="153" s="1"/>
  <c r="EV132" i="153"/>
  <c r="EX133" i="153"/>
  <c r="EX134" i="153" s="1"/>
  <c r="EX132" i="153"/>
  <c r="FB162" i="153"/>
  <c r="FB163" i="153" s="1"/>
  <c r="FB161" i="153"/>
  <c r="EQ133" i="153"/>
  <c r="EQ134" i="153" s="1"/>
  <c r="EQ132" i="153"/>
  <c r="EQ162" i="153"/>
  <c r="EQ163" i="153" s="1"/>
  <c r="EQ161" i="153"/>
  <c r="ER127" i="153"/>
  <c r="ER128" i="153" s="1"/>
  <c r="EW162" i="153"/>
  <c r="EW163" i="153" s="1"/>
  <c r="EW161" i="153"/>
  <c r="ER162" i="153"/>
  <c r="ER163" i="153" s="1"/>
  <c r="ET132" i="153" l="1"/>
  <c r="ET161" i="153"/>
  <c r="EU161" i="153"/>
  <c r="EV162" i="153"/>
  <c r="EV163" i="153" s="1"/>
  <c r="FB133" i="153"/>
  <c r="FB134" i="153" s="1"/>
  <c r="FB132" i="153"/>
  <c r="FA133" i="153"/>
  <c r="FA134" i="153" s="1"/>
  <c r="FA132" i="153"/>
  <c r="EZ162" i="153"/>
  <c r="EZ163" i="153" s="1"/>
  <c r="EZ161" i="153"/>
  <c r="EX162" i="153"/>
  <c r="EX163" i="153" s="1"/>
  <c r="EX161" i="153"/>
  <c r="EY133" i="153"/>
  <c r="EY134" i="153" s="1"/>
  <c r="EY132" i="153"/>
  <c r="EU132" i="153"/>
  <c r="EU133" i="153"/>
  <c r="EU134" i="153" s="1"/>
  <c r="EP161" i="153"/>
  <c r="EP162" i="153"/>
  <c r="EP163" i="153" s="1"/>
  <c r="EW133" i="153"/>
  <c r="EW134" i="153" s="1"/>
  <c r="EW132" i="153"/>
  <c r="FA162" i="153"/>
  <c r="FA163" i="153" s="1"/>
  <c r="FA161" i="153"/>
  <c r="EZ132" i="153"/>
  <c r="EZ133" i="153"/>
  <c r="EZ134" i="153" s="1"/>
  <c r="EY162" i="153"/>
  <c r="EY163" i="153" s="1"/>
  <c r="EY161" i="153"/>
  <c r="FC161" i="153"/>
  <c r="FC162" i="153"/>
  <c r="FC163" i="153" s="1"/>
  <c r="FC132" i="153"/>
  <c r="FC133" i="153"/>
  <c r="FC134" i="153" s="1"/>
  <c r="EP132" i="153"/>
  <c r="EP133" i="153"/>
  <c r="EP134" i="153" s="1"/>
  <c r="ER132" i="153" l="1"/>
  <c r="ER133" i="153"/>
  <c r="ER134" i="153" s="1"/>
  <c r="EM174" i="153" l="1"/>
  <c r="EM166" i="153"/>
  <c r="EM144" i="153"/>
  <c r="EM148" i="153" s="1"/>
  <c r="EM136" i="153"/>
  <c r="EM140" i="153" s="1"/>
  <c r="EM150" i="153"/>
  <c r="EM151" i="153" s="1"/>
  <c r="EM154" i="153" s="1"/>
  <c r="EM156" i="153"/>
  <c r="EM157" i="153" s="1"/>
  <c r="EL174" i="153"/>
  <c r="EL166" i="153"/>
  <c r="EL144" i="153"/>
  <c r="EL148" i="153" s="1"/>
  <c r="EL136" i="153"/>
  <c r="EL140" i="153" s="1"/>
  <c r="EL150" i="153"/>
  <c r="EL151" i="153" s="1"/>
  <c r="EL154" i="153" s="1"/>
  <c r="EL156" i="153"/>
  <c r="EL157" i="153" s="1"/>
  <c r="EM127" i="153" l="1"/>
  <c r="EM128" i="153" s="1"/>
  <c r="EM93" i="153"/>
  <c r="EL93" i="153"/>
  <c r="EL127" i="153"/>
  <c r="EL128" i="153" s="1"/>
  <c r="EF144" i="153"/>
  <c r="EF148" i="153" s="1"/>
  <c r="EF136" i="153"/>
  <c r="EF140" i="153" s="1"/>
  <c r="EF150" i="153"/>
  <c r="EF151" i="153" s="1"/>
  <c r="EF154" i="153" s="1"/>
  <c r="EF127" i="153"/>
  <c r="EF128" i="153" s="1"/>
  <c r="ED144" i="153"/>
  <c r="ED148" i="153" s="1"/>
  <c r="ED136" i="153"/>
  <c r="ED140" i="153" s="1"/>
  <c r="ED150" i="153"/>
  <c r="ED151" i="153" s="1"/>
  <c r="ED154" i="153" s="1"/>
  <c r="ED127" i="153"/>
  <c r="ED128" i="153" s="1"/>
  <c r="EE150" i="153"/>
  <c r="EE151" i="153" s="1"/>
  <c r="EE154" i="153" s="1"/>
  <c r="EC150" i="153"/>
  <c r="EC151" i="153" s="1"/>
  <c r="EC154" i="153" s="1"/>
  <c r="EB150" i="153"/>
  <c r="EB151" i="153" s="1"/>
  <c r="EB154" i="153" s="1"/>
  <c r="EE144" i="153"/>
  <c r="EE148" i="153" s="1"/>
  <c r="EC144" i="153"/>
  <c r="EC148" i="153" s="1"/>
  <c r="EB144" i="153"/>
  <c r="EB148" i="153" s="1"/>
  <c r="EE136" i="153"/>
  <c r="EE140" i="153" s="1"/>
  <c r="EC136" i="153"/>
  <c r="EC140" i="153" s="1"/>
  <c r="EB136" i="153"/>
  <c r="EB140" i="153" s="1"/>
  <c r="EE127" i="153"/>
  <c r="EE128" i="153" s="1"/>
  <c r="EC127" i="153"/>
  <c r="EC128" i="153" s="1"/>
  <c r="EB89" i="153"/>
  <c r="EB156" i="153" s="1"/>
  <c r="EB157" i="153" s="1"/>
  <c r="DZ144" i="153"/>
  <c r="DZ148" i="153" s="1"/>
  <c r="DZ136" i="153"/>
  <c r="DZ140" i="153" s="1"/>
  <c r="DZ150" i="153"/>
  <c r="DZ151" i="153" s="1"/>
  <c r="DZ154" i="153" s="1"/>
  <c r="DZ89" i="153"/>
  <c r="DZ156" i="153" s="1"/>
  <c r="DZ157" i="153" s="1"/>
  <c r="EM162" i="153" l="1"/>
  <c r="EM163" i="153" s="1"/>
  <c r="EM161" i="153"/>
  <c r="EL162" i="153"/>
  <c r="EL163" i="153" s="1"/>
  <c r="EL161" i="153"/>
  <c r="DZ127" i="153"/>
  <c r="EF89" i="153"/>
  <c r="EF156" i="153" s="1"/>
  <c r="EF157" i="153" s="1"/>
  <c r="ED89" i="153"/>
  <c r="ED156" i="153" s="1"/>
  <c r="ED157" i="153" s="1"/>
  <c r="EC89" i="153"/>
  <c r="EC156" i="153" s="1"/>
  <c r="EC157" i="153" s="1"/>
  <c r="EE89" i="153"/>
  <c r="EE156" i="153" s="1"/>
  <c r="EE157" i="153" s="1"/>
  <c r="EB127" i="153"/>
  <c r="EB128" i="153" s="1"/>
  <c r="DY144" i="153"/>
  <c r="DY148" i="153" s="1"/>
  <c r="DX144" i="153"/>
  <c r="DX148" i="153" s="1"/>
  <c r="DW144" i="153"/>
  <c r="DW148" i="153" s="1"/>
  <c r="DV144" i="153"/>
  <c r="DV148" i="153" s="1"/>
  <c r="DU144" i="153"/>
  <c r="DU148" i="153" s="1"/>
  <c r="DT144" i="153"/>
  <c r="DT148" i="153" s="1"/>
  <c r="DS144" i="153"/>
  <c r="DS148" i="153" s="1"/>
  <c r="DR144" i="153"/>
  <c r="DR148" i="153" s="1"/>
  <c r="DQ144" i="153"/>
  <c r="DQ148" i="153" s="1"/>
  <c r="DP144" i="153"/>
  <c r="DP148" i="153" s="1"/>
  <c r="DY136" i="153"/>
  <c r="DY140" i="153" s="1"/>
  <c r="DX136" i="153"/>
  <c r="DX140" i="153" s="1"/>
  <c r="DW136" i="153"/>
  <c r="DW140" i="153" s="1"/>
  <c r="DV136" i="153"/>
  <c r="DV140" i="153" s="1"/>
  <c r="DU136" i="153"/>
  <c r="DU140" i="153" s="1"/>
  <c r="DT136" i="153"/>
  <c r="DT140" i="153" s="1"/>
  <c r="DS136" i="153"/>
  <c r="DS140" i="153" s="1"/>
  <c r="DR136" i="153"/>
  <c r="DR140" i="153" s="1"/>
  <c r="DQ136" i="153"/>
  <c r="DQ140" i="153" s="1"/>
  <c r="DP136" i="153"/>
  <c r="DP140" i="153" s="1"/>
  <c r="DY150" i="153"/>
  <c r="DY151" i="153" s="1"/>
  <c r="DY154" i="153" s="1"/>
  <c r="DX150" i="153"/>
  <c r="DX151" i="153" s="1"/>
  <c r="DX154" i="153" s="1"/>
  <c r="DW150" i="153"/>
  <c r="DW151" i="153" s="1"/>
  <c r="DW154" i="153" s="1"/>
  <c r="DV150" i="153"/>
  <c r="DV151" i="153" s="1"/>
  <c r="DV154" i="153" s="1"/>
  <c r="DU150" i="153"/>
  <c r="DU151" i="153" s="1"/>
  <c r="DU154" i="153" s="1"/>
  <c r="DT150" i="153"/>
  <c r="DT151" i="153" s="1"/>
  <c r="DT154" i="153" s="1"/>
  <c r="DS150" i="153"/>
  <c r="DS151" i="153" s="1"/>
  <c r="DS154" i="153" s="1"/>
  <c r="DR150" i="153"/>
  <c r="DR151" i="153" s="1"/>
  <c r="DR154" i="153" s="1"/>
  <c r="DQ150" i="153"/>
  <c r="DQ151" i="153" s="1"/>
  <c r="DQ154" i="153" s="1"/>
  <c r="DP150" i="153"/>
  <c r="DP151" i="153" s="1"/>
  <c r="DP154" i="153" s="1"/>
  <c r="DY127" i="153"/>
  <c r="DY128" i="153" s="1"/>
  <c r="DX127" i="153"/>
  <c r="DW127" i="153"/>
  <c r="DV127" i="153"/>
  <c r="DU127" i="153"/>
  <c r="DT127" i="153"/>
  <c r="DS127" i="153"/>
  <c r="DR127" i="153"/>
  <c r="DQ127" i="153"/>
  <c r="DP89" i="153"/>
  <c r="DP156" i="153" s="1"/>
  <c r="DP157" i="153" s="1"/>
  <c r="DO144" i="153"/>
  <c r="DO148" i="153" s="1"/>
  <c r="DN144" i="153"/>
  <c r="DN148" i="153" s="1"/>
  <c r="DM144" i="153"/>
  <c r="DM148" i="153" s="1"/>
  <c r="DL144" i="153"/>
  <c r="DL148" i="153" s="1"/>
  <c r="DK144" i="153"/>
  <c r="DK148" i="153" s="1"/>
  <c r="DJ144" i="153"/>
  <c r="DJ148" i="153" s="1"/>
  <c r="DI144" i="153"/>
  <c r="DI148" i="153" s="1"/>
  <c r="DH144" i="153"/>
  <c r="DH148" i="153" s="1"/>
  <c r="DG144" i="153"/>
  <c r="DG148" i="153" s="1"/>
  <c r="DF144" i="153"/>
  <c r="DF148" i="153" s="1"/>
  <c r="DE144" i="153"/>
  <c r="DE148" i="153" s="1"/>
  <c r="DD144" i="153"/>
  <c r="DD148" i="153" s="1"/>
  <c r="DO136" i="153"/>
  <c r="DO140" i="153" s="1"/>
  <c r="DN136" i="153"/>
  <c r="DN140" i="153" s="1"/>
  <c r="DM136" i="153"/>
  <c r="DM140" i="153" s="1"/>
  <c r="DL136" i="153"/>
  <c r="DL140" i="153" s="1"/>
  <c r="DK136" i="153"/>
  <c r="DK140" i="153" s="1"/>
  <c r="DJ136" i="153"/>
  <c r="DJ140" i="153" s="1"/>
  <c r="DI136" i="153"/>
  <c r="DI140" i="153" s="1"/>
  <c r="DH136" i="153"/>
  <c r="DH140" i="153" s="1"/>
  <c r="DG136" i="153"/>
  <c r="DG140" i="153" s="1"/>
  <c r="DF136" i="153"/>
  <c r="DF140" i="153" s="1"/>
  <c r="DE136" i="153"/>
  <c r="DE140" i="153" s="1"/>
  <c r="DD136" i="153"/>
  <c r="DD140" i="153" s="1"/>
  <c r="DO150" i="153"/>
  <c r="DO151" i="153" s="1"/>
  <c r="DO154" i="153" s="1"/>
  <c r="DN150" i="153"/>
  <c r="DN151" i="153" s="1"/>
  <c r="DN154" i="153" s="1"/>
  <c r="DM150" i="153"/>
  <c r="DM151" i="153" s="1"/>
  <c r="DM154" i="153" s="1"/>
  <c r="DL150" i="153"/>
  <c r="DL151" i="153" s="1"/>
  <c r="DL154" i="153" s="1"/>
  <c r="DK150" i="153"/>
  <c r="DK151" i="153" s="1"/>
  <c r="DK154" i="153" s="1"/>
  <c r="DJ150" i="153"/>
  <c r="DJ151" i="153" s="1"/>
  <c r="DJ154" i="153" s="1"/>
  <c r="DI150" i="153"/>
  <c r="DI151" i="153" s="1"/>
  <c r="DI154" i="153" s="1"/>
  <c r="DH150" i="153"/>
  <c r="DH151" i="153" s="1"/>
  <c r="DH154" i="153" s="1"/>
  <c r="DG150" i="153"/>
  <c r="DG151" i="153" s="1"/>
  <c r="DG154" i="153" s="1"/>
  <c r="DF150" i="153"/>
  <c r="DF151" i="153" s="1"/>
  <c r="DF154" i="153" s="1"/>
  <c r="DE150" i="153"/>
  <c r="DE151" i="153" s="1"/>
  <c r="DE154" i="153" s="1"/>
  <c r="DD150" i="153"/>
  <c r="DD151" i="153" s="1"/>
  <c r="DD154" i="153" s="1"/>
  <c r="DO127" i="153"/>
  <c r="DN127" i="153"/>
  <c r="DM127" i="153"/>
  <c r="DL127" i="153"/>
  <c r="DK127" i="153"/>
  <c r="DJ127" i="153"/>
  <c r="DI127" i="153"/>
  <c r="DH127" i="153"/>
  <c r="DG127" i="153"/>
  <c r="DF127" i="153"/>
  <c r="DE127" i="153"/>
  <c r="DE128" i="153" s="1"/>
  <c r="DD127" i="153"/>
  <c r="DC144" i="153"/>
  <c r="DC148" i="153" s="1"/>
  <c r="DB144" i="153"/>
  <c r="DB148" i="153" s="1"/>
  <c r="DA144" i="153"/>
  <c r="DA148" i="153" s="1"/>
  <c r="CZ144" i="153"/>
  <c r="CZ148" i="153" s="1"/>
  <c r="CY144" i="153"/>
  <c r="CY148" i="153" s="1"/>
  <c r="CX144" i="153"/>
  <c r="CX148" i="153" s="1"/>
  <c r="CW144" i="153"/>
  <c r="CW148" i="153" s="1"/>
  <c r="CV144" i="153"/>
  <c r="CV148" i="153" s="1"/>
  <c r="CU144" i="153"/>
  <c r="CU148" i="153" s="1"/>
  <c r="CT144" i="153"/>
  <c r="CT148" i="153" s="1"/>
  <c r="CS144" i="153"/>
  <c r="CS148" i="153" s="1"/>
  <c r="CR144" i="153"/>
  <c r="CR148" i="153" s="1"/>
  <c r="DC136" i="153"/>
  <c r="DC140" i="153" s="1"/>
  <c r="DB136" i="153"/>
  <c r="DB140" i="153" s="1"/>
  <c r="DA136" i="153"/>
  <c r="DA140" i="153" s="1"/>
  <c r="CZ136" i="153"/>
  <c r="CZ140" i="153" s="1"/>
  <c r="CY136" i="153"/>
  <c r="CY140" i="153" s="1"/>
  <c r="CX136" i="153"/>
  <c r="CX140" i="153" s="1"/>
  <c r="CW136" i="153"/>
  <c r="CW140" i="153" s="1"/>
  <c r="CV136" i="153"/>
  <c r="CV140" i="153" s="1"/>
  <c r="CU136" i="153"/>
  <c r="CU140" i="153" s="1"/>
  <c r="CT136" i="153"/>
  <c r="CT140" i="153" s="1"/>
  <c r="CS136" i="153"/>
  <c r="CS140" i="153" s="1"/>
  <c r="CR136" i="153"/>
  <c r="CR140" i="153" s="1"/>
  <c r="DC150" i="153"/>
  <c r="DC151" i="153" s="1"/>
  <c r="DC154" i="153" s="1"/>
  <c r="DB150" i="153"/>
  <c r="DB151" i="153" s="1"/>
  <c r="DB154" i="153" s="1"/>
  <c r="DA150" i="153"/>
  <c r="DA151" i="153" s="1"/>
  <c r="DA154" i="153" s="1"/>
  <c r="CZ150" i="153"/>
  <c r="CZ151" i="153" s="1"/>
  <c r="CZ154" i="153" s="1"/>
  <c r="CY150" i="153"/>
  <c r="CY151" i="153" s="1"/>
  <c r="CY154" i="153" s="1"/>
  <c r="CX150" i="153"/>
  <c r="CX151" i="153" s="1"/>
  <c r="CX154" i="153" s="1"/>
  <c r="CW150" i="153"/>
  <c r="CW151" i="153" s="1"/>
  <c r="CW154" i="153" s="1"/>
  <c r="CV150" i="153"/>
  <c r="CV151" i="153" s="1"/>
  <c r="CV154" i="153" s="1"/>
  <c r="CU150" i="153"/>
  <c r="CU151" i="153" s="1"/>
  <c r="CU154" i="153" s="1"/>
  <c r="CT150" i="153"/>
  <c r="CT151" i="153" s="1"/>
  <c r="CT154" i="153" s="1"/>
  <c r="CS150" i="153"/>
  <c r="CS151" i="153" s="1"/>
  <c r="CS154" i="153" s="1"/>
  <c r="CR150" i="153"/>
  <c r="CR151" i="153" s="1"/>
  <c r="CR154" i="153" s="1"/>
  <c r="DC127" i="153"/>
  <c r="DC128" i="153" s="1"/>
  <c r="DB127" i="153"/>
  <c r="DA127" i="153"/>
  <c r="CZ127" i="153"/>
  <c r="CY127" i="153"/>
  <c r="CX127" i="153"/>
  <c r="CW127" i="153"/>
  <c r="CV127" i="153"/>
  <c r="CU127" i="153"/>
  <c r="CT127" i="153"/>
  <c r="CT128" i="153" s="1"/>
  <c r="CS127" i="153"/>
  <c r="CS128" i="153" s="1"/>
  <c r="CR127" i="153"/>
  <c r="CR128" i="153" s="1"/>
  <c r="CQ144" i="153"/>
  <c r="CQ148" i="153" s="1"/>
  <c r="CP144" i="153"/>
  <c r="CP148" i="153" s="1"/>
  <c r="CO144" i="153"/>
  <c r="CO148" i="153" s="1"/>
  <c r="CN144" i="153"/>
  <c r="CN148" i="153" s="1"/>
  <c r="CM144" i="153"/>
  <c r="CM148" i="153" s="1"/>
  <c r="CL144" i="153"/>
  <c r="CL148" i="153" s="1"/>
  <c r="CQ136" i="153"/>
  <c r="CQ140" i="153" s="1"/>
  <c r="CP136" i="153"/>
  <c r="CP140" i="153" s="1"/>
  <c r="CO136" i="153"/>
  <c r="CO140" i="153" s="1"/>
  <c r="CN136" i="153"/>
  <c r="CN140" i="153" s="1"/>
  <c r="CM136" i="153"/>
  <c r="CM140" i="153" s="1"/>
  <c r="CL136" i="153"/>
  <c r="CL140" i="153" s="1"/>
  <c r="CQ150" i="153"/>
  <c r="CQ151" i="153" s="1"/>
  <c r="CQ154" i="153" s="1"/>
  <c r="CP150" i="153"/>
  <c r="CP151" i="153" s="1"/>
  <c r="CP154" i="153" s="1"/>
  <c r="CO150" i="153"/>
  <c r="CO151" i="153" s="1"/>
  <c r="CO154" i="153" s="1"/>
  <c r="CN150" i="153"/>
  <c r="CN151" i="153" s="1"/>
  <c r="CN154" i="153" s="1"/>
  <c r="CM150" i="153"/>
  <c r="CM151" i="153" s="1"/>
  <c r="CM154" i="153" s="1"/>
  <c r="CL150" i="153"/>
  <c r="CL151" i="153" s="1"/>
  <c r="CL154" i="153" s="1"/>
  <c r="CQ127" i="153"/>
  <c r="CQ128" i="153" s="1"/>
  <c r="CP127" i="153"/>
  <c r="CO127" i="153"/>
  <c r="CO130" i="153" s="1"/>
  <c r="CN127" i="153"/>
  <c r="CM127" i="153"/>
  <c r="CL127" i="153"/>
  <c r="CK144" i="153"/>
  <c r="CK148" i="153" s="1"/>
  <c r="CJ144" i="153"/>
  <c r="CJ148" i="153" s="1"/>
  <c r="CI144" i="153"/>
  <c r="CI148" i="153" s="1"/>
  <c r="CK136" i="153"/>
  <c r="CK140" i="153" s="1"/>
  <c r="CJ136" i="153"/>
  <c r="CJ140" i="153" s="1"/>
  <c r="CI136" i="153"/>
  <c r="CI140" i="153" s="1"/>
  <c r="CK150" i="153"/>
  <c r="CK151" i="153" s="1"/>
  <c r="CK154" i="153" s="1"/>
  <c r="CJ150" i="153"/>
  <c r="CJ151" i="153" s="1"/>
  <c r="CJ154" i="153" s="1"/>
  <c r="CI150" i="153"/>
  <c r="CI151" i="153" s="1"/>
  <c r="CI154" i="153" s="1"/>
  <c r="CK127" i="153"/>
  <c r="CJ127" i="153"/>
  <c r="CH144" i="153"/>
  <c r="CH148" i="153" s="1"/>
  <c r="CH136" i="153"/>
  <c r="CH140" i="153" s="1"/>
  <c r="CH150" i="153"/>
  <c r="CH151" i="153" s="1"/>
  <c r="CH154" i="153" s="1"/>
  <c r="CH127" i="153"/>
  <c r="CG144" i="153"/>
  <c r="CG148" i="153" s="1"/>
  <c r="CG136" i="153"/>
  <c r="CG140" i="153" s="1"/>
  <c r="CG150" i="153"/>
  <c r="CG151" i="153" s="1"/>
  <c r="CG154" i="153" s="1"/>
  <c r="CG127" i="153"/>
  <c r="CG128" i="153" s="1"/>
  <c r="CK128" i="153" l="1"/>
  <c r="CZ129" i="153"/>
  <c r="CL129" i="153"/>
  <c r="DS128" i="153"/>
  <c r="CY128" i="153"/>
  <c r="DG128" i="153"/>
  <c r="CW130" i="153"/>
  <c r="CV128" i="153"/>
  <c r="DF129" i="153"/>
  <c r="DF128" i="153" s="1"/>
  <c r="DR129" i="153"/>
  <c r="DR128" i="153" s="1"/>
  <c r="CU129" i="153"/>
  <c r="CU128" i="153" s="1"/>
  <c r="DH129" i="153"/>
  <c r="DH128" i="153" s="1"/>
  <c r="DT130" i="153"/>
  <c r="DT128" i="153" s="1"/>
  <c r="DI128" i="153"/>
  <c r="DU129" i="153"/>
  <c r="CX128" i="153"/>
  <c r="DJ130" i="153"/>
  <c r="DJ128" i="153" s="1"/>
  <c r="DV128" i="153"/>
  <c r="DK129" i="153"/>
  <c r="DW129" i="153"/>
  <c r="DW128" i="153" s="1"/>
  <c r="DL128" i="153"/>
  <c r="DX128" i="153"/>
  <c r="DA128" i="153"/>
  <c r="DM129" i="153"/>
  <c r="DM128" i="153" s="1"/>
  <c r="DZ128" i="153"/>
  <c r="DZ132" i="153" s="1"/>
  <c r="CH129" i="153"/>
  <c r="CH128" i="153" s="1"/>
  <c r="DB131" i="153"/>
  <c r="DB128" i="153" s="1"/>
  <c r="DN128" i="153"/>
  <c r="DO130" i="153"/>
  <c r="DO128" i="153" s="1"/>
  <c r="CP131" i="153"/>
  <c r="CN128" i="153" s="1"/>
  <c r="DD130" i="153"/>
  <c r="DD128" i="153"/>
  <c r="CM130" i="153"/>
  <c r="CM128" i="153" s="1"/>
  <c r="EM133" i="153"/>
  <c r="EM134" i="153" s="1"/>
  <c r="EM132" i="153"/>
  <c r="EL132" i="153"/>
  <c r="EL133" i="153"/>
  <c r="EL134" i="153" s="1"/>
  <c r="CI89" i="153"/>
  <c r="CI156" i="153" s="1"/>
  <c r="CI157" i="153" s="1"/>
  <c r="EF133" i="153"/>
  <c r="EF134" i="153" s="1"/>
  <c r="EF132" i="153"/>
  <c r="ED133" i="153"/>
  <c r="ED134" i="153" s="1"/>
  <c r="ED132" i="153"/>
  <c r="EE133" i="153"/>
  <c r="EE134" i="153" s="1"/>
  <c r="EE132" i="153"/>
  <c r="EB161" i="153"/>
  <c r="EB162" i="153"/>
  <c r="EB163" i="153" s="1"/>
  <c r="EC133" i="153"/>
  <c r="EC134" i="153" s="1"/>
  <c r="EC132" i="153"/>
  <c r="DZ162" i="153"/>
  <c r="DZ163" i="153" s="1"/>
  <c r="DZ161" i="153"/>
  <c r="DP127" i="153"/>
  <c r="DP129" i="153" s="1"/>
  <c r="DQ89" i="153"/>
  <c r="DQ156" i="153" s="1"/>
  <c r="DQ157" i="153" s="1"/>
  <c r="DR89" i="153"/>
  <c r="DR156" i="153" s="1"/>
  <c r="DR157" i="153" s="1"/>
  <c r="DS89" i="153"/>
  <c r="DS156" i="153" s="1"/>
  <c r="DS157" i="153" s="1"/>
  <c r="DT89" i="153"/>
  <c r="DT156" i="153" s="1"/>
  <c r="DT157" i="153" s="1"/>
  <c r="DU89" i="153"/>
  <c r="DU156" i="153" s="1"/>
  <c r="DU157" i="153" s="1"/>
  <c r="DV89" i="153"/>
  <c r="DV156" i="153" s="1"/>
  <c r="DV157" i="153" s="1"/>
  <c r="DW156" i="153"/>
  <c r="DX156" i="153"/>
  <c r="DY89" i="153"/>
  <c r="DY156" i="153" s="1"/>
  <c r="DY157" i="153" s="1"/>
  <c r="DD89" i="153"/>
  <c r="DD156" i="153" s="1"/>
  <c r="DD157" i="153" s="1"/>
  <c r="DE89" i="153"/>
  <c r="DE156" i="153" s="1"/>
  <c r="DE157" i="153" s="1"/>
  <c r="DF89" i="153"/>
  <c r="DF156" i="153" s="1"/>
  <c r="DF157" i="153" s="1"/>
  <c r="DG89" i="153"/>
  <c r="DG156" i="153" s="1"/>
  <c r="DG157" i="153" s="1"/>
  <c r="DH89" i="153"/>
  <c r="DH156" i="153" s="1"/>
  <c r="DH157" i="153" s="1"/>
  <c r="DI89" i="153"/>
  <c r="DI156" i="153" s="1"/>
  <c r="DI157" i="153" s="1"/>
  <c r="DJ89" i="153"/>
  <c r="DJ156" i="153" s="1"/>
  <c r="DJ157" i="153" s="1"/>
  <c r="DK89" i="153"/>
  <c r="DK156" i="153" s="1"/>
  <c r="DK157" i="153" s="1"/>
  <c r="DL89" i="153"/>
  <c r="DL156" i="153" s="1"/>
  <c r="DL157" i="153" s="1"/>
  <c r="DM89" i="153"/>
  <c r="DM156" i="153" s="1"/>
  <c r="DM157" i="153" s="1"/>
  <c r="DN89" i="153"/>
  <c r="DN156" i="153" s="1"/>
  <c r="DN157" i="153" s="1"/>
  <c r="DO89" i="153"/>
  <c r="DO156" i="153" s="1"/>
  <c r="DO157" i="153" s="1"/>
  <c r="CS89" i="153"/>
  <c r="CS156" i="153" s="1"/>
  <c r="CS157" i="153" s="1"/>
  <c r="CT89" i="153"/>
  <c r="CT156" i="153" s="1"/>
  <c r="CT157" i="153" s="1"/>
  <c r="CR89" i="153"/>
  <c r="CR156" i="153" s="1"/>
  <c r="CR157" i="153" s="1"/>
  <c r="CU89" i="153"/>
  <c r="CU156" i="153" s="1"/>
  <c r="CU157" i="153" s="1"/>
  <c r="CV89" i="153"/>
  <c r="CV156" i="153" s="1"/>
  <c r="CV157" i="153" s="1"/>
  <c r="CW89" i="153"/>
  <c r="CW156" i="153" s="1"/>
  <c r="CW157" i="153" s="1"/>
  <c r="CX89" i="153"/>
  <c r="CX156" i="153" s="1"/>
  <c r="CX157" i="153" s="1"/>
  <c r="CY89" i="153"/>
  <c r="CY156" i="153" s="1"/>
  <c r="CY157" i="153" s="1"/>
  <c r="CZ89" i="153"/>
  <c r="CZ156" i="153" s="1"/>
  <c r="CZ157" i="153" s="1"/>
  <c r="DA89" i="153"/>
  <c r="DA156" i="153" s="1"/>
  <c r="DA157" i="153" s="1"/>
  <c r="DB89" i="153"/>
  <c r="DB156" i="153" s="1"/>
  <c r="DB157" i="153" s="1"/>
  <c r="DC89" i="153"/>
  <c r="DC156" i="153" s="1"/>
  <c r="DC157" i="153" s="1"/>
  <c r="CL89" i="153"/>
  <c r="CL156" i="153" s="1"/>
  <c r="CL157" i="153" s="1"/>
  <c r="CM89" i="153"/>
  <c r="CM156" i="153" s="1"/>
  <c r="CM157" i="153" s="1"/>
  <c r="CN89" i="153"/>
  <c r="CN156" i="153" s="1"/>
  <c r="CN157" i="153" s="1"/>
  <c r="CO89" i="153"/>
  <c r="CO156" i="153" s="1"/>
  <c r="CO157" i="153" s="1"/>
  <c r="CP89" i="153"/>
  <c r="CP156" i="153" s="1"/>
  <c r="CP157" i="153" s="1"/>
  <c r="CQ89" i="153"/>
  <c r="CQ156" i="153" s="1"/>
  <c r="CQ157" i="153" s="1"/>
  <c r="CJ89" i="153"/>
  <c r="CJ156" i="153" s="1"/>
  <c r="CJ157" i="153" s="1"/>
  <c r="CK89" i="153"/>
  <c r="CK156" i="153" s="1"/>
  <c r="CK157" i="153" s="1"/>
  <c r="CI127" i="153"/>
  <c r="CI128" i="153" s="1"/>
  <c r="CH89" i="153"/>
  <c r="CH156" i="153" s="1"/>
  <c r="CH157" i="153" s="1"/>
  <c r="CG89" i="153"/>
  <c r="CG156" i="153" s="1"/>
  <c r="CG157" i="153" s="1"/>
  <c r="K105" i="28"/>
  <c r="J106" i="28"/>
  <c r="N99" i="28"/>
  <c r="E33" i="8" s="1"/>
  <c r="G33" i="8" s="1"/>
  <c r="DZ133" i="153" l="1"/>
  <c r="DZ134" i="153" s="1"/>
  <c r="DQ128" i="153"/>
  <c r="DQ133" i="153" s="1"/>
  <c r="DQ134" i="153" s="1"/>
  <c r="CP128" i="153"/>
  <c r="CJ128" i="153"/>
  <c r="EF162" i="153"/>
  <c r="EF163" i="153" s="1"/>
  <c r="EF161" i="153"/>
  <c r="ED162" i="153"/>
  <c r="ED163" i="153" s="1"/>
  <c r="ED161" i="153"/>
  <c r="EC162" i="153"/>
  <c r="EC163" i="153" s="1"/>
  <c r="EC161" i="153"/>
  <c r="EE162" i="153"/>
  <c r="EE163" i="153" s="1"/>
  <c r="EE161" i="153"/>
  <c r="EB133" i="153"/>
  <c r="EB134" i="153" s="1"/>
  <c r="EB132" i="153"/>
  <c r="DT133" i="153"/>
  <c r="DT134" i="153" s="1"/>
  <c r="DT132" i="153"/>
  <c r="DR133" i="153"/>
  <c r="DR134" i="153" s="1"/>
  <c r="DR132" i="153"/>
  <c r="DW133" i="153"/>
  <c r="DW134" i="153" s="1"/>
  <c r="DW132" i="153"/>
  <c r="DP161" i="153"/>
  <c r="DP162" i="153"/>
  <c r="DP163" i="153" s="1"/>
  <c r="DY133" i="153"/>
  <c r="DY134" i="153" s="1"/>
  <c r="DY132" i="153"/>
  <c r="DV133" i="153"/>
  <c r="DV134" i="153" s="1"/>
  <c r="DV132" i="153"/>
  <c r="DU133" i="153"/>
  <c r="DU134" i="153" s="1"/>
  <c r="DU132" i="153"/>
  <c r="DS133" i="153"/>
  <c r="DS134" i="153" s="1"/>
  <c r="DS132" i="153"/>
  <c r="DX133" i="153"/>
  <c r="DX134" i="153" s="1"/>
  <c r="DX132" i="153"/>
  <c r="DO133" i="153"/>
  <c r="DO134" i="153" s="1"/>
  <c r="DO132" i="153"/>
  <c r="DK133" i="153"/>
  <c r="DK134" i="153" s="1"/>
  <c r="DK132" i="153"/>
  <c r="DM133" i="153"/>
  <c r="DM134" i="153" s="1"/>
  <c r="DM132" i="153"/>
  <c r="DE133" i="153"/>
  <c r="DE134" i="153" s="1"/>
  <c r="DE132" i="153"/>
  <c r="DJ133" i="153"/>
  <c r="DJ134" i="153" s="1"/>
  <c r="DJ132" i="153"/>
  <c r="DI133" i="153"/>
  <c r="DI134" i="153" s="1"/>
  <c r="DI132" i="153"/>
  <c r="DH133" i="153"/>
  <c r="DH134" i="153" s="1"/>
  <c r="DH132" i="153"/>
  <c r="DG133" i="153"/>
  <c r="DG134" i="153" s="1"/>
  <c r="DG132" i="153"/>
  <c r="DN133" i="153"/>
  <c r="DN134" i="153" s="1"/>
  <c r="DN132" i="153"/>
  <c r="DF133" i="153"/>
  <c r="DF134" i="153" s="1"/>
  <c r="DF132" i="153"/>
  <c r="DL133" i="153"/>
  <c r="DL134" i="153" s="1"/>
  <c r="DL132" i="153"/>
  <c r="DD133" i="153"/>
  <c r="DD134" i="153" s="1"/>
  <c r="DD132" i="153"/>
  <c r="CR132" i="153"/>
  <c r="CR133" i="153"/>
  <c r="CR134" i="153" s="1"/>
  <c r="CX133" i="153"/>
  <c r="CX134" i="153" s="1"/>
  <c r="CX132" i="153"/>
  <c r="DA133" i="153"/>
  <c r="DA134" i="153" s="1"/>
  <c r="DA132" i="153"/>
  <c r="CU133" i="153"/>
  <c r="CU134" i="153" s="1"/>
  <c r="CU132" i="153"/>
  <c r="CT133" i="153"/>
  <c r="CT134" i="153" s="1"/>
  <c r="CT132" i="153"/>
  <c r="DB133" i="153"/>
  <c r="DB134" i="153" s="1"/>
  <c r="DB132" i="153"/>
  <c r="DC133" i="153"/>
  <c r="DC134" i="153" s="1"/>
  <c r="DC132" i="153"/>
  <c r="CZ133" i="153"/>
  <c r="CZ134" i="153" s="1"/>
  <c r="CZ132" i="153"/>
  <c r="CW133" i="153"/>
  <c r="CW134" i="153" s="1"/>
  <c r="CW132" i="153"/>
  <c r="CY133" i="153"/>
  <c r="CY134" i="153" s="1"/>
  <c r="CY132" i="153"/>
  <c r="CS133" i="153"/>
  <c r="CS134" i="153" s="1"/>
  <c r="CS132" i="153"/>
  <c r="CV133" i="153"/>
  <c r="CV134" i="153" s="1"/>
  <c r="CV132" i="153"/>
  <c r="CO132" i="153"/>
  <c r="CO133" i="153"/>
  <c r="CO134" i="153" s="1"/>
  <c r="CL132" i="153"/>
  <c r="CL133" i="153"/>
  <c r="CL134" i="153" s="1"/>
  <c r="CQ132" i="153"/>
  <c r="CQ133" i="153"/>
  <c r="CQ134" i="153" s="1"/>
  <c r="CN132" i="153"/>
  <c r="CN133" i="153"/>
  <c r="CN134" i="153" s="1"/>
  <c r="CM133" i="153"/>
  <c r="CM134" i="153" s="1"/>
  <c r="CM132" i="153"/>
  <c r="CP132" i="153"/>
  <c r="CP133" i="153"/>
  <c r="CP134" i="153" s="1"/>
  <c r="CJ133" i="153"/>
  <c r="CJ134" i="153" s="1"/>
  <c r="CJ132" i="153"/>
  <c r="CI162" i="153"/>
  <c r="CI163" i="153" s="1"/>
  <c r="CI161" i="153"/>
  <c r="CK133" i="153"/>
  <c r="CK134" i="153" s="1"/>
  <c r="CK132" i="153"/>
  <c r="CH133" i="153"/>
  <c r="CH134" i="153" s="1"/>
  <c r="CH132" i="153"/>
  <c r="CG133" i="153"/>
  <c r="CG134" i="153" s="1"/>
  <c r="CG132" i="153"/>
  <c r="A13" i="15"/>
  <c r="DQ132" i="153" l="1"/>
  <c r="DU162" i="153"/>
  <c r="DU163" i="153" s="1"/>
  <c r="DU161" i="153"/>
  <c r="DW162" i="153"/>
  <c r="DW163" i="153" s="1"/>
  <c r="DW161" i="153"/>
  <c r="DP132" i="153"/>
  <c r="DP133" i="153"/>
  <c r="DP134" i="153" s="1"/>
  <c r="DS162" i="153"/>
  <c r="DS163" i="153" s="1"/>
  <c r="DS161" i="153"/>
  <c r="DV162" i="153"/>
  <c r="DV163" i="153" s="1"/>
  <c r="DV161" i="153"/>
  <c r="DR162" i="153"/>
  <c r="DR163" i="153" s="1"/>
  <c r="DR161" i="153"/>
  <c r="DQ162" i="153"/>
  <c r="DQ163" i="153" s="1"/>
  <c r="DQ161" i="153"/>
  <c r="DT162" i="153"/>
  <c r="DT163" i="153" s="1"/>
  <c r="DT161" i="153"/>
  <c r="DX162" i="153"/>
  <c r="DX163" i="153" s="1"/>
  <c r="DX161" i="153"/>
  <c r="DY162" i="153"/>
  <c r="DY163" i="153" s="1"/>
  <c r="DY161" i="153"/>
  <c r="DM162" i="153"/>
  <c r="DM163" i="153" s="1"/>
  <c r="DM161" i="153"/>
  <c r="DJ162" i="153"/>
  <c r="DJ163" i="153" s="1"/>
  <c r="DJ161" i="153"/>
  <c r="DN162" i="153"/>
  <c r="DN163" i="153" s="1"/>
  <c r="DN161" i="153"/>
  <c r="DD162" i="153"/>
  <c r="DD163" i="153" s="1"/>
  <c r="DD161" i="153"/>
  <c r="DF162" i="153"/>
  <c r="DF163" i="153" s="1"/>
  <c r="DF161" i="153"/>
  <c r="DE162" i="153"/>
  <c r="DE163" i="153" s="1"/>
  <c r="DE161" i="153"/>
  <c r="DH162" i="153"/>
  <c r="DH163" i="153" s="1"/>
  <c r="DH161" i="153"/>
  <c r="DK162" i="153"/>
  <c r="DK163" i="153" s="1"/>
  <c r="DK161" i="153"/>
  <c r="DI162" i="153"/>
  <c r="DI163" i="153" s="1"/>
  <c r="DI161" i="153"/>
  <c r="DL162" i="153"/>
  <c r="DL163" i="153" s="1"/>
  <c r="DL161" i="153"/>
  <c r="DO162" i="153"/>
  <c r="DO163" i="153" s="1"/>
  <c r="DO161" i="153"/>
  <c r="DG162" i="153"/>
  <c r="DG163" i="153" s="1"/>
  <c r="DG161" i="153"/>
  <c r="CZ162" i="153"/>
  <c r="CZ163" i="153" s="1"/>
  <c r="CZ161" i="153"/>
  <c r="DB162" i="153"/>
  <c r="DB163" i="153" s="1"/>
  <c r="DB161" i="153"/>
  <c r="CY162" i="153"/>
  <c r="CY163" i="153" s="1"/>
  <c r="CY161" i="153"/>
  <c r="CT162" i="153"/>
  <c r="CT163" i="153" s="1"/>
  <c r="CT161" i="153"/>
  <c r="CS161" i="153"/>
  <c r="CS162" i="153"/>
  <c r="CS163" i="153" s="1"/>
  <c r="DC162" i="153"/>
  <c r="DC163" i="153" s="1"/>
  <c r="DC161" i="153"/>
  <c r="CV162" i="153"/>
  <c r="CV163" i="153" s="1"/>
  <c r="CV161" i="153"/>
  <c r="DA162" i="153"/>
  <c r="DA163" i="153" s="1"/>
  <c r="DA161" i="153"/>
  <c r="CW162" i="153"/>
  <c r="CW163" i="153" s="1"/>
  <c r="CW161" i="153"/>
  <c r="CR161" i="153"/>
  <c r="CR162" i="153"/>
  <c r="CR163" i="153" s="1"/>
  <c r="CX162" i="153"/>
  <c r="CX163" i="153" s="1"/>
  <c r="CX161" i="153"/>
  <c r="CU162" i="153"/>
  <c r="CU163" i="153" s="1"/>
  <c r="CU161" i="153"/>
  <c r="CL161" i="153"/>
  <c r="CL162" i="153"/>
  <c r="CL163" i="153" s="1"/>
  <c r="CP161" i="153"/>
  <c r="CP162" i="153"/>
  <c r="CP163" i="153" s="1"/>
  <c r="CM162" i="153"/>
  <c r="CM163" i="153" s="1"/>
  <c r="CM161" i="153"/>
  <c r="CQ161" i="153"/>
  <c r="CQ162" i="153"/>
  <c r="CQ163" i="153" s="1"/>
  <c r="CN161" i="153"/>
  <c r="CN162" i="153"/>
  <c r="CN163" i="153" s="1"/>
  <c r="CO161" i="153"/>
  <c r="CO162" i="153"/>
  <c r="CO163" i="153" s="1"/>
  <c r="CK162" i="153"/>
  <c r="CK163" i="153" s="1"/>
  <c r="CK161" i="153"/>
  <c r="CJ162" i="153"/>
  <c r="CJ163" i="153" s="1"/>
  <c r="CJ161" i="153"/>
  <c r="CI133" i="153"/>
  <c r="CI134" i="153" s="1"/>
  <c r="CI132" i="153"/>
  <c r="CH162" i="153"/>
  <c r="CH163" i="153" s="1"/>
  <c r="CH161" i="153"/>
  <c r="CG162" i="153"/>
  <c r="CG163" i="153" s="1"/>
  <c r="CG161" i="153"/>
  <c r="A80" i="160" l="1"/>
  <c r="A81" i="160"/>
  <c r="A82" i="160"/>
  <c r="A83" i="160"/>
  <c r="A84" i="160"/>
  <c r="A85" i="160"/>
  <c r="A86" i="160"/>
  <c r="D85" i="160" l="1"/>
  <c r="K85" i="160"/>
  <c r="B84" i="160"/>
  <c r="K84" i="160"/>
  <c r="D83" i="160"/>
  <c r="K83" i="160"/>
  <c r="B82" i="160"/>
  <c r="K82" i="160"/>
  <c r="D81" i="160"/>
  <c r="K81" i="160"/>
  <c r="B86" i="160"/>
  <c r="K86" i="160"/>
  <c r="B80" i="160"/>
  <c r="K80" i="160"/>
  <c r="C81" i="160"/>
  <c r="B81" i="160"/>
  <c r="C85" i="160"/>
  <c r="B85" i="160"/>
  <c r="C83" i="160"/>
  <c r="B83" i="160"/>
  <c r="D86" i="160"/>
  <c r="D80" i="160"/>
  <c r="C86" i="160"/>
  <c r="C80" i="160"/>
  <c r="D84" i="160"/>
  <c r="D82" i="160"/>
  <c r="C84" i="160"/>
  <c r="C82" i="160"/>
  <c r="G157" i="160" l="1"/>
  <c r="E16" i="160"/>
  <c r="E36" i="160"/>
  <c r="A249" i="160"/>
  <c r="D249" i="160" s="1"/>
  <c r="A248" i="160"/>
  <c r="A247" i="160"/>
  <c r="C247" i="160" s="1"/>
  <c r="A246" i="160"/>
  <c r="D246" i="160" s="1"/>
  <c r="A245" i="160"/>
  <c r="C245" i="160" s="1"/>
  <c r="A244" i="160"/>
  <c r="C244" i="160" s="1"/>
  <c r="A243" i="160"/>
  <c r="C243" i="160" s="1"/>
  <c r="A242" i="160"/>
  <c r="C242" i="160" s="1"/>
  <c r="A241" i="160"/>
  <c r="C241" i="160" s="1"/>
  <c r="A240" i="160"/>
  <c r="D240" i="160" s="1"/>
  <c r="A239" i="160"/>
  <c r="A238" i="160"/>
  <c r="B238" i="160" s="1"/>
  <c r="A237" i="160"/>
  <c r="D237" i="160" s="1"/>
  <c r="A236" i="160"/>
  <c r="D236" i="160" s="1"/>
  <c r="A235" i="160"/>
  <c r="D235" i="160" s="1"/>
  <c r="A234" i="160"/>
  <c r="D234" i="160" s="1"/>
  <c r="A233" i="160"/>
  <c r="D233" i="160" s="1"/>
  <c r="A232" i="160"/>
  <c r="D232" i="160" s="1"/>
  <c r="A231" i="160"/>
  <c r="D231" i="160" s="1"/>
  <c r="A230" i="160"/>
  <c r="D230" i="160" s="1"/>
  <c r="A229" i="160"/>
  <c r="C229" i="160" s="1"/>
  <c r="A228" i="160"/>
  <c r="C228" i="160" s="1"/>
  <c r="A227" i="160"/>
  <c r="C227" i="160" s="1"/>
  <c r="A226" i="160"/>
  <c r="A225" i="160"/>
  <c r="C225" i="160" s="1"/>
  <c r="A224" i="160"/>
  <c r="D224" i="160" s="1"/>
  <c r="A223" i="160"/>
  <c r="C223" i="160" s="1"/>
  <c r="A222" i="160"/>
  <c r="C222" i="160" s="1"/>
  <c r="A221" i="160"/>
  <c r="D221" i="160" s="1"/>
  <c r="A220" i="160"/>
  <c r="C220" i="160" s="1"/>
  <c r="A219" i="160"/>
  <c r="D219" i="160" s="1"/>
  <c r="A218" i="160"/>
  <c r="D218" i="160" s="1"/>
  <c r="A217" i="160"/>
  <c r="B217" i="160" s="1"/>
  <c r="A216" i="160"/>
  <c r="C216" i="160" s="1"/>
  <c r="A215" i="160"/>
  <c r="A214" i="160"/>
  <c r="D214" i="160" s="1"/>
  <c r="A213" i="160"/>
  <c r="B213" i="160" s="1"/>
  <c r="A212" i="160"/>
  <c r="C212" i="160" s="1"/>
  <c r="A211" i="160"/>
  <c r="A210" i="160"/>
  <c r="A209" i="160"/>
  <c r="A208" i="160"/>
  <c r="A207" i="160"/>
  <c r="A206" i="160"/>
  <c r="B206" i="160" s="1"/>
  <c r="A205" i="160"/>
  <c r="C205" i="160" s="1"/>
  <c r="A203" i="160"/>
  <c r="B203" i="160" s="1"/>
  <c r="A202" i="160"/>
  <c r="D202" i="160" s="1"/>
  <c r="A201" i="160"/>
  <c r="A200" i="160"/>
  <c r="D200" i="160" s="1"/>
  <c r="A199" i="160"/>
  <c r="A198" i="160"/>
  <c r="A197" i="160"/>
  <c r="C197" i="160" s="1"/>
  <c r="A196" i="160"/>
  <c r="D196" i="160" s="1"/>
  <c r="A195" i="160"/>
  <c r="D195" i="160" s="1"/>
  <c r="A194" i="160"/>
  <c r="B194" i="160" s="1"/>
  <c r="A193" i="160"/>
  <c r="A192" i="160"/>
  <c r="A191" i="160"/>
  <c r="A190" i="160"/>
  <c r="C190" i="160" s="1"/>
  <c r="A189" i="160"/>
  <c r="C189" i="160" s="1"/>
  <c r="A188" i="160"/>
  <c r="C188" i="160" s="1"/>
  <c r="A186" i="160"/>
  <c r="B186" i="160" s="1"/>
  <c r="A185" i="160"/>
  <c r="B185" i="160" s="1"/>
  <c r="A184" i="160"/>
  <c r="C184" i="160" s="1"/>
  <c r="A183" i="160"/>
  <c r="A182" i="160"/>
  <c r="A181" i="160"/>
  <c r="A180" i="160"/>
  <c r="C180" i="160" s="1"/>
  <c r="A179" i="160"/>
  <c r="A178" i="160"/>
  <c r="A177" i="160"/>
  <c r="C177" i="160" s="1"/>
  <c r="A176" i="160"/>
  <c r="D176" i="160" s="1"/>
  <c r="A175" i="160"/>
  <c r="D175" i="160" s="1"/>
  <c r="A174" i="160"/>
  <c r="D174" i="160" s="1"/>
  <c r="A173" i="160"/>
  <c r="A172" i="160"/>
  <c r="A171" i="160"/>
  <c r="A170" i="160"/>
  <c r="A169" i="160"/>
  <c r="D169" i="160" s="1"/>
  <c r="A168" i="160"/>
  <c r="A167" i="160"/>
  <c r="B167" i="160" s="1"/>
  <c r="A166" i="160"/>
  <c r="A165" i="160"/>
  <c r="D165" i="160" s="1"/>
  <c r="A164" i="160"/>
  <c r="D164" i="160" s="1"/>
  <c r="A163" i="160"/>
  <c r="D163" i="160" s="1"/>
  <c r="A162" i="160"/>
  <c r="B162" i="160" s="1"/>
  <c r="A160" i="160"/>
  <c r="A159" i="160"/>
  <c r="B159" i="160" s="1"/>
  <c r="A158" i="160"/>
  <c r="A155" i="160"/>
  <c r="K155" i="160" s="1"/>
  <c r="A154" i="160"/>
  <c r="A153" i="160"/>
  <c r="A152" i="160"/>
  <c r="A151" i="160"/>
  <c r="K151" i="160" s="1"/>
  <c r="A150" i="160"/>
  <c r="A149" i="160"/>
  <c r="A148" i="160"/>
  <c r="A147" i="160"/>
  <c r="A146" i="160"/>
  <c r="K145" i="160"/>
  <c r="A144" i="160"/>
  <c r="A143" i="160"/>
  <c r="A142" i="160"/>
  <c r="A141" i="160"/>
  <c r="C141" i="160" s="1"/>
  <c r="A140" i="160"/>
  <c r="A138" i="160"/>
  <c r="K138" i="160" s="1"/>
  <c r="A137" i="160"/>
  <c r="A136" i="160"/>
  <c r="A135" i="160"/>
  <c r="K135" i="160" s="1"/>
  <c r="A134" i="160"/>
  <c r="A133" i="160"/>
  <c r="A132" i="160"/>
  <c r="K132" i="160" s="1"/>
  <c r="A131" i="160"/>
  <c r="K131" i="160" s="1"/>
  <c r="A130" i="160"/>
  <c r="A129" i="160"/>
  <c r="A128" i="160"/>
  <c r="K128" i="160" s="1"/>
  <c r="A127" i="160"/>
  <c r="K127" i="160" s="1"/>
  <c r="A126" i="160"/>
  <c r="K126" i="160" s="1"/>
  <c r="A125" i="160"/>
  <c r="K125" i="160" s="1"/>
  <c r="A124" i="160"/>
  <c r="A123" i="160"/>
  <c r="A122" i="160"/>
  <c r="A121" i="160"/>
  <c r="K121" i="160" s="1"/>
  <c r="A120" i="160"/>
  <c r="A118" i="160"/>
  <c r="K118" i="160" s="1"/>
  <c r="A117" i="160"/>
  <c r="A116" i="160"/>
  <c r="K116" i="160" s="1"/>
  <c r="A115" i="160"/>
  <c r="A114" i="160"/>
  <c r="A113" i="160"/>
  <c r="A112" i="160"/>
  <c r="A111" i="160"/>
  <c r="K111" i="160" s="1"/>
  <c r="A110" i="160"/>
  <c r="A108" i="160"/>
  <c r="K108" i="160" s="1"/>
  <c r="A107" i="160"/>
  <c r="A106" i="160"/>
  <c r="A105" i="160"/>
  <c r="A104" i="160"/>
  <c r="K104" i="160" s="1"/>
  <c r="A103" i="160"/>
  <c r="K103" i="160" s="1"/>
  <c r="A102" i="160"/>
  <c r="K102" i="160" s="1"/>
  <c r="A101" i="160"/>
  <c r="K101" i="160" s="1"/>
  <c r="A100" i="160"/>
  <c r="K100" i="160" s="1"/>
  <c r="A99" i="160"/>
  <c r="A98" i="160"/>
  <c r="A96" i="160"/>
  <c r="A95" i="160"/>
  <c r="K95" i="160" s="1"/>
  <c r="A94" i="160"/>
  <c r="K94" i="160" s="1"/>
  <c r="A93" i="160"/>
  <c r="A92" i="160"/>
  <c r="A91" i="160"/>
  <c r="K91" i="160" s="1"/>
  <c r="A90" i="160"/>
  <c r="A89" i="160"/>
  <c r="A87" i="160"/>
  <c r="A79" i="160"/>
  <c r="A78" i="160"/>
  <c r="A77" i="160"/>
  <c r="A76" i="160"/>
  <c r="A75" i="160"/>
  <c r="K75" i="160" s="1"/>
  <c r="A74" i="160"/>
  <c r="A73" i="160"/>
  <c r="A72" i="160"/>
  <c r="A71" i="160"/>
  <c r="K71" i="160" s="1"/>
  <c r="A70" i="160"/>
  <c r="K70" i="160" s="1"/>
  <c r="A69" i="160"/>
  <c r="K69" i="160" s="1"/>
  <c r="A68" i="160"/>
  <c r="K68" i="160" s="1"/>
  <c r="A67" i="160"/>
  <c r="A66" i="160"/>
  <c r="A65" i="160"/>
  <c r="A64" i="160"/>
  <c r="A63" i="160"/>
  <c r="A62" i="160"/>
  <c r="A61" i="160"/>
  <c r="A60" i="160"/>
  <c r="A59" i="160"/>
  <c r="A58" i="160"/>
  <c r="A57" i="160"/>
  <c r="A56" i="160"/>
  <c r="A55" i="160"/>
  <c r="A54" i="160"/>
  <c r="K54" i="160" s="1"/>
  <c r="A53" i="160"/>
  <c r="A52" i="160"/>
  <c r="K52" i="160" s="1"/>
  <c r="A51" i="160"/>
  <c r="A50" i="160"/>
  <c r="A49" i="160"/>
  <c r="A48" i="160"/>
  <c r="A47" i="160"/>
  <c r="K47" i="160" s="1"/>
  <c r="A46" i="160"/>
  <c r="K46" i="160" s="1"/>
  <c r="A45" i="160"/>
  <c r="A44" i="160"/>
  <c r="A43" i="160"/>
  <c r="F39" i="160"/>
  <c r="E39" i="160"/>
  <c r="D39" i="160"/>
  <c r="C39" i="160"/>
  <c r="B39" i="160"/>
  <c r="A39" i="160"/>
  <c r="F38" i="160"/>
  <c r="E38" i="160"/>
  <c r="D38" i="160"/>
  <c r="C38" i="160"/>
  <c r="B38" i="160"/>
  <c r="A38" i="160"/>
  <c r="F37" i="160"/>
  <c r="E37" i="160"/>
  <c r="D37" i="160"/>
  <c r="C37" i="160"/>
  <c r="B37" i="160"/>
  <c r="A37" i="160"/>
  <c r="F36" i="160"/>
  <c r="D36" i="160"/>
  <c r="C36" i="160"/>
  <c r="B36" i="160"/>
  <c r="A36" i="160"/>
  <c r="F35" i="160"/>
  <c r="E35" i="160"/>
  <c r="D35" i="160"/>
  <c r="C35" i="160"/>
  <c r="B35" i="160"/>
  <c r="A35" i="160"/>
  <c r="F34" i="160"/>
  <c r="E34" i="160"/>
  <c r="D34" i="160"/>
  <c r="C34" i="160"/>
  <c r="B34" i="160"/>
  <c r="A34" i="160"/>
  <c r="F33" i="160"/>
  <c r="E33" i="160"/>
  <c r="D33" i="160"/>
  <c r="C33" i="160"/>
  <c r="B33" i="160"/>
  <c r="A33" i="160"/>
  <c r="F32" i="160"/>
  <c r="E32" i="160"/>
  <c r="D32" i="160"/>
  <c r="C32" i="160"/>
  <c r="B32" i="160"/>
  <c r="A32" i="160"/>
  <c r="F31" i="160"/>
  <c r="E31" i="160"/>
  <c r="D31" i="160"/>
  <c r="C31" i="160"/>
  <c r="B31" i="160"/>
  <c r="A31" i="160"/>
  <c r="F30" i="160"/>
  <c r="E30" i="160"/>
  <c r="D30" i="160"/>
  <c r="C30" i="160"/>
  <c r="B30" i="160"/>
  <c r="A30" i="160"/>
  <c r="F29" i="160"/>
  <c r="E29" i="160"/>
  <c r="D29" i="160"/>
  <c r="C29" i="160"/>
  <c r="B29" i="160"/>
  <c r="A29" i="160"/>
  <c r="F28" i="160"/>
  <c r="E28" i="160"/>
  <c r="D28" i="160"/>
  <c r="C28" i="160"/>
  <c r="B28" i="160"/>
  <c r="A28" i="160"/>
  <c r="F27" i="160"/>
  <c r="E27" i="160"/>
  <c r="D27" i="160"/>
  <c r="C27" i="160"/>
  <c r="B27" i="160"/>
  <c r="A27" i="160"/>
  <c r="F26" i="160"/>
  <c r="E26" i="160"/>
  <c r="D26" i="160"/>
  <c r="C26" i="160"/>
  <c r="B26" i="160"/>
  <c r="A26" i="160"/>
  <c r="F25" i="160"/>
  <c r="D25" i="160"/>
  <c r="C25" i="160"/>
  <c r="B25" i="160"/>
  <c r="A25" i="160"/>
  <c r="F24" i="160"/>
  <c r="E24" i="160"/>
  <c r="D24" i="160"/>
  <c r="C24" i="160"/>
  <c r="B24" i="160"/>
  <c r="A24" i="160"/>
  <c r="F23" i="160"/>
  <c r="E23" i="160"/>
  <c r="D23" i="160"/>
  <c r="C23" i="160"/>
  <c r="B23" i="160"/>
  <c r="A23" i="160"/>
  <c r="F22" i="160"/>
  <c r="E22" i="160"/>
  <c r="D22" i="160"/>
  <c r="C22" i="160"/>
  <c r="B22" i="160"/>
  <c r="A22" i="160"/>
  <c r="F21" i="160"/>
  <c r="E21" i="160"/>
  <c r="D21" i="160"/>
  <c r="C21" i="160"/>
  <c r="B21" i="160"/>
  <c r="A21" i="160"/>
  <c r="F20" i="160"/>
  <c r="E20" i="160"/>
  <c r="D20" i="160"/>
  <c r="C20" i="160"/>
  <c r="B20" i="160"/>
  <c r="A20" i="160"/>
  <c r="F19" i="160"/>
  <c r="E19" i="160"/>
  <c r="D19" i="160"/>
  <c r="C19" i="160"/>
  <c r="B19" i="160"/>
  <c r="A19" i="160"/>
  <c r="F18" i="160"/>
  <c r="E18" i="160"/>
  <c r="D18" i="160"/>
  <c r="C18" i="160"/>
  <c r="B18" i="160"/>
  <c r="A18" i="160"/>
  <c r="F17" i="160"/>
  <c r="E17" i="160"/>
  <c r="D17" i="160"/>
  <c r="C17" i="160"/>
  <c r="B17" i="160"/>
  <c r="A17" i="160"/>
  <c r="F16" i="160"/>
  <c r="D16" i="160"/>
  <c r="C16" i="160"/>
  <c r="B16" i="160"/>
  <c r="A16" i="160"/>
  <c r="F15" i="160"/>
  <c r="D15" i="160"/>
  <c r="C15" i="160"/>
  <c r="B15" i="160"/>
  <c r="A15" i="160"/>
  <c r="F14" i="160"/>
  <c r="E14" i="160"/>
  <c r="D14" i="160"/>
  <c r="C14" i="160"/>
  <c r="B14" i="160"/>
  <c r="A14" i="160"/>
  <c r="F13" i="160"/>
  <c r="E13" i="160"/>
  <c r="D13" i="160"/>
  <c r="C13" i="160"/>
  <c r="B13" i="160"/>
  <c r="A13" i="160"/>
  <c r="L12" i="160"/>
  <c r="F12" i="160"/>
  <c r="E12" i="160"/>
  <c r="D12" i="160"/>
  <c r="C12" i="160"/>
  <c r="B12" i="160"/>
  <c r="A12" i="160"/>
  <c r="F11" i="160"/>
  <c r="E11" i="160"/>
  <c r="D11" i="160"/>
  <c r="C11" i="160"/>
  <c r="B11" i="160"/>
  <c r="A11" i="160"/>
  <c r="F10" i="160"/>
  <c r="E10" i="160"/>
  <c r="D10" i="160"/>
  <c r="C10" i="160"/>
  <c r="B10" i="160"/>
  <c r="A10" i="160"/>
  <c r="F9" i="160"/>
  <c r="E9" i="160"/>
  <c r="D9" i="160"/>
  <c r="C9" i="160"/>
  <c r="B9" i="160"/>
  <c r="A9" i="160"/>
  <c r="F8" i="160"/>
  <c r="E25" i="160"/>
  <c r="D8" i="160"/>
  <c r="C8" i="160"/>
  <c r="B8" i="160"/>
  <c r="A8" i="160"/>
  <c r="A7" i="160"/>
  <c r="D170" i="160" l="1"/>
  <c r="B170" i="160"/>
  <c r="C147" i="160"/>
  <c r="K147" i="160"/>
  <c r="D77" i="160"/>
  <c r="K77" i="160"/>
  <c r="C123" i="160"/>
  <c r="K123" i="160"/>
  <c r="D148" i="160"/>
  <c r="K148" i="160"/>
  <c r="D45" i="160"/>
  <c r="K45" i="160"/>
  <c r="C115" i="160"/>
  <c r="K115" i="160"/>
  <c r="D152" i="160"/>
  <c r="K152" i="160"/>
  <c r="C58" i="160"/>
  <c r="K58" i="160"/>
  <c r="C90" i="160"/>
  <c r="K90" i="160"/>
  <c r="D117" i="160"/>
  <c r="K117" i="160"/>
  <c r="B153" i="160"/>
  <c r="K153" i="160"/>
  <c r="D59" i="160"/>
  <c r="K59" i="160"/>
  <c r="C129" i="160"/>
  <c r="K129" i="160"/>
  <c r="C154" i="160"/>
  <c r="K154" i="160"/>
  <c r="C48" i="160"/>
  <c r="K48" i="160"/>
  <c r="C92" i="160"/>
  <c r="K92" i="160"/>
  <c r="D105" i="160"/>
  <c r="K105" i="160"/>
  <c r="C130" i="160"/>
  <c r="K130" i="160"/>
  <c r="D143" i="160"/>
  <c r="K143" i="160"/>
  <c r="C49" i="160"/>
  <c r="K49" i="160"/>
  <c r="C61" i="160"/>
  <c r="K61" i="160"/>
  <c r="C93" i="160"/>
  <c r="K93" i="160"/>
  <c r="C106" i="160"/>
  <c r="K106" i="160"/>
  <c r="B119" i="160"/>
  <c r="K119" i="160"/>
  <c r="D144" i="160"/>
  <c r="K144" i="160"/>
  <c r="C50" i="160"/>
  <c r="K50" i="160"/>
  <c r="B62" i="160"/>
  <c r="K62" i="160"/>
  <c r="C107" i="160"/>
  <c r="K107" i="160"/>
  <c r="C120" i="160"/>
  <c r="K120" i="160"/>
  <c r="C64" i="160"/>
  <c r="K64" i="160"/>
  <c r="C96" i="160"/>
  <c r="K96" i="160"/>
  <c r="D134" i="160"/>
  <c r="K134" i="160"/>
  <c r="D51" i="160"/>
  <c r="K51" i="160"/>
  <c r="C63" i="160"/>
  <c r="K63" i="160"/>
  <c r="C133" i="160"/>
  <c r="K133" i="160"/>
  <c r="C146" i="160"/>
  <c r="K146" i="160"/>
  <c r="B76" i="160"/>
  <c r="K76" i="160"/>
  <c r="C122" i="160"/>
  <c r="K122" i="160"/>
  <c r="D98" i="160"/>
  <c r="K98" i="160"/>
  <c r="C99" i="160"/>
  <c r="K99" i="160"/>
  <c r="D112" i="160"/>
  <c r="K112" i="160"/>
  <c r="D124" i="160"/>
  <c r="K124" i="160"/>
  <c r="D136" i="160"/>
  <c r="K136" i="160"/>
  <c r="C149" i="160"/>
  <c r="K149" i="160"/>
  <c r="D55" i="160"/>
  <c r="K55" i="160"/>
  <c r="D79" i="160"/>
  <c r="K79" i="160"/>
  <c r="D113" i="160"/>
  <c r="K113" i="160"/>
  <c r="C137" i="160"/>
  <c r="K137" i="160"/>
  <c r="D150" i="160"/>
  <c r="K150" i="160"/>
  <c r="C44" i="160"/>
  <c r="K44" i="160"/>
  <c r="C56" i="160"/>
  <c r="K56" i="160"/>
  <c r="D87" i="160"/>
  <c r="K87" i="160"/>
  <c r="D114" i="160"/>
  <c r="K114" i="160"/>
  <c r="D78" i="160"/>
  <c r="K78" i="160"/>
  <c r="C74" i="160"/>
  <c r="K74" i="160"/>
  <c r="D73" i="160"/>
  <c r="K73" i="160"/>
  <c r="B72" i="160"/>
  <c r="K72" i="160"/>
  <c r="D67" i="160"/>
  <c r="K67" i="160"/>
  <c r="C66" i="160"/>
  <c r="K66" i="160"/>
  <c r="C65" i="160"/>
  <c r="K65" i="160"/>
  <c r="C57" i="160"/>
  <c r="K57" i="160"/>
  <c r="D60" i="160"/>
  <c r="K60" i="160"/>
  <c r="C53" i="160"/>
  <c r="K53" i="160"/>
  <c r="B53" i="160"/>
  <c r="D63" i="160"/>
  <c r="C98" i="160"/>
  <c r="D209" i="160"/>
  <c r="D147" i="160"/>
  <c r="B184" i="160"/>
  <c r="C208" i="160"/>
  <c r="D184" i="160"/>
  <c r="C215" i="160"/>
  <c r="B120" i="160"/>
  <c r="B154" i="160"/>
  <c r="D44" i="160"/>
  <c r="C69" i="160"/>
  <c r="C71" i="160"/>
  <c r="C87" i="160"/>
  <c r="D106" i="160"/>
  <c r="D130" i="160"/>
  <c r="D146" i="160"/>
  <c r="C159" i="160"/>
  <c r="B209" i="160"/>
  <c r="B229" i="160"/>
  <c r="B69" i="160"/>
  <c r="C173" i="160"/>
  <c r="B176" i="160"/>
  <c r="D179" i="160"/>
  <c r="B196" i="160"/>
  <c r="D61" i="160"/>
  <c r="B65" i="160"/>
  <c r="D69" i="160"/>
  <c r="D115" i="160"/>
  <c r="C121" i="160"/>
  <c r="C209" i="160"/>
  <c r="D229" i="160"/>
  <c r="B240" i="160"/>
  <c r="D53" i="160"/>
  <c r="D57" i="160"/>
  <c r="B64" i="160"/>
  <c r="D71" i="160"/>
  <c r="B108" i="160"/>
  <c r="D123" i="160"/>
  <c r="B129" i="160"/>
  <c r="C144" i="160"/>
  <c r="D154" i="160"/>
  <c r="C162" i="160"/>
  <c r="D185" i="160"/>
  <c r="D188" i="160"/>
  <c r="C219" i="160"/>
  <c r="B227" i="160"/>
  <c r="B235" i="160"/>
  <c r="C238" i="160"/>
  <c r="D64" i="160"/>
  <c r="C108" i="160"/>
  <c r="B44" i="160"/>
  <c r="D49" i="160"/>
  <c r="D56" i="160"/>
  <c r="D58" i="160"/>
  <c r="B61" i="160"/>
  <c r="D108" i="160"/>
  <c r="B130" i="160"/>
  <c r="D131" i="160"/>
  <c r="C134" i="160"/>
  <c r="C150" i="160"/>
  <c r="C163" i="160"/>
  <c r="B212" i="160"/>
  <c r="B241" i="160"/>
  <c r="B244" i="160"/>
  <c r="D247" i="160"/>
  <c r="B50" i="160"/>
  <c r="B51" i="160"/>
  <c r="D52" i="160"/>
  <c r="B66" i="160"/>
  <c r="B74" i="160"/>
  <c r="B93" i="160"/>
  <c r="B100" i="160"/>
  <c r="D119" i="160"/>
  <c r="D121" i="160"/>
  <c r="C124" i="160"/>
  <c r="D129" i="160"/>
  <c r="B136" i="160"/>
  <c r="D149" i="160"/>
  <c r="B152" i="160"/>
  <c r="B169" i="160"/>
  <c r="B174" i="160"/>
  <c r="B197" i="160"/>
  <c r="D212" i="160"/>
  <c r="B216" i="160"/>
  <c r="D227" i="160"/>
  <c r="C234" i="160"/>
  <c r="C240" i="160"/>
  <c r="B242" i="160"/>
  <c r="D244" i="160"/>
  <c r="B245" i="160"/>
  <c r="B246" i="160"/>
  <c r="D74" i="160"/>
  <c r="C136" i="160"/>
  <c r="D197" i="160"/>
  <c r="D216" i="160"/>
  <c r="D242" i="160"/>
  <c r="D245" i="160"/>
  <c r="C246" i="160"/>
  <c r="D50" i="160"/>
  <c r="C51" i="160"/>
  <c r="D66" i="160"/>
  <c r="D93" i="160"/>
  <c r="C100" i="160"/>
  <c r="C174" i="160"/>
  <c r="B57" i="160"/>
  <c r="B58" i="160"/>
  <c r="B59" i="160"/>
  <c r="D90" i="160"/>
  <c r="B98" i="160"/>
  <c r="D99" i="160"/>
  <c r="D100" i="160"/>
  <c r="B107" i="160"/>
  <c r="C113" i="160"/>
  <c r="B121" i="160"/>
  <c r="D122" i="160"/>
  <c r="B147" i="160"/>
  <c r="B175" i="160"/>
  <c r="C185" i="160"/>
  <c r="B195" i="160"/>
  <c r="D203" i="160"/>
  <c r="D182" i="160"/>
  <c r="B182" i="160"/>
  <c r="C182" i="160"/>
  <c r="B201" i="160"/>
  <c r="D201" i="160"/>
  <c r="C201" i="160"/>
  <c r="C104" i="160"/>
  <c r="D104" i="160"/>
  <c r="D126" i="160"/>
  <c r="C126" i="160"/>
  <c r="B126" i="160"/>
  <c r="C59" i="160"/>
  <c r="D65" i="160"/>
  <c r="B67" i="160"/>
  <c r="C68" i="160"/>
  <c r="B68" i="160"/>
  <c r="D75" i="160"/>
  <c r="C75" i="160"/>
  <c r="C79" i="160"/>
  <c r="B91" i="160"/>
  <c r="D91" i="160"/>
  <c r="C91" i="160"/>
  <c r="C101" i="160"/>
  <c r="D101" i="160"/>
  <c r="B101" i="160"/>
  <c r="B104" i="160"/>
  <c r="D116" i="160"/>
  <c r="C116" i="160"/>
  <c r="D118" i="160"/>
  <c r="C118" i="160"/>
  <c r="B118" i="160"/>
  <c r="C128" i="160"/>
  <c r="D128" i="160"/>
  <c r="B128" i="160"/>
  <c r="C132" i="160"/>
  <c r="D132" i="160"/>
  <c r="C158" i="160"/>
  <c r="D158" i="160"/>
  <c r="B158" i="160"/>
  <c r="B47" i="160"/>
  <c r="C60" i="160"/>
  <c r="B60" i="160"/>
  <c r="B45" i="160"/>
  <c r="C46" i="160"/>
  <c r="B46" i="160"/>
  <c r="C47" i="160"/>
  <c r="B48" i="160"/>
  <c r="C54" i="160"/>
  <c r="D54" i="160"/>
  <c r="B55" i="160"/>
  <c r="C45" i="160"/>
  <c r="D46" i="160"/>
  <c r="D47" i="160"/>
  <c r="D48" i="160"/>
  <c r="B49" i="160"/>
  <c r="B54" i="160"/>
  <c r="C55" i="160"/>
  <c r="B56" i="160"/>
  <c r="C62" i="160"/>
  <c r="D62" i="160"/>
  <c r="B63" i="160"/>
  <c r="C67" i="160"/>
  <c r="D68" i="160"/>
  <c r="C72" i="160"/>
  <c r="D72" i="160"/>
  <c r="C73" i="160"/>
  <c r="B73" i="160"/>
  <c r="B75" i="160"/>
  <c r="C105" i="160"/>
  <c r="B105" i="160"/>
  <c r="C127" i="160"/>
  <c r="B127" i="160"/>
  <c r="B132" i="160"/>
  <c r="D138" i="160"/>
  <c r="C138" i="160"/>
  <c r="B138" i="160"/>
  <c r="B172" i="160"/>
  <c r="D172" i="160"/>
  <c r="D191" i="160"/>
  <c r="B191" i="160"/>
  <c r="C191" i="160"/>
  <c r="C52" i="160"/>
  <c r="B52" i="160"/>
  <c r="C70" i="160"/>
  <c r="D70" i="160"/>
  <c r="B70" i="160"/>
  <c r="D76" i="160"/>
  <c r="C95" i="160"/>
  <c r="D95" i="160"/>
  <c r="B95" i="160"/>
  <c r="D102" i="160"/>
  <c r="C102" i="160"/>
  <c r="B102" i="160"/>
  <c r="D142" i="160"/>
  <c r="B142" i="160"/>
  <c r="C142" i="160"/>
  <c r="B207" i="160"/>
  <c r="D207" i="160"/>
  <c r="C226" i="160"/>
  <c r="D226" i="160"/>
  <c r="C239" i="160"/>
  <c r="D239" i="160"/>
  <c r="D248" i="160"/>
  <c r="C248" i="160"/>
  <c r="B248" i="160"/>
  <c r="C103" i="160"/>
  <c r="B103" i="160"/>
  <c r="B148" i="160"/>
  <c r="C152" i="160"/>
  <c r="B165" i="160"/>
  <c r="B168" i="160"/>
  <c r="D168" i="160"/>
  <c r="B171" i="160"/>
  <c r="C171" i="160"/>
  <c r="B198" i="160"/>
  <c r="C198" i="160"/>
  <c r="D225" i="160"/>
  <c r="B225" i="160"/>
  <c r="B71" i="160"/>
  <c r="C94" i="160"/>
  <c r="D94" i="160"/>
  <c r="B106" i="160"/>
  <c r="B114" i="160"/>
  <c r="C117" i="160"/>
  <c r="B122" i="160"/>
  <c r="B123" i="160"/>
  <c r="B124" i="160"/>
  <c r="B134" i="160"/>
  <c r="D137" i="160"/>
  <c r="D141" i="160"/>
  <c r="B144" i="160"/>
  <c r="B146" i="160"/>
  <c r="C148" i="160"/>
  <c r="B149" i="160"/>
  <c r="B150" i="160"/>
  <c r="C155" i="160"/>
  <c r="B155" i="160"/>
  <c r="D162" i="160"/>
  <c r="B163" i="160"/>
  <c r="C164" i="160"/>
  <c r="B164" i="160"/>
  <c r="C165" i="160"/>
  <c r="D167" i="160"/>
  <c r="C167" i="160"/>
  <c r="C168" i="160"/>
  <c r="D171" i="160"/>
  <c r="C178" i="160"/>
  <c r="B181" i="160"/>
  <c r="D189" i="160"/>
  <c r="B189" i="160"/>
  <c r="D190" i="160"/>
  <c r="D198" i="160"/>
  <c r="B221" i="160"/>
  <c r="C221" i="160"/>
  <c r="C224" i="160"/>
  <c r="B224" i="160"/>
  <c r="C153" i="160"/>
  <c r="D153" i="160"/>
  <c r="D173" i="160"/>
  <c r="B173" i="160"/>
  <c r="B177" i="160"/>
  <c r="D177" i="160"/>
  <c r="B180" i="160"/>
  <c r="D180" i="160"/>
  <c r="C183" i="160"/>
  <c r="B183" i="160"/>
  <c r="B202" i="160"/>
  <c r="C202" i="160"/>
  <c r="B205" i="160"/>
  <c r="D205" i="160"/>
  <c r="D208" i="160"/>
  <c r="B208" i="160"/>
  <c r="D215" i="160"/>
  <c r="B215" i="160"/>
  <c r="B220" i="160"/>
  <c r="D220" i="160"/>
  <c r="B223" i="160"/>
  <c r="D223" i="160"/>
  <c r="C176" i="160"/>
  <c r="C196" i="160"/>
  <c r="C233" i="160"/>
  <c r="C235" i="160"/>
  <c r="D241" i="160"/>
  <c r="B77" i="160"/>
  <c r="B78" i="160"/>
  <c r="D92" i="160"/>
  <c r="E8" i="160"/>
  <c r="E15" i="160"/>
  <c r="C76" i="160"/>
  <c r="C77" i="160"/>
  <c r="C78" i="160"/>
  <c r="B79" i="160"/>
  <c r="B87" i="160"/>
  <c r="B90" i="160"/>
  <c r="B94" i="160"/>
  <c r="B99" i="160"/>
  <c r="D103" i="160"/>
  <c r="D107" i="160"/>
  <c r="C114" i="160"/>
  <c r="B116" i="160"/>
  <c r="B117" i="160"/>
  <c r="D120" i="160"/>
  <c r="D125" i="160"/>
  <c r="C131" i="160"/>
  <c r="B131" i="160"/>
  <c r="D135" i="160"/>
  <c r="B137" i="160"/>
  <c r="B111" i="160"/>
  <c r="C160" i="160"/>
  <c r="D160" i="160"/>
  <c r="B160" i="160"/>
  <c r="B92" i="160"/>
  <c r="B96" i="160"/>
  <c r="C111" i="160"/>
  <c r="B112" i="160"/>
  <c r="B113" i="160"/>
  <c r="C119" i="160"/>
  <c r="D127" i="160"/>
  <c r="B133" i="160"/>
  <c r="B143" i="160"/>
  <c r="C145" i="160"/>
  <c r="D145" i="160"/>
  <c r="C151" i="160"/>
  <c r="D151" i="160"/>
  <c r="D96" i="160"/>
  <c r="D111" i="160"/>
  <c r="C112" i="160"/>
  <c r="B115" i="160"/>
  <c r="C125" i="160"/>
  <c r="B125" i="160"/>
  <c r="D133" i="160"/>
  <c r="C135" i="160"/>
  <c r="B135" i="160"/>
  <c r="C143" i="160"/>
  <c r="B145" i="160"/>
  <c r="B151" i="160"/>
  <c r="C166" i="160"/>
  <c r="D193" i="160"/>
  <c r="B193" i="160"/>
  <c r="C193" i="160"/>
  <c r="B210" i="160"/>
  <c r="C210" i="160"/>
  <c r="D210" i="160"/>
  <c r="B141" i="160"/>
  <c r="D155" i="160"/>
  <c r="D159" i="160"/>
  <c r="B166" i="160"/>
  <c r="C181" i="160"/>
  <c r="D181" i="160"/>
  <c r="D183" i="160"/>
  <c r="D166" i="160"/>
  <c r="C170" i="160"/>
  <c r="C172" i="160"/>
  <c r="B192" i="160"/>
  <c r="C192" i="160"/>
  <c r="D192" i="160"/>
  <c r="C199" i="160"/>
  <c r="B199" i="160"/>
  <c r="D199" i="160"/>
  <c r="D211" i="160"/>
  <c r="B211" i="160"/>
  <c r="C211" i="160"/>
  <c r="C169" i="160"/>
  <c r="B178" i="160"/>
  <c r="D178" i="160"/>
  <c r="C179" i="160"/>
  <c r="B179" i="160"/>
  <c r="C186" i="160"/>
  <c r="D186" i="160"/>
  <c r="D187" i="160"/>
  <c r="C187" i="160"/>
  <c r="B187" i="160"/>
  <c r="D204" i="160"/>
  <c r="B204" i="160"/>
  <c r="C204" i="160"/>
  <c r="C175" i="160"/>
  <c r="B188" i="160"/>
  <c r="C194" i="160"/>
  <c r="C195" i="160"/>
  <c r="B200" i="160"/>
  <c r="C206" i="160"/>
  <c r="C207" i="160"/>
  <c r="C213" i="160"/>
  <c r="C214" i="160"/>
  <c r="D217" i="160"/>
  <c r="B218" i="160"/>
  <c r="D222" i="160"/>
  <c r="B228" i="160"/>
  <c r="C230" i="160"/>
  <c r="B231" i="160"/>
  <c r="B232" i="160"/>
  <c r="C237" i="160"/>
  <c r="D243" i="160"/>
  <c r="B249" i="160"/>
  <c r="B190" i="160"/>
  <c r="D194" i="160"/>
  <c r="C200" i="160"/>
  <c r="C203" i="160"/>
  <c r="D206" i="160"/>
  <c r="D213" i="160"/>
  <c r="B214" i="160"/>
  <c r="B219" i="160"/>
  <c r="B226" i="160"/>
  <c r="D228" i="160"/>
  <c r="C231" i="160"/>
  <c r="C232" i="160"/>
  <c r="B233" i="160"/>
  <c r="B234" i="160"/>
  <c r="D238" i="160"/>
  <c r="B239" i="160"/>
  <c r="B247" i="160"/>
  <c r="B236" i="160"/>
  <c r="C217" i="160"/>
  <c r="C218" i="160"/>
  <c r="B222" i="160"/>
  <c r="B230" i="160"/>
  <c r="C236" i="160"/>
  <c r="B237" i="160"/>
  <c r="B243" i="160"/>
  <c r="C249" i="160"/>
  <c r="C242" i="4" l="1"/>
  <c r="C240" i="4"/>
  <c r="A233" i="4"/>
  <c r="A218" i="4"/>
  <c r="A20" i="4"/>
  <c r="L22" i="28" l="1"/>
  <c r="J22" i="28"/>
  <c r="E51" i="5" s="1"/>
  <c r="L21" i="28" l="1"/>
  <c r="J21" i="28"/>
  <c r="N324" i="4" l="1"/>
  <c r="D160" i="4" l="1"/>
  <c r="C39" i="8" l="1"/>
  <c r="D39" i="8"/>
  <c r="C40" i="8"/>
  <c r="D40" i="8"/>
  <c r="C42" i="8"/>
  <c r="D42" i="8"/>
  <c r="C43" i="8"/>
  <c r="D43" i="8"/>
  <c r="B39" i="8"/>
  <c r="B40" i="8"/>
  <c r="B42" i="8"/>
  <c r="B43" i="8"/>
  <c r="D104" i="4"/>
  <c r="D105" i="4"/>
  <c r="D103" i="4"/>
  <c r="C103" i="4"/>
  <c r="C104" i="4"/>
  <c r="C105" i="4"/>
  <c r="B104" i="4"/>
  <c r="B105" i="4"/>
  <c r="B103" i="4"/>
  <c r="D38" i="8"/>
  <c r="C38" i="8"/>
  <c r="B38" i="8"/>
  <c r="N105" i="28"/>
  <c r="E39" i="8" s="1"/>
  <c r="N104" i="28" l="1"/>
  <c r="E38" i="8" s="1"/>
  <c r="B313" i="8"/>
  <c r="C313" i="8"/>
  <c r="D313" i="8"/>
  <c r="B314" i="8"/>
  <c r="C314" i="8"/>
  <c r="D314" i="8"/>
  <c r="N328" i="4" l="1"/>
  <c r="N329" i="4"/>
  <c r="C328" i="4"/>
  <c r="D328" i="4"/>
  <c r="C329" i="4"/>
  <c r="D329" i="4"/>
  <c r="B328" i="4"/>
  <c r="B329" i="4"/>
  <c r="J125" i="153"/>
  <c r="H125" i="153" s="1"/>
  <c r="E313" i="8" s="1"/>
  <c r="J126" i="153"/>
  <c r="H126" i="153" s="1"/>
  <c r="E314" i="8" s="1"/>
  <c r="C10" i="41" l="1"/>
  <c r="C19" i="13" l="1"/>
  <c r="C20" i="13"/>
  <c r="C21" i="13"/>
  <c r="C22" i="13"/>
  <c r="C23" i="13"/>
  <c r="D114" i="8" l="1"/>
  <c r="C114" i="8"/>
  <c r="B114" i="8"/>
  <c r="I54" i="29" l="1"/>
  <c r="E573" i="8" s="1"/>
  <c r="E572" i="8"/>
  <c r="H54" i="29"/>
  <c r="D573" i="8" s="1"/>
  <c r="D572" i="8"/>
  <c r="D19" i="41" s="1"/>
  <c r="A461" i="8" l="1"/>
  <c r="E391" i="8"/>
  <c r="B375" i="8"/>
  <c r="C375" i="8"/>
  <c r="D375" i="8"/>
  <c r="E375" i="8"/>
  <c r="B376" i="8"/>
  <c r="C376" i="8"/>
  <c r="D376" i="8"/>
  <c r="E376" i="8"/>
  <c r="B377" i="8"/>
  <c r="C377" i="8"/>
  <c r="D377" i="8"/>
  <c r="E377" i="8"/>
  <c r="B379" i="8"/>
  <c r="C379" i="8"/>
  <c r="D379" i="8"/>
  <c r="E379" i="8"/>
  <c r="B380" i="8"/>
  <c r="C380" i="8"/>
  <c r="D380" i="8"/>
  <c r="E380" i="8"/>
  <c r="B381" i="8"/>
  <c r="C381" i="8"/>
  <c r="D381" i="8"/>
  <c r="E381" i="8"/>
  <c r="B304" i="8" l="1"/>
  <c r="C304" i="8"/>
  <c r="D304" i="8"/>
  <c r="B305" i="8"/>
  <c r="C305" i="8"/>
  <c r="D305" i="8"/>
  <c r="B306" i="8"/>
  <c r="C306" i="8"/>
  <c r="D306" i="8"/>
  <c r="B307" i="8"/>
  <c r="C307" i="8"/>
  <c r="D307" i="8"/>
  <c r="B308" i="8"/>
  <c r="C308" i="8"/>
  <c r="D308" i="8"/>
  <c r="B309" i="8"/>
  <c r="C309" i="8"/>
  <c r="D309" i="8"/>
  <c r="B310" i="8"/>
  <c r="C310" i="8"/>
  <c r="D310" i="8"/>
  <c r="B311" i="8"/>
  <c r="C311" i="8"/>
  <c r="D311" i="8"/>
  <c r="B312" i="8"/>
  <c r="C312" i="8"/>
  <c r="D312" i="8"/>
  <c r="B292" i="8"/>
  <c r="C292" i="8"/>
  <c r="D292" i="8"/>
  <c r="B293" i="8"/>
  <c r="C293" i="8"/>
  <c r="D293" i="8"/>
  <c r="B294" i="8"/>
  <c r="C294" i="8"/>
  <c r="D294" i="8"/>
  <c r="B295" i="8"/>
  <c r="C295" i="8"/>
  <c r="D295" i="8"/>
  <c r="B296" i="8"/>
  <c r="C296" i="8"/>
  <c r="D296" i="8"/>
  <c r="B297" i="8"/>
  <c r="C297" i="8"/>
  <c r="D297" i="8"/>
  <c r="B298" i="8"/>
  <c r="C298" i="8"/>
  <c r="D298" i="8"/>
  <c r="B299" i="8"/>
  <c r="C299" i="8"/>
  <c r="D299" i="8"/>
  <c r="B300" i="8"/>
  <c r="C300" i="8"/>
  <c r="D300" i="8"/>
  <c r="B301" i="8"/>
  <c r="C301" i="8"/>
  <c r="D301" i="8"/>
  <c r="B302" i="8"/>
  <c r="C302" i="8"/>
  <c r="D302" i="8"/>
  <c r="B303" i="8"/>
  <c r="C303" i="8"/>
  <c r="D303" i="8"/>
  <c r="B284" i="8"/>
  <c r="C284" i="8"/>
  <c r="D284" i="8"/>
  <c r="B285" i="8"/>
  <c r="C285" i="8"/>
  <c r="D285" i="8"/>
  <c r="B286" i="8"/>
  <c r="C286" i="8"/>
  <c r="D286" i="8"/>
  <c r="B287" i="8"/>
  <c r="C287" i="8"/>
  <c r="D287" i="8"/>
  <c r="B288" i="8"/>
  <c r="C288" i="8"/>
  <c r="D288" i="8"/>
  <c r="B289" i="8"/>
  <c r="C289" i="8"/>
  <c r="D289" i="8"/>
  <c r="B290" i="8"/>
  <c r="C290" i="8"/>
  <c r="D290" i="8"/>
  <c r="B291" i="8"/>
  <c r="C291" i="8"/>
  <c r="D291" i="8"/>
  <c r="B270" i="8"/>
  <c r="C270" i="8"/>
  <c r="D270" i="8"/>
  <c r="B271" i="8"/>
  <c r="C271" i="8"/>
  <c r="D271" i="8"/>
  <c r="B272" i="8"/>
  <c r="C272" i="8"/>
  <c r="D272" i="8"/>
  <c r="B273" i="8"/>
  <c r="C273" i="8"/>
  <c r="D273" i="8"/>
  <c r="B274" i="8"/>
  <c r="C274" i="8"/>
  <c r="D274" i="8"/>
  <c r="B275" i="8"/>
  <c r="C275" i="8"/>
  <c r="D275" i="8"/>
  <c r="B276" i="8"/>
  <c r="C276" i="8"/>
  <c r="D276" i="8"/>
  <c r="B277" i="8"/>
  <c r="C277" i="8"/>
  <c r="D277" i="8"/>
  <c r="B278" i="8"/>
  <c r="C278" i="8"/>
  <c r="D278" i="8"/>
  <c r="B279" i="8"/>
  <c r="C279" i="8"/>
  <c r="D279" i="8"/>
  <c r="B280" i="8"/>
  <c r="C280" i="8"/>
  <c r="D280" i="8"/>
  <c r="B281" i="8"/>
  <c r="C281" i="8"/>
  <c r="D281" i="8"/>
  <c r="B282" i="8"/>
  <c r="C282" i="8"/>
  <c r="D282" i="8"/>
  <c r="B283" i="8"/>
  <c r="C283" i="8"/>
  <c r="D283" i="8"/>
  <c r="B259" i="8"/>
  <c r="C259" i="8"/>
  <c r="D259" i="8"/>
  <c r="B260" i="8"/>
  <c r="C260" i="8"/>
  <c r="D260" i="8"/>
  <c r="B261" i="8"/>
  <c r="C261" i="8"/>
  <c r="D261" i="8"/>
  <c r="B263" i="8"/>
  <c r="C263" i="8"/>
  <c r="D263" i="8"/>
  <c r="B264" i="8"/>
  <c r="C264" i="8"/>
  <c r="D264" i="8"/>
  <c r="B265" i="8"/>
  <c r="C265" i="8"/>
  <c r="D265" i="8"/>
  <c r="B266" i="8"/>
  <c r="C266" i="8"/>
  <c r="D266" i="8"/>
  <c r="B267" i="8"/>
  <c r="C267" i="8"/>
  <c r="D267" i="8"/>
  <c r="B268" i="8"/>
  <c r="C268" i="8"/>
  <c r="D268" i="8"/>
  <c r="B269" i="8"/>
  <c r="C269" i="8"/>
  <c r="D269" i="8"/>
  <c r="B251" i="8"/>
  <c r="C251" i="8"/>
  <c r="D251" i="8"/>
  <c r="B252" i="8"/>
  <c r="C252" i="8"/>
  <c r="D252" i="8"/>
  <c r="B253" i="8"/>
  <c r="C253" i="8"/>
  <c r="D253" i="8"/>
  <c r="B254" i="8"/>
  <c r="C254" i="8"/>
  <c r="D254" i="8"/>
  <c r="B255" i="8"/>
  <c r="C255" i="8"/>
  <c r="D255" i="8"/>
  <c r="B256" i="8"/>
  <c r="C256" i="8"/>
  <c r="D256" i="8"/>
  <c r="B257" i="8"/>
  <c r="C257" i="8"/>
  <c r="D257" i="8"/>
  <c r="B258" i="8"/>
  <c r="C258" i="8"/>
  <c r="D258" i="8"/>
  <c r="D250" i="8"/>
  <c r="C250" i="8"/>
  <c r="B250" i="8"/>
  <c r="B242" i="8"/>
  <c r="C242" i="8"/>
  <c r="D242" i="8"/>
  <c r="B243" i="8"/>
  <c r="C243" i="8"/>
  <c r="D243" i="8"/>
  <c r="B244" i="8"/>
  <c r="C244" i="8"/>
  <c r="D244" i="8"/>
  <c r="B245" i="8"/>
  <c r="C245" i="8"/>
  <c r="D245" i="8"/>
  <c r="B246" i="8"/>
  <c r="C246" i="8"/>
  <c r="D246" i="8"/>
  <c r="B247" i="8"/>
  <c r="C247" i="8"/>
  <c r="D247" i="8"/>
  <c r="B231" i="8"/>
  <c r="C231" i="8"/>
  <c r="D231" i="8"/>
  <c r="B232" i="8"/>
  <c r="C232" i="8"/>
  <c r="D232" i="8"/>
  <c r="B233" i="8"/>
  <c r="C233" i="8"/>
  <c r="D233" i="8"/>
  <c r="B234" i="8"/>
  <c r="C234" i="8"/>
  <c r="D234" i="8"/>
  <c r="B235" i="8"/>
  <c r="C235" i="8"/>
  <c r="D235" i="8"/>
  <c r="B236" i="8"/>
  <c r="C236" i="8"/>
  <c r="D236" i="8"/>
  <c r="B237" i="8"/>
  <c r="C237" i="8"/>
  <c r="D237" i="8"/>
  <c r="B238" i="8"/>
  <c r="C238" i="8"/>
  <c r="D238" i="8"/>
  <c r="B239" i="8"/>
  <c r="C239" i="8"/>
  <c r="D239" i="8"/>
  <c r="B240" i="8"/>
  <c r="C240" i="8"/>
  <c r="D240" i="8"/>
  <c r="B241" i="8"/>
  <c r="C241" i="8"/>
  <c r="D241" i="8"/>
  <c r="D230" i="8"/>
  <c r="C230" i="8"/>
  <c r="B230" i="8"/>
  <c r="A229" i="8"/>
  <c r="A444" i="8" s="1"/>
  <c r="C173" i="4"/>
  <c r="C203" i="8"/>
  <c r="C166" i="4"/>
  <c r="B215" i="8"/>
  <c r="C215" i="8"/>
  <c r="D215" i="8"/>
  <c r="B216" i="8"/>
  <c r="C216" i="8"/>
  <c r="D216" i="8"/>
  <c r="B217" i="8"/>
  <c r="C217" i="8"/>
  <c r="D217" i="8"/>
  <c r="B218" i="8"/>
  <c r="C218" i="8"/>
  <c r="D218" i="8"/>
  <c r="B219" i="8"/>
  <c r="C219" i="8"/>
  <c r="D219" i="8"/>
  <c r="B220" i="8"/>
  <c r="C220" i="8"/>
  <c r="D220" i="8"/>
  <c r="B221" i="8"/>
  <c r="C221" i="8"/>
  <c r="D221" i="8"/>
  <c r="B222" i="8"/>
  <c r="C222" i="8"/>
  <c r="D222" i="8"/>
  <c r="B223" i="8"/>
  <c r="C223" i="8"/>
  <c r="D223" i="8"/>
  <c r="B224" i="8"/>
  <c r="C224" i="8"/>
  <c r="D224" i="8"/>
  <c r="B225" i="8"/>
  <c r="C225" i="8"/>
  <c r="D225" i="8"/>
  <c r="B226" i="8"/>
  <c r="C226" i="8"/>
  <c r="D226" i="8"/>
  <c r="B210" i="8"/>
  <c r="C210" i="8"/>
  <c r="D210" i="8"/>
  <c r="B203" i="8"/>
  <c r="K203" i="8" s="1"/>
  <c r="D203" i="8"/>
  <c r="M203" i="8" s="1"/>
  <c r="J203" i="8"/>
  <c r="N203" i="8"/>
  <c r="T203" i="8"/>
  <c r="B201" i="8"/>
  <c r="K201" i="8" s="1"/>
  <c r="C201" i="8"/>
  <c r="D201" i="8"/>
  <c r="M201" i="8" s="1"/>
  <c r="J201" i="8"/>
  <c r="N201" i="8"/>
  <c r="T201" i="8"/>
  <c r="B196" i="8"/>
  <c r="K196" i="8" s="1"/>
  <c r="C196" i="8"/>
  <c r="L196" i="8" s="1"/>
  <c r="D196" i="8"/>
  <c r="M196" i="8" s="1"/>
  <c r="J196" i="8"/>
  <c r="N196" i="8"/>
  <c r="T196" i="8"/>
  <c r="B197" i="8"/>
  <c r="C197" i="8"/>
  <c r="D197" i="8"/>
  <c r="B198" i="8"/>
  <c r="C198" i="8"/>
  <c r="D198" i="8"/>
  <c r="B199" i="8"/>
  <c r="C199" i="8"/>
  <c r="D199" i="8"/>
  <c r="B200" i="8"/>
  <c r="C200" i="8"/>
  <c r="D200" i="8"/>
  <c r="B202" i="8"/>
  <c r="C202" i="8"/>
  <c r="D202" i="8"/>
  <c r="B204" i="8"/>
  <c r="C204" i="8"/>
  <c r="D204" i="8"/>
  <c r="B205" i="8"/>
  <c r="C205" i="8"/>
  <c r="D205" i="8"/>
  <c r="B206" i="8"/>
  <c r="C206" i="8"/>
  <c r="D206" i="8"/>
  <c r="B207" i="8"/>
  <c r="C207" i="8"/>
  <c r="D207" i="8"/>
  <c r="B208" i="8"/>
  <c r="C208" i="8"/>
  <c r="D208" i="8"/>
  <c r="B209" i="8"/>
  <c r="C209" i="8"/>
  <c r="D209" i="8"/>
  <c r="B211" i="8"/>
  <c r="C211" i="8"/>
  <c r="D211" i="8"/>
  <c r="B212" i="8"/>
  <c r="C212" i="8"/>
  <c r="D212" i="8"/>
  <c r="B213" i="8"/>
  <c r="C213" i="8"/>
  <c r="D213" i="8"/>
  <c r="B214" i="8"/>
  <c r="C214" i="8"/>
  <c r="D214" i="8"/>
  <c r="B227" i="8"/>
  <c r="C227" i="8"/>
  <c r="D227" i="8"/>
  <c r="A195" i="8"/>
  <c r="B186" i="8"/>
  <c r="C186" i="8"/>
  <c r="D186" i="8"/>
  <c r="B187" i="8"/>
  <c r="C187" i="8"/>
  <c r="D187" i="8"/>
  <c r="B188" i="8"/>
  <c r="C188" i="8"/>
  <c r="D188" i="8"/>
  <c r="B189" i="8"/>
  <c r="C189" i="8"/>
  <c r="D189" i="8"/>
  <c r="B190" i="8"/>
  <c r="C190" i="8"/>
  <c r="D190" i="8"/>
  <c r="B191" i="8"/>
  <c r="C191" i="8"/>
  <c r="D191" i="8"/>
  <c r="B192" i="8"/>
  <c r="C192" i="8"/>
  <c r="H192" i="8" s="1"/>
  <c r="D192" i="8"/>
  <c r="B193" i="8"/>
  <c r="C193" i="8"/>
  <c r="D193" i="8"/>
  <c r="B178" i="8"/>
  <c r="C178" i="8"/>
  <c r="D178" i="8"/>
  <c r="B179" i="8"/>
  <c r="C179" i="8"/>
  <c r="D179" i="8"/>
  <c r="B180" i="8"/>
  <c r="C180" i="8"/>
  <c r="D180" i="8"/>
  <c r="B181" i="8"/>
  <c r="C181" i="8"/>
  <c r="D181" i="8"/>
  <c r="B182" i="8"/>
  <c r="C182" i="8"/>
  <c r="D182" i="8"/>
  <c r="B183" i="8"/>
  <c r="C183" i="8"/>
  <c r="D183" i="8"/>
  <c r="B184" i="8"/>
  <c r="C184" i="8"/>
  <c r="D184" i="8"/>
  <c r="B185" i="8"/>
  <c r="C185" i="8"/>
  <c r="D185" i="8"/>
  <c r="D177" i="8"/>
  <c r="C177" i="8"/>
  <c r="B177" i="8"/>
  <c r="A176" i="8"/>
  <c r="A393" i="8" s="1"/>
  <c r="B173" i="8"/>
  <c r="C173" i="8"/>
  <c r="D173" i="8"/>
  <c r="B174" i="8"/>
  <c r="C174" i="8"/>
  <c r="D174" i="8"/>
  <c r="B163" i="8"/>
  <c r="C163" i="8"/>
  <c r="D163" i="8"/>
  <c r="B164" i="8"/>
  <c r="C164" i="8"/>
  <c r="D164" i="8"/>
  <c r="B165" i="8"/>
  <c r="C165" i="8"/>
  <c r="D165" i="8"/>
  <c r="B166" i="8"/>
  <c r="C166" i="8"/>
  <c r="D166" i="8"/>
  <c r="B167" i="8"/>
  <c r="C167" i="8"/>
  <c r="D167" i="8"/>
  <c r="B168" i="8"/>
  <c r="C168" i="8"/>
  <c r="D168" i="8"/>
  <c r="B169" i="8"/>
  <c r="C169" i="8"/>
  <c r="D169" i="8"/>
  <c r="B170" i="8"/>
  <c r="C170" i="8"/>
  <c r="D170" i="8"/>
  <c r="B171" i="8"/>
  <c r="C171" i="8"/>
  <c r="D171" i="8"/>
  <c r="B172" i="8"/>
  <c r="C172" i="8"/>
  <c r="D172" i="8"/>
  <c r="B153" i="8"/>
  <c r="C153" i="8"/>
  <c r="D153" i="8"/>
  <c r="B154" i="8"/>
  <c r="C154" i="8"/>
  <c r="D154" i="8"/>
  <c r="B155" i="8"/>
  <c r="C155" i="8"/>
  <c r="D155" i="8"/>
  <c r="B156" i="8"/>
  <c r="C156" i="8"/>
  <c r="D156" i="8"/>
  <c r="B157" i="8"/>
  <c r="C157" i="8"/>
  <c r="D157" i="8"/>
  <c r="B158" i="8"/>
  <c r="C158" i="8"/>
  <c r="D158" i="8"/>
  <c r="B159" i="8"/>
  <c r="C159" i="8"/>
  <c r="D159" i="8"/>
  <c r="B160" i="8"/>
  <c r="C160" i="8"/>
  <c r="D160" i="8"/>
  <c r="B161" i="8"/>
  <c r="C161" i="8"/>
  <c r="D161" i="8"/>
  <c r="B162" i="8"/>
  <c r="C162" i="8"/>
  <c r="D162" i="8"/>
  <c r="B143" i="8"/>
  <c r="C143" i="8"/>
  <c r="D143" i="8"/>
  <c r="B144" i="8"/>
  <c r="C144" i="8"/>
  <c r="D144" i="8"/>
  <c r="B145" i="8"/>
  <c r="C145" i="8"/>
  <c r="D145" i="8"/>
  <c r="B146" i="8"/>
  <c r="C146" i="8"/>
  <c r="D146" i="8"/>
  <c r="B147" i="8"/>
  <c r="C147" i="8"/>
  <c r="D147" i="8"/>
  <c r="B148" i="8"/>
  <c r="C148" i="8"/>
  <c r="D148" i="8"/>
  <c r="B149" i="8"/>
  <c r="C149" i="8"/>
  <c r="D149" i="8"/>
  <c r="B150" i="8"/>
  <c r="C150" i="8"/>
  <c r="D150" i="8"/>
  <c r="B151" i="8"/>
  <c r="C151" i="8"/>
  <c r="D151" i="8"/>
  <c r="B152" i="8"/>
  <c r="C152" i="8"/>
  <c r="D152" i="8"/>
  <c r="B133" i="8"/>
  <c r="C133" i="8"/>
  <c r="D133" i="8"/>
  <c r="B134" i="8"/>
  <c r="C134" i="8"/>
  <c r="D134" i="8"/>
  <c r="B135" i="8"/>
  <c r="C135" i="8"/>
  <c r="D135" i="8"/>
  <c r="B136" i="8"/>
  <c r="C136" i="8"/>
  <c r="D136" i="8"/>
  <c r="B137" i="8"/>
  <c r="C137" i="8"/>
  <c r="D137" i="8"/>
  <c r="B138" i="8"/>
  <c r="C138" i="8"/>
  <c r="D138" i="8"/>
  <c r="B139" i="8"/>
  <c r="C139" i="8"/>
  <c r="D139" i="8"/>
  <c r="B140" i="8"/>
  <c r="C140" i="8"/>
  <c r="D140" i="8"/>
  <c r="B141" i="8"/>
  <c r="C141" i="8"/>
  <c r="D141" i="8"/>
  <c r="B142" i="8"/>
  <c r="C142" i="8"/>
  <c r="D142" i="8"/>
  <c r="B124" i="8"/>
  <c r="K124" i="8" s="1"/>
  <c r="C124" i="8"/>
  <c r="D124" i="8"/>
  <c r="M124" i="8" s="1"/>
  <c r="J124" i="8"/>
  <c r="N124" i="8"/>
  <c r="T124" i="8"/>
  <c r="B126" i="8"/>
  <c r="K126" i="8" s="1"/>
  <c r="C126" i="8"/>
  <c r="D126" i="8"/>
  <c r="M126" i="8" s="1"/>
  <c r="J126" i="8"/>
  <c r="N126" i="8"/>
  <c r="T126" i="8"/>
  <c r="B127" i="8"/>
  <c r="K127" i="8" s="1"/>
  <c r="C127" i="8"/>
  <c r="L127" i="8" s="1"/>
  <c r="D127" i="8"/>
  <c r="M127" i="8" s="1"/>
  <c r="I127" i="8"/>
  <c r="J127" i="8"/>
  <c r="N127" i="8"/>
  <c r="T127" i="8"/>
  <c r="B128" i="8"/>
  <c r="K128" i="8" s="1"/>
  <c r="C128" i="8"/>
  <c r="L128" i="8" s="1"/>
  <c r="D128" i="8"/>
  <c r="M128" i="8" s="1"/>
  <c r="I128" i="8"/>
  <c r="J128" i="8"/>
  <c r="N128" i="8"/>
  <c r="T128" i="8"/>
  <c r="B129" i="8"/>
  <c r="K129" i="8" s="1"/>
  <c r="C129" i="8"/>
  <c r="D129" i="8"/>
  <c r="M129" i="8" s="1"/>
  <c r="J129" i="8"/>
  <c r="N129" i="8"/>
  <c r="T129" i="8"/>
  <c r="B130" i="8"/>
  <c r="K130" i="8" s="1"/>
  <c r="C130" i="8"/>
  <c r="L130" i="8" s="1"/>
  <c r="D130" i="8"/>
  <c r="M130" i="8" s="1"/>
  <c r="J130" i="8"/>
  <c r="N130" i="8"/>
  <c r="T130" i="8"/>
  <c r="B131" i="8"/>
  <c r="K131" i="8" s="1"/>
  <c r="C131" i="8"/>
  <c r="L131" i="8" s="1"/>
  <c r="D131" i="8"/>
  <c r="M131" i="8" s="1"/>
  <c r="J131" i="8"/>
  <c r="N131" i="8"/>
  <c r="T131" i="8"/>
  <c r="B132" i="8"/>
  <c r="K132" i="8" s="1"/>
  <c r="C132" i="8"/>
  <c r="D132" i="8"/>
  <c r="M132" i="8" s="1"/>
  <c r="J132" i="8"/>
  <c r="N132" i="8"/>
  <c r="T132" i="8"/>
  <c r="B115" i="8"/>
  <c r="K115" i="8" s="1"/>
  <c r="C115" i="8"/>
  <c r="D115" i="8"/>
  <c r="M115" i="8" s="1"/>
  <c r="I115" i="8"/>
  <c r="J115" i="8"/>
  <c r="N115" i="8"/>
  <c r="T115" i="8"/>
  <c r="B116" i="8"/>
  <c r="K116" i="8" s="1"/>
  <c r="C116" i="8"/>
  <c r="D116" i="8"/>
  <c r="M116" i="8" s="1"/>
  <c r="I116" i="8"/>
  <c r="J116" i="8"/>
  <c r="N116" i="8"/>
  <c r="T116" i="8"/>
  <c r="B117" i="8"/>
  <c r="K117" i="8" s="1"/>
  <c r="C117" i="8"/>
  <c r="D117" i="8"/>
  <c r="M117" i="8" s="1"/>
  <c r="I117" i="8"/>
  <c r="J117" i="8"/>
  <c r="N117" i="8"/>
  <c r="T117" i="8"/>
  <c r="B118" i="8"/>
  <c r="K118" i="8" s="1"/>
  <c r="C118" i="8"/>
  <c r="D118" i="8"/>
  <c r="M118" i="8" s="1"/>
  <c r="E118" i="8"/>
  <c r="I118" i="8"/>
  <c r="J118" i="8"/>
  <c r="N118" i="8"/>
  <c r="T118" i="8"/>
  <c r="B119" i="8"/>
  <c r="K119" i="8" s="1"/>
  <c r="C119" i="8"/>
  <c r="L119" i="8" s="1"/>
  <c r="D119" i="8"/>
  <c r="M119" i="8" s="1"/>
  <c r="E119" i="8"/>
  <c r="I119" i="8"/>
  <c r="J119" i="8"/>
  <c r="N119" i="8"/>
  <c r="T119" i="8"/>
  <c r="B120" i="8"/>
  <c r="K120" i="8" s="1"/>
  <c r="C120" i="8"/>
  <c r="D120" i="8"/>
  <c r="M120" i="8" s="1"/>
  <c r="I120" i="8"/>
  <c r="J120" i="8"/>
  <c r="N120" i="8"/>
  <c r="T120" i="8"/>
  <c r="B121" i="8"/>
  <c r="K121" i="8" s="1"/>
  <c r="C121" i="8"/>
  <c r="D121" i="8"/>
  <c r="M121" i="8" s="1"/>
  <c r="I121" i="8"/>
  <c r="J121" i="8"/>
  <c r="N121" i="8"/>
  <c r="T121" i="8"/>
  <c r="B122" i="8"/>
  <c r="K122" i="8" s="1"/>
  <c r="C122" i="8"/>
  <c r="L122" i="8" s="1"/>
  <c r="D122" i="8"/>
  <c r="M122" i="8" s="1"/>
  <c r="J122" i="8"/>
  <c r="N122" i="8"/>
  <c r="T122" i="8"/>
  <c r="B123" i="8"/>
  <c r="K123" i="8" s="1"/>
  <c r="C123" i="8"/>
  <c r="D123" i="8"/>
  <c r="M123" i="8" s="1"/>
  <c r="J123" i="8"/>
  <c r="N123" i="8"/>
  <c r="T123" i="8"/>
  <c r="I114" i="8"/>
  <c r="L201" i="8" l="1"/>
  <c r="L203" i="8"/>
  <c r="R119" i="8"/>
  <c r="L132" i="8"/>
  <c r="L124" i="8"/>
  <c r="R118" i="8"/>
  <c r="L118" i="8"/>
  <c r="L115" i="8"/>
  <c r="L117" i="8"/>
  <c r="L120" i="8"/>
  <c r="L123" i="8"/>
  <c r="L121" i="8"/>
  <c r="L129" i="8"/>
  <c r="L126" i="8"/>
  <c r="L116" i="8"/>
  <c r="A107" i="8" l="1"/>
  <c r="B107" i="8"/>
  <c r="C107" i="8"/>
  <c r="D107" i="8"/>
  <c r="A108" i="8"/>
  <c r="B108" i="8"/>
  <c r="C108" i="8"/>
  <c r="D108" i="8"/>
  <c r="A109" i="8"/>
  <c r="B109" i="8"/>
  <c r="C109" i="8"/>
  <c r="D109" i="8"/>
  <c r="A97" i="8"/>
  <c r="B97" i="8"/>
  <c r="C97" i="8"/>
  <c r="D97" i="8"/>
  <c r="A98" i="8"/>
  <c r="B98" i="8"/>
  <c r="C98" i="8"/>
  <c r="D98" i="8"/>
  <c r="A99" i="8"/>
  <c r="B99" i="8"/>
  <c r="C99" i="8"/>
  <c r="D99" i="8"/>
  <c r="A100" i="8"/>
  <c r="B100" i="8"/>
  <c r="C100" i="8"/>
  <c r="D100" i="8"/>
  <c r="A101" i="8"/>
  <c r="B101" i="8"/>
  <c r="C101" i="8"/>
  <c r="D101" i="8"/>
  <c r="A102" i="8"/>
  <c r="B102" i="8"/>
  <c r="C102" i="8"/>
  <c r="D102" i="8"/>
  <c r="A103" i="8"/>
  <c r="B103" i="8"/>
  <c r="C103" i="8"/>
  <c r="D103" i="8"/>
  <c r="A104" i="8"/>
  <c r="B104" i="8"/>
  <c r="C104" i="8"/>
  <c r="D104" i="8"/>
  <c r="A105" i="8"/>
  <c r="B105" i="8"/>
  <c r="C105" i="8"/>
  <c r="D105" i="8"/>
  <c r="A106" i="8"/>
  <c r="B106" i="8"/>
  <c r="C106" i="8"/>
  <c r="D106" i="8"/>
  <c r="A94" i="8"/>
  <c r="B94" i="8"/>
  <c r="C94" i="8"/>
  <c r="D94" i="8"/>
  <c r="A95" i="8"/>
  <c r="B95" i="8"/>
  <c r="C95" i="8"/>
  <c r="D95" i="8"/>
  <c r="A96" i="8"/>
  <c r="B96" i="8"/>
  <c r="C96" i="8"/>
  <c r="D96" i="8"/>
  <c r="A89" i="8"/>
  <c r="B89" i="8"/>
  <c r="C89" i="8"/>
  <c r="D89" i="8"/>
  <c r="A90" i="8"/>
  <c r="B90" i="8"/>
  <c r="C90" i="8"/>
  <c r="D90" i="8"/>
  <c r="A91" i="8"/>
  <c r="B91" i="8"/>
  <c r="C91" i="8"/>
  <c r="D91" i="8"/>
  <c r="A92" i="8"/>
  <c r="B92" i="8"/>
  <c r="C92" i="8"/>
  <c r="D92" i="8"/>
  <c r="A93" i="8"/>
  <c r="B93" i="8"/>
  <c r="C93" i="8"/>
  <c r="D93" i="8"/>
  <c r="A83" i="8"/>
  <c r="B83" i="8"/>
  <c r="C83" i="8"/>
  <c r="D83" i="8"/>
  <c r="A84" i="8"/>
  <c r="B84" i="8"/>
  <c r="C84" i="8"/>
  <c r="D84" i="8"/>
  <c r="A85" i="8"/>
  <c r="B85" i="8"/>
  <c r="C85" i="8"/>
  <c r="D85" i="8"/>
  <c r="A86" i="8"/>
  <c r="B86" i="8"/>
  <c r="C86" i="8"/>
  <c r="D86" i="8"/>
  <c r="A87" i="8"/>
  <c r="B87" i="8"/>
  <c r="C87" i="8"/>
  <c r="D87" i="8"/>
  <c r="A88" i="8"/>
  <c r="B88" i="8"/>
  <c r="C88" i="8"/>
  <c r="D88" i="8"/>
  <c r="A73" i="8"/>
  <c r="B73" i="8"/>
  <c r="C73" i="8"/>
  <c r="D73" i="8"/>
  <c r="A74" i="8"/>
  <c r="B74" i="8"/>
  <c r="C74" i="8"/>
  <c r="D74" i="8"/>
  <c r="A75" i="8"/>
  <c r="B75" i="8"/>
  <c r="C75" i="8"/>
  <c r="D75" i="8"/>
  <c r="B76" i="8"/>
  <c r="C76" i="8"/>
  <c r="D76" i="8"/>
  <c r="A77" i="8"/>
  <c r="B77" i="8"/>
  <c r="C77" i="8"/>
  <c r="D77" i="8"/>
  <c r="A78" i="8"/>
  <c r="B78" i="8"/>
  <c r="C78" i="8"/>
  <c r="D78" i="8"/>
  <c r="A79" i="8"/>
  <c r="B79" i="8"/>
  <c r="C79" i="8"/>
  <c r="D79" i="8"/>
  <c r="A80" i="8"/>
  <c r="B80" i="8"/>
  <c r="C80" i="8"/>
  <c r="D80" i="8"/>
  <c r="A81" i="8"/>
  <c r="B81" i="8"/>
  <c r="C81" i="8"/>
  <c r="D81" i="8"/>
  <c r="A82" i="8"/>
  <c r="B82" i="8"/>
  <c r="C82" i="8"/>
  <c r="D82" i="8"/>
  <c r="A64" i="8"/>
  <c r="B64" i="8"/>
  <c r="C64" i="8"/>
  <c r="D64" i="8"/>
  <c r="A65" i="8"/>
  <c r="B65" i="8"/>
  <c r="C65" i="8"/>
  <c r="D65" i="8"/>
  <c r="A66" i="8"/>
  <c r="B66" i="8"/>
  <c r="C66" i="8"/>
  <c r="D66" i="8"/>
  <c r="A67" i="8"/>
  <c r="B67" i="8"/>
  <c r="C67" i="8"/>
  <c r="D67" i="8"/>
  <c r="A68" i="8"/>
  <c r="B68" i="8"/>
  <c r="C68" i="8"/>
  <c r="D68" i="8"/>
  <c r="A69" i="8"/>
  <c r="B69" i="8"/>
  <c r="C69" i="8"/>
  <c r="D69" i="8"/>
  <c r="A70" i="8"/>
  <c r="B70" i="8"/>
  <c r="C70" i="8"/>
  <c r="D70" i="8"/>
  <c r="A71" i="8"/>
  <c r="B71" i="8"/>
  <c r="C71" i="8"/>
  <c r="D71" i="8"/>
  <c r="A72" i="8"/>
  <c r="B72" i="8"/>
  <c r="C72" i="8"/>
  <c r="D72" i="8"/>
  <c r="A59" i="8"/>
  <c r="B59" i="8"/>
  <c r="C59" i="8"/>
  <c r="D59" i="8"/>
  <c r="A60" i="8"/>
  <c r="B60" i="8"/>
  <c r="C60" i="8"/>
  <c r="D60" i="8"/>
  <c r="A61" i="8"/>
  <c r="B61" i="8"/>
  <c r="C61" i="8"/>
  <c r="D61" i="8"/>
  <c r="A62" i="8"/>
  <c r="B62" i="8"/>
  <c r="C62" i="8"/>
  <c r="D62" i="8"/>
  <c r="A63" i="8"/>
  <c r="B63" i="8"/>
  <c r="C63" i="8"/>
  <c r="D63" i="8"/>
  <c r="G326" i="4"/>
  <c r="N326" i="4" s="1"/>
  <c r="G325" i="4"/>
  <c r="N325" i="4" s="1"/>
  <c r="H310" i="4"/>
  <c r="H311" i="4" s="1"/>
  <c r="H307" i="4"/>
  <c r="J305" i="4"/>
  <c r="J303" i="4"/>
  <c r="J302" i="4"/>
  <c r="J310" i="4" s="1"/>
  <c r="J311" i="4" s="1"/>
  <c r="J301" i="4"/>
  <c r="J299" i="4"/>
  <c r="J295" i="4"/>
  <c r="J296" i="4" s="1"/>
  <c r="B316" i="4"/>
  <c r="C316" i="4"/>
  <c r="D316" i="4"/>
  <c r="B317" i="4"/>
  <c r="C317" i="4"/>
  <c r="D317" i="4"/>
  <c r="B318" i="4"/>
  <c r="C318" i="4"/>
  <c r="D318" i="4"/>
  <c r="B319" i="4"/>
  <c r="C319" i="4"/>
  <c r="D319" i="4"/>
  <c r="B320" i="4"/>
  <c r="C320" i="4"/>
  <c r="D320" i="4"/>
  <c r="B321" i="4"/>
  <c r="C321" i="4"/>
  <c r="D321" i="4"/>
  <c r="B322" i="4"/>
  <c r="C322" i="4"/>
  <c r="D322" i="4"/>
  <c r="B323" i="4"/>
  <c r="C323" i="4"/>
  <c r="D323" i="4"/>
  <c r="N323" i="4"/>
  <c r="B324" i="4"/>
  <c r="C324" i="4"/>
  <c r="D324" i="4"/>
  <c r="B325" i="4"/>
  <c r="C325" i="4"/>
  <c r="D325" i="4"/>
  <c r="B326" i="4"/>
  <c r="C326" i="4"/>
  <c r="D326" i="4"/>
  <c r="B327" i="4"/>
  <c r="C327" i="4"/>
  <c r="D327" i="4"/>
  <c r="N327" i="4"/>
  <c r="B306" i="4"/>
  <c r="C306" i="4"/>
  <c r="D306" i="4"/>
  <c r="B307" i="4"/>
  <c r="C307" i="4"/>
  <c r="D307" i="4"/>
  <c r="B308" i="4"/>
  <c r="C308" i="4"/>
  <c r="D308" i="4"/>
  <c r="B309" i="4"/>
  <c r="C309" i="4"/>
  <c r="D309" i="4"/>
  <c r="B310" i="4"/>
  <c r="C310" i="4"/>
  <c r="D310" i="4"/>
  <c r="B311" i="4"/>
  <c r="C311" i="4"/>
  <c r="D311" i="4"/>
  <c r="B312" i="4"/>
  <c r="C312" i="4"/>
  <c r="D312" i="4"/>
  <c r="B313" i="4"/>
  <c r="C313" i="4"/>
  <c r="D313" i="4"/>
  <c r="B314" i="4"/>
  <c r="C314" i="4"/>
  <c r="D314" i="4"/>
  <c r="B315" i="4"/>
  <c r="C315" i="4"/>
  <c r="D315" i="4"/>
  <c r="B293" i="4"/>
  <c r="C293" i="4"/>
  <c r="D293" i="4"/>
  <c r="B294" i="4"/>
  <c r="C294" i="4"/>
  <c r="D294" i="4"/>
  <c r="B295" i="4"/>
  <c r="C295" i="4"/>
  <c r="D295" i="4"/>
  <c r="B296" i="4"/>
  <c r="C296" i="4"/>
  <c r="D296" i="4"/>
  <c r="B297" i="4"/>
  <c r="C297" i="4"/>
  <c r="D297" i="4"/>
  <c r="B298" i="4"/>
  <c r="C298" i="4"/>
  <c r="D298" i="4"/>
  <c r="B299" i="4"/>
  <c r="C299" i="4"/>
  <c r="D299" i="4"/>
  <c r="B300" i="4"/>
  <c r="C300" i="4"/>
  <c r="D300" i="4"/>
  <c r="B301" i="4"/>
  <c r="C301" i="4"/>
  <c r="D301" i="4"/>
  <c r="B302" i="4"/>
  <c r="C302" i="4"/>
  <c r="D302" i="4"/>
  <c r="B303" i="4"/>
  <c r="C303" i="4"/>
  <c r="D303" i="4"/>
  <c r="B304" i="4"/>
  <c r="C304" i="4"/>
  <c r="D304" i="4"/>
  <c r="B305" i="4"/>
  <c r="C305" i="4"/>
  <c r="D305" i="4"/>
  <c r="B285" i="4"/>
  <c r="C285" i="4"/>
  <c r="D285" i="4"/>
  <c r="B286" i="4"/>
  <c r="C286" i="4"/>
  <c r="D286" i="4"/>
  <c r="B287" i="4"/>
  <c r="C287" i="4"/>
  <c r="D287" i="4"/>
  <c r="B288" i="4"/>
  <c r="C288" i="4"/>
  <c r="D288" i="4"/>
  <c r="B289" i="4"/>
  <c r="C289" i="4"/>
  <c r="D289" i="4"/>
  <c r="B290" i="4"/>
  <c r="C290" i="4"/>
  <c r="D290" i="4"/>
  <c r="B291" i="4"/>
  <c r="C291" i="4"/>
  <c r="D291" i="4"/>
  <c r="B292" i="4"/>
  <c r="C292" i="4"/>
  <c r="D292" i="4"/>
  <c r="A255" i="4"/>
  <c r="B255" i="4"/>
  <c r="C255" i="4"/>
  <c r="D255" i="4"/>
  <c r="B256" i="4"/>
  <c r="C256" i="4"/>
  <c r="D256" i="4"/>
  <c r="B257" i="4"/>
  <c r="C257" i="4"/>
  <c r="D257" i="4"/>
  <c r="A258" i="4"/>
  <c r="B258" i="4"/>
  <c r="C258" i="4"/>
  <c r="D258" i="4"/>
  <c r="A259" i="4"/>
  <c r="B259" i="4"/>
  <c r="C259" i="4"/>
  <c r="D259" i="4"/>
  <c r="A260" i="4"/>
  <c r="B260" i="4"/>
  <c r="C260" i="4"/>
  <c r="D260" i="4"/>
  <c r="A261" i="4"/>
  <c r="B261" i="4"/>
  <c r="C261" i="4"/>
  <c r="D261" i="4"/>
  <c r="B262" i="4"/>
  <c r="C262" i="4"/>
  <c r="D262" i="4"/>
  <c r="A263" i="4"/>
  <c r="B263" i="4"/>
  <c r="C263" i="4"/>
  <c r="D263" i="4"/>
  <c r="A264" i="4"/>
  <c r="B264" i="4"/>
  <c r="C264" i="4"/>
  <c r="D264" i="4"/>
  <c r="B265" i="4"/>
  <c r="C265" i="4"/>
  <c r="D265" i="4"/>
  <c r="B266" i="4"/>
  <c r="C266" i="4"/>
  <c r="D266" i="4"/>
  <c r="B267" i="4"/>
  <c r="C267" i="4"/>
  <c r="D267" i="4"/>
  <c r="B268" i="4"/>
  <c r="C268" i="4"/>
  <c r="D268" i="4"/>
  <c r="B269" i="4"/>
  <c r="C269" i="4"/>
  <c r="D269" i="4"/>
  <c r="B270" i="4"/>
  <c r="C270" i="4"/>
  <c r="D270" i="4"/>
  <c r="B271" i="4"/>
  <c r="C271" i="4"/>
  <c r="D271" i="4"/>
  <c r="B272" i="4"/>
  <c r="C272" i="4"/>
  <c r="D272" i="4"/>
  <c r="B273" i="4"/>
  <c r="C273" i="4"/>
  <c r="D273" i="4"/>
  <c r="B274" i="4"/>
  <c r="C274" i="4"/>
  <c r="D274" i="4"/>
  <c r="B275" i="4"/>
  <c r="C275" i="4"/>
  <c r="D275" i="4"/>
  <c r="B276" i="4"/>
  <c r="C276" i="4"/>
  <c r="D276" i="4"/>
  <c r="B277" i="4"/>
  <c r="C277" i="4"/>
  <c r="D277" i="4"/>
  <c r="B278" i="4"/>
  <c r="C278" i="4"/>
  <c r="D278" i="4"/>
  <c r="B280" i="4"/>
  <c r="C280" i="4"/>
  <c r="D280" i="4"/>
  <c r="B281" i="4"/>
  <c r="C281" i="4"/>
  <c r="D281" i="4"/>
  <c r="B282" i="4"/>
  <c r="C282" i="4"/>
  <c r="D282" i="4"/>
  <c r="B283" i="4"/>
  <c r="C283" i="4"/>
  <c r="D283" i="4"/>
  <c r="B284" i="4"/>
  <c r="C284" i="4"/>
  <c r="D284" i="4"/>
  <c r="B217" i="4"/>
  <c r="C217" i="4"/>
  <c r="D217" i="4"/>
  <c r="B218" i="4"/>
  <c r="C218" i="4"/>
  <c r="D218" i="4"/>
  <c r="A219" i="4"/>
  <c r="B219" i="4"/>
  <c r="C219" i="4"/>
  <c r="D219" i="4"/>
  <c r="A220" i="4"/>
  <c r="B220" i="4"/>
  <c r="C220" i="4"/>
  <c r="D220" i="4"/>
  <c r="A221" i="4"/>
  <c r="B221" i="4"/>
  <c r="C221" i="4"/>
  <c r="D221" i="4"/>
  <c r="A222" i="4"/>
  <c r="B222" i="4"/>
  <c r="C222" i="4"/>
  <c r="D222" i="4"/>
  <c r="A223" i="4"/>
  <c r="B223" i="4"/>
  <c r="C223" i="4"/>
  <c r="D223" i="4"/>
  <c r="A224" i="4"/>
  <c r="B224" i="4"/>
  <c r="C224" i="4"/>
  <c r="D224" i="4"/>
  <c r="A225" i="4"/>
  <c r="B225" i="4"/>
  <c r="C225" i="4"/>
  <c r="D225" i="4"/>
  <c r="A226" i="4"/>
  <c r="B226" i="4"/>
  <c r="C226" i="4"/>
  <c r="D226" i="4"/>
  <c r="A227" i="4"/>
  <c r="B227" i="4"/>
  <c r="C227" i="4"/>
  <c r="D227" i="4"/>
  <c r="A228" i="4"/>
  <c r="B228" i="4"/>
  <c r="C228" i="4"/>
  <c r="D228" i="4"/>
  <c r="A229" i="4"/>
  <c r="B229" i="4"/>
  <c r="C229" i="4"/>
  <c r="D229" i="4"/>
  <c r="A230" i="4"/>
  <c r="B230" i="4"/>
  <c r="C230" i="4"/>
  <c r="D230" i="4"/>
  <c r="A231" i="4"/>
  <c r="B231" i="4"/>
  <c r="C231" i="4"/>
  <c r="D231" i="4"/>
  <c r="A232" i="4"/>
  <c r="B232" i="4"/>
  <c r="C232" i="4"/>
  <c r="D232" i="4"/>
  <c r="B233" i="4"/>
  <c r="C233" i="4"/>
  <c r="D233" i="4"/>
  <c r="B234" i="4"/>
  <c r="C234" i="4"/>
  <c r="D234" i="4"/>
  <c r="A235" i="4"/>
  <c r="B235" i="4"/>
  <c r="C235" i="4"/>
  <c r="D235" i="4"/>
  <c r="A236" i="4"/>
  <c r="B236" i="4"/>
  <c r="C236" i="4"/>
  <c r="D236" i="4"/>
  <c r="B237" i="4"/>
  <c r="C237" i="4"/>
  <c r="D237" i="4"/>
  <c r="A238" i="4"/>
  <c r="B238" i="4"/>
  <c r="C238" i="4"/>
  <c r="D238" i="4"/>
  <c r="A239" i="4"/>
  <c r="B239" i="4"/>
  <c r="C239" i="4"/>
  <c r="D239" i="4"/>
  <c r="A240" i="4"/>
  <c r="B240" i="4"/>
  <c r="D240" i="4"/>
  <c r="A241" i="4"/>
  <c r="B241" i="4"/>
  <c r="C241" i="4"/>
  <c r="D241" i="4"/>
  <c r="A242" i="4"/>
  <c r="B242" i="4"/>
  <c r="D242" i="4"/>
  <c r="A243" i="4"/>
  <c r="B243" i="4"/>
  <c r="C243" i="4"/>
  <c r="D243" i="4"/>
  <c r="A244" i="4"/>
  <c r="B244" i="4"/>
  <c r="C244" i="4"/>
  <c r="D244" i="4"/>
  <c r="A245" i="4"/>
  <c r="B245" i="4"/>
  <c r="C245" i="4"/>
  <c r="D245" i="4"/>
  <c r="A246" i="4"/>
  <c r="B246" i="4"/>
  <c r="C246" i="4"/>
  <c r="D246" i="4"/>
  <c r="A247" i="4"/>
  <c r="B247" i="4"/>
  <c r="C247" i="4"/>
  <c r="D247" i="4"/>
  <c r="A248" i="4"/>
  <c r="B248" i="4"/>
  <c r="C248" i="4"/>
  <c r="D248" i="4"/>
  <c r="A249" i="4"/>
  <c r="B249" i="4"/>
  <c r="C249" i="4"/>
  <c r="D249" i="4"/>
  <c r="B250" i="4"/>
  <c r="C250" i="4"/>
  <c r="D250" i="4"/>
  <c r="A251" i="4"/>
  <c r="B251" i="4"/>
  <c r="C251" i="4"/>
  <c r="D251" i="4"/>
  <c r="A252" i="4"/>
  <c r="B252" i="4"/>
  <c r="C252" i="4"/>
  <c r="D252" i="4"/>
  <c r="B253" i="4"/>
  <c r="C253" i="4"/>
  <c r="D253" i="4"/>
  <c r="A254" i="4"/>
  <c r="B254" i="4"/>
  <c r="C254" i="4"/>
  <c r="D254" i="4"/>
  <c r="D216" i="4"/>
  <c r="C216" i="4"/>
  <c r="D58" i="8"/>
  <c r="B58" i="8"/>
  <c r="C58" i="8"/>
  <c r="A58" i="8"/>
  <c r="B54" i="8"/>
  <c r="C54" i="8"/>
  <c r="D54" i="8"/>
  <c r="B55" i="8"/>
  <c r="C55" i="8"/>
  <c r="D55" i="8"/>
  <c r="D53" i="8"/>
  <c r="B53" i="8"/>
  <c r="C53" i="8"/>
  <c r="A52" i="8"/>
  <c r="A47" i="8"/>
  <c r="B47" i="8"/>
  <c r="C47" i="8"/>
  <c r="D47" i="8"/>
  <c r="B48" i="8"/>
  <c r="C48" i="8"/>
  <c r="D48" i="8"/>
  <c r="B49" i="8"/>
  <c r="C49" i="8"/>
  <c r="D49" i="8"/>
  <c r="A50" i="8"/>
  <c r="B50" i="8"/>
  <c r="C50" i="8"/>
  <c r="D50" i="8"/>
  <c r="D46" i="8"/>
  <c r="C46" i="8"/>
  <c r="B46" i="8"/>
  <c r="A46" i="8"/>
  <c r="A45" i="8"/>
  <c r="A35" i="8"/>
  <c r="B35" i="8"/>
  <c r="C35" i="8"/>
  <c r="D35" i="8"/>
  <c r="A36" i="8"/>
  <c r="B36" i="8"/>
  <c r="C36" i="8"/>
  <c r="D36" i="8"/>
  <c r="B37" i="8"/>
  <c r="C37" i="8"/>
  <c r="D37" i="8"/>
  <c r="D32" i="8"/>
  <c r="B32" i="8"/>
  <c r="C32" i="8"/>
  <c r="A32" i="8"/>
  <c r="A31" i="8"/>
  <c r="E10" i="8"/>
  <c r="N9" i="28"/>
  <c r="E11" i="8" s="1"/>
  <c r="N10" i="28"/>
  <c r="E12" i="8" s="1"/>
  <c r="A25" i="8"/>
  <c r="B25" i="8"/>
  <c r="C25" i="8"/>
  <c r="D25" i="8"/>
  <c r="A26" i="8"/>
  <c r="B26" i="8"/>
  <c r="D26" i="8"/>
  <c r="A12" i="8"/>
  <c r="B12" i="8"/>
  <c r="C12" i="8"/>
  <c r="D12" i="8"/>
  <c r="A13" i="8"/>
  <c r="B13" i="8"/>
  <c r="C13" i="8"/>
  <c r="D13" i="8"/>
  <c r="A14" i="8"/>
  <c r="B14" i="8"/>
  <c r="C14" i="8"/>
  <c r="D14" i="8"/>
  <c r="A15" i="8"/>
  <c r="B15" i="8"/>
  <c r="C15" i="8"/>
  <c r="D15" i="8"/>
  <c r="A16" i="8"/>
  <c r="B16" i="8"/>
  <c r="C16" i="8"/>
  <c r="D16" i="8"/>
  <c r="A17" i="8"/>
  <c r="B17" i="8"/>
  <c r="C17" i="8"/>
  <c r="D17" i="8"/>
  <c r="A18" i="8"/>
  <c r="B18" i="8"/>
  <c r="C18" i="8"/>
  <c r="D18" i="8"/>
  <c r="A19" i="8"/>
  <c r="B19" i="8"/>
  <c r="C19" i="8"/>
  <c r="D19" i="8"/>
  <c r="A20" i="8"/>
  <c r="B20" i="8"/>
  <c r="C20" i="8"/>
  <c r="D20" i="8"/>
  <c r="A21" i="8"/>
  <c r="B21" i="8"/>
  <c r="C21" i="8"/>
  <c r="D21" i="8"/>
  <c r="A22" i="8"/>
  <c r="B22" i="8"/>
  <c r="C22" i="8"/>
  <c r="D22" i="8"/>
  <c r="A23" i="8"/>
  <c r="B23" i="8"/>
  <c r="C23" i="8"/>
  <c r="D23" i="8"/>
  <c r="A24" i="8"/>
  <c r="B24" i="8"/>
  <c r="C24" i="8"/>
  <c r="D24" i="8"/>
  <c r="A10" i="8"/>
  <c r="B10" i="8"/>
  <c r="C10" i="8"/>
  <c r="D10" i="8"/>
  <c r="A11" i="8"/>
  <c r="B11" i="8"/>
  <c r="C11" i="8"/>
  <c r="D11" i="8"/>
  <c r="D9" i="8"/>
  <c r="B9" i="8"/>
  <c r="C9" i="8"/>
  <c r="A9" i="8"/>
  <c r="A8" i="8"/>
  <c r="A113" i="8" s="1"/>
  <c r="J298" i="4" l="1"/>
  <c r="G23" i="29" l="1"/>
  <c r="F23" i="29"/>
  <c r="H175" i="5" l="1"/>
  <c r="H166" i="5"/>
  <c r="H170" i="5"/>
  <c r="H171" i="5"/>
  <c r="H174" i="5"/>
  <c r="H181" i="5"/>
  <c r="H186" i="5"/>
  <c r="H187" i="5"/>
  <c r="H188" i="5"/>
  <c r="H189" i="5"/>
  <c r="H190" i="5"/>
  <c r="H195" i="5"/>
  <c r="H196" i="5"/>
  <c r="H197" i="5"/>
  <c r="H200" i="5"/>
  <c r="H217" i="5"/>
  <c r="H229" i="5"/>
  <c r="H230" i="5"/>
  <c r="H231" i="5"/>
  <c r="H232" i="5"/>
  <c r="H233" i="5"/>
  <c r="H234" i="5"/>
  <c r="H235" i="5"/>
  <c r="H237" i="5"/>
  <c r="H238" i="5"/>
  <c r="H239" i="5"/>
  <c r="H240" i="5"/>
  <c r="H241" i="5"/>
  <c r="H243" i="5"/>
  <c r="H244" i="5"/>
  <c r="H246" i="5"/>
  <c r="H247" i="5"/>
  <c r="H248" i="5"/>
  <c r="H249" i="5"/>
  <c r="H250" i="5"/>
  <c r="H251" i="5"/>
  <c r="H252" i="5"/>
  <c r="H253" i="5"/>
  <c r="H254" i="5"/>
  <c r="H255" i="5"/>
  <c r="A243" i="5"/>
  <c r="B243" i="5" s="1"/>
  <c r="B540" i="8" s="1"/>
  <c r="A244" i="5"/>
  <c r="B244" i="5" s="1"/>
  <c r="B541" i="8" s="1"/>
  <c r="A245" i="5"/>
  <c r="A246" i="5"/>
  <c r="D246" i="5" s="1"/>
  <c r="D543" i="8" s="1"/>
  <c r="A247" i="5"/>
  <c r="B247" i="5" s="1"/>
  <c r="B544" i="8" s="1"/>
  <c r="A248" i="5"/>
  <c r="A249" i="5"/>
  <c r="A250" i="5"/>
  <c r="D250" i="5" s="1"/>
  <c r="D547" i="8" s="1"/>
  <c r="A251" i="5"/>
  <c r="B251" i="5" s="1"/>
  <c r="B548" i="8" s="1"/>
  <c r="A252" i="5"/>
  <c r="B252" i="5" s="1"/>
  <c r="B549" i="8" s="1"/>
  <c r="A253" i="5"/>
  <c r="B253" i="5" s="1"/>
  <c r="B550" i="8" s="1"/>
  <c r="A254" i="5"/>
  <c r="A255" i="5"/>
  <c r="B255" i="5" s="1"/>
  <c r="B552" i="8" s="1"/>
  <c r="A256" i="5"/>
  <c r="B256" i="5" s="1"/>
  <c r="B553" i="8" s="1"/>
  <c r="A180" i="5"/>
  <c r="B180" i="5" s="1"/>
  <c r="B477" i="8" s="1"/>
  <c r="A181" i="5"/>
  <c r="B181" i="5" s="1"/>
  <c r="B478" i="8" s="1"/>
  <c r="A182" i="5"/>
  <c r="D182" i="5" s="1"/>
  <c r="D479" i="8" s="1"/>
  <c r="A183" i="5"/>
  <c r="B183" i="5" s="1"/>
  <c r="B480" i="8" s="1"/>
  <c r="A184" i="5"/>
  <c r="B184" i="5" s="1"/>
  <c r="B481" i="8" s="1"/>
  <c r="A185" i="5"/>
  <c r="A186" i="5"/>
  <c r="D186" i="5" s="1"/>
  <c r="D483" i="8" s="1"/>
  <c r="A187" i="5"/>
  <c r="B187" i="5" s="1"/>
  <c r="B484" i="8" s="1"/>
  <c r="A188" i="5"/>
  <c r="A189" i="5"/>
  <c r="A190" i="5"/>
  <c r="D190" i="5" s="1"/>
  <c r="D487" i="8" s="1"/>
  <c r="A191" i="5"/>
  <c r="B191" i="5" s="1"/>
  <c r="B488" i="8" s="1"/>
  <c r="A192" i="5"/>
  <c r="B192" i="5" s="1"/>
  <c r="B489" i="8" s="1"/>
  <c r="A193" i="5"/>
  <c r="B193" i="5" s="1"/>
  <c r="B490" i="8" s="1"/>
  <c r="A194" i="5"/>
  <c r="D194" i="5" s="1"/>
  <c r="D491" i="8" s="1"/>
  <c r="A195" i="5"/>
  <c r="B195" i="5" s="1"/>
  <c r="B492" i="8" s="1"/>
  <c r="A196" i="5"/>
  <c r="B196" i="5" s="1"/>
  <c r="B493" i="8" s="1"/>
  <c r="A197" i="5"/>
  <c r="A198" i="5"/>
  <c r="D198" i="5" s="1"/>
  <c r="D495" i="8" s="1"/>
  <c r="A199" i="5"/>
  <c r="B199" i="5" s="1"/>
  <c r="B496" i="8" s="1"/>
  <c r="A200" i="5"/>
  <c r="A201" i="5"/>
  <c r="A202" i="5"/>
  <c r="D202" i="5" s="1"/>
  <c r="D499" i="8" s="1"/>
  <c r="A203" i="5"/>
  <c r="B203" i="5" s="1"/>
  <c r="B500" i="8" s="1"/>
  <c r="A204" i="5"/>
  <c r="B204" i="5" s="1"/>
  <c r="B501" i="8" s="1"/>
  <c r="A205" i="5"/>
  <c r="B205" i="5" s="1"/>
  <c r="B502" i="8" s="1"/>
  <c r="A206" i="5"/>
  <c r="A207" i="5"/>
  <c r="B207" i="5" s="1"/>
  <c r="B504" i="8" s="1"/>
  <c r="A208" i="5"/>
  <c r="B208" i="5" s="1"/>
  <c r="B505" i="8" s="1"/>
  <c r="A209" i="5"/>
  <c r="A210" i="5"/>
  <c r="A211" i="5"/>
  <c r="B211" i="5" s="1"/>
  <c r="B508" i="8" s="1"/>
  <c r="A212" i="5"/>
  <c r="A213" i="5"/>
  <c r="A214" i="5"/>
  <c r="D214" i="5" s="1"/>
  <c r="D511" i="8" s="1"/>
  <c r="A215" i="5"/>
  <c r="B215" i="5" s="1"/>
  <c r="B512" i="8" s="1"/>
  <c r="A216" i="5"/>
  <c r="B216" i="5" s="1"/>
  <c r="B513" i="8" s="1"/>
  <c r="A217" i="5"/>
  <c r="B217" i="5" s="1"/>
  <c r="B514" i="8" s="1"/>
  <c r="A218" i="5"/>
  <c r="A219" i="5"/>
  <c r="B219" i="5" s="1"/>
  <c r="B516" i="8" s="1"/>
  <c r="A220" i="5"/>
  <c r="B220" i="5" s="1"/>
  <c r="B517" i="8" s="1"/>
  <c r="A221" i="5"/>
  <c r="A222" i="5"/>
  <c r="D222" i="5" s="1"/>
  <c r="D519" i="8" s="1"/>
  <c r="A223" i="5"/>
  <c r="B223" i="5" s="1"/>
  <c r="B520" i="8" s="1"/>
  <c r="A224" i="5"/>
  <c r="A225" i="5"/>
  <c r="A226" i="5"/>
  <c r="D226" i="5" s="1"/>
  <c r="D523" i="8" s="1"/>
  <c r="A227" i="5"/>
  <c r="B227" i="5" s="1"/>
  <c r="B524" i="8" s="1"/>
  <c r="A228" i="5"/>
  <c r="B228" i="5" s="1"/>
  <c r="B525" i="8" s="1"/>
  <c r="A229" i="5"/>
  <c r="B229" i="5" s="1"/>
  <c r="B526" i="8" s="1"/>
  <c r="A230" i="5"/>
  <c r="D230" i="5" s="1"/>
  <c r="D527" i="8" s="1"/>
  <c r="A231" i="5"/>
  <c r="B231" i="5" s="1"/>
  <c r="B528" i="8" s="1"/>
  <c r="A232" i="5"/>
  <c r="B232" i="5" s="1"/>
  <c r="B529" i="8" s="1"/>
  <c r="A233" i="5"/>
  <c r="A234" i="5"/>
  <c r="D234" i="5" s="1"/>
  <c r="D531" i="8" s="1"/>
  <c r="A235" i="5"/>
  <c r="B235" i="5" s="1"/>
  <c r="B532" i="8" s="1"/>
  <c r="A236" i="5"/>
  <c r="A237" i="5"/>
  <c r="A238" i="5"/>
  <c r="D238" i="5" s="1"/>
  <c r="D535" i="8" s="1"/>
  <c r="A239" i="5"/>
  <c r="B239" i="5" s="1"/>
  <c r="B536" i="8" s="1"/>
  <c r="A240" i="5"/>
  <c r="B240" i="5" s="1"/>
  <c r="B537" i="8" s="1"/>
  <c r="A241" i="5"/>
  <c r="B241" i="5" s="1"/>
  <c r="B538" i="8" s="1"/>
  <c r="A242" i="5"/>
  <c r="D242" i="5" s="1"/>
  <c r="D539" i="8" s="1"/>
  <c r="A166" i="5"/>
  <c r="B166" i="5" s="1"/>
  <c r="B463" i="8" s="1"/>
  <c r="A167" i="5"/>
  <c r="B167" i="5" s="1"/>
  <c r="B464" i="8" s="1"/>
  <c r="A169" i="5"/>
  <c r="B169" i="5" s="1"/>
  <c r="B466" i="8" s="1"/>
  <c r="A170" i="5"/>
  <c r="D170" i="5" s="1"/>
  <c r="D467" i="8" s="1"/>
  <c r="A171" i="5"/>
  <c r="B171" i="5" s="1"/>
  <c r="B468" i="8" s="1"/>
  <c r="A172" i="5"/>
  <c r="B172" i="5" s="1"/>
  <c r="B469" i="8" s="1"/>
  <c r="A173" i="5"/>
  <c r="A174" i="5"/>
  <c r="D174" i="5" s="1"/>
  <c r="D471" i="8" s="1"/>
  <c r="A175" i="5"/>
  <c r="B175" i="5" s="1"/>
  <c r="B472" i="8" s="1"/>
  <c r="A176" i="5"/>
  <c r="A177" i="5"/>
  <c r="A178" i="5"/>
  <c r="D178" i="5" s="1"/>
  <c r="D475" i="8" s="1"/>
  <c r="A179" i="5"/>
  <c r="B179" i="5" s="1"/>
  <c r="B476" i="8" s="1"/>
  <c r="E487" i="8" l="1"/>
  <c r="E183" i="160"/>
  <c r="E544" i="8"/>
  <c r="E240" i="160"/>
  <c r="E530" i="8"/>
  <c r="E226" i="160"/>
  <c r="E486" i="8"/>
  <c r="E182" i="160"/>
  <c r="E543" i="8"/>
  <c r="E239" i="160"/>
  <c r="E529" i="8"/>
  <c r="E225" i="160"/>
  <c r="E485" i="8"/>
  <c r="E181" i="160"/>
  <c r="E541" i="8"/>
  <c r="E237" i="160"/>
  <c r="E528" i="8"/>
  <c r="E224" i="160"/>
  <c r="E484" i="8"/>
  <c r="E180" i="160"/>
  <c r="E540" i="8"/>
  <c r="E236" i="160"/>
  <c r="E527" i="8"/>
  <c r="E223" i="160"/>
  <c r="E483" i="8"/>
  <c r="E179" i="160"/>
  <c r="E552" i="8"/>
  <c r="E248" i="160"/>
  <c r="E526" i="8"/>
  <c r="E222" i="160"/>
  <c r="E478" i="8"/>
  <c r="E174" i="160"/>
  <c r="E545" i="8"/>
  <c r="E241" i="160"/>
  <c r="E551" i="8"/>
  <c r="E247" i="160"/>
  <c r="E538" i="8"/>
  <c r="E234" i="160"/>
  <c r="E514" i="8"/>
  <c r="E210" i="160"/>
  <c r="E531" i="8"/>
  <c r="E227" i="160"/>
  <c r="E550" i="8"/>
  <c r="E246" i="160"/>
  <c r="E537" i="8"/>
  <c r="E233" i="160"/>
  <c r="E549" i="8"/>
  <c r="E245" i="160"/>
  <c r="E536" i="8"/>
  <c r="E232" i="160"/>
  <c r="E548" i="8"/>
  <c r="E244" i="160"/>
  <c r="E535" i="8"/>
  <c r="E231" i="160"/>
  <c r="E547" i="8"/>
  <c r="E243" i="160"/>
  <c r="E534" i="8"/>
  <c r="E230" i="160"/>
  <c r="E546" i="8"/>
  <c r="E242" i="160"/>
  <c r="E532" i="8"/>
  <c r="E228" i="160"/>
  <c r="E471" i="8"/>
  <c r="E167" i="160"/>
  <c r="E468" i="8"/>
  <c r="E164" i="160"/>
  <c r="E467" i="8"/>
  <c r="E163" i="160"/>
  <c r="E463" i="8"/>
  <c r="E159" i="160"/>
  <c r="E472" i="8"/>
  <c r="E168" i="160"/>
  <c r="E497" i="8"/>
  <c r="E193" i="160"/>
  <c r="E494" i="8"/>
  <c r="E190" i="160"/>
  <c r="E493" i="8"/>
  <c r="E189" i="160"/>
  <c r="E492" i="8"/>
  <c r="E188" i="160"/>
  <c r="D218" i="5"/>
  <c r="D515" i="8" s="1"/>
  <c r="D210" i="5"/>
  <c r="D507" i="8" s="1"/>
  <c r="D254" i="5"/>
  <c r="D551" i="8" s="1"/>
  <c r="D206" i="5"/>
  <c r="D503" i="8" s="1"/>
  <c r="C254" i="5"/>
  <c r="C551" i="8" s="1"/>
  <c r="C250" i="5"/>
  <c r="C547" i="8" s="1"/>
  <c r="C246" i="5"/>
  <c r="C543" i="8" s="1"/>
  <c r="C242" i="5"/>
  <c r="C539" i="8" s="1"/>
  <c r="C238" i="5"/>
  <c r="C535" i="8" s="1"/>
  <c r="C234" i="5"/>
  <c r="C531" i="8" s="1"/>
  <c r="C230" i="5"/>
  <c r="C527" i="8" s="1"/>
  <c r="C226" i="5"/>
  <c r="C523" i="8" s="1"/>
  <c r="C222" i="5"/>
  <c r="C519" i="8" s="1"/>
  <c r="C218" i="5"/>
  <c r="C515" i="8" s="1"/>
  <c r="C214" i="5"/>
  <c r="C511" i="8" s="1"/>
  <c r="C210" i="5"/>
  <c r="C507" i="8" s="1"/>
  <c r="C206" i="5"/>
  <c r="C503" i="8" s="1"/>
  <c r="C202" i="5"/>
  <c r="C499" i="8" s="1"/>
  <c r="C198" i="5"/>
  <c r="C495" i="8" s="1"/>
  <c r="C194" i="5"/>
  <c r="C491" i="8" s="1"/>
  <c r="C190" i="5"/>
  <c r="C487" i="8" s="1"/>
  <c r="C186" i="5"/>
  <c r="C483" i="8" s="1"/>
  <c r="C182" i="5"/>
  <c r="C479" i="8" s="1"/>
  <c r="C178" i="5"/>
  <c r="C475" i="8" s="1"/>
  <c r="C174" i="5"/>
  <c r="C471" i="8" s="1"/>
  <c r="C170" i="5"/>
  <c r="C467" i="8" s="1"/>
  <c r="B254" i="5"/>
  <c r="B551" i="8" s="1"/>
  <c r="B250" i="5"/>
  <c r="B547" i="8" s="1"/>
  <c r="B246" i="5"/>
  <c r="B543" i="8" s="1"/>
  <c r="B242" i="5"/>
  <c r="B539" i="8" s="1"/>
  <c r="B238" i="5"/>
  <c r="B535" i="8" s="1"/>
  <c r="B234" i="5"/>
  <c r="B531" i="8" s="1"/>
  <c r="B230" i="5"/>
  <c r="B527" i="8" s="1"/>
  <c r="B226" i="5"/>
  <c r="B523" i="8" s="1"/>
  <c r="B222" i="5"/>
  <c r="B519" i="8" s="1"/>
  <c r="B218" i="5"/>
  <c r="B515" i="8" s="1"/>
  <c r="B214" i="5"/>
  <c r="B511" i="8" s="1"/>
  <c r="B210" i="5"/>
  <c r="B507" i="8" s="1"/>
  <c r="B206" i="5"/>
  <c r="B503" i="8" s="1"/>
  <c r="B202" i="5"/>
  <c r="B499" i="8" s="1"/>
  <c r="B198" i="5"/>
  <c r="B495" i="8" s="1"/>
  <c r="B194" i="5"/>
  <c r="B491" i="8" s="1"/>
  <c r="B190" i="5"/>
  <c r="B487" i="8" s="1"/>
  <c r="B186" i="5"/>
  <c r="B483" i="8" s="1"/>
  <c r="B182" i="5"/>
  <c r="B479" i="8" s="1"/>
  <c r="B178" i="5"/>
  <c r="B475" i="8" s="1"/>
  <c r="B174" i="5"/>
  <c r="B471" i="8" s="1"/>
  <c r="B170" i="5"/>
  <c r="B467" i="8" s="1"/>
  <c r="D253" i="5"/>
  <c r="D550" i="8" s="1"/>
  <c r="D249" i="5"/>
  <c r="D546" i="8" s="1"/>
  <c r="D245" i="5"/>
  <c r="D542" i="8" s="1"/>
  <c r="D241" i="5"/>
  <c r="D538" i="8" s="1"/>
  <c r="D237" i="5"/>
  <c r="D534" i="8" s="1"/>
  <c r="D233" i="5"/>
  <c r="D530" i="8" s="1"/>
  <c r="D229" i="5"/>
  <c r="D526" i="8" s="1"/>
  <c r="D225" i="5"/>
  <c r="D522" i="8" s="1"/>
  <c r="D221" i="5"/>
  <c r="D518" i="8" s="1"/>
  <c r="D217" i="5"/>
  <c r="D514" i="8" s="1"/>
  <c r="D213" i="5"/>
  <c r="D510" i="8" s="1"/>
  <c r="D209" i="5"/>
  <c r="D506" i="8" s="1"/>
  <c r="D205" i="5"/>
  <c r="D502" i="8" s="1"/>
  <c r="D201" i="5"/>
  <c r="D498" i="8" s="1"/>
  <c r="D197" i="5"/>
  <c r="D494" i="8" s="1"/>
  <c r="D193" i="5"/>
  <c r="D490" i="8" s="1"/>
  <c r="D189" i="5"/>
  <c r="D486" i="8" s="1"/>
  <c r="D185" i="5"/>
  <c r="D482" i="8" s="1"/>
  <c r="D181" i="5"/>
  <c r="D478" i="8" s="1"/>
  <c r="D177" i="5"/>
  <c r="D474" i="8" s="1"/>
  <c r="D173" i="5"/>
  <c r="D470" i="8" s="1"/>
  <c r="D169" i="5"/>
  <c r="D466" i="8" s="1"/>
  <c r="C253" i="5"/>
  <c r="C550" i="8" s="1"/>
  <c r="C249" i="5"/>
  <c r="C546" i="8" s="1"/>
  <c r="C245" i="5"/>
  <c r="C542" i="8" s="1"/>
  <c r="C241" i="5"/>
  <c r="C538" i="8" s="1"/>
  <c r="C237" i="5"/>
  <c r="C534" i="8" s="1"/>
  <c r="C233" i="5"/>
  <c r="C530" i="8" s="1"/>
  <c r="C229" i="5"/>
  <c r="C526" i="8" s="1"/>
  <c r="C225" i="5"/>
  <c r="C522" i="8" s="1"/>
  <c r="C221" i="5"/>
  <c r="C518" i="8" s="1"/>
  <c r="C217" i="5"/>
  <c r="C514" i="8" s="1"/>
  <c r="C213" i="5"/>
  <c r="C510" i="8" s="1"/>
  <c r="C209" i="5"/>
  <c r="C506" i="8" s="1"/>
  <c r="C205" i="5"/>
  <c r="C502" i="8" s="1"/>
  <c r="C201" i="5"/>
  <c r="C498" i="8" s="1"/>
  <c r="C197" i="5"/>
  <c r="C494" i="8" s="1"/>
  <c r="C193" i="5"/>
  <c r="C490" i="8" s="1"/>
  <c r="C189" i="5"/>
  <c r="C486" i="8" s="1"/>
  <c r="C185" i="5"/>
  <c r="C482" i="8" s="1"/>
  <c r="C181" i="5"/>
  <c r="C478" i="8" s="1"/>
  <c r="C177" i="5"/>
  <c r="C474" i="8" s="1"/>
  <c r="C173" i="5"/>
  <c r="C470" i="8" s="1"/>
  <c r="C169" i="5"/>
  <c r="C466" i="8" s="1"/>
  <c r="B249" i="5"/>
  <c r="B546" i="8" s="1"/>
  <c r="B245" i="5"/>
  <c r="B542" i="8" s="1"/>
  <c r="B237" i="5"/>
  <c r="B534" i="8" s="1"/>
  <c r="B233" i="5"/>
  <c r="B530" i="8" s="1"/>
  <c r="B225" i="5"/>
  <c r="B522" i="8" s="1"/>
  <c r="B221" i="5"/>
  <c r="B518" i="8" s="1"/>
  <c r="B213" i="5"/>
  <c r="B510" i="8" s="1"/>
  <c r="B209" i="5"/>
  <c r="B506" i="8" s="1"/>
  <c r="B201" i="5"/>
  <c r="B498" i="8" s="1"/>
  <c r="B197" i="5"/>
  <c r="B494" i="8" s="1"/>
  <c r="B189" i="5"/>
  <c r="B486" i="8" s="1"/>
  <c r="B185" i="5"/>
  <c r="B482" i="8" s="1"/>
  <c r="B177" i="5"/>
  <c r="B474" i="8" s="1"/>
  <c r="B173" i="5"/>
  <c r="B470" i="8" s="1"/>
  <c r="D256" i="5"/>
  <c r="D553" i="8" s="1"/>
  <c r="D252" i="5"/>
  <c r="D549" i="8" s="1"/>
  <c r="D248" i="5"/>
  <c r="D545" i="8" s="1"/>
  <c r="D244" i="5"/>
  <c r="D541" i="8" s="1"/>
  <c r="D240" i="5"/>
  <c r="D537" i="8" s="1"/>
  <c r="D236" i="5"/>
  <c r="D533" i="8" s="1"/>
  <c r="D232" i="5"/>
  <c r="D529" i="8" s="1"/>
  <c r="D228" i="5"/>
  <c r="D525" i="8" s="1"/>
  <c r="D224" i="5"/>
  <c r="D521" i="8" s="1"/>
  <c r="D220" i="5"/>
  <c r="D517" i="8" s="1"/>
  <c r="D216" i="5"/>
  <c r="D513" i="8" s="1"/>
  <c r="D212" i="5"/>
  <c r="D509" i="8" s="1"/>
  <c r="D208" i="5"/>
  <c r="D505" i="8" s="1"/>
  <c r="D204" i="5"/>
  <c r="D501" i="8" s="1"/>
  <c r="D200" i="5"/>
  <c r="D497" i="8" s="1"/>
  <c r="D196" i="5"/>
  <c r="D493" i="8" s="1"/>
  <c r="D192" i="5"/>
  <c r="D489" i="8" s="1"/>
  <c r="D188" i="5"/>
  <c r="D485" i="8" s="1"/>
  <c r="D184" i="5"/>
  <c r="D481" i="8" s="1"/>
  <c r="D180" i="5"/>
  <c r="D477" i="8" s="1"/>
  <c r="D176" i="5"/>
  <c r="D473" i="8" s="1"/>
  <c r="D172" i="5"/>
  <c r="D469" i="8" s="1"/>
  <c r="D167" i="5"/>
  <c r="D464" i="8" s="1"/>
  <c r="C256" i="5"/>
  <c r="C553" i="8" s="1"/>
  <c r="C252" i="5"/>
  <c r="C549" i="8" s="1"/>
  <c r="C248" i="5"/>
  <c r="C545" i="8" s="1"/>
  <c r="C244" i="5"/>
  <c r="C541" i="8" s="1"/>
  <c r="C240" i="5"/>
  <c r="C537" i="8" s="1"/>
  <c r="C236" i="5"/>
  <c r="C533" i="8" s="1"/>
  <c r="C232" i="5"/>
  <c r="C529" i="8" s="1"/>
  <c r="C228" i="5"/>
  <c r="C525" i="8" s="1"/>
  <c r="C224" i="5"/>
  <c r="C521" i="8" s="1"/>
  <c r="C220" i="5"/>
  <c r="C517" i="8" s="1"/>
  <c r="C216" i="5"/>
  <c r="C513" i="8" s="1"/>
  <c r="C212" i="5"/>
  <c r="C509" i="8" s="1"/>
  <c r="C208" i="5"/>
  <c r="C505" i="8" s="1"/>
  <c r="C204" i="5"/>
  <c r="C501" i="8" s="1"/>
  <c r="C200" i="5"/>
  <c r="C497" i="8" s="1"/>
  <c r="C196" i="5"/>
  <c r="C493" i="8" s="1"/>
  <c r="C192" i="5"/>
  <c r="C489" i="8" s="1"/>
  <c r="C188" i="5"/>
  <c r="C485" i="8" s="1"/>
  <c r="C184" i="5"/>
  <c r="C481" i="8" s="1"/>
  <c r="C180" i="5"/>
  <c r="C477" i="8" s="1"/>
  <c r="C176" i="5"/>
  <c r="C473" i="8" s="1"/>
  <c r="C172" i="5"/>
  <c r="C469" i="8" s="1"/>
  <c r="C167" i="5"/>
  <c r="C464" i="8" s="1"/>
  <c r="B248" i="5"/>
  <c r="B545" i="8" s="1"/>
  <c r="B236" i="5"/>
  <c r="B533" i="8" s="1"/>
  <c r="B224" i="5"/>
  <c r="B521" i="8" s="1"/>
  <c r="B212" i="5"/>
  <c r="B509" i="8" s="1"/>
  <c r="B200" i="5"/>
  <c r="B497" i="8" s="1"/>
  <c r="B188" i="5"/>
  <c r="B485" i="8" s="1"/>
  <c r="B176" i="5"/>
  <c r="B473" i="8" s="1"/>
  <c r="D255" i="5"/>
  <c r="D552" i="8" s="1"/>
  <c r="D251" i="5"/>
  <c r="D548" i="8" s="1"/>
  <c r="D247" i="5"/>
  <c r="D544" i="8" s="1"/>
  <c r="D243" i="5"/>
  <c r="D540" i="8" s="1"/>
  <c r="D239" i="5"/>
  <c r="D536" i="8" s="1"/>
  <c r="D235" i="5"/>
  <c r="D532" i="8" s="1"/>
  <c r="D231" i="5"/>
  <c r="D528" i="8" s="1"/>
  <c r="D227" i="5"/>
  <c r="D524" i="8" s="1"/>
  <c r="D223" i="5"/>
  <c r="D520" i="8" s="1"/>
  <c r="D219" i="5"/>
  <c r="D516" i="8" s="1"/>
  <c r="D215" i="5"/>
  <c r="D512" i="8" s="1"/>
  <c r="D211" i="5"/>
  <c r="D508" i="8" s="1"/>
  <c r="D207" i="5"/>
  <c r="D504" i="8" s="1"/>
  <c r="D203" i="5"/>
  <c r="D500" i="8" s="1"/>
  <c r="D199" i="5"/>
  <c r="D496" i="8" s="1"/>
  <c r="D195" i="5"/>
  <c r="D492" i="8" s="1"/>
  <c r="D191" i="5"/>
  <c r="D488" i="8" s="1"/>
  <c r="D187" i="5"/>
  <c r="D484" i="8" s="1"/>
  <c r="D183" i="5"/>
  <c r="D480" i="8" s="1"/>
  <c r="D179" i="5"/>
  <c r="D476" i="8" s="1"/>
  <c r="D175" i="5"/>
  <c r="D472" i="8" s="1"/>
  <c r="D171" i="5"/>
  <c r="D468" i="8" s="1"/>
  <c r="D166" i="5"/>
  <c r="D463" i="8" s="1"/>
  <c r="C255" i="5"/>
  <c r="C552" i="8" s="1"/>
  <c r="C251" i="5"/>
  <c r="C548" i="8" s="1"/>
  <c r="C247" i="5"/>
  <c r="C544" i="8" s="1"/>
  <c r="C243" i="5"/>
  <c r="C540" i="8" s="1"/>
  <c r="C239" i="5"/>
  <c r="C536" i="8" s="1"/>
  <c r="C235" i="5"/>
  <c r="C532" i="8" s="1"/>
  <c r="C231" i="5"/>
  <c r="C528" i="8" s="1"/>
  <c r="C227" i="5"/>
  <c r="C524" i="8" s="1"/>
  <c r="C223" i="5"/>
  <c r="C520" i="8" s="1"/>
  <c r="C219" i="5"/>
  <c r="C516" i="8" s="1"/>
  <c r="C215" i="5"/>
  <c r="C512" i="8" s="1"/>
  <c r="C211" i="5"/>
  <c r="C508" i="8" s="1"/>
  <c r="C207" i="5"/>
  <c r="C504" i="8" s="1"/>
  <c r="C203" i="5"/>
  <c r="C500" i="8" s="1"/>
  <c r="C199" i="5"/>
  <c r="C496" i="8" s="1"/>
  <c r="C195" i="5"/>
  <c r="C492" i="8" s="1"/>
  <c r="C191" i="5"/>
  <c r="C488" i="8" s="1"/>
  <c r="C187" i="5"/>
  <c r="C484" i="8" s="1"/>
  <c r="C183" i="5"/>
  <c r="C480" i="8" s="1"/>
  <c r="C179" i="5"/>
  <c r="C476" i="8" s="1"/>
  <c r="C175" i="5"/>
  <c r="C472" i="8" s="1"/>
  <c r="C171" i="5"/>
  <c r="C468" i="8" s="1"/>
  <c r="C166" i="5"/>
  <c r="C463" i="8" s="1"/>
  <c r="A165" i="5" l="1"/>
  <c r="E45" i="3"/>
  <c r="E44" i="3"/>
  <c r="K506" i="152"/>
  <c r="L506" i="152" s="1"/>
  <c r="E43" i="3"/>
  <c r="E42" i="3"/>
  <c r="E39" i="3"/>
  <c r="E40" i="3" s="1"/>
  <c r="E38" i="3"/>
  <c r="E37" i="3"/>
  <c r="E34" i="3"/>
  <c r="E33" i="3"/>
  <c r="E32" i="3"/>
  <c r="K507" i="152"/>
  <c r="L507" i="152" s="1"/>
  <c r="E31" i="3"/>
  <c r="E30" i="3"/>
  <c r="E29" i="3"/>
  <c r="E28" i="3"/>
  <c r="E27" i="3"/>
  <c r="E26" i="3"/>
  <c r="E25" i="3"/>
  <c r="E24" i="3"/>
  <c r="E23" i="3"/>
  <c r="E22" i="3"/>
  <c r="E21" i="3"/>
  <c r="E20" i="3"/>
  <c r="E19" i="3"/>
  <c r="E18" i="3"/>
  <c r="E17" i="3"/>
  <c r="E16" i="3"/>
  <c r="E15" i="3"/>
  <c r="E14" i="3"/>
  <c r="E13" i="3"/>
  <c r="E12" i="3"/>
  <c r="E11" i="3"/>
  <c r="E10" i="3"/>
  <c r="E9" i="3"/>
  <c r="E8" i="3"/>
  <c r="E7" i="3"/>
  <c r="E46" i="3" l="1"/>
  <c r="F49" i="3"/>
  <c r="K615" i="152"/>
  <c r="L615" i="152" s="1"/>
  <c r="M615" i="152" s="1"/>
  <c r="K611" i="152"/>
  <c r="L611" i="152" s="1"/>
  <c r="M611" i="152" s="1"/>
  <c r="K389" i="152"/>
  <c r="L389" i="152" s="1"/>
  <c r="M389" i="152" s="1"/>
  <c r="K455" i="152"/>
  <c r="L455" i="152" s="1"/>
  <c r="M455" i="152" s="1"/>
  <c r="K401" i="152"/>
  <c r="L401" i="152" s="1"/>
  <c r="M401" i="152" s="1"/>
  <c r="K393" i="152"/>
  <c r="L393" i="152" s="1"/>
  <c r="M393" i="152" s="1"/>
  <c r="K148" i="152"/>
  <c r="L148" i="152" s="1"/>
  <c r="M148" i="152" s="1"/>
  <c r="K397" i="152"/>
  <c r="L397" i="152" s="1"/>
  <c r="M397" i="152" s="1"/>
  <c r="K144" i="152"/>
  <c r="L144" i="152" s="1"/>
  <c r="M144" i="152" s="1"/>
  <c r="K310" i="152"/>
  <c r="L310" i="152" s="1"/>
  <c r="M310" i="152" s="1"/>
  <c r="K140" i="152"/>
  <c r="L140" i="152" s="1"/>
  <c r="M140" i="152" s="1"/>
  <c r="K651" i="152"/>
  <c r="L651" i="152" s="1"/>
  <c r="M651" i="152" s="1"/>
  <c r="K300" i="152"/>
  <c r="L300" i="152" s="1"/>
  <c r="M300" i="152" s="1"/>
  <c r="K439" i="152"/>
  <c r="L439" i="152" s="1"/>
  <c r="M439" i="152" s="1"/>
  <c r="M506" i="152"/>
  <c r="K599" i="152"/>
  <c r="L599" i="152" s="1"/>
  <c r="M599" i="152" s="1"/>
  <c r="K377" i="152"/>
  <c r="L377" i="152" s="1"/>
  <c r="M377" i="152" s="1"/>
  <c r="K373" i="152"/>
  <c r="L373" i="152" s="1"/>
  <c r="M373" i="152" s="1"/>
  <c r="K96" i="152"/>
  <c r="L96" i="152" s="1"/>
  <c r="M96" i="152" s="1"/>
  <c r="K631" i="152"/>
  <c r="L631" i="152" s="1"/>
  <c r="M631" i="152" s="1"/>
  <c r="K627" i="152"/>
  <c r="L627" i="152" s="1"/>
  <c r="M627" i="152" s="1"/>
  <c r="K607" i="152"/>
  <c r="L607" i="152" s="1"/>
  <c r="M607" i="152" s="1"/>
  <c r="K92" i="152"/>
  <c r="L92" i="152" s="1"/>
  <c r="M92" i="152" s="1"/>
  <c r="K603" i="152"/>
  <c r="L603" i="152" s="1"/>
  <c r="M603" i="152" s="1"/>
  <c r="K411" i="152"/>
  <c r="L411" i="152" s="1"/>
  <c r="M411" i="152" s="1"/>
  <c r="K162" i="152"/>
  <c r="L162" i="152" s="1"/>
  <c r="M162" i="152" s="1"/>
  <c r="B165" i="5"/>
  <c r="B462" i="8" s="1"/>
  <c r="C165" i="5"/>
  <c r="D165" i="5"/>
  <c r="D462" i="8" s="1"/>
  <c r="E35" i="3"/>
  <c r="C462" i="8" l="1"/>
  <c r="EN88" i="153" l="1"/>
  <c r="GA174" i="153" l="1"/>
  <c r="GA166" i="153"/>
  <c r="GA156" i="153"/>
  <c r="GA150" i="153"/>
  <c r="GA151" i="153" s="1"/>
  <c r="GA154" i="153" s="1"/>
  <c r="GA144" i="153"/>
  <c r="GA148" i="153" s="1"/>
  <c r="GA136" i="153"/>
  <c r="GA140" i="153" s="1"/>
  <c r="GA127" i="153"/>
  <c r="GA128" i="153" s="1"/>
  <c r="FL174" i="153"/>
  <c r="FL156" i="153"/>
  <c r="FL157" i="153" s="1"/>
  <c r="FL150" i="153"/>
  <c r="FL151" i="153" s="1"/>
  <c r="FL154" i="153" s="1"/>
  <c r="FL144" i="153"/>
  <c r="FL148" i="153" s="1"/>
  <c r="FL136" i="153"/>
  <c r="FL140" i="153" s="1"/>
  <c r="FL104" i="153"/>
  <c r="FL166" i="153" s="1"/>
  <c r="FK174" i="153"/>
  <c r="FK156" i="153"/>
  <c r="FK157" i="153" s="1"/>
  <c r="FK150" i="153"/>
  <c r="FK151" i="153" s="1"/>
  <c r="FK154" i="153" s="1"/>
  <c r="FK144" i="153"/>
  <c r="FK148" i="153" s="1"/>
  <c r="FK136" i="153"/>
  <c r="FK140" i="153" s="1"/>
  <c r="FK127" i="153"/>
  <c r="FK128" i="153" s="1"/>
  <c r="FK104" i="153"/>
  <c r="FK166" i="153" s="1"/>
  <c r="GA157" i="153" l="1"/>
  <c r="GA161" i="153" s="1"/>
  <c r="FK132" i="153"/>
  <c r="FK133" i="153"/>
  <c r="FK134" i="153" s="1"/>
  <c r="GA162" i="153" l="1"/>
  <c r="GA163" i="153" s="1"/>
  <c r="GA132" i="153"/>
  <c r="GA133" i="153"/>
  <c r="GA134" i="153" s="1"/>
  <c r="FL162" i="153"/>
  <c r="FL163" i="153" s="1"/>
  <c r="FL161" i="153"/>
  <c r="FL132" i="153"/>
  <c r="FL133" i="153"/>
  <c r="FL134" i="153" s="1"/>
  <c r="FK162" i="153"/>
  <c r="FK163" i="153" s="1"/>
  <c r="FK161" i="153"/>
  <c r="EJ174" i="153"/>
  <c r="EJ166" i="153"/>
  <c r="EJ144" i="153"/>
  <c r="EJ148" i="153" s="1"/>
  <c r="EJ136" i="153"/>
  <c r="EJ140" i="153" s="1"/>
  <c r="EJ150" i="153"/>
  <c r="EJ151" i="153" s="1"/>
  <c r="EJ154" i="153" s="1"/>
  <c r="EJ127" i="153"/>
  <c r="EJ128" i="153" s="1"/>
  <c r="EK174" i="153"/>
  <c r="EK166" i="153"/>
  <c r="EK144" i="153"/>
  <c r="EK148" i="153" s="1"/>
  <c r="EK136" i="153"/>
  <c r="EK140" i="153" s="1"/>
  <c r="EK150" i="153"/>
  <c r="EK151" i="153" s="1"/>
  <c r="EK154" i="153" s="1"/>
  <c r="EK156" i="153"/>
  <c r="EK157" i="153" s="1"/>
  <c r="EI174" i="153"/>
  <c r="EI166" i="153"/>
  <c r="EI144" i="153"/>
  <c r="EI148" i="153" s="1"/>
  <c r="EI136" i="153"/>
  <c r="EI140" i="153" s="1"/>
  <c r="EI150" i="153"/>
  <c r="EI151" i="153" s="1"/>
  <c r="EI154" i="153" s="1"/>
  <c r="EI156" i="153"/>
  <c r="EI157" i="153" s="1"/>
  <c r="BF89" i="153"/>
  <c r="AM89" i="153"/>
  <c r="AL89" i="153"/>
  <c r="AG89" i="153"/>
  <c r="AD89" i="153" l="1"/>
  <c r="BI89" i="153"/>
  <c r="CF89" i="153"/>
  <c r="AA89" i="153"/>
  <c r="AF89" i="153"/>
  <c r="BC89" i="153"/>
  <c r="EJ156" i="153"/>
  <c r="EJ157" i="153" s="1"/>
  <c r="EA89" i="153"/>
  <c r="AK89" i="153"/>
  <c r="AI89" i="153"/>
  <c r="AJ89" i="153"/>
  <c r="EK93" i="153"/>
  <c r="J93" i="153" s="1"/>
  <c r="E226" i="5" s="1"/>
  <c r="EK127" i="153"/>
  <c r="EK128" i="153" s="1"/>
  <c r="EI127" i="153"/>
  <c r="EI128" i="153" s="1"/>
  <c r="BH89" i="153"/>
  <c r="CE89" i="153"/>
  <c r="BD89" i="153"/>
  <c r="BE89" i="153"/>
  <c r="AE89" i="153"/>
  <c r="AB89" i="153"/>
  <c r="AH89" i="153"/>
  <c r="AN89" i="153"/>
  <c r="BG89" i="153"/>
  <c r="CC89" i="153"/>
  <c r="BZ89" i="153"/>
  <c r="BY89" i="153"/>
  <c r="BX89" i="153"/>
  <c r="BW89" i="153"/>
  <c r="BU89" i="153"/>
  <c r="BN89" i="153"/>
  <c r="BM89" i="153"/>
  <c r="BL89" i="153"/>
  <c r="BK89" i="153"/>
  <c r="BJ89" i="153"/>
  <c r="BO89" i="153"/>
  <c r="BP89" i="153"/>
  <c r="CA89" i="153" l="1"/>
  <c r="EJ133" i="153"/>
  <c r="EJ134" i="153" s="1"/>
  <c r="EJ132" i="153"/>
  <c r="EK162" i="153"/>
  <c r="EK163" i="153" s="1"/>
  <c r="EK161" i="153"/>
  <c r="EI162" i="153"/>
  <c r="EI163" i="153" s="1"/>
  <c r="EI161" i="153"/>
  <c r="CB89" i="153"/>
  <c r="CB156" i="153" s="1"/>
  <c r="CB157" i="153" s="1"/>
  <c r="CD89" i="153"/>
  <c r="CD156" i="153" s="1"/>
  <c r="CD157" i="153" s="1"/>
  <c r="BW156" i="153"/>
  <c r="BV127" i="153"/>
  <c r="BV128" i="153" s="1"/>
  <c r="BU156" i="153"/>
  <c r="BU157" i="153" s="1"/>
  <c r="BU127" i="153"/>
  <c r="BW127" i="153"/>
  <c r="BX127" i="153"/>
  <c r="BY127" i="153"/>
  <c r="BY128" i="153" s="1"/>
  <c r="BZ127" i="153"/>
  <c r="CA127" i="153"/>
  <c r="CA128" i="153" s="1"/>
  <c r="CC127" i="153"/>
  <c r="CE127" i="153"/>
  <c r="CF127" i="153"/>
  <c r="CF128" i="153" s="1"/>
  <c r="EA127" i="153"/>
  <c r="EA128" i="153" s="1"/>
  <c r="BQ136" i="153"/>
  <c r="BQ140" i="153" s="1"/>
  <c r="BR136" i="153"/>
  <c r="BR140" i="153" s="1"/>
  <c r="BS136" i="153"/>
  <c r="BS140" i="153" s="1"/>
  <c r="BT136" i="153"/>
  <c r="BT140" i="153" s="1"/>
  <c r="BU136" i="153"/>
  <c r="BU140" i="153" s="1"/>
  <c r="BV136" i="153"/>
  <c r="BV140" i="153" s="1"/>
  <c r="BW136" i="153"/>
  <c r="BW140" i="153" s="1"/>
  <c r="BX136" i="153"/>
  <c r="BX140" i="153" s="1"/>
  <c r="BY136" i="153"/>
  <c r="BY140" i="153" s="1"/>
  <c r="BZ136" i="153"/>
  <c r="BZ140" i="153" s="1"/>
  <c r="CA136" i="153"/>
  <c r="CA140" i="153" s="1"/>
  <c r="CB136" i="153"/>
  <c r="CB140" i="153" s="1"/>
  <c r="CC136" i="153"/>
  <c r="CC140" i="153" s="1"/>
  <c r="CD136" i="153"/>
  <c r="CD140" i="153" s="1"/>
  <c r="CE136" i="153"/>
  <c r="CE140" i="153" s="1"/>
  <c r="CF136" i="153"/>
  <c r="CF140" i="153" s="1"/>
  <c r="EA136" i="153"/>
  <c r="EA140" i="153" s="1"/>
  <c r="BQ144" i="153"/>
  <c r="BQ148" i="153" s="1"/>
  <c r="BR144" i="153"/>
  <c r="BR148" i="153" s="1"/>
  <c r="BS144" i="153"/>
  <c r="BS148" i="153" s="1"/>
  <c r="BT144" i="153"/>
  <c r="BT148" i="153" s="1"/>
  <c r="BU144" i="153"/>
  <c r="BU148" i="153" s="1"/>
  <c r="BV144" i="153"/>
  <c r="BV148" i="153" s="1"/>
  <c r="BW144" i="153"/>
  <c r="BW148" i="153" s="1"/>
  <c r="BX144" i="153"/>
  <c r="BX148" i="153" s="1"/>
  <c r="BY144" i="153"/>
  <c r="BY148" i="153" s="1"/>
  <c r="BZ144" i="153"/>
  <c r="BZ148" i="153" s="1"/>
  <c r="CA144" i="153"/>
  <c r="CA148" i="153" s="1"/>
  <c r="CB144" i="153"/>
  <c r="CB148" i="153" s="1"/>
  <c r="CC144" i="153"/>
  <c r="CC148" i="153" s="1"/>
  <c r="CD144" i="153"/>
  <c r="CD148" i="153" s="1"/>
  <c r="CE144" i="153"/>
  <c r="CE148" i="153" s="1"/>
  <c r="CF144" i="153"/>
  <c r="CF148" i="153" s="1"/>
  <c r="EA144" i="153"/>
  <c r="EA148" i="153" s="1"/>
  <c r="BQ150" i="153"/>
  <c r="BQ151" i="153" s="1"/>
  <c r="BQ154" i="153" s="1"/>
  <c r="BR150" i="153"/>
  <c r="BR151" i="153" s="1"/>
  <c r="BR154" i="153" s="1"/>
  <c r="BS150" i="153"/>
  <c r="BS151" i="153" s="1"/>
  <c r="BS154" i="153" s="1"/>
  <c r="BT150" i="153"/>
  <c r="BT151" i="153" s="1"/>
  <c r="BT154" i="153" s="1"/>
  <c r="BU150" i="153"/>
  <c r="BU151" i="153" s="1"/>
  <c r="BU154" i="153" s="1"/>
  <c r="BV150" i="153"/>
  <c r="BV151" i="153" s="1"/>
  <c r="BV154" i="153" s="1"/>
  <c r="BW150" i="153"/>
  <c r="BW151" i="153" s="1"/>
  <c r="BW154" i="153" s="1"/>
  <c r="BX150" i="153"/>
  <c r="BX151" i="153" s="1"/>
  <c r="BX154" i="153" s="1"/>
  <c r="BY150" i="153"/>
  <c r="BY151" i="153" s="1"/>
  <c r="BY154" i="153" s="1"/>
  <c r="BZ150" i="153"/>
  <c r="BZ151" i="153" s="1"/>
  <c r="BZ154" i="153" s="1"/>
  <c r="CA150" i="153"/>
  <c r="CA151" i="153" s="1"/>
  <c r="CA154" i="153" s="1"/>
  <c r="CB150" i="153"/>
  <c r="CB151" i="153" s="1"/>
  <c r="CB154" i="153" s="1"/>
  <c r="CC150" i="153"/>
  <c r="CC151" i="153" s="1"/>
  <c r="CC154" i="153" s="1"/>
  <c r="CD150" i="153"/>
  <c r="CD151" i="153" s="1"/>
  <c r="CD154" i="153" s="1"/>
  <c r="CE150" i="153"/>
  <c r="CE151" i="153" s="1"/>
  <c r="CE154" i="153" s="1"/>
  <c r="CF150" i="153"/>
  <c r="CF151" i="153" s="1"/>
  <c r="CF154" i="153" s="1"/>
  <c r="EA150" i="153"/>
  <c r="EA151" i="153" s="1"/>
  <c r="EA154" i="153" s="1"/>
  <c r="BX156" i="153"/>
  <c r="BY156" i="153"/>
  <c r="BZ156" i="153"/>
  <c r="CA156" i="153"/>
  <c r="CA157" i="153" s="1"/>
  <c r="CC156" i="153"/>
  <c r="CE156" i="153"/>
  <c r="CE157" i="153" s="1"/>
  <c r="CF156" i="153"/>
  <c r="CF157" i="153" s="1"/>
  <c r="EA156" i="153"/>
  <c r="BT89" i="153"/>
  <c r="BT156" i="153" s="1"/>
  <c r="BT157" i="153" s="1"/>
  <c r="BS89" i="153"/>
  <c r="BS156" i="153" s="1"/>
  <c r="BS157" i="153" s="1"/>
  <c r="BR89" i="153"/>
  <c r="BR156" i="153" s="1"/>
  <c r="BR157" i="153" s="1"/>
  <c r="BQ89" i="153"/>
  <c r="BQ156" i="153" s="1"/>
  <c r="AO136" i="153"/>
  <c r="AO140" i="153" s="1"/>
  <c r="AP136" i="153"/>
  <c r="AP140" i="153" s="1"/>
  <c r="AQ136" i="153"/>
  <c r="AR136" i="153"/>
  <c r="AR140" i="153" s="1"/>
  <c r="AS136" i="153"/>
  <c r="AS140" i="153" s="1"/>
  <c r="AT136" i="153"/>
  <c r="AT140" i="153" s="1"/>
  <c r="AU136" i="153"/>
  <c r="AU140" i="153" s="1"/>
  <c r="AV136" i="153"/>
  <c r="AV140" i="153" s="1"/>
  <c r="AW136" i="153"/>
  <c r="AW140" i="153" s="1"/>
  <c r="AX136" i="153"/>
  <c r="AX140" i="153" s="1"/>
  <c r="AY136" i="153"/>
  <c r="AY140" i="153" s="1"/>
  <c r="AZ136" i="153"/>
  <c r="AZ140" i="153" s="1"/>
  <c r="BA136" i="153"/>
  <c r="BA140" i="153" s="1"/>
  <c r="BB136" i="153"/>
  <c r="BB140" i="153" s="1"/>
  <c r="AQ140" i="153"/>
  <c r="AO144" i="153"/>
  <c r="AO148" i="153" s="1"/>
  <c r="AP144" i="153"/>
  <c r="AP148" i="153" s="1"/>
  <c r="AQ144" i="153"/>
  <c r="AQ148" i="153" s="1"/>
  <c r="AR144" i="153"/>
  <c r="AR148" i="153" s="1"/>
  <c r="AS144" i="153"/>
  <c r="AS148" i="153" s="1"/>
  <c r="AT144" i="153"/>
  <c r="AT148" i="153" s="1"/>
  <c r="AU144" i="153"/>
  <c r="AU148" i="153" s="1"/>
  <c r="AV144" i="153"/>
  <c r="AV148" i="153" s="1"/>
  <c r="AW144" i="153"/>
  <c r="AW148" i="153" s="1"/>
  <c r="AX144" i="153"/>
  <c r="AX148" i="153" s="1"/>
  <c r="AY144" i="153"/>
  <c r="AY148" i="153" s="1"/>
  <c r="AZ144" i="153"/>
  <c r="AZ148" i="153" s="1"/>
  <c r="BA144" i="153"/>
  <c r="BA148" i="153" s="1"/>
  <c r="BB144" i="153"/>
  <c r="BB148" i="153" s="1"/>
  <c r="AO150" i="153"/>
  <c r="AO151" i="153" s="1"/>
  <c r="AO154" i="153" s="1"/>
  <c r="AP150" i="153"/>
  <c r="AP151" i="153" s="1"/>
  <c r="AP154" i="153" s="1"/>
  <c r="AQ150" i="153"/>
  <c r="AQ151" i="153" s="1"/>
  <c r="AQ154" i="153" s="1"/>
  <c r="AR150" i="153"/>
  <c r="AR151" i="153" s="1"/>
  <c r="AR154" i="153" s="1"/>
  <c r="AS150" i="153"/>
  <c r="AS151" i="153" s="1"/>
  <c r="AS154" i="153" s="1"/>
  <c r="AT150" i="153"/>
  <c r="AT151" i="153" s="1"/>
  <c r="AT154" i="153" s="1"/>
  <c r="AU150" i="153"/>
  <c r="AU151" i="153" s="1"/>
  <c r="AU154" i="153" s="1"/>
  <c r="AV150" i="153"/>
  <c r="AV151" i="153" s="1"/>
  <c r="AV154" i="153" s="1"/>
  <c r="AW150" i="153"/>
  <c r="AW151" i="153" s="1"/>
  <c r="AW154" i="153" s="1"/>
  <c r="AX150" i="153"/>
  <c r="AX151" i="153" s="1"/>
  <c r="AX154" i="153" s="1"/>
  <c r="AY150" i="153"/>
  <c r="AY151" i="153" s="1"/>
  <c r="AY154" i="153" s="1"/>
  <c r="AZ150" i="153"/>
  <c r="AZ151" i="153" s="1"/>
  <c r="AZ154" i="153" s="1"/>
  <c r="BA150" i="153"/>
  <c r="BA151" i="153" s="1"/>
  <c r="BA154" i="153" s="1"/>
  <c r="BB150" i="153"/>
  <c r="BB151" i="153" s="1"/>
  <c r="BB154" i="153" s="1"/>
  <c r="AY127" i="153"/>
  <c r="AX89" i="153"/>
  <c r="AX156" i="153" s="1"/>
  <c r="AX157" i="153" s="1"/>
  <c r="AW89" i="153"/>
  <c r="AW156" i="153" s="1"/>
  <c r="AV127" i="153"/>
  <c r="AU89" i="153"/>
  <c r="AU156" i="153" s="1"/>
  <c r="AT127" i="153"/>
  <c r="AT130" i="153" s="1"/>
  <c r="AR89" i="153"/>
  <c r="AR156" i="153" s="1"/>
  <c r="AR157" i="153" s="1"/>
  <c r="AQ89" i="153"/>
  <c r="AQ156" i="153" s="1"/>
  <c r="AQ157" i="153" s="1"/>
  <c r="AP89" i="153"/>
  <c r="AP156" i="153" s="1"/>
  <c r="AP157" i="153" s="1"/>
  <c r="AO89" i="153"/>
  <c r="AO156" i="153" s="1"/>
  <c r="AO157" i="153" s="1"/>
  <c r="BW157" i="153" l="1"/>
  <c r="BW162" i="153" s="1"/>
  <c r="BW163" i="153" s="1"/>
  <c r="EA157" i="153"/>
  <c r="EA161" i="153" s="1"/>
  <c r="AY129" i="153"/>
  <c r="AY128" i="153" s="1"/>
  <c r="CC130" i="153"/>
  <c r="CC128" i="153" s="1"/>
  <c r="CC157" i="153"/>
  <c r="CC161" i="153" s="1"/>
  <c r="BZ157" i="153"/>
  <c r="BZ161" i="153" s="1"/>
  <c r="BY157" i="153"/>
  <c r="BY161" i="153" s="1"/>
  <c r="BX129" i="153"/>
  <c r="BX128" i="153" s="1"/>
  <c r="AW157" i="153"/>
  <c r="AW162" i="153" s="1"/>
  <c r="AW163" i="153" s="1"/>
  <c r="BX157" i="153"/>
  <c r="BX162" i="153" s="1"/>
  <c r="BX163" i="153" s="1"/>
  <c r="BW129" i="153"/>
  <c r="BW128" i="153" s="1"/>
  <c r="AU157" i="153"/>
  <c r="AU161" i="153" s="1"/>
  <c r="BQ157" i="153"/>
  <c r="BQ161" i="153" s="1"/>
  <c r="CD127" i="153"/>
  <c r="CD129" i="153" s="1"/>
  <c r="CD133" i="153" s="1"/>
  <c r="CD134" i="153" s="1"/>
  <c r="CB127" i="153"/>
  <c r="BZ129" i="153" s="1"/>
  <c r="EJ162" i="153"/>
  <c r="EJ163" i="153" s="1"/>
  <c r="EJ161" i="153"/>
  <c r="EK133" i="153"/>
  <c r="EK134" i="153" s="1"/>
  <c r="EK132" i="153"/>
  <c r="EI132" i="153"/>
  <c r="EI133" i="153"/>
  <c r="EI134" i="153" s="1"/>
  <c r="BT161" i="153"/>
  <c r="BT162" i="153"/>
  <c r="BT163" i="153" s="1"/>
  <c r="CF161" i="153"/>
  <c r="CF162" i="153"/>
  <c r="CF163" i="153" s="1"/>
  <c r="AX127" i="153"/>
  <c r="AW127" i="153"/>
  <c r="AY89" i="153"/>
  <c r="AY156" i="153" s="1"/>
  <c r="AY157" i="153" s="1"/>
  <c r="EA162" i="153"/>
  <c r="EA163" i="153" s="1"/>
  <c r="BT127" i="153"/>
  <c r="BU128" i="153" s="1"/>
  <c r="AZ89" i="153"/>
  <c r="AZ156" i="153" s="1"/>
  <c r="AZ157" i="153" s="1"/>
  <c r="AU127" i="153"/>
  <c r="BS127" i="153"/>
  <c r="BA89" i="153"/>
  <c r="BA156" i="153" s="1"/>
  <c r="BA157" i="153" s="1"/>
  <c r="BR127" i="153"/>
  <c r="AS89" i="153"/>
  <c r="AS156" i="153" s="1"/>
  <c r="AS157" i="153" s="1"/>
  <c r="BB89" i="153"/>
  <c r="BB156" i="153" s="1"/>
  <c r="BB157" i="153" s="1"/>
  <c r="AS127" i="153"/>
  <c r="BQ127" i="153"/>
  <c r="AT89" i="153"/>
  <c r="AT156" i="153" s="1"/>
  <c r="AT157" i="153" s="1"/>
  <c r="AR127" i="153"/>
  <c r="AQ127" i="153"/>
  <c r="BV89" i="153"/>
  <c r="BV156" i="153" s="1"/>
  <c r="BV157" i="153" s="1"/>
  <c r="BB127" i="153"/>
  <c r="AP127" i="153"/>
  <c r="AV89" i="153"/>
  <c r="AV156" i="153" s="1"/>
  <c r="BA127" i="153"/>
  <c r="AO127" i="153"/>
  <c r="AZ127" i="153"/>
  <c r="CE161" i="153"/>
  <c r="CE162" i="153"/>
  <c r="CE163" i="153" s="1"/>
  <c r="BS161" i="153"/>
  <c r="BS162" i="153"/>
  <c r="BS163" i="153" s="1"/>
  <c r="BR161" i="153"/>
  <c r="BR162" i="153"/>
  <c r="BR163" i="153" s="1"/>
  <c r="CD161" i="153"/>
  <c r="CD162" i="153"/>
  <c r="CD163" i="153" s="1"/>
  <c r="CA133" i="153"/>
  <c r="CA134" i="153" s="1"/>
  <c r="CA132" i="153"/>
  <c r="EA133" i="153"/>
  <c r="EA134" i="153" s="1"/>
  <c r="EA132" i="153"/>
  <c r="AO162" i="153"/>
  <c r="AO163" i="153" s="1"/>
  <c r="AO161" i="153"/>
  <c r="AP162" i="153"/>
  <c r="AP163" i="153" s="1"/>
  <c r="AP161" i="153"/>
  <c r="AR162" i="153"/>
  <c r="AR163" i="153" s="1"/>
  <c r="AR161" i="153"/>
  <c r="AQ161" i="153"/>
  <c r="AQ162" i="153"/>
  <c r="AQ163" i="153" s="1"/>
  <c r="AX161" i="153"/>
  <c r="AX162" i="153"/>
  <c r="AX163" i="153" s="1"/>
  <c r="BC144" i="153"/>
  <c r="BC148" i="153" s="1"/>
  <c r="BC136" i="153"/>
  <c r="BC140" i="153" s="1"/>
  <c r="BC127" i="153"/>
  <c r="BC150" i="153"/>
  <c r="BC151" i="153" s="1"/>
  <c r="BC154" i="153" s="1"/>
  <c r="BC156" i="153"/>
  <c r="BC157" i="153" s="1"/>
  <c r="BI156" i="153"/>
  <c r="BI157" i="153" s="1"/>
  <c r="BG150" i="153"/>
  <c r="BG151" i="153" s="1"/>
  <c r="BG154" i="153" s="1"/>
  <c r="BF156" i="153"/>
  <c r="BF157" i="153" s="1"/>
  <c r="BE156" i="153"/>
  <c r="BE157" i="153" s="1"/>
  <c r="BD156" i="153"/>
  <c r="BD157" i="153" s="1"/>
  <c r="AN156" i="153"/>
  <c r="AN157" i="153" s="1"/>
  <c r="AN127" i="153"/>
  <c r="BD127" i="153"/>
  <c r="BE127" i="153"/>
  <c r="BF127" i="153"/>
  <c r="BG127" i="153"/>
  <c r="BH127" i="153"/>
  <c r="BI127" i="153"/>
  <c r="BJ127" i="153"/>
  <c r="BK127" i="153"/>
  <c r="BL127" i="153"/>
  <c r="BM127" i="153"/>
  <c r="BN127" i="153"/>
  <c r="BO127" i="153"/>
  <c r="BP127" i="153"/>
  <c r="AK136" i="153"/>
  <c r="AK140" i="153" s="1"/>
  <c r="AL136" i="153"/>
  <c r="AL140" i="153" s="1"/>
  <c r="AM136" i="153"/>
  <c r="AM140" i="153" s="1"/>
  <c r="AN136" i="153"/>
  <c r="AN140" i="153" s="1"/>
  <c r="BD136" i="153"/>
  <c r="BD140" i="153" s="1"/>
  <c r="BE136" i="153"/>
  <c r="BE140" i="153" s="1"/>
  <c r="BF136" i="153"/>
  <c r="BF140" i="153" s="1"/>
  <c r="BG136" i="153"/>
  <c r="BG140" i="153" s="1"/>
  <c r="BH136" i="153"/>
  <c r="BH140" i="153" s="1"/>
  <c r="BI136" i="153"/>
  <c r="BI140" i="153" s="1"/>
  <c r="BJ136" i="153"/>
  <c r="BJ140" i="153" s="1"/>
  <c r="BK136" i="153"/>
  <c r="BK140" i="153" s="1"/>
  <c r="BL136" i="153"/>
  <c r="BL140" i="153" s="1"/>
  <c r="BM136" i="153"/>
  <c r="BM140" i="153" s="1"/>
  <c r="BN136" i="153"/>
  <c r="BN140" i="153" s="1"/>
  <c r="BO136" i="153"/>
  <c r="BO140" i="153" s="1"/>
  <c r="BP136" i="153"/>
  <c r="BP140" i="153" s="1"/>
  <c r="AK144" i="153"/>
  <c r="AK148" i="153" s="1"/>
  <c r="AL144" i="153"/>
  <c r="AL148" i="153" s="1"/>
  <c r="AM144" i="153"/>
  <c r="AM148" i="153" s="1"/>
  <c r="AN144" i="153"/>
  <c r="AN148" i="153" s="1"/>
  <c r="BD144" i="153"/>
  <c r="BD148" i="153" s="1"/>
  <c r="BE144" i="153"/>
  <c r="BE148" i="153" s="1"/>
  <c r="BF144" i="153"/>
  <c r="BF148" i="153" s="1"/>
  <c r="BG144" i="153"/>
  <c r="BG148" i="153" s="1"/>
  <c r="BH144" i="153"/>
  <c r="BH148" i="153" s="1"/>
  <c r="BI144" i="153"/>
  <c r="BI148" i="153" s="1"/>
  <c r="BJ144" i="153"/>
  <c r="BJ148" i="153" s="1"/>
  <c r="BK144" i="153"/>
  <c r="BK148" i="153" s="1"/>
  <c r="BL144" i="153"/>
  <c r="BL148" i="153" s="1"/>
  <c r="BM144" i="153"/>
  <c r="BM148" i="153" s="1"/>
  <c r="BN144" i="153"/>
  <c r="BN148" i="153" s="1"/>
  <c r="BO144" i="153"/>
  <c r="BO148" i="153" s="1"/>
  <c r="BP144" i="153"/>
  <c r="BP148" i="153" s="1"/>
  <c r="AK150" i="153"/>
  <c r="AK151" i="153" s="1"/>
  <c r="AK154" i="153" s="1"/>
  <c r="AL150" i="153"/>
  <c r="AL151" i="153" s="1"/>
  <c r="AL154" i="153" s="1"/>
  <c r="AM150" i="153"/>
  <c r="AM151" i="153" s="1"/>
  <c r="AM154" i="153" s="1"/>
  <c r="AN150" i="153"/>
  <c r="AN151" i="153" s="1"/>
  <c r="AN154" i="153" s="1"/>
  <c r="BD150" i="153"/>
  <c r="BD151" i="153" s="1"/>
  <c r="BD154" i="153" s="1"/>
  <c r="BE150" i="153"/>
  <c r="BE151" i="153" s="1"/>
  <c r="BE154" i="153" s="1"/>
  <c r="BF150" i="153"/>
  <c r="BF151" i="153" s="1"/>
  <c r="BF154" i="153" s="1"/>
  <c r="BH150" i="153"/>
  <c r="BH151" i="153" s="1"/>
  <c r="BH154" i="153" s="1"/>
  <c r="BI150" i="153"/>
  <c r="BI151" i="153" s="1"/>
  <c r="BI154" i="153" s="1"/>
  <c r="BJ150" i="153"/>
  <c r="BJ151" i="153" s="1"/>
  <c r="BJ154" i="153" s="1"/>
  <c r="BK150" i="153"/>
  <c r="BK151" i="153" s="1"/>
  <c r="BK154" i="153" s="1"/>
  <c r="BL150" i="153"/>
  <c r="BL151" i="153" s="1"/>
  <c r="BL154" i="153" s="1"/>
  <c r="BM150" i="153"/>
  <c r="BM151" i="153" s="1"/>
  <c r="BM154" i="153" s="1"/>
  <c r="BN150" i="153"/>
  <c r="BN151" i="153" s="1"/>
  <c r="BN154" i="153" s="1"/>
  <c r="BO150" i="153"/>
  <c r="BO151" i="153" s="1"/>
  <c r="BO154" i="153" s="1"/>
  <c r="BP150" i="153"/>
  <c r="BP151" i="153" s="1"/>
  <c r="BP154" i="153" s="1"/>
  <c r="BG156" i="153"/>
  <c r="BG157" i="153" s="1"/>
  <c r="BH156" i="153"/>
  <c r="BH157" i="153" s="1"/>
  <c r="BJ156" i="153"/>
  <c r="BJ157" i="153" s="1"/>
  <c r="BK156" i="153"/>
  <c r="BK157" i="153" s="1"/>
  <c r="BL156" i="153"/>
  <c r="BL157" i="153" s="1"/>
  <c r="BM156" i="153"/>
  <c r="BM157" i="153" s="1"/>
  <c r="BN156" i="153"/>
  <c r="BN157" i="153" s="1"/>
  <c r="BO156" i="153"/>
  <c r="BO157" i="153" s="1"/>
  <c r="BP156" i="153"/>
  <c r="BP157" i="153" s="1"/>
  <c r="AK127" i="153"/>
  <c r="AK129" i="153" s="1"/>
  <c r="AL127" i="153"/>
  <c r="AM127" i="153"/>
  <c r="AM129" i="153" s="1"/>
  <c r="AM156" i="153"/>
  <c r="AM157" i="153" s="1"/>
  <c r="AL156" i="153"/>
  <c r="AL157" i="153" s="1"/>
  <c r="AK156" i="153"/>
  <c r="AK157" i="153" s="1"/>
  <c r="AL128" i="153" l="1"/>
  <c r="AU162" i="153"/>
  <c r="AU163" i="153" s="1"/>
  <c r="BC128" i="153"/>
  <c r="CC133" i="153"/>
  <c r="CC134" i="153" s="1"/>
  <c r="CC132" i="153"/>
  <c r="BD128" i="153"/>
  <c r="AY132" i="153"/>
  <c r="AY133" i="153"/>
  <c r="AY134" i="153" s="1"/>
  <c r="BO128" i="153"/>
  <c r="BX161" i="153"/>
  <c r="AO128" i="153"/>
  <c r="BZ132" i="153"/>
  <c r="BZ133" i="153"/>
  <c r="BZ134" i="153" s="1"/>
  <c r="BW133" i="153"/>
  <c r="BW134" i="153" s="1"/>
  <c r="BW132" i="153"/>
  <c r="BZ162" i="153"/>
  <c r="BZ163" i="153" s="1"/>
  <c r="CD132" i="153"/>
  <c r="CC162" i="153"/>
  <c r="CC163" i="153" s="1"/>
  <c r="BS128" i="153"/>
  <c r="BS132" i="153" s="1"/>
  <c r="BY162" i="153"/>
  <c r="BY163" i="153" s="1"/>
  <c r="BL128" i="153"/>
  <c r="BU133" i="153"/>
  <c r="BU134" i="153" s="1"/>
  <c r="BU132" i="153"/>
  <c r="BX132" i="153"/>
  <c r="BX133" i="153"/>
  <c r="BX134" i="153" s="1"/>
  <c r="BG129" i="153"/>
  <c r="BG128" i="153" s="1"/>
  <c r="AV157" i="153"/>
  <c r="AV161" i="153" s="1"/>
  <c r="BF128" i="153"/>
  <c r="BF133" i="153" s="1"/>
  <c r="BF134" i="153" s="1"/>
  <c r="AP129" i="153"/>
  <c r="AP128" i="153" s="1"/>
  <c r="BE129" i="153"/>
  <c r="BE128" i="153" s="1"/>
  <c r="BB129" i="153"/>
  <c r="BB128" i="153" s="1"/>
  <c r="AU129" i="153"/>
  <c r="AU133" i="153" s="1"/>
  <c r="AU134" i="153" s="1"/>
  <c r="AV128" i="153"/>
  <c r="AW161" i="153"/>
  <c r="BP129" i="153"/>
  <c r="BP128" i="153" s="1"/>
  <c r="AN128" i="153"/>
  <c r="AN132" i="153" s="1"/>
  <c r="AQ130" i="153"/>
  <c r="AQ128" i="153" s="1"/>
  <c r="BT129" i="153"/>
  <c r="BT128" i="153" s="1"/>
  <c r="BN129" i="153"/>
  <c r="BN132" i="153" s="1"/>
  <c r="AR128" i="153"/>
  <c r="BQ162" i="153"/>
  <c r="BQ163" i="153" s="1"/>
  <c r="CE128" i="153"/>
  <c r="BI129" i="153"/>
  <c r="BI128" i="153" s="1"/>
  <c r="BI133" i="153" s="1"/>
  <c r="BI134" i="153" s="1"/>
  <c r="BQ128" i="153"/>
  <c r="BQ133" i="153" s="1"/>
  <c r="BQ134" i="153" s="1"/>
  <c r="AW128" i="153"/>
  <c r="AW133" i="153" s="1"/>
  <c r="AW134" i="153" s="1"/>
  <c r="BM130" i="153"/>
  <c r="BM128" i="153" s="1"/>
  <c r="BW161" i="153"/>
  <c r="AS128" i="153"/>
  <c r="AS133" i="153" s="1"/>
  <c r="AS134" i="153" s="1"/>
  <c r="AX128" i="153"/>
  <c r="AX133" i="153" s="1"/>
  <c r="AX134" i="153" s="1"/>
  <c r="BJ128" i="153"/>
  <c r="BJ133" i="153" s="1"/>
  <c r="BJ134" i="153" s="1"/>
  <c r="AZ128" i="153"/>
  <c r="AZ133" i="153" s="1"/>
  <c r="AZ134" i="153" s="1"/>
  <c r="BH128" i="153"/>
  <c r="BH132" i="153" s="1"/>
  <c r="BA129" i="153"/>
  <c r="BA128" i="153" s="1"/>
  <c r="BR129" i="153"/>
  <c r="BR128" i="153" s="1"/>
  <c r="BR132" i="153" s="1"/>
  <c r="CB130" i="153"/>
  <c r="CB128" i="153" s="1"/>
  <c r="CB133" i="153" s="1"/>
  <c r="CB134" i="153" s="1"/>
  <c r="BK129" i="153"/>
  <c r="BK128" i="153" s="1"/>
  <c r="BK132" i="153" s="1"/>
  <c r="BB161" i="153"/>
  <c r="BB162" i="153"/>
  <c r="BB163" i="153" s="1"/>
  <c r="AZ162" i="153"/>
  <c r="AZ163" i="153" s="1"/>
  <c r="AZ161" i="153"/>
  <c r="AS162" i="153"/>
  <c r="AS163" i="153" s="1"/>
  <c r="AS161" i="153"/>
  <c r="AY161" i="153"/>
  <c r="AY162" i="153"/>
  <c r="AY163" i="153" s="1"/>
  <c r="BA162" i="153"/>
  <c r="BA163" i="153" s="1"/>
  <c r="BA161" i="153"/>
  <c r="AT162" i="153"/>
  <c r="AT163" i="153" s="1"/>
  <c r="AT161" i="153"/>
  <c r="CF133" i="153"/>
  <c r="CF134" i="153" s="1"/>
  <c r="CF132" i="153"/>
  <c r="BC161" i="153"/>
  <c r="BC162" i="153"/>
  <c r="BC163" i="153" s="1"/>
  <c r="CA161" i="153"/>
  <c r="CA162" i="153"/>
  <c r="CA163" i="153" s="1"/>
  <c r="BU162" i="153"/>
  <c r="BU163" i="153" s="1"/>
  <c r="BU161" i="153"/>
  <c r="BV162" i="153"/>
  <c r="BV163" i="153" s="1"/>
  <c r="BV161" i="153"/>
  <c r="CB162" i="153"/>
  <c r="CB163" i="153" s="1"/>
  <c r="CB161" i="153"/>
  <c r="BV133" i="153"/>
  <c r="BV134" i="153" s="1"/>
  <c r="BV132" i="153"/>
  <c r="BY133" i="153"/>
  <c r="BY134" i="153" s="1"/>
  <c r="BY132" i="153"/>
  <c r="BD162" i="153"/>
  <c r="BD163" i="153" s="1"/>
  <c r="BO132" i="153"/>
  <c r="BO133" i="153"/>
  <c r="BO134" i="153" s="1"/>
  <c r="BJ162" i="153"/>
  <c r="BJ163" i="153" s="1"/>
  <c r="BJ161" i="153"/>
  <c r="BE161" i="153"/>
  <c r="BI162" i="153"/>
  <c r="BI163" i="153" s="1"/>
  <c r="BI161" i="153"/>
  <c r="BH162" i="153"/>
  <c r="BH163" i="153" s="1"/>
  <c r="BH161" i="153"/>
  <c r="BG161" i="153"/>
  <c r="BG162" i="153"/>
  <c r="BG163" i="153" s="1"/>
  <c r="BF162" i="153"/>
  <c r="BF163" i="153" s="1"/>
  <c r="BF161" i="153"/>
  <c r="BF132" i="153"/>
  <c r="BD132" i="153"/>
  <c r="BE162" i="153"/>
  <c r="BE163" i="153" s="1"/>
  <c r="BN162" i="153"/>
  <c r="BN163" i="153" s="1"/>
  <c r="BN161" i="153"/>
  <c r="AN162" i="153"/>
  <c r="AN163" i="153" s="1"/>
  <c r="AN161" i="153"/>
  <c r="BM162" i="153"/>
  <c r="BM163" i="153" s="1"/>
  <c r="BM161" i="153"/>
  <c r="AM162" i="153"/>
  <c r="AM163" i="153" s="1"/>
  <c r="AM161" i="153"/>
  <c r="BL162" i="153"/>
  <c r="BL163" i="153" s="1"/>
  <c r="BL161" i="153"/>
  <c r="BK162" i="153"/>
  <c r="BK163" i="153" s="1"/>
  <c r="BK161" i="153"/>
  <c r="AL162" i="153"/>
  <c r="AL163" i="153" s="1"/>
  <c r="AL161" i="153"/>
  <c r="AK162" i="153"/>
  <c r="AK163" i="153" s="1"/>
  <c r="AK161" i="153"/>
  <c r="BP162" i="153"/>
  <c r="BP163" i="153" s="1"/>
  <c r="BP161" i="153"/>
  <c r="BO161" i="153"/>
  <c r="BO162" i="153"/>
  <c r="BO163" i="153" s="1"/>
  <c r="EN150" i="153"/>
  <c r="EN151" i="153" s="1"/>
  <c r="EO150" i="153"/>
  <c r="EO151" i="153" s="1"/>
  <c r="FD150" i="153"/>
  <c r="FD151" i="153" s="1"/>
  <c r="FE150" i="153"/>
  <c r="FE151" i="153" s="1"/>
  <c r="FF150" i="153"/>
  <c r="FF151" i="153" s="1"/>
  <c r="FG150" i="153"/>
  <c r="FG151" i="153" s="1"/>
  <c r="FH150" i="153"/>
  <c r="FH151" i="153" s="1"/>
  <c r="FI150" i="153"/>
  <c r="FI151" i="153" s="1"/>
  <c r="FJ150" i="153"/>
  <c r="FJ151" i="153" s="1"/>
  <c r="M150" i="153"/>
  <c r="M151" i="153" s="1"/>
  <c r="N150" i="153"/>
  <c r="N151" i="153" s="1"/>
  <c r="O150" i="153"/>
  <c r="O151" i="153" s="1"/>
  <c r="P150" i="153"/>
  <c r="P151" i="153" s="1"/>
  <c r="Q150" i="153"/>
  <c r="Q151" i="153" s="1"/>
  <c r="R150" i="153"/>
  <c r="R151" i="153" s="1"/>
  <c r="S150" i="153"/>
  <c r="S151" i="153" s="1"/>
  <c r="T150" i="153"/>
  <c r="T151" i="153" s="1"/>
  <c r="U150" i="153"/>
  <c r="U151" i="153" s="1"/>
  <c r="V150" i="153"/>
  <c r="V151" i="153" s="1"/>
  <c r="W150" i="153"/>
  <c r="W151" i="153" s="1"/>
  <c r="X150" i="153"/>
  <c r="X151" i="153" s="1"/>
  <c r="Y150" i="153"/>
  <c r="Y151" i="153" s="1"/>
  <c r="Z150" i="153"/>
  <c r="Z151" i="153" s="1"/>
  <c r="AA150" i="153"/>
  <c r="AA151" i="153" s="1"/>
  <c r="AB150" i="153"/>
  <c r="AB151" i="153" s="1"/>
  <c r="AC150" i="153"/>
  <c r="AC151" i="153" s="1"/>
  <c r="AD150" i="153"/>
  <c r="AD151" i="153" s="1"/>
  <c r="AE150" i="153"/>
  <c r="AE151" i="153" s="1"/>
  <c r="AH150" i="153"/>
  <c r="AH151" i="153" s="1"/>
  <c r="L150" i="153"/>
  <c r="L151" i="153" s="1"/>
  <c r="BQ132" i="153" l="1"/>
  <c r="BP133" i="153"/>
  <c r="BP134" i="153" s="1"/>
  <c r="BP132" i="153"/>
  <c r="BS133" i="153"/>
  <c r="BS134" i="153" s="1"/>
  <c r="AZ132" i="153"/>
  <c r="AV162" i="153"/>
  <c r="AV163" i="153" s="1"/>
  <c r="BG133" i="153"/>
  <c r="BG134" i="153" s="1"/>
  <c r="BG132" i="153"/>
  <c r="BA132" i="153"/>
  <c r="BA133" i="153"/>
  <c r="BA134" i="153" s="1"/>
  <c r="BM133" i="153"/>
  <c r="BM134" i="153" s="1"/>
  <c r="BM132" i="153"/>
  <c r="BH133" i="153"/>
  <c r="BH134" i="153" s="1"/>
  <c r="BE133" i="153"/>
  <c r="BE134" i="153" s="1"/>
  <c r="BE132" i="153"/>
  <c r="AS132" i="153"/>
  <c r="BN133" i="153"/>
  <c r="BN134" i="153" s="1"/>
  <c r="BK133" i="153"/>
  <c r="BK134" i="153" s="1"/>
  <c r="AX132" i="153"/>
  <c r="BI132" i="153"/>
  <c r="AN133" i="153"/>
  <c r="AN134" i="153" s="1"/>
  <c r="CE133" i="153"/>
  <c r="CE134" i="153" s="1"/>
  <c r="CE132" i="153"/>
  <c r="BR133" i="153"/>
  <c r="BR134" i="153" s="1"/>
  <c r="AV133" i="153"/>
  <c r="AV134" i="153" s="1"/>
  <c r="AV132" i="153"/>
  <c r="BJ132" i="153"/>
  <c r="AU132" i="153"/>
  <c r="CB132" i="153"/>
  <c r="AW132" i="153"/>
  <c r="AO132" i="153"/>
  <c r="AO133" i="153"/>
  <c r="AO134" i="153" s="1"/>
  <c r="BB133" i="153"/>
  <c r="BB134" i="153" s="1"/>
  <c r="BB132" i="153"/>
  <c r="AR132" i="153"/>
  <c r="AR133" i="153"/>
  <c r="AR134" i="153" s="1"/>
  <c r="AQ132" i="153"/>
  <c r="AQ133" i="153"/>
  <c r="AQ134" i="153" s="1"/>
  <c r="BT133" i="153"/>
  <c r="BT134" i="153" s="1"/>
  <c r="BT132" i="153"/>
  <c r="AP132" i="153"/>
  <c r="AP133" i="153"/>
  <c r="AP134" i="153" s="1"/>
  <c r="BD161" i="153"/>
  <c r="BC133" i="153"/>
  <c r="BC134" i="153" s="1"/>
  <c r="BC132" i="153"/>
  <c r="AL132" i="153"/>
  <c r="AL133" i="153"/>
  <c r="AL134" i="153" s="1"/>
  <c r="AK132" i="153"/>
  <c r="AK133" i="153"/>
  <c r="AK134" i="153" s="1"/>
  <c r="AM133" i="153"/>
  <c r="AM134" i="153" s="1"/>
  <c r="AM132" i="153"/>
  <c r="BD133" i="153"/>
  <c r="BD134" i="153" s="1"/>
  <c r="BL132" i="153"/>
  <c r="BL133" i="153"/>
  <c r="BL134" i="153" s="1"/>
  <c r="W127" i="153"/>
  <c r="J10" i="153"/>
  <c r="E167" i="5" s="1"/>
  <c r="J189" i="153" l="1"/>
  <c r="J186" i="153"/>
  <c r="J183" i="153"/>
  <c r="J180" i="153"/>
  <c r="J177" i="153"/>
  <c r="FJ174" i="153"/>
  <c r="FI174" i="153"/>
  <c r="FH174" i="153"/>
  <c r="FG174" i="153"/>
  <c r="FF174" i="153"/>
  <c r="FE174" i="153"/>
  <c r="FD174" i="153"/>
  <c r="EO174" i="153"/>
  <c r="EN174" i="153"/>
  <c r="EH174" i="153"/>
  <c r="EG174" i="153"/>
  <c r="AJ174" i="153"/>
  <c r="AI174" i="153"/>
  <c r="AH174" i="153"/>
  <c r="AG174" i="153"/>
  <c r="AF174" i="153"/>
  <c r="AE174" i="153"/>
  <c r="AD174" i="153"/>
  <c r="AC174" i="153"/>
  <c r="AB174" i="153"/>
  <c r="AA174" i="153"/>
  <c r="Z174" i="153"/>
  <c r="Y174" i="153"/>
  <c r="X174" i="153"/>
  <c r="W174" i="153"/>
  <c r="V174" i="153"/>
  <c r="U174" i="153"/>
  <c r="S174" i="153"/>
  <c r="R174" i="153"/>
  <c r="P174" i="153"/>
  <c r="O174" i="153"/>
  <c r="N174" i="153"/>
  <c r="M174" i="153"/>
  <c r="L174" i="153"/>
  <c r="K174" i="153"/>
  <c r="J171" i="153"/>
  <c r="EN166" i="153"/>
  <c r="EH166" i="153"/>
  <c r="EG166" i="153"/>
  <c r="AJ164" i="153"/>
  <c r="AI164" i="153"/>
  <c r="J159" i="153"/>
  <c r="FJ156" i="153"/>
  <c r="FJ157" i="153" s="1"/>
  <c r="FI156" i="153"/>
  <c r="FI157" i="153" s="1"/>
  <c r="FH156" i="153"/>
  <c r="FH157" i="153" s="1"/>
  <c r="FG156" i="153"/>
  <c r="FG157" i="153" s="1"/>
  <c r="FF156" i="153"/>
  <c r="FE156" i="153"/>
  <c r="FD156" i="153"/>
  <c r="FD157" i="153" s="1"/>
  <c r="EO156" i="153"/>
  <c r="EO157" i="153" s="1"/>
  <c r="EN156" i="153"/>
  <c r="EN157" i="153" s="1"/>
  <c r="AH156" i="153"/>
  <c r="AH157" i="153" s="1"/>
  <c r="FJ154" i="153"/>
  <c r="FH154" i="153"/>
  <c r="J152" i="153"/>
  <c r="FI154" i="153"/>
  <c r="FG154" i="153"/>
  <c r="FF154" i="153"/>
  <c r="FE154" i="153"/>
  <c r="FD154" i="153"/>
  <c r="EO154" i="153"/>
  <c r="EN154" i="153"/>
  <c r="AH154" i="153"/>
  <c r="J147" i="153"/>
  <c r="J146" i="153"/>
  <c r="J145" i="153"/>
  <c r="FJ144" i="153"/>
  <c r="FJ148" i="153" s="1"/>
  <c r="FI144" i="153"/>
  <c r="FI148" i="153" s="1"/>
  <c r="FH144" i="153"/>
  <c r="FH148" i="153" s="1"/>
  <c r="FG144" i="153"/>
  <c r="FG148" i="153" s="1"/>
  <c r="FF144" i="153"/>
  <c r="FF148" i="153" s="1"/>
  <c r="FE144" i="153"/>
  <c r="FE148" i="153" s="1"/>
  <c r="FD144" i="153"/>
  <c r="FD148" i="153" s="1"/>
  <c r="EO144" i="153"/>
  <c r="EO148" i="153" s="1"/>
  <c r="EN144" i="153"/>
  <c r="EN148" i="153" s="1"/>
  <c r="EH144" i="153"/>
  <c r="EH148" i="153" s="1"/>
  <c r="EG144" i="153"/>
  <c r="EG148" i="153" s="1"/>
  <c r="AJ144" i="153"/>
  <c r="AJ148" i="153" s="1"/>
  <c r="AI144" i="153"/>
  <c r="AI148" i="153" s="1"/>
  <c r="AH144" i="153"/>
  <c r="AH148" i="153" s="1"/>
  <c r="AG144" i="153"/>
  <c r="AG148" i="153" s="1"/>
  <c r="AF144" i="153"/>
  <c r="AF148" i="153" s="1"/>
  <c r="AE144" i="153"/>
  <c r="AE148" i="153" s="1"/>
  <c r="AD144" i="153"/>
  <c r="AD148" i="153" s="1"/>
  <c r="AC144" i="153"/>
  <c r="AC148" i="153" s="1"/>
  <c r="AB144" i="153"/>
  <c r="AB148" i="153" s="1"/>
  <c r="AA144" i="153"/>
  <c r="AA148" i="153" s="1"/>
  <c r="Z144" i="153"/>
  <c r="Z148" i="153" s="1"/>
  <c r="Y144" i="153"/>
  <c r="Y148" i="153" s="1"/>
  <c r="X144" i="153"/>
  <c r="X148" i="153" s="1"/>
  <c r="W144" i="153"/>
  <c r="W148" i="153" s="1"/>
  <c r="V144" i="153"/>
  <c r="V148" i="153" s="1"/>
  <c r="U144" i="153"/>
  <c r="U148" i="153" s="1"/>
  <c r="S144" i="153"/>
  <c r="S148" i="153" s="1"/>
  <c r="R144" i="153"/>
  <c r="R148" i="153" s="1"/>
  <c r="P144" i="153"/>
  <c r="P148" i="153" s="1"/>
  <c r="O144" i="153"/>
  <c r="O148" i="153" s="1"/>
  <c r="N144" i="153"/>
  <c r="N148" i="153" s="1"/>
  <c r="M144" i="153"/>
  <c r="M148" i="153" s="1"/>
  <c r="L144" i="153"/>
  <c r="L148" i="153" s="1"/>
  <c r="J139" i="153"/>
  <c r="J138" i="153"/>
  <c r="J137" i="153"/>
  <c r="FJ136" i="153"/>
  <c r="FJ140" i="153" s="1"/>
  <c r="FI136" i="153"/>
  <c r="FI140" i="153" s="1"/>
  <c r="FH136" i="153"/>
  <c r="FH140" i="153" s="1"/>
  <c r="FG136" i="153"/>
  <c r="FG140" i="153" s="1"/>
  <c r="FF136" i="153"/>
  <c r="FF140" i="153" s="1"/>
  <c r="FE136" i="153"/>
  <c r="FE140" i="153" s="1"/>
  <c r="FD136" i="153"/>
  <c r="FD140" i="153" s="1"/>
  <c r="EO136" i="153"/>
  <c r="EO140" i="153" s="1"/>
  <c r="EN136" i="153"/>
  <c r="EN140" i="153" s="1"/>
  <c r="EH136" i="153"/>
  <c r="EH140" i="153" s="1"/>
  <c r="EG136" i="153"/>
  <c r="EG140" i="153" s="1"/>
  <c r="AJ136" i="153"/>
  <c r="AJ140" i="153" s="1"/>
  <c r="AI136" i="153"/>
  <c r="AI140" i="153" s="1"/>
  <c r="AH136" i="153"/>
  <c r="AH140" i="153" s="1"/>
  <c r="AG136" i="153"/>
  <c r="AG140" i="153" s="1"/>
  <c r="AF136" i="153"/>
  <c r="AF140" i="153" s="1"/>
  <c r="AE136" i="153"/>
  <c r="AE140" i="153" s="1"/>
  <c r="AD136" i="153"/>
  <c r="AD140" i="153" s="1"/>
  <c r="AC136" i="153"/>
  <c r="AC140" i="153" s="1"/>
  <c r="AB136" i="153"/>
  <c r="AB140" i="153" s="1"/>
  <c r="AA136" i="153"/>
  <c r="AA140" i="153" s="1"/>
  <c r="Z136" i="153"/>
  <c r="Z140" i="153" s="1"/>
  <c r="Y136" i="153"/>
  <c r="Y140" i="153" s="1"/>
  <c r="X136" i="153"/>
  <c r="X140" i="153" s="1"/>
  <c r="W136" i="153"/>
  <c r="W140" i="153" s="1"/>
  <c r="V136" i="153"/>
  <c r="V140" i="153" s="1"/>
  <c r="U136" i="153"/>
  <c r="U140" i="153" s="1"/>
  <c r="S136" i="153"/>
  <c r="S140" i="153" s="1"/>
  <c r="R136" i="153"/>
  <c r="R140" i="153" s="1"/>
  <c r="P136" i="153"/>
  <c r="P140" i="153" s="1"/>
  <c r="O136" i="153"/>
  <c r="O140" i="153" s="1"/>
  <c r="N136" i="153"/>
  <c r="N140" i="153" s="1"/>
  <c r="M136" i="153"/>
  <c r="M140" i="153" s="1"/>
  <c r="L136" i="153"/>
  <c r="L140" i="153" s="1"/>
  <c r="FJ127" i="153"/>
  <c r="FJ128" i="153" s="1"/>
  <c r="EN127" i="153"/>
  <c r="EN128" i="153" s="1"/>
  <c r="AH127" i="153"/>
  <c r="AH130" i="153" s="1"/>
  <c r="U127" i="153"/>
  <c r="S127" i="153"/>
  <c r="L127" i="153"/>
  <c r="J124" i="153"/>
  <c r="H124" i="153" s="1"/>
  <c r="E312" i="8" s="1"/>
  <c r="J123" i="153"/>
  <c r="H123" i="153" s="1"/>
  <c r="E311" i="8" s="1"/>
  <c r="J122" i="153"/>
  <c r="H122" i="153" s="1"/>
  <c r="E310" i="8" s="1"/>
  <c r="J121" i="153"/>
  <c r="H121" i="153" s="1"/>
  <c r="E309" i="8" s="1"/>
  <c r="J120" i="153"/>
  <c r="H120" i="153" s="1"/>
  <c r="E308" i="8" s="1"/>
  <c r="J119" i="153"/>
  <c r="H119" i="153" s="1"/>
  <c r="E307" i="8" s="1"/>
  <c r="J118" i="153"/>
  <c r="H118" i="153" s="1"/>
  <c r="E306" i="8" s="1"/>
  <c r="J117" i="153"/>
  <c r="H117" i="153" s="1"/>
  <c r="E305" i="8" s="1"/>
  <c r="J116" i="153"/>
  <c r="H116" i="153" s="1"/>
  <c r="E304" i="8" s="1"/>
  <c r="J115" i="153"/>
  <c r="H115" i="153" s="1"/>
  <c r="E303" i="8" s="1"/>
  <c r="J114" i="153"/>
  <c r="H114" i="153" s="1"/>
  <c r="E302" i="8" s="1"/>
  <c r="J113" i="153"/>
  <c r="H113" i="153" s="1"/>
  <c r="E301" i="8" s="1"/>
  <c r="G301" i="8" s="1"/>
  <c r="J111" i="153"/>
  <c r="H111" i="153" s="1"/>
  <c r="E299" i="8" s="1"/>
  <c r="J110" i="153"/>
  <c r="H110" i="153" s="1"/>
  <c r="E298" i="8" s="1"/>
  <c r="J109" i="153"/>
  <c r="H109" i="153" s="1"/>
  <c r="E297" i="8" s="1"/>
  <c r="J108" i="153"/>
  <c r="H108" i="153" s="1"/>
  <c r="E296" i="8" s="1"/>
  <c r="AJ107" i="153"/>
  <c r="AI107" i="153"/>
  <c r="AH107" i="153"/>
  <c r="AG107" i="153"/>
  <c r="AF107" i="153"/>
  <c r="AE107" i="153"/>
  <c r="AD107" i="153"/>
  <c r="AC107" i="153"/>
  <c r="AB107" i="153"/>
  <c r="AA107" i="153"/>
  <c r="Z107" i="153"/>
  <c r="Y107" i="153"/>
  <c r="X107" i="153"/>
  <c r="W107" i="153"/>
  <c r="V107" i="153"/>
  <c r="U107" i="153"/>
  <c r="T107" i="153"/>
  <c r="S107" i="153"/>
  <c r="R107" i="153"/>
  <c r="Q107" i="153"/>
  <c r="P107" i="153"/>
  <c r="O107" i="153"/>
  <c r="N107" i="153"/>
  <c r="M107" i="153"/>
  <c r="L107" i="153"/>
  <c r="AJ106" i="153"/>
  <c r="AI106" i="153"/>
  <c r="AH106" i="153"/>
  <c r="AG106" i="153"/>
  <c r="AF106" i="153"/>
  <c r="AE106" i="153"/>
  <c r="AD106" i="153"/>
  <c r="AC106" i="153"/>
  <c r="AB106" i="153"/>
  <c r="AA106" i="153"/>
  <c r="Z106" i="153"/>
  <c r="Y106" i="153"/>
  <c r="X106" i="153"/>
  <c r="W106" i="153"/>
  <c r="V106" i="153"/>
  <c r="U106" i="153"/>
  <c r="T106" i="153"/>
  <c r="S106" i="153"/>
  <c r="R106" i="153"/>
  <c r="Q106" i="153"/>
  <c r="P106" i="153"/>
  <c r="O106" i="153"/>
  <c r="N106" i="153"/>
  <c r="M106" i="153"/>
  <c r="L106" i="153"/>
  <c r="AJ105" i="153"/>
  <c r="AI105" i="153"/>
  <c r="AH105" i="153"/>
  <c r="AG105" i="153"/>
  <c r="AF105" i="153"/>
  <c r="AE105" i="153"/>
  <c r="AD105" i="153"/>
  <c r="AC105" i="153"/>
  <c r="AB105" i="153"/>
  <c r="AA105" i="153"/>
  <c r="Z105" i="153"/>
  <c r="Y105" i="153"/>
  <c r="X105" i="153"/>
  <c r="W105" i="153"/>
  <c r="V105" i="153"/>
  <c r="U105" i="153"/>
  <c r="T105" i="153"/>
  <c r="S105" i="153"/>
  <c r="R105" i="153"/>
  <c r="Q105" i="153"/>
  <c r="P105" i="153"/>
  <c r="O105" i="153"/>
  <c r="N105" i="153"/>
  <c r="M105" i="153"/>
  <c r="L105" i="153"/>
  <c r="FJ104" i="153"/>
  <c r="FJ166" i="153" s="1"/>
  <c r="FI104" i="153"/>
  <c r="FI166" i="153" s="1"/>
  <c r="FH104" i="153"/>
  <c r="FH166" i="153" s="1"/>
  <c r="FG104" i="153"/>
  <c r="FG166" i="153" s="1"/>
  <c r="FF104" i="153"/>
  <c r="FF166" i="153" s="1"/>
  <c r="FE104" i="153"/>
  <c r="FE166" i="153" s="1"/>
  <c r="FD104" i="153"/>
  <c r="FD166" i="153" s="1"/>
  <c r="EO104" i="153"/>
  <c r="EO166" i="153" s="1"/>
  <c r="AJ104" i="153"/>
  <c r="AJ166" i="153" s="1"/>
  <c r="AI104" i="153"/>
  <c r="AI166" i="153" s="1"/>
  <c r="AH104" i="153"/>
  <c r="AH166" i="153" s="1"/>
  <c r="AG104" i="153"/>
  <c r="AG166" i="153" s="1"/>
  <c r="AF104" i="153"/>
  <c r="AF166" i="153" s="1"/>
  <c r="AE104" i="153"/>
  <c r="AE166" i="153" s="1"/>
  <c r="AD104" i="153"/>
  <c r="AD166" i="153" s="1"/>
  <c r="AC104" i="153"/>
  <c r="AC166" i="153" s="1"/>
  <c r="AB104" i="153"/>
  <c r="AB166" i="153" s="1"/>
  <c r="AA104" i="153"/>
  <c r="AA166" i="153" s="1"/>
  <c r="Z104" i="153"/>
  <c r="Z166" i="153" s="1"/>
  <c r="Y104" i="153"/>
  <c r="Y166" i="153" s="1"/>
  <c r="X104" i="153"/>
  <c r="X166" i="153" s="1"/>
  <c r="W104" i="153"/>
  <c r="W166" i="153" s="1"/>
  <c r="V104" i="153"/>
  <c r="V166" i="153" s="1"/>
  <c r="U104" i="153"/>
  <c r="U166" i="153" s="1"/>
  <c r="T104" i="153"/>
  <c r="S104" i="153"/>
  <c r="S166" i="153" s="1"/>
  <c r="R104" i="153"/>
  <c r="R166" i="153" s="1"/>
  <c r="Q104" i="153"/>
  <c r="P104" i="153"/>
  <c r="P166" i="153" s="1"/>
  <c r="O104" i="153"/>
  <c r="O166" i="153" s="1"/>
  <c r="N104" i="153"/>
  <c r="N166" i="153" s="1"/>
  <c r="M104" i="153"/>
  <c r="M166" i="153" s="1"/>
  <c r="L104" i="153"/>
  <c r="L166" i="153" s="1"/>
  <c r="J103" i="153"/>
  <c r="H103" i="153" s="1"/>
  <c r="E291" i="8" s="1"/>
  <c r="J102" i="153"/>
  <c r="H102" i="153" s="1"/>
  <c r="E290" i="8" s="1"/>
  <c r="J101" i="153"/>
  <c r="H101" i="153" s="1"/>
  <c r="E289" i="8" s="1"/>
  <c r="J100" i="153"/>
  <c r="H100" i="153" s="1"/>
  <c r="E288" i="8" s="1"/>
  <c r="J99" i="153"/>
  <c r="H99" i="153" s="1"/>
  <c r="E287" i="8" s="1"/>
  <c r="J98" i="153"/>
  <c r="H98" i="153" s="1"/>
  <c r="E286" i="8" s="1"/>
  <c r="J97" i="153"/>
  <c r="H97" i="153" s="1"/>
  <c r="E285" i="8" s="1"/>
  <c r="J96" i="153"/>
  <c r="H96" i="153" s="1"/>
  <c r="E284" i="8" s="1"/>
  <c r="J95" i="153"/>
  <c r="E228" i="5" s="1"/>
  <c r="J94" i="153"/>
  <c r="E227" i="5" s="1"/>
  <c r="EH150" i="153"/>
  <c r="EH151" i="153" s="1"/>
  <c r="EG150" i="153"/>
  <c r="EG151" i="153" s="1"/>
  <c r="AJ150" i="153"/>
  <c r="AJ151" i="153" s="1"/>
  <c r="AI150" i="153"/>
  <c r="AI151" i="153" s="1"/>
  <c r="AG150" i="153"/>
  <c r="AG151" i="153" s="1"/>
  <c r="AF150" i="153"/>
  <c r="AF151" i="153" s="1"/>
  <c r="J91" i="153"/>
  <c r="H91" i="153" s="1"/>
  <c r="E279" i="8" s="1"/>
  <c r="J90" i="153"/>
  <c r="H90" i="153" s="1"/>
  <c r="E278" i="8" s="1"/>
  <c r="O154" i="153"/>
  <c r="J88" i="153"/>
  <c r="E218" i="5" s="1"/>
  <c r="J87" i="153"/>
  <c r="H87" i="153" s="1"/>
  <c r="E275" i="8" s="1"/>
  <c r="G275" i="8" s="1"/>
  <c r="J86" i="153"/>
  <c r="E216" i="5" s="1"/>
  <c r="J85" i="153"/>
  <c r="E215" i="5" s="1"/>
  <c r="J84" i="153"/>
  <c r="H84" i="153" s="1"/>
  <c r="E272" i="8" s="1"/>
  <c r="J83" i="153"/>
  <c r="H83" i="153" s="1"/>
  <c r="E271" i="8" s="1"/>
  <c r="J82" i="153"/>
  <c r="H82" i="153" s="1"/>
  <c r="E270" i="8" s="1"/>
  <c r="FI127" i="153"/>
  <c r="FI128" i="153" s="1"/>
  <c r="FH127" i="153"/>
  <c r="FH128" i="153" s="1"/>
  <c r="FG127" i="153"/>
  <c r="FG128" i="153" s="1"/>
  <c r="FF127" i="153"/>
  <c r="FF128" i="153" s="1"/>
  <c r="FE127" i="153"/>
  <c r="FE128" i="153" s="1"/>
  <c r="FD127" i="153"/>
  <c r="FD128" i="153" s="1"/>
  <c r="EO127" i="153"/>
  <c r="EO128" i="153" s="1"/>
  <c r="EG127" i="153"/>
  <c r="EG128" i="153" s="1"/>
  <c r="AJ127" i="153"/>
  <c r="AG127" i="153"/>
  <c r="AE127" i="153"/>
  <c r="AD127" i="153"/>
  <c r="AB127" i="153"/>
  <c r="AB130" i="153" s="1"/>
  <c r="X127" i="153"/>
  <c r="R127" i="153"/>
  <c r="Q127" i="153"/>
  <c r="M127" i="153"/>
  <c r="M128" i="153" s="1"/>
  <c r="J80" i="153"/>
  <c r="E206" i="5" s="1"/>
  <c r="J79" i="153"/>
  <c r="E256" i="5" s="1"/>
  <c r="J77" i="153"/>
  <c r="E245" i="5" s="1"/>
  <c r="J76" i="153"/>
  <c r="H76" i="153" s="1"/>
  <c r="E264" i="8" s="1"/>
  <c r="J73" i="153"/>
  <c r="H73" i="153" s="1"/>
  <c r="E261" i="8" s="1"/>
  <c r="J72" i="153"/>
  <c r="E202" i="5" s="1"/>
  <c r="E203" i="5" s="1"/>
  <c r="J71" i="153"/>
  <c r="H71" i="153" s="1"/>
  <c r="E259" i="8" s="1"/>
  <c r="J70" i="153"/>
  <c r="H70" i="153" s="1"/>
  <c r="E258" i="8" s="1"/>
  <c r="J69" i="153"/>
  <c r="E193" i="5" s="1"/>
  <c r="J68" i="153"/>
  <c r="J67" i="153"/>
  <c r="H67" i="153" s="1"/>
  <c r="E255" i="8" s="1"/>
  <c r="J66" i="153"/>
  <c r="H66" i="153" s="1"/>
  <c r="E254" i="8" s="1"/>
  <c r="J65" i="153"/>
  <c r="H65" i="153" s="1"/>
  <c r="E253" i="8" s="1"/>
  <c r="J64" i="153"/>
  <c r="H64" i="153" s="1"/>
  <c r="E194" i="5" s="1"/>
  <c r="J63" i="153"/>
  <c r="H63" i="153" s="1"/>
  <c r="E251" i="8" s="1"/>
  <c r="B63" i="153"/>
  <c r="B64" i="153" s="1"/>
  <c r="B65" i="153" s="1"/>
  <c r="B66" i="153" s="1"/>
  <c r="B67" i="153" s="1"/>
  <c r="B68" i="153" s="1"/>
  <c r="B69" i="153" s="1"/>
  <c r="B71" i="153" s="1"/>
  <c r="B72" i="153" s="1"/>
  <c r="B75" i="153" s="1"/>
  <c r="B76" i="153" s="1"/>
  <c r="B77" i="153" s="1"/>
  <c r="B78" i="153" s="1"/>
  <c r="B79" i="153" s="1"/>
  <c r="B80" i="153" s="1"/>
  <c r="B81" i="153" s="1"/>
  <c r="B82" i="153" s="1"/>
  <c r="B83" i="153" s="1"/>
  <c r="B84" i="153" s="1"/>
  <c r="B85" i="153" s="1"/>
  <c r="B86" i="153" s="1"/>
  <c r="B87" i="153" s="1"/>
  <c r="B88" i="153" s="1"/>
  <c r="B92" i="153" s="1"/>
  <c r="B89" i="153" s="1"/>
  <c r="B93" i="153" s="1"/>
  <c r="B94" i="153" s="1"/>
  <c r="B95" i="153" s="1"/>
  <c r="B97" i="153" s="1"/>
  <c r="B98" i="153" s="1"/>
  <c r="B99" i="153" s="1"/>
  <c r="B100" i="153" s="1"/>
  <c r="B101" i="153" s="1"/>
  <c r="B102" i="153" s="1"/>
  <c r="B103" i="153" s="1"/>
  <c r="B104" i="153" s="1"/>
  <c r="B105" i="153" s="1"/>
  <c r="B106" i="153" s="1"/>
  <c r="B107" i="153" s="1"/>
  <c r="B108" i="153" s="1"/>
  <c r="B109" i="153" s="1"/>
  <c r="B110" i="153" s="1"/>
  <c r="B111" i="153" s="1"/>
  <c r="B112" i="153" s="1"/>
  <c r="B113" i="153" s="1"/>
  <c r="B114" i="153" s="1"/>
  <c r="B115" i="153" s="1"/>
  <c r="B116" i="153" s="1"/>
  <c r="B117" i="153" s="1"/>
  <c r="B119" i="153" s="1"/>
  <c r="B120" i="153" s="1"/>
  <c r="B121" i="153" s="1"/>
  <c r="J62" i="153"/>
  <c r="H62" i="153" s="1"/>
  <c r="E250" i="8" s="1"/>
  <c r="J61" i="153"/>
  <c r="H61" i="153" s="1"/>
  <c r="J60" i="153"/>
  <c r="H60" i="153" s="1"/>
  <c r="E109" i="8" s="1"/>
  <c r="J59" i="153"/>
  <c r="H59" i="153" s="1"/>
  <c r="E108" i="8" s="1"/>
  <c r="G108" i="8" s="1"/>
  <c r="J58" i="153"/>
  <c r="H58" i="153" s="1"/>
  <c r="E107" i="8" s="1"/>
  <c r="J57" i="153"/>
  <c r="H57" i="153" s="1"/>
  <c r="E106" i="8" s="1"/>
  <c r="J56" i="153"/>
  <c r="H56" i="153" s="1"/>
  <c r="E105" i="8" s="1"/>
  <c r="J55" i="153"/>
  <c r="H55" i="153" s="1"/>
  <c r="E104" i="8" s="1"/>
  <c r="J52" i="153"/>
  <c r="H52" i="153" s="1"/>
  <c r="E101" i="8" s="1"/>
  <c r="J51" i="153"/>
  <c r="H51" i="153" s="1"/>
  <c r="E100" i="8" s="1"/>
  <c r="J50" i="153"/>
  <c r="H50" i="153" s="1"/>
  <c r="E99" i="8" s="1"/>
  <c r="J49" i="153"/>
  <c r="H49" i="153" s="1"/>
  <c r="E98" i="8" s="1"/>
  <c r="J48" i="153"/>
  <c r="H48" i="153" s="1"/>
  <c r="E97" i="8" s="1"/>
  <c r="J47" i="153"/>
  <c r="H47" i="153" s="1"/>
  <c r="E96" i="8" s="1"/>
  <c r="J46" i="153"/>
  <c r="H46" i="153" s="1"/>
  <c r="E95" i="8" s="1"/>
  <c r="J45" i="153"/>
  <c r="H45" i="153" s="1"/>
  <c r="E94" i="8" s="1"/>
  <c r="J44" i="153"/>
  <c r="H44" i="153" s="1"/>
  <c r="E93" i="8" s="1"/>
  <c r="J43" i="153"/>
  <c r="H43" i="153" s="1"/>
  <c r="E92" i="8" s="1"/>
  <c r="J42" i="153"/>
  <c r="H42" i="153" s="1"/>
  <c r="E91" i="8" s="1"/>
  <c r="J41" i="153"/>
  <c r="H41" i="153" s="1"/>
  <c r="E90" i="8" s="1"/>
  <c r="J40" i="153"/>
  <c r="H40" i="153" s="1"/>
  <c r="E89" i="8" s="1"/>
  <c r="J39" i="153"/>
  <c r="H39" i="153" s="1"/>
  <c r="E88" i="8" s="1"/>
  <c r="J38" i="153"/>
  <c r="E185" i="5" s="1"/>
  <c r="J37" i="153"/>
  <c r="E184" i="5" s="1"/>
  <c r="J36" i="153"/>
  <c r="E183" i="5" s="1"/>
  <c r="J35" i="153"/>
  <c r="E182" i="5" s="1"/>
  <c r="J34" i="153"/>
  <c r="E180" i="5" s="1"/>
  <c r="J33" i="153"/>
  <c r="E179" i="5" s="1"/>
  <c r="J32" i="153"/>
  <c r="H32" i="153" s="1"/>
  <c r="E81" i="8" s="1"/>
  <c r="J31" i="153"/>
  <c r="E176" i="5" s="1"/>
  <c r="J30" i="153"/>
  <c r="E178" i="5" s="1"/>
  <c r="J29" i="153"/>
  <c r="E177" i="5" s="1"/>
  <c r="J28" i="153"/>
  <c r="H28" i="153" s="1"/>
  <c r="E77" i="8" s="1"/>
  <c r="J27" i="153"/>
  <c r="H27" i="153" s="1"/>
  <c r="J26" i="153"/>
  <c r="E198" i="5" s="1"/>
  <c r="J25" i="153"/>
  <c r="J24" i="153"/>
  <c r="J23" i="153"/>
  <c r="H23" i="153" s="1"/>
  <c r="E72" i="8" s="1"/>
  <c r="J22" i="153"/>
  <c r="H22" i="153" s="1"/>
  <c r="J21" i="153"/>
  <c r="J20" i="153"/>
  <c r="E169" i="5" s="1"/>
  <c r="E173" i="5" s="1"/>
  <c r="J19" i="153"/>
  <c r="H19" i="153" s="1"/>
  <c r="E68" i="8" s="1"/>
  <c r="J18" i="153"/>
  <c r="J17" i="153"/>
  <c r="J16" i="153"/>
  <c r="H15" i="153"/>
  <c r="J14" i="153"/>
  <c r="H14" i="153" s="1"/>
  <c r="E63" i="8" s="1"/>
  <c r="J13" i="153"/>
  <c r="H13" i="153" s="1"/>
  <c r="E62" i="8" s="1"/>
  <c r="J12" i="153"/>
  <c r="J11" i="153"/>
  <c r="E165" i="5" s="1"/>
  <c r="H10" i="153"/>
  <c r="E59" i="8" s="1"/>
  <c r="B10" i="153"/>
  <c r="B11" i="153" s="1"/>
  <c r="B12" i="153" s="1"/>
  <c r="B13" i="153" s="1"/>
  <c r="B14" i="153" s="1"/>
  <c r="B15" i="153" s="1"/>
  <c r="B16" i="153" s="1"/>
  <c r="B17" i="153" s="1"/>
  <c r="B18" i="153" s="1"/>
  <c r="B19" i="153" s="1"/>
  <c r="B20" i="153" s="1"/>
  <c r="J9" i="153"/>
  <c r="F167" i="5" s="1"/>
  <c r="H167" i="5" s="1"/>
  <c r="E76" i="8" l="1"/>
  <c r="H199" i="5"/>
  <c r="E201" i="5"/>
  <c r="E204" i="5" s="1"/>
  <c r="E71" i="8"/>
  <c r="F172" i="5"/>
  <c r="H172" i="5" s="1"/>
  <c r="E212" i="5"/>
  <c r="H212" i="5" s="1"/>
  <c r="E224" i="5"/>
  <c r="H224" i="5" s="1"/>
  <c r="E213" i="5"/>
  <c r="H213" i="5" s="1"/>
  <c r="E214" i="5"/>
  <c r="H214" i="5" s="1"/>
  <c r="E220" i="5"/>
  <c r="H220" i="5" s="1"/>
  <c r="E464" i="8"/>
  <c r="E160" i="160"/>
  <c r="E64" i="8"/>
  <c r="E168" i="5"/>
  <c r="H168" i="5" s="1"/>
  <c r="E252" i="8"/>
  <c r="H194" i="5"/>
  <c r="H29" i="153"/>
  <c r="E78" i="8" s="1"/>
  <c r="H177" i="5"/>
  <c r="H26" i="153"/>
  <c r="E75" i="8" s="1"/>
  <c r="H198" i="5"/>
  <c r="AE130" i="153"/>
  <c r="AE128" i="153" s="1"/>
  <c r="L129" i="153"/>
  <c r="L128" i="153"/>
  <c r="L132" i="153" s="1"/>
  <c r="FE157" i="153"/>
  <c r="FE161" i="153" s="1"/>
  <c r="S128" i="153"/>
  <c r="S133" i="153" s="1"/>
  <c r="S134" i="153" s="1"/>
  <c r="FF157" i="153"/>
  <c r="FF162" i="153" s="1"/>
  <c r="FF163" i="153" s="1"/>
  <c r="Q130" i="153"/>
  <c r="Q128" i="153" s="1"/>
  <c r="R129" i="153"/>
  <c r="X131" i="153"/>
  <c r="X128" i="153" s="1"/>
  <c r="H34" i="153"/>
  <c r="E83" i="8" s="1"/>
  <c r="H180" i="5"/>
  <c r="H69" i="153"/>
  <c r="E257" i="8" s="1"/>
  <c r="H193" i="5"/>
  <c r="H95" i="153"/>
  <c r="E283" i="8" s="1"/>
  <c r="H228" i="5"/>
  <c r="H11" i="153"/>
  <c r="E60" i="8" s="1"/>
  <c r="H165" i="5"/>
  <c r="H35" i="153"/>
  <c r="E84" i="8" s="1"/>
  <c r="H182" i="5"/>
  <c r="H88" i="153"/>
  <c r="E276" i="8" s="1"/>
  <c r="H38" i="153"/>
  <c r="E87" i="8" s="1"/>
  <c r="H185" i="5"/>
  <c r="H21" i="153"/>
  <c r="E70" i="8" s="1"/>
  <c r="O228" i="4"/>
  <c r="H33" i="153"/>
  <c r="E82" i="8" s="1"/>
  <c r="H179" i="5"/>
  <c r="H37" i="153"/>
  <c r="E86" i="8" s="1"/>
  <c r="H184" i="5"/>
  <c r="H16" i="153"/>
  <c r="E65" i="8" s="1"/>
  <c r="O223" i="4"/>
  <c r="H77" i="153"/>
  <c r="E265" i="8" s="1"/>
  <c r="H245" i="5"/>
  <c r="H68" i="153"/>
  <c r="E256" i="8" s="1"/>
  <c r="H12" i="153"/>
  <c r="E61" i="8" s="1"/>
  <c r="H17" i="153"/>
  <c r="E66" i="8" s="1"/>
  <c r="O224" i="4"/>
  <c r="H53" i="153"/>
  <c r="E102" i="8" s="1"/>
  <c r="H191" i="5"/>
  <c r="H79" i="153"/>
  <c r="E267" i="8" s="1"/>
  <c r="H256" i="5"/>
  <c r="H86" i="153"/>
  <c r="E274" i="8" s="1"/>
  <c r="H216" i="5"/>
  <c r="H72" i="153"/>
  <c r="E260" i="8" s="1"/>
  <c r="H18" i="153"/>
  <c r="E67" i="8" s="1"/>
  <c r="H30" i="153"/>
  <c r="E79" i="8" s="1"/>
  <c r="H178" i="5"/>
  <c r="E103" i="8"/>
  <c r="H192" i="5"/>
  <c r="H80" i="153"/>
  <c r="E268" i="8" s="1"/>
  <c r="H206" i="5"/>
  <c r="H94" i="153"/>
  <c r="E282" i="8" s="1"/>
  <c r="H227" i="5"/>
  <c r="H24" i="153"/>
  <c r="E73" i="8" s="1"/>
  <c r="H25" i="153"/>
  <c r="E74" i="8" s="1"/>
  <c r="H31" i="153"/>
  <c r="E80" i="8" s="1"/>
  <c r="H176" i="5"/>
  <c r="H9" i="153"/>
  <c r="E58" i="8" s="1"/>
  <c r="H20" i="153"/>
  <c r="E69" i="8" s="1"/>
  <c r="H85" i="153"/>
  <c r="E273" i="8" s="1"/>
  <c r="H215" i="5"/>
  <c r="H36" i="153"/>
  <c r="E85" i="8" s="1"/>
  <c r="H183" i="5"/>
  <c r="FI161" i="153"/>
  <c r="FI162" i="153"/>
  <c r="FI163" i="153" s="1"/>
  <c r="J174" i="153"/>
  <c r="Q156" i="153"/>
  <c r="Q157" i="153" s="1"/>
  <c r="Y127" i="153"/>
  <c r="Y130" i="153" s="1"/>
  <c r="J104" i="153"/>
  <c r="H104" i="153" s="1"/>
  <c r="E292" i="8" s="1"/>
  <c r="J78" i="153"/>
  <c r="E205" i="5" s="1"/>
  <c r="W154" i="153"/>
  <c r="AB156" i="153"/>
  <c r="AB157" i="153" s="1"/>
  <c r="J107" i="153"/>
  <c r="H107" i="153" s="1"/>
  <c r="E295" i="8" s="1"/>
  <c r="J105" i="153"/>
  <c r="H105" i="153" s="1"/>
  <c r="E293" i="8" s="1"/>
  <c r="J92" i="153"/>
  <c r="H92" i="153" s="1"/>
  <c r="E280" i="8" s="1"/>
  <c r="J106" i="153"/>
  <c r="H106" i="153" s="1"/>
  <c r="E294" i="8" s="1"/>
  <c r="J112" i="153"/>
  <c r="E236" i="5" s="1"/>
  <c r="B21" i="153"/>
  <c r="B22" i="153"/>
  <c r="B23" i="153" s="1"/>
  <c r="B24" i="153" s="1"/>
  <c r="B25" i="153" s="1"/>
  <c r="B26" i="153" s="1"/>
  <c r="AF127" i="153"/>
  <c r="AF129" i="153" s="1"/>
  <c r="T127" i="153"/>
  <c r="V127" i="153"/>
  <c r="AI127" i="153"/>
  <c r="AI129" i="153" s="1"/>
  <c r="Q154" i="153"/>
  <c r="EG154" i="153"/>
  <c r="EG156" i="153"/>
  <c r="EG157" i="153" s="1"/>
  <c r="P156" i="153"/>
  <c r="P157" i="153" s="1"/>
  <c r="P154" i="153"/>
  <c r="R154" i="153"/>
  <c r="R156" i="153"/>
  <c r="R157" i="153" s="1"/>
  <c r="J140" i="153"/>
  <c r="S154" i="153"/>
  <c r="S156" i="153"/>
  <c r="S157" i="153" s="1"/>
  <c r="J166" i="153"/>
  <c r="J75" i="153"/>
  <c r="H75" i="153" s="1"/>
  <c r="Y156" i="153"/>
  <c r="Y157" i="153" s="1"/>
  <c r="Y154" i="153"/>
  <c r="FJ132" i="153"/>
  <c r="FJ133" i="153"/>
  <c r="FJ134" i="153" s="1"/>
  <c r="AH161" i="153"/>
  <c r="AH162" i="153"/>
  <c r="AH163" i="153" s="1"/>
  <c r="Z127" i="153"/>
  <c r="W156" i="153"/>
  <c r="W157" i="153" s="1"/>
  <c r="AA127" i="153"/>
  <c r="EO162" i="153"/>
  <c r="EO163" i="153" s="1"/>
  <c r="EO161" i="153"/>
  <c r="AC154" i="153"/>
  <c r="J144" i="153"/>
  <c r="E211" i="5" s="1"/>
  <c r="N156" i="153"/>
  <c r="N157" i="153" s="1"/>
  <c r="N154" i="153"/>
  <c r="P127" i="153"/>
  <c r="P128" i="153" s="1"/>
  <c r="S132" i="153"/>
  <c r="J148" i="153"/>
  <c r="J160" i="153"/>
  <c r="O156" i="153"/>
  <c r="O157" i="153" s="1"/>
  <c r="J136" i="153"/>
  <c r="J141" i="153" s="1"/>
  <c r="FH162" i="153"/>
  <c r="FH163" i="153" s="1"/>
  <c r="FH161" i="153"/>
  <c r="H23" i="29"/>
  <c r="G154" i="5"/>
  <c r="G161" i="5"/>
  <c r="G159" i="5"/>
  <c r="G157" i="5"/>
  <c r="H160" i="5"/>
  <c r="E457" i="8" l="1"/>
  <c r="E153" i="160"/>
  <c r="E469" i="8"/>
  <c r="E165" i="160"/>
  <c r="E496" i="8"/>
  <c r="E192" i="160"/>
  <c r="E213" i="160"/>
  <c r="E517" i="8"/>
  <c r="E511" i="8"/>
  <c r="E207" i="160"/>
  <c r="E510" i="8"/>
  <c r="E206" i="160"/>
  <c r="E521" i="8"/>
  <c r="E217" i="160"/>
  <c r="E509" i="8"/>
  <c r="E205" i="160"/>
  <c r="E225" i="5"/>
  <c r="H225" i="5" s="1"/>
  <c r="E465" i="8"/>
  <c r="E161" i="160"/>
  <c r="G161" i="160" s="1"/>
  <c r="E263" i="8"/>
  <c r="E242" i="5"/>
  <c r="H242" i="5" s="1"/>
  <c r="Z129" i="153"/>
  <c r="E474" i="8"/>
  <c r="E170" i="160"/>
  <c r="E491" i="8"/>
  <c r="E187" i="160"/>
  <c r="E495" i="8"/>
  <c r="E191" i="160"/>
  <c r="E473" i="8"/>
  <c r="E169" i="160"/>
  <c r="E482" i="8"/>
  <c r="E178" i="160"/>
  <c r="E477" i="8"/>
  <c r="E173" i="160"/>
  <c r="H218" i="5"/>
  <c r="E211" i="160" s="1"/>
  <c r="E513" i="8"/>
  <c r="E209" i="160"/>
  <c r="E480" i="8"/>
  <c r="E176" i="160"/>
  <c r="E524" i="8"/>
  <c r="E220" i="160"/>
  <c r="E479" i="8"/>
  <c r="E175" i="160"/>
  <c r="E553" i="8"/>
  <c r="E249" i="160"/>
  <c r="E512" i="8"/>
  <c r="E208" i="160"/>
  <c r="E503" i="8"/>
  <c r="E199" i="160"/>
  <c r="E481" i="8"/>
  <c r="E177" i="160"/>
  <c r="E462" i="8"/>
  <c r="E158" i="160"/>
  <c r="E488" i="8"/>
  <c r="E184" i="160"/>
  <c r="E489" i="8"/>
  <c r="E185" i="160"/>
  <c r="E476" i="8"/>
  <c r="E172" i="160"/>
  <c r="E525" i="8"/>
  <c r="E221" i="160"/>
  <c r="E475" i="8"/>
  <c r="E171" i="160"/>
  <c r="FF161" i="153"/>
  <c r="E542" i="8"/>
  <c r="E238" i="160"/>
  <c r="E490" i="8"/>
  <c r="E186" i="160"/>
  <c r="AJ128" i="153"/>
  <c r="FE162" i="153"/>
  <c r="FE163" i="153" s="1"/>
  <c r="V129" i="153"/>
  <c r="W128" i="153"/>
  <c r="W132" i="153" s="1"/>
  <c r="AG128" i="153"/>
  <c r="AG132" i="153" s="1"/>
  <c r="T131" i="153"/>
  <c r="J131" i="153" s="1"/>
  <c r="AA128" i="153"/>
  <c r="U130" i="153"/>
  <c r="L133" i="153"/>
  <c r="L134" i="153" s="1"/>
  <c r="H78" i="153"/>
  <c r="E266" i="8" s="1"/>
  <c r="H205" i="5"/>
  <c r="J149" i="153"/>
  <c r="H211" i="5"/>
  <c r="H93" i="153"/>
  <c r="E281" i="8" s="1"/>
  <c r="H226" i="5"/>
  <c r="H203" i="5"/>
  <c r="H202" i="5"/>
  <c r="H204" i="5"/>
  <c r="H201" i="5"/>
  <c r="H112" i="153"/>
  <c r="E300" i="8" s="1"/>
  <c r="H236" i="5"/>
  <c r="H169" i="5"/>
  <c r="H173" i="5"/>
  <c r="AB154" i="153"/>
  <c r="AE156" i="153"/>
  <c r="AE157" i="153" s="1"/>
  <c r="AH132" i="153"/>
  <c r="AH133" i="153"/>
  <c r="AH134" i="153" s="1"/>
  <c r="AE154" i="153"/>
  <c r="FE133" i="153"/>
  <c r="FE134" i="153" s="1"/>
  <c r="FE132" i="153"/>
  <c r="AF156" i="153"/>
  <c r="AF157" i="153" s="1"/>
  <c r="AF154" i="153"/>
  <c r="AI156" i="153"/>
  <c r="AI157" i="153" s="1"/>
  <c r="AI154" i="153"/>
  <c r="EN133" i="153"/>
  <c r="EN134" i="153" s="1"/>
  <c r="EN132" i="153"/>
  <c r="N133" i="153"/>
  <c r="N134" i="153" s="1"/>
  <c r="N132" i="153"/>
  <c r="Z154" i="153"/>
  <c r="Z156" i="153"/>
  <c r="Z157" i="153" s="1"/>
  <c r="R133" i="153"/>
  <c r="R134" i="153" s="1"/>
  <c r="R132" i="153"/>
  <c r="O133" i="153"/>
  <c r="O134" i="153" s="1"/>
  <c r="O132" i="153"/>
  <c r="EG133" i="153"/>
  <c r="EG134" i="153" s="1"/>
  <c r="EG132" i="153"/>
  <c r="T154" i="153"/>
  <c r="T156" i="153"/>
  <c r="T157" i="153" s="1"/>
  <c r="AJ132" i="153"/>
  <c r="AJ133" i="153"/>
  <c r="AJ134" i="153" s="1"/>
  <c r="U156" i="153"/>
  <c r="U157" i="153" s="1"/>
  <c r="U154" i="153"/>
  <c r="V156" i="153"/>
  <c r="V157" i="153" s="1"/>
  <c r="V154" i="153"/>
  <c r="AD154" i="153"/>
  <c r="AD156" i="153"/>
  <c r="AD157" i="153" s="1"/>
  <c r="FF133" i="153"/>
  <c r="FF134" i="153" s="1"/>
  <c r="FF132" i="153"/>
  <c r="FI133" i="153"/>
  <c r="FI134" i="153" s="1"/>
  <c r="FI132" i="153"/>
  <c r="EN162" i="153"/>
  <c r="EN163" i="153" s="1"/>
  <c r="EN161" i="153"/>
  <c r="FG162" i="153"/>
  <c r="FG163" i="153" s="1"/>
  <c r="FG161" i="153"/>
  <c r="X156" i="153"/>
  <c r="X157" i="153" s="1"/>
  <c r="X154" i="153"/>
  <c r="X132" i="153"/>
  <c r="X133" i="153"/>
  <c r="X134" i="153" s="1"/>
  <c r="L154" i="153"/>
  <c r="AB133" i="153"/>
  <c r="AB134" i="153" s="1"/>
  <c r="AB132" i="153"/>
  <c r="Y133" i="153"/>
  <c r="Y134" i="153" s="1"/>
  <c r="Y132" i="153"/>
  <c r="Q132" i="153"/>
  <c r="Q133" i="153"/>
  <c r="Q134" i="153" s="1"/>
  <c r="EH154" i="153"/>
  <c r="EH156" i="153"/>
  <c r="EH157" i="153" s="1"/>
  <c r="M154" i="153"/>
  <c r="EO132" i="153"/>
  <c r="EO133" i="153"/>
  <c r="EO134" i="153" s="1"/>
  <c r="M132" i="153"/>
  <c r="M133" i="153"/>
  <c r="M134" i="153" s="1"/>
  <c r="FG133" i="153"/>
  <c r="FG134" i="153" s="1"/>
  <c r="FG132" i="153"/>
  <c r="B29" i="153"/>
  <c r="B27" i="153"/>
  <c r="B28" i="153" s="1"/>
  <c r="FJ161" i="153"/>
  <c r="FJ162" i="153"/>
  <c r="FJ163" i="153" s="1"/>
  <c r="FD162" i="153"/>
  <c r="FD163" i="153" s="1"/>
  <c r="FD161" i="153"/>
  <c r="AG156" i="153"/>
  <c r="AG157" i="153" s="1"/>
  <c r="AG154" i="153"/>
  <c r="FD132" i="153"/>
  <c r="FD133" i="153"/>
  <c r="FD134" i="153" s="1"/>
  <c r="AA154" i="153"/>
  <c r="AA156" i="153"/>
  <c r="AA157" i="153" s="1"/>
  <c r="AJ156" i="153"/>
  <c r="AJ157" i="153" s="1"/>
  <c r="AJ154" i="153"/>
  <c r="AE133" i="153"/>
  <c r="AE134" i="153" s="1"/>
  <c r="AE132" i="153"/>
  <c r="J153" i="153"/>
  <c r="FH133" i="153"/>
  <c r="FH134" i="153" s="1"/>
  <c r="FH132" i="153"/>
  <c r="A160" i="5"/>
  <c r="A159" i="5"/>
  <c r="K451" i="152"/>
  <c r="L451" i="152" s="1"/>
  <c r="M451" i="152" s="1"/>
  <c r="F153" i="160" s="1"/>
  <c r="G153" i="160" s="1"/>
  <c r="K449" i="152"/>
  <c r="L449" i="152" s="1"/>
  <c r="M449" i="152" s="1"/>
  <c r="F152" i="160" s="1"/>
  <c r="F151" i="5"/>
  <c r="G151" i="5"/>
  <c r="E151" i="5"/>
  <c r="G150" i="5"/>
  <c r="E150" i="5"/>
  <c r="E218" i="160" l="1"/>
  <c r="E522" i="8"/>
  <c r="E221" i="5"/>
  <c r="H221" i="5" s="1"/>
  <c r="E539" i="8"/>
  <c r="E235" i="160"/>
  <c r="E210" i="5"/>
  <c r="H210" i="5" s="1"/>
  <c r="E523" i="8"/>
  <c r="E219" i="160"/>
  <c r="E515" i="8"/>
  <c r="E508" i="8"/>
  <c r="E204" i="160"/>
  <c r="E470" i="8"/>
  <c r="E166" i="160"/>
  <c r="E502" i="8"/>
  <c r="E198" i="160"/>
  <c r="E466" i="8"/>
  <c r="E162" i="160"/>
  <c r="E533" i="8"/>
  <c r="E229" i="160"/>
  <c r="T128" i="153"/>
  <c r="T133" i="153" s="1"/>
  <c r="T134" i="153" s="1"/>
  <c r="AG133" i="153"/>
  <c r="AG134" i="153" s="1"/>
  <c r="E499" i="8"/>
  <c r="E195" i="160"/>
  <c r="E500" i="8"/>
  <c r="E196" i="160"/>
  <c r="E498" i="8"/>
  <c r="E194" i="160"/>
  <c r="E501" i="8"/>
  <c r="E197" i="160"/>
  <c r="U132" i="153"/>
  <c r="U133" i="153"/>
  <c r="U134" i="153" s="1"/>
  <c r="I160" i="5"/>
  <c r="B159" i="5"/>
  <c r="B456" i="8" s="1"/>
  <c r="C159" i="5"/>
  <c r="C456" i="8" s="1"/>
  <c r="D159" i="5"/>
  <c r="D456" i="8" s="1"/>
  <c r="I159" i="5"/>
  <c r="B160" i="5"/>
  <c r="B457" i="8" s="1"/>
  <c r="C160" i="5"/>
  <c r="C457" i="8" s="1"/>
  <c r="D160" i="5"/>
  <c r="D457" i="8" s="1"/>
  <c r="W133" i="153"/>
  <c r="Y161" i="153"/>
  <c r="W162" i="153"/>
  <c r="W163" i="153" s="1"/>
  <c r="L161" i="153"/>
  <c r="EH133" i="153"/>
  <c r="EH134" i="153" s="1"/>
  <c r="EH132" i="153"/>
  <c r="AF132" i="153"/>
  <c r="AF133" i="153"/>
  <c r="AF134" i="153" s="1"/>
  <c r="N161" i="153"/>
  <c r="N162" i="153"/>
  <c r="N163" i="153" s="1"/>
  <c r="P162" i="153"/>
  <c r="P163" i="153" s="1"/>
  <c r="P161" i="153"/>
  <c r="AE162" i="153"/>
  <c r="AE163" i="153" s="1"/>
  <c r="AE161" i="153"/>
  <c r="B30" i="153"/>
  <c r="B31" i="153"/>
  <c r="B32" i="153" s="1"/>
  <c r="B33" i="153" s="1"/>
  <c r="B34" i="153" s="1"/>
  <c r="B35" i="153" s="1"/>
  <c r="B36" i="153" s="1"/>
  <c r="B37" i="153" s="1"/>
  <c r="B38" i="153" s="1"/>
  <c r="B39" i="153" s="1"/>
  <c r="B40" i="153" s="1"/>
  <c r="B41" i="153" s="1"/>
  <c r="B42" i="153" s="1"/>
  <c r="B44" i="153" s="1"/>
  <c r="B45" i="153" s="1"/>
  <c r="B47" i="153" s="1"/>
  <c r="B48" i="153" s="1"/>
  <c r="AB162" i="153"/>
  <c r="AB161" i="153"/>
  <c r="Z133" i="153"/>
  <c r="Z134" i="153" s="1"/>
  <c r="Z132" i="153"/>
  <c r="AI132" i="153"/>
  <c r="AI133" i="153"/>
  <c r="AI134" i="153" s="1"/>
  <c r="Q162" i="153"/>
  <c r="Q163" i="153" s="1"/>
  <c r="Q161" i="153"/>
  <c r="J154" i="153"/>
  <c r="V132" i="153"/>
  <c r="V133" i="153"/>
  <c r="V134" i="153" s="1"/>
  <c r="O161" i="153"/>
  <c r="O162" i="153"/>
  <c r="O163" i="153" s="1"/>
  <c r="J151" i="153"/>
  <c r="E219" i="5" s="1"/>
  <c r="S162" i="153"/>
  <c r="S163" i="153" s="1"/>
  <c r="S161" i="153"/>
  <c r="AA133" i="153"/>
  <c r="AA134" i="153" s="1"/>
  <c r="AA132" i="153"/>
  <c r="EG161" i="153"/>
  <c r="EG162" i="153"/>
  <c r="EG163" i="153" s="1"/>
  <c r="R162" i="153"/>
  <c r="R163" i="153" s="1"/>
  <c r="R161" i="153"/>
  <c r="H148" i="5"/>
  <c r="E445" i="8" s="1"/>
  <c r="H150" i="5"/>
  <c r="H151" i="5"/>
  <c r="H152" i="5"/>
  <c r="H153" i="5"/>
  <c r="H155" i="5"/>
  <c r="H156" i="5"/>
  <c r="H158" i="5"/>
  <c r="H162" i="5"/>
  <c r="E459" i="8" s="1"/>
  <c r="H149" i="5"/>
  <c r="E446" i="8" s="1"/>
  <c r="A149" i="5"/>
  <c r="A150" i="5"/>
  <c r="B150" i="5" s="1"/>
  <c r="B447" i="8" s="1"/>
  <c r="A151" i="5"/>
  <c r="D151" i="5" s="1"/>
  <c r="D448" i="8" s="1"/>
  <c r="A152" i="5"/>
  <c r="D152" i="5" s="1"/>
  <c r="D449" i="8" s="1"/>
  <c r="A153" i="5"/>
  <c r="A154" i="5"/>
  <c r="B154" i="5" s="1"/>
  <c r="B451" i="8" s="1"/>
  <c r="A155" i="5"/>
  <c r="B155" i="5" s="1"/>
  <c r="B452" i="8" s="1"/>
  <c r="A156" i="5"/>
  <c r="C156" i="5" s="1"/>
  <c r="C453" i="8" s="1"/>
  <c r="A157" i="5"/>
  <c r="B157" i="5" s="1"/>
  <c r="B454" i="8" s="1"/>
  <c r="A158" i="5"/>
  <c r="C158" i="5" s="1"/>
  <c r="C455" i="8" s="1"/>
  <c r="A161" i="5"/>
  <c r="B161" i="5" s="1"/>
  <c r="B458" i="8" s="1"/>
  <c r="A162" i="5"/>
  <c r="B162" i="5" s="1"/>
  <c r="B459" i="8" s="1"/>
  <c r="A148" i="5"/>
  <c r="B148" i="5" s="1"/>
  <c r="B445" i="8" s="1"/>
  <c r="A147" i="5"/>
  <c r="F145" i="5"/>
  <c r="G145" i="5"/>
  <c r="G139" i="5"/>
  <c r="G141" i="5"/>
  <c r="G142" i="5" s="1"/>
  <c r="G134" i="5"/>
  <c r="G133" i="5"/>
  <c r="G132" i="5"/>
  <c r="F130" i="5"/>
  <c r="G130" i="5"/>
  <c r="E130" i="5"/>
  <c r="F129" i="5"/>
  <c r="G129" i="5"/>
  <c r="E129" i="5"/>
  <c r="F128" i="5"/>
  <c r="G128" i="5"/>
  <c r="E128" i="5"/>
  <c r="F127" i="5"/>
  <c r="G127" i="5"/>
  <c r="E127" i="5"/>
  <c r="F124" i="5"/>
  <c r="G124" i="5"/>
  <c r="E124" i="5"/>
  <c r="F121" i="5"/>
  <c r="G121" i="5"/>
  <c r="F119" i="5"/>
  <c r="G119" i="5"/>
  <c r="E119" i="5"/>
  <c r="F117" i="5"/>
  <c r="G117" i="5"/>
  <c r="E117" i="5"/>
  <c r="H118" i="5"/>
  <c r="H120" i="5"/>
  <c r="H122" i="5"/>
  <c r="H123" i="5"/>
  <c r="H131" i="5"/>
  <c r="H135" i="5"/>
  <c r="H136" i="5"/>
  <c r="H138" i="5"/>
  <c r="H140" i="5"/>
  <c r="H143" i="5"/>
  <c r="H144" i="5"/>
  <c r="A118" i="5"/>
  <c r="C118" i="5" s="1"/>
  <c r="A119" i="5"/>
  <c r="B119" i="5" s="1"/>
  <c r="B417" i="8" s="1"/>
  <c r="A120" i="5"/>
  <c r="B120" i="5" s="1"/>
  <c r="B418" i="8" s="1"/>
  <c r="A121" i="5"/>
  <c r="B121" i="5" s="1"/>
  <c r="B419" i="8" s="1"/>
  <c r="A122" i="5"/>
  <c r="B122" i="5" s="1"/>
  <c r="B420" i="8" s="1"/>
  <c r="A123" i="5"/>
  <c r="C123" i="5" s="1"/>
  <c r="C421" i="8" s="1"/>
  <c r="A124" i="5"/>
  <c r="B124" i="5" s="1"/>
  <c r="B422" i="8" s="1"/>
  <c r="A125" i="5"/>
  <c r="B125" i="5" s="1"/>
  <c r="B423" i="8" s="1"/>
  <c r="A127" i="5"/>
  <c r="C127" i="5" s="1"/>
  <c r="C424" i="8" s="1"/>
  <c r="A128" i="5"/>
  <c r="B128" i="5" s="1"/>
  <c r="B425" i="8" s="1"/>
  <c r="A129" i="5"/>
  <c r="B129" i="5" s="1"/>
  <c r="B426" i="8" s="1"/>
  <c r="A130" i="5"/>
  <c r="C130" i="5" s="1"/>
  <c r="C427" i="8" s="1"/>
  <c r="A131" i="5"/>
  <c r="D131" i="5" s="1"/>
  <c r="D428" i="8" s="1"/>
  <c r="A132" i="5"/>
  <c r="B132" i="5" s="1"/>
  <c r="B429" i="8" s="1"/>
  <c r="A133" i="5"/>
  <c r="C133" i="5" s="1"/>
  <c r="C430" i="8" s="1"/>
  <c r="A134" i="5"/>
  <c r="B134" i="5" s="1"/>
  <c r="B431" i="8" s="1"/>
  <c r="A135" i="5"/>
  <c r="B135" i="5" s="1"/>
  <c r="B432" i="8" s="1"/>
  <c r="A136" i="5"/>
  <c r="C136" i="5" s="1"/>
  <c r="C433" i="8" s="1"/>
  <c r="A137" i="5"/>
  <c r="B137" i="5" s="1"/>
  <c r="B434" i="8" s="1"/>
  <c r="A138" i="5"/>
  <c r="C138" i="5" s="1"/>
  <c r="C435" i="8" s="1"/>
  <c r="A139" i="5"/>
  <c r="B139" i="5" s="1"/>
  <c r="B436" i="8" s="1"/>
  <c r="A140" i="5"/>
  <c r="B140" i="5" s="1"/>
  <c r="B437" i="8" s="1"/>
  <c r="A141" i="5"/>
  <c r="B141" i="5" s="1"/>
  <c r="B438" i="8" s="1"/>
  <c r="A142" i="5"/>
  <c r="C142" i="5" s="1"/>
  <c r="C439" i="8" s="1"/>
  <c r="A143" i="5"/>
  <c r="B143" i="5" s="1"/>
  <c r="B440" i="8" s="1"/>
  <c r="A144" i="5"/>
  <c r="B144" i="5" s="1"/>
  <c r="B441" i="8" s="1"/>
  <c r="A145" i="5"/>
  <c r="C145" i="5" s="1"/>
  <c r="C442" i="8" s="1"/>
  <c r="A117" i="5"/>
  <c r="A116" i="5"/>
  <c r="G114" i="5"/>
  <c r="G111" i="5"/>
  <c r="G112" i="5"/>
  <c r="G113" i="5"/>
  <c r="G110" i="5"/>
  <c r="G109" i="5"/>
  <c r="G108" i="5"/>
  <c r="G105" i="5"/>
  <c r="G106" i="5" s="1"/>
  <c r="G104" i="5"/>
  <c r="G102" i="5"/>
  <c r="G101" i="5"/>
  <c r="G100" i="5"/>
  <c r="F99" i="5"/>
  <c r="G99" i="5"/>
  <c r="F98" i="5"/>
  <c r="G98" i="5"/>
  <c r="E98" i="5"/>
  <c r="H107" i="5"/>
  <c r="A102" i="5"/>
  <c r="B102" i="5" s="1"/>
  <c r="B400" i="8" s="1"/>
  <c r="A104" i="5"/>
  <c r="B104" i="5" s="1"/>
  <c r="B402" i="8" s="1"/>
  <c r="A105" i="5"/>
  <c r="C105" i="5" s="1"/>
  <c r="C403" i="8" s="1"/>
  <c r="A106" i="5"/>
  <c r="A107" i="5"/>
  <c r="A108" i="5"/>
  <c r="A109" i="5"/>
  <c r="A110" i="5"/>
  <c r="A111" i="5"/>
  <c r="C111" i="5" s="1"/>
  <c r="C409" i="8" s="1"/>
  <c r="A112" i="5"/>
  <c r="B112" i="5" s="1"/>
  <c r="B410" i="8" s="1"/>
  <c r="A113" i="5"/>
  <c r="B113" i="5" s="1"/>
  <c r="B411" i="8" s="1"/>
  <c r="A114" i="5"/>
  <c r="D114" i="5" s="1"/>
  <c r="D412" i="8" s="1"/>
  <c r="A101" i="5"/>
  <c r="C101" i="5" s="1"/>
  <c r="C399" i="8" s="1"/>
  <c r="A100" i="5"/>
  <c r="C100" i="5" s="1"/>
  <c r="C398" i="8" s="1"/>
  <c r="A99" i="5"/>
  <c r="A98" i="5"/>
  <c r="B98" i="5" s="1"/>
  <c r="B396" i="8" s="1"/>
  <c r="A97" i="5"/>
  <c r="B97" i="5" s="1"/>
  <c r="B395" i="8" s="1"/>
  <c r="A96" i="5"/>
  <c r="C96" i="5" s="1"/>
  <c r="C394" i="8" s="1"/>
  <c r="A95" i="5"/>
  <c r="L19" i="149"/>
  <c r="L8" i="149"/>
  <c r="L8" i="87"/>
  <c r="F51" i="5"/>
  <c r="G51" i="5"/>
  <c r="F47" i="5"/>
  <c r="G47" i="5"/>
  <c r="E80" i="5"/>
  <c r="F76" i="5"/>
  <c r="G80" i="5"/>
  <c r="H45" i="5"/>
  <c r="H48" i="5"/>
  <c r="H49" i="5"/>
  <c r="H50" i="5"/>
  <c r="H55" i="5"/>
  <c r="H56" i="5"/>
  <c r="H57" i="5"/>
  <c r="H58" i="5"/>
  <c r="H59" i="5"/>
  <c r="H60" i="5"/>
  <c r="H62" i="5"/>
  <c r="H63" i="5"/>
  <c r="H64" i="5"/>
  <c r="H65" i="5"/>
  <c r="H67" i="5"/>
  <c r="H68" i="5"/>
  <c r="H70" i="5"/>
  <c r="H71" i="5"/>
  <c r="H84" i="5"/>
  <c r="H86" i="5"/>
  <c r="H87" i="5"/>
  <c r="H88" i="5"/>
  <c r="E386" i="8" s="1"/>
  <c r="H89" i="5"/>
  <c r="E387" i="8" s="1"/>
  <c r="H90" i="5"/>
  <c r="E388" i="8" s="1"/>
  <c r="H91" i="5"/>
  <c r="E389" i="8" s="1"/>
  <c r="H92" i="5"/>
  <c r="E390" i="8" s="1"/>
  <c r="G44" i="5"/>
  <c r="F44" i="5"/>
  <c r="E44" i="5"/>
  <c r="E453" i="8" l="1"/>
  <c r="E149" i="160"/>
  <c r="E452" i="8"/>
  <c r="E148" i="160"/>
  <c r="E450" i="8"/>
  <c r="E146" i="160"/>
  <c r="E449" i="8"/>
  <c r="E145" i="160"/>
  <c r="E455" i="8"/>
  <c r="E151" i="160"/>
  <c r="E518" i="8"/>
  <c r="E214" i="160"/>
  <c r="T132" i="153"/>
  <c r="E405" i="8"/>
  <c r="E101" i="160"/>
  <c r="E507" i="8"/>
  <c r="E203" i="160"/>
  <c r="H44" i="5"/>
  <c r="E428" i="8"/>
  <c r="E124" i="160"/>
  <c r="E441" i="8"/>
  <c r="E137" i="160"/>
  <c r="E440" i="8"/>
  <c r="E136" i="160"/>
  <c r="E437" i="8"/>
  <c r="E133" i="160"/>
  <c r="I133" i="160" s="1"/>
  <c r="E435" i="8"/>
  <c r="E131" i="160"/>
  <c r="E433" i="8"/>
  <c r="E129" i="160"/>
  <c r="E432" i="8"/>
  <c r="E128" i="160"/>
  <c r="E418" i="8"/>
  <c r="E114" i="160"/>
  <c r="E416" i="8"/>
  <c r="E112" i="160"/>
  <c r="E421" i="8"/>
  <c r="E117" i="160"/>
  <c r="E420" i="8"/>
  <c r="E116" i="160"/>
  <c r="E385" i="8"/>
  <c r="E87" i="160"/>
  <c r="E384" i="8"/>
  <c r="E86" i="160"/>
  <c r="E382" i="8"/>
  <c r="E84" i="160"/>
  <c r="E366" i="8"/>
  <c r="E68" i="160"/>
  <c r="E365" i="8"/>
  <c r="E67" i="160"/>
  <c r="E348" i="8"/>
  <c r="E50" i="160"/>
  <c r="E360" i="8"/>
  <c r="E62" i="160"/>
  <c r="E363" i="8"/>
  <c r="E65" i="160"/>
  <c r="E347" i="8"/>
  <c r="E49" i="160"/>
  <c r="E362" i="8"/>
  <c r="E64" i="160"/>
  <c r="E346" i="8"/>
  <c r="E48" i="160"/>
  <c r="E361" i="8"/>
  <c r="E63" i="160"/>
  <c r="E357" i="8"/>
  <c r="E59" i="160"/>
  <c r="E356" i="8"/>
  <c r="E58" i="160"/>
  <c r="E358" i="8"/>
  <c r="E60" i="160"/>
  <c r="E355" i="8"/>
  <c r="E57" i="160"/>
  <c r="E369" i="8"/>
  <c r="E71" i="160"/>
  <c r="E354" i="8"/>
  <c r="E56" i="160"/>
  <c r="E368" i="8"/>
  <c r="E70" i="160"/>
  <c r="E353" i="8"/>
  <c r="E55" i="160"/>
  <c r="E343" i="8"/>
  <c r="E45" i="160"/>
  <c r="E44" i="160"/>
  <c r="E448" i="8"/>
  <c r="E144" i="160"/>
  <c r="E447" i="8"/>
  <c r="E143" i="160"/>
  <c r="J155" i="153"/>
  <c r="H219" i="5"/>
  <c r="H117" i="5"/>
  <c r="H124" i="5"/>
  <c r="C416" i="8"/>
  <c r="F80" i="5"/>
  <c r="H80" i="5" s="1"/>
  <c r="D158" i="5"/>
  <c r="D455" i="8" s="1"/>
  <c r="D112" i="5"/>
  <c r="D410" i="8" s="1"/>
  <c r="Y162" i="153"/>
  <c r="Y163" i="153" s="1"/>
  <c r="W161" i="153"/>
  <c r="L162" i="153"/>
  <c r="L163" i="153" s="1"/>
  <c r="V161" i="153"/>
  <c r="V162" i="153"/>
  <c r="V163" i="153" s="1"/>
  <c r="AA162" i="153"/>
  <c r="AA163" i="153" s="1"/>
  <c r="AA161" i="153"/>
  <c r="AI161" i="153"/>
  <c r="AI162" i="153"/>
  <c r="AI163" i="153" s="1"/>
  <c r="AG161" i="153"/>
  <c r="AG162" i="153"/>
  <c r="M161" i="153"/>
  <c r="J158" i="153"/>
  <c r="M162" i="153"/>
  <c r="M163" i="153" s="1"/>
  <c r="AD161" i="153"/>
  <c r="AD162" i="153"/>
  <c r="AD163" i="153" s="1"/>
  <c r="U162" i="153"/>
  <c r="U163" i="153" s="1"/>
  <c r="U161" i="153"/>
  <c r="T162" i="153"/>
  <c r="T163" i="153" s="1"/>
  <c r="T161" i="153"/>
  <c r="Z161" i="153"/>
  <c r="Z162" i="153"/>
  <c r="Z163" i="153" s="1"/>
  <c r="AF162" i="153"/>
  <c r="AF161" i="153"/>
  <c r="AB164" i="153"/>
  <c r="AB163" i="153"/>
  <c r="B51" i="153"/>
  <c r="B52" i="153" s="1"/>
  <c r="B53" i="153" s="1"/>
  <c r="B54" i="153" s="1"/>
  <c r="B60" i="153" s="1"/>
  <c r="B49" i="153"/>
  <c r="X161" i="153"/>
  <c r="X162" i="153"/>
  <c r="X163" i="153" s="1"/>
  <c r="EH162" i="153"/>
  <c r="EH163" i="153" s="1"/>
  <c r="EH161" i="153"/>
  <c r="AJ161" i="153"/>
  <c r="AJ162" i="153"/>
  <c r="C129" i="5"/>
  <c r="C426" i="8" s="1"/>
  <c r="C152" i="5"/>
  <c r="C449" i="8" s="1"/>
  <c r="B152" i="5"/>
  <c r="B449" i="8" s="1"/>
  <c r="B149" i="5"/>
  <c r="B446" i="8" s="1"/>
  <c r="C151" i="5"/>
  <c r="C448" i="8" s="1"/>
  <c r="C149" i="5"/>
  <c r="C446" i="8" s="1"/>
  <c r="D156" i="5"/>
  <c r="D453" i="8" s="1"/>
  <c r="B151" i="5"/>
  <c r="B448" i="8" s="1"/>
  <c r="D149" i="5"/>
  <c r="D446" i="8" s="1"/>
  <c r="B156" i="5"/>
  <c r="B453" i="8" s="1"/>
  <c r="D148" i="5"/>
  <c r="D445" i="8" s="1"/>
  <c r="D153" i="5"/>
  <c r="D450" i="8" s="1"/>
  <c r="C148" i="5"/>
  <c r="B111" i="5"/>
  <c r="B409" i="8" s="1"/>
  <c r="D162" i="5"/>
  <c r="D459" i="8" s="1"/>
  <c r="B158" i="5"/>
  <c r="B455" i="8" s="1"/>
  <c r="C153" i="5"/>
  <c r="C450" i="8" s="1"/>
  <c r="B107" i="5"/>
  <c r="B405" i="8" s="1"/>
  <c r="C162" i="5"/>
  <c r="C459" i="8" s="1"/>
  <c r="D155" i="5"/>
  <c r="D452" i="8" s="1"/>
  <c r="B153" i="5"/>
  <c r="B450" i="8" s="1"/>
  <c r="D106" i="5"/>
  <c r="D404" i="8" s="1"/>
  <c r="C155" i="5"/>
  <c r="C452" i="8" s="1"/>
  <c r="D150" i="5"/>
  <c r="D447" i="8" s="1"/>
  <c r="C106" i="5"/>
  <c r="C404" i="8" s="1"/>
  <c r="D141" i="5"/>
  <c r="D438" i="8" s="1"/>
  <c r="D157" i="5"/>
  <c r="D454" i="8" s="1"/>
  <c r="C150" i="5"/>
  <c r="C447" i="8" s="1"/>
  <c r="B130" i="5"/>
  <c r="B427" i="8" s="1"/>
  <c r="C157" i="5"/>
  <c r="C454" i="8" s="1"/>
  <c r="D161" i="5"/>
  <c r="D458" i="8" s="1"/>
  <c r="D122" i="5"/>
  <c r="D420" i="8" s="1"/>
  <c r="C161" i="5"/>
  <c r="C458" i="8" s="1"/>
  <c r="D154" i="5"/>
  <c r="D451" i="8" s="1"/>
  <c r="C122" i="5"/>
  <c r="C420" i="8" s="1"/>
  <c r="C154" i="5"/>
  <c r="C451" i="8" s="1"/>
  <c r="H127" i="5"/>
  <c r="B110" i="5"/>
  <c r="B408" i="8" s="1"/>
  <c r="C141" i="5"/>
  <c r="C438" i="8" s="1"/>
  <c r="D129" i="5"/>
  <c r="D426" i="8" s="1"/>
  <c r="D99" i="5"/>
  <c r="D397" i="8" s="1"/>
  <c r="B106" i="5"/>
  <c r="B404" i="8" s="1"/>
  <c r="H97" i="5"/>
  <c r="D139" i="5"/>
  <c r="D436" i="8" s="1"/>
  <c r="C99" i="5"/>
  <c r="C397" i="8" s="1"/>
  <c r="B105" i="5"/>
  <c r="B403" i="8" s="1"/>
  <c r="C139" i="5"/>
  <c r="C436" i="8" s="1"/>
  <c r="D124" i="5"/>
  <c r="D422" i="8" s="1"/>
  <c r="H119" i="5"/>
  <c r="D104" i="5"/>
  <c r="D402" i="8" s="1"/>
  <c r="B138" i="5"/>
  <c r="B435" i="8" s="1"/>
  <c r="C124" i="5"/>
  <c r="C422" i="8" s="1"/>
  <c r="H130" i="5"/>
  <c r="C104" i="5"/>
  <c r="C402" i="8" s="1"/>
  <c r="D137" i="5"/>
  <c r="D434" i="8" s="1"/>
  <c r="B123" i="5"/>
  <c r="B421" i="8" s="1"/>
  <c r="D101" i="5"/>
  <c r="D399" i="8" s="1"/>
  <c r="C137" i="5"/>
  <c r="C434" i="8" s="1"/>
  <c r="B136" i="5"/>
  <c r="B433" i="8" s="1"/>
  <c r="B100" i="5"/>
  <c r="B398" i="8" s="1"/>
  <c r="D110" i="5"/>
  <c r="D408" i="8" s="1"/>
  <c r="H96" i="5"/>
  <c r="D117" i="5"/>
  <c r="D415" i="8" s="1"/>
  <c r="D135" i="5"/>
  <c r="D432" i="8" s="1"/>
  <c r="H128" i="5"/>
  <c r="C110" i="5"/>
  <c r="C408" i="8" s="1"/>
  <c r="H98" i="5"/>
  <c r="D143" i="5"/>
  <c r="D440" i="8" s="1"/>
  <c r="C135" i="5"/>
  <c r="C432" i="8" s="1"/>
  <c r="C143" i="5"/>
  <c r="C440" i="8" s="1"/>
  <c r="B142" i="5"/>
  <c r="B439" i="8" s="1"/>
  <c r="C131" i="5"/>
  <c r="C428" i="8" s="1"/>
  <c r="H129" i="5"/>
  <c r="B114" i="5"/>
  <c r="B412" i="8" s="1"/>
  <c r="B101" i="5"/>
  <c r="B399" i="8" s="1"/>
  <c r="B118" i="5"/>
  <c r="B416" i="8" s="1"/>
  <c r="B96" i="5"/>
  <c r="B394" i="8" s="1"/>
  <c r="D113" i="5"/>
  <c r="D411" i="8" s="1"/>
  <c r="D109" i="5"/>
  <c r="D407" i="8" s="1"/>
  <c r="D105" i="5"/>
  <c r="D403" i="8" s="1"/>
  <c r="D100" i="5"/>
  <c r="D398" i="8" s="1"/>
  <c r="B117" i="5"/>
  <c r="B415" i="8" s="1"/>
  <c r="D142" i="5"/>
  <c r="D439" i="8" s="1"/>
  <c r="D138" i="5"/>
  <c r="D435" i="8" s="1"/>
  <c r="D134" i="5"/>
  <c r="D431" i="8" s="1"/>
  <c r="D130" i="5"/>
  <c r="D427" i="8" s="1"/>
  <c r="D125" i="5"/>
  <c r="D423" i="8" s="1"/>
  <c r="D121" i="5"/>
  <c r="D419" i="8" s="1"/>
  <c r="C114" i="5"/>
  <c r="C412" i="8" s="1"/>
  <c r="B131" i="5"/>
  <c r="B428" i="8" s="1"/>
  <c r="B127" i="5"/>
  <c r="B424" i="8" s="1"/>
  <c r="D96" i="5"/>
  <c r="D394" i="8" s="1"/>
  <c r="C113" i="5"/>
  <c r="C411" i="8" s="1"/>
  <c r="C109" i="5"/>
  <c r="C407" i="8" s="1"/>
  <c r="C117" i="5"/>
  <c r="C415" i="8" s="1"/>
  <c r="C134" i="5"/>
  <c r="C431" i="8" s="1"/>
  <c r="C125" i="5"/>
  <c r="C121" i="5"/>
  <c r="C419" i="8" s="1"/>
  <c r="D133" i="5"/>
  <c r="D430" i="8" s="1"/>
  <c r="D120" i="5"/>
  <c r="D418" i="8" s="1"/>
  <c r="B109" i="5"/>
  <c r="B407" i="8" s="1"/>
  <c r="D145" i="5"/>
  <c r="D442" i="8" s="1"/>
  <c r="B99" i="5"/>
  <c r="B397" i="8" s="1"/>
  <c r="C112" i="5"/>
  <c r="C410" i="8" s="1"/>
  <c r="C108" i="5"/>
  <c r="C406" i="8" s="1"/>
  <c r="C120" i="5"/>
  <c r="C418" i="8" s="1"/>
  <c r="D98" i="5"/>
  <c r="D396" i="8" s="1"/>
  <c r="B108" i="5"/>
  <c r="B406" i="8" s="1"/>
  <c r="B145" i="5"/>
  <c r="B442" i="8" s="1"/>
  <c r="B133" i="5"/>
  <c r="B430" i="8" s="1"/>
  <c r="C98" i="5"/>
  <c r="C396" i="8" s="1"/>
  <c r="D111" i="5"/>
  <c r="D409" i="8" s="1"/>
  <c r="D107" i="5"/>
  <c r="D405" i="8" s="1"/>
  <c r="D102" i="5"/>
  <c r="D400" i="8" s="1"/>
  <c r="D144" i="5"/>
  <c r="D441" i="8" s="1"/>
  <c r="D140" i="5"/>
  <c r="D437" i="8" s="1"/>
  <c r="D136" i="5"/>
  <c r="D433" i="8" s="1"/>
  <c r="D132" i="5"/>
  <c r="D429" i="8" s="1"/>
  <c r="D128" i="5"/>
  <c r="D425" i="8" s="1"/>
  <c r="D123" i="5"/>
  <c r="D421" i="8" s="1"/>
  <c r="D119" i="5"/>
  <c r="D417" i="8" s="1"/>
  <c r="D108" i="5"/>
  <c r="D406" i="8" s="1"/>
  <c r="C107" i="5"/>
  <c r="C102" i="5"/>
  <c r="C400" i="8" s="1"/>
  <c r="C144" i="5"/>
  <c r="C441" i="8" s="1"/>
  <c r="C140" i="5"/>
  <c r="C437" i="8" s="1"/>
  <c r="C132" i="5"/>
  <c r="C429" i="8" s="1"/>
  <c r="C128" i="5"/>
  <c r="C425" i="8" s="1"/>
  <c r="C119" i="5"/>
  <c r="C417" i="8" s="1"/>
  <c r="D127" i="5"/>
  <c r="D424" i="8" s="1"/>
  <c r="D118" i="5"/>
  <c r="D416" i="8" s="1"/>
  <c r="E76" i="5"/>
  <c r="G76" i="5"/>
  <c r="D97" i="5"/>
  <c r="D395" i="8" s="1"/>
  <c r="C97" i="5"/>
  <c r="C395" i="8" s="1"/>
  <c r="H66" i="5"/>
  <c r="H47" i="5"/>
  <c r="H46" i="5"/>
  <c r="E344" i="8" s="1"/>
  <c r="E223" i="5" l="1"/>
  <c r="H223" i="5" s="1"/>
  <c r="C423" i="8"/>
  <c r="E364" i="8"/>
  <c r="E66" i="160"/>
  <c r="E424" i="8"/>
  <c r="E120" i="160"/>
  <c r="E378" i="8"/>
  <c r="E77" i="160"/>
  <c r="E80" i="160"/>
  <c r="E394" i="8"/>
  <c r="E90" i="160"/>
  <c r="E422" i="8"/>
  <c r="E118" i="160"/>
  <c r="E415" i="8"/>
  <c r="E111" i="160"/>
  <c r="E396" i="8"/>
  <c r="E92" i="160"/>
  <c r="E395" i="8"/>
  <c r="E91" i="160"/>
  <c r="E46" i="160"/>
  <c r="E426" i="8"/>
  <c r="E122" i="160"/>
  <c r="E427" i="8"/>
  <c r="E123" i="160"/>
  <c r="E425" i="8"/>
  <c r="E121" i="160"/>
  <c r="E417" i="8"/>
  <c r="E113" i="160"/>
  <c r="E516" i="8"/>
  <c r="E212" i="160"/>
  <c r="E345" i="8"/>
  <c r="E47" i="160"/>
  <c r="E342" i="8"/>
  <c r="C445" i="8"/>
  <c r="C405" i="8"/>
  <c r="AF163" i="153"/>
  <c r="AH164" i="153"/>
  <c r="AJ163" i="153"/>
  <c r="AG164" i="153"/>
  <c r="AG163" i="153"/>
  <c r="H76" i="5"/>
  <c r="E520" i="8" l="1"/>
  <c r="E216" i="160"/>
  <c r="E374" i="8"/>
  <c r="E76" i="160"/>
  <c r="H51" i="5"/>
  <c r="E349" i="8" l="1"/>
  <c r="E51" i="160"/>
  <c r="I52" i="29"/>
  <c r="I51" i="29"/>
  <c r="I83" i="29" l="1"/>
  <c r="E338" i="8" l="1"/>
  <c r="E339" i="8"/>
  <c r="M83" i="5"/>
  <c r="N83" i="5" s="1"/>
  <c r="M82" i="5"/>
  <c r="N82" i="5" s="1"/>
  <c r="M81" i="5"/>
  <c r="N81" i="5" s="1"/>
  <c r="A92" i="5"/>
  <c r="A93" i="5"/>
  <c r="B93" i="5" s="1"/>
  <c r="B391" i="8" s="1"/>
  <c r="A91" i="5"/>
  <c r="A87" i="5"/>
  <c r="A88" i="5"/>
  <c r="A89" i="5"/>
  <c r="A90" i="5"/>
  <c r="A62" i="5"/>
  <c r="A63" i="5"/>
  <c r="A64" i="5"/>
  <c r="A65" i="5"/>
  <c r="A66" i="5"/>
  <c r="A67" i="5"/>
  <c r="A68" i="5"/>
  <c r="A69" i="5"/>
  <c r="A70" i="5"/>
  <c r="A71" i="5"/>
  <c r="A72" i="5"/>
  <c r="A73" i="5"/>
  <c r="A74" i="5"/>
  <c r="A75" i="5"/>
  <c r="A76" i="5"/>
  <c r="A80" i="5"/>
  <c r="A84" i="5"/>
  <c r="A85" i="5"/>
  <c r="A86" i="5"/>
  <c r="A55" i="5"/>
  <c r="A56" i="5"/>
  <c r="A57" i="5"/>
  <c r="A58" i="5"/>
  <c r="A59" i="5"/>
  <c r="A60" i="5"/>
  <c r="A61" i="5"/>
  <c r="A51" i="5"/>
  <c r="A50" i="5"/>
  <c r="A49" i="5"/>
  <c r="A48" i="5"/>
  <c r="A47" i="5"/>
  <c r="A46" i="5"/>
  <c r="A45" i="5"/>
  <c r="B59" i="5" l="1"/>
  <c r="B357" i="8" s="1"/>
  <c r="B58" i="5"/>
  <c r="B356" i="8" s="1"/>
  <c r="B72" i="5"/>
  <c r="B370" i="8" s="1"/>
  <c r="B89" i="5"/>
  <c r="B387" i="8" s="1"/>
  <c r="B45" i="5"/>
  <c r="B343" i="8" s="1"/>
  <c r="B57" i="5"/>
  <c r="B355" i="8" s="1"/>
  <c r="B88" i="5"/>
  <c r="B386" i="8" s="1"/>
  <c r="B90" i="5"/>
  <c r="B388" i="8" s="1"/>
  <c r="B48" i="5"/>
  <c r="B346" i="8" s="1"/>
  <c r="B56" i="5"/>
  <c r="B354" i="8" s="1"/>
  <c r="B70" i="5"/>
  <c r="B368" i="8" s="1"/>
  <c r="B87" i="5"/>
  <c r="B385" i="8" s="1"/>
  <c r="B62" i="5"/>
  <c r="B360" i="8" s="1"/>
  <c r="B49" i="5"/>
  <c r="B347" i="8" s="1"/>
  <c r="B69" i="5"/>
  <c r="B367" i="8" s="1"/>
  <c r="B91" i="5"/>
  <c r="B389" i="8" s="1"/>
  <c r="B55" i="5"/>
  <c r="B353" i="8" s="1"/>
  <c r="B85" i="5"/>
  <c r="B383" i="8" s="1"/>
  <c r="B67" i="5"/>
  <c r="B365" i="8" s="1"/>
  <c r="C92" i="5"/>
  <c r="C390" i="8" s="1"/>
  <c r="B71" i="5"/>
  <c r="B369" i="8" s="1"/>
  <c r="B51" i="5"/>
  <c r="B349" i="8" s="1"/>
  <c r="B52" i="5"/>
  <c r="B350" i="8" s="1"/>
  <c r="B84" i="5"/>
  <c r="B382" i="8" s="1"/>
  <c r="B66" i="5"/>
  <c r="B364" i="8" s="1"/>
  <c r="B73" i="5"/>
  <c r="B371" i="8" s="1"/>
  <c r="B86" i="5"/>
  <c r="B384" i="8" s="1"/>
  <c r="B53" i="5"/>
  <c r="B351" i="8" s="1"/>
  <c r="B80" i="5"/>
  <c r="B378" i="8" s="1"/>
  <c r="B65" i="5"/>
  <c r="B363" i="8" s="1"/>
  <c r="B60" i="5"/>
  <c r="B358" i="8" s="1"/>
  <c r="B46" i="5"/>
  <c r="B344" i="8" s="1"/>
  <c r="B68" i="5"/>
  <c r="B366" i="8" s="1"/>
  <c r="B54" i="5"/>
  <c r="B352" i="8" s="1"/>
  <c r="B76" i="5"/>
  <c r="B374" i="8" s="1"/>
  <c r="B64" i="5"/>
  <c r="B362" i="8" s="1"/>
  <c r="B74" i="5"/>
  <c r="B372" i="8" s="1"/>
  <c r="B47" i="5"/>
  <c r="B345" i="8" s="1"/>
  <c r="B50" i="5"/>
  <c r="B348" i="8" s="1"/>
  <c r="B61" i="5"/>
  <c r="B359" i="8" s="1"/>
  <c r="B75" i="5"/>
  <c r="B373" i="8" s="1"/>
  <c r="B63" i="5"/>
  <c r="B361" i="8" s="1"/>
  <c r="B92" i="5"/>
  <c r="B390" i="8" s="1"/>
  <c r="D91" i="5"/>
  <c r="D389" i="8" s="1"/>
  <c r="C52" i="5"/>
  <c r="C350" i="8" s="1"/>
  <c r="D88" i="5"/>
  <c r="D386" i="8" s="1"/>
  <c r="C88" i="5"/>
  <c r="C386" i="8" s="1"/>
  <c r="D87" i="5"/>
  <c r="D385" i="8" s="1"/>
  <c r="D84" i="5"/>
  <c r="D382" i="8" s="1"/>
  <c r="D74" i="5"/>
  <c r="D372" i="8" s="1"/>
  <c r="D70" i="5"/>
  <c r="D368" i="8" s="1"/>
  <c r="D53" i="5"/>
  <c r="D351" i="8" s="1"/>
  <c r="D66" i="5"/>
  <c r="D364" i="8" s="1"/>
  <c r="C53" i="5"/>
  <c r="C351" i="8" s="1"/>
  <c r="D92" i="5"/>
  <c r="D390" i="8" s="1"/>
  <c r="D62" i="5"/>
  <c r="D360" i="8" s="1"/>
  <c r="D52" i="5"/>
  <c r="D350" i="8" s="1"/>
  <c r="D58" i="5"/>
  <c r="D356" i="8" s="1"/>
  <c r="C84" i="5"/>
  <c r="C382" i="8" s="1"/>
  <c r="C74" i="5"/>
  <c r="C372" i="8" s="1"/>
  <c r="C70" i="5"/>
  <c r="C368" i="8" s="1"/>
  <c r="H368" i="8" s="1"/>
  <c r="C66" i="5"/>
  <c r="C364" i="8" s="1"/>
  <c r="H364" i="8" s="1"/>
  <c r="C62" i="5"/>
  <c r="C360" i="8" s="1"/>
  <c r="H360" i="8" s="1"/>
  <c r="C58" i="5"/>
  <c r="C356" i="8" s="1"/>
  <c r="H356" i="8" s="1"/>
  <c r="D80" i="5"/>
  <c r="D378" i="8" s="1"/>
  <c r="D73" i="5"/>
  <c r="D371" i="8" s="1"/>
  <c r="D69" i="5"/>
  <c r="D367" i="8" s="1"/>
  <c r="D65" i="5"/>
  <c r="D363" i="8" s="1"/>
  <c r="D61" i="5"/>
  <c r="D359" i="8" s="1"/>
  <c r="D57" i="5"/>
  <c r="D355" i="8" s="1"/>
  <c r="D50" i="5"/>
  <c r="D348" i="8" s="1"/>
  <c r="C91" i="5"/>
  <c r="C389" i="8" s="1"/>
  <c r="C87" i="5"/>
  <c r="C385" i="8" s="1"/>
  <c r="C80" i="5"/>
  <c r="C378" i="8" s="1"/>
  <c r="C73" i="5"/>
  <c r="C371" i="8" s="1"/>
  <c r="C69" i="5"/>
  <c r="C367" i="8" s="1"/>
  <c r="C65" i="5"/>
  <c r="C363" i="8" s="1"/>
  <c r="H363" i="8" s="1"/>
  <c r="C61" i="5"/>
  <c r="C359" i="8" s="1"/>
  <c r="C57" i="5"/>
  <c r="C355" i="8" s="1"/>
  <c r="H355" i="8" s="1"/>
  <c r="C50" i="5"/>
  <c r="C348" i="8" s="1"/>
  <c r="D90" i="5"/>
  <c r="D388" i="8" s="1"/>
  <c r="D86" i="5"/>
  <c r="D384" i="8" s="1"/>
  <c r="D76" i="5"/>
  <c r="D374" i="8" s="1"/>
  <c r="D72" i="5"/>
  <c r="D370" i="8" s="1"/>
  <c r="D68" i="5"/>
  <c r="D366" i="8" s="1"/>
  <c r="D64" i="5"/>
  <c r="D362" i="8" s="1"/>
  <c r="D60" i="5"/>
  <c r="D358" i="8" s="1"/>
  <c r="D56" i="5"/>
  <c r="D354" i="8" s="1"/>
  <c r="D48" i="5"/>
  <c r="D346" i="8" s="1"/>
  <c r="C90" i="5"/>
  <c r="C388" i="8" s="1"/>
  <c r="C86" i="5"/>
  <c r="C384" i="8" s="1"/>
  <c r="C76" i="5"/>
  <c r="C374" i="8" s="1"/>
  <c r="C72" i="5"/>
  <c r="C370" i="8" s="1"/>
  <c r="C68" i="5"/>
  <c r="C366" i="8" s="1"/>
  <c r="H366" i="8" s="1"/>
  <c r="C64" i="5"/>
  <c r="C362" i="8" s="1"/>
  <c r="H362" i="8" s="1"/>
  <c r="C60" i="5"/>
  <c r="C358" i="8" s="1"/>
  <c r="H358" i="8" s="1"/>
  <c r="C56" i="5"/>
  <c r="C354" i="8" s="1"/>
  <c r="H354" i="8" s="1"/>
  <c r="C48" i="5"/>
  <c r="C346" i="8" s="1"/>
  <c r="H346" i="8" s="1"/>
  <c r="D46" i="5"/>
  <c r="D344" i="8" s="1"/>
  <c r="D93" i="5"/>
  <c r="D391" i="8" s="1"/>
  <c r="D89" i="5"/>
  <c r="D387" i="8" s="1"/>
  <c r="D85" i="5"/>
  <c r="D383" i="8" s="1"/>
  <c r="D75" i="5"/>
  <c r="D373" i="8" s="1"/>
  <c r="D71" i="5"/>
  <c r="D369" i="8" s="1"/>
  <c r="D67" i="5"/>
  <c r="D365" i="8" s="1"/>
  <c r="D63" i="5"/>
  <c r="D361" i="8" s="1"/>
  <c r="D59" i="5"/>
  <c r="D357" i="8" s="1"/>
  <c r="D55" i="5"/>
  <c r="D353" i="8" s="1"/>
  <c r="D54" i="5"/>
  <c r="D352" i="8" s="1"/>
  <c r="C54" i="5"/>
  <c r="C352" i="8" s="1"/>
  <c r="C46" i="5"/>
  <c r="C344" i="8" s="1"/>
  <c r="C93" i="5"/>
  <c r="C391" i="8" s="1"/>
  <c r="C89" i="5"/>
  <c r="C387" i="8" s="1"/>
  <c r="C85" i="5"/>
  <c r="C383" i="8" s="1"/>
  <c r="C75" i="5"/>
  <c r="C373" i="8" s="1"/>
  <c r="C71" i="5"/>
  <c r="C369" i="8" s="1"/>
  <c r="H369" i="8" s="1"/>
  <c r="C67" i="5"/>
  <c r="C365" i="8" s="1"/>
  <c r="H365" i="8" s="1"/>
  <c r="C63" i="5"/>
  <c r="C361" i="8" s="1"/>
  <c r="H361" i="8" s="1"/>
  <c r="C59" i="5"/>
  <c r="C357" i="8" s="1"/>
  <c r="H357" i="8" s="1"/>
  <c r="C55" i="5"/>
  <c r="C353" i="8" s="1"/>
  <c r="H353" i="8" s="1"/>
  <c r="D49" i="5"/>
  <c r="D347" i="8" s="1"/>
  <c r="D45" i="5"/>
  <c r="D343" i="8" s="1"/>
  <c r="C49" i="5"/>
  <c r="C347" i="8" s="1"/>
  <c r="H347" i="8" s="1"/>
  <c r="C45" i="5"/>
  <c r="D51" i="5"/>
  <c r="D349" i="8" s="1"/>
  <c r="D47" i="5"/>
  <c r="D345" i="8" s="1"/>
  <c r="C51" i="5"/>
  <c r="C349" i="8" s="1"/>
  <c r="C47" i="5"/>
  <c r="C345" i="8" s="1"/>
  <c r="A44" i="5"/>
  <c r="A43" i="5"/>
  <c r="K6" i="152"/>
  <c r="L6" i="152" s="1"/>
  <c r="K8" i="152"/>
  <c r="L8" i="152" s="1"/>
  <c r="K10" i="152"/>
  <c r="L10" i="152" s="1"/>
  <c r="K11" i="152"/>
  <c r="L11" i="152" s="1"/>
  <c r="K13" i="152"/>
  <c r="K14" i="152"/>
  <c r="K16" i="152"/>
  <c r="L16" i="152" s="1"/>
  <c r="K17" i="152"/>
  <c r="L17" i="152" s="1"/>
  <c r="K19" i="152"/>
  <c r="L19" i="152" s="1"/>
  <c r="K20" i="152"/>
  <c r="L20" i="152" s="1"/>
  <c r="K22" i="152"/>
  <c r="K23" i="152"/>
  <c r="K26" i="152"/>
  <c r="L26" i="152" s="1"/>
  <c r="K28" i="152"/>
  <c r="L28" i="152" s="1"/>
  <c r="K30" i="152"/>
  <c r="L30" i="152" s="1"/>
  <c r="K32" i="152"/>
  <c r="L32" i="152" s="1"/>
  <c r="K34" i="152"/>
  <c r="L34" i="152" s="1"/>
  <c r="K39" i="152"/>
  <c r="L39" i="152" s="1"/>
  <c r="K40" i="152"/>
  <c r="L40" i="152" s="1"/>
  <c r="K41" i="152"/>
  <c r="L41" i="152" s="1"/>
  <c r="K42" i="152"/>
  <c r="L42" i="152" s="1"/>
  <c r="K45" i="152"/>
  <c r="L45" i="152" s="1"/>
  <c r="K46" i="152"/>
  <c r="L46" i="152" s="1"/>
  <c r="K49" i="152"/>
  <c r="L49" i="152" s="1"/>
  <c r="K51" i="152"/>
  <c r="L51" i="152" s="1"/>
  <c r="K52" i="152"/>
  <c r="L52" i="152" s="1"/>
  <c r="K54" i="152"/>
  <c r="L54" i="152" s="1"/>
  <c r="K55" i="152"/>
  <c r="L55" i="152" s="1"/>
  <c r="K57" i="152"/>
  <c r="L57" i="152" s="1"/>
  <c r="K58" i="152"/>
  <c r="L58" i="152" s="1"/>
  <c r="K62" i="152"/>
  <c r="K65" i="152"/>
  <c r="L65" i="152" s="1"/>
  <c r="K66" i="152"/>
  <c r="L66" i="152" s="1"/>
  <c r="K69" i="152"/>
  <c r="L69" i="152" s="1"/>
  <c r="K70" i="152"/>
  <c r="L70" i="152" s="1"/>
  <c r="K72" i="152"/>
  <c r="K74" i="152"/>
  <c r="L74" i="152" s="1"/>
  <c r="M74" i="152" s="1"/>
  <c r="K76" i="152"/>
  <c r="L76" i="152" s="1"/>
  <c r="K77" i="152"/>
  <c r="L77" i="152" s="1"/>
  <c r="K84" i="152"/>
  <c r="L84" i="152" s="1"/>
  <c r="M84" i="152" s="1"/>
  <c r="K86" i="152"/>
  <c r="L86" i="152" s="1"/>
  <c r="M86" i="152" s="1"/>
  <c r="K88" i="152"/>
  <c r="L88" i="152" s="1"/>
  <c r="M88" i="152" s="1"/>
  <c r="K90" i="152"/>
  <c r="L90" i="152" s="1"/>
  <c r="M90" i="152" s="1"/>
  <c r="K94" i="152"/>
  <c r="L94" i="152" s="1"/>
  <c r="M94" i="152" s="1"/>
  <c r="K98" i="152"/>
  <c r="L98" i="152" s="1"/>
  <c r="M98" i="152" s="1"/>
  <c r="K102" i="152"/>
  <c r="L102" i="152" s="1"/>
  <c r="M102" i="152" s="1"/>
  <c r="K104" i="152"/>
  <c r="L104" i="152" s="1"/>
  <c r="M104" i="152" s="1"/>
  <c r="K106" i="152"/>
  <c r="L106" i="152" s="1"/>
  <c r="M106" i="152" s="1"/>
  <c r="K108" i="152"/>
  <c r="L108" i="152" s="1"/>
  <c r="M108" i="152" s="1"/>
  <c r="K110" i="152"/>
  <c r="L110" i="152" s="1"/>
  <c r="M110" i="152" s="1"/>
  <c r="K112" i="152"/>
  <c r="L112" i="152" s="1"/>
  <c r="M112" i="152" s="1"/>
  <c r="K114" i="152"/>
  <c r="L114" i="152" s="1"/>
  <c r="K115" i="152"/>
  <c r="L115" i="152" s="1"/>
  <c r="K117" i="152"/>
  <c r="L117" i="152" s="1"/>
  <c r="K118" i="152"/>
  <c r="L118" i="152" s="1"/>
  <c r="K120" i="152"/>
  <c r="L120" i="152" s="1"/>
  <c r="K121" i="152"/>
  <c r="L121" i="152" s="1"/>
  <c r="K123" i="152"/>
  <c r="L123" i="152" s="1"/>
  <c r="M123" i="152" s="1"/>
  <c r="K125" i="152"/>
  <c r="L125" i="152" s="1"/>
  <c r="M125" i="152" s="1"/>
  <c r="K127" i="152"/>
  <c r="L127" i="152" s="1"/>
  <c r="M127" i="152" s="1"/>
  <c r="K128" i="152"/>
  <c r="L128" i="152" s="1"/>
  <c r="M128" i="152" s="1"/>
  <c r="K130" i="152"/>
  <c r="L130" i="152" s="1"/>
  <c r="M130" i="152" s="1"/>
  <c r="K132" i="152"/>
  <c r="L132" i="152" s="1"/>
  <c r="M132" i="152" s="1"/>
  <c r="K134" i="152"/>
  <c r="L134" i="152" s="1"/>
  <c r="M134" i="152" s="1"/>
  <c r="K136" i="152"/>
  <c r="L136" i="152" s="1"/>
  <c r="M136" i="152" s="1"/>
  <c r="K138" i="152"/>
  <c r="L138" i="152" s="1"/>
  <c r="M138" i="152" s="1"/>
  <c r="K142" i="152"/>
  <c r="L142" i="152" s="1"/>
  <c r="M142" i="152" s="1"/>
  <c r="K146" i="152"/>
  <c r="L146" i="152" s="1"/>
  <c r="M146" i="152" s="1"/>
  <c r="K150" i="152"/>
  <c r="L150" i="152" s="1"/>
  <c r="M150" i="152" s="1"/>
  <c r="K152" i="152"/>
  <c r="L152" i="152" s="1"/>
  <c r="K153" i="152"/>
  <c r="L153" i="152" s="1"/>
  <c r="K155" i="152"/>
  <c r="L155" i="152" s="1"/>
  <c r="M155" i="152" s="1"/>
  <c r="K157" i="152"/>
  <c r="L157" i="152" s="1"/>
  <c r="K158" i="152"/>
  <c r="L158" i="152" s="1"/>
  <c r="K160" i="152"/>
  <c r="L160" i="152" s="1"/>
  <c r="M160" i="152" s="1"/>
  <c r="K164" i="152"/>
  <c r="L164" i="152" s="1"/>
  <c r="M164" i="152" s="1"/>
  <c r="K166" i="152"/>
  <c r="L166" i="152" s="1"/>
  <c r="K167" i="152"/>
  <c r="L167" i="152" s="1"/>
  <c r="K170" i="152"/>
  <c r="L170" i="152" s="1"/>
  <c r="K171" i="152"/>
  <c r="L171" i="152" s="1"/>
  <c r="K173" i="152"/>
  <c r="L173" i="152" s="1"/>
  <c r="K174" i="152"/>
  <c r="L174" i="152" s="1"/>
  <c r="K176" i="152"/>
  <c r="L176" i="152" s="1"/>
  <c r="K177" i="152"/>
  <c r="L177" i="152" s="1"/>
  <c r="K179" i="152"/>
  <c r="L179" i="152" s="1"/>
  <c r="M179" i="152" s="1"/>
  <c r="K184" i="152"/>
  <c r="L184" i="152" s="1"/>
  <c r="K185" i="152"/>
  <c r="L185" i="152" s="1"/>
  <c r="K187" i="152"/>
  <c r="K190" i="152"/>
  <c r="L190" i="152" s="1"/>
  <c r="K192" i="152"/>
  <c r="L192" i="152" s="1"/>
  <c r="K194" i="152"/>
  <c r="L194" i="152" s="1"/>
  <c r="K196" i="152"/>
  <c r="L196" i="152" s="1"/>
  <c r="K198" i="152"/>
  <c r="L198" i="152" s="1"/>
  <c r="K201" i="152"/>
  <c r="L201" i="152" s="1"/>
  <c r="K203" i="152"/>
  <c r="L203" i="152" s="1"/>
  <c r="K205" i="152"/>
  <c r="L205" i="152" s="1"/>
  <c r="K207" i="152"/>
  <c r="L207" i="152" s="1"/>
  <c r="K209" i="152"/>
  <c r="L209" i="152" s="1"/>
  <c r="K212" i="152"/>
  <c r="K216" i="152"/>
  <c r="K220" i="152"/>
  <c r="L220" i="152" s="1"/>
  <c r="M219" i="152" s="1"/>
  <c r="K222" i="152"/>
  <c r="L222" i="152" s="1"/>
  <c r="M222" i="152" s="1"/>
  <c r="K224" i="152"/>
  <c r="L224" i="152" s="1"/>
  <c r="M224" i="152" s="1"/>
  <c r="K226" i="152"/>
  <c r="L226" i="152" s="1"/>
  <c r="M226" i="152" s="1"/>
  <c r="K228" i="152"/>
  <c r="L228" i="152" s="1"/>
  <c r="M228" i="152" s="1"/>
  <c r="K230" i="152"/>
  <c r="L230" i="152" s="1"/>
  <c r="K231" i="152"/>
  <c r="L231" i="152" s="1"/>
  <c r="K233" i="152"/>
  <c r="L233" i="152" s="1"/>
  <c r="M233" i="152" s="1"/>
  <c r="K235" i="152"/>
  <c r="L235" i="152" s="1"/>
  <c r="M235" i="152" s="1"/>
  <c r="K237" i="152"/>
  <c r="L237" i="152" s="1"/>
  <c r="M237" i="152" s="1"/>
  <c r="K239" i="152"/>
  <c r="L239" i="152" s="1"/>
  <c r="M239" i="152" s="1"/>
  <c r="K241" i="152"/>
  <c r="L241" i="152" s="1"/>
  <c r="M241" i="152" s="1"/>
  <c r="K243" i="152"/>
  <c r="L243" i="152" s="1"/>
  <c r="M243" i="152" s="1"/>
  <c r="K245" i="152"/>
  <c r="L245" i="152" s="1"/>
  <c r="M245" i="152" s="1"/>
  <c r="K247" i="152"/>
  <c r="L247" i="152" s="1"/>
  <c r="M247" i="152" s="1"/>
  <c r="K249" i="152"/>
  <c r="L249" i="152" s="1"/>
  <c r="M249" i="152" s="1"/>
  <c r="K251" i="152"/>
  <c r="L251" i="152" s="1"/>
  <c r="M251" i="152" s="1"/>
  <c r="K253" i="152"/>
  <c r="L253" i="152" s="1"/>
  <c r="K254" i="152"/>
  <c r="L254" i="152" s="1"/>
  <c r="K256" i="152"/>
  <c r="K257" i="152"/>
  <c r="K265" i="152"/>
  <c r="L265" i="152" s="1"/>
  <c r="K266" i="152"/>
  <c r="L266" i="152" s="1"/>
  <c r="K268" i="152"/>
  <c r="K271" i="152"/>
  <c r="L271" i="152" s="1"/>
  <c r="K272" i="152"/>
  <c r="L272" i="152" s="1"/>
  <c r="K274" i="152"/>
  <c r="K277" i="152"/>
  <c r="L277" i="152" s="1"/>
  <c r="K278" i="152"/>
  <c r="L278" i="152" s="1"/>
  <c r="K280" i="152"/>
  <c r="K283" i="152"/>
  <c r="L283" i="152" s="1"/>
  <c r="K284" i="152"/>
  <c r="L284" i="152" s="1"/>
  <c r="K286" i="152"/>
  <c r="K288" i="152"/>
  <c r="L288" i="152" s="1"/>
  <c r="M288" i="152" s="1"/>
  <c r="K290" i="152"/>
  <c r="L290" i="152" s="1"/>
  <c r="M290" i="152" s="1"/>
  <c r="K292" i="152"/>
  <c r="L292" i="152" s="1"/>
  <c r="M292" i="152" s="1"/>
  <c r="I102" i="5" s="1"/>
  <c r="K296" i="152"/>
  <c r="L296" i="152" s="1"/>
  <c r="M296" i="152" s="1"/>
  <c r="K298" i="152"/>
  <c r="L298" i="152" s="1"/>
  <c r="M298" i="152" s="1"/>
  <c r="K302" i="152"/>
  <c r="L302" i="152" s="1"/>
  <c r="M302" i="152" s="1"/>
  <c r="K304" i="152"/>
  <c r="L304" i="152" s="1"/>
  <c r="M304" i="152" s="1"/>
  <c r="K306" i="152"/>
  <c r="L306" i="152" s="1"/>
  <c r="M306" i="152" s="1"/>
  <c r="K308" i="152"/>
  <c r="L308" i="152" s="1"/>
  <c r="M308" i="152" s="1"/>
  <c r="K312" i="152"/>
  <c r="L312" i="152" s="1"/>
  <c r="M312" i="152" s="1"/>
  <c r="K314" i="152"/>
  <c r="L314" i="152" s="1"/>
  <c r="M314" i="152" s="1"/>
  <c r="K316" i="152"/>
  <c r="L316" i="152" s="1"/>
  <c r="M316" i="152" s="1"/>
  <c r="K318" i="152"/>
  <c r="L318" i="152" s="1"/>
  <c r="M318" i="152" s="1"/>
  <c r="K320" i="152"/>
  <c r="L320" i="152" s="1"/>
  <c r="M320" i="152" s="1"/>
  <c r="K324" i="152"/>
  <c r="L324" i="152" s="1"/>
  <c r="K325" i="152"/>
  <c r="L325" i="152" s="1"/>
  <c r="K327" i="152"/>
  <c r="K329" i="152"/>
  <c r="L329" i="152" s="1"/>
  <c r="K330" i="152"/>
  <c r="L330" i="152" s="1"/>
  <c r="K332" i="152"/>
  <c r="L332" i="152" s="1"/>
  <c r="K333" i="152"/>
  <c r="L333" i="152" s="1"/>
  <c r="K335" i="152"/>
  <c r="L335" i="152" s="1"/>
  <c r="K336" i="152"/>
  <c r="L336" i="152" s="1"/>
  <c r="K338" i="152"/>
  <c r="L338" i="152" s="1"/>
  <c r="K339" i="152"/>
  <c r="L339" i="152" s="1"/>
  <c r="K341" i="152"/>
  <c r="L341" i="152" s="1"/>
  <c r="K342" i="152"/>
  <c r="L342" i="152" s="1"/>
  <c r="K344" i="152"/>
  <c r="L344" i="152" s="1"/>
  <c r="K345" i="152"/>
  <c r="L345" i="152" s="1"/>
  <c r="K347" i="152"/>
  <c r="L347" i="152" s="1"/>
  <c r="K348" i="152"/>
  <c r="L348" i="152" s="1"/>
  <c r="K350" i="152"/>
  <c r="L350" i="152" s="1"/>
  <c r="K351" i="152"/>
  <c r="L351" i="152" s="1"/>
  <c r="K357" i="152"/>
  <c r="L357" i="152" s="1"/>
  <c r="K358" i="152"/>
  <c r="L358" i="152" s="1"/>
  <c r="K360" i="152"/>
  <c r="L360" i="152" s="1"/>
  <c r="K361" i="152"/>
  <c r="L361" i="152" s="1"/>
  <c r="K363" i="152"/>
  <c r="L363" i="152" s="1"/>
  <c r="M363" i="152" s="1"/>
  <c r="K365" i="152"/>
  <c r="L365" i="152" s="1"/>
  <c r="M365" i="152" s="1"/>
  <c r="K367" i="152"/>
  <c r="L367" i="152" s="1"/>
  <c r="M367" i="152" s="1"/>
  <c r="K369" i="152"/>
  <c r="L369" i="152" s="1"/>
  <c r="M369" i="152" s="1"/>
  <c r="K371" i="152"/>
  <c r="L371" i="152" s="1"/>
  <c r="M371" i="152" s="1"/>
  <c r="K375" i="152"/>
  <c r="L375" i="152" s="1"/>
  <c r="M375" i="152" s="1"/>
  <c r="K379" i="152"/>
  <c r="L379" i="152" s="1"/>
  <c r="M379" i="152" s="1"/>
  <c r="K381" i="152"/>
  <c r="L381" i="152" s="1"/>
  <c r="M381" i="152" s="1"/>
  <c r="K383" i="152"/>
  <c r="L383" i="152" s="1"/>
  <c r="M383" i="152" s="1"/>
  <c r="K385" i="152"/>
  <c r="L385" i="152" s="1"/>
  <c r="M385" i="152" s="1"/>
  <c r="K387" i="152"/>
  <c r="L387" i="152" s="1"/>
  <c r="M387" i="152" s="1"/>
  <c r="K391" i="152"/>
  <c r="L391" i="152" s="1"/>
  <c r="M391" i="152" s="1"/>
  <c r="K395" i="152"/>
  <c r="L395" i="152" s="1"/>
  <c r="M395" i="152" s="1"/>
  <c r="K399" i="152"/>
  <c r="L399" i="152" s="1"/>
  <c r="M399" i="152" s="1"/>
  <c r="K403" i="152"/>
  <c r="L403" i="152" s="1"/>
  <c r="M403" i="152" s="1"/>
  <c r="K405" i="152"/>
  <c r="L405" i="152" s="1"/>
  <c r="M405" i="152" s="1"/>
  <c r="K407" i="152"/>
  <c r="L407" i="152" s="1"/>
  <c r="M407" i="152" s="1"/>
  <c r="K409" i="152"/>
  <c r="L409" i="152" s="1"/>
  <c r="M409" i="152" s="1"/>
  <c r="K415" i="152"/>
  <c r="L415" i="152" s="1"/>
  <c r="K416" i="152"/>
  <c r="L416" i="152" s="1"/>
  <c r="K418" i="152"/>
  <c r="K421" i="152"/>
  <c r="K422" i="152"/>
  <c r="L422" i="152" s="1"/>
  <c r="K423" i="152"/>
  <c r="L423" i="152" s="1"/>
  <c r="K424" i="152"/>
  <c r="L424" i="152" s="1"/>
  <c r="K425" i="152"/>
  <c r="L425" i="152" s="1"/>
  <c r="K426" i="152"/>
  <c r="L426" i="152" s="1"/>
  <c r="K428" i="152"/>
  <c r="L428" i="152" s="1"/>
  <c r="K429" i="152"/>
  <c r="L429" i="152" s="1"/>
  <c r="K431" i="152"/>
  <c r="L431" i="152" s="1"/>
  <c r="M431" i="152" s="1"/>
  <c r="K433" i="152"/>
  <c r="L433" i="152" s="1"/>
  <c r="M433" i="152" s="1"/>
  <c r="K435" i="152"/>
  <c r="L435" i="152" s="1"/>
  <c r="M435" i="152" s="1"/>
  <c r="K437" i="152"/>
  <c r="L437" i="152" s="1"/>
  <c r="M437" i="152" s="1"/>
  <c r="K441" i="152"/>
  <c r="L441" i="152" s="1"/>
  <c r="M441" i="152" s="1"/>
  <c r="K443" i="152"/>
  <c r="L443" i="152" s="1"/>
  <c r="M443" i="152" s="1"/>
  <c r="K445" i="152"/>
  <c r="L445" i="152" s="1"/>
  <c r="M445" i="152" s="1"/>
  <c r="K447" i="152"/>
  <c r="L447" i="152" s="1"/>
  <c r="M447" i="152" s="1"/>
  <c r="K453" i="152"/>
  <c r="L453" i="152" s="1"/>
  <c r="M453" i="152" s="1"/>
  <c r="K457" i="152"/>
  <c r="L457" i="152" s="1"/>
  <c r="M457" i="152" s="1"/>
  <c r="K461" i="152"/>
  <c r="L461" i="152" s="1"/>
  <c r="K462" i="152"/>
  <c r="L462" i="152" s="1"/>
  <c r="K464" i="152"/>
  <c r="L464" i="152" s="1"/>
  <c r="K465" i="152"/>
  <c r="L465" i="152" s="1"/>
  <c r="K466" i="152"/>
  <c r="L466" i="152" s="1"/>
  <c r="K468" i="152"/>
  <c r="L468" i="152" s="1"/>
  <c r="K469" i="152"/>
  <c r="L469" i="152" s="1"/>
  <c r="K474" i="152"/>
  <c r="L474" i="152" s="1"/>
  <c r="K475" i="152"/>
  <c r="L475" i="152" s="1"/>
  <c r="K477" i="152"/>
  <c r="L477" i="152" s="1"/>
  <c r="K478" i="152"/>
  <c r="L478" i="152" s="1"/>
  <c r="K480" i="152"/>
  <c r="L480" i="152" s="1"/>
  <c r="K481" i="152"/>
  <c r="L481" i="152" s="1"/>
  <c r="K483" i="152"/>
  <c r="L483" i="152" s="1"/>
  <c r="K484" i="152"/>
  <c r="L484" i="152" s="1"/>
  <c r="K486" i="152"/>
  <c r="L486" i="152" s="1"/>
  <c r="K487" i="152"/>
  <c r="L487" i="152" s="1"/>
  <c r="K489" i="152"/>
  <c r="L489" i="152" s="1"/>
  <c r="K490" i="152"/>
  <c r="L490" i="152" s="1"/>
  <c r="K491" i="152"/>
  <c r="L491" i="152" s="1"/>
  <c r="K494" i="152"/>
  <c r="L494" i="152" s="1"/>
  <c r="K495" i="152"/>
  <c r="L495" i="152" s="1"/>
  <c r="K497" i="152"/>
  <c r="L497" i="152" s="1"/>
  <c r="M497" i="152" s="1"/>
  <c r="K499" i="152"/>
  <c r="L499" i="152" s="1"/>
  <c r="K500" i="152"/>
  <c r="L500" i="152" s="1"/>
  <c r="K501" i="152"/>
  <c r="L501" i="152" s="1"/>
  <c r="K503" i="152"/>
  <c r="L503" i="152" s="1"/>
  <c r="K504" i="152"/>
  <c r="L504" i="152" s="1"/>
  <c r="K510" i="152"/>
  <c r="L510" i="152" s="1"/>
  <c r="K511" i="152"/>
  <c r="L511" i="152" s="1"/>
  <c r="K513" i="152"/>
  <c r="L513" i="152" s="1"/>
  <c r="M513" i="152" s="1"/>
  <c r="K516" i="152"/>
  <c r="L516" i="152" s="1"/>
  <c r="K517" i="152"/>
  <c r="L517" i="152" s="1"/>
  <c r="K518" i="152"/>
  <c r="L518" i="152" s="1"/>
  <c r="K519" i="152"/>
  <c r="L519" i="152" s="1"/>
  <c r="K520" i="152"/>
  <c r="L520" i="152" s="1"/>
  <c r="K521" i="152"/>
  <c r="L521" i="152" s="1"/>
  <c r="K522" i="152"/>
  <c r="L522" i="152" s="1"/>
  <c r="K523" i="152"/>
  <c r="L523" i="152" s="1"/>
  <c r="K525" i="152"/>
  <c r="L525" i="152" s="1"/>
  <c r="M525" i="152" s="1"/>
  <c r="K528" i="152"/>
  <c r="L528" i="152" s="1"/>
  <c r="K529" i="152"/>
  <c r="L529" i="152" s="1"/>
  <c r="K531" i="152"/>
  <c r="L531" i="152" s="1"/>
  <c r="M531" i="152" s="1"/>
  <c r="K534" i="152"/>
  <c r="L534" i="152" s="1"/>
  <c r="K535" i="152"/>
  <c r="L535" i="152" s="1"/>
  <c r="K537" i="152"/>
  <c r="L537" i="152" s="1"/>
  <c r="K538" i="152"/>
  <c r="L538" i="152" s="1"/>
  <c r="K540" i="152"/>
  <c r="L540" i="152" s="1"/>
  <c r="K541" i="152"/>
  <c r="L541" i="152" s="1"/>
  <c r="K543" i="152"/>
  <c r="L543" i="152" s="1"/>
  <c r="M543" i="152" s="1"/>
  <c r="K545" i="152"/>
  <c r="L545" i="152" s="1"/>
  <c r="M545" i="152" s="1"/>
  <c r="K547" i="152"/>
  <c r="L547" i="152" s="1"/>
  <c r="M547" i="152" s="1"/>
  <c r="K549" i="152"/>
  <c r="L549" i="152" s="1"/>
  <c r="M549" i="152" s="1"/>
  <c r="K551" i="152"/>
  <c r="L551" i="152" s="1"/>
  <c r="K552" i="152"/>
  <c r="L552" i="152" s="1"/>
  <c r="K554" i="152"/>
  <c r="L554" i="152" s="1"/>
  <c r="K555" i="152"/>
  <c r="L555" i="152" s="1"/>
  <c r="K557" i="152"/>
  <c r="L557" i="152" s="1"/>
  <c r="K558" i="152"/>
  <c r="L558" i="152" s="1"/>
  <c r="K560" i="152"/>
  <c r="L560" i="152" s="1"/>
  <c r="M560" i="152" s="1"/>
  <c r="K562" i="152"/>
  <c r="L562" i="152" s="1"/>
  <c r="K563" i="152"/>
  <c r="L563" i="152" s="1"/>
  <c r="K565" i="152"/>
  <c r="L565" i="152" s="1"/>
  <c r="K566" i="152"/>
  <c r="L566" i="152" s="1"/>
  <c r="K568" i="152"/>
  <c r="L568" i="152" s="1"/>
  <c r="K569" i="152"/>
  <c r="L569" i="152" s="1"/>
  <c r="K571" i="152"/>
  <c r="L571" i="152" s="1"/>
  <c r="K572" i="152"/>
  <c r="L572" i="152" s="1"/>
  <c r="K573" i="152"/>
  <c r="L573" i="152" s="1"/>
  <c r="K574" i="152"/>
  <c r="L574" i="152" s="1"/>
  <c r="K576" i="152"/>
  <c r="L576" i="152" s="1"/>
  <c r="K577" i="152"/>
  <c r="L577" i="152" s="1"/>
  <c r="K579" i="152"/>
  <c r="L579" i="152" s="1"/>
  <c r="K580" i="152"/>
  <c r="L580" i="152" s="1"/>
  <c r="K582" i="152"/>
  <c r="L582" i="152" s="1"/>
  <c r="K583" i="152"/>
  <c r="L583" i="152" s="1"/>
  <c r="K585" i="152"/>
  <c r="L585" i="152" s="1"/>
  <c r="K586" i="152"/>
  <c r="L586" i="152" s="1"/>
  <c r="K588" i="152"/>
  <c r="L588" i="152" s="1"/>
  <c r="K589" i="152"/>
  <c r="L589" i="152" s="1"/>
  <c r="K591" i="152"/>
  <c r="L591" i="152" s="1"/>
  <c r="K592" i="152"/>
  <c r="L592" i="152" s="1"/>
  <c r="K594" i="152"/>
  <c r="L594" i="152" s="1"/>
  <c r="K595" i="152"/>
  <c r="L595" i="152" s="1"/>
  <c r="K597" i="152"/>
  <c r="L597" i="152" s="1"/>
  <c r="M597" i="152" s="1"/>
  <c r="K601" i="152"/>
  <c r="L601" i="152" s="1"/>
  <c r="M601" i="152" s="1"/>
  <c r="K605" i="152"/>
  <c r="L605" i="152" s="1"/>
  <c r="M605" i="152" s="1"/>
  <c r="K609" i="152"/>
  <c r="L609" i="152" s="1"/>
  <c r="M609" i="152" s="1"/>
  <c r="K613" i="152"/>
  <c r="L613" i="152" s="1"/>
  <c r="M613" i="152" s="1"/>
  <c r="K617" i="152"/>
  <c r="L617" i="152" s="1"/>
  <c r="M617" i="152" s="1"/>
  <c r="K619" i="152"/>
  <c r="L619" i="152" s="1"/>
  <c r="M619" i="152" s="1"/>
  <c r="K621" i="152"/>
  <c r="L621" i="152" s="1"/>
  <c r="M621" i="152" s="1"/>
  <c r="K623" i="152"/>
  <c r="L623" i="152" s="1"/>
  <c r="M623" i="152" s="1"/>
  <c r="K625" i="152"/>
  <c r="L625" i="152" s="1"/>
  <c r="M625" i="152" s="1"/>
  <c r="K629" i="152"/>
  <c r="L629" i="152" s="1"/>
  <c r="M629" i="152" s="1"/>
  <c r="K633" i="152"/>
  <c r="L633" i="152" s="1"/>
  <c r="M633" i="152" s="1"/>
  <c r="K635" i="152"/>
  <c r="L635" i="152" s="1"/>
  <c r="M635" i="152" s="1"/>
  <c r="K637" i="152"/>
  <c r="L637" i="152" s="1"/>
  <c r="M637" i="152" s="1"/>
  <c r="K638" i="152"/>
  <c r="L638" i="152" s="1"/>
  <c r="M638" i="152" s="1"/>
  <c r="K639" i="152"/>
  <c r="L639" i="152" s="1"/>
  <c r="M639" i="152" s="1"/>
  <c r="K641" i="152"/>
  <c r="L641" i="152" s="1"/>
  <c r="M641" i="152" s="1"/>
  <c r="K643" i="152"/>
  <c r="L643" i="152" s="1"/>
  <c r="M643" i="152" s="1"/>
  <c r="K645" i="152"/>
  <c r="L645" i="152" s="1"/>
  <c r="M645" i="152" s="1"/>
  <c r="K647" i="152"/>
  <c r="L647" i="152" s="1"/>
  <c r="M647" i="152" s="1"/>
  <c r="K649" i="152"/>
  <c r="L649" i="152" s="1"/>
  <c r="M649" i="152" s="1"/>
  <c r="K653" i="152"/>
  <c r="L653" i="152" s="1"/>
  <c r="M653" i="152" s="1"/>
  <c r="K655" i="152"/>
  <c r="L655" i="152" s="1"/>
  <c r="M655" i="152" s="1"/>
  <c r="K657" i="152"/>
  <c r="L657" i="152" s="1"/>
  <c r="K658" i="152"/>
  <c r="L658" i="152" s="1"/>
  <c r="K660" i="152"/>
  <c r="L660" i="152" s="1"/>
  <c r="M660" i="152" s="1"/>
  <c r="K662" i="152"/>
  <c r="L662" i="152" s="1"/>
  <c r="M662" i="152" s="1"/>
  <c r="K664" i="152"/>
  <c r="L664" i="152" s="1"/>
  <c r="M664" i="152" s="1"/>
  <c r="K666" i="152"/>
  <c r="L666" i="152" s="1"/>
  <c r="M666" i="152" s="1"/>
  <c r="K668" i="152"/>
  <c r="L668" i="152" s="1"/>
  <c r="M668" i="152" s="1"/>
  <c r="K670" i="152"/>
  <c r="L670" i="152" s="1"/>
  <c r="M670" i="152" s="1"/>
  <c r="K672" i="152"/>
  <c r="L672" i="152" s="1"/>
  <c r="M672" i="152" s="1"/>
  <c r="K674" i="152"/>
  <c r="L674" i="152" s="1"/>
  <c r="M674" i="152" s="1"/>
  <c r="K676" i="152"/>
  <c r="L676" i="152" s="1"/>
  <c r="M676" i="152" s="1"/>
  <c r="K678" i="152"/>
  <c r="L678" i="152" s="1"/>
  <c r="M678" i="152" s="1"/>
  <c r="K680" i="152"/>
  <c r="L680" i="152" s="1"/>
  <c r="M680" i="152" s="1"/>
  <c r="K682" i="152"/>
  <c r="L682" i="152" s="1"/>
  <c r="M682" i="152" s="1"/>
  <c r="K684" i="152"/>
  <c r="L684" i="152" s="1"/>
  <c r="K685" i="152"/>
  <c r="L685" i="152" s="1"/>
  <c r="K687" i="152"/>
  <c r="L687" i="152" s="1"/>
  <c r="K688" i="152"/>
  <c r="L688" i="152" s="1"/>
  <c r="K690" i="152"/>
  <c r="L690" i="152" s="1"/>
  <c r="M690" i="152" s="1"/>
  <c r="K692" i="152"/>
  <c r="L692" i="152" s="1"/>
  <c r="K693" i="152"/>
  <c r="L693" i="152" s="1"/>
  <c r="K695" i="152"/>
  <c r="L695" i="152" s="1"/>
  <c r="M695" i="152" s="1"/>
  <c r="K697" i="152"/>
  <c r="L697" i="152" s="1"/>
  <c r="K698" i="152"/>
  <c r="L698" i="152" s="1"/>
  <c r="K699" i="152"/>
  <c r="L699" i="152" s="1"/>
  <c r="K701" i="152"/>
  <c r="L701" i="152" s="1"/>
  <c r="M701" i="152" s="1"/>
  <c r="K703" i="152"/>
  <c r="L703" i="152" s="1"/>
  <c r="M703" i="152" s="1"/>
  <c r="K705" i="152"/>
  <c r="L705" i="152" s="1"/>
  <c r="M705" i="152" s="1"/>
  <c r="K707" i="152"/>
  <c r="L707" i="152" s="1"/>
  <c r="M707" i="152" s="1"/>
  <c r="K709" i="152"/>
  <c r="L709" i="152" s="1"/>
  <c r="M709" i="152" s="1"/>
  <c r="K712" i="152"/>
  <c r="L712" i="152" s="1"/>
  <c r="M712" i="152" s="1"/>
  <c r="K714" i="152"/>
  <c r="L714" i="152" s="1"/>
  <c r="K715" i="152"/>
  <c r="L715" i="152" s="1"/>
  <c r="K717" i="152"/>
  <c r="L717" i="152" s="1"/>
  <c r="K718" i="152"/>
  <c r="L718" i="152" s="1"/>
  <c r="K720" i="152"/>
  <c r="L720" i="152" s="1"/>
  <c r="M720" i="152" s="1"/>
  <c r="G421" i="152"/>
  <c r="G418" i="152"/>
  <c r="G327" i="152"/>
  <c r="G286" i="152"/>
  <c r="G280" i="152"/>
  <c r="G274" i="152"/>
  <c r="G268" i="152"/>
  <c r="G257" i="152"/>
  <c r="G256" i="152"/>
  <c r="N219" i="152"/>
  <c r="G216" i="152"/>
  <c r="N215" i="152"/>
  <c r="G212" i="152"/>
  <c r="N211" i="152"/>
  <c r="G187" i="152"/>
  <c r="F180" i="152"/>
  <c r="F168" i="152"/>
  <c r="G72" i="152"/>
  <c r="G62" i="152"/>
  <c r="G23" i="152"/>
  <c r="G22" i="152"/>
  <c r="G14" i="152"/>
  <c r="G13" i="152"/>
  <c r="B194" i="4"/>
  <c r="C194" i="4"/>
  <c r="D194" i="4"/>
  <c r="B195" i="4"/>
  <c r="C195" i="4"/>
  <c r="D195" i="4"/>
  <c r="B196" i="4"/>
  <c r="C196" i="4"/>
  <c r="D196" i="4"/>
  <c r="B197" i="4"/>
  <c r="C197" i="4"/>
  <c r="D197" i="4"/>
  <c r="B198" i="4"/>
  <c r="C198" i="4"/>
  <c r="D198" i="4"/>
  <c r="B199" i="4"/>
  <c r="C199" i="4"/>
  <c r="D199" i="4"/>
  <c r="B200" i="4"/>
  <c r="C200" i="4"/>
  <c r="D200" i="4"/>
  <c r="B201" i="4"/>
  <c r="C201" i="4"/>
  <c r="D201" i="4"/>
  <c r="B202" i="4"/>
  <c r="C202" i="4"/>
  <c r="D202" i="4"/>
  <c r="B203" i="4"/>
  <c r="C203" i="4"/>
  <c r="D203" i="4"/>
  <c r="B204" i="4"/>
  <c r="C204" i="4"/>
  <c r="D204" i="4"/>
  <c r="B205" i="4"/>
  <c r="C205" i="4"/>
  <c r="D205" i="4"/>
  <c r="B206" i="4"/>
  <c r="C206" i="4"/>
  <c r="D206" i="4"/>
  <c r="B207" i="4"/>
  <c r="C207" i="4"/>
  <c r="D207" i="4"/>
  <c r="B208" i="4"/>
  <c r="C208" i="4"/>
  <c r="D208" i="4"/>
  <c r="B209" i="4"/>
  <c r="C209" i="4"/>
  <c r="D209" i="4"/>
  <c r="B210" i="4"/>
  <c r="C210" i="4"/>
  <c r="D210" i="4"/>
  <c r="B211" i="4"/>
  <c r="C211" i="4"/>
  <c r="D211" i="4"/>
  <c r="B212" i="4"/>
  <c r="C212" i="4"/>
  <c r="D212" i="4"/>
  <c r="B213" i="4"/>
  <c r="C213" i="4"/>
  <c r="D213" i="4"/>
  <c r="D193" i="4"/>
  <c r="C193" i="4"/>
  <c r="B193" i="4"/>
  <c r="A192" i="4"/>
  <c r="M6" i="152" l="1"/>
  <c r="M356" i="152"/>
  <c r="L72" i="152"/>
  <c r="L187" i="152"/>
  <c r="L268" i="152"/>
  <c r="M268" i="152" s="1"/>
  <c r="L22" i="152"/>
  <c r="L216" i="152"/>
  <c r="I249" i="5"/>
  <c r="F242" i="160"/>
  <c r="G242" i="160" s="1"/>
  <c r="I238" i="5"/>
  <c r="F231" i="160"/>
  <c r="G231" i="160" s="1"/>
  <c r="I227" i="5"/>
  <c r="F220" i="160"/>
  <c r="G220" i="160" s="1"/>
  <c r="I215" i="5"/>
  <c r="F208" i="160"/>
  <c r="I187" i="5"/>
  <c r="F180" i="160"/>
  <c r="G180" i="160" s="1"/>
  <c r="I152" i="5"/>
  <c r="F145" i="160"/>
  <c r="G145" i="160" s="1"/>
  <c r="I138" i="5"/>
  <c r="F131" i="160"/>
  <c r="G131" i="160" s="1"/>
  <c r="I130" i="5"/>
  <c r="F123" i="160"/>
  <c r="G123" i="160" s="1"/>
  <c r="I112" i="5"/>
  <c r="F106" i="160"/>
  <c r="I75" i="5"/>
  <c r="F75" i="160"/>
  <c r="I67" i="5"/>
  <c r="F67" i="160"/>
  <c r="G67" i="160" s="1"/>
  <c r="I237" i="5"/>
  <c r="F230" i="160"/>
  <c r="G230" i="160" s="1"/>
  <c r="I233" i="5"/>
  <c r="F226" i="160"/>
  <c r="G226" i="160" s="1"/>
  <c r="I226" i="5"/>
  <c r="F219" i="160"/>
  <c r="I222" i="5"/>
  <c r="F215" i="160"/>
  <c r="I218" i="5"/>
  <c r="F211" i="160"/>
  <c r="G211" i="160" s="1"/>
  <c r="I214" i="5"/>
  <c r="F207" i="160"/>
  <c r="G207" i="160" s="1"/>
  <c r="I210" i="5"/>
  <c r="F203" i="160"/>
  <c r="I206" i="5"/>
  <c r="F199" i="160"/>
  <c r="I190" i="5"/>
  <c r="F183" i="160"/>
  <c r="G183" i="160" s="1"/>
  <c r="I155" i="5"/>
  <c r="F148" i="160"/>
  <c r="G148" i="160" s="1"/>
  <c r="I151" i="5"/>
  <c r="F144" i="160"/>
  <c r="G144" i="160" s="1"/>
  <c r="I145" i="5"/>
  <c r="F138" i="160"/>
  <c r="I137" i="5"/>
  <c r="F130" i="160"/>
  <c r="I133" i="5"/>
  <c r="F126" i="160"/>
  <c r="I111" i="5"/>
  <c r="F105" i="160"/>
  <c r="I107" i="5"/>
  <c r="F101" i="160"/>
  <c r="G101" i="160" s="1"/>
  <c r="I57" i="5"/>
  <c r="F57" i="160"/>
  <c r="G57" i="160" s="1"/>
  <c r="I59" i="5"/>
  <c r="F59" i="160"/>
  <c r="G59" i="160" s="1"/>
  <c r="I179" i="5"/>
  <c r="F172" i="160"/>
  <c r="G172" i="160" s="1"/>
  <c r="I244" i="5"/>
  <c r="F237" i="160"/>
  <c r="G237" i="160" s="1"/>
  <c r="I230" i="5"/>
  <c r="F223" i="160"/>
  <c r="G223" i="160" s="1"/>
  <c r="I219" i="5"/>
  <c r="F212" i="160"/>
  <c r="G212" i="160" s="1"/>
  <c r="I207" i="5"/>
  <c r="F200" i="160"/>
  <c r="I156" i="5"/>
  <c r="F149" i="160"/>
  <c r="G149" i="160" s="1"/>
  <c r="I104" i="5"/>
  <c r="F98" i="160"/>
  <c r="I161" i="5"/>
  <c r="F154" i="160"/>
  <c r="I248" i="5"/>
  <c r="F241" i="160"/>
  <c r="G241" i="160" s="1"/>
  <c r="I241" i="5"/>
  <c r="F234" i="160"/>
  <c r="G234" i="160" s="1"/>
  <c r="F96" i="160"/>
  <c r="I129" i="5"/>
  <c r="F122" i="160"/>
  <c r="G122" i="160" s="1"/>
  <c r="I251" i="5"/>
  <c r="F244" i="160"/>
  <c r="G244" i="160" s="1"/>
  <c r="I240" i="5"/>
  <c r="F233" i="160"/>
  <c r="G233" i="160" s="1"/>
  <c r="I236" i="5"/>
  <c r="F229" i="160"/>
  <c r="G229" i="160" s="1"/>
  <c r="I232" i="5"/>
  <c r="F225" i="160"/>
  <c r="G225" i="160" s="1"/>
  <c r="I225" i="5"/>
  <c r="F218" i="160"/>
  <c r="G218" i="160" s="1"/>
  <c r="I221" i="5"/>
  <c r="F214" i="160"/>
  <c r="G214" i="160" s="1"/>
  <c r="I217" i="5"/>
  <c r="F210" i="160"/>
  <c r="G210" i="160" s="1"/>
  <c r="I213" i="5"/>
  <c r="F206" i="160"/>
  <c r="G206" i="160" s="1"/>
  <c r="I209" i="5"/>
  <c r="F202" i="160"/>
  <c r="H202" i="160" s="1"/>
  <c r="I194" i="5"/>
  <c r="F187" i="160"/>
  <c r="G187" i="160" s="1"/>
  <c r="I189" i="5"/>
  <c r="F182" i="160"/>
  <c r="G182" i="160" s="1"/>
  <c r="I181" i="5"/>
  <c r="F174" i="160"/>
  <c r="G174" i="160" s="1"/>
  <c r="I158" i="5"/>
  <c r="F151" i="160"/>
  <c r="G151" i="160" s="1"/>
  <c r="I154" i="5"/>
  <c r="F147" i="160"/>
  <c r="I144" i="5"/>
  <c r="F137" i="160"/>
  <c r="G137" i="160" s="1"/>
  <c r="I140" i="5"/>
  <c r="F133" i="160"/>
  <c r="G133" i="160" s="1"/>
  <c r="I136" i="5"/>
  <c r="F129" i="160"/>
  <c r="G129" i="160" s="1"/>
  <c r="I132" i="5"/>
  <c r="F125" i="160"/>
  <c r="I128" i="5"/>
  <c r="F121" i="160"/>
  <c r="G121" i="160" s="1"/>
  <c r="I114" i="5"/>
  <c r="F108" i="160"/>
  <c r="G108" i="160" s="1"/>
  <c r="I110" i="5"/>
  <c r="F104" i="160"/>
  <c r="I106" i="5"/>
  <c r="F100" i="160"/>
  <c r="I101" i="5"/>
  <c r="F95" i="160"/>
  <c r="I69" i="5"/>
  <c r="I60" i="5"/>
  <c r="F60" i="160"/>
  <c r="G60" i="160" s="1"/>
  <c r="I56" i="5"/>
  <c r="F56" i="160"/>
  <c r="G56" i="160" s="1"/>
  <c r="I71" i="5"/>
  <c r="I157" i="5"/>
  <c r="F150" i="160"/>
  <c r="I212" i="5"/>
  <c r="F205" i="160"/>
  <c r="G205" i="160" s="1"/>
  <c r="I253" i="5"/>
  <c r="F246" i="160"/>
  <c r="G246" i="160" s="1"/>
  <c r="I234" i="5"/>
  <c r="F227" i="160"/>
  <c r="G227" i="160" s="1"/>
  <c r="I223" i="5"/>
  <c r="F216" i="160"/>
  <c r="G216" i="160" s="1"/>
  <c r="I211" i="5"/>
  <c r="F204" i="160"/>
  <c r="G204" i="160" s="1"/>
  <c r="I162" i="5"/>
  <c r="F155" i="160"/>
  <c r="G155" i="160" s="1"/>
  <c r="I142" i="5"/>
  <c r="F135" i="160"/>
  <c r="I134" i="5"/>
  <c r="F127" i="160"/>
  <c r="I108" i="5"/>
  <c r="F102" i="160"/>
  <c r="I100" i="5"/>
  <c r="F94" i="160"/>
  <c r="I252" i="5"/>
  <c r="F245" i="160"/>
  <c r="G245" i="160" s="1"/>
  <c r="I246" i="5"/>
  <c r="F239" i="160"/>
  <c r="G239" i="160" s="1"/>
  <c r="I113" i="5"/>
  <c r="F107" i="160"/>
  <c r="I256" i="5"/>
  <c r="F249" i="160"/>
  <c r="G249" i="160" s="1"/>
  <c r="I250" i="5"/>
  <c r="F243" i="160"/>
  <c r="G243" i="160" s="1"/>
  <c r="I239" i="5"/>
  <c r="F232" i="160"/>
  <c r="G232" i="160" s="1"/>
  <c r="I235" i="5"/>
  <c r="F228" i="160"/>
  <c r="G228" i="160" s="1"/>
  <c r="I231" i="5"/>
  <c r="F224" i="160"/>
  <c r="G224" i="160" s="1"/>
  <c r="I228" i="5"/>
  <c r="F221" i="160"/>
  <c r="G221" i="160" s="1"/>
  <c r="I224" i="5"/>
  <c r="F217" i="160"/>
  <c r="G217" i="160" s="1"/>
  <c r="I220" i="5"/>
  <c r="F213" i="160"/>
  <c r="G213" i="160" s="1"/>
  <c r="I216" i="5"/>
  <c r="F209" i="160"/>
  <c r="I208" i="5"/>
  <c r="F201" i="160"/>
  <c r="I188" i="5"/>
  <c r="F181" i="160"/>
  <c r="G181" i="160" s="1"/>
  <c r="I183" i="5"/>
  <c r="F176" i="160"/>
  <c r="G176" i="160" s="1"/>
  <c r="I153" i="5"/>
  <c r="F146" i="160"/>
  <c r="G146" i="160" s="1"/>
  <c r="I143" i="5"/>
  <c r="F136" i="160"/>
  <c r="G136" i="160" s="1"/>
  <c r="I135" i="5"/>
  <c r="F128" i="160"/>
  <c r="G128" i="160" s="1"/>
  <c r="I131" i="5"/>
  <c r="F124" i="160"/>
  <c r="G124" i="160" s="1"/>
  <c r="I109" i="5"/>
  <c r="F103" i="160"/>
  <c r="I105" i="5"/>
  <c r="F99" i="160"/>
  <c r="I64" i="5"/>
  <c r="F64" i="160"/>
  <c r="G64" i="160" s="1"/>
  <c r="C343" i="8"/>
  <c r="L327" i="152"/>
  <c r="M323" i="152" s="1"/>
  <c r="L280" i="152"/>
  <c r="M280" i="152" s="1"/>
  <c r="L23" i="152"/>
  <c r="M21" i="152" s="1"/>
  <c r="L418" i="152"/>
  <c r="M414" i="152" s="1"/>
  <c r="L421" i="152"/>
  <c r="M420" i="152" s="1"/>
  <c r="L256" i="152"/>
  <c r="D44" i="5"/>
  <c r="B338" i="8"/>
  <c r="B339" i="8"/>
  <c r="M16" i="152"/>
  <c r="L286" i="152"/>
  <c r="M286" i="152" s="1"/>
  <c r="L257" i="152"/>
  <c r="C339" i="8"/>
  <c r="B44" i="5"/>
  <c r="C44" i="5"/>
  <c r="D338" i="8"/>
  <c r="C338" i="8"/>
  <c r="D339" i="8"/>
  <c r="L274" i="152"/>
  <c r="M274" i="152" s="1"/>
  <c r="M591" i="152"/>
  <c r="M180" i="152"/>
  <c r="L13" i="152"/>
  <c r="L212" i="152"/>
  <c r="M483" i="152"/>
  <c r="M503" i="152"/>
  <c r="M486" i="152"/>
  <c r="L62" i="152"/>
  <c r="M717" i="152"/>
  <c r="M657" i="152"/>
  <c r="M576" i="152"/>
  <c r="M10" i="152"/>
  <c r="M557" i="152"/>
  <c r="M170" i="152"/>
  <c r="M271" i="152"/>
  <c r="M329" i="152"/>
  <c r="M540" i="152"/>
  <c r="M332" i="152"/>
  <c r="M468" i="152"/>
  <c r="M19" i="152"/>
  <c r="M157" i="152"/>
  <c r="M230" i="152"/>
  <c r="M528" i="152"/>
  <c r="M489" i="152"/>
  <c r="M510" i="152"/>
  <c r="M183" i="152"/>
  <c r="M350" i="152"/>
  <c r="M551" i="152"/>
  <c r="M534" i="152"/>
  <c r="M76" i="152"/>
  <c r="M277" i="152"/>
  <c r="M253" i="152"/>
  <c r="I139" i="5" s="1"/>
  <c r="M338" i="152"/>
  <c r="M594" i="152"/>
  <c r="M38" i="152"/>
  <c r="M283" i="152"/>
  <c r="M341" i="152"/>
  <c r="M428" i="152"/>
  <c r="M176" i="152"/>
  <c r="F85" i="160" s="1"/>
  <c r="M265" i="152"/>
  <c r="M264" i="152" s="1"/>
  <c r="M562" i="152"/>
  <c r="M474" i="152"/>
  <c r="M335" i="152"/>
  <c r="I53" i="5"/>
  <c r="F86" i="160"/>
  <c r="G86" i="160" s="1"/>
  <c r="M64" i="152"/>
  <c r="M114" i="152"/>
  <c r="I72" i="5" s="1"/>
  <c r="M477" i="152"/>
  <c r="M494" i="152"/>
  <c r="M493" i="152" s="1"/>
  <c r="M579" i="152"/>
  <c r="M44" i="152"/>
  <c r="M68" i="152"/>
  <c r="M117" i="152"/>
  <c r="I73" i="5" s="1"/>
  <c r="M166" i="152"/>
  <c r="F81" i="160" s="1"/>
  <c r="G81" i="160" s="1"/>
  <c r="M461" i="152"/>
  <c r="M480" i="152"/>
  <c r="M565" i="152"/>
  <c r="M582" i="152"/>
  <c r="M684" i="152"/>
  <c r="M120" i="152"/>
  <c r="F74" i="160" s="1"/>
  <c r="M568" i="152"/>
  <c r="M585" i="152"/>
  <c r="M152" i="152"/>
  <c r="M189" i="152"/>
  <c r="M190" i="152" s="1"/>
  <c r="M344" i="152"/>
  <c r="M554" i="152"/>
  <c r="M571" i="152"/>
  <c r="M588" i="152"/>
  <c r="M173" i="152"/>
  <c r="F84" i="160" s="1"/>
  <c r="G84" i="160" s="1"/>
  <c r="L14" i="152"/>
  <c r="M347" i="152"/>
  <c r="M692" i="152"/>
  <c r="M714" i="152"/>
  <c r="M8" i="152"/>
  <c r="I80" i="5"/>
  <c r="M697" i="152"/>
  <c r="M25" i="152"/>
  <c r="M36" i="152" s="1"/>
  <c r="M464" i="152"/>
  <c r="M516" i="152"/>
  <c r="M499" i="152"/>
  <c r="M200" i="152"/>
  <c r="L217" i="152" s="1"/>
  <c r="M215" i="152" s="1"/>
  <c r="M537" i="152"/>
  <c r="M687" i="152"/>
  <c r="H343" i="8" l="1"/>
  <c r="M5" i="152"/>
  <c r="H554" i="8"/>
  <c r="F554" i="8"/>
  <c r="G554" i="8" s="1"/>
  <c r="F401" i="8"/>
  <c r="G401" i="8" s="1"/>
  <c r="H401" i="8"/>
  <c r="H359" i="8"/>
  <c r="H344" i="8"/>
  <c r="H367" i="8"/>
  <c r="H372" i="8"/>
  <c r="H351" i="8"/>
  <c r="H376" i="8"/>
  <c r="H375" i="8"/>
  <c r="H377" i="8"/>
  <c r="H373" i="8"/>
  <c r="H349" i="8"/>
  <c r="H348" i="8"/>
  <c r="H374" i="8"/>
  <c r="H378" i="8"/>
  <c r="H345" i="8"/>
  <c r="H352" i="8"/>
  <c r="H350" i="8"/>
  <c r="H371" i="8"/>
  <c r="H370" i="8"/>
  <c r="F465" i="8"/>
  <c r="G465" i="8" s="1"/>
  <c r="H465" i="8"/>
  <c r="G203" i="160"/>
  <c r="H203" i="160"/>
  <c r="I203" i="160" s="1"/>
  <c r="F46" i="160"/>
  <c r="G46" i="160" s="1"/>
  <c r="I46" i="5"/>
  <c r="F344" i="8" s="1"/>
  <c r="G344" i="8" s="1"/>
  <c r="H383" i="8"/>
  <c r="F365" i="8"/>
  <c r="H445" i="8"/>
  <c r="H382" i="8"/>
  <c r="F357" i="8"/>
  <c r="F355" i="8"/>
  <c r="F373" i="8"/>
  <c r="F354" i="8"/>
  <c r="F358" i="8"/>
  <c r="F362" i="8"/>
  <c r="H381" i="8"/>
  <c r="H380" i="8"/>
  <c r="H379" i="8"/>
  <c r="H512" i="8"/>
  <c r="F546" i="8"/>
  <c r="G546" i="8" s="1"/>
  <c r="H549" i="8"/>
  <c r="H476" i="8"/>
  <c r="F531" i="8"/>
  <c r="G531" i="8" s="1"/>
  <c r="H514" i="8"/>
  <c r="H469" i="8"/>
  <c r="H540" i="8"/>
  <c r="F547" i="8"/>
  <c r="G547" i="8" s="1"/>
  <c r="H503" i="8"/>
  <c r="F529" i="8"/>
  <c r="G529" i="8" s="1"/>
  <c r="H552" i="8"/>
  <c r="F510" i="8"/>
  <c r="G510" i="8" s="1"/>
  <c r="H490" i="8"/>
  <c r="H493" i="8"/>
  <c r="H527" i="8"/>
  <c r="F512" i="8"/>
  <c r="G512" i="8" s="1"/>
  <c r="H546" i="8"/>
  <c r="F549" i="8"/>
  <c r="G549" i="8" s="1"/>
  <c r="F476" i="8"/>
  <c r="G476" i="8" s="1"/>
  <c r="H531" i="8"/>
  <c r="F514" i="8"/>
  <c r="G514" i="8" s="1"/>
  <c r="H547" i="8"/>
  <c r="F503" i="8"/>
  <c r="G503" i="8" s="1"/>
  <c r="H529" i="8"/>
  <c r="H510" i="8"/>
  <c r="H513" i="8"/>
  <c r="F509" i="8"/>
  <c r="G509" i="8" s="1"/>
  <c r="H468" i="8"/>
  <c r="H502" i="8"/>
  <c r="H524" i="8"/>
  <c r="H528" i="8"/>
  <c r="H491" i="8"/>
  <c r="H517" i="8"/>
  <c r="H551" i="8"/>
  <c r="F485" i="8"/>
  <c r="G485" i="8" s="1"/>
  <c r="H492" i="8"/>
  <c r="H538" i="8"/>
  <c r="F541" i="8"/>
  <c r="G541" i="8" s="1"/>
  <c r="H542" i="8"/>
  <c r="H475" i="8"/>
  <c r="F524" i="8"/>
  <c r="G524" i="8" s="1"/>
  <c r="F528" i="8"/>
  <c r="G528" i="8" s="1"/>
  <c r="F491" i="8"/>
  <c r="G491" i="8" s="1"/>
  <c r="F517" i="8"/>
  <c r="G517" i="8" s="1"/>
  <c r="H473" i="8"/>
  <c r="H496" i="8"/>
  <c r="H482" i="8"/>
  <c r="H485" i="8"/>
  <c r="F538" i="8"/>
  <c r="G538" i="8" s="1"/>
  <c r="H541" i="8"/>
  <c r="F506" i="8"/>
  <c r="H516" i="8"/>
  <c r="F523" i="8"/>
  <c r="G523" i="8" s="1"/>
  <c r="H550" i="8"/>
  <c r="H505" i="8"/>
  <c r="F532" i="8"/>
  <c r="G532" i="8" s="1"/>
  <c r="H539" i="8"/>
  <c r="F521" i="8"/>
  <c r="G521" i="8" s="1"/>
  <c r="H477" i="8"/>
  <c r="H480" i="8"/>
  <c r="F530" i="8"/>
  <c r="G530" i="8" s="1"/>
  <c r="F533" i="8"/>
  <c r="G533" i="8" s="1"/>
  <c r="H504" i="8"/>
  <c r="H467" i="8"/>
  <c r="F545" i="8"/>
  <c r="G545" i="8" s="1"/>
  <c r="F516" i="8"/>
  <c r="G516" i="8" s="1"/>
  <c r="H523" i="8"/>
  <c r="F550" i="8"/>
  <c r="G550" i="8" s="1"/>
  <c r="F505" i="8"/>
  <c r="H532" i="8"/>
  <c r="H470" i="8"/>
  <c r="H521" i="8"/>
  <c r="F480" i="8"/>
  <c r="G480" i="8" s="1"/>
  <c r="H530" i="8"/>
  <c r="H533" i="8"/>
  <c r="F504" i="8"/>
  <c r="H494" i="8"/>
  <c r="F520" i="8"/>
  <c r="G520" i="8" s="1"/>
  <c r="H479" i="8"/>
  <c r="H553" i="8"/>
  <c r="H464" i="8"/>
  <c r="F484" i="8"/>
  <c r="G484" i="8" s="1"/>
  <c r="F518" i="8"/>
  <c r="G518" i="8" s="1"/>
  <c r="H525" i="8"/>
  <c r="F507" i="8"/>
  <c r="G507" i="8" s="1"/>
  <c r="F486" i="8"/>
  <c r="G486" i="8" s="1"/>
  <c r="F508" i="8"/>
  <c r="G508" i="8" s="1"/>
  <c r="H515" i="8"/>
  <c r="F515" i="8"/>
  <c r="G515" i="8" s="1"/>
  <c r="F522" i="8"/>
  <c r="G522" i="8" s="1"/>
  <c r="F534" i="8"/>
  <c r="G534" i="8" s="1"/>
  <c r="H497" i="8"/>
  <c r="H487" i="8"/>
  <c r="F553" i="8"/>
  <c r="G553" i="8" s="1"/>
  <c r="H484" i="8"/>
  <c r="H518" i="8"/>
  <c r="H474" i="8"/>
  <c r="F525" i="8"/>
  <c r="G525" i="8" s="1"/>
  <c r="H544" i="8"/>
  <c r="H507" i="8"/>
  <c r="H486" i="8"/>
  <c r="H508" i="8"/>
  <c r="H488" i="8"/>
  <c r="H489" i="8"/>
  <c r="H545" i="8"/>
  <c r="H520" i="8"/>
  <c r="F527" i="8"/>
  <c r="G527" i="8" s="1"/>
  <c r="H506" i="8"/>
  <c r="F513" i="8"/>
  <c r="G513" i="8" s="1"/>
  <c r="H495" i="8"/>
  <c r="H522" i="8"/>
  <c r="F478" i="8"/>
  <c r="G478" i="8" s="1"/>
  <c r="F548" i="8"/>
  <c r="G548" i="8" s="1"/>
  <c r="H535" i="8"/>
  <c r="H534" i="8"/>
  <c r="H509" i="8"/>
  <c r="H471" i="8"/>
  <c r="H519" i="8"/>
  <c r="H548" i="8"/>
  <c r="H501" i="8"/>
  <c r="H466" i="8"/>
  <c r="H536" i="8"/>
  <c r="F543" i="8"/>
  <c r="G543" i="8" s="1"/>
  <c r="H526" i="8"/>
  <c r="H500" i="8"/>
  <c r="F511" i="8"/>
  <c r="G511" i="8" s="1"/>
  <c r="H537" i="8"/>
  <c r="H463" i="8"/>
  <c r="F519" i="8"/>
  <c r="H478" i="8"/>
  <c r="H498" i="8"/>
  <c r="H472" i="8"/>
  <c r="H483" i="8"/>
  <c r="F536" i="8"/>
  <c r="G536" i="8" s="1"/>
  <c r="H543" i="8"/>
  <c r="H499" i="8"/>
  <c r="H481" i="8"/>
  <c r="H511" i="8"/>
  <c r="F537" i="8"/>
  <c r="G537" i="8" s="1"/>
  <c r="F535" i="8"/>
  <c r="G535" i="8" s="1"/>
  <c r="H462" i="8"/>
  <c r="H442" i="8"/>
  <c r="H427" i="8"/>
  <c r="F435" i="8"/>
  <c r="G435" i="8" s="1"/>
  <c r="H435" i="8"/>
  <c r="H430" i="8"/>
  <c r="F398" i="8"/>
  <c r="F430" i="8"/>
  <c r="F453" i="8"/>
  <c r="H398" i="8"/>
  <c r="F409" i="8"/>
  <c r="F399" i="8"/>
  <c r="H399" i="8"/>
  <c r="F457" i="8"/>
  <c r="G457" i="8" s="1"/>
  <c r="H394" i="8"/>
  <c r="F433" i="8"/>
  <c r="G433" i="8" s="1"/>
  <c r="H433" i="8"/>
  <c r="H424" i="8"/>
  <c r="F455" i="8"/>
  <c r="H421" i="8"/>
  <c r="F439" i="8"/>
  <c r="H403" i="8"/>
  <c r="F403" i="8"/>
  <c r="H426" i="8"/>
  <c r="H417" i="8"/>
  <c r="F441" i="8"/>
  <c r="H425" i="8"/>
  <c r="H423" i="8"/>
  <c r="H459" i="8"/>
  <c r="F448" i="8"/>
  <c r="G448" i="8" s="1"/>
  <c r="F426" i="8"/>
  <c r="G426" i="8" s="1"/>
  <c r="H420" i="8"/>
  <c r="F406" i="8"/>
  <c r="F400" i="8"/>
  <c r="H395" i="8"/>
  <c r="H431" i="8"/>
  <c r="F411" i="8"/>
  <c r="F410" i="8"/>
  <c r="F437" i="8"/>
  <c r="G437" i="8" s="1"/>
  <c r="F402" i="8"/>
  <c r="H400" i="8"/>
  <c r="F452" i="8"/>
  <c r="H402" i="8"/>
  <c r="H419" i="8"/>
  <c r="H428" i="8"/>
  <c r="H418" i="8"/>
  <c r="F432" i="8"/>
  <c r="G432" i="8" s="1"/>
  <c r="F412" i="8"/>
  <c r="F408" i="8"/>
  <c r="H397" i="8"/>
  <c r="H440" i="8"/>
  <c r="H422" i="8"/>
  <c r="F428" i="8"/>
  <c r="H432" i="8"/>
  <c r="H412" i="8"/>
  <c r="F434" i="8"/>
  <c r="H415" i="8"/>
  <c r="F449" i="8"/>
  <c r="F407" i="8"/>
  <c r="H429" i="8"/>
  <c r="H416" i="8"/>
  <c r="F450" i="8"/>
  <c r="F440" i="8"/>
  <c r="F458" i="8"/>
  <c r="F429" i="8"/>
  <c r="H396" i="8"/>
  <c r="F404" i="8"/>
  <c r="F436" i="8"/>
  <c r="H434" i="8"/>
  <c r="H441" i="8"/>
  <c r="F405" i="8"/>
  <c r="F378" i="8"/>
  <c r="G378" i="8" s="1"/>
  <c r="I74" i="5"/>
  <c r="F72" i="160"/>
  <c r="H72" i="160" s="1"/>
  <c r="F132" i="160"/>
  <c r="H132" i="160" s="1"/>
  <c r="F52" i="160"/>
  <c r="H52" i="160" s="1"/>
  <c r="F66" i="160"/>
  <c r="G66" i="160" s="1"/>
  <c r="I52" i="5"/>
  <c r="I66" i="5"/>
  <c r="I68" i="5"/>
  <c r="F427" i="8" s="1"/>
  <c r="G427" i="8" s="1"/>
  <c r="F54" i="160"/>
  <c r="I54" i="5"/>
  <c r="F367" i="8" s="1"/>
  <c r="F70" i="160"/>
  <c r="G70" i="160" s="1"/>
  <c r="F51" i="160"/>
  <c r="G51" i="160" s="1"/>
  <c r="F77" i="160"/>
  <c r="G77" i="160" s="1"/>
  <c r="F58" i="160"/>
  <c r="G58" i="160" s="1"/>
  <c r="F68" i="160"/>
  <c r="G68" i="160" s="1"/>
  <c r="F83" i="160"/>
  <c r="G83" i="160" s="1"/>
  <c r="F55" i="160"/>
  <c r="G55" i="160" s="1"/>
  <c r="I70" i="5"/>
  <c r="F456" i="8" s="1"/>
  <c r="I51" i="5"/>
  <c r="I58" i="5"/>
  <c r="F356" i="8" s="1"/>
  <c r="I55" i="5"/>
  <c r="F65" i="160"/>
  <c r="G65" i="160" s="1"/>
  <c r="I65" i="5"/>
  <c r="F425" i="8" s="1"/>
  <c r="G425" i="8" s="1"/>
  <c r="F71" i="160"/>
  <c r="G71" i="160" s="1"/>
  <c r="F69" i="160"/>
  <c r="F53" i="160"/>
  <c r="F48" i="160"/>
  <c r="G48" i="160" s="1"/>
  <c r="F73" i="160"/>
  <c r="I92" i="5"/>
  <c r="I48" i="5"/>
  <c r="F346" i="8" s="1"/>
  <c r="M22" i="152"/>
  <c r="G199" i="160"/>
  <c r="H199" i="160"/>
  <c r="I199" i="160" s="1"/>
  <c r="H138" i="160"/>
  <c r="H125" i="160"/>
  <c r="G219" i="160"/>
  <c r="H219" i="160"/>
  <c r="I219" i="160" s="1"/>
  <c r="G209" i="160"/>
  <c r="H209" i="160"/>
  <c r="I209" i="160" s="1"/>
  <c r="G208" i="160"/>
  <c r="H208" i="160"/>
  <c r="I208" i="160" s="1"/>
  <c r="H201" i="160"/>
  <c r="H200" i="160"/>
  <c r="H154" i="160"/>
  <c r="H147" i="160"/>
  <c r="H103" i="160"/>
  <c r="H99" i="160"/>
  <c r="H74" i="160"/>
  <c r="M282" i="152"/>
  <c r="I99" i="5" s="1"/>
  <c r="I45" i="5"/>
  <c r="F343" i="8" s="1"/>
  <c r="G343" i="8" s="1"/>
  <c r="F45" i="160"/>
  <c r="G45" i="160" s="1"/>
  <c r="I203" i="5"/>
  <c r="F196" i="160"/>
  <c r="G196" i="160" s="1"/>
  <c r="I148" i="5"/>
  <c r="F141" i="160"/>
  <c r="G141" i="160" s="1"/>
  <c r="I185" i="5"/>
  <c r="F381" i="8" s="1"/>
  <c r="G381" i="8" s="1"/>
  <c r="F178" i="160"/>
  <c r="G178" i="160" s="1"/>
  <c r="I247" i="5"/>
  <c r="F240" i="160"/>
  <c r="G240" i="160" s="1"/>
  <c r="I198" i="5"/>
  <c r="F191" i="160"/>
  <c r="G191" i="160" s="1"/>
  <c r="I76" i="5"/>
  <c r="F374" i="8" s="1"/>
  <c r="F76" i="160"/>
  <c r="G76" i="160" s="1"/>
  <c r="I201" i="5"/>
  <c r="F194" i="160"/>
  <c r="G194" i="160" s="1"/>
  <c r="I243" i="5"/>
  <c r="F236" i="160"/>
  <c r="G236" i="160" s="1"/>
  <c r="I63" i="5"/>
  <c r="F361" i="8" s="1"/>
  <c r="F63" i="160"/>
  <c r="G63" i="160" s="1"/>
  <c r="I165" i="5"/>
  <c r="F158" i="160"/>
  <c r="G158" i="160" s="1"/>
  <c r="I91" i="5"/>
  <c r="I49" i="5"/>
  <c r="F347" i="8" s="1"/>
  <c r="F49" i="160"/>
  <c r="G49" i="160" s="1"/>
  <c r="I84" i="5"/>
  <c r="F382" i="8" s="1"/>
  <c r="G382" i="8" s="1"/>
  <c r="F78" i="160"/>
  <c r="G78" i="160" s="1"/>
  <c r="I229" i="5"/>
  <c r="F222" i="160"/>
  <c r="G222" i="160" s="1"/>
  <c r="I176" i="5"/>
  <c r="F169" i="160"/>
  <c r="G169" i="160" s="1"/>
  <c r="I180" i="5"/>
  <c r="F477" i="8" s="1"/>
  <c r="F173" i="160"/>
  <c r="G173" i="160" s="1"/>
  <c r="I127" i="5"/>
  <c r="F424" i="8" s="1"/>
  <c r="G424" i="8" s="1"/>
  <c r="F120" i="160"/>
  <c r="G120" i="160" s="1"/>
  <c r="I124" i="5"/>
  <c r="F118" i="160"/>
  <c r="G118" i="160" s="1"/>
  <c r="I192" i="5"/>
  <c r="F489" i="8" s="1"/>
  <c r="F185" i="160"/>
  <c r="G185" i="160" s="1"/>
  <c r="I202" i="5"/>
  <c r="F499" i="8" s="1"/>
  <c r="F195" i="160"/>
  <c r="G195" i="160" s="1"/>
  <c r="I196" i="5"/>
  <c r="F189" i="160"/>
  <c r="G189" i="160" s="1"/>
  <c r="I62" i="5"/>
  <c r="F62" i="160"/>
  <c r="G62" i="160" s="1"/>
  <c r="I170" i="5"/>
  <c r="F467" i="8" s="1"/>
  <c r="F163" i="160"/>
  <c r="G163" i="160" s="1"/>
  <c r="I195" i="5"/>
  <c r="F188" i="160"/>
  <c r="G188" i="160" s="1"/>
  <c r="I150" i="5"/>
  <c r="F143" i="160"/>
  <c r="G143" i="160" s="1"/>
  <c r="I50" i="5"/>
  <c r="F50" i="160"/>
  <c r="G50" i="160" s="1"/>
  <c r="I191" i="5"/>
  <c r="F184" i="160"/>
  <c r="G184" i="160" s="1"/>
  <c r="I178" i="5"/>
  <c r="F475" i="8" s="1"/>
  <c r="F171" i="160"/>
  <c r="I245" i="5"/>
  <c r="F542" i="8" s="1"/>
  <c r="F238" i="160"/>
  <c r="G238" i="160" s="1"/>
  <c r="I200" i="5"/>
  <c r="F193" i="160"/>
  <c r="G193" i="160" s="1"/>
  <c r="I89" i="5"/>
  <c r="I175" i="5"/>
  <c r="F168" i="160"/>
  <c r="G168" i="160" s="1"/>
  <c r="I169" i="5"/>
  <c r="F466" i="8" s="1"/>
  <c r="F162" i="160"/>
  <c r="G162" i="160" s="1"/>
  <c r="I184" i="5"/>
  <c r="F177" i="160"/>
  <c r="G177" i="160" s="1"/>
  <c r="I182" i="5"/>
  <c r="F479" i="8" s="1"/>
  <c r="G479" i="8" s="1"/>
  <c r="F175" i="160"/>
  <c r="G175" i="160" s="1"/>
  <c r="I186" i="5"/>
  <c r="F483" i="8" s="1"/>
  <c r="F179" i="160"/>
  <c r="G179" i="160" s="1"/>
  <c r="I193" i="5"/>
  <c r="F186" i="160"/>
  <c r="G186" i="160" s="1"/>
  <c r="I255" i="5"/>
  <c r="F248" i="160"/>
  <c r="G248" i="160" s="1"/>
  <c r="I172" i="5"/>
  <c r="F469" i="8" s="1"/>
  <c r="F165" i="160"/>
  <c r="G165" i="160" s="1"/>
  <c r="I204" i="5"/>
  <c r="F501" i="8" s="1"/>
  <c r="G501" i="8" s="1"/>
  <c r="F197" i="160"/>
  <c r="G197" i="160" s="1"/>
  <c r="I166" i="5"/>
  <c r="F463" i="8" s="1"/>
  <c r="F159" i="160"/>
  <c r="G159" i="160" s="1"/>
  <c r="I254" i="5"/>
  <c r="F551" i="8" s="1"/>
  <c r="F247" i="160"/>
  <c r="G247" i="160" s="1"/>
  <c r="I44" i="5"/>
  <c r="I90" i="5"/>
  <c r="I123" i="5"/>
  <c r="F117" i="160"/>
  <c r="G117" i="160" s="1"/>
  <c r="I197" i="5"/>
  <c r="F497" i="8" s="1"/>
  <c r="F190" i="160"/>
  <c r="G190" i="160" s="1"/>
  <c r="I242" i="5"/>
  <c r="F539" i="8" s="1"/>
  <c r="F235" i="160"/>
  <c r="G235" i="160" s="1"/>
  <c r="I171" i="5"/>
  <c r="F164" i="160"/>
  <c r="G164" i="160" s="1"/>
  <c r="I47" i="5"/>
  <c r="F345" i="8" s="1"/>
  <c r="F47" i="160"/>
  <c r="G47" i="160" s="1"/>
  <c r="I61" i="5"/>
  <c r="F419" i="8" s="1"/>
  <c r="F61" i="160"/>
  <c r="I120" i="5"/>
  <c r="F114" i="160"/>
  <c r="G114" i="160" s="1"/>
  <c r="I96" i="5"/>
  <c r="F394" i="8" s="1"/>
  <c r="F90" i="160"/>
  <c r="G90" i="160" s="1"/>
  <c r="I205" i="5"/>
  <c r="F502" i="8" s="1"/>
  <c r="F198" i="160"/>
  <c r="G198" i="160" s="1"/>
  <c r="M276" i="152"/>
  <c r="I125" i="5"/>
  <c r="F423" i="8" s="1"/>
  <c r="F119" i="160"/>
  <c r="I174" i="5"/>
  <c r="F167" i="160"/>
  <c r="G167" i="160" s="1"/>
  <c r="I167" i="5"/>
  <c r="F160" i="160"/>
  <c r="G160" i="160" s="1"/>
  <c r="I118" i="5"/>
  <c r="F112" i="160"/>
  <c r="G112" i="160" s="1"/>
  <c r="I199" i="5"/>
  <c r="F496" i="8" s="1"/>
  <c r="F192" i="160"/>
  <c r="G192" i="160" s="1"/>
  <c r="I173" i="5"/>
  <c r="F166" i="160"/>
  <c r="G166" i="160" s="1"/>
  <c r="I149" i="5"/>
  <c r="F446" i="8" s="1"/>
  <c r="F142" i="160"/>
  <c r="G142" i="160" s="1"/>
  <c r="I121" i="5"/>
  <c r="F115" i="160"/>
  <c r="I177" i="5"/>
  <c r="F474" i="8" s="1"/>
  <c r="F170" i="160"/>
  <c r="H170" i="160" s="1"/>
  <c r="I117" i="5"/>
  <c r="F111" i="160"/>
  <c r="G111" i="160" s="1"/>
  <c r="F459" i="8"/>
  <c r="G459" i="8" s="1"/>
  <c r="H446" i="8"/>
  <c r="H385" i="8"/>
  <c r="M256" i="152"/>
  <c r="F389" i="8"/>
  <c r="G389" i="8" s="1"/>
  <c r="H389" i="8"/>
  <c r="H387" i="8"/>
  <c r="F384" i="8"/>
  <c r="G384" i="8" s="1"/>
  <c r="F388" i="8"/>
  <c r="G388" i="8" s="1"/>
  <c r="H388" i="8"/>
  <c r="C342" i="8"/>
  <c r="H342" i="8" s="1"/>
  <c r="F391" i="8"/>
  <c r="G391" i="8" s="1"/>
  <c r="B342" i="8"/>
  <c r="H386" i="8"/>
  <c r="F339" i="8"/>
  <c r="G339" i="8" s="1"/>
  <c r="H339" i="8"/>
  <c r="F338" i="8"/>
  <c r="G338" i="8" s="1"/>
  <c r="H338" i="8"/>
  <c r="H390" i="8"/>
  <c r="D342" i="8"/>
  <c r="H384" i="8"/>
  <c r="H391" i="8"/>
  <c r="F390" i="8"/>
  <c r="G390" i="8" s="1"/>
  <c r="L61" i="152"/>
  <c r="M60" i="152" s="1"/>
  <c r="M168" i="152"/>
  <c r="F82" i="160" s="1"/>
  <c r="G82" i="160" s="1"/>
  <c r="I87" i="5"/>
  <c r="F385" i="8" s="1"/>
  <c r="G385" i="8" s="1"/>
  <c r="M270" i="152"/>
  <c r="M13" i="152"/>
  <c r="L213" i="152"/>
  <c r="M211" i="152" s="1"/>
  <c r="I122" i="5" s="1"/>
  <c r="F540" i="8" l="1"/>
  <c r="G540" i="8" s="1"/>
  <c r="F93" i="160"/>
  <c r="G170" i="160"/>
  <c r="I170" i="160"/>
  <c r="F421" i="8"/>
  <c r="F431" i="8"/>
  <c r="F422" i="8"/>
  <c r="G422" i="8" s="1"/>
  <c r="F447" i="8"/>
  <c r="G447" i="8" s="1"/>
  <c r="F451" i="8"/>
  <c r="F368" i="8"/>
  <c r="F363" i="8"/>
  <c r="F353" i="8"/>
  <c r="F454" i="8"/>
  <c r="F366" i="8"/>
  <c r="H53" i="160"/>
  <c r="F438" i="8"/>
  <c r="F544" i="8"/>
  <c r="G544" i="8" s="1"/>
  <c r="G499" i="8"/>
  <c r="F415" i="8"/>
  <c r="F372" i="8"/>
  <c r="F494" i="8"/>
  <c r="G494" i="8" s="1"/>
  <c r="F375" i="8"/>
  <c r="G375" i="8" s="1"/>
  <c r="F359" i="8"/>
  <c r="F350" i="8"/>
  <c r="G489" i="8"/>
  <c r="F500" i="8"/>
  <c r="G500" i="8" s="1"/>
  <c r="F376" i="8"/>
  <c r="G376" i="8" s="1"/>
  <c r="F349" i="8"/>
  <c r="G349" i="8" s="1"/>
  <c r="G551" i="8"/>
  <c r="G483" i="8"/>
  <c r="G374" i="8"/>
  <c r="F416" i="8"/>
  <c r="F472" i="8"/>
  <c r="G472" i="8" s="1"/>
  <c r="F482" i="8"/>
  <c r="G482" i="8" s="1"/>
  <c r="F351" i="8"/>
  <c r="F352" i="8"/>
  <c r="F526" i="8"/>
  <c r="G526" i="8" s="1"/>
  <c r="F493" i="8"/>
  <c r="G493" i="8" s="1"/>
  <c r="F377" i="8"/>
  <c r="G377" i="8" s="1"/>
  <c r="F371" i="8"/>
  <c r="F360" i="8"/>
  <c r="F342" i="8"/>
  <c r="G342" i="8" s="1"/>
  <c r="G463" i="8"/>
  <c r="F498" i="8"/>
  <c r="G498" i="8" s="1"/>
  <c r="F488" i="8"/>
  <c r="G488" i="8" s="1"/>
  <c r="F490" i="8"/>
  <c r="G490" i="8" s="1"/>
  <c r="F364" i="8"/>
  <c r="G542" i="8"/>
  <c r="G467" i="8"/>
  <c r="F417" i="8"/>
  <c r="F487" i="8"/>
  <c r="G487" i="8" s="1"/>
  <c r="F473" i="8"/>
  <c r="G473" i="8" s="1"/>
  <c r="F379" i="8"/>
  <c r="G379" i="8" s="1"/>
  <c r="F348" i="8"/>
  <c r="G348" i="8" s="1"/>
  <c r="G502" i="8"/>
  <c r="G539" i="8"/>
  <c r="F370" i="8"/>
  <c r="F418" i="8"/>
  <c r="F420" i="8"/>
  <c r="F492" i="8"/>
  <c r="G492" i="8" s="1"/>
  <c r="F468" i="8"/>
  <c r="G468" i="8" s="1"/>
  <c r="F552" i="8"/>
  <c r="G552" i="8" s="1"/>
  <c r="F380" i="8"/>
  <c r="G380" i="8" s="1"/>
  <c r="F369" i="8"/>
  <c r="G496" i="8"/>
  <c r="G475" i="8"/>
  <c r="G477" i="8"/>
  <c r="F481" i="8"/>
  <c r="G481" i="8" s="1"/>
  <c r="F471" i="8"/>
  <c r="G471" i="8" s="1"/>
  <c r="G474" i="8"/>
  <c r="G394" i="8"/>
  <c r="G497" i="8"/>
  <c r="G469" i="8"/>
  <c r="G466" i="8"/>
  <c r="F462" i="8"/>
  <c r="G462" i="8" s="1"/>
  <c r="F464" i="8"/>
  <c r="G464" i="8" s="1"/>
  <c r="F470" i="8"/>
  <c r="G470" i="8" s="1"/>
  <c r="F495" i="8"/>
  <c r="G495" i="8" s="1"/>
  <c r="F113" i="160"/>
  <c r="G113" i="160" s="1"/>
  <c r="F116" i="160"/>
  <c r="G116" i="160" s="1"/>
  <c r="I119" i="5"/>
  <c r="I141" i="5"/>
  <c r="F134" i="160"/>
  <c r="H73" i="160"/>
  <c r="I85" i="5"/>
  <c r="F79" i="160"/>
  <c r="F80" i="160"/>
  <c r="G80" i="160" s="1"/>
  <c r="I86" i="5"/>
  <c r="G171" i="160"/>
  <c r="F387" i="8"/>
  <c r="G387" i="8" s="1"/>
  <c r="G345" i="8"/>
  <c r="F445" i="8"/>
  <c r="I88" i="5"/>
  <c r="F386" i="8" s="1"/>
  <c r="G386" i="8" s="1"/>
  <c r="F44" i="160"/>
  <c r="G44" i="160" s="1"/>
  <c r="I97" i="5"/>
  <c r="F395" i="8" s="1"/>
  <c r="G395" i="8" s="1"/>
  <c r="F91" i="160"/>
  <c r="G91" i="160" s="1"/>
  <c r="I98" i="5"/>
  <c r="F92" i="160"/>
  <c r="G92" i="160" s="1"/>
  <c r="F396" i="8" l="1"/>
  <c r="G396" i="8" s="1"/>
  <c r="F397" i="8"/>
  <c r="F383" i="8"/>
  <c r="F442" i="8"/>
  <c r="H134" i="160"/>
  <c r="H79" i="160"/>
  <c r="B129" i="4"/>
  <c r="C129" i="4"/>
  <c r="D129" i="4"/>
  <c r="B130" i="4"/>
  <c r="C130" i="4"/>
  <c r="D130" i="4"/>
  <c r="B131" i="4"/>
  <c r="C131" i="4"/>
  <c r="D131" i="4"/>
  <c r="B132" i="4"/>
  <c r="C132" i="4"/>
  <c r="D132" i="4"/>
  <c r="B133" i="4"/>
  <c r="C133" i="4"/>
  <c r="D133" i="4"/>
  <c r="B134" i="4"/>
  <c r="C134" i="4"/>
  <c r="D134" i="4"/>
  <c r="B135" i="4"/>
  <c r="C135" i="4"/>
  <c r="D135" i="4"/>
  <c r="B136" i="4"/>
  <c r="C136" i="4"/>
  <c r="D136" i="4"/>
  <c r="B137" i="4"/>
  <c r="C137" i="4"/>
  <c r="D137" i="4"/>
  <c r="B138" i="4"/>
  <c r="C138" i="4"/>
  <c r="D138" i="4"/>
  <c r="B139" i="4"/>
  <c r="C139" i="4"/>
  <c r="D139" i="4"/>
  <c r="B140" i="4"/>
  <c r="C140" i="4"/>
  <c r="D140" i="4"/>
  <c r="B141" i="4"/>
  <c r="C141" i="4"/>
  <c r="D141" i="4"/>
  <c r="B142" i="4"/>
  <c r="C142" i="4"/>
  <c r="D142" i="4"/>
  <c r="B143" i="4"/>
  <c r="C143" i="4"/>
  <c r="D143" i="4"/>
  <c r="B144" i="4"/>
  <c r="C144" i="4"/>
  <c r="D144" i="4"/>
  <c r="B145" i="4"/>
  <c r="C145" i="4"/>
  <c r="D145" i="4"/>
  <c r="B146" i="4"/>
  <c r="C146" i="4"/>
  <c r="D146" i="4"/>
  <c r="B147" i="4"/>
  <c r="C147" i="4"/>
  <c r="D147" i="4"/>
  <c r="B148" i="4"/>
  <c r="C148" i="4"/>
  <c r="D148" i="4"/>
  <c r="B149" i="4"/>
  <c r="C149" i="4"/>
  <c r="D149" i="4"/>
  <c r="B150" i="4"/>
  <c r="C150" i="4"/>
  <c r="D150" i="4"/>
  <c r="B151" i="4"/>
  <c r="C151" i="4"/>
  <c r="D151" i="4"/>
  <c r="B152" i="4"/>
  <c r="C152" i="4"/>
  <c r="D152" i="4"/>
  <c r="B153" i="4"/>
  <c r="C153" i="4"/>
  <c r="D153" i="4"/>
  <c r="B154" i="4"/>
  <c r="C154" i="4"/>
  <c r="D154" i="4"/>
  <c r="B155" i="4"/>
  <c r="C155" i="4"/>
  <c r="D155" i="4"/>
  <c r="B156" i="4"/>
  <c r="C156" i="4"/>
  <c r="D156" i="4"/>
  <c r="B157" i="4"/>
  <c r="C157" i="4"/>
  <c r="D157" i="4"/>
  <c r="B158" i="4"/>
  <c r="C158" i="4"/>
  <c r="D158" i="4"/>
  <c r="B159" i="4"/>
  <c r="C159" i="4"/>
  <c r="D159" i="4"/>
  <c r="B160" i="4"/>
  <c r="C160" i="4"/>
  <c r="B161" i="4"/>
  <c r="C161" i="4"/>
  <c r="D161" i="4"/>
  <c r="B162" i="4"/>
  <c r="C162" i="4"/>
  <c r="D162" i="4"/>
  <c r="B163" i="4"/>
  <c r="C163" i="4"/>
  <c r="D163" i="4"/>
  <c r="B164" i="4"/>
  <c r="C164" i="4"/>
  <c r="D164" i="4"/>
  <c r="B165" i="4"/>
  <c r="C165" i="4"/>
  <c r="D165" i="4"/>
  <c r="B166" i="4"/>
  <c r="D166" i="4"/>
  <c r="B167" i="4"/>
  <c r="C167" i="4"/>
  <c r="D167" i="4"/>
  <c r="B168" i="4"/>
  <c r="C168" i="4"/>
  <c r="D168" i="4"/>
  <c r="B169" i="4"/>
  <c r="C169" i="4"/>
  <c r="D169" i="4"/>
  <c r="B170" i="4"/>
  <c r="C170" i="4"/>
  <c r="D170" i="4"/>
  <c r="B171" i="4"/>
  <c r="C171" i="4"/>
  <c r="D171" i="4"/>
  <c r="B172" i="4"/>
  <c r="C172" i="4"/>
  <c r="D172" i="4"/>
  <c r="B173" i="4"/>
  <c r="D173" i="4"/>
  <c r="B174" i="4"/>
  <c r="C174" i="4"/>
  <c r="D174" i="4"/>
  <c r="B175" i="4"/>
  <c r="C175" i="4"/>
  <c r="D175" i="4"/>
  <c r="B176" i="4"/>
  <c r="C176" i="4"/>
  <c r="D176" i="4"/>
  <c r="B177" i="4"/>
  <c r="C177" i="4"/>
  <c r="D177" i="4"/>
  <c r="B178" i="4"/>
  <c r="C178" i="4"/>
  <c r="D178" i="4"/>
  <c r="B179" i="4"/>
  <c r="C179" i="4"/>
  <c r="D179" i="4"/>
  <c r="B180" i="4"/>
  <c r="C180" i="4"/>
  <c r="D180" i="4"/>
  <c r="B181" i="4"/>
  <c r="C181" i="4"/>
  <c r="D181" i="4"/>
  <c r="B182" i="4"/>
  <c r="C182" i="4"/>
  <c r="D182" i="4"/>
  <c r="B183" i="4"/>
  <c r="C183" i="4"/>
  <c r="D183" i="4"/>
  <c r="B184" i="4"/>
  <c r="C184" i="4"/>
  <c r="D184" i="4"/>
  <c r="B185" i="4"/>
  <c r="C185" i="4"/>
  <c r="D185" i="4"/>
  <c r="B186" i="4"/>
  <c r="C186" i="4"/>
  <c r="D186" i="4"/>
  <c r="B187" i="4"/>
  <c r="C187" i="4"/>
  <c r="D187" i="4"/>
  <c r="B188" i="4"/>
  <c r="C188" i="4"/>
  <c r="D188" i="4"/>
  <c r="B189" i="4"/>
  <c r="C189" i="4"/>
  <c r="D189" i="4"/>
  <c r="B190" i="4"/>
  <c r="C190" i="4"/>
  <c r="D190" i="4"/>
  <c r="D128" i="4"/>
  <c r="C128" i="4"/>
  <c r="B128" i="4"/>
  <c r="A127" i="4"/>
  <c r="A100" i="4" l="1"/>
  <c r="B100" i="4"/>
  <c r="C100" i="4"/>
  <c r="D100" i="4"/>
  <c r="A101" i="4"/>
  <c r="B101" i="4"/>
  <c r="C101" i="4"/>
  <c r="D101" i="4"/>
  <c r="B102" i="4"/>
  <c r="C102" i="4"/>
  <c r="D102" i="4"/>
  <c r="B107" i="4"/>
  <c r="C107" i="4"/>
  <c r="D107" i="4"/>
  <c r="B108" i="4"/>
  <c r="C108" i="4"/>
  <c r="D108" i="4"/>
  <c r="B109" i="4"/>
  <c r="C109" i="4"/>
  <c r="D109" i="4"/>
  <c r="B110" i="4"/>
  <c r="C110" i="4"/>
  <c r="D110" i="4"/>
  <c r="B111" i="4"/>
  <c r="C111" i="4"/>
  <c r="D111" i="4"/>
  <c r="B112" i="4"/>
  <c r="C112" i="4"/>
  <c r="D112" i="4"/>
  <c r="B113" i="4"/>
  <c r="C113" i="4"/>
  <c r="D113" i="4"/>
  <c r="B114" i="4"/>
  <c r="C114" i="4"/>
  <c r="D114" i="4"/>
  <c r="B115" i="4"/>
  <c r="C115" i="4"/>
  <c r="D115" i="4"/>
  <c r="B116" i="4"/>
  <c r="C116" i="4"/>
  <c r="D116" i="4"/>
  <c r="B117" i="4"/>
  <c r="C117" i="4"/>
  <c r="D117" i="4"/>
  <c r="B118" i="4"/>
  <c r="C118" i="4"/>
  <c r="D118" i="4"/>
  <c r="B119" i="4"/>
  <c r="C119" i="4"/>
  <c r="D119" i="4"/>
  <c r="B120" i="4"/>
  <c r="C120" i="4"/>
  <c r="D120" i="4"/>
  <c r="B121" i="4"/>
  <c r="C121" i="4"/>
  <c r="D121" i="4"/>
  <c r="B122" i="4"/>
  <c r="C122" i="4"/>
  <c r="D122" i="4"/>
  <c r="B123" i="4"/>
  <c r="C123" i="4"/>
  <c r="D123" i="4"/>
  <c r="B124" i="4"/>
  <c r="C124" i="4"/>
  <c r="D124" i="4"/>
  <c r="B125" i="4"/>
  <c r="C125" i="4"/>
  <c r="D125" i="4"/>
  <c r="A97" i="4"/>
  <c r="C97" i="4"/>
  <c r="B97" i="4"/>
  <c r="D97" i="4"/>
  <c r="A96" i="4"/>
  <c r="B86" i="4"/>
  <c r="C86" i="4"/>
  <c r="D86" i="4"/>
  <c r="B87" i="4"/>
  <c r="C87" i="4"/>
  <c r="D87" i="4"/>
  <c r="B88" i="4"/>
  <c r="C88" i="4"/>
  <c r="D88" i="4"/>
  <c r="B89" i="4"/>
  <c r="C89" i="4"/>
  <c r="D89" i="4"/>
  <c r="B90" i="4"/>
  <c r="C90" i="4"/>
  <c r="D90" i="4"/>
  <c r="B91" i="4"/>
  <c r="C91" i="4"/>
  <c r="D91" i="4"/>
  <c r="B92" i="4"/>
  <c r="C92" i="4"/>
  <c r="D92" i="4"/>
  <c r="B93" i="4"/>
  <c r="C93" i="4"/>
  <c r="D93" i="4"/>
  <c r="B94" i="4"/>
  <c r="C94" i="4"/>
  <c r="D94" i="4"/>
  <c r="B55" i="4"/>
  <c r="C55" i="4"/>
  <c r="D55" i="4"/>
  <c r="B56" i="4"/>
  <c r="C56" i="4"/>
  <c r="D56" i="4"/>
  <c r="B57" i="4"/>
  <c r="C57" i="4"/>
  <c r="D57" i="4"/>
  <c r="B58" i="4"/>
  <c r="C58" i="4"/>
  <c r="D58" i="4"/>
  <c r="B59" i="4"/>
  <c r="C59" i="4"/>
  <c r="D59" i="4"/>
  <c r="B60" i="4"/>
  <c r="C60" i="4"/>
  <c r="D60" i="4"/>
  <c r="B61" i="4"/>
  <c r="C61" i="4"/>
  <c r="D61" i="4"/>
  <c r="B62" i="4"/>
  <c r="C62" i="4"/>
  <c r="D62" i="4"/>
  <c r="B63" i="4"/>
  <c r="C63" i="4"/>
  <c r="D63" i="4"/>
  <c r="B64" i="4"/>
  <c r="C64" i="4"/>
  <c r="D64" i="4"/>
  <c r="B65" i="4"/>
  <c r="C65" i="4"/>
  <c r="D65" i="4"/>
  <c r="B66" i="4"/>
  <c r="C66" i="4"/>
  <c r="D66" i="4"/>
  <c r="B67" i="4"/>
  <c r="C67" i="4"/>
  <c r="D67" i="4"/>
  <c r="B68" i="4"/>
  <c r="C68" i="4"/>
  <c r="D68" i="4"/>
  <c r="B69" i="4"/>
  <c r="C69" i="4"/>
  <c r="D69" i="4"/>
  <c r="B70" i="4"/>
  <c r="C70" i="4"/>
  <c r="D70" i="4"/>
  <c r="B71" i="4"/>
  <c r="C71" i="4"/>
  <c r="D71" i="4"/>
  <c r="B72" i="4"/>
  <c r="C72" i="4"/>
  <c r="D72" i="4"/>
  <c r="B73" i="4"/>
  <c r="C73" i="4"/>
  <c r="D73" i="4"/>
  <c r="B74" i="4"/>
  <c r="C74" i="4"/>
  <c r="D74" i="4"/>
  <c r="B75" i="4"/>
  <c r="C75" i="4"/>
  <c r="D75" i="4"/>
  <c r="B76" i="4"/>
  <c r="C76" i="4"/>
  <c r="D76" i="4"/>
  <c r="B77" i="4"/>
  <c r="C77" i="4"/>
  <c r="D77" i="4"/>
  <c r="B78" i="4"/>
  <c r="C78" i="4"/>
  <c r="D78" i="4"/>
  <c r="B79" i="4"/>
  <c r="C79" i="4"/>
  <c r="D79" i="4"/>
  <c r="B80" i="4"/>
  <c r="C80" i="4"/>
  <c r="D80" i="4"/>
  <c r="B81" i="4"/>
  <c r="C81" i="4"/>
  <c r="D81" i="4"/>
  <c r="B82" i="4"/>
  <c r="C82" i="4"/>
  <c r="D82" i="4"/>
  <c r="B83" i="4"/>
  <c r="C83" i="4"/>
  <c r="D83" i="4"/>
  <c r="B84" i="4"/>
  <c r="C84" i="4"/>
  <c r="D84" i="4"/>
  <c r="B85" i="4"/>
  <c r="C85" i="4"/>
  <c r="D85" i="4"/>
  <c r="B47" i="4"/>
  <c r="C47" i="4"/>
  <c r="D47" i="4"/>
  <c r="B48" i="4"/>
  <c r="C48" i="4"/>
  <c r="D48" i="4"/>
  <c r="B49" i="4"/>
  <c r="C49" i="4"/>
  <c r="D49" i="4"/>
  <c r="B50" i="4"/>
  <c r="C50" i="4"/>
  <c r="D50" i="4"/>
  <c r="B51" i="4"/>
  <c r="C51" i="4"/>
  <c r="D51" i="4"/>
  <c r="B52" i="4"/>
  <c r="C52" i="4"/>
  <c r="D52" i="4"/>
  <c r="B53" i="4"/>
  <c r="C53" i="4"/>
  <c r="D53" i="4"/>
  <c r="B54" i="4"/>
  <c r="C54" i="4"/>
  <c r="D54" i="4"/>
  <c r="B35" i="4"/>
  <c r="C35" i="4"/>
  <c r="D35" i="4"/>
  <c r="B36" i="4"/>
  <c r="C36" i="4"/>
  <c r="D36" i="4"/>
  <c r="B38" i="4"/>
  <c r="C38" i="4"/>
  <c r="D38" i="4"/>
  <c r="B39" i="4"/>
  <c r="C39" i="4"/>
  <c r="D39" i="4"/>
  <c r="B40" i="4"/>
  <c r="C40" i="4"/>
  <c r="D40" i="4"/>
  <c r="B41" i="4"/>
  <c r="C41" i="4"/>
  <c r="D41" i="4"/>
  <c r="B42" i="4"/>
  <c r="C42" i="4"/>
  <c r="D42" i="4"/>
  <c r="B43" i="4"/>
  <c r="C43" i="4"/>
  <c r="D43" i="4"/>
  <c r="B44" i="4"/>
  <c r="C44" i="4"/>
  <c r="D44" i="4"/>
  <c r="B45" i="4"/>
  <c r="C45" i="4"/>
  <c r="D45" i="4"/>
  <c r="B46" i="4"/>
  <c r="C46" i="4"/>
  <c r="D46" i="4"/>
  <c r="D34" i="4"/>
  <c r="C34" i="4"/>
  <c r="B34" i="4"/>
  <c r="E85" i="5"/>
  <c r="F154" i="5"/>
  <c r="F159" i="5"/>
  <c r="F157" i="5"/>
  <c r="N181" i="28"/>
  <c r="E215" i="8" s="1"/>
  <c r="E172" i="28"/>
  <c r="E171" i="28"/>
  <c r="F172" i="28"/>
  <c r="G172" i="28"/>
  <c r="G171" i="28"/>
  <c r="F171" i="28"/>
  <c r="J168" i="28"/>
  <c r="J167" i="28"/>
  <c r="J166" i="28"/>
  <c r="E145" i="5" s="1"/>
  <c r="H145" i="5" s="1"/>
  <c r="J165" i="28"/>
  <c r="F114" i="5"/>
  <c r="F113" i="5"/>
  <c r="F112" i="5"/>
  <c r="F111" i="5"/>
  <c r="F110" i="5"/>
  <c r="F109" i="5"/>
  <c r="F108" i="5"/>
  <c r="F105" i="5"/>
  <c r="F106" i="5" s="1"/>
  <c r="F104" i="5"/>
  <c r="F102" i="5"/>
  <c r="F101" i="5"/>
  <c r="F100" i="5"/>
  <c r="J120" i="28"/>
  <c r="J119" i="28"/>
  <c r="J118" i="28"/>
  <c r="J112" i="28"/>
  <c r="G112" i="28"/>
  <c r="F112" i="28"/>
  <c r="G111" i="28"/>
  <c r="F111" i="28"/>
  <c r="E100" i="5"/>
  <c r="G110" i="28"/>
  <c r="F110" i="28"/>
  <c r="F85" i="5"/>
  <c r="G85" i="5"/>
  <c r="K87" i="28"/>
  <c r="L87" i="28"/>
  <c r="E141" i="5" l="1"/>
  <c r="K165" i="28"/>
  <c r="F141" i="5" s="1"/>
  <c r="F142" i="5" s="1"/>
  <c r="E125" i="5"/>
  <c r="H125" i="5" s="1"/>
  <c r="E442" i="8"/>
  <c r="E138" i="160"/>
  <c r="H102" i="5"/>
  <c r="E142" i="5"/>
  <c r="H142" i="5" s="1"/>
  <c r="H141" i="5"/>
  <c r="H100" i="5"/>
  <c r="F139" i="5"/>
  <c r="F161" i="5"/>
  <c r="H85" i="5"/>
  <c r="L82" i="28"/>
  <c r="G9" i="87"/>
  <c r="G22" i="151"/>
  <c r="G22" i="53"/>
  <c r="G9" i="53"/>
  <c r="G22" i="87"/>
  <c r="K18" i="87"/>
  <c r="K19" i="87"/>
  <c r="L9" i="87"/>
  <c r="L6" i="87"/>
  <c r="E423" i="8" l="1"/>
  <c r="G119" i="160"/>
  <c r="E439" i="8"/>
  <c r="G439" i="8" s="1"/>
  <c r="E135" i="160"/>
  <c r="G135" i="160" s="1"/>
  <c r="G138" i="160"/>
  <c r="E438" i="8"/>
  <c r="G438" i="8" s="1"/>
  <c r="E134" i="160"/>
  <c r="E398" i="8"/>
  <c r="G398" i="8" s="1"/>
  <c r="E94" i="160"/>
  <c r="G94" i="160" s="1"/>
  <c r="E400" i="8"/>
  <c r="G400" i="8" s="1"/>
  <c r="E96" i="160"/>
  <c r="G96" i="160" s="1"/>
  <c r="E383" i="8"/>
  <c r="G383" i="8" s="1"/>
  <c r="E79" i="160"/>
  <c r="E85" i="160"/>
  <c r="G85" i="160" s="1"/>
  <c r="G9" i="151"/>
  <c r="K48" i="28"/>
  <c r="L48" i="28"/>
  <c r="N200" i="28"/>
  <c r="N201" i="28"/>
  <c r="N202" i="28"/>
  <c r="E231" i="8" s="1"/>
  <c r="N203" i="28"/>
  <c r="N219" i="28"/>
  <c r="N199" i="28"/>
  <c r="N198" i="28"/>
  <c r="N133" i="28"/>
  <c r="N134" i="28"/>
  <c r="E48" i="8" s="1"/>
  <c r="N135" i="28"/>
  <c r="E49" i="8" s="1"/>
  <c r="N136" i="28"/>
  <c r="O133" i="4" s="1"/>
  <c r="N137" i="28"/>
  <c r="O134" i="4" s="1"/>
  <c r="N138" i="28"/>
  <c r="E50" i="8" s="1"/>
  <c r="N139" i="28"/>
  <c r="O136" i="4" s="1"/>
  <c r="N140" i="28"/>
  <c r="O137" i="4" s="1"/>
  <c r="N141" i="28"/>
  <c r="O138" i="4" s="1"/>
  <c r="N142" i="28"/>
  <c r="O139" i="4" s="1"/>
  <c r="N143" i="28"/>
  <c r="O140" i="4" s="1"/>
  <c r="N144" i="28"/>
  <c r="O141" i="4" s="1"/>
  <c r="N145" i="28"/>
  <c r="O142" i="4" s="1"/>
  <c r="N146" i="28"/>
  <c r="O143" i="4" s="1"/>
  <c r="N147" i="28"/>
  <c r="O144" i="4" s="1"/>
  <c r="N148" i="28"/>
  <c r="O145" i="4" s="1"/>
  <c r="N149" i="28"/>
  <c r="O146" i="4" s="1"/>
  <c r="N150" i="28"/>
  <c r="O147" i="4" s="1"/>
  <c r="N151" i="28"/>
  <c r="O148" i="4" s="1"/>
  <c r="N152" i="28"/>
  <c r="O149" i="4" s="1"/>
  <c r="N153" i="28"/>
  <c r="O150" i="4" s="1"/>
  <c r="N154" i="28"/>
  <c r="O151" i="4" s="1"/>
  <c r="N155" i="28"/>
  <c r="O152" i="4" s="1"/>
  <c r="N156" i="28"/>
  <c r="O153" i="4" s="1"/>
  <c r="N157" i="28"/>
  <c r="O154" i="4" s="1"/>
  <c r="N158" i="28"/>
  <c r="O155" i="4" s="1"/>
  <c r="N159" i="28"/>
  <c r="O156" i="4" s="1"/>
  <c r="N160" i="28"/>
  <c r="O157" i="4" s="1"/>
  <c r="N161" i="28"/>
  <c r="O158" i="4" s="1"/>
  <c r="N162" i="28"/>
  <c r="N163" i="28"/>
  <c r="E197" i="8" s="1"/>
  <c r="N169" i="28"/>
  <c r="E203" i="8" s="1"/>
  <c r="N177" i="28"/>
  <c r="E211" i="8" s="1"/>
  <c r="N182" i="28"/>
  <c r="E216" i="8" s="1"/>
  <c r="N183" i="28"/>
  <c r="E217" i="8" s="1"/>
  <c r="N184" i="28"/>
  <c r="E218" i="8" s="1"/>
  <c r="N185" i="28"/>
  <c r="E219" i="8" s="1"/>
  <c r="N186" i="28"/>
  <c r="E220" i="8" s="1"/>
  <c r="N187" i="28"/>
  <c r="E221" i="8" s="1"/>
  <c r="N188" i="28"/>
  <c r="E222" i="8" s="1"/>
  <c r="N189" i="28"/>
  <c r="E223" i="8" s="1"/>
  <c r="N190" i="28"/>
  <c r="E224" i="8" s="1"/>
  <c r="N191" i="28"/>
  <c r="E225" i="8" s="1"/>
  <c r="N192" i="28"/>
  <c r="E226" i="8" s="1"/>
  <c r="N193" i="28"/>
  <c r="N132" i="28"/>
  <c r="E47" i="8" s="1"/>
  <c r="N131" i="28"/>
  <c r="N102" i="28"/>
  <c r="E36" i="8" s="1"/>
  <c r="N103" i="28"/>
  <c r="N109" i="28"/>
  <c r="E43" i="8" s="1"/>
  <c r="N118" i="28"/>
  <c r="N126" i="28"/>
  <c r="N101" i="28"/>
  <c r="E35" i="8" s="1"/>
  <c r="N98" i="28"/>
  <c r="E32" i="8" s="1"/>
  <c r="N13" i="28"/>
  <c r="E15" i="8" s="1"/>
  <c r="N14" i="28"/>
  <c r="E16" i="8" s="1"/>
  <c r="N15" i="28"/>
  <c r="E17" i="8" s="1"/>
  <c r="N16" i="28"/>
  <c r="E18" i="8" s="1"/>
  <c r="N17" i="28"/>
  <c r="E19" i="8" s="1"/>
  <c r="N18" i="28"/>
  <c r="E20" i="8" s="1"/>
  <c r="N19" i="28"/>
  <c r="E21" i="8" s="1"/>
  <c r="N20" i="28"/>
  <c r="E22" i="8" s="1"/>
  <c r="N23" i="28"/>
  <c r="E25" i="8" s="1"/>
  <c r="N24" i="28"/>
  <c r="E26" i="8" s="1"/>
  <c r="N26" i="28"/>
  <c r="N27" i="28"/>
  <c r="N28" i="28"/>
  <c r="N29" i="28"/>
  <c r="N30" i="28"/>
  <c r="N31" i="28"/>
  <c r="N42" i="28"/>
  <c r="E123" i="8" s="1"/>
  <c r="N45" i="28"/>
  <c r="E126" i="8" s="1"/>
  <c r="N46" i="28"/>
  <c r="N49" i="28"/>
  <c r="N50" i="28"/>
  <c r="N51" i="28"/>
  <c r="N52" i="28"/>
  <c r="N53" i="28"/>
  <c r="N54" i="28"/>
  <c r="N55" i="28"/>
  <c r="N56" i="28"/>
  <c r="N57" i="28"/>
  <c r="N58" i="28"/>
  <c r="N59" i="28"/>
  <c r="N60" i="28"/>
  <c r="N61" i="28"/>
  <c r="N62" i="28"/>
  <c r="N63" i="28"/>
  <c r="N64" i="28"/>
  <c r="N65" i="28"/>
  <c r="N66" i="28"/>
  <c r="N67" i="28"/>
  <c r="N68" i="28"/>
  <c r="N69" i="28"/>
  <c r="N70" i="28"/>
  <c r="N71" i="28"/>
  <c r="N72" i="28"/>
  <c r="N73" i="28"/>
  <c r="N74" i="28"/>
  <c r="N75" i="28"/>
  <c r="N76" i="28"/>
  <c r="N77" i="28"/>
  <c r="N78" i="28"/>
  <c r="N79" i="28"/>
  <c r="N80" i="28"/>
  <c r="N81" i="28"/>
  <c r="N83" i="28"/>
  <c r="N84" i="28"/>
  <c r="N85" i="28"/>
  <c r="N86" i="28"/>
  <c r="N90" i="28"/>
  <c r="E171" i="8" s="1"/>
  <c r="N91" i="28"/>
  <c r="E172" i="8" s="1"/>
  <c r="N92" i="28"/>
  <c r="N93" i="28"/>
  <c r="N11" i="28"/>
  <c r="E13" i="8" s="1"/>
  <c r="E9" i="8"/>
  <c r="A17" i="4"/>
  <c r="B17" i="4"/>
  <c r="C17" i="4"/>
  <c r="D17" i="4"/>
  <c r="G134" i="160" l="1"/>
  <c r="I134" i="160"/>
  <c r="G79" i="160"/>
  <c r="I79" i="160"/>
  <c r="E136" i="8"/>
  <c r="O56" i="4"/>
  <c r="E159" i="8"/>
  <c r="O79" i="4"/>
  <c r="E147" i="8"/>
  <c r="O67" i="4"/>
  <c r="E135" i="8"/>
  <c r="O55" i="4"/>
  <c r="E148" i="8"/>
  <c r="O68" i="4"/>
  <c r="E134" i="8"/>
  <c r="O54" i="4"/>
  <c r="E173" i="8"/>
  <c r="O93" i="4"/>
  <c r="E157" i="8"/>
  <c r="O77" i="4"/>
  <c r="E145" i="8"/>
  <c r="O65" i="4"/>
  <c r="E133" i="8"/>
  <c r="O53" i="4"/>
  <c r="E146" i="8"/>
  <c r="O66" i="4"/>
  <c r="E156" i="8"/>
  <c r="O76" i="4"/>
  <c r="E144" i="8"/>
  <c r="O64" i="4"/>
  <c r="E132" i="8"/>
  <c r="O52" i="4"/>
  <c r="E155" i="8"/>
  <c r="O75" i="4"/>
  <c r="E143" i="8"/>
  <c r="O63" i="4"/>
  <c r="E131" i="8"/>
  <c r="O51" i="4"/>
  <c r="E154" i="8"/>
  <c r="O74" i="4"/>
  <c r="E142" i="8"/>
  <c r="O62" i="4"/>
  <c r="E130" i="8"/>
  <c r="O50" i="4"/>
  <c r="E153" i="8"/>
  <c r="O73" i="4"/>
  <c r="E141" i="8"/>
  <c r="O61" i="4"/>
  <c r="E127" i="8"/>
  <c r="O47" i="4"/>
  <c r="E160" i="8"/>
  <c r="O80" i="4"/>
  <c r="E152" i="8"/>
  <c r="O72" i="4"/>
  <c r="E140" i="8"/>
  <c r="O60" i="4"/>
  <c r="R126" i="8"/>
  <c r="E151" i="8"/>
  <c r="O71" i="4"/>
  <c r="E139" i="8"/>
  <c r="O59" i="4"/>
  <c r="R123" i="8"/>
  <c r="E150" i="8"/>
  <c r="O70" i="4"/>
  <c r="E138" i="8"/>
  <c r="O58" i="4"/>
  <c r="E158" i="8"/>
  <c r="O78" i="4"/>
  <c r="E161" i="8"/>
  <c r="O81" i="4"/>
  <c r="E149" i="8"/>
  <c r="O69" i="4"/>
  <c r="E137" i="8"/>
  <c r="O57" i="4"/>
  <c r="E37" i="8"/>
  <c r="O102" i="4"/>
  <c r="R203" i="8"/>
  <c r="O128" i="4"/>
  <c r="E46" i="8"/>
  <c r="E55" i="8"/>
  <c r="E54" i="8"/>
  <c r="E53" i="8"/>
  <c r="E232" i="8"/>
  <c r="O198" i="4"/>
  <c r="E230" i="8"/>
  <c r="O196" i="4"/>
  <c r="O159" i="4"/>
  <c r="E196" i="8"/>
  <c r="E185" i="8"/>
  <c r="O117" i="4"/>
  <c r="E167" i="8"/>
  <c r="O87" i="4"/>
  <c r="E166" i="8"/>
  <c r="O86" i="4"/>
  <c r="E165" i="8"/>
  <c r="O85" i="4"/>
  <c r="E164" i="8"/>
  <c r="O84" i="4"/>
  <c r="E162" i="8"/>
  <c r="O82" i="4"/>
  <c r="R127" i="8" l="1"/>
  <c r="R131" i="8"/>
  <c r="R130" i="8"/>
  <c r="R132" i="8"/>
  <c r="R196" i="8"/>
  <c r="L10" i="151" l="1"/>
  <c r="L5" i="151"/>
  <c r="K27" i="151"/>
  <c r="H27" i="151" s="1"/>
  <c r="K26" i="151"/>
  <c r="H26" i="151" s="1"/>
  <c r="K25" i="151"/>
  <c r="H25" i="151" s="1"/>
  <c r="K24" i="151"/>
  <c r="H24" i="151" s="1"/>
  <c r="K23" i="151"/>
  <c r="H23" i="151" s="1"/>
  <c r="K21" i="151"/>
  <c r="H21" i="151" s="1"/>
  <c r="K20" i="151"/>
  <c r="H20" i="151" s="1"/>
  <c r="K19" i="151"/>
  <c r="H19" i="151" s="1"/>
  <c r="K18" i="151"/>
  <c r="H18" i="151" s="1"/>
  <c r="K17" i="151"/>
  <c r="H17" i="151" s="1"/>
  <c r="K16" i="151"/>
  <c r="H16" i="151" s="1"/>
  <c r="K15" i="151"/>
  <c r="H15" i="151" s="1"/>
  <c r="K14" i="151"/>
  <c r="H14" i="151" s="1"/>
  <c r="L11" i="151"/>
  <c r="K11" i="151" s="1"/>
  <c r="H11" i="151" s="1"/>
  <c r="K10" i="151"/>
  <c r="H10" i="151" s="1"/>
  <c r="K9" i="151"/>
  <c r="H9" i="151" s="1"/>
  <c r="K8" i="151"/>
  <c r="H8" i="151" s="1"/>
  <c r="K36" i="28" s="1"/>
  <c r="K7" i="151"/>
  <c r="H7" i="151" s="1"/>
  <c r="H70" i="51"/>
  <c r="J171" i="28"/>
  <c r="J172" i="28"/>
  <c r="H71" i="51"/>
  <c r="J115" i="28"/>
  <c r="E108" i="5" s="1"/>
  <c r="H108" i="5" s="1"/>
  <c r="J117" i="28"/>
  <c r="H133" i="5" l="1"/>
  <c r="E430" i="8" s="1"/>
  <c r="E132" i="5"/>
  <c r="H132" i="5" s="1"/>
  <c r="E406" i="8"/>
  <c r="G406" i="8" s="1"/>
  <c r="E102" i="160"/>
  <c r="G102" i="160" s="1"/>
  <c r="K4" i="151"/>
  <c r="H4" i="151" s="1"/>
  <c r="K33" i="28" s="1"/>
  <c r="K12" i="151"/>
  <c r="K39" i="28"/>
  <c r="L6" i="151"/>
  <c r="F75" i="5"/>
  <c r="K22" i="151"/>
  <c r="H22" i="151" s="1"/>
  <c r="K41" i="28"/>
  <c r="F72" i="5" s="1"/>
  <c r="F61" i="5"/>
  <c r="K13" i="151"/>
  <c r="J114" i="28"/>
  <c r="E105" i="5" s="1"/>
  <c r="E125" i="160" l="1"/>
  <c r="E429" i="8"/>
  <c r="G429" i="8" s="1"/>
  <c r="K40" i="28"/>
  <c r="F69" i="5" s="1"/>
  <c r="G126" i="160"/>
  <c r="I126" i="160"/>
  <c r="G125" i="160"/>
  <c r="I125" i="160"/>
  <c r="K43" i="28"/>
  <c r="F73" i="5" s="1"/>
  <c r="K6" i="151"/>
  <c r="H6" i="151" s="1"/>
  <c r="K35" i="28" s="1"/>
  <c r="K5" i="151"/>
  <c r="H5" i="151" s="1"/>
  <c r="K34" i="28" s="1"/>
  <c r="F54" i="5" s="1"/>
  <c r="E106" i="5"/>
  <c r="H106" i="5" s="1"/>
  <c r="H105" i="5"/>
  <c r="L22" i="149"/>
  <c r="L20" i="149"/>
  <c r="L17" i="149"/>
  <c r="L16" i="149"/>
  <c r="K16" i="149" s="1"/>
  <c r="H16" i="149" s="1"/>
  <c r="L15" i="149"/>
  <c r="L24" i="149"/>
  <c r="L23" i="149"/>
  <c r="L21" i="149"/>
  <c r="L13" i="149"/>
  <c r="L12" i="149"/>
  <c r="L11" i="149"/>
  <c r="L10" i="149"/>
  <c r="L9" i="149"/>
  <c r="L6" i="149"/>
  <c r="L5" i="149"/>
  <c r="L4" i="149"/>
  <c r="K27" i="149"/>
  <c r="H27" i="149" s="1"/>
  <c r="K26" i="149"/>
  <c r="H26" i="149" s="1"/>
  <c r="K25" i="149"/>
  <c r="H25" i="149"/>
  <c r="K24" i="149"/>
  <c r="H24" i="149" s="1"/>
  <c r="K23" i="149"/>
  <c r="H23" i="149" s="1"/>
  <c r="K20" i="149"/>
  <c r="K19" i="149"/>
  <c r="H19" i="149" s="1"/>
  <c r="K18" i="149"/>
  <c r="H18" i="149"/>
  <c r="K17" i="149"/>
  <c r="H17" i="149" s="1"/>
  <c r="K15" i="149"/>
  <c r="H15" i="149" s="1"/>
  <c r="K14" i="149"/>
  <c r="H14" i="149" s="1"/>
  <c r="K13" i="149"/>
  <c r="H13" i="149"/>
  <c r="K12" i="149"/>
  <c r="H12" i="149" s="1"/>
  <c r="K11" i="149"/>
  <c r="H11" i="149"/>
  <c r="K10" i="149"/>
  <c r="H10" i="149" s="1"/>
  <c r="K9" i="149"/>
  <c r="H9" i="149" s="1"/>
  <c r="K8" i="149"/>
  <c r="H8" i="149" s="1"/>
  <c r="K7" i="149"/>
  <c r="H7" i="149"/>
  <c r="K6" i="149"/>
  <c r="H6" i="149" s="1"/>
  <c r="K5" i="149"/>
  <c r="H5" i="149" s="1"/>
  <c r="K4" i="149"/>
  <c r="H4" i="149" s="1"/>
  <c r="L13" i="53"/>
  <c r="J48" i="148"/>
  <c r="J47" i="148"/>
  <c r="J46" i="148"/>
  <c r="H95" i="51"/>
  <c r="H82" i="51"/>
  <c r="E121" i="5" s="1"/>
  <c r="H121" i="5" s="1"/>
  <c r="J173" i="28"/>
  <c r="H72" i="51"/>
  <c r="E101" i="5"/>
  <c r="H101" i="5" s="1"/>
  <c r="E137" i="5" l="1"/>
  <c r="H137" i="5" s="1"/>
  <c r="E419" i="8"/>
  <c r="E115" i="160"/>
  <c r="G115" i="160" s="1"/>
  <c r="E399" i="8"/>
  <c r="G399" i="8" s="1"/>
  <c r="E95" i="160"/>
  <c r="G95" i="160" s="1"/>
  <c r="E403" i="8"/>
  <c r="G403" i="8" s="1"/>
  <c r="E99" i="160"/>
  <c r="E404" i="8"/>
  <c r="G404" i="8" s="1"/>
  <c r="E100" i="160"/>
  <c r="G100" i="160" s="1"/>
  <c r="J113" i="28"/>
  <c r="E104" i="5" s="1"/>
  <c r="H104" i="5" s="1"/>
  <c r="H78" i="51"/>
  <c r="J174" i="28" s="1"/>
  <c r="H20" i="149"/>
  <c r="K21" i="149"/>
  <c r="H21" i="149" s="1"/>
  <c r="K22" i="149"/>
  <c r="H22" i="149" s="1"/>
  <c r="E130" i="160" l="1"/>
  <c r="E434" i="8"/>
  <c r="G434" i="8" s="1"/>
  <c r="E402" i="8"/>
  <c r="G402" i="8" s="1"/>
  <c r="E98" i="160"/>
  <c r="G98" i="160" s="1"/>
  <c r="G99" i="160"/>
  <c r="I99" i="160"/>
  <c r="J43" i="148"/>
  <c r="J88" i="148"/>
  <c r="J77" i="148"/>
  <c r="J72" i="148"/>
  <c r="J71" i="148"/>
  <c r="J65" i="148"/>
  <c r="J50" i="148"/>
  <c r="J49" i="148"/>
  <c r="G130" i="160" l="1"/>
  <c r="H73" i="51"/>
  <c r="J121" i="28" l="1"/>
  <c r="E110" i="5" s="1"/>
  <c r="H110" i="5" s="1"/>
  <c r="H50" i="51"/>
  <c r="H49" i="51"/>
  <c r="E408" i="8" l="1"/>
  <c r="G408" i="8" s="1"/>
  <c r="E104" i="160"/>
  <c r="G104" i="160" s="1"/>
  <c r="J116" i="28"/>
  <c r="E109" i="5" s="1"/>
  <c r="H109" i="5" s="1"/>
  <c r="A4" i="160"/>
  <c r="A2" i="152"/>
  <c r="J87" i="28"/>
  <c r="N87" i="28" s="1"/>
  <c r="E168" i="8" s="1"/>
  <c r="N89" i="28"/>
  <c r="E170" i="8" s="1"/>
  <c r="N88" i="28"/>
  <c r="E169" i="8" s="1"/>
  <c r="J82" i="28"/>
  <c r="E407" i="8" l="1"/>
  <c r="G407" i="8" s="1"/>
  <c r="E103" i="160"/>
  <c r="N82" i="28"/>
  <c r="E163" i="8" s="1"/>
  <c r="G103" i="160" l="1"/>
  <c r="I103" i="160"/>
  <c r="J15" i="9"/>
  <c r="N108" i="28" l="1"/>
  <c r="E42" i="8" s="1"/>
  <c r="E99" i="5"/>
  <c r="H99" i="5" s="1"/>
  <c r="E397" i="8" l="1"/>
  <c r="G397" i="8" s="1"/>
  <c r="E93" i="160"/>
  <c r="G93" i="160" s="1"/>
  <c r="N47" i="28"/>
  <c r="N21" i="28"/>
  <c r="E23" i="8" s="1"/>
  <c r="E128" i="8" l="1"/>
  <c r="O48" i="4"/>
  <c r="N22" i="28"/>
  <c r="E24" i="8" s="1"/>
  <c r="R128" i="8" l="1"/>
  <c r="E567" i="8"/>
  <c r="A567" i="8" l="1"/>
  <c r="D15" i="41"/>
  <c r="T7" i="8"/>
  <c r="U7" i="8" s="1"/>
  <c r="T30" i="8"/>
  <c r="U30" i="8" s="1"/>
  <c r="T44" i="8"/>
  <c r="U44" i="8" s="1"/>
  <c r="T96" i="8"/>
  <c r="U96" i="8" s="1"/>
  <c r="T175" i="8"/>
  <c r="U175" i="8" s="1"/>
  <c r="T194" i="8"/>
  <c r="U194" i="8" s="1"/>
  <c r="T316" i="8"/>
  <c r="U316" i="8" s="1"/>
  <c r="T340" i="8"/>
  <c r="U340" i="8" s="1"/>
  <c r="T392" i="8"/>
  <c r="U392" i="8" s="1"/>
  <c r="T555" i="8"/>
  <c r="U555" i="8" s="1"/>
  <c r="T558" i="8"/>
  <c r="U558" i="8" s="1"/>
  <c r="T560" i="8"/>
  <c r="U560" i="8" s="1"/>
  <c r="T561" i="8"/>
  <c r="U561" i="8" s="1"/>
  <c r="T576" i="8"/>
  <c r="U576" i="8" s="1"/>
  <c r="T579" i="8"/>
  <c r="U579" i="8" s="1"/>
  <c r="T582" i="8"/>
  <c r="U582" i="8" s="1"/>
  <c r="T597" i="8"/>
  <c r="U597" i="8" s="1"/>
  <c r="N555" i="8"/>
  <c r="R555" i="8" s="1"/>
  <c r="N414" i="8"/>
  <c r="R414" i="8" s="1"/>
  <c r="N393" i="8"/>
  <c r="R393" i="8" s="1"/>
  <c r="N392" i="8"/>
  <c r="R392" i="8" s="1"/>
  <c r="N341" i="8"/>
  <c r="R341" i="8" s="1"/>
  <c r="N340" i="8"/>
  <c r="R340" i="8" s="1"/>
  <c r="N319" i="8"/>
  <c r="R319" i="8" s="1"/>
  <c r="N318" i="8"/>
  <c r="R318" i="8" s="1"/>
  <c r="N317" i="8"/>
  <c r="R317" i="8" s="1"/>
  <c r="N316" i="8"/>
  <c r="R316" i="8" s="1"/>
  <c r="N195" i="8"/>
  <c r="R195" i="8" s="1"/>
  <c r="N194" i="8"/>
  <c r="R194" i="8" s="1"/>
  <c r="N176" i="8"/>
  <c r="R176" i="8" s="1"/>
  <c r="N175" i="8"/>
  <c r="R175" i="8" s="1"/>
  <c r="N113" i="8"/>
  <c r="R113" i="8" s="1"/>
  <c r="N111" i="8"/>
  <c r="R111" i="8" s="1"/>
  <c r="N96" i="8"/>
  <c r="R96" i="8" s="1"/>
  <c r="N45" i="8"/>
  <c r="R45" i="8" s="1"/>
  <c r="N44" i="8"/>
  <c r="R44" i="8" s="1"/>
  <c r="N31" i="8"/>
  <c r="R31" i="8" s="1"/>
  <c r="N30" i="8"/>
  <c r="R30" i="8" s="1"/>
  <c r="N8" i="8"/>
  <c r="R8" i="8" s="1"/>
  <c r="N7" i="8"/>
  <c r="R7" i="8" s="1"/>
  <c r="R584" i="8"/>
  <c r="R585" i="8"/>
  <c r="R586" i="8"/>
  <c r="R587" i="8"/>
  <c r="R588" i="8"/>
  <c r="R589" i="8"/>
  <c r="R590" i="8"/>
  <c r="R591" i="8"/>
  <c r="R592" i="8"/>
  <c r="R593" i="8"/>
  <c r="R594" i="8"/>
  <c r="R595" i="8"/>
  <c r="R596" i="8"/>
  <c r="R597" i="8"/>
  <c r="R598" i="8"/>
  <c r="R599" i="8"/>
  <c r="R600" i="8"/>
  <c r="R601" i="8"/>
  <c r="R582" i="8"/>
  <c r="R583" i="8"/>
  <c r="R6" i="8"/>
  <c r="R556" i="8"/>
  <c r="R558" i="8"/>
  <c r="R559" i="8"/>
  <c r="R560" i="8"/>
  <c r="R561" i="8"/>
  <c r="R562" i="8"/>
  <c r="R571" i="8"/>
  <c r="R576" i="8"/>
  <c r="R577" i="8"/>
  <c r="R579" i="8"/>
  <c r="R580" i="8"/>
  <c r="R5" i="8"/>
  <c r="T593" i="8"/>
  <c r="L345" i="8"/>
  <c r="L344" i="8"/>
  <c r="L343" i="8"/>
  <c r="L342" i="8"/>
  <c r="J425" i="8"/>
  <c r="J424" i="8"/>
  <c r="J423" i="8"/>
  <c r="J422" i="8"/>
  <c r="J421" i="8"/>
  <c r="J420" i="8"/>
  <c r="J419" i="8"/>
  <c r="J418" i="8"/>
  <c r="J417" i="8"/>
  <c r="J416" i="8"/>
  <c r="J415" i="8"/>
  <c r="J412" i="8"/>
  <c r="J411" i="8"/>
  <c r="J410" i="8"/>
  <c r="J409" i="8"/>
  <c r="J408" i="8"/>
  <c r="J407" i="8"/>
  <c r="J406" i="8"/>
  <c r="J405" i="8"/>
  <c r="J404" i="8"/>
  <c r="J403" i="8"/>
  <c r="J402" i="8"/>
  <c r="J400" i="8"/>
  <c r="J399" i="8"/>
  <c r="J398" i="8"/>
  <c r="J397" i="8"/>
  <c r="J396" i="8"/>
  <c r="J395" i="8"/>
  <c r="J394" i="8"/>
  <c r="J357" i="8"/>
  <c r="J356" i="8"/>
  <c r="J355" i="8"/>
  <c r="J354" i="8"/>
  <c r="J353" i="8"/>
  <c r="J352" i="8"/>
  <c r="J351" i="8"/>
  <c r="J350" i="8"/>
  <c r="J349" i="8"/>
  <c r="J348" i="8"/>
  <c r="J347" i="8"/>
  <c r="J346" i="8"/>
  <c r="J345" i="8"/>
  <c r="J344" i="8"/>
  <c r="J343" i="8"/>
  <c r="J342" i="8"/>
  <c r="J339" i="8"/>
  <c r="J338" i="8"/>
  <c r="J337" i="8"/>
  <c r="J336" i="8"/>
  <c r="J335" i="8"/>
  <c r="J334" i="8"/>
  <c r="J333" i="8"/>
  <c r="J332" i="8"/>
  <c r="J331" i="8"/>
  <c r="J330" i="8"/>
  <c r="J329" i="8"/>
  <c r="J328" i="8"/>
  <c r="J327" i="8"/>
  <c r="J325" i="8"/>
  <c r="J324" i="8"/>
  <c r="J323" i="8"/>
  <c r="J322" i="8"/>
  <c r="J321" i="8"/>
  <c r="J320" i="8"/>
  <c r="J206" i="8"/>
  <c r="J205" i="8"/>
  <c r="J204" i="8"/>
  <c r="J202" i="8"/>
  <c r="J200" i="8"/>
  <c r="J199" i="8"/>
  <c r="J198" i="8"/>
  <c r="J197" i="8"/>
  <c r="J193" i="8"/>
  <c r="J192" i="8"/>
  <c r="J191" i="8"/>
  <c r="J190" i="8"/>
  <c r="J189" i="8"/>
  <c r="J188" i="8"/>
  <c r="J187" i="8"/>
  <c r="J186" i="8"/>
  <c r="J185" i="8"/>
  <c r="J184" i="8"/>
  <c r="J183" i="8"/>
  <c r="J182" i="8"/>
  <c r="J181" i="8"/>
  <c r="J180" i="8"/>
  <c r="J179" i="8"/>
  <c r="J178" i="8"/>
  <c r="J177" i="8"/>
  <c r="J162" i="8"/>
  <c r="J161" i="8"/>
  <c r="J72" i="8"/>
  <c r="J42" i="8"/>
  <c r="J39" i="8"/>
  <c r="J38" i="8"/>
  <c r="J37" i="8"/>
  <c r="J114" i="8"/>
  <c r="S7" i="8"/>
  <c r="S30" i="8"/>
  <c r="S44" i="8"/>
  <c r="S175" i="8"/>
  <c r="S194" i="8"/>
  <c r="S316" i="8"/>
  <c r="S340" i="8"/>
  <c r="S392" i="8"/>
  <c r="S555" i="8"/>
  <c r="S558" i="8"/>
  <c r="S560" i="8"/>
  <c r="S561" i="8"/>
  <c r="S576" i="8"/>
  <c r="S579" i="8"/>
  <c r="S597" i="8"/>
  <c r="P593" i="8"/>
  <c r="N581" i="8"/>
  <c r="N578" i="8"/>
  <c r="N570" i="8"/>
  <c r="N569" i="8"/>
  <c r="N568" i="8"/>
  <c r="N567" i="8"/>
  <c r="R567" i="8" s="1"/>
  <c r="N566" i="8"/>
  <c r="N565" i="8"/>
  <c r="N564" i="8"/>
  <c r="E578" i="8"/>
  <c r="E570" i="8"/>
  <c r="E569" i="8"/>
  <c r="E568" i="8"/>
  <c r="E566" i="8"/>
  <c r="E565" i="8"/>
  <c r="E564" i="8"/>
  <c r="N557" i="8"/>
  <c r="A564" i="8" l="1"/>
  <c r="D12" i="41"/>
  <c r="A568" i="8"/>
  <c r="D16" i="41"/>
  <c r="A565" i="8"/>
  <c r="D13" i="41"/>
  <c r="A570" i="8"/>
  <c r="D18" i="41"/>
  <c r="A566" i="8"/>
  <c r="D14" i="41"/>
  <c r="A569" i="8"/>
  <c r="D17" i="41"/>
  <c r="R566" i="8"/>
  <c r="U593" i="8"/>
  <c r="R564" i="8"/>
  <c r="R568" i="8"/>
  <c r="R565" i="8"/>
  <c r="R578" i="8"/>
  <c r="R570" i="8"/>
  <c r="R569" i="8"/>
  <c r="E557" i="8"/>
  <c r="D10" i="41" s="1"/>
  <c r="R581" i="8"/>
  <c r="R557" i="8" l="1"/>
  <c r="L42" i="8" l="1"/>
  <c r="L39" i="8"/>
  <c r="J77" i="51"/>
  <c r="H134" i="5" s="1"/>
  <c r="E431" i="8" l="1"/>
  <c r="G431" i="8" s="1"/>
  <c r="E127" i="160"/>
  <c r="G127" i="160" s="1"/>
  <c r="D37" i="5"/>
  <c r="C37" i="5"/>
  <c r="B37" i="5"/>
  <c r="A37" i="5"/>
  <c r="D36" i="5"/>
  <c r="C36" i="5"/>
  <c r="B36" i="5"/>
  <c r="A36" i="5"/>
  <c r="G17" i="5" l="1"/>
  <c r="H33" i="5" l="1"/>
  <c r="H18" i="5"/>
  <c r="H17" i="5"/>
  <c r="H14" i="5"/>
  <c r="H13" i="5"/>
  <c r="H9" i="5"/>
  <c r="D10" i="5"/>
  <c r="C10" i="5"/>
  <c r="B10" i="5"/>
  <c r="A10" i="5"/>
  <c r="G24" i="5" l="1"/>
  <c r="H24" i="5" s="1"/>
  <c r="G10" i="5"/>
  <c r="H10" i="5" s="1"/>
  <c r="G8" i="5"/>
  <c r="G25" i="5" l="1"/>
  <c r="H25" i="5" s="1"/>
  <c r="H8" i="5"/>
  <c r="K416" i="8" l="1"/>
  <c r="M416" i="8"/>
  <c r="L416" i="8"/>
  <c r="Q416" i="8"/>
  <c r="N416" i="8" l="1"/>
  <c r="R416" i="8" l="1"/>
  <c r="N345" i="8" l="1"/>
  <c r="R345" i="8" l="1"/>
  <c r="K27" i="87" l="1"/>
  <c r="H27" i="87" s="1"/>
  <c r="K26" i="87"/>
  <c r="H26" i="87" s="1"/>
  <c r="K25" i="87"/>
  <c r="H25" i="87" s="1"/>
  <c r="K24" i="87"/>
  <c r="H24" i="87" s="1"/>
  <c r="K23" i="87"/>
  <c r="H23" i="87" s="1"/>
  <c r="K22" i="87"/>
  <c r="H22" i="87" s="1"/>
  <c r="K21" i="87"/>
  <c r="H21" i="87" s="1"/>
  <c r="K20" i="87"/>
  <c r="H19" i="87"/>
  <c r="L36" i="28" s="1"/>
  <c r="H18" i="87"/>
  <c r="K17" i="87"/>
  <c r="H17" i="87" s="1"/>
  <c r="K16" i="87"/>
  <c r="H16" i="87" s="1"/>
  <c r="K15" i="87"/>
  <c r="H15" i="87" s="1"/>
  <c r="K14" i="87"/>
  <c r="H14" i="87" s="1"/>
  <c r="K13" i="87"/>
  <c r="H13" i="87" s="1"/>
  <c r="K12" i="87"/>
  <c r="H12" i="87" s="1"/>
  <c r="K11" i="87"/>
  <c r="H11" i="87" s="1"/>
  <c r="K10" i="87"/>
  <c r="H10" i="87" s="1"/>
  <c r="K9" i="87"/>
  <c r="H9" i="87" s="1"/>
  <c r="K8" i="87"/>
  <c r="H8" i="87" s="1"/>
  <c r="K7" i="87"/>
  <c r="H7" i="87" s="1"/>
  <c r="K6" i="87"/>
  <c r="H6" i="87" s="1"/>
  <c r="K5" i="87"/>
  <c r="H5" i="87" s="1"/>
  <c r="K4" i="87"/>
  <c r="H4" i="87" s="1"/>
  <c r="L33" i="28" s="1"/>
  <c r="G61" i="5" l="1"/>
  <c r="L35" i="28"/>
  <c r="G75" i="5"/>
  <c r="L40" i="28"/>
  <c r="L34" i="28"/>
  <c r="G54" i="5" s="1"/>
  <c r="L39" i="28"/>
  <c r="L43" i="28"/>
  <c r="G73" i="5" s="1"/>
  <c r="H20" i="87"/>
  <c r="L41" i="28" s="1"/>
  <c r="G72" i="5" s="1"/>
  <c r="G69" i="5" l="1"/>
  <c r="J216" i="28"/>
  <c r="N216" i="28" s="1"/>
  <c r="J217" i="28"/>
  <c r="N217" i="28" s="1"/>
  <c r="J218" i="28"/>
  <c r="N218" i="28" s="1"/>
  <c r="J215" i="28"/>
  <c r="N215" i="28" s="1"/>
  <c r="E244" i="8" s="1"/>
  <c r="N165" i="28"/>
  <c r="E199" i="8" s="1"/>
  <c r="E246" i="8" l="1"/>
  <c r="O212" i="4"/>
  <c r="E247" i="8"/>
  <c r="O213" i="4"/>
  <c r="E245" i="8"/>
  <c r="O211" i="4"/>
  <c r="N172" i="28"/>
  <c r="J76" i="51" l="1"/>
  <c r="N106" i="28" l="1"/>
  <c r="E40" i="8" s="1"/>
  <c r="N205" i="8" l="1"/>
  <c r="N38" i="8"/>
  <c r="N162" i="8"/>
  <c r="N186" i="8"/>
  <c r="N35" i="8"/>
  <c r="R35" i="8" s="1"/>
  <c r="N180" i="8"/>
  <c r="N72" i="8"/>
  <c r="N178" i="8"/>
  <c r="N198" i="8"/>
  <c r="N9" i="8"/>
  <c r="N204" i="8"/>
  <c r="N206" i="8"/>
  <c r="N32" i="8"/>
  <c r="N179" i="8"/>
  <c r="N181" i="8"/>
  <c r="N189" i="8"/>
  <c r="N10" i="8"/>
  <c r="N37" i="8"/>
  <c r="N197" i="8"/>
  <c r="N188" i="8"/>
  <c r="N11" i="8"/>
  <c r="N114" i="8"/>
  <c r="N36" i="8"/>
  <c r="N43" i="8"/>
  <c r="R72" i="8" l="1"/>
  <c r="R162" i="8"/>
  <c r="R9" i="8"/>
  <c r="R32" i="8"/>
  <c r="R206" i="8"/>
  <c r="R43" i="8"/>
  <c r="R38" i="8"/>
  <c r="R10" i="8"/>
  <c r="R36" i="8"/>
  <c r="R11" i="8"/>
  <c r="R197" i="8"/>
  <c r="R37" i="8"/>
  <c r="N39" i="8" l="1"/>
  <c r="N42" i="8"/>
  <c r="R42" i="8" l="1"/>
  <c r="R39" i="8"/>
  <c r="N170" i="28"/>
  <c r="E204" i="8" s="1"/>
  <c r="R204" i="8" l="1"/>
  <c r="K39" i="8"/>
  <c r="M39" i="8"/>
  <c r="K42" i="8"/>
  <c r="M42" i="8"/>
  <c r="N402" i="8" l="1"/>
  <c r="D39" i="5"/>
  <c r="C39" i="5"/>
  <c r="B39" i="5"/>
  <c r="A39" i="5"/>
  <c r="D38" i="5"/>
  <c r="C38" i="5"/>
  <c r="B38" i="5"/>
  <c r="A38" i="5"/>
  <c r="H39" i="5"/>
  <c r="H38" i="5"/>
  <c r="H36" i="5" l="1"/>
  <c r="H37" i="5"/>
  <c r="R402" i="8"/>
  <c r="D26" i="5" l="1"/>
  <c r="C26" i="5"/>
  <c r="B26" i="5"/>
  <c r="A26" i="5"/>
  <c r="D13" i="5"/>
  <c r="C13" i="5"/>
  <c r="B13" i="5"/>
  <c r="A13" i="5"/>
  <c r="G30" i="5" l="1"/>
  <c r="H30" i="5" s="1"/>
  <c r="G31" i="5"/>
  <c r="H31" i="5" s="1"/>
  <c r="G29" i="5"/>
  <c r="H29" i="5" s="1"/>
  <c r="G32" i="5"/>
  <c r="H32" i="5" s="1"/>
  <c r="G12" i="5"/>
  <c r="H12" i="5" s="1"/>
  <c r="G11" i="5"/>
  <c r="H11" i="5" s="1"/>
  <c r="G26" i="5"/>
  <c r="H26" i="5" s="1"/>
  <c r="G28" i="5"/>
  <c r="H28" i="5" s="1"/>
  <c r="G15" i="5"/>
  <c r="G23" i="5"/>
  <c r="H23" i="5" s="1"/>
  <c r="I26" i="5"/>
  <c r="G19" i="5" l="1"/>
  <c r="H19" i="5" s="1"/>
  <c r="G16" i="5"/>
  <c r="H16" i="5" s="1"/>
  <c r="H15" i="5"/>
  <c r="G22" i="5"/>
  <c r="H22" i="5" s="1"/>
  <c r="G27" i="5" l="1"/>
  <c r="H27" i="5" s="1"/>
  <c r="G20" i="5"/>
  <c r="H20" i="5" s="1"/>
  <c r="L12" i="5"/>
  <c r="G21" i="5"/>
  <c r="H21" i="5" s="1"/>
  <c r="N191" i="8" l="1"/>
  <c r="N178" i="28" l="1"/>
  <c r="E212" i="8" s="1"/>
  <c r="Q338" i="8" l="1"/>
  <c r="M338" i="8"/>
  <c r="Q339" i="8"/>
  <c r="K339" i="8"/>
  <c r="K338" i="8"/>
  <c r="L339" i="8"/>
  <c r="L338" i="8"/>
  <c r="M339" i="8"/>
  <c r="N573" i="8" l="1"/>
  <c r="R573" i="8" l="1"/>
  <c r="L36" i="8" l="1"/>
  <c r="K193" i="8"/>
  <c r="M36" i="8"/>
  <c r="L193" i="8"/>
  <c r="J36" i="8"/>
  <c r="M193" i="8"/>
  <c r="K36" i="8"/>
  <c r="N167" i="28"/>
  <c r="N119" i="28"/>
  <c r="O164" i="4" l="1"/>
  <c r="E201" i="8"/>
  <c r="E186" i="8"/>
  <c r="O118" i="4"/>
  <c r="N193" i="8"/>
  <c r="R201" i="8" l="1"/>
  <c r="R186" i="8"/>
  <c r="R193" i="8"/>
  <c r="I39" i="5" l="1"/>
  <c r="I38" i="5" l="1"/>
  <c r="O338" i="8"/>
  <c r="N572" i="8"/>
  <c r="A574" i="8"/>
  <c r="N574" i="8"/>
  <c r="I36" i="5"/>
  <c r="T416" i="8"/>
  <c r="O416" i="8"/>
  <c r="P416" i="8" s="1"/>
  <c r="I37" i="5"/>
  <c r="O339" i="8"/>
  <c r="D30" i="4"/>
  <c r="C30" i="4"/>
  <c r="B30" i="4"/>
  <c r="A30" i="4"/>
  <c r="D20" i="41" l="1"/>
  <c r="R572" i="8"/>
  <c r="U416" i="8"/>
  <c r="R574" i="8"/>
  <c r="S416" i="8"/>
  <c r="N417" i="8" l="1"/>
  <c r="R417" i="8" l="1"/>
  <c r="N114" i="28" l="1"/>
  <c r="E181" i="8" s="1"/>
  <c r="R181" i="8" l="1"/>
  <c r="M188" i="8"/>
  <c r="K188" i="8"/>
  <c r="L188" i="8"/>
  <c r="U24" i="41" l="1"/>
  <c r="J70" i="51" l="1"/>
  <c r="A29" i="4" l="1"/>
  <c r="B29" i="4"/>
  <c r="C29" i="4"/>
  <c r="D29" i="4"/>
  <c r="A31" i="4"/>
  <c r="B31" i="4"/>
  <c r="C31" i="4"/>
  <c r="D31" i="4"/>
  <c r="D35" i="5" l="1"/>
  <c r="C35" i="5"/>
  <c r="B35" i="5"/>
  <c r="A35" i="5"/>
  <c r="D34" i="5"/>
  <c r="C34" i="5"/>
  <c r="B34" i="5"/>
  <c r="A34" i="5"/>
  <c r="D33" i="5"/>
  <c r="C33" i="5"/>
  <c r="B33" i="5"/>
  <c r="A33" i="5"/>
  <c r="D31" i="5"/>
  <c r="C31" i="5"/>
  <c r="B31" i="5"/>
  <c r="A31" i="5"/>
  <c r="D28" i="5"/>
  <c r="C28" i="5"/>
  <c r="B28" i="5"/>
  <c r="A28" i="5"/>
  <c r="D27" i="5"/>
  <c r="C27" i="5"/>
  <c r="B27" i="5"/>
  <c r="A27" i="5"/>
  <c r="H34" i="5" l="1"/>
  <c r="H35" i="5" l="1"/>
  <c r="Q402" i="8" l="1"/>
  <c r="M402" i="8"/>
  <c r="K402" i="8"/>
  <c r="L402" i="8"/>
  <c r="Q398" i="8" l="1"/>
  <c r="Q405" i="8" l="1"/>
  <c r="K43" i="8" l="1"/>
  <c r="M32" i="8"/>
  <c r="L178" i="8"/>
  <c r="J43" i="8"/>
  <c r="M37" i="8"/>
  <c r="L35" i="8"/>
  <c r="L32" i="8"/>
  <c r="J45" i="8"/>
  <c r="M178" i="8"/>
  <c r="K187" i="8"/>
  <c r="K190" i="8"/>
  <c r="L191" i="8"/>
  <c r="M35" i="8"/>
  <c r="M72" i="8"/>
  <c r="M185" i="8"/>
  <c r="M189" i="8"/>
  <c r="M43" i="8"/>
  <c r="M38" i="8"/>
  <c r="L37" i="8"/>
  <c r="K35" i="8"/>
  <c r="K32" i="8"/>
  <c r="K72" i="8"/>
  <c r="K185" i="8"/>
  <c r="L187" i="8"/>
  <c r="K189" i="8"/>
  <c r="L190" i="8"/>
  <c r="M191" i="8"/>
  <c r="K38" i="8"/>
  <c r="J31" i="8"/>
  <c r="K191" i="8"/>
  <c r="L43" i="8"/>
  <c r="L38" i="8"/>
  <c r="K37" i="8"/>
  <c r="J35" i="8"/>
  <c r="J32" i="8"/>
  <c r="L72" i="8"/>
  <c r="K178" i="8"/>
  <c r="L185" i="8"/>
  <c r="M187" i="8"/>
  <c r="L189" i="8"/>
  <c r="M190" i="8"/>
  <c r="J214" i="28" l="1"/>
  <c r="N214" i="28" l="1"/>
  <c r="E243" i="8" s="1"/>
  <c r="E154" i="5"/>
  <c r="H154" i="5" s="1"/>
  <c r="N418" i="8"/>
  <c r="N395" i="8"/>
  <c r="N397" i="8"/>
  <c r="N400" i="8"/>
  <c r="N405" i="8"/>
  <c r="M398" i="8"/>
  <c r="L405" i="8"/>
  <c r="M405" i="8"/>
  <c r="K398" i="8"/>
  <c r="K405" i="8"/>
  <c r="L398" i="8"/>
  <c r="E451" i="8" l="1"/>
  <c r="G451" i="8" s="1"/>
  <c r="E147" i="160"/>
  <c r="R405" i="8"/>
  <c r="R397" i="8"/>
  <c r="R395" i="8"/>
  <c r="R400" i="8"/>
  <c r="R418" i="8"/>
  <c r="L325" i="8"/>
  <c r="L333" i="8"/>
  <c r="K333" i="8"/>
  <c r="L327" i="8"/>
  <c r="M325" i="8"/>
  <c r="M327" i="8"/>
  <c r="M333" i="8"/>
  <c r="K325" i="8"/>
  <c r="K327" i="8"/>
  <c r="Q325" i="8"/>
  <c r="Q327" i="8"/>
  <c r="Q333" i="8"/>
  <c r="G147" i="160" l="1"/>
  <c r="I147" i="160"/>
  <c r="D32" i="5"/>
  <c r="C32" i="5"/>
  <c r="B32" i="5"/>
  <c r="A32" i="5"/>
  <c r="D25" i="5"/>
  <c r="C25" i="5"/>
  <c r="B25" i="5"/>
  <c r="A25" i="5"/>
  <c r="D24" i="5"/>
  <c r="C24" i="5"/>
  <c r="B24" i="5"/>
  <c r="A24" i="5"/>
  <c r="D8" i="5"/>
  <c r="C8" i="5"/>
  <c r="B8" i="5"/>
  <c r="A8" i="5"/>
  <c r="J180" i="28" l="1"/>
  <c r="N171" i="28"/>
  <c r="E205" i="8" s="1"/>
  <c r="N175" i="28"/>
  <c r="E209" i="8" s="1"/>
  <c r="N176" i="28"/>
  <c r="E210" i="8" s="1"/>
  <c r="N180" i="28" l="1"/>
  <c r="E214" i="8" s="1"/>
  <c r="E139" i="5"/>
  <c r="H139" i="5" s="1"/>
  <c r="R205" i="8"/>
  <c r="N120" i="28"/>
  <c r="E187" i="8" s="1"/>
  <c r="J125" i="28"/>
  <c r="J122" i="28"/>
  <c r="N117" i="28"/>
  <c r="E184" i="8" s="1"/>
  <c r="E436" i="8" l="1"/>
  <c r="G436" i="8" s="1"/>
  <c r="G414" i="8" s="1"/>
  <c r="E132" i="160"/>
  <c r="N122" i="28"/>
  <c r="E189" i="8" s="1"/>
  <c r="R189" i="8" s="1"/>
  <c r="E111" i="5"/>
  <c r="H111" i="5" s="1"/>
  <c r="N125" i="28"/>
  <c r="E192" i="8" s="1"/>
  <c r="E114" i="5"/>
  <c r="H114" i="5" s="1"/>
  <c r="E412" i="8" s="1"/>
  <c r="G412" i="8" s="1"/>
  <c r="N398" i="8"/>
  <c r="N177" i="8"/>
  <c r="N166" i="28"/>
  <c r="E200" i="8" s="1"/>
  <c r="N168" i="28"/>
  <c r="E202" i="8" s="1"/>
  <c r="J164" i="28"/>
  <c r="N164" i="28" s="1"/>
  <c r="E198" i="8" s="1"/>
  <c r="I132" i="160" l="1"/>
  <c r="G132" i="160"/>
  <c r="E409" i="8"/>
  <c r="G409" i="8" s="1"/>
  <c r="E105" i="160"/>
  <c r="G105" i="160" s="1"/>
  <c r="R198" i="8"/>
  <c r="N184" i="8"/>
  <c r="N185" i="8"/>
  <c r="N161" i="8"/>
  <c r="N407" i="8"/>
  <c r="R398" i="8"/>
  <c r="J48" i="28"/>
  <c r="N48" i="28" s="1"/>
  <c r="E129" i="8" s="1"/>
  <c r="R129" i="8" l="1"/>
  <c r="R184" i="8"/>
  <c r="R185" i="8"/>
  <c r="R161" i="8"/>
  <c r="N192" i="8"/>
  <c r="N190" i="8"/>
  <c r="R407" i="8"/>
  <c r="N394" i="8"/>
  <c r="R394" i="8" l="1"/>
  <c r="R192" i="8"/>
  <c r="J82" i="51"/>
  <c r="N182" i="8" l="1"/>
  <c r="N411" i="8"/>
  <c r="K27" i="53" l="1"/>
  <c r="K26" i="53"/>
  <c r="K25" i="53"/>
  <c r="K24" i="53"/>
  <c r="K23" i="53"/>
  <c r="K22" i="53"/>
  <c r="K21" i="53"/>
  <c r="K20" i="53"/>
  <c r="K19" i="53"/>
  <c r="K18" i="53"/>
  <c r="K17" i="53"/>
  <c r="K16" i="53"/>
  <c r="K15" i="53"/>
  <c r="H15" i="53" s="1"/>
  <c r="K14" i="53"/>
  <c r="H14" i="53" s="1"/>
  <c r="K13" i="53"/>
  <c r="H13" i="53" s="1"/>
  <c r="K12" i="53"/>
  <c r="H12" i="53" s="1"/>
  <c r="K11" i="53"/>
  <c r="H11" i="53" s="1"/>
  <c r="K10" i="53"/>
  <c r="H10" i="53" s="1"/>
  <c r="K9" i="53"/>
  <c r="H9" i="53" s="1"/>
  <c r="K8" i="53"/>
  <c r="H8" i="53" s="1"/>
  <c r="K7" i="53"/>
  <c r="H7" i="53" s="1"/>
  <c r="K6" i="53"/>
  <c r="H6" i="53" s="1"/>
  <c r="K5" i="53"/>
  <c r="H5" i="53" s="1"/>
  <c r="K4" i="53"/>
  <c r="H4" i="53" s="1"/>
  <c r="N12" i="28" l="1"/>
  <c r="E14" i="8" s="1"/>
  <c r="BG93" i="50" l="1"/>
  <c r="I34" i="5" l="1"/>
  <c r="I28" i="5"/>
  <c r="I13" i="5" l="1"/>
  <c r="O398" i="8"/>
  <c r="P398" i="8" s="1"/>
  <c r="O402" i="8"/>
  <c r="P402" i="8" s="1"/>
  <c r="I35" i="5"/>
  <c r="O333" i="8" l="1"/>
  <c r="T398" i="8"/>
  <c r="U398" i="8" s="1"/>
  <c r="T402" i="8"/>
  <c r="U402" i="8" s="1"/>
  <c r="S402" i="8"/>
  <c r="S398" i="8"/>
  <c r="O327" i="8"/>
  <c r="D9" i="5"/>
  <c r="C9" i="5"/>
  <c r="B9" i="5"/>
  <c r="A9" i="5"/>
  <c r="D30" i="5" l="1"/>
  <c r="C30" i="5"/>
  <c r="B30" i="5"/>
  <c r="D29" i="5"/>
  <c r="C29" i="5"/>
  <c r="B29" i="5"/>
  <c r="A30" i="5"/>
  <c r="A29" i="5"/>
  <c r="D16" i="5"/>
  <c r="D15" i="5"/>
  <c r="C15" i="5"/>
  <c r="C16" i="5"/>
  <c r="B16" i="5"/>
  <c r="B15" i="5"/>
  <c r="A16" i="5"/>
  <c r="A15" i="5"/>
  <c r="D14" i="5"/>
  <c r="C14" i="5"/>
  <c r="B14" i="5"/>
  <c r="A14" i="5"/>
  <c r="D23" i="5" l="1"/>
  <c r="C23" i="5"/>
  <c r="B23" i="5"/>
  <c r="A23" i="5"/>
  <c r="D22" i="5"/>
  <c r="C22" i="5"/>
  <c r="B22" i="5"/>
  <c r="A22" i="5"/>
  <c r="D21" i="5"/>
  <c r="C21" i="5"/>
  <c r="B21" i="5"/>
  <c r="A21" i="5"/>
  <c r="D20" i="5"/>
  <c r="C20" i="5"/>
  <c r="B20" i="5"/>
  <c r="A20" i="5"/>
  <c r="D19" i="5"/>
  <c r="C19" i="5"/>
  <c r="B19" i="5"/>
  <c r="A19" i="5"/>
  <c r="D18" i="5"/>
  <c r="C18" i="5"/>
  <c r="B18" i="5"/>
  <c r="A18" i="5"/>
  <c r="D17" i="5"/>
  <c r="C17" i="5"/>
  <c r="B17" i="5"/>
  <c r="A17" i="5"/>
  <c r="D12" i="5"/>
  <c r="D11" i="5"/>
  <c r="B11" i="5"/>
  <c r="C11" i="5"/>
  <c r="B12" i="5"/>
  <c r="C12" i="5"/>
  <c r="A12" i="5"/>
  <c r="A11" i="5"/>
  <c r="A7" i="5"/>
  <c r="E22" i="11" l="1"/>
  <c r="E21" i="11"/>
  <c r="E20" i="11"/>
  <c r="E18" i="11"/>
  <c r="E17" i="11"/>
  <c r="E15" i="11"/>
  <c r="E14" i="11"/>
  <c r="E12" i="11"/>
  <c r="E11" i="11"/>
  <c r="E9" i="11"/>
  <c r="E8" i="11"/>
  <c r="E5" i="11"/>
  <c r="M323" i="8" l="1"/>
  <c r="Q323" i="8"/>
  <c r="K323" i="8"/>
  <c r="L323" i="8"/>
  <c r="L321" i="8" l="1"/>
  <c r="K321" i="8"/>
  <c r="M321" i="8"/>
  <c r="Q321" i="8"/>
  <c r="N187" i="8" l="1"/>
  <c r="R187" i="8" l="1"/>
  <c r="J11" i="8" l="1"/>
  <c r="J9" i="8"/>
  <c r="J10" i="8"/>
  <c r="A27" i="4" l="1"/>
  <c r="A28" i="4"/>
  <c r="N396" i="8" l="1"/>
  <c r="A8" i="4"/>
  <c r="A9" i="4"/>
  <c r="A10" i="4"/>
  <c r="A11" i="4"/>
  <c r="A12" i="4"/>
  <c r="A13" i="4"/>
  <c r="A14" i="4"/>
  <c r="A15" i="4"/>
  <c r="A16" i="4"/>
  <c r="A18" i="4"/>
  <c r="A19" i="4"/>
  <c r="A21" i="4"/>
  <c r="A22" i="4"/>
  <c r="A23" i="4"/>
  <c r="A24" i="4"/>
  <c r="A25" i="4"/>
  <c r="A26" i="4"/>
  <c r="R396" i="8" l="1"/>
  <c r="D28" i="4"/>
  <c r="C28" i="4"/>
  <c r="B28" i="4"/>
  <c r="D27" i="4"/>
  <c r="C27" i="4"/>
  <c r="B27" i="4"/>
  <c r="B9" i="4"/>
  <c r="C9" i="4"/>
  <c r="D9" i="4"/>
  <c r="B10" i="4"/>
  <c r="C10" i="4"/>
  <c r="D10" i="4"/>
  <c r="B11" i="4"/>
  <c r="C11" i="4"/>
  <c r="D11" i="4"/>
  <c r="B12" i="4"/>
  <c r="C12" i="4"/>
  <c r="D12" i="4"/>
  <c r="B13" i="4"/>
  <c r="C13" i="4"/>
  <c r="D13" i="4"/>
  <c r="B14" i="4"/>
  <c r="C14" i="4"/>
  <c r="D14" i="4"/>
  <c r="B15" i="4"/>
  <c r="C15" i="4"/>
  <c r="D15" i="4"/>
  <c r="B16" i="4"/>
  <c r="C16" i="4"/>
  <c r="D16" i="4"/>
  <c r="B18" i="4"/>
  <c r="C18" i="4"/>
  <c r="D18" i="4"/>
  <c r="B19" i="4"/>
  <c r="C19" i="4"/>
  <c r="H262" i="8" s="1"/>
  <c r="D19" i="4"/>
  <c r="B20" i="4"/>
  <c r="C20" i="4"/>
  <c r="D20" i="4"/>
  <c r="B21" i="4"/>
  <c r="C21" i="4"/>
  <c r="D21" i="4"/>
  <c r="B22" i="4"/>
  <c r="C22" i="4"/>
  <c r="D22" i="4"/>
  <c r="B23" i="4"/>
  <c r="C23" i="4"/>
  <c r="D23" i="4"/>
  <c r="B24" i="4"/>
  <c r="C24" i="4"/>
  <c r="D24" i="4"/>
  <c r="B25" i="4"/>
  <c r="C25" i="4"/>
  <c r="D25" i="4"/>
  <c r="B26" i="4"/>
  <c r="C26" i="4"/>
  <c r="D26" i="4"/>
  <c r="Q328" i="8" l="1"/>
  <c r="K331" i="8"/>
  <c r="Q329" i="8"/>
  <c r="Q336" i="8"/>
  <c r="Q332" i="8"/>
  <c r="Q322" i="8"/>
  <c r="Q331" i="8"/>
  <c r="Q330" i="8"/>
  <c r="Q335" i="8"/>
  <c r="Q324" i="8"/>
  <c r="L322" i="8"/>
  <c r="L331" i="8"/>
  <c r="Q337" i="8"/>
  <c r="K322" i="8"/>
  <c r="Q334" i="8"/>
  <c r="Q320" i="8"/>
  <c r="M322" i="8"/>
  <c r="M331" i="8"/>
  <c r="H24" i="53"/>
  <c r="H18" i="53"/>
  <c r="H17" i="53"/>
  <c r="H16" i="53"/>
  <c r="J34" i="28" s="1"/>
  <c r="J35" i="28"/>
  <c r="N35" i="28" s="1"/>
  <c r="R116" i="8" s="1"/>
  <c r="J33" i="28"/>
  <c r="E54" i="5" s="1"/>
  <c r="H54" i="5" s="1"/>
  <c r="J207" i="28"/>
  <c r="N207" i="28" s="1"/>
  <c r="E236" i="8" s="1"/>
  <c r="N111" i="28"/>
  <c r="E178" i="8" s="1"/>
  <c r="D8" i="4"/>
  <c r="C8" i="4"/>
  <c r="F125" i="8" s="1"/>
  <c r="G125" i="8" s="1"/>
  <c r="B8" i="4"/>
  <c r="J213" i="28"/>
  <c r="N213" i="28" s="1"/>
  <c r="E242" i="8" s="1"/>
  <c r="J212" i="28"/>
  <c r="N212" i="28" s="1"/>
  <c r="J211" i="28"/>
  <c r="N211" i="28" s="1"/>
  <c r="E240" i="8" s="1"/>
  <c r="J210" i="28"/>
  <c r="N210" i="28" s="1"/>
  <c r="J209" i="28"/>
  <c r="N209" i="28" s="1"/>
  <c r="E238" i="8" s="1"/>
  <c r="J208" i="28"/>
  <c r="J206" i="28"/>
  <c r="J205" i="28"/>
  <c r="N205" i="28" s="1"/>
  <c r="E234" i="8" s="1"/>
  <c r="N112" i="28"/>
  <c r="E179" i="8" s="1"/>
  <c r="N110" i="28"/>
  <c r="E177" i="8" s="1"/>
  <c r="G593" i="8"/>
  <c r="D23" i="41"/>
  <c r="D22" i="41"/>
  <c r="A2" i="41"/>
  <c r="E18" i="9"/>
  <c r="D5" i="9"/>
  <c r="B4" i="10"/>
  <c r="A3" i="11"/>
  <c r="D4" i="13"/>
  <c r="B25" i="30"/>
  <c r="B23" i="30"/>
  <c r="B19" i="30"/>
  <c r="B17" i="30"/>
  <c r="B15" i="30"/>
  <c r="B13" i="30"/>
  <c r="B11" i="30"/>
  <c r="B9" i="30"/>
  <c r="B7" i="30"/>
  <c r="E54" i="160" l="1"/>
  <c r="E352" i="8"/>
  <c r="G352" i="8" s="1"/>
  <c r="G54" i="160"/>
  <c r="I54" i="160"/>
  <c r="H33" i="8"/>
  <c r="H41" i="8"/>
  <c r="F41" i="8"/>
  <c r="G41" i="8" s="1"/>
  <c r="H53" i="5"/>
  <c r="E351" i="8" s="1"/>
  <c r="G351" i="8" s="1"/>
  <c r="H252" i="8"/>
  <c r="F27" i="8"/>
  <c r="G27" i="8" s="1"/>
  <c r="H200" i="8"/>
  <c r="H205" i="8"/>
  <c r="H18" i="8"/>
  <c r="H209" i="8"/>
  <c r="H17" i="8"/>
  <c r="H202" i="8"/>
  <c r="H204" i="8"/>
  <c r="H16" i="8"/>
  <c r="H39" i="8"/>
  <c r="H211" i="8"/>
  <c r="H10" i="8"/>
  <c r="H210" i="8"/>
  <c r="H34" i="8"/>
  <c r="H11" i="8"/>
  <c r="H23" i="8"/>
  <c r="H40" i="8"/>
  <c r="H12" i="8"/>
  <c r="H24" i="8"/>
  <c r="H212" i="8"/>
  <c r="H13" i="8"/>
  <c r="H38" i="8"/>
  <c r="H19" i="8"/>
  <c r="H207" i="8"/>
  <c r="H20" i="8"/>
  <c r="H14" i="8"/>
  <c r="H213" i="8"/>
  <c r="H25" i="8"/>
  <c r="H35" i="8"/>
  <c r="H15" i="8"/>
  <c r="H21" i="8"/>
  <c r="H206" i="8"/>
  <c r="H22" i="8"/>
  <c r="H253" i="8"/>
  <c r="F20" i="8"/>
  <c r="G20" i="8" s="1"/>
  <c r="H201" i="8"/>
  <c r="H203" i="8"/>
  <c r="H36" i="8"/>
  <c r="H254" i="8"/>
  <c r="H37" i="8"/>
  <c r="H26" i="8"/>
  <c r="H42" i="8"/>
  <c r="F34" i="8"/>
  <c r="G34" i="8" s="1"/>
  <c r="H182" i="8"/>
  <c r="H186" i="8"/>
  <c r="H185" i="8"/>
  <c r="H184" i="8"/>
  <c r="H52" i="5"/>
  <c r="N33" i="28"/>
  <c r="N34" i="28"/>
  <c r="R115" i="8" s="1"/>
  <c r="H121" i="8"/>
  <c r="Q112" i="8"/>
  <c r="O112" i="8"/>
  <c r="P112" i="8" s="1"/>
  <c r="H226" i="8"/>
  <c r="H272" i="8"/>
  <c r="H306" i="8"/>
  <c r="H260" i="8"/>
  <c r="H287" i="8"/>
  <c r="H161" i="8"/>
  <c r="H152" i="8"/>
  <c r="H181" i="8"/>
  <c r="H275" i="8"/>
  <c r="H233" i="8"/>
  <c r="H311" i="8"/>
  <c r="H134" i="8"/>
  <c r="H291" i="8"/>
  <c r="H288" i="8"/>
  <c r="H225" i="8"/>
  <c r="H277" i="8"/>
  <c r="H303" i="8"/>
  <c r="H266" i="8"/>
  <c r="H157" i="8"/>
  <c r="H178" i="8"/>
  <c r="H148" i="8"/>
  <c r="H155" i="8"/>
  <c r="H130" i="8"/>
  <c r="H270" i="8"/>
  <c r="H304" i="8"/>
  <c r="H293" i="8"/>
  <c r="H216" i="8"/>
  <c r="H282" i="8"/>
  <c r="H153" i="8"/>
  <c r="H144" i="8"/>
  <c r="H240" i="8"/>
  <c r="H189" i="8"/>
  <c r="H126" i="8"/>
  <c r="H286" i="8"/>
  <c r="H219" i="8"/>
  <c r="H267" i="8"/>
  <c r="H309" i="8"/>
  <c r="H264" i="8"/>
  <c r="H298" i="8"/>
  <c r="H149" i="8"/>
  <c r="H241" i="8"/>
  <c r="H140" i="8"/>
  <c r="H234" i="8"/>
  <c r="H170" i="8"/>
  <c r="H307" i="8"/>
  <c r="F307" i="8"/>
  <c r="G307" i="8" s="1"/>
  <c r="F244" i="8"/>
  <c r="G244" i="8" s="1"/>
  <c r="H159" i="8"/>
  <c r="F164" i="8"/>
  <c r="G164" i="8" s="1"/>
  <c r="F246" i="8"/>
  <c r="G246" i="8" s="1"/>
  <c r="H163" i="8"/>
  <c r="F245" i="8"/>
  <c r="G245" i="8" s="1"/>
  <c r="F160" i="8"/>
  <c r="G160" i="8" s="1"/>
  <c r="H243" i="8"/>
  <c r="F163" i="8"/>
  <c r="G163" i="8" s="1"/>
  <c r="F159" i="8"/>
  <c r="G159" i="8" s="1"/>
  <c r="F198" i="8"/>
  <c r="G198" i="8" s="1"/>
  <c r="H199" i="8"/>
  <c r="F199" i="8"/>
  <c r="G199" i="8" s="1"/>
  <c r="H187" i="8"/>
  <c r="F202" i="8"/>
  <c r="G202" i="8" s="1"/>
  <c r="F185" i="8"/>
  <c r="G185" i="8" s="1"/>
  <c r="H198" i="8"/>
  <c r="F187" i="8"/>
  <c r="G187" i="8" s="1"/>
  <c r="H160" i="8"/>
  <c r="F184" i="8"/>
  <c r="G184" i="8" s="1"/>
  <c r="H168" i="8"/>
  <c r="H164" i="8"/>
  <c r="F168" i="8"/>
  <c r="G168" i="8" s="1"/>
  <c r="F243" i="8"/>
  <c r="G243" i="8" s="1"/>
  <c r="H268" i="8"/>
  <c r="H302" i="8"/>
  <c r="H256" i="8"/>
  <c r="H283" i="8"/>
  <c r="H218" i="8"/>
  <c r="H280" i="8"/>
  <c r="H314" i="8"/>
  <c r="H145" i="8"/>
  <c r="H235" i="8"/>
  <c r="H136" i="8"/>
  <c r="H167" i="8"/>
  <c r="H166" i="8"/>
  <c r="H117" i="8"/>
  <c r="H284" i="8"/>
  <c r="H197" i="8"/>
  <c r="H273" i="8"/>
  <c r="H299" i="8"/>
  <c r="H261" i="8"/>
  <c r="H296" i="8"/>
  <c r="H147" i="8"/>
  <c r="H141" i="8"/>
  <c r="H171" i="8"/>
  <c r="H132" i="8"/>
  <c r="H151" i="8"/>
  <c r="H162" i="8"/>
  <c r="H177" i="8"/>
  <c r="H300" i="8"/>
  <c r="H289" i="8"/>
  <c r="H220" i="8"/>
  <c r="H278" i="8"/>
  <c r="H312" i="8"/>
  <c r="H139" i="8"/>
  <c r="H137" i="8"/>
  <c r="H143" i="8"/>
  <c r="H128" i="8"/>
  <c r="H135" i="8"/>
  <c r="H158" i="8"/>
  <c r="H188" i="8"/>
  <c r="H223" i="8"/>
  <c r="H263" i="8"/>
  <c r="H305" i="8"/>
  <c r="H259" i="8"/>
  <c r="H294" i="8"/>
  <c r="H131" i="8"/>
  <c r="H133" i="8"/>
  <c r="H127" i="8"/>
  <c r="H123" i="8"/>
  <c r="H122" i="8"/>
  <c r="H154" i="8"/>
  <c r="H179" i="8"/>
  <c r="H231" i="8"/>
  <c r="H279" i="8"/>
  <c r="H222" i="8"/>
  <c r="H276" i="8"/>
  <c r="H310" i="8"/>
  <c r="H265" i="8"/>
  <c r="H118" i="8"/>
  <c r="H129" i="8"/>
  <c r="H115" i="8"/>
  <c r="H119" i="8"/>
  <c r="H180" i="8"/>
  <c r="H150" i="8"/>
  <c r="H269" i="8"/>
  <c r="H295" i="8"/>
  <c r="H257" i="8"/>
  <c r="H292" i="8"/>
  <c r="H221" i="8"/>
  <c r="H281" i="8"/>
  <c r="H173" i="8"/>
  <c r="H114" i="8"/>
  <c r="H116" i="8"/>
  <c r="H146" i="8"/>
  <c r="F13" i="8"/>
  <c r="G13" i="8" s="1"/>
  <c r="H217" i="8"/>
  <c r="H285" i="8"/>
  <c r="H224" i="8"/>
  <c r="H274" i="8"/>
  <c r="H308" i="8"/>
  <c r="H232" i="8"/>
  <c r="H297" i="8"/>
  <c r="H169" i="8"/>
  <c r="H120" i="8"/>
  <c r="H172" i="8"/>
  <c r="H190" i="8"/>
  <c r="H142" i="8"/>
  <c r="H242" i="8"/>
  <c r="H258" i="8"/>
  <c r="H301" i="8"/>
  <c r="H255" i="8"/>
  <c r="H290" i="8"/>
  <c r="H215" i="8"/>
  <c r="H271" i="8"/>
  <c r="H313" i="8"/>
  <c r="H165" i="8"/>
  <c r="H191" i="8"/>
  <c r="H156" i="8"/>
  <c r="H138" i="8"/>
  <c r="H236" i="8"/>
  <c r="H89" i="8"/>
  <c r="H73" i="8"/>
  <c r="H100" i="8"/>
  <c r="H84" i="8"/>
  <c r="H68" i="8"/>
  <c r="H82" i="8"/>
  <c r="H103" i="8"/>
  <c r="H87" i="8"/>
  <c r="H71" i="8"/>
  <c r="H86" i="8"/>
  <c r="H101" i="8"/>
  <c r="H85" i="8"/>
  <c r="H69" i="8"/>
  <c r="H96" i="8"/>
  <c r="H80" i="8"/>
  <c r="H64" i="8"/>
  <c r="H43" i="8"/>
  <c r="H74" i="8"/>
  <c r="H99" i="8"/>
  <c r="H83" i="8"/>
  <c r="H67" i="8"/>
  <c r="H78" i="8"/>
  <c r="H97" i="8"/>
  <c r="H81" i="8"/>
  <c r="H65" i="8"/>
  <c r="H92" i="8"/>
  <c r="H76" i="8"/>
  <c r="H60" i="8"/>
  <c r="H98" i="8"/>
  <c r="H66" i="8"/>
  <c r="H32" i="8"/>
  <c r="H95" i="8"/>
  <c r="H79" i="8"/>
  <c r="H63" i="8"/>
  <c r="H102" i="8"/>
  <c r="H70" i="8"/>
  <c r="F40" i="8"/>
  <c r="G40" i="8" s="1"/>
  <c r="H93" i="8"/>
  <c r="H77" i="8"/>
  <c r="H61" i="8"/>
  <c r="H88" i="8"/>
  <c r="H72" i="8"/>
  <c r="H90" i="8"/>
  <c r="H9" i="8"/>
  <c r="H91" i="8"/>
  <c r="H75" i="8"/>
  <c r="H59" i="8"/>
  <c r="H94" i="8"/>
  <c r="H62" i="8"/>
  <c r="F39" i="8"/>
  <c r="G39" i="8" s="1"/>
  <c r="F161" i="8"/>
  <c r="G161" i="8" s="1"/>
  <c r="F313" i="8"/>
  <c r="G313" i="8" s="1"/>
  <c r="F314" i="8"/>
  <c r="G314" i="8" s="1"/>
  <c r="O128" i="8"/>
  <c r="P128" i="8" s="1"/>
  <c r="U128" i="8" s="1"/>
  <c r="O201" i="8"/>
  <c r="P201" i="8" s="1"/>
  <c r="U201" i="8" s="1"/>
  <c r="O119" i="8"/>
  <c r="P119" i="8" s="1"/>
  <c r="U119" i="8" s="1"/>
  <c r="O131" i="8"/>
  <c r="P131" i="8" s="1"/>
  <c r="U131" i="8" s="1"/>
  <c r="Q119" i="8"/>
  <c r="O122" i="8"/>
  <c r="P122" i="8" s="1"/>
  <c r="U122" i="8" s="1"/>
  <c r="Q122" i="8"/>
  <c r="O127" i="8"/>
  <c r="P127" i="8" s="1"/>
  <c r="U127" i="8" s="1"/>
  <c r="O130" i="8"/>
  <c r="P130" i="8" s="1"/>
  <c r="U130" i="8" s="1"/>
  <c r="O132" i="8"/>
  <c r="P132" i="8" s="1"/>
  <c r="U132" i="8" s="1"/>
  <c r="O115" i="8"/>
  <c r="P115" i="8" s="1"/>
  <c r="U115" i="8" s="1"/>
  <c r="Q123" i="8"/>
  <c r="Q121" i="8"/>
  <c r="O120" i="8"/>
  <c r="P120" i="8" s="1"/>
  <c r="U120" i="8" s="1"/>
  <c r="O129" i="8"/>
  <c r="P129" i="8" s="1"/>
  <c r="U129" i="8" s="1"/>
  <c r="Q115" i="8"/>
  <c r="Q129" i="8"/>
  <c r="Q118" i="8"/>
  <c r="Q126" i="8"/>
  <c r="O126" i="8"/>
  <c r="P126" i="8" s="1"/>
  <c r="U126" i="8" s="1"/>
  <c r="Q117" i="8"/>
  <c r="Q124" i="8"/>
  <c r="O117" i="8"/>
  <c r="P117" i="8" s="1"/>
  <c r="U117" i="8" s="1"/>
  <c r="Q120" i="8"/>
  <c r="Q116" i="8"/>
  <c r="O123" i="8"/>
  <c r="P123" i="8" s="1"/>
  <c r="U123" i="8" s="1"/>
  <c r="O118" i="8"/>
  <c r="P118" i="8" s="1"/>
  <c r="U118" i="8" s="1"/>
  <c r="O116" i="8"/>
  <c r="P116" i="8" s="1"/>
  <c r="U116" i="8" s="1"/>
  <c r="O124" i="8"/>
  <c r="P124" i="8" s="1"/>
  <c r="U124" i="8" s="1"/>
  <c r="O121" i="8"/>
  <c r="P121" i="8" s="1"/>
  <c r="U121" i="8" s="1"/>
  <c r="O196" i="8"/>
  <c r="P196" i="8" s="1"/>
  <c r="U196" i="8" s="1"/>
  <c r="Q203" i="8"/>
  <c r="O203" i="8"/>
  <c r="P203" i="8" s="1"/>
  <c r="U203" i="8" s="1"/>
  <c r="F192" i="8"/>
  <c r="G192" i="8" s="1"/>
  <c r="F93" i="8"/>
  <c r="G93" i="8" s="1"/>
  <c r="H105" i="8"/>
  <c r="F101" i="8"/>
  <c r="G101" i="8" s="1"/>
  <c r="F80" i="8"/>
  <c r="G80" i="8" s="1"/>
  <c r="F66" i="8"/>
  <c r="G66" i="8" s="1"/>
  <c r="F63" i="8"/>
  <c r="G63" i="8" s="1"/>
  <c r="F78" i="8"/>
  <c r="G78" i="8" s="1"/>
  <c r="F74" i="8"/>
  <c r="G74" i="8" s="1"/>
  <c r="F91" i="8"/>
  <c r="G91" i="8" s="1"/>
  <c r="F106" i="8"/>
  <c r="G106" i="8" s="1"/>
  <c r="F67" i="8"/>
  <c r="G67" i="8" s="1"/>
  <c r="F65" i="8"/>
  <c r="G65" i="8" s="1"/>
  <c r="F79" i="8"/>
  <c r="G79" i="8" s="1"/>
  <c r="F87" i="8"/>
  <c r="G87" i="8" s="1"/>
  <c r="Q132" i="8"/>
  <c r="F89" i="8"/>
  <c r="G89" i="8" s="1"/>
  <c r="F126" i="8"/>
  <c r="G126" i="8" s="1"/>
  <c r="F99" i="8"/>
  <c r="G99" i="8" s="1"/>
  <c r="F81" i="8"/>
  <c r="G81" i="8" s="1"/>
  <c r="F104" i="8"/>
  <c r="G104" i="8" s="1"/>
  <c r="F123" i="8"/>
  <c r="G123" i="8" s="1"/>
  <c r="F180" i="8"/>
  <c r="F140" i="8"/>
  <c r="G140" i="8" s="1"/>
  <c r="F189" i="8"/>
  <c r="G189" i="8" s="1"/>
  <c r="F247" i="8"/>
  <c r="G247" i="8" s="1"/>
  <c r="F155" i="8"/>
  <c r="G155" i="8" s="1"/>
  <c r="F312" i="8"/>
  <c r="G312" i="8" s="1"/>
  <c r="F285" i="8"/>
  <c r="G285" i="8" s="1"/>
  <c r="F276" i="8"/>
  <c r="G276" i="8" s="1"/>
  <c r="F296" i="8"/>
  <c r="G296" i="8" s="1"/>
  <c r="F261" i="8"/>
  <c r="G261" i="8" s="1"/>
  <c r="F215" i="8"/>
  <c r="G215" i="8" s="1"/>
  <c r="F219" i="8"/>
  <c r="G219" i="8" s="1"/>
  <c r="F281" i="8"/>
  <c r="G281" i="8" s="1"/>
  <c r="F220" i="8"/>
  <c r="G220" i="8" s="1"/>
  <c r="F102" i="8"/>
  <c r="G102" i="8" s="1"/>
  <c r="F152" i="8"/>
  <c r="G152" i="8" s="1"/>
  <c r="F309" i="8"/>
  <c r="G309" i="8" s="1"/>
  <c r="F223" i="8"/>
  <c r="G223" i="8" s="1"/>
  <c r="F98" i="8"/>
  <c r="G98" i="8" s="1"/>
  <c r="F60" i="8"/>
  <c r="G60" i="8" s="1"/>
  <c r="F75" i="8"/>
  <c r="G75" i="8" s="1"/>
  <c r="F213" i="8"/>
  <c r="F130" i="8"/>
  <c r="G130" i="8" s="1"/>
  <c r="F124" i="8"/>
  <c r="F150" i="8"/>
  <c r="G150" i="8" s="1"/>
  <c r="F153" i="8"/>
  <c r="G153" i="8" s="1"/>
  <c r="F190" i="8"/>
  <c r="F263" i="8"/>
  <c r="G263" i="8" s="1"/>
  <c r="F269" i="8"/>
  <c r="F300" i="8"/>
  <c r="G300" i="8" s="1"/>
  <c r="F259" i="8"/>
  <c r="G259" i="8" s="1"/>
  <c r="F210" i="8"/>
  <c r="G210" i="8" s="1"/>
  <c r="F211" i="8"/>
  <c r="G211" i="8" s="1"/>
  <c r="F311" i="8"/>
  <c r="G311" i="8" s="1"/>
  <c r="H104" i="8"/>
  <c r="F165" i="8"/>
  <c r="G165" i="8" s="1"/>
  <c r="F271" i="8"/>
  <c r="G271" i="8" s="1"/>
  <c r="F118" i="8"/>
  <c r="G118" i="8" s="1"/>
  <c r="F162" i="8"/>
  <c r="G162" i="8" s="1"/>
  <c r="F204" i="8"/>
  <c r="G204" i="8" s="1"/>
  <c r="F70" i="8"/>
  <c r="G70" i="8" s="1"/>
  <c r="Q127" i="8"/>
  <c r="F73" i="8"/>
  <c r="G73" i="8" s="1"/>
  <c r="F77" i="8"/>
  <c r="G77" i="8" s="1"/>
  <c r="F116" i="8"/>
  <c r="G116" i="8" s="1"/>
  <c r="S116" i="8" s="1"/>
  <c r="F133" i="8"/>
  <c r="G133" i="8" s="1"/>
  <c r="F181" i="8"/>
  <c r="G181" i="8" s="1"/>
  <c r="F234" i="8"/>
  <c r="G234" i="8" s="1"/>
  <c r="F186" i="8"/>
  <c r="G186" i="8" s="1"/>
  <c r="F233" i="8"/>
  <c r="F255" i="8"/>
  <c r="G255" i="8" s="1"/>
  <c r="F290" i="8"/>
  <c r="G290" i="8" s="1"/>
  <c r="F282" i="8"/>
  <c r="G282" i="8" s="1"/>
  <c r="F273" i="8"/>
  <c r="G273" i="8" s="1"/>
  <c r="F288" i="8"/>
  <c r="G288" i="8" s="1"/>
  <c r="F222" i="8"/>
  <c r="G222" i="8" s="1"/>
  <c r="F226" i="8"/>
  <c r="G226" i="8" s="1"/>
  <c r="F209" i="8"/>
  <c r="G209" i="8" s="1"/>
  <c r="H107" i="8"/>
  <c r="F216" i="8"/>
  <c r="G216" i="8" s="1"/>
  <c r="F188" i="8"/>
  <c r="F295" i="8"/>
  <c r="G295" i="8" s="1"/>
  <c r="F139" i="8"/>
  <c r="G139" i="8" s="1"/>
  <c r="F270" i="8"/>
  <c r="G270" i="8" s="1"/>
  <c r="F62" i="8"/>
  <c r="G62" i="8" s="1"/>
  <c r="Q131" i="8"/>
  <c r="F76" i="8"/>
  <c r="G76" i="8" s="1"/>
  <c r="H106" i="8"/>
  <c r="F88" i="8"/>
  <c r="G88" i="8" s="1"/>
  <c r="F114" i="8"/>
  <c r="F236" i="8"/>
  <c r="G236" i="8" s="1"/>
  <c r="F132" i="8"/>
  <c r="G132" i="8" s="1"/>
  <c r="F179" i="8"/>
  <c r="G179" i="8" s="1"/>
  <c r="F134" i="8"/>
  <c r="G134" i="8" s="1"/>
  <c r="F157" i="8"/>
  <c r="G157" i="8" s="1"/>
  <c r="F144" i="8"/>
  <c r="G144" i="8" s="1"/>
  <c r="F117" i="8"/>
  <c r="F264" i="8"/>
  <c r="G264" i="8" s="1"/>
  <c r="F284" i="8"/>
  <c r="G284" i="8" s="1"/>
  <c r="F280" i="8"/>
  <c r="G280" i="8" s="1"/>
  <c r="F294" i="8"/>
  <c r="G294" i="8" s="1"/>
  <c r="F203" i="8"/>
  <c r="G203" i="8" s="1"/>
  <c r="F122" i="8"/>
  <c r="F147" i="8"/>
  <c r="G147" i="8" s="1"/>
  <c r="F277" i="8"/>
  <c r="F279" i="8"/>
  <c r="G279" i="8" s="1"/>
  <c r="F109" i="8"/>
  <c r="G109" i="8" s="1"/>
  <c r="F142" i="8"/>
  <c r="G142" i="8" s="1"/>
  <c r="F256" i="8"/>
  <c r="G256" i="8" s="1"/>
  <c r="H109" i="8"/>
  <c r="F85" i="8"/>
  <c r="G85" i="8" s="1"/>
  <c r="F59" i="8"/>
  <c r="G59" i="8" s="1"/>
  <c r="F97" i="8"/>
  <c r="G97" i="8" s="1"/>
  <c r="F95" i="8"/>
  <c r="G95" i="8" s="1"/>
  <c r="F82" i="8"/>
  <c r="G82" i="8" s="1"/>
  <c r="F173" i="8"/>
  <c r="G173" i="8" s="1"/>
  <c r="F167" i="8"/>
  <c r="G167" i="8" s="1"/>
  <c r="F131" i="8"/>
  <c r="G131" i="8" s="1"/>
  <c r="F205" i="8"/>
  <c r="G205" i="8" s="1"/>
  <c r="F238" i="8"/>
  <c r="G238" i="8" s="1"/>
  <c r="F156" i="8"/>
  <c r="G156" i="8" s="1"/>
  <c r="F237" i="8"/>
  <c r="F178" i="8"/>
  <c r="G178" i="8" s="1"/>
  <c r="F154" i="8"/>
  <c r="G154" i="8" s="1"/>
  <c r="F232" i="8"/>
  <c r="G232" i="8" s="1"/>
  <c r="F231" i="8"/>
  <c r="G231" i="8" s="1"/>
  <c r="F251" i="8"/>
  <c r="G251" i="8" s="1"/>
  <c r="F310" i="8"/>
  <c r="G310" i="8" s="1"/>
  <c r="F278" i="8"/>
  <c r="G278" i="8" s="1"/>
  <c r="F107" i="8"/>
  <c r="G107" i="8" s="1"/>
  <c r="F103" i="8"/>
  <c r="G103" i="8" s="1"/>
  <c r="F145" i="8"/>
  <c r="G145" i="8" s="1"/>
  <c r="F257" i="8"/>
  <c r="G257" i="8" s="1"/>
  <c r="F303" i="8"/>
  <c r="G303" i="8" s="1"/>
  <c r="F242" i="8"/>
  <c r="G242" i="8" s="1"/>
  <c r="F299" i="8"/>
  <c r="G299" i="8" s="1"/>
  <c r="F297" i="8"/>
  <c r="G297" i="8" s="1"/>
  <c r="F83" i="8"/>
  <c r="G83" i="8" s="1"/>
  <c r="F94" i="8"/>
  <c r="G94" i="8" s="1"/>
  <c r="F90" i="8"/>
  <c r="G90" i="8" s="1"/>
  <c r="F100" i="8"/>
  <c r="G100" i="8" s="1"/>
  <c r="F96" i="8"/>
  <c r="G96" i="8" s="1"/>
  <c r="S96" i="8" s="1"/>
  <c r="F121" i="8"/>
  <c r="F120" i="8"/>
  <c r="F137" i="8"/>
  <c r="G137" i="8" s="1"/>
  <c r="F115" i="8"/>
  <c r="F119" i="8"/>
  <c r="G119" i="8" s="1"/>
  <c r="F148" i="8"/>
  <c r="G148" i="8" s="1"/>
  <c r="F143" i="8"/>
  <c r="G143" i="8" s="1"/>
  <c r="F201" i="8"/>
  <c r="G201" i="8" s="1"/>
  <c r="F250" i="8"/>
  <c r="G250" i="8" s="1"/>
  <c r="F292" i="8"/>
  <c r="G292" i="8" s="1"/>
  <c r="F305" i="8"/>
  <c r="G305" i="8" s="1"/>
  <c r="F274" i="8"/>
  <c r="G274" i="8" s="1"/>
  <c r="F260" i="8"/>
  <c r="G260" i="8" s="1"/>
  <c r="F196" i="8"/>
  <c r="G196" i="8" s="1"/>
  <c r="F72" i="8"/>
  <c r="G72" i="8" s="1"/>
  <c r="F218" i="8"/>
  <c r="G218" i="8" s="1"/>
  <c r="F240" i="8"/>
  <c r="G240" i="8" s="1"/>
  <c r="F158" i="8"/>
  <c r="G158" i="8" s="1"/>
  <c r="F225" i="8"/>
  <c r="G225" i="8" s="1"/>
  <c r="F136" i="8"/>
  <c r="G136" i="8" s="1"/>
  <c r="F253" i="8"/>
  <c r="G253" i="8" s="1"/>
  <c r="F197" i="8"/>
  <c r="G197" i="8" s="1"/>
  <c r="F146" i="8"/>
  <c r="G146" i="8" s="1"/>
  <c r="F267" i="8"/>
  <c r="G267" i="8" s="1"/>
  <c r="F84" i="8"/>
  <c r="G84" i="8" s="1"/>
  <c r="F92" i="8"/>
  <c r="G92" i="8" s="1"/>
  <c r="F64" i="8"/>
  <c r="G64" i="8" s="1"/>
  <c r="F172" i="8"/>
  <c r="G172" i="8" s="1"/>
  <c r="F183" i="8"/>
  <c r="F206" i="8"/>
  <c r="G206" i="8" s="1"/>
  <c r="F241" i="8"/>
  <c r="F182" i="8"/>
  <c r="F151" i="8"/>
  <c r="G151" i="8" s="1"/>
  <c r="F265" i="8"/>
  <c r="G265" i="8" s="1"/>
  <c r="F291" i="8"/>
  <c r="G291" i="8" s="1"/>
  <c r="F268" i="8"/>
  <c r="G268" i="8" s="1"/>
  <c r="F266" i="8"/>
  <c r="G266" i="8" s="1"/>
  <c r="F293" i="8"/>
  <c r="G293" i="8" s="1"/>
  <c r="F289" i="8"/>
  <c r="G289" i="8" s="1"/>
  <c r="F68" i="8"/>
  <c r="G68" i="8" s="1"/>
  <c r="F200" i="8"/>
  <c r="G200" i="8" s="1"/>
  <c r="F191" i="8"/>
  <c r="Q201" i="8"/>
  <c r="F105" i="8"/>
  <c r="G105" i="8" s="1"/>
  <c r="F171" i="8"/>
  <c r="G171" i="8" s="1"/>
  <c r="F141" i="8"/>
  <c r="G141" i="8" s="1"/>
  <c r="F138" i="8"/>
  <c r="G138" i="8" s="1"/>
  <c r="F177" i="8"/>
  <c r="G177" i="8" s="1"/>
  <c r="F235" i="8"/>
  <c r="F127" i="8"/>
  <c r="G127" i="8" s="1"/>
  <c r="F170" i="8"/>
  <c r="G170" i="8" s="1"/>
  <c r="F308" i="8"/>
  <c r="G308" i="8" s="1"/>
  <c r="F287" i="8"/>
  <c r="G287" i="8" s="1"/>
  <c r="F306" i="8"/>
  <c r="G306" i="8" s="1"/>
  <c r="F286" i="8"/>
  <c r="G286" i="8" s="1"/>
  <c r="F298" i="8"/>
  <c r="G298" i="8" s="1"/>
  <c r="F217" i="8"/>
  <c r="G217" i="8" s="1"/>
  <c r="F207" i="8"/>
  <c r="F304" i="8"/>
  <c r="G304" i="8" s="1"/>
  <c r="F86" i="8"/>
  <c r="G86" i="8" s="1"/>
  <c r="Q196" i="8"/>
  <c r="F61" i="8"/>
  <c r="G61" i="8" s="1"/>
  <c r="F135" i="8"/>
  <c r="G135" i="8" s="1"/>
  <c r="F302" i="8"/>
  <c r="G302" i="8" s="1"/>
  <c r="F212" i="8"/>
  <c r="G212" i="8" s="1"/>
  <c r="F71" i="8"/>
  <c r="G71" i="8" s="1"/>
  <c r="Q130" i="8"/>
  <c r="F69" i="8"/>
  <c r="G69" i="8" s="1"/>
  <c r="F166" i="8"/>
  <c r="G166" i="8" s="1"/>
  <c r="F208" i="8"/>
  <c r="F214" i="8"/>
  <c r="G214" i="8" s="1"/>
  <c r="F149" i="8"/>
  <c r="G149" i="8" s="1"/>
  <c r="F129" i="8"/>
  <c r="G129" i="8" s="1"/>
  <c r="F239" i="8"/>
  <c r="F169" i="8"/>
  <c r="G169" i="8" s="1"/>
  <c r="F254" i="8"/>
  <c r="G254" i="8" s="1"/>
  <c r="F230" i="8"/>
  <c r="G230" i="8" s="1"/>
  <c r="F258" i="8"/>
  <c r="G258" i="8" s="1"/>
  <c r="F272" i="8"/>
  <c r="G272" i="8" s="1"/>
  <c r="F252" i="8"/>
  <c r="G252" i="8" s="1"/>
  <c r="F224" i="8"/>
  <c r="G224" i="8" s="1"/>
  <c r="F221" i="8"/>
  <c r="G221" i="8" s="1"/>
  <c r="F128" i="8"/>
  <c r="G128" i="8" s="1"/>
  <c r="F283" i="8"/>
  <c r="G283" i="8" s="1"/>
  <c r="Q128" i="8"/>
  <c r="N206" i="28"/>
  <c r="E235" i="8" s="1"/>
  <c r="E159" i="5"/>
  <c r="H159" i="5" s="1"/>
  <c r="N208" i="28"/>
  <c r="E237" i="8" s="1"/>
  <c r="E161" i="5"/>
  <c r="H161" i="5" s="1"/>
  <c r="R178" i="8"/>
  <c r="R177" i="8"/>
  <c r="R179" i="8"/>
  <c r="E239" i="8"/>
  <c r="O205" i="4"/>
  <c r="E241" i="8"/>
  <c r="O207" i="4"/>
  <c r="F53" i="8"/>
  <c r="G53" i="8" s="1"/>
  <c r="H46" i="8"/>
  <c r="H47" i="8"/>
  <c r="F49" i="8"/>
  <c r="G49" i="8" s="1"/>
  <c r="H54" i="8"/>
  <c r="F19" i="8"/>
  <c r="G19" i="8" s="1"/>
  <c r="F21" i="8"/>
  <c r="G21" i="8" s="1"/>
  <c r="F43" i="8"/>
  <c r="G43" i="8" s="1"/>
  <c r="H53" i="8"/>
  <c r="F17" i="8"/>
  <c r="G17" i="8" s="1"/>
  <c r="F16" i="8"/>
  <c r="G16" i="8" s="1"/>
  <c r="F50" i="8"/>
  <c r="G50" i="8" s="1"/>
  <c r="F18" i="8"/>
  <c r="G18" i="8" s="1"/>
  <c r="F25" i="8"/>
  <c r="G25" i="8" s="1"/>
  <c r="F14" i="8"/>
  <c r="G14" i="8" s="1"/>
  <c r="F11" i="8"/>
  <c r="G11" i="8" s="1"/>
  <c r="H58" i="8"/>
  <c r="H55" i="8"/>
  <c r="F9" i="8"/>
  <c r="G9" i="8" s="1"/>
  <c r="F23" i="8"/>
  <c r="G23" i="8" s="1"/>
  <c r="F54" i="8"/>
  <c r="G54" i="8" s="1"/>
  <c r="F12" i="8"/>
  <c r="G12" i="8" s="1"/>
  <c r="F37" i="8"/>
  <c r="G37" i="8" s="1"/>
  <c r="F55" i="8"/>
  <c r="G55" i="8" s="1"/>
  <c r="F35" i="8"/>
  <c r="G35" i="8" s="1"/>
  <c r="F26" i="8"/>
  <c r="G26" i="8" s="1"/>
  <c r="F46" i="8"/>
  <c r="G46" i="8" s="1"/>
  <c r="F10" i="8"/>
  <c r="G10" i="8" s="1"/>
  <c r="F36" i="8"/>
  <c r="G36" i="8" s="1"/>
  <c r="F24" i="8"/>
  <c r="G24" i="8" s="1"/>
  <c r="F42" i="8"/>
  <c r="G42" i="8" s="1"/>
  <c r="F32" i="8"/>
  <c r="G32" i="8" s="1"/>
  <c r="F58" i="8"/>
  <c r="G58" i="8" s="1"/>
  <c r="F15" i="8"/>
  <c r="G15" i="8" s="1"/>
  <c r="F48" i="8"/>
  <c r="G48" i="8" s="1"/>
  <c r="F47" i="8"/>
  <c r="G47" i="8" s="1"/>
  <c r="F38" i="8"/>
  <c r="G38" i="8" s="1"/>
  <c r="H50" i="8"/>
  <c r="F22" i="8"/>
  <c r="G22" i="8" s="1"/>
  <c r="N351" i="8"/>
  <c r="N403" i="8"/>
  <c r="N404" i="8"/>
  <c r="N406" i="8"/>
  <c r="O39" i="8"/>
  <c r="P39" i="8" s="1"/>
  <c r="Q39" i="8"/>
  <c r="O42" i="8"/>
  <c r="P42" i="8" s="1"/>
  <c r="Q42" i="8"/>
  <c r="O193" i="8"/>
  <c r="P193" i="8" s="1"/>
  <c r="O36" i="8"/>
  <c r="P36" i="8" s="1"/>
  <c r="Q193" i="8"/>
  <c r="Q36" i="8"/>
  <c r="O188" i="8"/>
  <c r="P188" i="8" s="1"/>
  <c r="Q188" i="8"/>
  <c r="Q187" i="8"/>
  <c r="O37" i="8"/>
  <c r="P37" i="8" s="1"/>
  <c r="O191" i="8"/>
  <c r="P191" i="8" s="1"/>
  <c r="O32" i="8"/>
  <c r="P32" i="8" s="1"/>
  <c r="Q185" i="8"/>
  <c r="Q38" i="8"/>
  <c r="T178" i="8"/>
  <c r="O187" i="8"/>
  <c r="P187" i="8" s="1"/>
  <c r="Q37" i="8"/>
  <c r="Q191" i="8"/>
  <c r="Q32" i="8"/>
  <c r="O185" i="8"/>
  <c r="P185" i="8" s="1"/>
  <c r="O38" i="8"/>
  <c r="P38" i="8" s="1"/>
  <c r="Q43" i="8"/>
  <c r="O190" i="8"/>
  <c r="P190" i="8" s="1"/>
  <c r="Q189" i="8"/>
  <c r="O72" i="8"/>
  <c r="P72" i="8" s="1"/>
  <c r="P45" i="8" s="1"/>
  <c r="O35" i="8"/>
  <c r="P35" i="8" s="1"/>
  <c r="O178" i="8"/>
  <c r="P178" i="8" s="1"/>
  <c r="Q178" i="8"/>
  <c r="O43" i="8"/>
  <c r="P43" i="8" s="1"/>
  <c r="Q190" i="8"/>
  <c r="O189" i="8"/>
  <c r="P189" i="8" s="1"/>
  <c r="Q72" i="8"/>
  <c r="Q35" i="8"/>
  <c r="N409" i="8"/>
  <c r="N399" i="8"/>
  <c r="N421" i="8"/>
  <c r="S593" i="8"/>
  <c r="M9" i="8"/>
  <c r="K11" i="8"/>
  <c r="L114" i="8"/>
  <c r="L161" i="8"/>
  <c r="M162" i="8"/>
  <c r="M177" i="8"/>
  <c r="K180" i="8"/>
  <c r="L181" i="8"/>
  <c r="M182" i="8"/>
  <c r="K184" i="8"/>
  <c r="L186" i="8"/>
  <c r="M197" i="8"/>
  <c r="L199" i="8"/>
  <c r="M200" i="8"/>
  <c r="K202" i="8"/>
  <c r="L204" i="8"/>
  <c r="M205" i="8"/>
  <c r="Q343" i="8"/>
  <c r="Q347" i="8"/>
  <c r="Q351" i="8"/>
  <c r="Q355" i="8"/>
  <c r="Q394" i="8"/>
  <c r="Q397" i="8"/>
  <c r="Q404" i="8"/>
  <c r="Q409" i="8"/>
  <c r="Q417" i="8"/>
  <c r="Q421" i="8"/>
  <c r="Q425" i="8"/>
  <c r="M320" i="8"/>
  <c r="K332" i="8"/>
  <c r="M334" i="8"/>
  <c r="K336" i="8"/>
  <c r="K328" i="8"/>
  <c r="L329" i="8"/>
  <c r="M337" i="8"/>
  <c r="M330" i="8"/>
  <c r="M344" i="8"/>
  <c r="K346" i="8"/>
  <c r="L347" i="8"/>
  <c r="M348" i="8"/>
  <c r="K350" i="8"/>
  <c r="L351" i="8"/>
  <c r="M352" i="8"/>
  <c r="K354" i="8"/>
  <c r="L355" i="8"/>
  <c r="M356" i="8"/>
  <c r="K394" i="8"/>
  <c r="L395" i="8"/>
  <c r="M396" i="8"/>
  <c r="K400" i="8"/>
  <c r="L403" i="8"/>
  <c r="L404" i="8"/>
  <c r="L406" i="8"/>
  <c r="L407" i="8"/>
  <c r="M408" i="8"/>
  <c r="K410" i="8"/>
  <c r="L411" i="8"/>
  <c r="M412" i="8"/>
  <c r="K415" i="8"/>
  <c r="K418" i="8"/>
  <c r="L419" i="8"/>
  <c r="M420" i="8"/>
  <c r="K423" i="8"/>
  <c r="L424" i="8"/>
  <c r="M425" i="8"/>
  <c r="O346" i="8"/>
  <c r="J8" i="8"/>
  <c r="K10" i="8"/>
  <c r="L11" i="8"/>
  <c r="M114" i="8"/>
  <c r="M161" i="8"/>
  <c r="J176" i="8"/>
  <c r="K179" i="8"/>
  <c r="L180" i="8"/>
  <c r="M181" i="8"/>
  <c r="K183" i="8"/>
  <c r="L184" i="8"/>
  <c r="M186" i="8"/>
  <c r="K192" i="8"/>
  <c r="K198" i="8"/>
  <c r="M199" i="8"/>
  <c r="L202" i="8"/>
  <c r="M204" i="8"/>
  <c r="K206" i="8"/>
  <c r="Q344" i="8"/>
  <c r="Q348" i="8"/>
  <c r="Q352" i="8"/>
  <c r="Q356" i="8"/>
  <c r="Q395" i="8"/>
  <c r="Q399" i="8"/>
  <c r="Q406" i="8"/>
  <c r="Q410" i="8"/>
  <c r="L415" i="8"/>
  <c r="Q418" i="8"/>
  <c r="Q422" i="8"/>
  <c r="K324" i="8"/>
  <c r="L332" i="8"/>
  <c r="K335" i="8"/>
  <c r="L336" i="8"/>
  <c r="L328" i="8"/>
  <c r="M329" i="8"/>
  <c r="K342" i="8"/>
  <c r="M343" i="8"/>
  <c r="K345" i="8"/>
  <c r="L346" i="8"/>
  <c r="M347" i="8"/>
  <c r="K349" i="8"/>
  <c r="L350" i="8"/>
  <c r="M351" i="8"/>
  <c r="K353" i="8"/>
  <c r="L354" i="8"/>
  <c r="M355" i="8"/>
  <c r="K357" i="8"/>
  <c r="L394" i="8"/>
  <c r="M395" i="8"/>
  <c r="K397" i="8"/>
  <c r="K399" i="8"/>
  <c r="L400" i="8"/>
  <c r="M403" i="8"/>
  <c r="M404" i="8"/>
  <c r="M406" i="8"/>
  <c r="M407" i="8"/>
  <c r="K409" i="8"/>
  <c r="L410" i="8"/>
  <c r="M411" i="8"/>
  <c r="K417" i="8"/>
  <c r="L418" i="8"/>
  <c r="M419" i="8"/>
  <c r="K421" i="8"/>
  <c r="K422" i="8"/>
  <c r="L423" i="8"/>
  <c r="M424" i="8"/>
  <c r="O357" i="8"/>
  <c r="K9" i="8"/>
  <c r="L10" i="8"/>
  <c r="M11" i="8"/>
  <c r="A341" i="8"/>
  <c r="J113" i="8"/>
  <c r="K162" i="8"/>
  <c r="K177" i="8"/>
  <c r="L179" i="8"/>
  <c r="M180" i="8"/>
  <c r="K182" i="8"/>
  <c r="L183" i="8"/>
  <c r="M184" i="8"/>
  <c r="L192" i="8"/>
  <c r="A414" i="8"/>
  <c r="J195" i="8"/>
  <c r="K197" i="8"/>
  <c r="L198" i="8"/>
  <c r="K200" i="8"/>
  <c r="M202" i="8"/>
  <c r="K205" i="8"/>
  <c r="L206" i="8"/>
  <c r="Q345" i="8"/>
  <c r="Q349" i="8"/>
  <c r="Q353" i="8"/>
  <c r="Q357" i="8"/>
  <c r="Q396" i="8"/>
  <c r="Q400" i="8"/>
  <c r="Q407" i="8"/>
  <c r="Q411" i="8"/>
  <c r="M415" i="8"/>
  <c r="Q419" i="8"/>
  <c r="Q423" i="8"/>
  <c r="K320" i="8"/>
  <c r="L324" i="8"/>
  <c r="M332" i="8"/>
  <c r="K334" i="8"/>
  <c r="L335" i="8"/>
  <c r="M336" i="8"/>
  <c r="M328" i="8"/>
  <c r="K337" i="8"/>
  <c r="K330" i="8"/>
  <c r="M342" i="8"/>
  <c r="K344" i="8"/>
  <c r="M346" i="8"/>
  <c r="K348" i="8"/>
  <c r="L349" i="8"/>
  <c r="M350" i="8"/>
  <c r="K352" i="8"/>
  <c r="L353" i="8"/>
  <c r="M354" i="8"/>
  <c r="K356" i="8"/>
  <c r="L357" i="8"/>
  <c r="M394" i="8"/>
  <c r="K396" i="8"/>
  <c r="L397" i="8"/>
  <c r="L399" i="8"/>
  <c r="M400" i="8"/>
  <c r="K408" i="8"/>
  <c r="L409" i="8"/>
  <c r="M410" i="8"/>
  <c r="K412" i="8"/>
  <c r="L417" i="8"/>
  <c r="M418" i="8"/>
  <c r="K420" i="8"/>
  <c r="L421" i="8"/>
  <c r="L422" i="8"/>
  <c r="M423" i="8"/>
  <c r="K425" i="8"/>
  <c r="O354" i="8"/>
  <c r="O408" i="8"/>
  <c r="O419" i="8"/>
  <c r="L9" i="8"/>
  <c r="M10" i="8"/>
  <c r="K114" i="8"/>
  <c r="K161" i="8"/>
  <c r="L162" i="8"/>
  <c r="L177" i="8"/>
  <c r="M179" i="8"/>
  <c r="K181" i="8"/>
  <c r="L182" i="8"/>
  <c r="M183" i="8"/>
  <c r="K186" i="8"/>
  <c r="M192" i="8"/>
  <c r="L197" i="8"/>
  <c r="M198" i="8"/>
  <c r="K199" i="8"/>
  <c r="L200" i="8"/>
  <c r="K204" i="8"/>
  <c r="L205" i="8"/>
  <c r="M206" i="8"/>
  <c r="Q342" i="8"/>
  <c r="Q346" i="8"/>
  <c r="Q350" i="8"/>
  <c r="Q354" i="8"/>
  <c r="O397" i="8"/>
  <c r="P397" i="8" s="1"/>
  <c r="Q403" i="8"/>
  <c r="Q408" i="8"/>
  <c r="Q412" i="8"/>
  <c r="Q415" i="8"/>
  <c r="Q420" i="8"/>
  <c r="Q424" i="8"/>
  <c r="L320" i="8"/>
  <c r="M324" i="8"/>
  <c r="L334" i="8"/>
  <c r="M335" i="8"/>
  <c r="K329" i="8"/>
  <c r="L337" i="8"/>
  <c r="L330" i="8"/>
  <c r="K343" i="8"/>
  <c r="M345" i="8"/>
  <c r="K347" i="8"/>
  <c r="L348" i="8"/>
  <c r="M349" i="8"/>
  <c r="K351" i="8"/>
  <c r="L352" i="8"/>
  <c r="M353" i="8"/>
  <c r="K355" i="8"/>
  <c r="L356" i="8"/>
  <c r="M357" i="8"/>
  <c r="K395" i="8"/>
  <c r="L396" i="8"/>
  <c r="M397" i="8"/>
  <c r="M399" i="8"/>
  <c r="K403" i="8"/>
  <c r="K404" i="8"/>
  <c r="K406" i="8"/>
  <c r="K407" i="8"/>
  <c r="L408" i="8"/>
  <c r="M409" i="8"/>
  <c r="K411" i="8"/>
  <c r="L412" i="8"/>
  <c r="M417" i="8"/>
  <c r="K419" i="8"/>
  <c r="L420" i="8"/>
  <c r="M421" i="8"/>
  <c r="M422" i="8"/>
  <c r="K424" i="8"/>
  <c r="L425" i="8"/>
  <c r="O355" i="8"/>
  <c r="J123" i="28"/>
  <c r="J124" i="28"/>
  <c r="N121" i="28"/>
  <c r="E188" i="8" s="1"/>
  <c r="I32" i="5"/>
  <c r="I33" i="5"/>
  <c r="I25" i="5"/>
  <c r="I24" i="5"/>
  <c r="I22" i="5"/>
  <c r="A3" i="8"/>
  <c r="N116" i="28"/>
  <c r="E183" i="8" s="1"/>
  <c r="N179" i="28"/>
  <c r="E213" i="8" s="1"/>
  <c r="N173" i="28"/>
  <c r="E207" i="8" s="1"/>
  <c r="N113" i="28"/>
  <c r="E180" i="8" s="1"/>
  <c r="N174" i="28"/>
  <c r="E208" i="8" s="1"/>
  <c r="J204" i="28"/>
  <c r="N115" i="28"/>
  <c r="E182" i="8" s="1"/>
  <c r="H22" i="53"/>
  <c r="H21" i="53"/>
  <c r="H25" i="53"/>
  <c r="H26" i="53"/>
  <c r="H23" i="53"/>
  <c r="J40" i="28" s="1"/>
  <c r="N40" i="28" s="1"/>
  <c r="E121" i="8" s="1"/>
  <c r="H27" i="53"/>
  <c r="H20" i="53"/>
  <c r="H19" i="53"/>
  <c r="A4" i="5"/>
  <c r="A3" i="3"/>
  <c r="A3" i="4"/>
  <c r="E350" i="8" l="1"/>
  <c r="G350" i="8" s="1"/>
  <c r="E52" i="160"/>
  <c r="G8" i="8"/>
  <c r="E53" i="160"/>
  <c r="E61" i="5"/>
  <c r="H61" i="5" s="1"/>
  <c r="E359" i="8" s="1"/>
  <c r="G359" i="8" s="1"/>
  <c r="J36" i="28"/>
  <c r="N36" i="28" s="1"/>
  <c r="E117" i="8" s="1"/>
  <c r="R117" i="8" s="1"/>
  <c r="E114" i="8"/>
  <c r="R114" i="8" s="1"/>
  <c r="E456" i="8"/>
  <c r="G456" i="8" s="1"/>
  <c r="E152" i="160"/>
  <c r="G152" i="160" s="1"/>
  <c r="E458" i="8"/>
  <c r="G458" i="8" s="1"/>
  <c r="E154" i="160"/>
  <c r="H74" i="5"/>
  <c r="G115" i="8"/>
  <c r="S115" i="8" s="1"/>
  <c r="G45" i="8"/>
  <c r="H6" i="41" s="1"/>
  <c r="S112" i="8"/>
  <c r="U112" i="8"/>
  <c r="G31" i="8"/>
  <c r="S196" i="8"/>
  <c r="S128" i="8"/>
  <c r="G207" i="8"/>
  <c r="G213" i="8"/>
  <c r="G208" i="8"/>
  <c r="S129" i="8"/>
  <c r="S119" i="8"/>
  <c r="S118" i="8"/>
  <c r="S123" i="8"/>
  <c r="S201" i="8"/>
  <c r="S131" i="8"/>
  <c r="S127" i="8"/>
  <c r="S126" i="8"/>
  <c r="G183" i="8"/>
  <c r="S130" i="8"/>
  <c r="S203" i="8"/>
  <c r="S132" i="8"/>
  <c r="G239" i="8"/>
  <c r="G241" i="8"/>
  <c r="G237" i="8"/>
  <c r="G235" i="8"/>
  <c r="N124" i="28"/>
  <c r="E191" i="8" s="1"/>
  <c r="G191" i="8" s="1"/>
  <c r="E113" i="5"/>
  <c r="H113" i="5" s="1"/>
  <c r="N204" i="28"/>
  <c r="E233" i="8" s="1"/>
  <c r="G233" i="8" s="1"/>
  <c r="E157" i="5"/>
  <c r="H157" i="5" s="1"/>
  <c r="N123" i="28"/>
  <c r="E190" i="8" s="1"/>
  <c r="G190" i="8" s="1"/>
  <c r="E112" i="5"/>
  <c r="H112" i="5" s="1"/>
  <c r="G57" i="8"/>
  <c r="J6" i="41" s="1"/>
  <c r="J27" i="41" s="1"/>
  <c r="G121" i="8"/>
  <c r="S121" i="8" s="1"/>
  <c r="R121" i="8"/>
  <c r="G182" i="8"/>
  <c r="R182" i="8"/>
  <c r="G180" i="8"/>
  <c r="R180" i="8"/>
  <c r="G188" i="8"/>
  <c r="R188" i="8"/>
  <c r="G52" i="8"/>
  <c r="I6" i="41" s="1"/>
  <c r="T191" i="8"/>
  <c r="U191" i="8" s="1"/>
  <c r="N200" i="8"/>
  <c r="T42" i="8"/>
  <c r="U42" i="8" s="1"/>
  <c r="T188" i="8"/>
  <c r="U188" i="8" s="1"/>
  <c r="T397" i="8"/>
  <c r="U397" i="8" s="1"/>
  <c r="T185" i="8"/>
  <c r="U185" i="8" s="1"/>
  <c r="U178" i="8"/>
  <c r="T39" i="8"/>
  <c r="U39" i="8" s="1"/>
  <c r="T190" i="8"/>
  <c r="U190" i="8" s="1"/>
  <c r="T36" i="8"/>
  <c r="U36" i="8" s="1"/>
  <c r="T187" i="8"/>
  <c r="U187" i="8" s="1"/>
  <c r="T193" i="8"/>
  <c r="U193" i="8" s="1"/>
  <c r="T43" i="8"/>
  <c r="U43" i="8" s="1"/>
  <c r="N199" i="8"/>
  <c r="N415" i="8"/>
  <c r="P31" i="8"/>
  <c r="N420" i="8"/>
  <c r="N343" i="8"/>
  <c r="N183" i="8"/>
  <c r="N422" i="8"/>
  <c r="T189" i="8"/>
  <c r="U189" i="8" s="1"/>
  <c r="T32" i="8"/>
  <c r="U32" i="8" s="1"/>
  <c r="R406" i="8"/>
  <c r="R403" i="8"/>
  <c r="N419" i="8"/>
  <c r="P419" i="8" s="1"/>
  <c r="N346" i="8"/>
  <c r="P346" i="8" s="1"/>
  <c r="N424" i="8"/>
  <c r="N355" i="8"/>
  <c r="N342" i="8"/>
  <c r="N348" i="8"/>
  <c r="N425" i="8"/>
  <c r="N350" i="8"/>
  <c r="N344" i="8"/>
  <c r="N202" i="8"/>
  <c r="R421" i="8"/>
  <c r="R399" i="8"/>
  <c r="R409" i="8"/>
  <c r="T38" i="8"/>
  <c r="U38" i="8" s="1"/>
  <c r="T45" i="8"/>
  <c r="U45" i="8" s="1"/>
  <c r="T72" i="8"/>
  <c r="U72" i="8" s="1"/>
  <c r="T35" i="8"/>
  <c r="U35" i="8" s="1"/>
  <c r="T37" i="8"/>
  <c r="U37" i="8" s="1"/>
  <c r="R404" i="8"/>
  <c r="O410" i="8"/>
  <c r="O351" i="8"/>
  <c r="P351" i="8" s="1"/>
  <c r="O352" i="8"/>
  <c r="O406" i="8"/>
  <c r="P406" i="8" s="1"/>
  <c r="O424" i="8"/>
  <c r="O407" i="8"/>
  <c r="P407" i="8" s="1"/>
  <c r="T407" i="8"/>
  <c r="O349" i="8"/>
  <c r="O420" i="8"/>
  <c r="O425" i="8"/>
  <c r="T421" i="8"/>
  <c r="O421" i="8"/>
  <c r="P421" i="8" s="1"/>
  <c r="O418" i="8"/>
  <c r="P418" i="8" s="1"/>
  <c r="O205" i="8"/>
  <c r="P205" i="8" s="1"/>
  <c r="Q205" i="8"/>
  <c r="Q197" i="8"/>
  <c r="O197" i="8"/>
  <c r="P197" i="8" s="1"/>
  <c r="O182" i="8"/>
  <c r="P182" i="8" s="1"/>
  <c r="Q182" i="8"/>
  <c r="Q9" i="8"/>
  <c r="O9" i="8"/>
  <c r="P9" i="8" s="1"/>
  <c r="O206" i="8"/>
  <c r="P206" i="8" s="1"/>
  <c r="Q206" i="8"/>
  <c r="Q198" i="8"/>
  <c r="O198" i="8"/>
  <c r="P198" i="8" s="1"/>
  <c r="T192" i="8"/>
  <c r="T179" i="8"/>
  <c r="Q184" i="8"/>
  <c r="O184" i="8"/>
  <c r="P184" i="8" s="1"/>
  <c r="J393" i="8"/>
  <c r="T199" i="8"/>
  <c r="T186" i="8"/>
  <c r="T114" i="8"/>
  <c r="O423" i="8"/>
  <c r="O356" i="8"/>
  <c r="O404" i="8"/>
  <c r="P404" i="8" s="1"/>
  <c r="J3" i="8"/>
  <c r="T182" i="8"/>
  <c r="T9" i="8"/>
  <c r="O183" i="8"/>
  <c r="Q183" i="8"/>
  <c r="J341" i="8"/>
  <c r="T184" i="8"/>
  <c r="Q11" i="8"/>
  <c r="O11" i="8"/>
  <c r="P11" i="8" s="1"/>
  <c r="O204" i="8"/>
  <c r="P204" i="8" s="1"/>
  <c r="Q204" i="8"/>
  <c r="O181" i="8"/>
  <c r="P181" i="8" s="1"/>
  <c r="Q181" i="8"/>
  <c r="Q161" i="8"/>
  <c r="O161" i="8"/>
  <c r="P161" i="8" s="1"/>
  <c r="O335" i="8"/>
  <c r="O200" i="8"/>
  <c r="Q200" i="8"/>
  <c r="O177" i="8"/>
  <c r="P177" i="8" s="1"/>
  <c r="Q177" i="8"/>
  <c r="J414" i="8"/>
  <c r="T183" i="8"/>
  <c r="T10" i="8"/>
  <c r="O202" i="8"/>
  <c r="Q202" i="8"/>
  <c r="O180" i="8"/>
  <c r="P180" i="8" s="1"/>
  <c r="Q180" i="8"/>
  <c r="T11" i="8"/>
  <c r="T342" i="8"/>
  <c r="O342" i="8"/>
  <c r="P342" i="8" s="1"/>
  <c r="T411" i="8"/>
  <c r="O411" i="8"/>
  <c r="P411" i="8" s="1"/>
  <c r="O399" i="8"/>
  <c r="P399" i="8" s="1"/>
  <c r="O347" i="8"/>
  <c r="O348" i="8"/>
  <c r="T409" i="8"/>
  <c r="O409" i="8"/>
  <c r="P409" i="8" s="1"/>
  <c r="O412" i="8"/>
  <c r="O334" i="8"/>
  <c r="T200" i="8"/>
  <c r="O192" i="8"/>
  <c r="P192" i="8" s="1"/>
  <c r="Q192" i="8"/>
  <c r="Q179" i="8"/>
  <c r="O179" i="8"/>
  <c r="P179" i="8" s="1"/>
  <c r="O10" i="8"/>
  <c r="P10" i="8" s="1"/>
  <c r="Q10" i="8"/>
  <c r="O199" i="8"/>
  <c r="Q199" i="8"/>
  <c r="O186" i="8"/>
  <c r="P186" i="8" s="1"/>
  <c r="Q186" i="8"/>
  <c r="Q114" i="8"/>
  <c r="O114" i="8"/>
  <c r="P114" i="8" s="1"/>
  <c r="I9" i="5"/>
  <c r="I10" i="5"/>
  <c r="I17" i="5"/>
  <c r="J43" i="28"/>
  <c r="J39" i="28"/>
  <c r="J41" i="28"/>
  <c r="I31" i="5"/>
  <c r="I8" i="5"/>
  <c r="I18" i="5"/>
  <c r="I27" i="5"/>
  <c r="G6" i="8" l="1"/>
  <c r="G5" i="8" s="1"/>
  <c r="F227" i="8"/>
  <c r="G114" i="8"/>
  <c r="S114" i="8" s="1"/>
  <c r="E61" i="160"/>
  <c r="G61" i="160" s="1"/>
  <c r="E75" i="5"/>
  <c r="H75" i="5" s="1"/>
  <c r="G117" i="8"/>
  <c r="S117" i="8" s="1"/>
  <c r="R351" i="8"/>
  <c r="G154" i="160"/>
  <c r="I154" i="160"/>
  <c r="E454" i="8"/>
  <c r="G454" i="8" s="1"/>
  <c r="G444" i="8" s="1"/>
  <c r="I9" i="41" s="1"/>
  <c r="E150" i="160"/>
  <c r="G150" i="160" s="1"/>
  <c r="E410" i="8"/>
  <c r="G410" i="8" s="1"/>
  <c r="E106" i="160"/>
  <c r="G106" i="160" s="1"/>
  <c r="E411" i="8"/>
  <c r="G411" i="8" s="1"/>
  <c r="E107" i="160"/>
  <c r="G107" i="160" s="1"/>
  <c r="G52" i="160"/>
  <c r="I52" i="160"/>
  <c r="E372" i="8"/>
  <c r="G372" i="8" s="1"/>
  <c r="E74" i="160"/>
  <c r="G53" i="160"/>
  <c r="I53" i="160"/>
  <c r="E373" i="8"/>
  <c r="G373" i="8" s="1"/>
  <c r="E75" i="160"/>
  <c r="G75" i="160" s="1"/>
  <c r="F6" i="41"/>
  <c r="G227" i="8"/>
  <c r="G195" i="8" s="1"/>
  <c r="H7" i="41" s="1"/>
  <c r="R191" i="8"/>
  <c r="F193" i="8"/>
  <c r="G193" i="8" s="1"/>
  <c r="S193" i="8" s="1"/>
  <c r="G229" i="8"/>
  <c r="I7" i="41" s="1"/>
  <c r="R190" i="8"/>
  <c r="N41" i="28"/>
  <c r="E122" i="8" s="1"/>
  <c r="R122" i="8" s="1"/>
  <c r="E72" i="5"/>
  <c r="H72" i="5" s="1"/>
  <c r="N39" i="28"/>
  <c r="E120" i="8" s="1"/>
  <c r="E69" i="5"/>
  <c r="H69" i="5" s="1"/>
  <c r="N43" i="28"/>
  <c r="E124" i="8" s="1"/>
  <c r="E73" i="5"/>
  <c r="H73" i="5" s="1"/>
  <c r="P348" i="8"/>
  <c r="P200" i="8"/>
  <c r="U200" i="8" s="1"/>
  <c r="P425" i="8"/>
  <c r="P199" i="8"/>
  <c r="U199" i="8" s="1"/>
  <c r="P424" i="8"/>
  <c r="G6" i="41"/>
  <c r="P183" i="8"/>
  <c r="U183" i="8" s="1"/>
  <c r="R200" i="8"/>
  <c r="T348" i="8"/>
  <c r="P202" i="8"/>
  <c r="S202" i="8" s="1"/>
  <c r="T202" i="8"/>
  <c r="P420" i="8"/>
  <c r="T420" i="8"/>
  <c r="S399" i="8"/>
  <c r="T425" i="8"/>
  <c r="T424" i="8"/>
  <c r="T351" i="8"/>
  <c r="U351" i="8" s="1"/>
  <c r="T418" i="8"/>
  <c r="U418" i="8" s="1"/>
  <c r="T399" i="8"/>
  <c r="U399" i="8" s="1"/>
  <c r="T404" i="8"/>
  <c r="U404" i="8" s="1"/>
  <c r="T419" i="8"/>
  <c r="U419" i="8" s="1"/>
  <c r="T406" i="8"/>
  <c r="U406" i="8" s="1"/>
  <c r="T355" i="8"/>
  <c r="T346" i="8"/>
  <c r="U346" i="8" s="1"/>
  <c r="R415" i="8"/>
  <c r="S190" i="8"/>
  <c r="S72" i="8"/>
  <c r="U114" i="8"/>
  <c r="N412" i="8"/>
  <c r="U409" i="8"/>
  <c r="U411" i="8"/>
  <c r="U186" i="8"/>
  <c r="U407" i="8"/>
  <c r="R342" i="8"/>
  <c r="N423" i="8"/>
  <c r="P423" i="8" s="1"/>
  <c r="R422" i="8"/>
  <c r="N410" i="8"/>
  <c r="P410" i="8" s="1"/>
  <c r="N347" i="8"/>
  <c r="P347" i="8" s="1"/>
  <c r="N356" i="8"/>
  <c r="P356" i="8" s="1"/>
  <c r="U342" i="8"/>
  <c r="U11" i="8"/>
  <c r="R202" i="8"/>
  <c r="P355" i="8"/>
  <c r="R355" i="8"/>
  <c r="R346" i="8"/>
  <c r="R419" i="8"/>
  <c r="T31" i="8"/>
  <c r="U31" i="8" s="1"/>
  <c r="R199" i="8"/>
  <c r="T423" i="8"/>
  <c r="R344" i="8"/>
  <c r="R350" i="8"/>
  <c r="R348" i="8"/>
  <c r="R343" i="8"/>
  <c r="N349" i="8"/>
  <c r="P349" i="8" s="1"/>
  <c r="N353" i="8"/>
  <c r="R424" i="8"/>
  <c r="R183" i="8"/>
  <c r="R420" i="8"/>
  <c r="T206" i="8"/>
  <c r="U206" i="8" s="1"/>
  <c r="U182" i="8"/>
  <c r="T161" i="8"/>
  <c r="U161" i="8" s="1"/>
  <c r="S181" i="8"/>
  <c r="U184" i="8"/>
  <c r="T204" i="8"/>
  <c r="U204" i="8" s="1"/>
  <c r="U10" i="8"/>
  <c r="S192" i="8"/>
  <c r="U192" i="8"/>
  <c r="T181" i="8"/>
  <c r="U181" i="8" s="1"/>
  <c r="S161" i="8"/>
  <c r="S206" i="8"/>
  <c r="U421" i="8"/>
  <c r="T177" i="8"/>
  <c r="U177" i="8" s="1"/>
  <c r="S204" i="8"/>
  <c r="U9" i="8"/>
  <c r="T205" i="8"/>
  <c r="U205" i="8" s="1"/>
  <c r="S205" i="8"/>
  <c r="T198" i="8"/>
  <c r="U198" i="8" s="1"/>
  <c r="T197" i="8"/>
  <c r="U197" i="8" s="1"/>
  <c r="S197" i="8"/>
  <c r="T180" i="8"/>
  <c r="U180" i="8" s="1"/>
  <c r="S179" i="8"/>
  <c r="U179" i="8"/>
  <c r="S180" i="8"/>
  <c r="S198" i="8"/>
  <c r="S188" i="8"/>
  <c r="S178" i="8"/>
  <c r="S189" i="8"/>
  <c r="S187" i="8"/>
  <c r="S42" i="8"/>
  <c r="S185" i="8"/>
  <c r="S35" i="8"/>
  <c r="S38" i="8"/>
  <c r="S39" i="8"/>
  <c r="S32" i="8"/>
  <c r="S36" i="8"/>
  <c r="S191" i="8"/>
  <c r="S37" i="8"/>
  <c r="S43" i="8"/>
  <c r="T394" i="8"/>
  <c r="O394" i="8"/>
  <c r="P394" i="8" s="1"/>
  <c r="O353" i="8"/>
  <c r="T395" i="8"/>
  <c r="O395" i="8"/>
  <c r="P395" i="8" s="1"/>
  <c r="O350" i="8"/>
  <c r="P350" i="8" s="1"/>
  <c r="O336" i="8"/>
  <c r="T195" i="8"/>
  <c r="S9" i="8"/>
  <c r="P8" i="8"/>
  <c r="S407" i="8"/>
  <c r="T417" i="8"/>
  <c r="O417" i="8"/>
  <c r="P417" i="8" s="1"/>
  <c r="T422" i="8"/>
  <c r="O422" i="8"/>
  <c r="P422" i="8" s="1"/>
  <c r="O400" i="8"/>
  <c r="P400" i="8" s="1"/>
  <c r="O415" i="8"/>
  <c r="P415" i="8" s="1"/>
  <c r="O331" i="8"/>
  <c r="T396" i="8"/>
  <c r="O396" i="8"/>
  <c r="P396" i="8" s="1"/>
  <c r="T343" i="8"/>
  <c r="O343" i="8"/>
  <c r="P343" i="8" s="1"/>
  <c r="T405" i="8"/>
  <c r="O405" i="8"/>
  <c r="P405" i="8" s="1"/>
  <c r="J319" i="8"/>
  <c r="S186" i="8"/>
  <c r="S11" i="8"/>
  <c r="S184" i="8"/>
  <c r="S406" i="8"/>
  <c r="O329" i="8"/>
  <c r="O337" i="8"/>
  <c r="S10" i="8"/>
  <c r="P195" i="8"/>
  <c r="S418" i="8"/>
  <c r="S351" i="8"/>
  <c r="S409" i="8"/>
  <c r="S177" i="8"/>
  <c r="S421" i="8"/>
  <c r="I30" i="5"/>
  <c r="I23" i="5"/>
  <c r="I21" i="5"/>
  <c r="I20" i="5"/>
  <c r="I19" i="5"/>
  <c r="I16" i="5"/>
  <c r="I15" i="5"/>
  <c r="I14" i="5"/>
  <c r="I12" i="5"/>
  <c r="I11" i="5"/>
  <c r="I29" i="5"/>
  <c r="I12" i="41" l="1"/>
  <c r="I19" i="41"/>
  <c r="I15" i="41"/>
  <c r="I17" i="41" s="1"/>
  <c r="I16" i="41"/>
  <c r="I18" i="41"/>
  <c r="I10" i="41"/>
  <c r="I11" i="41" s="1"/>
  <c r="I13" i="41" s="1"/>
  <c r="R411" i="8"/>
  <c r="E367" i="8"/>
  <c r="G367" i="8" s="1"/>
  <c r="E69" i="160"/>
  <c r="G69" i="160" s="1"/>
  <c r="E370" i="8"/>
  <c r="G370" i="8" s="1"/>
  <c r="E72" i="160"/>
  <c r="G74" i="160"/>
  <c r="I74" i="160"/>
  <c r="E371" i="8"/>
  <c r="G371" i="8" s="1"/>
  <c r="E73" i="160"/>
  <c r="G176" i="8"/>
  <c r="M6" i="41"/>
  <c r="I8" i="41"/>
  <c r="S199" i="8"/>
  <c r="H8" i="41"/>
  <c r="S200" i="8"/>
  <c r="G122" i="8"/>
  <c r="S122" i="8" s="1"/>
  <c r="G124" i="8"/>
  <c r="S124" i="8" s="1"/>
  <c r="R124" i="8"/>
  <c r="R120" i="8"/>
  <c r="G120" i="8"/>
  <c r="U348" i="8"/>
  <c r="U425" i="8"/>
  <c r="U424" i="8"/>
  <c r="S183" i="8"/>
  <c r="U355" i="8"/>
  <c r="P353" i="8"/>
  <c r="U202" i="8"/>
  <c r="U420" i="8"/>
  <c r="T356" i="8"/>
  <c r="U356" i="8" s="1"/>
  <c r="S45" i="8"/>
  <c r="S346" i="8"/>
  <c r="T400" i="8"/>
  <c r="U400" i="8" s="1"/>
  <c r="S420" i="8"/>
  <c r="T350" i="8"/>
  <c r="U350" i="8" s="1"/>
  <c r="R425" i="8"/>
  <c r="S404" i="8"/>
  <c r="U422" i="8"/>
  <c r="S343" i="8"/>
  <c r="T410" i="8"/>
  <c r="U410" i="8" s="1"/>
  <c r="T412" i="8"/>
  <c r="R412" i="8"/>
  <c r="R410" i="8"/>
  <c r="P412" i="8"/>
  <c r="U396" i="8"/>
  <c r="U343" i="8"/>
  <c r="T347" i="8"/>
  <c r="U347" i="8" s="1"/>
  <c r="R356" i="8"/>
  <c r="R349" i="8"/>
  <c r="N408" i="8"/>
  <c r="T408" i="8"/>
  <c r="T349" i="8"/>
  <c r="U349" i="8" s="1"/>
  <c r="R423" i="8"/>
  <c r="U405" i="8"/>
  <c r="R353" i="8"/>
  <c r="U423" i="8"/>
  <c r="R347" i="8"/>
  <c r="U395" i="8"/>
  <c r="U394" i="8"/>
  <c r="T8" i="8"/>
  <c r="U8" i="8" s="1"/>
  <c r="T414" i="8"/>
  <c r="T415" i="8"/>
  <c r="U415" i="8" s="1"/>
  <c r="U417" i="8"/>
  <c r="T353" i="8"/>
  <c r="U195" i="8"/>
  <c r="S397" i="8"/>
  <c r="S356" i="8"/>
  <c r="S417" i="8"/>
  <c r="S400" i="8"/>
  <c r="S355" i="8"/>
  <c r="S31" i="8"/>
  <c r="S342" i="8"/>
  <c r="S405" i="8"/>
  <c r="S424" i="8"/>
  <c r="S425" i="8"/>
  <c r="S419" i="8"/>
  <c r="S348" i="8"/>
  <c r="O321" i="8"/>
  <c r="O344" i="8"/>
  <c r="P344" i="8" s="1"/>
  <c r="O403" i="8"/>
  <c r="P403" i="8" s="1"/>
  <c r="O325" i="8"/>
  <c r="S195" i="8"/>
  <c r="O320" i="8"/>
  <c r="S415" i="8"/>
  <c r="P414" i="8"/>
  <c r="S395" i="8"/>
  <c r="S394" i="8"/>
  <c r="T345" i="8"/>
  <c r="O345" i="8"/>
  <c r="P345" i="8" s="1"/>
  <c r="O332" i="8"/>
  <c r="S396" i="8"/>
  <c r="S422" i="8"/>
  <c r="S350" i="8"/>
  <c r="H27" i="41"/>
  <c r="F174" i="8" l="1"/>
  <c r="I20" i="41"/>
  <c r="I14" i="41"/>
  <c r="G73" i="160"/>
  <c r="I73" i="160"/>
  <c r="G72" i="160"/>
  <c r="I72" i="160"/>
  <c r="S120" i="8"/>
  <c r="G174" i="8"/>
  <c r="H9" i="41"/>
  <c r="U353" i="8"/>
  <c r="T344" i="8"/>
  <c r="U344" i="8" s="1"/>
  <c r="U412" i="8"/>
  <c r="N352" i="8"/>
  <c r="P352" i="8" s="1"/>
  <c r="T352" i="8"/>
  <c r="N357" i="8"/>
  <c r="P357" i="8" s="1"/>
  <c r="T357" i="8"/>
  <c r="O162" i="8"/>
  <c r="P162" i="8" s="1"/>
  <c r="N354" i="8"/>
  <c r="T354" i="8"/>
  <c r="T393" i="8"/>
  <c r="U345" i="8"/>
  <c r="R408" i="8"/>
  <c r="P408" i="8"/>
  <c r="U408" i="8" s="1"/>
  <c r="U414" i="8"/>
  <c r="T403" i="8"/>
  <c r="U403" i="8" s="1"/>
  <c r="S410" i="8"/>
  <c r="S182" i="8"/>
  <c r="S353" i="8"/>
  <c r="O330" i="8"/>
  <c r="S423" i="8"/>
  <c r="S403" i="8"/>
  <c r="S345" i="8"/>
  <c r="S344" i="8"/>
  <c r="O322" i="8"/>
  <c r="O323" i="8"/>
  <c r="O328" i="8"/>
  <c r="O324" i="8"/>
  <c r="H19" i="41" l="1"/>
  <c r="H12" i="41"/>
  <c r="I21" i="41"/>
  <c r="G113" i="8"/>
  <c r="H18" i="41"/>
  <c r="H15" i="41"/>
  <c r="H17" i="41" s="1"/>
  <c r="H10" i="41"/>
  <c r="H11" i="41" s="1"/>
  <c r="H16" i="41"/>
  <c r="G393" i="8"/>
  <c r="G9" i="41" s="1"/>
  <c r="S414" i="8"/>
  <c r="S349" i="8"/>
  <c r="T341" i="8"/>
  <c r="S162" i="8"/>
  <c r="S347" i="8"/>
  <c r="S408" i="8"/>
  <c r="U352" i="8"/>
  <c r="R352" i="8"/>
  <c r="P393" i="8"/>
  <c r="U393" i="8" s="1"/>
  <c r="R354" i="8"/>
  <c r="P354" i="8"/>
  <c r="S354" i="8" s="1"/>
  <c r="P113" i="8"/>
  <c r="T176" i="8"/>
  <c r="R357" i="8"/>
  <c r="G341" i="8"/>
  <c r="F9" i="41" s="1"/>
  <c r="T113" i="8"/>
  <c r="T162" i="8"/>
  <c r="U162" i="8" s="1"/>
  <c r="U357" i="8"/>
  <c r="S412" i="8"/>
  <c r="S411" i="8"/>
  <c r="S352" i="8"/>
  <c r="I27" i="41"/>
  <c r="G12" i="41" l="1"/>
  <c r="F12" i="41"/>
  <c r="F7" i="41"/>
  <c r="F19" i="41" s="1"/>
  <c r="H13" i="41"/>
  <c r="H14" i="41"/>
  <c r="H20" i="41"/>
  <c r="G10" i="41"/>
  <c r="G11" i="41" s="1"/>
  <c r="G18" i="41"/>
  <c r="G15" i="41"/>
  <c r="G17" i="41" s="1"/>
  <c r="G16" i="41"/>
  <c r="F15" i="41"/>
  <c r="F17" i="41" s="1"/>
  <c r="F10" i="41"/>
  <c r="F11" i="41" s="1"/>
  <c r="F18" i="41"/>
  <c r="F16" i="41"/>
  <c r="S113" i="8"/>
  <c r="P176" i="8"/>
  <c r="U176" i="8" s="1"/>
  <c r="G7" i="41"/>
  <c r="G19" i="41" s="1"/>
  <c r="U113" i="8"/>
  <c r="U354" i="8"/>
  <c r="P341" i="8"/>
  <c r="U341" i="8" s="1"/>
  <c r="S357" i="8"/>
  <c r="S393" i="8"/>
  <c r="F8" i="41" l="1"/>
  <c r="H21" i="41"/>
  <c r="G13" i="41"/>
  <c r="G14" i="41"/>
  <c r="F14" i="41"/>
  <c r="F13" i="41"/>
  <c r="F20" i="41"/>
  <c r="G20" i="41"/>
  <c r="G8" i="41"/>
  <c r="S176" i="8"/>
  <c r="S341" i="8"/>
  <c r="P111" i="8"/>
  <c r="T111" i="8"/>
  <c r="T588" i="8"/>
  <c r="G21" i="41" l="1"/>
  <c r="I22" i="41"/>
  <c r="U111" i="8"/>
  <c r="P588" i="8"/>
  <c r="I23" i="41" l="1"/>
  <c r="I24" i="41" s="1"/>
  <c r="I25" i="41" s="1"/>
  <c r="G22" i="41"/>
  <c r="U588" i="8"/>
  <c r="I28" i="41" l="1"/>
  <c r="G23" i="41"/>
  <c r="G24" i="41" s="1"/>
  <c r="G25" i="41" s="1"/>
  <c r="I26" i="41"/>
  <c r="H22" i="41"/>
  <c r="H23" i="41" s="1"/>
  <c r="H24" i="41" s="1"/>
  <c r="H28" i="41" s="1"/>
  <c r="H25" i="41" l="1"/>
  <c r="H26" i="41" l="1"/>
  <c r="K6" i="41" l="1"/>
  <c r="P6" i="8" l="1"/>
  <c r="P5" i="8" l="1"/>
  <c r="P587" i="8"/>
  <c r="P584" i="8" l="1"/>
  <c r="P586" i="8"/>
  <c r="T6" i="8"/>
  <c r="U6" i="8" s="1"/>
  <c r="T5" i="8"/>
  <c r="U5" i="8" s="1"/>
  <c r="F27" i="41" l="1"/>
  <c r="E23" i="9"/>
  <c r="S8" i="8"/>
  <c r="P599" i="8"/>
  <c r="T587" i="8"/>
  <c r="U587" i="8" s="1"/>
  <c r="E21" i="9" l="1"/>
  <c r="S6" i="8"/>
  <c r="G27" i="41"/>
  <c r="K27" i="41" s="1"/>
  <c r="T584" i="8"/>
  <c r="U584" i="8" s="1"/>
  <c r="T586" i="8"/>
  <c r="U586" i="8" s="1"/>
  <c r="E15" i="9" l="1"/>
  <c r="S584" i="8"/>
  <c r="G599" i="8"/>
  <c r="M27" i="41" s="1"/>
  <c r="S587" i="8"/>
  <c r="G26" i="41"/>
  <c r="G28" i="41"/>
  <c r="T599" i="8"/>
  <c r="U599" i="8" s="1"/>
  <c r="P604" i="8"/>
  <c r="P609" i="8" s="1"/>
  <c r="D6" i="11" l="1"/>
  <c r="C19" i="12"/>
  <c r="C11" i="12" s="1"/>
  <c r="E8" i="9"/>
  <c r="S599" i="8"/>
  <c r="N320" i="8"/>
  <c r="P320" i="8" s="1"/>
  <c r="F29" i="13" l="1"/>
  <c r="C9" i="14"/>
  <c r="D23" i="11"/>
  <c r="E23" i="11" s="1"/>
  <c r="E6" i="11"/>
  <c r="R320" i="8"/>
  <c r="T320" i="8"/>
  <c r="U320" i="8" s="1"/>
  <c r="S320" i="8" l="1"/>
  <c r="T334" i="8"/>
  <c r="N334" i="8"/>
  <c r="P334" i="8" s="1"/>
  <c r="T322" i="8"/>
  <c r="N327" i="8"/>
  <c r="P327" i="8" s="1"/>
  <c r="T327" i="8"/>
  <c r="N323" i="8"/>
  <c r="P323" i="8" s="1"/>
  <c r="T330" i="8"/>
  <c r="T333" i="8"/>
  <c r="T324" i="8"/>
  <c r="N328" i="8"/>
  <c r="P328" i="8" s="1"/>
  <c r="N335" i="8"/>
  <c r="P335" i="8" s="1"/>
  <c r="N331" i="8"/>
  <c r="P331" i="8" s="1"/>
  <c r="N336" i="8"/>
  <c r="P336" i="8" s="1"/>
  <c r="T329" i="8"/>
  <c r="N329" i="8"/>
  <c r="P329" i="8" s="1"/>
  <c r="N339" i="8"/>
  <c r="P339" i="8" s="1"/>
  <c r="T337" i="8"/>
  <c r="T332" i="8"/>
  <c r="N325" i="8"/>
  <c r="P325" i="8" s="1"/>
  <c r="N321" i="8"/>
  <c r="P321" i="8" s="1"/>
  <c r="T321" i="8"/>
  <c r="U334" i="8" l="1"/>
  <c r="U329" i="8"/>
  <c r="T339" i="8"/>
  <c r="N332" i="8"/>
  <c r="P332" i="8" s="1"/>
  <c r="U332" i="8" s="1"/>
  <c r="U327" i="8"/>
  <c r="N322" i="8"/>
  <c r="P322" i="8" s="1"/>
  <c r="U322" i="8" s="1"/>
  <c r="N330" i="8"/>
  <c r="P330" i="8" s="1"/>
  <c r="U330" i="8" s="1"/>
  <c r="T328" i="8"/>
  <c r="U328" i="8" s="1"/>
  <c r="N333" i="8"/>
  <c r="P333" i="8" s="1"/>
  <c r="U333" i="8" s="1"/>
  <c r="T325" i="8"/>
  <c r="U325" i="8" s="1"/>
  <c r="R321" i="8"/>
  <c r="U339" i="8"/>
  <c r="U321" i="8"/>
  <c r="R329" i="8"/>
  <c r="N324" i="8"/>
  <c r="P324" i="8" s="1"/>
  <c r="U324" i="8" s="1"/>
  <c r="R331" i="8"/>
  <c r="R325" i="8"/>
  <c r="T323" i="8"/>
  <c r="U323" i="8" s="1"/>
  <c r="R323" i="8"/>
  <c r="R328" i="8"/>
  <c r="R339" i="8"/>
  <c r="N338" i="8"/>
  <c r="P338" i="8" s="1"/>
  <c r="T338" i="8"/>
  <c r="T331" i="8"/>
  <c r="U331" i="8" s="1"/>
  <c r="T335" i="8"/>
  <c r="U335" i="8" s="1"/>
  <c r="N337" i="8"/>
  <c r="P337" i="8" s="1"/>
  <c r="U337" i="8" s="1"/>
  <c r="T336" i="8"/>
  <c r="U336" i="8" s="1"/>
  <c r="R336" i="8"/>
  <c r="R333" i="8" l="1"/>
  <c r="R330" i="8"/>
  <c r="R322" i="8"/>
  <c r="R324" i="8"/>
  <c r="P319" i="8"/>
  <c r="P318" i="8" s="1"/>
  <c r="I337" i="8"/>
  <c r="R337" i="8"/>
  <c r="S324" i="8"/>
  <c r="S331" i="8"/>
  <c r="R338" i="8"/>
  <c r="S322" i="8"/>
  <c r="R332" i="8"/>
  <c r="R327" i="8"/>
  <c r="S325" i="8"/>
  <c r="S328" i="8"/>
  <c r="R335" i="8"/>
  <c r="U338" i="8"/>
  <c r="S323" i="8"/>
  <c r="S339" i="8"/>
  <c r="S329" i="8"/>
  <c r="S321" i="8"/>
  <c r="I334" i="8"/>
  <c r="R334" i="8"/>
  <c r="S330" i="8"/>
  <c r="S336" i="8"/>
  <c r="S333" i="8"/>
  <c r="S335" i="8" l="1"/>
  <c r="O567" i="8"/>
  <c r="P567" i="8" s="1"/>
  <c r="O572" i="8"/>
  <c r="O573" i="8"/>
  <c r="O568" i="8"/>
  <c r="P568" i="8" s="1"/>
  <c r="O557" i="8"/>
  <c r="P557" i="8" s="1"/>
  <c r="O570" i="8"/>
  <c r="P570" i="8" s="1"/>
  <c r="P590" i="8"/>
  <c r="P572" i="8"/>
  <c r="P573" i="8"/>
  <c r="O564" i="8"/>
  <c r="P564" i="8" s="1"/>
  <c r="S334" i="8"/>
  <c r="S327" i="8"/>
  <c r="S337" i="8"/>
  <c r="T319" i="8"/>
  <c r="U319" i="8" s="1"/>
  <c r="S332" i="8"/>
  <c r="S338" i="8"/>
  <c r="S319" i="8" l="1"/>
  <c r="O569" i="8"/>
  <c r="P569" i="8" s="1"/>
  <c r="P571" i="8"/>
  <c r="T318" i="8"/>
  <c r="U318" i="8" s="1"/>
  <c r="T573" i="8"/>
  <c r="U573" i="8" s="1"/>
  <c r="P556" i="8"/>
  <c r="P591" i="8" l="1"/>
  <c r="P589" i="8" s="1"/>
  <c r="P317" i="8"/>
  <c r="T570" i="8"/>
  <c r="U570" i="8" s="1"/>
  <c r="T590" i="8"/>
  <c r="U590" i="8" s="1"/>
  <c r="T572" i="8"/>
  <c r="U572" i="8" s="1"/>
  <c r="T564" i="8"/>
  <c r="U564" i="8" s="1"/>
  <c r="T568" i="8"/>
  <c r="U568" i="8" s="1"/>
  <c r="T567" i="8"/>
  <c r="U567" i="8" s="1"/>
  <c r="T557" i="8"/>
  <c r="U557" i="8" s="1"/>
  <c r="T571" i="8" l="1"/>
  <c r="U571" i="8" s="1"/>
  <c r="O565" i="8"/>
  <c r="P565" i="8" s="1"/>
  <c r="O566" i="8"/>
  <c r="P566" i="8" s="1"/>
  <c r="O574" i="8"/>
  <c r="P574" i="8" s="1"/>
  <c r="T569" i="8"/>
  <c r="U569" i="8" s="1"/>
  <c r="T556" i="8"/>
  <c r="U556" i="8" s="1"/>
  <c r="F21" i="41" l="1"/>
  <c r="P562" i="8"/>
  <c r="T317" i="8"/>
  <c r="U317" i="8" s="1"/>
  <c r="T591" i="8"/>
  <c r="U591" i="8" s="1"/>
  <c r="F22" i="41" l="1"/>
  <c r="F23" i="41" s="1"/>
  <c r="P594" i="8"/>
  <c r="P592" i="8" s="1"/>
  <c r="P559" i="8"/>
  <c r="O578" i="8"/>
  <c r="P578" i="8" s="1"/>
  <c r="P577" i="8" s="1"/>
  <c r="P595" i="8" s="1"/>
  <c r="T589" i="8"/>
  <c r="U589" i="8" s="1"/>
  <c r="T566" i="8"/>
  <c r="U566" i="8" s="1"/>
  <c r="T574" i="8"/>
  <c r="U574" i="8" s="1"/>
  <c r="T565" i="8"/>
  <c r="U565" i="8" s="1"/>
  <c r="F24" i="41" l="1"/>
  <c r="O581" i="8"/>
  <c r="P581" i="8" s="1"/>
  <c r="P580" i="8" s="1"/>
  <c r="T562" i="8"/>
  <c r="U562" i="8" s="1"/>
  <c r="P596" i="8" l="1"/>
  <c r="T594" i="8"/>
  <c r="U594" i="8" s="1"/>
  <c r="T559" i="8"/>
  <c r="U559" i="8" s="1"/>
  <c r="T578" i="8"/>
  <c r="U578" i="8" s="1"/>
  <c r="F25" i="41" l="1"/>
  <c r="F28" i="41"/>
  <c r="F26" i="41"/>
  <c r="T592" i="8"/>
  <c r="U592" i="8" s="1"/>
  <c r="P585" i="8"/>
  <c r="T577" i="8"/>
  <c r="U577" i="8" s="1"/>
  <c r="P600" i="8" l="1"/>
  <c r="P583" i="8"/>
  <c r="T595" i="8"/>
  <c r="U595" i="8" s="1"/>
  <c r="T581" i="8"/>
  <c r="U581" i="8" s="1"/>
  <c r="T580" i="8" l="1"/>
  <c r="U580" i="8" s="1"/>
  <c r="P601" i="8"/>
  <c r="P598" i="8"/>
  <c r="T596" i="8" l="1"/>
  <c r="U596" i="8" s="1"/>
  <c r="T585" i="8" l="1"/>
  <c r="U585" i="8" s="1"/>
  <c r="P605" i="8" l="1"/>
  <c r="P610" i="8" s="1"/>
  <c r="T600" i="8"/>
  <c r="U600" i="8" s="1"/>
  <c r="T583" i="8"/>
  <c r="U583" i="8" s="1"/>
  <c r="P606" i="8" l="1"/>
  <c r="P611" i="8" s="1"/>
  <c r="T601" i="8"/>
  <c r="U601" i="8" s="1"/>
  <c r="T598" i="8"/>
  <c r="U598" i="8" s="1"/>
  <c r="P603" i="8"/>
  <c r="P608" i="8" s="1"/>
  <c r="W134" i="153" l="1"/>
  <c r="AC127" i="153"/>
  <c r="AC89" i="153"/>
  <c r="J81" i="153"/>
  <c r="H81" i="153" s="1"/>
  <c r="E269" i="8" s="1"/>
  <c r="G269" i="8" s="1"/>
  <c r="AC156" i="153" l="1"/>
  <c r="AC157" i="153" s="1"/>
  <c r="J89" i="153"/>
  <c r="H89" i="153" s="1"/>
  <c r="E277" i="8" s="1"/>
  <c r="G277" i="8" s="1"/>
  <c r="F315" i="8" s="1"/>
  <c r="G315" i="8" s="1"/>
  <c r="J127" i="153"/>
  <c r="AC129" i="153"/>
  <c r="AD128" i="153"/>
  <c r="J156" i="153"/>
  <c r="G249" i="8" l="1"/>
  <c r="J7" i="41" s="1"/>
  <c r="AD133" i="153"/>
  <c r="AD134" i="153" s="1"/>
  <c r="AD132" i="153"/>
  <c r="AC133" i="153"/>
  <c r="AC134" i="153" s="1"/>
  <c r="AC132" i="153"/>
  <c r="AC162" i="153"/>
  <c r="AC163" i="153" s="1"/>
  <c r="AC161" i="153"/>
  <c r="J161" i="153" s="1"/>
  <c r="J157" i="153"/>
  <c r="E222" i="5" s="1"/>
  <c r="K7" i="41" l="1"/>
  <c r="H222" i="5"/>
  <c r="J162" i="153"/>
  <c r="J8" i="41"/>
  <c r="K8" i="41" s="1"/>
  <c r="G588" i="8" l="1"/>
  <c r="E27" i="9"/>
  <c r="S111" i="8"/>
  <c r="M7" i="41"/>
  <c r="E16" i="9"/>
  <c r="E519" i="8"/>
  <c r="G519" i="8" s="1"/>
  <c r="E215" i="160"/>
  <c r="G215" i="160" s="1"/>
  <c r="G586" i="8"/>
  <c r="S586" i="8" s="1"/>
  <c r="S588" i="8"/>
  <c r="E14" i="9"/>
  <c r="D7" i="11"/>
  <c r="C20" i="12"/>
  <c r="M8" i="41"/>
  <c r="S5" i="8"/>
  <c r="C17" i="12" l="1"/>
  <c r="E8" i="14"/>
  <c r="E7" i="11"/>
  <c r="J129" i="153"/>
  <c r="P132" i="153"/>
  <c r="E208" i="5" l="1"/>
  <c r="H208" i="5" s="1"/>
  <c r="P133" i="153"/>
  <c r="P134" i="153" s="1"/>
  <c r="J130" i="153"/>
  <c r="AT128" i="153"/>
  <c r="AT132" i="153" s="1"/>
  <c r="J132" i="153" s="1"/>
  <c r="E505" i="8" l="1"/>
  <c r="G505" i="8" s="1"/>
  <c r="E201" i="160"/>
  <c r="G201" i="160" s="1"/>
  <c r="J128" i="153"/>
  <c r="E209" i="5"/>
  <c r="H209" i="5" s="1"/>
  <c r="I201" i="160"/>
  <c r="AT133" i="153"/>
  <c r="AT134" i="153" s="1"/>
  <c r="E207" i="5" l="1"/>
  <c r="H207" i="5" s="1"/>
  <c r="J133" i="153"/>
  <c r="E506" i="8"/>
  <c r="G506" i="8" s="1"/>
  <c r="E202" i="160"/>
  <c r="E200" i="160" l="1"/>
  <c r="E504" i="8"/>
  <c r="G504" i="8" s="1"/>
  <c r="G202" i="160"/>
  <c r="I202" i="160"/>
  <c r="G200" i="160"/>
  <c r="I200" i="160"/>
  <c r="I251" i="160" s="1"/>
  <c r="G461" i="8" l="1"/>
  <c r="J9" i="41" s="1"/>
  <c r="J12" i="41" l="1"/>
  <c r="J19" i="41"/>
  <c r="K19" i="41" s="1"/>
  <c r="G318" i="8"/>
  <c r="F570" i="8" s="1"/>
  <c r="G570" i="8" s="1"/>
  <c r="J25" i="9" s="1"/>
  <c r="J15" i="41"/>
  <c r="J10" i="41"/>
  <c r="K10" i="41" s="1"/>
  <c r="J16" i="41"/>
  <c r="K16" i="41" s="1"/>
  <c r="K9" i="41"/>
  <c r="J18" i="41"/>
  <c r="K18" i="41" s="1"/>
  <c r="K12" i="41"/>
  <c r="E34" i="9"/>
  <c r="F564" i="8"/>
  <c r="G564" i="8" s="1"/>
  <c r="J19" i="9" s="1"/>
  <c r="S318" i="8"/>
  <c r="K11" i="41" l="1"/>
  <c r="S570" i="8"/>
  <c r="S573" i="8"/>
  <c r="M18" i="41"/>
  <c r="F568" i="8"/>
  <c r="S568" i="8" s="1"/>
  <c r="F572" i="8"/>
  <c r="G590" i="8"/>
  <c r="S590" i="8" s="1"/>
  <c r="M9" i="41"/>
  <c r="F557" i="8"/>
  <c r="G557" i="8" s="1"/>
  <c r="G556" i="8" s="1"/>
  <c r="M10" i="41" s="1"/>
  <c r="F567" i="8"/>
  <c r="J22" i="9" s="1"/>
  <c r="J11" i="41"/>
  <c r="J13" i="41" s="1"/>
  <c r="K13" i="41" s="1"/>
  <c r="J17" i="41"/>
  <c r="K17" i="41" s="1"/>
  <c r="K15" i="41"/>
  <c r="M12" i="41"/>
  <c r="S564" i="8"/>
  <c r="S572" i="8" l="1"/>
  <c r="G571" i="8"/>
  <c r="S571" i="8" s="1"/>
  <c r="S557" i="8"/>
  <c r="S567" i="8"/>
  <c r="M15" i="41"/>
  <c r="J14" i="41"/>
  <c r="K14" i="41" s="1"/>
  <c r="J20" i="41"/>
  <c r="K20" i="41" s="1"/>
  <c r="F569" i="8"/>
  <c r="J24" i="9" s="1"/>
  <c r="J23" i="9"/>
  <c r="M16" i="41"/>
  <c r="E35" i="9"/>
  <c r="E32" i="9" s="1"/>
  <c r="G317" i="8"/>
  <c r="F566" i="8" s="1"/>
  <c r="G566" i="8" s="1"/>
  <c r="M14" i="41" s="1"/>
  <c r="G591" i="8"/>
  <c r="G589" i="8" s="1"/>
  <c r="S556" i="8"/>
  <c r="J26" i="9" l="1"/>
  <c r="M19" i="41"/>
  <c r="J21" i="41"/>
  <c r="J22" i="41" s="1"/>
  <c r="J23" i="41" s="1"/>
  <c r="K23" i="41" s="1"/>
  <c r="M17" i="41"/>
  <c r="S569" i="8"/>
  <c r="S591" i="8"/>
  <c r="F565" i="8"/>
  <c r="G565" i="8" s="1"/>
  <c r="J20" i="9" s="1"/>
  <c r="S589" i="8"/>
  <c r="E30" i="9"/>
  <c r="E9" i="14" s="1"/>
  <c r="M11" i="41"/>
  <c r="S317" i="8"/>
  <c r="F574" i="8"/>
  <c r="G574" i="8" s="1"/>
  <c r="S566" i="8"/>
  <c r="J21" i="9"/>
  <c r="D10" i="11"/>
  <c r="E10" i="11" s="1"/>
  <c r="K22" i="41" l="1"/>
  <c r="K21" i="41"/>
  <c r="M13" i="41"/>
  <c r="S565" i="8"/>
  <c r="C21" i="12"/>
  <c r="S574" i="8"/>
  <c r="J27" i="9"/>
  <c r="G562" i="8"/>
  <c r="M21" i="41" s="1"/>
  <c r="M20" i="41"/>
  <c r="J16" i="9"/>
  <c r="J14" i="9" s="1"/>
  <c r="J24" i="41"/>
  <c r="K24" i="41" s="1"/>
  <c r="F578" i="8" l="1"/>
  <c r="G578" i="8" s="1"/>
  <c r="G577" i="8" s="1"/>
  <c r="S577" i="8" s="1"/>
  <c r="G559" i="8"/>
  <c r="S559" i="8" s="1"/>
  <c r="G594" i="8"/>
  <c r="S562" i="8"/>
  <c r="G592" i="8"/>
  <c r="S592" i="8" s="1"/>
  <c r="D13" i="11"/>
  <c r="E13" i="11" s="1"/>
  <c r="S594" i="8"/>
  <c r="E10" i="14"/>
  <c r="C25" i="12"/>
  <c r="C22" i="12" s="1"/>
  <c r="J28" i="41"/>
  <c r="K28" i="41" s="1"/>
  <c r="J26" i="41"/>
  <c r="K26" i="41" s="1"/>
  <c r="J25" i="41"/>
  <c r="K25" i="41" s="1"/>
  <c r="F581" i="8" l="1"/>
  <c r="G581" i="8" s="1"/>
  <c r="S581" i="8" s="1"/>
  <c r="J30" i="9"/>
  <c r="S578" i="8"/>
  <c r="M22" i="41"/>
  <c r="G595" i="8"/>
  <c r="S595" i="8" s="1"/>
  <c r="G580" i="8"/>
  <c r="G596" i="8" s="1"/>
  <c r="E11" i="14"/>
  <c r="C26" i="12"/>
  <c r="D16" i="11"/>
  <c r="E16" i="11" s="1"/>
  <c r="J32" i="9" l="1"/>
  <c r="G585" i="8"/>
  <c r="G600" i="8" s="1"/>
  <c r="G598" i="8" s="1"/>
  <c r="Y593" i="8" s="1"/>
  <c r="M23" i="41"/>
  <c r="S580" i="8"/>
  <c r="E12" i="14"/>
  <c r="C27" i="12"/>
  <c r="C12" i="12" s="1"/>
  <c r="C9" i="12" s="1"/>
  <c r="D19" i="11"/>
  <c r="E9" i="9"/>
  <c r="E12" i="9"/>
  <c r="Z585" i="8" l="1"/>
  <c r="AC592" i="8" s="1"/>
  <c r="E7" i="9"/>
  <c r="S596" i="8"/>
  <c r="E19" i="11"/>
  <c r="D24" i="11"/>
  <c r="E24" i="11" s="1"/>
  <c r="F30" i="13"/>
  <c r="F28" i="13" s="1"/>
  <c r="B7" i="14"/>
  <c r="E10" i="9"/>
  <c r="C10" i="14"/>
  <c r="B6" i="14" s="1"/>
  <c r="G583" i="8" l="1"/>
  <c r="M28" i="41" s="1"/>
  <c r="S585" i="8"/>
  <c r="C6" i="12"/>
  <c r="M24" i="41"/>
  <c r="S600" i="8"/>
  <c r="G601" i="8"/>
  <c r="C11" i="14"/>
  <c r="F31" i="13"/>
  <c r="B5" i="14"/>
  <c r="E27" i="13"/>
  <c r="A6" i="12" l="1"/>
  <c r="S583" i="8"/>
  <c r="M26" i="41"/>
  <c r="S598" i="8"/>
  <c r="A7" i="12"/>
  <c r="S601" i="8"/>
  <c r="M25" i="41"/>
  <c r="C7"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Windows 사용자</author>
    <author>USER</author>
  </authors>
  <commentList>
    <comment ref="K9" authorId="0" shapeId="0" xr:uid="{0BE987D5-D9D4-41C2-A195-F50D73924F68}">
      <text>
        <r>
          <rPr>
            <b/>
            <sz val="9"/>
            <color indexed="81"/>
            <rFont val="돋움"/>
            <family val="3"/>
            <charset val="129"/>
          </rPr>
          <t>증폭기</t>
        </r>
        <r>
          <rPr>
            <b/>
            <sz val="9"/>
            <color indexed="81"/>
            <rFont val="Tahoma"/>
            <family val="2"/>
          </rPr>
          <t xml:space="preserve"> </t>
        </r>
        <r>
          <rPr>
            <b/>
            <sz val="9"/>
            <color indexed="81"/>
            <rFont val="돋움"/>
            <family val="3"/>
            <charset val="129"/>
          </rPr>
          <t>장착시</t>
        </r>
        <r>
          <rPr>
            <b/>
            <sz val="9"/>
            <color indexed="81"/>
            <rFont val="Tahoma"/>
            <family val="2"/>
          </rPr>
          <t xml:space="preserve"> 40km </t>
        </r>
        <r>
          <rPr>
            <b/>
            <sz val="9"/>
            <color indexed="81"/>
            <rFont val="돋움"/>
            <family val="3"/>
            <charset val="129"/>
          </rPr>
          <t>설치</t>
        </r>
        <r>
          <rPr>
            <b/>
            <sz val="9"/>
            <color indexed="81"/>
            <rFont val="Tahoma"/>
            <family val="2"/>
          </rPr>
          <t xml:space="preserve"> </t>
        </r>
        <r>
          <rPr>
            <b/>
            <sz val="9"/>
            <color indexed="81"/>
            <rFont val="돋움"/>
            <family val="3"/>
            <charset val="129"/>
          </rPr>
          <t>가능</t>
        </r>
      </text>
    </comment>
    <comment ref="H14" authorId="1" shapeId="0" xr:uid="{00000000-0006-0000-0C00-000003000000}">
      <text>
        <r>
          <rPr>
            <b/>
            <sz val="9"/>
            <color indexed="81"/>
            <rFont val="돋움"/>
            <family val="3"/>
            <charset val="129"/>
          </rPr>
          <t>챔프케이블</t>
        </r>
        <r>
          <rPr>
            <b/>
            <sz val="9"/>
            <color indexed="81"/>
            <rFont val="Tahoma"/>
            <family val="2"/>
          </rPr>
          <t xml:space="preserve">(15m), </t>
        </r>
        <r>
          <rPr>
            <b/>
            <sz val="9"/>
            <color indexed="81"/>
            <rFont val="돋움"/>
            <family val="3"/>
            <charset val="129"/>
          </rPr>
          <t>광점퍼케이블</t>
        </r>
        <r>
          <rPr>
            <b/>
            <sz val="9"/>
            <color indexed="81"/>
            <rFont val="Tahoma"/>
            <family val="2"/>
          </rPr>
          <t xml:space="preserve">, </t>
        </r>
        <r>
          <rPr>
            <b/>
            <sz val="9"/>
            <color indexed="81"/>
            <rFont val="돋움"/>
            <family val="3"/>
            <charset val="129"/>
          </rPr>
          <t>접점용</t>
        </r>
        <r>
          <rPr>
            <b/>
            <sz val="9"/>
            <color indexed="81"/>
            <rFont val="Tahoma"/>
            <family val="2"/>
          </rPr>
          <t xml:space="preserve"> </t>
        </r>
        <r>
          <rPr>
            <b/>
            <sz val="9"/>
            <color indexed="81"/>
            <rFont val="돋움"/>
            <family val="3"/>
            <charset val="129"/>
          </rPr>
          <t>케이블</t>
        </r>
        <r>
          <rPr>
            <b/>
            <sz val="9"/>
            <color indexed="81"/>
            <rFont val="Tahoma"/>
            <family val="2"/>
          </rPr>
          <t>/</t>
        </r>
        <r>
          <rPr>
            <b/>
            <sz val="9"/>
            <color indexed="81"/>
            <rFont val="돋움"/>
            <family val="3"/>
            <charset val="129"/>
          </rPr>
          <t>단자대</t>
        </r>
        <r>
          <rPr>
            <b/>
            <sz val="9"/>
            <color indexed="81"/>
            <rFont val="Tahoma"/>
            <family val="2"/>
          </rPr>
          <t xml:space="preserve"> </t>
        </r>
        <r>
          <rPr>
            <b/>
            <sz val="9"/>
            <color indexed="81"/>
            <rFont val="돋움"/>
            <family val="3"/>
            <charset val="129"/>
          </rPr>
          <t>포함</t>
        </r>
        <r>
          <rPr>
            <b/>
            <sz val="9"/>
            <color indexed="81"/>
            <rFont val="Tahoma"/>
            <family val="2"/>
          </rPr>
          <t xml:space="preserve">,
</t>
        </r>
        <r>
          <rPr>
            <b/>
            <sz val="9"/>
            <color indexed="81"/>
            <rFont val="돋움"/>
            <family val="3"/>
            <charset val="129"/>
          </rPr>
          <t>챔프케이블</t>
        </r>
        <r>
          <rPr>
            <b/>
            <sz val="9"/>
            <color indexed="81"/>
            <rFont val="Tahoma"/>
            <family val="2"/>
          </rPr>
          <t>(E1,G.703)</t>
        </r>
        <r>
          <rPr>
            <b/>
            <sz val="9"/>
            <color indexed="81"/>
            <rFont val="돋움"/>
            <family val="3"/>
            <charset val="129"/>
          </rPr>
          <t>은</t>
        </r>
        <r>
          <rPr>
            <b/>
            <sz val="9"/>
            <color indexed="81"/>
            <rFont val="Tahoma"/>
            <family val="2"/>
          </rPr>
          <t xml:space="preserve"> QDF/IDF</t>
        </r>
        <r>
          <rPr>
            <b/>
            <sz val="9"/>
            <color indexed="81"/>
            <rFont val="돋움"/>
            <family val="3"/>
            <charset val="129"/>
          </rPr>
          <t>에</t>
        </r>
        <r>
          <rPr>
            <b/>
            <sz val="9"/>
            <color indexed="81"/>
            <rFont val="Tahoma"/>
            <family val="2"/>
          </rPr>
          <t xml:space="preserve"> </t>
        </r>
        <r>
          <rPr>
            <b/>
            <sz val="9"/>
            <color indexed="81"/>
            <rFont val="돋움"/>
            <family val="3"/>
            <charset val="129"/>
          </rPr>
          <t>수용</t>
        </r>
      </text>
    </comment>
    <comment ref="E16" authorId="0" shapeId="0" xr:uid="{E774FC45-ABBC-483F-AF92-37B6AE080B2B}">
      <text>
        <r>
          <rPr>
            <b/>
            <sz val="9"/>
            <color indexed="81"/>
            <rFont val="돋움"/>
            <family val="3"/>
            <charset val="129"/>
          </rPr>
          <t>전력거래소</t>
        </r>
        <r>
          <rPr>
            <b/>
            <sz val="9"/>
            <color indexed="81"/>
            <rFont val="Tahoma"/>
            <family val="2"/>
          </rPr>
          <t xml:space="preserve"> EMS </t>
        </r>
        <r>
          <rPr>
            <b/>
            <sz val="9"/>
            <color indexed="81"/>
            <rFont val="돋움"/>
            <family val="3"/>
            <charset val="129"/>
          </rPr>
          <t>용</t>
        </r>
      </text>
    </comment>
    <comment ref="H16" authorId="0" shapeId="0" xr:uid="{49B2F61D-51A2-45FD-B449-A1A3D71CD4B6}">
      <text>
        <r>
          <rPr>
            <b/>
            <sz val="9"/>
            <color indexed="81"/>
            <rFont val="Tahoma"/>
            <family val="2"/>
          </rPr>
          <t>Administrator:</t>
        </r>
        <r>
          <rPr>
            <sz val="9"/>
            <color indexed="81"/>
            <rFont val="Tahoma"/>
            <family val="2"/>
          </rPr>
          <t xml:space="preserve">
</t>
        </r>
      </text>
    </comment>
    <comment ref="K24" authorId="0" shapeId="0" xr:uid="{E1591B51-B386-4001-B8AB-D3FB7CEFFB4F}">
      <text>
        <r>
          <rPr>
            <b/>
            <sz val="9"/>
            <color indexed="81"/>
            <rFont val="돋움"/>
            <family val="3"/>
            <charset val="129"/>
          </rPr>
          <t>지중고장점</t>
        </r>
        <r>
          <rPr>
            <b/>
            <sz val="9"/>
            <color indexed="81"/>
            <rFont val="Tahoma"/>
            <family val="2"/>
          </rPr>
          <t xml:space="preserve"> 
</t>
        </r>
        <r>
          <rPr>
            <b/>
            <sz val="9"/>
            <color indexed="81"/>
            <rFont val="돋움"/>
            <family val="3"/>
            <charset val="129"/>
          </rPr>
          <t>감시시스템용</t>
        </r>
      </text>
    </comment>
    <comment ref="K25" authorId="0" shapeId="0" xr:uid="{A69C42AA-5580-415A-ABEF-74B79E251853}">
      <text>
        <r>
          <rPr>
            <sz val="9"/>
            <color indexed="81"/>
            <rFont val="돋움"/>
            <family val="3"/>
            <charset val="129"/>
          </rPr>
          <t>가평</t>
        </r>
        <r>
          <rPr>
            <sz val="9"/>
            <color indexed="81"/>
            <rFont val="Tahoma"/>
            <family val="2"/>
          </rPr>
          <t>~</t>
        </r>
        <r>
          <rPr>
            <sz val="9"/>
            <color indexed="81"/>
            <rFont val="돋움"/>
            <family val="3"/>
            <charset val="129"/>
          </rPr>
          <t>동강</t>
        </r>
        <r>
          <rPr>
            <sz val="9"/>
            <color indexed="81"/>
            <rFont val="Tahoma"/>
            <family val="2"/>
          </rPr>
          <t xml:space="preserve"> 2
</t>
        </r>
      </text>
    </comment>
    <comment ref="L25" authorId="0" shapeId="0" xr:uid="{744E46B0-15EF-48BB-8741-D7BC2918F0F9}">
      <text>
        <r>
          <rPr>
            <b/>
            <sz val="9"/>
            <color indexed="81"/>
            <rFont val="돋움"/>
            <family val="3"/>
            <charset val="129"/>
          </rPr>
          <t>가평</t>
        </r>
        <r>
          <rPr>
            <b/>
            <sz val="9"/>
            <color indexed="81"/>
            <rFont val="Tahoma"/>
            <family val="2"/>
          </rPr>
          <t>~</t>
        </r>
        <r>
          <rPr>
            <b/>
            <sz val="9"/>
            <color indexed="81"/>
            <rFont val="돋움"/>
            <family val="3"/>
            <charset val="129"/>
          </rPr>
          <t>신태백</t>
        </r>
        <r>
          <rPr>
            <b/>
            <sz val="9"/>
            <color indexed="81"/>
            <rFont val="Tahoma"/>
            <family val="2"/>
          </rPr>
          <t xml:space="preserve"> 2
</t>
        </r>
        <r>
          <rPr>
            <b/>
            <sz val="9"/>
            <color indexed="81"/>
            <rFont val="돋움"/>
            <family val="3"/>
            <charset val="129"/>
          </rPr>
          <t>예비품</t>
        </r>
        <r>
          <rPr>
            <b/>
            <sz val="9"/>
            <color indexed="81"/>
            <rFont val="Tahoma"/>
            <family val="2"/>
          </rPr>
          <t xml:space="preserve"> 1</t>
        </r>
        <r>
          <rPr>
            <sz val="9"/>
            <color indexed="81"/>
            <rFont val="Tahoma"/>
            <family val="2"/>
          </rPr>
          <t xml:space="preserve">
</t>
        </r>
      </text>
    </comment>
    <comment ref="G54" authorId="1" shapeId="0" xr:uid="{00000000-0006-0000-0C00-000016000000}">
      <text>
        <r>
          <rPr>
            <b/>
            <sz val="9"/>
            <color indexed="81"/>
            <rFont val="돋움"/>
            <family val="3"/>
            <charset val="129"/>
          </rPr>
          <t>현장여건에</t>
        </r>
        <r>
          <rPr>
            <b/>
            <sz val="9"/>
            <color indexed="81"/>
            <rFont val="Tahoma"/>
            <family val="2"/>
          </rPr>
          <t xml:space="preserve"> </t>
        </r>
        <r>
          <rPr>
            <b/>
            <sz val="9"/>
            <color indexed="81"/>
            <rFont val="돋움"/>
            <family val="3"/>
            <charset val="129"/>
          </rPr>
          <t>따라
보호배전반</t>
        </r>
        <r>
          <rPr>
            <b/>
            <sz val="9"/>
            <color indexed="81"/>
            <rFont val="Tahoma"/>
            <family val="2"/>
          </rPr>
          <t xml:space="preserve"> or </t>
        </r>
        <r>
          <rPr>
            <b/>
            <sz val="9"/>
            <color indexed="81"/>
            <rFont val="돋움"/>
            <family val="3"/>
            <charset val="129"/>
          </rPr>
          <t>공유단자함
연결</t>
        </r>
        <r>
          <rPr>
            <b/>
            <sz val="9"/>
            <color indexed="81"/>
            <rFont val="Tahoma"/>
            <family val="2"/>
          </rPr>
          <t xml:space="preserve"> </t>
        </r>
        <r>
          <rPr>
            <b/>
            <sz val="9"/>
            <color indexed="81"/>
            <rFont val="돋움"/>
            <family val="3"/>
            <charset val="129"/>
          </rPr>
          <t>가능</t>
        </r>
      </text>
    </comment>
    <comment ref="M81" authorId="2" shapeId="0" xr:uid="{00000000-0006-0000-0C00-000017000000}">
      <text>
        <r>
          <rPr>
            <b/>
            <sz val="9"/>
            <color indexed="81"/>
            <rFont val="돋움"/>
            <family val="3"/>
            <charset val="129"/>
          </rPr>
          <t>구내통신공사</t>
        </r>
        <r>
          <rPr>
            <b/>
            <sz val="9"/>
            <color indexed="81"/>
            <rFont val="Tahoma"/>
            <family val="2"/>
          </rPr>
          <t xml:space="preserve"> </t>
        </r>
        <r>
          <rPr>
            <b/>
            <sz val="9"/>
            <color indexed="81"/>
            <rFont val="돋움"/>
            <family val="3"/>
            <charset val="129"/>
          </rPr>
          <t>반영됨</t>
        </r>
      </text>
    </comment>
    <comment ref="J84" authorId="0" shapeId="0" xr:uid="{BF94FC13-90E0-4119-97B5-115F1B969D2E}">
      <text>
        <r>
          <rPr>
            <b/>
            <sz val="9"/>
            <color indexed="81"/>
            <rFont val="Tahoma"/>
            <family val="2"/>
          </rPr>
          <t xml:space="preserve">Administrator
</t>
        </r>
        <r>
          <rPr>
            <b/>
            <sz val="9"/>
            <color indexed="81"/>
            <rFont val="돋움"/>
            <family val="3"/>
            <charset val="129"/>
          </rPr>
          <t>단자대</t>
        </r>
        <r>
          <rPr>
            <b/>
            <sz val="9"/>
            <color indexed="81"/>
            <rFont val="Tahoma"/>
            <family val="2"/>
          </rPr>
          <t xml:space="preserve"> 1
</t>
        </r>
        <r>
          <rPr>
            <b/>
            <sz val="9"/>
            <color indexed="81"/>
            <rFont val="돋움"/>
            <family val="3"/>
            <charset val="129"/>
          </rPr>
          <t>현장제어동</t>
        </r>
        <r>
          <rPr>
            <b/>
            <sz val="9"/>
            <color indexed="81"/>
            <rFont val="Tahoma"/>
            <family val="2"/>
          </rPr>
          <t xml:space="preserve"> 2
</t>
        </r>
      </text>
    </comment>
    <comment ref="J163" authorId="0" shapeId="0" xr:uid="{689D9B6A-5DEE-4F2B-A688-4A39D366BC69}">
      <text>
        <r>
          <rPr>
            <b/>
            <sz val="9"/>
            <color indexed="81"/>
            <rFont val="Tahoma"/>
            <family val="2"/>
          </rPr>
          <t>LAN</t>
        </r>
        <r>
          <rPr>
            <b/>
            <sz val="9"/>
            <color indexed="81"/>
            <rFont val="돋움"/>
            <family val="3"/>
            <charset val="129"/>
          </rPr>
          <t>랙</t>
        </r>
        <r>
          <rPr>
            <b/>
            <sz val="9"/>
            <color indexed="81"/>
            <rFont val="Tahoma"/>
            <family val="2"/>
          </rPr>
          <t>(</t>
        </r>
        <r>
          <rPr>
            <b/>
            <sz val="9"/>
            <color indexed="81"/>
            <rFont val="돋움"/>
            <family val="3"/>
            <charset val="129"/>
          </rPr>
          <t>일반</t>
        </r>
        <r>
          <rPr>
            <b/>
            <sz val="9"/>
            <color indexed="81"/>
            <rFont val="Tahoma"/>
            <family val="2"/>
          </rPr>
          <t>)</t>
        </r>
      </text>
    </comment>
    <comment ref="J178" authorId="1" shapeId="0" xr:uid="{00000000-0006-0000-0C00-000026000000}">
      <text>
        <r>
          <rPr>
            <b/>
            <sz val="9"/>
            <color indexed="81"/>
            <rFont val="돋움"/>
            <family val="3"/>
            <charset val="129"/>
          </rPr>
          <t>출입문</t>
        </r>
        <r>
          <rPr>
            <b/>
            <sz val="9"/>
            <color indexed="81"/>
            <rFont val="Tahoma"/>
            <family val="2"/>
          </rPr>
          <t>(2)+OFD(4)</t>
        </r>
      </text>
    </comment>
    <comment ref="K178" authorId="0" shapeId="0" xr:uid="{F92EAA34-0005-4E16-BCE9-A2551CA4DC44}">
      <text>
        <r>
          <rPr>
            <b/>
            <sz val="9"/>
            <color indexed="81"/>
            <rFont val="돋움"/>
            <family val="3"/>
            <charset val="129"/>
          </rPr>
          <t>문</t>
        </r>
        <r>
          <rPr>
            <b/>
            <sz val="9"/>
            <color indexed="81"/>
            <rFont val="Tahoma"/>
            <family val="2"/>
          </rPr>
          <t>1 + OFD 1</t>
        </r>
      </text>
    </comment>
    <comment ref="C179" authorId="1" shapeId="0" xr:uid="{00000000-0006-0000-0C00-000027000000}">
      <text>
        <r>
          <rPr>
            <b/>
            <sz val="9"/>
            <color indexed="81"/>
            <rFont val="Tahoma"/>
            <family val="2"/>
          </rPr>
          <t>EPIA</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Administrator</author>
    <author>USER</author>
    <author>1</author>
  </authors>
  <commentList>
    <comment ref="K11" authorId="0" shapeId="0" xr:uid="{41F77620-645E-4B4B-9BB3-7739FEFB7F2C}">
      <text>
        <r>
          <rPr>
            <b/>
            <sz val="9"/>
            <color indexed="81"/>
            <rFont val="Tahoma"/>
            <family val="2"/>
          </rPr>
          <t>ICT</t>
        </r>
        <r>
          <rPr>
            <b/>
            <sz val="9"/>
            <color indexed="81"/>
            <rFont val="돋움"/>
            <family val="3"/>
            <charset val="129"/>
          </rPr>
          <t>실</t>
        </r>
        <r>
          <rPr>
            <b/>
            <sz val="9"/>
            <color indexed="81"/>
            <rFont val="Tahoma"/>
            <family val="2"/>
          </rPr>
          <t xml:space="preserve"> </t>
        </r>
        <r>
          <rPr>
            <b/>
            <sz val="9"/>
            <color indexed="81"/>
            <rFont val="돋움"/>
            <family val="3"/>
            <charset val="129"/>
          </rPr>
          <t>유지보수용</t>
        </r>
        <r>
          <rPr>
            <b/>
            <sz val="9"/>
            <color indexed="81"/>
            <rFont val="Tahoma"/>
            <family val="2"/>
          </rPr>
          <t xml:space="preserve"> 1
</t>
        </r>
        <r>
          <rPr>
            <b/>
            <sz val="9"/>
            <color indexed="81"/>
            <rFont val="돋움"/>
            <family val="3"/>
            <charset val="129"/>
          </rPr>
          <t>감시실</t>
        </r>
        <r>
          <rPr>
            <b/>
            <sz val="9"/>
            <color indexed="81"/>
            <rFont val="Tahoma"/>
            <family val="2"/>
          </rPr>
          <t xml:space="preserve"> 2
</t>
        </r>
      </text>
    </comment>
    <comment ref="K15" authorId="0" shapeId="0" xr:uid="{C4802CF0-4F00-4107-B661-D641DC01847D}">
      <text>
        <r>
          <rPr>
            <b/>
            <sz val="9"/>
            <color indexed="81"/>
            <rFont val="돋움"/>
            <family val="3"/>
            <charset val="129"/>
          </rPr>
          <t xml:space="preserve">감시반용
</t>
        </r>
      </text>
    </comment>
    <comment ref="K23" authorId="0" shapeId="0" xr:uid="{AC35CD99-FB5A-4632-BFF8-2FDCED094ED8}">
      <text>
        <r>
          <rPr>
            <b/>
            <sz val="9"/>
            <color indexed="81"/>
            <rFont val="돋움"/>
            <family val="3"/>
            <charset val="129"/>
          </rPr>
          <t>녹화장치</t>
        </r>
        <r>
          <rPr>
            <b/>
            <sz val="9"/>
            <color indexed="81"/>
            <rFont val="Tahoma"/>
            <family val="2"/>
          </rPr>
          <t xml:space="preserve"> 2</t>
        </r>
        <r>
          <rPr>
            <b/>
            <sz val="9"/>
            <color indexed="81"/>
            <rFont val="돋움"/>
            <family val="3"/>
            <charset val="129"/>
          </rPr>
          <t>대</t>
        </r>
        <r>
          <rPr>
            <b/>
            <sz val="9"/>
            <color indexed="81"/>
            <rFont val="Tahoma"/>
            <family val="2"/>
          </rPr>
          <t xml:space="preserve"> </t>
        </r>
        <r>
          <rPr>
            <b/>
            <sz val="9"/>
            <color indexed="81"/>
            <rFont val="돋움"/>
            <family val="3"/>
            <charset val="129"/>
          </rPr>
          <t>들어가서</t>
        </r>
        <r>
          <rPr>
            <b/>
            <sz val="9"/>
            <color indexed="81"/>
            <rFont val="Tahoma"/>
            <family val="2"/>
          </rPr>
          <t xml:space="preserve"> </t>
        </r>
        <r>
          <rPr>
            <b/>
            <sz val="9"/>
            <color indexed="81"/>
            <rFont val="돋움"/>
            <family val="3"/>
            <charset val="129"/>
          </rPr>
          <t>자리</t>
        </r>
        <r>
          <rPr>
            <b/>
            <sz val="9"/>
            <color indexed="81"/>
            <rFont val="Tahoma"/>
            <family val="2"/>
          </rPr>
          <t xml:space="preserve"> </t>
        </r>
        <r>
          <rPr>
            <b/>
            <sz val="9"/>
            <color indexed="81"/>
            <rFont val="돋움"/>
            <family val="3"/>
            <charset val="129"/>
          </rPr>
          <t>부족</t>
        </r>
      </text>
    </comment>
    <comment ref="T30" authorId="0" shapeId="0" xr:uid="{E8F29843-AF2F-4B15-BB57-E379494280DD}">
      <text>
        <r>
          <rPr>
            <b/>
            <sz val="9"/>
            <color indexed="81"/>
            <rFont val="Tahoma"/>
            <family val="2"/>
          </rPr>
          <t>Administrator:</t>
        </r>
        <r>
          <rPr>
            <sz val="9"/>
            <color indexed="81"/>
            <rFont val="Tahoma"/>
            <family val="2"/>
          </rPr>
          <t xml:space="preserve">
</t>
        </r>
        <r>
          <rPr>
            <sz val="9"/>
            <color indexed="81"/>
            <rFont val="돋움"/>
            <family val="3"/>
            <charset val="129"/>
          </rPr>
          <t>카메라리프트</t>
        </r>
        <r>
          <rPr>
            <sz val="9"/>
            <color indexed="81"/>
            <rFont val="Tahoma"/>
            <family val="2"/>
          </rPr>
          <t xml:space="preserve"> 15m </t>
        </r>
        <r>
          <rPr>
            <sz val="9"/>
            <color indexed="81"/>
            <rFont val="돋움"/>
            <family val="3"/>
            <charset val="129"/>
          </rPr>
          <t>사용시</t>
        </r>
        <r>
          <rPr>
            <sz val="9"/>
            <color indexed="81"/>
            <rFont val="Tahoma"/>
            <family val="2"/>
          </rPr>
          <t xml:space="preserve"> </t>
        </r>
        <r>
          <rPr>
            <sz val="9"/>
            <color indexed="81"/>
            <rFont val="돋움"/>
            <family val="3"/>
            <charset val="129"/>
          </rPr>
          <t>옥외형으로</t>
        </r>
        <r>
          <rPr>
            <sz val="9"/>
            <color indexed="81"/>
            <rFont val="Tahoma"/>
            <family val="2"/>
          </rPr>
          <t xml:space="preserve"> </t>
        </r>
        <r>
          <rPr>
            <sz val="9"/>
            <color indexed="81"/>
            <rFont val="돋움"/>
            <family val="3"/>
            <charset val="129"/>
          </rPr>
          <t>설계</t>
        </r>
      </text>
    </comment>
    <comment ref="EH37" authorId="0" shapeId="0" xr:uid="{B3C75AE6-66B3-414B-90E6-EB305EC3AFE3}">
      <text>
        <r>
          <rPr>
            <b/>
            <sz val="9"/>
            <color indexed="81"/>
            <rFont val="Tahoma"/>
            <family val="2"/>
          </rPr>
          <t>Administrator:</t>
        </r>
        <r>
          <rPr>
            <sz val="9"/>
            <color indexed="81"/>
            <rFont val="Tahoma"/>
            <family val="2"/>
          </rPr>
          <t xml:space="preserve">
</t>
        </r>
        <r>
          <rPr>
            <sz val="9"/>
            <color indexed="81"/>
            <rFont val="돋움"/>
            <family val="3"/>
            <charset val="129"/>
          </rPr>
          <t>구내통신공사</t>
        </r>
        <r>
          <rPr>
            <sz val="9"/>
            <color indexed="81"/>
            <rFont val="Tahoma"/>
            <family val="2"/>
          </rPr>
          <t xml:space="preserve"> </t>
        </r>
        <r>
          <rPr>
            <sz val="9"/>
            <color indexed="81"/>
            <rFont val="돋움"/>
            <family val="3"/>
            <charset val="129"/>
          </rPr>
          <t xml:space="preserve">포함
</t>
        </r>
      </text>
    </comment>
    <comment ref="EG81" authorId="1" shapeId="0" xr:uid="{B8A19653-17FF-40DC-9003-84218867C16A}">
      <text>
        <r>
          <rPr>
            <b/>
            <sz val="9"/>
            <color indexed="81"/>
            <rFont val="Tahoma"/>
            <family val="2"/>
          </rPr>
          <t>DC</t>
        </r>
        <r>
          <rPr>
            <b/>
            <sz val="9"/>
            <color indexed="81"/>
            <rFont val="돋움"/>
            <family val="3"/>
            <charset val="129"/>
          </rPr>
          <t>는</t>
        </r>
        <r>
          <rPr>
            <b/>
            <sz val="9"/>
            <color indexed="81"/>
            <rFont val="Tahoma"/>
            <family val="2"/>
          </rPr>
          <t xml:space="preserve"> DC</t>
        </r>
        <r>
          <rPr>
            <b/>
            <sz val="9"/>
            <color indexed="81"/>
            <rFont val="돋움"/>
            <family val="3"/>
            <charset val="129"/>
          </rPr>
          <t xml:space="preserve">배전반
</t>
        </r>
        <r>
          <rPr>
            <b/>
            <sz val="9"/>
            <color indexed="81"/>
            <rFont val="Tahoma"/>
            <family val="2"/>
          </rPr>
          <t>AC</t>
        </r>
        <r>
          <rPr>
            <b/>
            <sz val="9"/>
            <color indexed="81"/>
            <rFont val="돋움"/>
            <family val="3"/>
            <charset val="129"/>
          </rPr>
          <t>는</t>
        </r>
        <r>
          <rPr>
            <b/>
            <sz val="9"/>
            <color indexed="81"/>
            <rFont val="Tahoma"/>
            <family val="2"/>
          </rPr>
          <t xml:space="preserve"> ICT</t>
        </r>
        <r>
          <rPr>
            <b/>
            <sz val="9"/>
            <color indexed="81"/>
            <rFont val="돋움"/>
            <family val="3"/>
            <charset val="129"/>
          </rPr>
          <t>실</t>
        </r>
        <r>
          <rPr>
            <b/>
            <sz val="9"/>
            <color indexed="81"/>
            <rFont val="Tahoma"/>
            <family val="2"/>
          </rPr>
          <t xml:space="preserve"> UPS</t>
        </r>
        <r>
          <rPr>
            <b/>
            <sz val="9"/>
            <color indexed="81"/>
            <rFont val="돋움"/>
            <family val="3"/>
            <charset val="129"/>
          </rPr>
          <t>분전반</t>
        </r>
      </text>
    </comment>
    <comment ref="EN88" authorId="0" shapeId="0" xr:uid="{B2006016-9C6C-4801-9741-7E77ED7DF865}">
      <text>
        <r>
          <rPr>
            <b/>
            <sz val="9"/>
            <color indexed="81"/>
            <rFont val="Tahoma"/>
            <family val="2"/>
          </rPr>
          <t>Administrator:</t>
        </r>
        <r>
          <rPr>
            <sz val="9"/>
            <color indexed="81"/>
            <rFont val="Tahoma"/>
            <family val="2"/>
          </rPr>
          <t xml:space="preserve">
FA 3</t>
        </r>
        <r>
          <rPr>
            <sz val="9"/>
            <color indexed="81"/>
            <rFont val="돋움"/>
            <family val="3"/>
            <charset val="129"/>
          </rPr>
          <t>조</t>
        </r>
        <r>
          <rPr>
            <sz val="9"/>
            <color indexed="81"/>
            <rFont val="Tahoma"/>
            <family val="2"/>
          </rPr>
          <t>, OA 2</t>
        </r>
        <r>
          <rPr>
            <sz val="9"/>
            <color indexed="81"/>
            <rFont val="돋움"/>
            <family val="3"/>
            <charset val="129"/>
          </rPr>
          <t>조</t>
        </r>
      </text>
    </comment>
    <comment ref="EH89" authorId="0" shapeId="0" xr:uid="{2D49925E-57ED-45A5-96E6-669B79303927}">
      <text>
        <r>
          <rPr>
            <b/>
            <sz val="9"/>
            <color indexed="81"/>
            <rFont val="Tahoma"/>
            <family val="2"/>
          </rPr>
          <t>Administrator:</t>
        </r>
        <r>
          <rPr>
            <sz val="9"/>
            <color indexed="81"/>
            <rFont val="Tahoma"/>
            <family val="2"/>
          </rPr>
          <t xml:space="preserve">
</t>
        </r>
        <r>
          <rPr>
            <sz val="9"/>
            <color indexed="81"/>
            <rFont val="돋움"/>
            <family val="3"/>
            <charset val="129"/>
          </rPr>
          <t>리더기</t>
        </r>
        <r>
          <rPr>
            <sz val="9"/>
            <color indexed="81"/>
            <rFont val="Tahoma"/>
            <family val="2"/>
          </rPr>
          <t xml:space="preserve"> 2</t>
        </r>
        <r>
          <rPr>
            <sz val="9"/>
            <color indexed="81"/>
            <rFont val="돋움"/>
            <family val="3"/>
            <charset val="129"/>
          </rPr>
          <t>조
비디오폰</t>
        </r>
        <r>
          <rPr>
            <sz val="9"/>
            <color indexed="81"/>
            <rFont val="Tahoma"/>
            <family val="2"/>
          </rPr>
          <t xml:space="preserve"> 2</t>
        </r>
        <r>
          <rPr>
            <sz val="9"/>
            <color indexed="81"/>
            <rFont val="돋움"/>
            <family val="3"/>
            <charset val="129"/>
          </rPr>
          <t>조</t>
        </r>
      </text>
    </comment>
    <comment ref="EI89" authorId="0" shapeId="0" xr:uid="{84730CAC-3362-4F05-BBD5-377C9CC14B45}">
      <text>
        <r>
          <rPr>
            <b/>
            <sz val="9"/>
            <color indexed="81"/>
            <rFont val="Tahoma"/>
            <family val="2"/>
          </rPr>
          <t>Administrator:</t>
        </r>
        <r>
          <rPr>
            <sz val="9"/>
            <color indexed="81"/>
            <rFont val="Tahoma"/>
            <family val="2"/>
          </rPr>
          <t xml:space="preserve">
</t>
        </r>
        <r>
          <rPr>
            <sz val="9"/>
            <color indexed="81"/>
            <rFont val="돋움"/>
            <family val="3"/>
            <charset val="129"/>
          </rPr>
          <t>리더기</t>
        </r>
        <r>
          <rPr>
            <sz val="9"/>
            <color indexed="81"/>
            <rFont val="Tahoma"/>
            <family val="2"/>
          </rPr>
          <t xml:space="preserve"> 2</t>
        </r>
        <r>
          <rPr>
            <sz val="9"/>
            <color indexed="81"/>
            <rFont val="돋움"/>
            <family val="3"/>
            <charset val="129"/>
          </rPr>
          <t xml:space="preserve">조
</t>
        </r>
      </text>
    </comment>
    <comment ref="EJ89" authorId="0" shapeId="0" xr:uid="{423BA63C-8781-4D4E-8140-60E5A32E97FC}">
      <text>
        <r>
          <rPr>
            <b/>
            <sz val="9"/>
            <color indexed="81"/>
            <rFont val="Tahoma"/>
            <family val="2"/>
          </rPr>
          <t>Administrator:</t>
        </r>
        <r>
          <rPr>
            <sz val="9"/>
            <color indexed="81"/>
            <rFont val="Tahoma"/>
            <family val="2"/>
          </rPr>
          <t xml:space="preserve">
</t>
        </r>
        <r>
          <rPr>
            <sz val="9"/>
            <color indexed="81"/>
            <rFont val="돋움"/>
            <family val="3"/>
            <charset val="129"/>
          </rPr>
          <t>리더기</t>
        </r>
        <r>
          <rPr>
            <sz val="9"/>
            <color indexed="81"/>
            <rFont val="Tahoma"/>
            <family val="2"/>
          </rPr>
          <t xml:space="preserve"> 2</t>
        </r>
        <r>
          <rPr>
            <sz val="9"/>
            <color indexed="81"/>
            <rFont val="돋움"/>
            <family val="3"/>
            <charset val="129"/>
          </rPr>
          <t>조
비디오폰</t>
        </r>
        <r>
          <rPr>
            <sz val="9"/>
            <color indexed="81"/>
            <rFont val="Tahoma"/>
            <family val="2"/>
          </rPr>
          <t xml:space="preserve"> 2</t>
        </r>
        <r>
          <rPr>
            <sz val="9"/>
            <color indexed="81"/>
            <rFont val="돋움"/>
            <family val="3"/>
            <charset val="129"/>
          </rPr>
          <t>조</t>
        </r>
      </text>
    </comment>
    <comment ref="EK89" authorId="0" shapeId="0" xr:uid="{6093C09E-D94D-4B32-8339-EC2760BC146F}">
      <text>
        <r>
          <rPr>
            <b/>
            <sz val="9"/>
            <color indexed="81"/>
            <rFont val="Tahoma"/>
            <family val="2"/>
          </rPr>
          <t>Administrator:</t>
        </r>
        <r>
          <rPr>
            <sz val="9"/>
            <color indexed="81"/>
            <rFont val="Tahoma"/>
            <family val="2"/>
          </rPr>
          <t xml:space="preserve">
</t>
        </r>
        <r>
          <rPr>
            <sz val="9"/>
            <color indexed="81"/>
            <rFont val="돋움"/>
            <family val="3"/>
            <charset val="129"/>
          </rPr>
          <t>리더기</t>
        </r>
        <r>
          <rPr>
            <sz val="9"/>
            <color indexed="81"/>
            <rFont val="Tahoma"/>
            <family val="2"/>
          </rPr>
          <t xml:space="preserve"> 2</t>
        </r>
        <r>
          <rPr>
            <sz val="9"/>
            <color indexed="81"/>
            <rFont val="돋움"/>
            <family val="3"/>
            <charset val="129"/>
          </rPr>
          <t>조</t>
        </r>
      </text>
    </comment>
    <comment ref="EL89" authorId="0" shapeId="0" xr:uid="{722B4834-CE0E-4F80-822A-249A7D4F56DC}">
      <text>
        <r>
          <rPr>
            <b/>
            <sz val="9"/>
            <color indexed="81"/>
            <rFont val="Tahoma"/>
            <family val="2"/>
          </rPr>
          <t>Administrator:</t>
        </r>
        <r>
          <rPr>
            <sz val="9"/>
            <color indexed="81"/>
            <rFont val="Tahoma"/>
            <family val="2"/>
          </rPr>
          <t xml:space="preserve">
</t>
        </r>
        <r>
          <rPr>
            <sz val="9"/>
            <color indexed="81"/>
            <rFont val="돋움"/>
            <family val="3"/>
            <charset val="129"/>
          </rPr>
          <t>리더기</t>
        </r>
        <r>
          <rPr>
            <sz val="9"/>
            <color indexed="81"/>
            <rFont val="Tahoma"/>
            <family val="2"/>
          </rPr>
          <t xml:space="preserve"> 2</t>
        </r>
        <r>
          <rPr>
            <sz val="9"/>
            <color indexed="81"/>
            <rFont val="돋움"/>
            <family val="3"/>
            <charset val="129"/>
          </rPr>
          <t>조</t>
        </r>
      </text>
    </comment>
    <comment ref="EM89" authorId="0" shapeId="0" xr:uid="{C90E8900-FF9E-4CF4-9EBA-25908DF8515C}">
      <text>
        <r>
          <rPr>
            <b/>
            <sz val="9"/>
            <color indexed="81"/>
            <rFont val="Tahoma"/>
            <family val="2"/>
          </rPr>
          <t>Administrator:</t>
        </r>
        <r>
          <rPr>
            <sz val="9"/>
            <color indexed="81"/>
            <rFont val="Tahoma"/>
            <family val="2"/>
          </rPr>
          <t xml:space="preserve">
</t>
        </r>
        <r>
          <rPr>
            <sz val="9"/>
            <color indexed="81"/>
            <rFont val="돋움"/>
            <family val="3"/>
            <charset val="129"/>
          </rPr>
          <t>리더기</t>
        </r>
        <r>
          <rPr>
            <sz val="9"/>
            <color indexed="81"/>
            <rFont val="Tahoma"/>
            <family val="2"/>
          </rPr>
          <t xml:space="preserve"> 2</t>
        </r>
        <r>
          <rPr>
            <sz val="9"/>
            <color indexed="81"/>
            <rFont val="돋움"/>
            <family val="3"/>
            <charset val="129"/>
          </rPr>
          <t xml:space="preserve">조
</t>
        </r>
      </text>
    </comment>
    <comment ref="EG92" authorId="2" shapeId="0" xr:uid="{AA56927F-D91F-42CC-A61C-C0DAA920EDBB}">
      <text>
        <r>
          <rPr>
            <b/>
            <sz val="9"/>
            <color indexed="81"/>
            <rFont val="Tahoma"/>
            <family val="2"/>
          </rPr>
          <t>1:</t>
        </r>
        <r>
          <rPr>
            <sz val="9"/>
            <color indexed="81"/>
            <rFont val="Tahoma"/>
            <family val="2"/>
          </rPr>
          <t xml:space="preserve">
</t>
        </r>
        <r>
          <rPr>
            <sz val="9"/>
            <color indexed="81"/>
            <rFont val="돋움"/>
            <family val="3"/>
            <charset val="129"/>
          </rPr>
          <t>침투감지주장치</t>
        </r>
        <r>
          <rPr>
            <sz val="9"/>
            <color indexed="81"/>
            <rFont val="Tahoma"/>
            <family val="2"/>
          </rPr>
          <t>-</t>
        </r>
        <r>
          <rPr>
            <sz val="9"/>
            <color indexed="81"/>
            <rFont val="돋움"/>
            <family val="3"/>
            <charset val="129"/>
          </rPr>
          <t>조명제어</t>
        </r>
      </text>
    </comment>
    <comment ref="P112" authorId="1" shapeId="0" xr:uid="{91B2834F-3D33-4B10-BEEB-B902AF36785E}">
      <text>
        <r>
          <rPr>
            <b/>
            <sz val="9"/>
            <color indexed="81"/>
            <rFont val="돋움"/>
            <family val="3"/>
            <charset val="129"/>
          </rPr>
          <t>카메라</t>
        </r>
        <r>
          <rPr>
            <b/>
            <sz val="9"/>
            <color indexed="81"/>
            <rFont val="Tahoma"/>
            <family val="2"/>
          </rPr>
          <t>(2)+AMP(2)</t>
        </r>
      </text>
    </comment>
    <comment ref="Q112" authorId="1" shapeId="0" xr:uid="{AA708C86-0A59-4C67-BC7C-BBCDF463790F}">
      <text>
        <r>
          <rPr>
            <b/>
            <sz val="9"/>
            <color indexed="81"/>
            <rFont val="돋움"/>
            <family val="3"/>
            <charset val="129"/>
          </rPr>
          <t>카메라</t>
        </r>
        <r>
          <rPr>
            <b/>
            <sz val="9"/>
            <color indexed="81"/>
            <rFont val="Tahoma"/>
            <family val="2"/>
          </rPr>
          <t>(2)</t>
        </r>
      </text>
    </comment>
    <comment ref="R112" authorId="1" shapeId="0" xr:uid="{7C6B5FEF-3BF1-4AE3-B95A-7FADD014DB98}">
      <text>
        <r>
          <rPr>
            <b/>
            <sz val="9"/>
            <color indexed="81"/>
            <rFont val="돋움"/>
            <family val="3"/>
            <charset val="129"/>
          </rPr>
          <t>카메라</t>
        </r>
        <r>
          <rPr>
            <b/>
            <sz val="9"/>
            <color indexed="81"/>
            <rFont val="Tahoma"/>
            <family val="2"/>
          </rPr>
          <t>(2)+AMP(2)</t>
        </r>
      </text>
    </comment>
    <comment ref="S112" authorId="1" shapeId="0" xr:uid="{C5EF5407-AF94-408A-9B40-338DFAFE75F0}">
      <text>
        <r>
          <rPr>
            <b/>
            <sz val="9"/>
            <color indexed="81"/>
            <rFont val="돋움"/>
            <family val="3"/>
            <charset val="129"/>
          </rPr>
          <t>카메라</t>
        </r>
        <r>
          <rPr>
            <b/>
            <sz val="9"/>
            <color indexed="81"/>
            <rFont val="Tahoma"/>
            <family val="2"/>
          </rPr>
          <t>(2)</t>
        </r>
      </text>
    </comment>
    <comment ref="T112" authorId="1" shapeId="0" xr:uid="{D004D814-FAF6-41C4-962F-922DA32F01CF}">
      <text>
        <r>
          <rPr>
            <b/>
            <sz val="9"/>
            <color indexed="81"/>
            <rFont val="돋움"/>
            <family val="3"/>
            <charset val="129"/>
          </rPr>
          <t>카메라</t>
        </r>
        <r>
          <rPr>
            <b/>
            <sz val="9"/>
            <color indexed="81"/>
            <rFont val="Tahoma"/>
            <family val="2"/>
          </rPr>
          <t>(2)</t>
        </r>
      </text>
    </comment>
    <comment ref="U112" authorId="1" shapeId="0" xr:uid="{D9005E7C-3905-4797-8673-CDD32D46D6BD}">
      <text>
        <r>
          <rPr>
            <b/>
            <sz val="9"/>
            <color indexed="81"/>
            <rFont val="돋움"/>
            <family val="3"/>
            <charset val="129"/>
          </rPr>
          <t>카메라</t>
        </r>
        <r>
          <rPr>
            <b/>
            <sz val="9"/>
            <color indexed="81"/>
            <rFont val="Tahoma"/>
            <family val="2"/>
          </rPr>
          <t>(2)</t>
        </r>
      </text>
    </comment>
    <comment ref="X112" authorId="1" shapeId="0" xr:uid="{C2222BB6-714C-449C-B304-33095255819A}">
      <text>
        <r>
          <rPr>
            <b/>
            <sz val="9"/>
            <color indexed="81"/>
            <rFont val="돋움"/>
            <family val="3"/>
            <charset val="129"/>
          </rPr>
          <t>카메라</t>
        </r>
        <r>
          <rPr>
            <b/>
            <sz val="9"/>
            <color indexed="81"/>
            <rFont val="Tahoma"/>
            <family val="2"/>
          </rPr>
          <t>(2)</t>
        </r>
      </text>
    </comment>
    <comment ref="Y112" authorId="1" shapeId="0" xr:uid="{09F7C442-5145-45AD-B0BA-C86E1D0C6FE0}">
      <text>
        <r>
          <rPr>
            <b/>
            <sz val="9"/>
            <color indexed="81"/>
            <rFont val="돋움"/>
            <family val="3"/>
            <charset val="129"/>
          </rPr>
          <t>카메라</t>
        </r>
        <r>
          <rPr>
            <b/>
            <sz val="9"/>
            <color indexed="81"/>
            <rFont val="Tahoma"/>
            <family val="2"/>
          </rPr>
          <t>(2)</t>
        </r>
      </text>
    </comment>
    <comment ref="Z112" authorId="1" shapeId="0" xr:uid="{267E4432-1310-45BB-A87D-FA69B4AD33B9}">
      <text>
        <r>
          <rPr>
            <b/>
            <sz val="9"/>
            <color indexed="81"/>
            <rFont val="돋움"/>
            <family val="3"/>
            <charset val="129"/>
          </rPr>
          <t>카메라</t>
        </r>
        <r>
          <rPr>
            <b/>
            <sz val="9"/>
            <color indexed="81"/>
            <rFont val="Tahoma"/>
            <family val="2"/>
          </rPr>
          <t>(2)+AMP(2)</t>
        </r>
      </text>
    </comment>
    <comment ref="AA112" authorId="1" shapeId="0" xr:uid="{294D77CC-44FD-4000-82C2-225113F96939}">
      <text>
        <r>
          <rPr>
            <b/>
            <sz val="9"/>
            <color indexed="81"/>
            <rFont val="돋움"/>
            <family val="3"/>
            <charset val="129"/>
          </rPr>
          <t>카메라</t>
        </r>
        <r>
          <rPr>
            <b/>
            <sz val="9"/>
            <color indexed="81"/>
            <rFont val="Tahoma"/>
            <family val="2"/>
          </rPr>
          <t>(2)</t>
        </r>
      </text>
    </comment>
    <comment ref="AB112" authorId="1" shapeId="0" xr:uid="{763C307F-3778-49EC-8833-16FC8C67C125}">
      <text>
        <r>
          <rPr>
            <b/>
            <sz val="9"/>
            <color indexed="81"/>
            <rFont val="돋움"/>
            <family val="3"/>
            <charset val="129"/>
          </rPr>
          <t>카메라</t>
        </r>
        <r>
          <rPr>
            <b/>
            <sz val="9"/>
            <color indexed="81"/>
            <rFont val="Tahoma"/>
            <family val="2"/>
          </rPr>
          <t>(2)</t>
        </r>
      </text>
    </comment>
    <comment ref="AC112" authorId="1" shapeId="0" xr:uid="{4F60E6B8-AA7D-4AC2-A5C2-32D847B1A5BD}">
      <text>
        <r>
          <rPr>
            <b/>
            <sz val="9"/>
            <color indexed="81"/>
            <rFont val="돋움"/>
            <family val="3"/>
            <charset val="129"/>
          </rPr>
          <t>카메라</t>
        </r>
        <r>
          <rPr>
            <b/>
            <sz val="9"/>
            <color indexed="81"/>
            <rFont val="Tahoma"/>
            <family val="2"/>
          </rPr>
          <t>(2)</t>
        </r>
      </text>
    </comment>
    <comment ref="AD112" authorId="1" shapeId="0" xr:uid="{73DF6EF3-C825-4A9A-A2E3-D015D72C22D6}">
      <text>
        <r>
          <rPr>
            <b/>
            <sz val="9"/>
            <color indexed="81"/>
            <rFont val="돋움"/>
            <family val="3"/>
            <charset val="129"/>
          </rPr>
          <t>카메라</t>
        </r>
        <r>
          <rPr>
            <b/>
            <sz val="9"/>
            <color indexed="81"/>
            <rFont val="Tahoma"/>
            <family val="2"/>
          </rPr>
          <t>(2)</t>
        </r>
      </text>
    </comment>
    <comment ref="AE112" authorId="1" shapeId="0" xr:uid="{B738F71F-271D-4BCA-80FB-2EF617D113A4}">
      <text>
        <r>
          <rPr>
            <b/>
            <sz val="9"/>
            <color indexed="81"/>
            <rFont val="돋움"/>
            <family val="3"/>
            <charset val="129"/>
          </rPr>
          <t>카메라</t>
        </r>
        <r>
          <rPr>
            <b/>
            <sz val="9"/>
            <color indexed="81"/>
            <rFont val="Tahoma"/>
            <family val="2"/>
          </rPr>
          <t>(2)</t>
        </r>
      </text>
    </comment>
    <comment ref="AF112" authorId="1" shapeId="0" xr:uid="{C0C5A03D-7152-49BC-94B3-21BD05CD96EB}">
      <text>
        <r>
          <rPr>
            <b/>
            <sz val="9"/>
            <color indexed="81"/>
            <rFont val="돋움"/>
            <family val="3"/>
            <charset val="129"/>
          </rPr>
          <t>카메라</t>
        </r>
        <r>
          <rPr>
            <b/>
            <sz val="9"/>
            <color indexed="81"/>
            <rFont val="Tahoma"/>
            <family val="2"/>
          </rPr>
          <t>(2)</t>
        </r>
      </text>
    </comment>
    <comment ref="AG112" authorId="1" shapeId="0" xr:uid="{8879528E-92FC-487D-B8F5-3BD00B622CD3}">
      <text>
        <r>
          <rPr>
            <b/>
            <sz val="9"/>
            <color indexed="81"/>
            <rFont val="돋움"/>
            <family val="3"/>
            <charset val="129"/>
          </rPr>
          <t>카메라</t>
        </r>
        <r>
          <rPr>
            <b/>
            <sz val="9"/>
            <color indexed="81"/>
            <rFont val="Tahoma"/>
            <family val="2"/>
          </rPr>
          <t>(2)</t>
        </r>
      </text>
    </comment>
    <comment ref="AH112" authorId="1" shapeId="0" xr:uid="{35647409-79CB-475B-BEF7-767F6742DB9D}">
      <text>
        <r>
          <rPr>
            <b/>
            <sz val="9"/>
            <color indexed="81"/>
            <rFont val="돋움"/>
            <family val="3"/>
            <charset val="129"/>
          </rPr>
          <t>향후</t>
        </r>
      </text>
    </comment>
    <comment ref="AI112" authorId="1" shapeId="0" xr:uid="{B5EBA969-1166-4BE7-B520-37F72F89B59F}">
      <text>
        <r>
          <rPr>
            <b/>
            <sz val="9"/>
            <color indexed="81"/>
            <rFont val="돋움"/>
            <family val="3"/>
            <charset val="129"/>
          </rPr>
          <t>카메라</t>
        </r>
        <r>
          <rPr>
            <b/>
            <sz val="9"/>
            <color indexed="81"/>
            <rFont val="Tahoma"/>
            <family val="2"/>
          </rPr>
          <t>(2)+AMP(2)</t>
        </r>
      </text>
    </comment>
    <comment ref="AJ112" authorId="1" shapeId="0" xr:uid="{DA4B214E-6FA7-4EBC-A28F-C14D2068DD15}">
      <text>
        <r>
          <rPr>
            <b/>
            <sz val="9"/>
            <color indexed="81"/>
            <rFont val="돋움"/>
            <family val="3"/>
            <charset val="129"/>
          </rPr>
          <t>카메라</t>
        </r>
        <r>
          <rPr>
            <b/>
            <sz val="9"/>
            <color indexed="81"/>
            <rFont val="Tahoma"/>
            <family val="2"/>
          </rPr>
          <t>(2)</t>
        </r>
      </text>
    </comment>
    <comment ref="EH125" authorId="0" shapeId="0" xr:uid="{F857E0B1-3FFE-4FAB-9BBF-AEDCD89A2C00}">
      <text>
        <r>
          <rPr>
            <b/>
            <sz val="9"/>
            <color indexed="81"/>
            <rFont val="Tahoma"/>
            <family val="2"/>
          </rPr>
          <t>Administrator:</t>
        </r>
        <r>
          <rPr>
            <sz val="9"/>
            <color indexed="81"/>
            <rFont val="Tahoma"/>
            <family val="2"/>
          </rPr>
          <t xml:space="preserve">
</t>
        </r>
        <r>
          <rPr>
            <sz val="9"/>
            <color indexed="81"/>
            <rFont val="돋움"/>
            <family val="3"/>
            <charset val="129"/>
          </rPr>
          <t>구내통신공사</t>
        </r>
        <r>
          <rPr>
            <sz val="9"/>
            <color indexed="81"/>
            <rFont val="Tahoma"/>
            <family val="2"/>
          </rPr>
          <t xml:space="preserve"> </t>
        </r>
        <r>
          <rPr>
            <sz val="9"/>
            <color indexed="81"/>
            <rFont val="돋움"/>
            <family val="3"/>
            <charset val="129"/>
          </rPr>
          <t>포함</t>
        </r>
      </text>
    </comment>
    <comment ref="L166" authorId="1" shapeId="0" xr:uid="{87FA98D2-A903-48C1-8201-FB6C1D41FCB9}">
      <text>
        <r>
          <rPr>
            <b/>
            <sz val="9"/>
            <color indexed="81"/>
            <rFont val="돋움"/>
            <family val="3"/>
            <charset val="129"/>
          </rPr>
          <t>옥외</t>
        </r>
        <r>
          <rPr>
            <b/>
            <sz val="9"/>
            <color indexed="81"/>
            <rFont val="Tahoma"/>
            <family val="2"/>
          </rPr>
          <t xml:space="preserve"> </t>
        </r>
        <r>
          <rPr>
            <b/>
            <sz val="9"/>
            <color indexed="81"/>
            <rFont val="돋움"/>
            <family val="3"/>
            <charset val="129"/>
          </rPr>
          <t>폴</t>
        </r>
        <r>
          <rPr>
            <b/>
            <sz val="9"/>
            <color indexed="81"/>
            <rFont val="Tahoma"/>
            <family val="2"/>
          </rPr>
          <t xml:space="preserve"> </t>
        </r>
        <r>
          <rPr>
            <b/>
            <sz val="9"/>
            <color indexed="81"/>
            <rFont val="돋움"/>
            <family val="3"/>
            <charset val="129"/>
          </rPr>
          <t>노출</t>
        </r>
        <r>
          <rPr>
            <b/>
            <sz val="9"/>
            <color indexed="81"/>
            <rFont val="Tahoma"/>
            <family val="2"/>
          </rPr>
          <t xml:space="preserve"> + 
</t>
        </r>
        <r>
          <rPr>
            <b/>
            <sz val="9"/>
            <color indexed="81"/>
            <rFont val="돋움"/>
            <family val="3"/>
            <charset val="129"/>
          </rPr>
          <t>옥내</t>
        </r>
        <r>
          <rPr>
            <b/>
            <sz val="9"/>
            <color indexed="81"/>
            <rFont val="Tahoma"/>
            <family val="2"/>
          </rPr>
          <t xml:space="preserve"> </t>
        </r>
        <r>
          <rPr>
            <b/>
            <sz val="9"/>
            <color indexed="81"/>
            <rFont val="돋움"/>
            <family val="3"/>
            <charset val="129"/>
          </rPr>
          <t>매입</t>
        </r>
        <r>
          <rPr>
            <b/>
            <sz val="9"/>
            <color indexed="81"/>
            <rFont val="Tahoma"/>
            <family val="2"/>
          </rPr>
          <t xml:space="preserve"> 
</t>
        </r>
        <r>
          <rPr>
            <b/>
            <sz val="9"/>
            <color indexed="81"/>
            <rFont val="돋움"/>
            <family val="3"/>
            <charset val="129"/>
          </rPr>
          <t>산식</t>
        </r>
      </text>
    </comment>
    <comment ref="M166" authorId="1" shapeId="0" xr:uid="{7C2910C6-5182-4B05-89E6-D0E876B160A1}">
      <text>
        <r>
          <rPr>
            <b/>
            <sz val="9"/>
            <color indexed="81"/>
            <rFont val="돋움"/>
            <family val="3"/>
            <charset val="129"/>
          </rPr>
          <t>옥외</t>
        </r>
        <r>
          <rPr>
            <b/>
            <sz val="9"/>
            <color indexed="81"/>
            <rFont val="Tahoma"/>
            <family val="2"/>
          </rPr>
          <t xml:space="preserve"> </t>
        </r>
        <r>
          <rPr>
            <b/>
            <sz val="9"/>
            <color indexed="81"/>
            <rFont val="돋움"/>
            <family val="3"/>
            <charset val="129"/>
          </rPr>
          <t>폴</t>
        </r>
        <r>
          <rPr>
            <b/>
            <sz val="9"/>
            <color indexed="81"/>
            <rFont val="Tahoma"/>
            <family val="2"/>
          </rPr>
          <t xml:space="preserve"> </t>
        </r>
        <r>
          <rPr>
            <b/>
            <sz val="9"/>
            <color indexed="81"/>
            <rFont val="돋움"/>
            <family val="3"/>
            <charset val="129"/>
          </rPr>
          <t>노출</t>
        </r>
        <r>
          <rPr>
            <b/>
            <sz val="9"/>
            <color indexed="81"/>
            <rFont val="Tahoma"/>
            <family val="2"/>
          </rPr>
          <t xml:space="preserve"> + 
</t>
        </r>
        <r>
          <rPr>
            <b/>
            <sz val="9"/>
            <color indexed="81"/>
            <rFont val="돋움"/>
            <family val="3"/>
            <charset val="129"/>
          </rPr>
          <t>옥내</t>
        </r>
        <r>
          <rPr>
            <b/>
            <sz val="9"/>
            <color indexed="81"/>
            <rFont val="Tahoma"/>
            <family val="2"/>
          </rPr>
          <t xml:space="preserve"> </t>
        </r>
        <r>
          <rPr>
            <b/>
            <sz val="9"/>
            <color indexed="81"/>
            <rFont val="돋움"/>
            <family val="3"/>
            <charset val="129"/>
          </rPr>
          <t>매입</t>
        </r>
        <r>
          <rPr>
            <b/>
            <sz val="9"/>
            <color indexed="81"/>
            <rFont val="Tahoma"/>
            <family val="2"/>
          </rPr>
          <t xml:space="preserve"> 
</t>
        </r>
        <r>
          <rPr>
            <b/>
            <sz val="9"/>
            <color indexed="81"/>
            <rFont val="돋움"/>
            <family val="3"/>
            <charset val="129"/>
          </rPr>
          <t>산식</t>
        </r>
      </text>
    </comment>
    <comment ref="N166" authorId="1" shapeId="0" xr:uid="{78EE97EA-EF2A-4B28-B51C-251254E45E00}">
      <text>
        <r>
          <rPr>
            <b/>
            <sz val="9"/>
            <color indexed="81"/>
            <rFont val="돋움"/>
            <family val="3"/>
            <charset val="129"/>
          </rPr>
          <t>지하</t>
        </r>
        <r>
          <rPr>
            <b/>
            <sz val="9"/>
            <color indexed="81"/>
            <rFont val="Tahoma"/>
            <family val="2"/>
          </rPr>
          <t xml:space="preserve"> </t>
        </r>
        <r>
          <rPr>
            <b/>
            <sz val="9"/>
            <color indexed="81"/>
            <rFont val="돋움"/>
            <family val="3"/>
            <charset val="129"/>
          </rPr>
          <t>노출</t>
        </r>
        <r>
          <rPr>
            <b/>
            <sz val="9"/>
            <color indexed="81"/>
            <rFont val="Tahoma"/>
            <family val="2"/>
          </rPr>
          <t xml:space="preserve"> </t>
        </r>
        <r>
          <rPr>
            <b/>
            <sz val="9"/>
            <color indexed="81"/>
            <rFont val="돋움"/>
            <family val="3"/>
            <charset val="129"/>
          </rPr>
          <t>산식</t>
        </r>
      </text>
    </comment>
    <comment ref="O166" authorId="1" shapeId="0" xr:uid="{242F8620-9E9C-4253-803A-11B5A3CB08F1}">
      <text>
        <r>
          <rPr>
            <b/>
            <sz val="9"/>
            <color indexed="81"/>
            <rFont val="돋움"/>
            <family val="3"/>
            <charset val="129"/>
          </rPr>
          <t>옥외</t>
        </r>
        <r>
          <rPr>
            <b/>
            <sz val="9"/>
            <color indexed="81"/>
            <rFont val="Tahoma"/>
            <family val="2"/>
          </rPr>
          <t xml:space="preserve"> </t>
        </r>
        <r>
          <rPr>
            <b/>
            <sz val="9"/>
            <color indexed="81"/>
            <rFont val="돋움"/>
            <family val="3"/>
            <charset val="129"/>
          </rPr>
          <t>폴</t>
        </r>
        <r>
          <rPr>
            <b/>
            <sz val="9"/>
            <color indexed="81"/>
            <rFont val="Tahoma"/>
            <family val="2"/>
          </rPr>
          <t xml:space="preserve"> </t>
        </r>
        <r>
          <rPr>
            <b/>
            <sz val="9"/>
            <color indexed="81"/>
            <rFont val="돋움"/>
            <family val="3"/>
            <charset val="129"/>
          </rPr>
          <t>노출</t>
        </r>
        <r>
          <rPr>
            <b/>
            <sz val="9"/>
            <color indexed="81"/>
            <rFont val="Tahoma"/>
            <family val="2"/>
          </rPr>
          <t xml:space="preserve"> + 
</t>
        </r>
        <r>
          <rPr>
            <b/>
            <sz val="9"/>
            <color indexed="81"/>
            <rFont val="돋움"/>
            <family val="3"/>
            <charset val="129"/>
          </rPr>
          <t>옥내</t>
        </r>
        <r>
          <rPr>
            <b/>
            <sz val="9"/>
            <color indexed="81"/>
            <rFont val="Tahoma"/>
            <family val="2"/>
          </rPr>
          <t xml:space="preserve"> </t>
        </r>
        <r>
          <rPr>
            <b/>
            <sz val="9"/>
            <color indexed="81"/>
            <rFont val="돋움"/>
            <family val="3"/>
            <charset val="129"/>
          </rPr>
          <t>매입</t>
        </r>
        <r>
          <rPr>
            <b/>
            <sz val="9"/>
            <color indexed="81"/>
            <rFont val="Tahoma"/>
            <family val="2"/>
          </rPr>
          <t xml:space="preserve"> 
</t>
        </r>
        <r>
          <rPr>
            <b/>
            <sz val="9"/>
            <color indexed="81"/>
            <rFont val="돋움"/>
            <family val="3"/>
            <charset val="129"/>
          </rPr>
          <t>산식</t>
        </r>
      </text>
    </comment>
    <comment ref="P166" authorId="1" shapeId="0" xr:uid="{B003D6FE-D180-4358-8111-CA53F4070F03}">
      <text>
        <r>
          <rPr>
            <b/>
            <sz val="9"/>
            <color indexed="81"/>
            <rFont val="돋움"/>
            <family val="3"/>
            <charset val="129"/>
          </rPr>
          <t>옥외</t>
        </r>
        <r>
          <rPr>
            <b/>
            <sz val="9"/>
            <color indexed="81"/>
            <rFont val="Tahoma"/>
            <family val="2"/>
          </rPr>
          <t xml:space="preserve"> </t>
        </r>
        <r>
          <rPr>
            <b/>
            <sz val="9"/>
            <color indexed="81"/>
            <rFont val="돋움"/>
            <family val="3"/>
            <charset val="129"/>
          </rPr>
          <t>폴</t>
        </r>
        <r>
          <rPr>
            <b/>
            <sz val="9"/>
            <color indexed="81"/>
            <rFont val="Tahoma"/>
            <family val="2"/>
          </rPr>
          <t xml:space="preserve"> </t>
        </r>
        <r>
          <rPr>
            <b/>
            <sz val="9"/>
            <color indexed="81"/>
            <rFont val="돋움"/>
            <family val="3"/>
            <charset val="129"/>
          </rPr>
          <t>노출</t>
        </r>
        <r>
          <rPr>
            <b/>
            <sz val="9"/>
            <color indexed="81"/>
            <rFont val="Tahoma"/>
            <family val="2"/>
          </rPr>
          <t xml:space="preserve"> + 
</t>
        </r>
        <r>
          <rPr>
            <b/>
            <sz val="9"/>
            <color indexed="81"/>
            <rFont val="돋움"/>
            <family val="3"/>
            <charset val="129"/>
          </rPr>
          <t>옥내</t>
        </r>
        <r>
          <rPr>
            <b/>
            <sz val="9"/>
            <color indexed="81"/>
            <rFont val="Tahoma"/>
            <family val="2"/>
          </rPr>
          <t xml:space="preserve"> </t>
        </r>
        <r>
          <rPr>
            <b/>
            <sz val="9"/>
            <color indexed="81"/>
            <rFont val="돋움"/>
            <family val="3"/>
            <charset val="129"/>
          </rPr>
          <t>매입</t>
        </r>
        <r>
          <rPr>
            <b/>
            <sz val="9"/>
            <color indexed="81"/>
            <rFont val="Tahoma"/>
            <family val="2"/>
          </rPr>
          <t xml:space="preserve"> 
</t>
        </r>
        <r>
          <rPr>
            <b/>
            <sz val="9"/>
            <color indexed="81"/>
            <rFont val="돋움"/>
            <family val="3"/>
            <charset val="129"/>
          </rPr>
          <t>산식</t>
        </r>
      </text>
    </comment>
    <comment ref="R166" authorId="1" shapeId="0" xr:uid="{5554CBF2-FE6E-43A3-BD37-EBBC8068EE7C}">
      <text>
        <r>
          <rPr>
            <b/>
            <sz val="9"/>
            <color indexed="81"/>
            <rFont val="돋움"/>
            <family val="3"/>
            <charset val="129"/>
          </rPr>
          <t>옥외</t>
        </r>
        <r>
          <rPr>
            <b/>
            <sz val="9"/>
            <color indexed="81"/>
            <rFont val="Tahoma"/>
            <family val="2"/>
          </rPr>
          <t xml:space="preserve"> </t>
        </r>
        <r>
          <rPr>
            <b/>
            <sz val="9"/>
            <color indexed="81"/>
            <rFont val="돋움"/>
            <family val="3"/>
            <charset val="129"/>
          </rPr>
          <t>폴</t>
        </r>
        <r>
          <rPr>
            <b/>
            <sz val="9"/>
            <color indexed="81"/>
            <rFont val="Tahoma"/>
            <family val="2"/>
          </rPr>
          <t xml:space="preserve"> </t>
        </r>
        <r>
          <rPr>
            <b/>
            <sz val="9"/>
            <color indexed="81"/>
            <rFont val="돋움"/>
            <family val="3"/>
            <charset val="129"/>
          </rPr>
          <t>노출</t>
        </r>
        <r>
          <rPr>
            <b/>
            <sz val="9"/>
            <color indexed="81"/>
            <rFont val="Tahoma"/>
            <family val="2"/>
          </rPr>
          <t xml:space="preserve"> + 
</t>
        </r>
        <r>
          <rPr>
            <b/>
            <sz val="9"/>
            <color indexed="81"/>
            <rFont val="돋움"/>
            <family val="3"/>
            <charset val="129"/>
          </rPr>
          <t>옥내</t>
        </r>
        <r>
          <rPr>
            <b/>
            <sz val="9"/>
            <color indexed="81"/>
            <rFont val="Tahoma"/>
            <family val="2"/>
          </rPr>
          <t xml:space="preserve"> </t>
        </r>
        <r>
          <rPr>
            <b/>
            <sz val="9"/>
            <color indexed="81"/>
            <rFont val="돋움"/>
            <family val="3"/>
            <charset val="129"/>
          </rPr>
          <t>매입</t>
        </r>
        <r>
          <rPr>
            <b/>
            <sz val="9"/>
            <color indexed="81"/>
            <rFont val="Tahoma"/>
            <family val="2"/>
          </rPr>
          <t xml:space="preserve"> 
</t>
        </r>
        <r>
          <rPr>
            <b/>
            <sz val="9"/>
            <color indexed="81"/>
            <rFont val="돋움"/>
            <family val="3"/>
            <charset val="129"/>
          </rPr>
          <t>산식</t>
        </r>
      </text>
    </comment>
    <comment ref="S166" authorId="1" shapeId="0" xr:uid="{DC76412C-B3B7-420B-AB15-0DCB0FD24386}">
      <text>
        <r>
          <rPr>
            <b/>
            <sz val="9"/>
            <color indexed="81"/>
            <rFont val="돋움"/>
            <family val="3"/>
            <charset val="129"/>
          </rPr>
          <t>옥외</t>
        </r>
        <r>
          <rPr>
            <b/>
            <sz val="9"/>
            <color indexed="81"/>
            <rFont val="Tahoma"/>
            <family val="2"/>
          </rPr>
          <t xml:space="preserve"> </t>
        </r>
        <r>
          <rPr>
            <b/>
            <sz val="9"/>
            <color indexed="81"/>
            <rFont val="돋움"/>
            <family val="3"/>
            <charset val="129"/>
          </rPr>
          <t>폴</t>
        </r>
        <r>
          <rPr>
            <b/>
            <sz val="9"/>
            <color indexed="81"/>
            <rFont val="Tahoma"/>
            <family val="2"/>
          </rPr>
          <t xml:space="preserve"> </t>
        </r>
        <r>
          <rPr>
            <b/>
            <sz val="9"/>
            <color indexed="81"/>
            <rFont val="돋움"/>
            <family val="3"/>
            <charset val="129"/>
          </rPr>
          <t>노출</t>
        </r>
        <r>
          <rPr>
            <b/>
            <sz val="9"/>
            <color indexed="81"/>
            <rFont val="Tahoma"/>
            <family val="2"/>
          </rPr>
          <t xml:space="preserve"> + 
</t>
        </r>
        <r>
          <rPr>
            <b/>
            <sz val="9"/>
            <color indexed="81"/>
            <rFont val="돋움"/>
            <family val="3"/>
            <charset val="129"/>
          </rPr>
          <t>옥내</t>
        </r>
        <r>
          <rPr>
            <b/>
            <sz val="9"/>
            <color indexed="81"/>
            <rFont val="Tahoma"/>
            <family val="2"/>
          </rPr>
          <t xml:space="preserve"> </t>
        </r>
        <r>
          <rPr>
            <b/>
            <sz val="9"/>
            <color indexed="81"/>
            <rFont val="돋움"/>
            <family val="3"/>
            <charset val="129"/>
          </rPr>
          <t>매입</t>
        </r>
        <r>
          <rPr>
            <b/>
            <sz val="9"/>
            <color indexed="81"/>
            <rFont val="Tahoma"/>
            <family val="2"/>
          </rPr>
          <t xml:space="preserve"> 
</t>
        </r>
        <r>
          <rPr>
            <b/>
            <sz val="9"/>
            <color indexed="81"/>
            <rFont val="돋움"/>
            <family val="3"/>
            <charset val="129"/>
          </rPr>
          <t>산식</t>
        </r>
      </text>
    </comment>
    <comment ref="U166" authorId="1" shapeId="0" xr:uid="{ED0AC371-1A80-4173-85F1-72FC3BCDBE2A}">
      <text>
        <r>
          <rPr>
            <b/>
            <sz val="9"/>
            <color indexed="81"/>
            <rFont val="돋움"/>
            <family val="3"/>
            <charset val="129"/>
          </rPr>
          <t>옥외</t>
        </r>
        <r>
          <rPr>
            <b/>
            <sz val="9"/>
            <color indexed="81"/>
            <rFont val="Tahoma"/>
            <family val="2"/>
          </rPr>
          <t xml:space="preserve"> </t>
        </r>
        <r>
          <rPr>
            <b/>
            <sz val="9"/>
            <color indexed="81"/>
            <rFont val="돋움"/>
            <family val="3"/>
            <charset val="129"/>
          </rPr>
          <t>폴</t>
        </r>
        <r>
          <rPr>
            <b/>
            <sz val="9"/>
            <color indexed="81"/>
            <rFont val="Tahoma"/>
            <family val="2"/>
          </rPr>
          <t xml:space="preserve"> </t>
        </r>
        <r>
          <rPr>
            <b/>
            <sz val="9"/>
            <color indexed="81"/>
            <rFont val="돋움"/>
            <family val="3"/>
            <charset val="129"/>
          </rPr>
          <t>노출</t>
        </r>
        <r>
          <rPr>
            <b/>
            <sz val="9"/>
            <color indexed="81"/>
            <rFont val="Tahoma"/>
            <family val="2"/>
          </rPr>
          <t xml:space="preserve"> + 
</t>
        </r>
        <r>
          <rPr>
            <b/>
            <sz val="9"/>
            <color indexed="81"/>
            <rFont val="돋움"/>
            <family val="3"/>
            <charset val="129"/>
          </rPr>
          <t>옥내</t>
        </r>
        <r>
          <rPr>
            <b/>
            <sz val="9"/>
            <color indexed="81"/>
            <rFont val="Tahoma"/>
            <family val="2"/>
          </rPr>
          <t xml:space="preserve"> </t>
        </r>
        <r>
          <rPr>
            <b/>
            <sz val="9"/>
            <color indexed="81"/>
            <rFont val="돋움"/>
            <family val="3"/>
            <charset val="129"/>
          </rPr>
          <t>매입</t>
        </r>
        <r>
          <rPr>
            <b/>
            <sz val="9"/>
            <color indexed="81"/>
            <rFont val="Tahoma"/>
            <family val="2"/>
          </rPr>
          <t xml:space="preserve"> 
</t>
        </r>
        <r>
          <rPr>
            <b/>
            <sz val="9"/>
            <color indexed="81"/>
            <rFont val="돋움"/>
            <family val="3"/>
            <charset val="129"/>
          </rPr>
          <t>산식</t>
        </r>
      </text>
    </comment>
    <comment ref="W166" authorId="1" shapeId="0" xr:uid="{B65410C0-3E50-40FB-B182-35F7DBA72291}">
      <text>
        <r>
          <rPr>
            <b/>
            <sz val="9"/>
            <color indexed="81"/>
            <rFont val="돋움"/>
            <family val="3"/>
            <charset val="129"/>
          </rPr>
          <t>옥외</t>
        </r>
        <r>
          <rPr>
            <b/>
            <sz val="9"/>
            <color indexed="81"/>
            <rFont val="Tahoma"/>
            <family val="2"/>
          </rPr>
          <t xml:space="preserve"> </t>
        </r>
        <r>
          <rPr>
            <b/>
            <sz val="9"/>
            <color indexed="81"/>
            <rFont val="돋움"/>
            <family val="3"/>
            <charset val="129"/>
          </rPr>
          <t>폴</t>
        </r>
        <r>
          <rPr>
            <b/>
            <sz val="9"/>
            <color indexed="81"/>
            <rFont val="Tahoma"/>
            <family val="2"/>
          </rPr>
          <t xml:space="preserve"> </t>
        </r>
        <r>
          <rPr>
            <b/>
            <sz val="9"/>
            <color indexed="81"/>
            <rFont val="돋움"/>
            <family val="3"/>
            <charset val="129"/>
          </rPr>
          <t>노출</t>
        </r>
        <r>
          <rPr>
            <b/>
            <sz val="9"/>
            <color indexed="81"/>
            <rFont val="Tahoma"/>
            <family val="2"/>
          </rPr>
          <t xml:space="preserve"> + 
</t>
        </r>
        <r>
          <rPr>
            <b/>
            <sz val="9"/>
            <color indexed="81"/>
            <rFont val="돋움"/>
            <family val="3"/>
            <charset val="129"/>
          </rPr>
          <t>옥내</t>
        </r>
        <r>
          <rPr>
            <b/>
            <sz val="9"/>
            <color indexed="81"/>
            <rFont val="Tahoma"/>
            <family val="2"/>
          </rPr>
          <t xml:space="preserve"> </t>
        </r>
        <r>
          <rPr>
            <b/>
            <sz val="9"/>
            <color indexed="81"/>
            <rFont val="돋움"/>
            <family val="3"/>
            <charset val="129"/>
          </rPr>
          <t>매입</t>
        </r>
        <r>
          <rPr>
            <b/>
            <sz val="9"/>
            <color indexed="81"/>
            <rFont val="Tahoma"/>
            <family val="2"/>
          </rPr>
          <t xml:space="preserve"> 
</t>
        </r>
        <r>
          <rPr>
            <b/>
            <sz val="9"/>
            <color indexed="81"/>
            <rFont val="돋움"/>
            <family val="3"/>
            <charset val="129"/>
          </rPr>
          <t>산식</t>
        </r>
      </text>
    </comment>
    <comment ref="X166" authorId="1" shapeId="0" xr:uid="{C2DAAC7A-695C-4425-9CA9-BB3792DFA0D4}">
      <text>
        <r>
          <rPr>
            <b/>
            <sz val="9"/>
            <color indexed="81"/>
            <rFont val="돋움"/>
            <family val="3"/>
            <charset val="129"/>
          </rPr>
          <t>옥외</t>
        </r>
        <r>
          <rPr>
            <b/>
            <sz val="9"/>
            <color indexed="81"/>
            <rFont val="Tahoma"/>
            <family val="2"/>
          </rPr>
          <t xml:space="preserve"> </t>
        </r>
        <r>
          <rPr>
            <b/>
            <sz val="9"/>
            <color indexed="81"/>
            <rFont val="돋움"/>
            <family val="3"/>
            <charset val="129"/>
          </rPr>
          <t>폴</t>
        </r>
        <r>
          <rPr>
            <b/>
            <sz val="9"/>
            <color indexed="81"/>
            <rFont val="Tahoma"/>
            <family val="2"/>
          </rPr>
          <t xml:space="preserve"> </t>
        </r>
        <r>
          <rPr>
            <b/>
            <sz val="9"/>
            <color indexed="81"/>
            <rFont val="돋움"/>
            <family val="3"/>
            <charset val="129"/>
          </rPr>
          <t>노출</t>
        </r>
        <r>
          <rPr>
            <b/>
            <sz val="9"/>
            <color indexed="81"/>
            <rFont val="Tahoma"/>
            <family val="2"/>
          </rPr>
          <t xml:space="preserve"> + 
</t>
        </r>
        <r>
          <rPr>
            <b/>
            <sz val="9"/>
            <color indexed="81"/>
            <rFont val="돋움"/>
            <family val="3"/>
            <charset val="129"/>
          </rPr>
          <t>옥내</t>
        </r>
        <r>
          <rPr>
            <b/>
            <sz val="9"/>
            <color indexed="81"/>
            <rFont val="Tahoma"/>
            <family val="2"/>
          </rPr>
          <t xml:space="preserve"> </t>
        </r>
        <r>
          <rPr>
            <b/>
            <sz val="9"/>
            <color indexed="81"/>
            <rFont val="돋움"/>
            <family val="3"/>
            <charset val="129"/>
          </rPr>
          <t>매입</t>
        </r>
        <r>
          <rPr>
            <b/>
            <sz val="9"/>
            <color indexed="81"/>
            <rFont val="Tahoma"/>
            <family val="2"/>
          </rPr>
          <t xml:space="preserve"> 
</t>
        </r>
        <r>
          <rPr>
            <b/>
            <sz val="9"/>
            <color indexed="81"/>
            <rFont val="돋움"/>
            <family val="3"/>
            <charset val="129"/>
          </rPr>
          <t>산식</t>
        </r>
      </text>
    </comment>
    <comment ref="AC166" authorId="1" shapeId="0" xr:uid="{61DD19BB-1AEB-4D82-B0A5-A7FC7A5956B6}">
      <text>
        <r>
          <rPr>
            <b/>
            <sz val="9"/>
            <color indexed="81"/>
            <rFont val="돋움"/>
            <family val="3"/>
            <charset val="129"/>
          </rPr>
          <t>옥외</t>
        </r>
        <r>
          <rPr>
            <b/>
            <sz val="9"/>
            <color indexed="81"/>
            <rFont val="Tahoma"/>
            <family val="2"/>
          </rPr>
          <t xml:space="preserve"> </t>
        </r>
        <r>
          <rPr>
            <b/>
            <sz val="9"/>
            <color indexed="81"/>
            <rFont val="돋움"/>
            <family val="3"/>
            <charset val="129"/>
          </rPr>
          <t>폴</t>
        </r>
        <r>
          <rPr>
            <b/>
            <sz val="9"/>
            <color indexed="81"/>
            <rFont val="Tahoma"/>
            <family val="2"/>
          </rPr>
          <t xml:space="preserve"> </t>
        </r>
        <r>
          <rPr>
            <b/>
            <sz val="9"/>
            <color indexed="81"/>
            <rFont val="돋움"/>
            <family val="3"/>
            <charset val="129"/>
          </rPr>
          <t>노출</t>
        </r>
        <r>
          <rPr>
            <b/>
            <sz val="9"/>
            <color indexed="81"/>
            <rFont val="Tahoma"/>
            <family val="2"/>
          </rPr>
          <t xml:space="preserve"> + 
</t>
        </r>
        <r>
          <rPr>
            <b/>
            <sz val="9"/>
            <color indexed="81"/>
            <rFont val="돋움"/>
            <family val="3"/>
            <charset val="129"/>
          </rPr>
          <t>옥내</t>
        </r>
        <r>
          <rPr>
            <b/>
            <sz val="9"/>
            <color indexed="81"/>
            <rFont val="Tahoma"/>
            <family val="2"/>
          </rPr>
          <t xml:space="preserve"> </t>
        </r>
        <r>
          <rPr>
            <b/>
            <sz val="9"/>
            <color indexed="81"/>
            <rFont val="돋움"/>
            <family val="3"/>
            <charset val="129"/>
          </rPr>
          <t>매입</t>
        </r>
        <r>
          <rPr>
            <b/>
            <sz val="9"/>
            <color indexed="81"/>
            <rFont val="Tahoma"/>
            <family val="2"/>
          </rPr>
          <t xml:space="preserve"> 
</t>
        </r>
        <r>
          <rPr>
            <b/>
            <sz val="9"/>
            <color indexed="81"/>
            <rFont val="돋움"/>
            <family val="3"/>
            <charset val="129"/>
          </rPr>
          <t>산식</t>
        </r>
      </text>
    </comment>
    <comment ref="AD166" authorId="1" shapeId="0" xr:uid="{36F92F0F-B0AE-4B25-8F72-5B6AE77B96DC}">
      <text>
        <r>
          <rPr>
            <b/>
            <sz val="9"/>
            <color indexed="81"/>
            <rFont val="돋움"/>
            <family val="3"/>
            <charset val="129"/>
          </rPr>
          <t>옥외</t>
        </r>
        <r>
          <rPr>
            <b/>
            <sz val="9"/>
            <color indexed="81"/>
            <rFont val="Tahoma"/>
            <family val="2"/>
          </rPr>
          <t xml:space="preserve"> </t>
        </r>
        <r>
          <rPr>
            <b/>
            <sz val="9"/>
            <color indexed="81"/>
            <rFont val="돋움"/>
            <family val="3"/>
            <charset val="129"/>
          </rPr>
          <t>폴</t>
        </r>
        <r>
          <rPr>
            <b/>
            <sz val="9"/>
            <color indexed="81"/>
            <rFont val="Tahoma"/>
            <family val="2"/>
          </rPr>
          <t xml:space="preserve"> </t>
        </r>
        <r>
          <rPr>
            <b/>
            <sz val="9"/>
            <color indexed="81"/>
            <rFont val="돋움"/>
            <family val="3"/>
            <charset val="129"/>
          </rPr>
          <t>노출</t>
        </r>
        <r>
          <rPr>
            <b/>
            <sz val="9"/>
            <color indexed="81"/>
            <rFont val="Tahoma"/>
            <family val="2"/>
          </rPr>
          <t xml:space="preserve"> + 
</t>
        </r>
        <r>
          <rPr>
            <b/>
            <sz val="9"/>
            <color indexed="81"/>
            <rFont val="돋움"/>
            <family val="3"/>
            <charset val="129"/>
          </rPr>
          <t>옥내</t>
        </r>
        <r>
          <rPr>
            <b/>
            <sz val="9"/>
            <color indexed="81"/>
            <rFont val="Tahoma"/>
            <family val="2"/>
          </rPr>
          <t xml:space="preserve"> </t>
        </r>
        <r>
          <rPr>
            <b/>
            <sz val="9"/>
            <color indexed="81"/>
            <rFont val="돋움"/>
            <family val="3"/>
            <charset val="129"/>
          </rPr>
          <t>매입</t>
        </r>
        <r>
          <rPr>
            <b/>
            <sz val="9"/>
            <color indexed="81"/>
            <rFont val="Tahoma"/>
            <family val="2"/>
          </rPr>
          <t xml:space="preserve"> 
</t>
        </r>
        <r>
          <rPr>
            <b/>
            <sz val="9"/>
            <color indexed="81"/>
            <rFont val="돋움"/>
            <family val="3"/>
            <charset val="129"/>
          </rPr>
          <t>산식</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6" authorId="0" shapeId="0" xr:uid="{00000000-0006-0000-1000-000001000000}">
      <text>
        <r>
          <rPr>
            <b/>
            <sz val="9"/>
            <color indexed="81"/>
            <rFont val="Tahoma"/>
            <family val="2"/>
          </rPr>
          <t>48c</t>
        </r>
        <r>
          <rPr>
            <b/>
            <sz val="9"/>
            <color indexed="81"/>
            <rFont val="돋움"/>
            <family val="3"/>
            <charset val="129"/>
          </rPr>
          <t>중</t>
        </r>
        <r>
          <rPr>
            <b/>
            <sz val="9"/>
            <color indexed="81"/>
            <rFont val="Tahoma"/>
            <family val="2"/>
          </rPr>
          <t xml:space="preserve"> 24c</t>
        </r>
        <r>
          <rPr>
            <b/>
            <sz val="9"/>
            <color indexed="81"/>
            <rFont val="돋움"/>
            <family val="3"/>
            <charset val="129"/>
          </rPr>
          <t>만</t>
        </r>
        <r>
          <rPr>
            <b/>
            <sz val="9"/>
            <color indexed="81"/>
            <rFont val="Tahoma"/>
            <family val="2"/>
          </rPr>
          <t xml:space="preserve"> </t>
        </r>
        <r>
          <rPr>
            <b/>
            <sz val="9"/>
            <color indexed="81"/>
            <rFont val="돋움"/>
            <family val="3"/>
            <charset val="129"/>
          </rPr>
          <t>접속</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F43" authorId="0" shapeId="0" xr:uid="{F5F2AFB2-6939-409F-8112-C3C7A7DAD42E}">
      <text>
        <r>
          <rPr>
            <b/>
            <sz val="9"/>
            <color indexed="81"/>
            <rFont val="돋움"/>
            <family val="3"/>
            <charset val="129"/>
          </rPr>
          <t>전원설비
변전용</t>
        </r>
        <r>
          <rPr>
            <b/>
            <sz val="9"/>
            <color indexed="81"/>
            <rFont val="Tahoma"/>
            <family val="2"/>
          </rPr>
          <t xml:space="preserve"> 8</t>
        </r>
        <r>
          <rPr>
            <b/>
            <sz val="9"/>
            <color indexed="81"/>
            <rFont val="돋움"/>
            <family val="3"/>
            <charset val="129"/>
          </rPr>
          <t>대</t>
        </r>
        <r>
          <rPr>
            <b/>
            <sz val="9"/>
            <color indexed="81"/>
            <rFont val="Tahoma"/>
            <family val="2"/>
          </rPr>
          <t xml:space="preserve">
</t>
        </r>
        <r>
          <rPr>
            <b/>
            <sz val="9"/>
            <color indexed="81"/>
            <rFont val="돋움"/>
            <family val="3"/>
            <charset val="129"/>
          </rPr>
          <t>변환용</t>
        </r>
        <r>
          <rPr>
            <b/>
            <sz val="9"/>
            <color indexed="81"/>
            <rFont val="Tahoma"/>
            <family val="2"/>
          </rPr>
          <t xml:space="preserve"> 6</t>
        </r>
        <r>
          <rPr>
            <b/>
            <sz val="9"/>
            <color indexed="81"/>
            <rFont val="돋움"/>
            <family val="3"/>
            <charset val="129"/>
          </rPr>
          <t>대</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H38" authorId="0" shapeId="0" xr:uid="{C4ABD941-789C-40E1-871B-85D5FA2288F5}">
      <text>
        <r>
          <rPr>
            <b/>
            <sz val="9"/>
            <color indexed="81"/>
            <rFont val="돋움"/>
            <family val="3"/>
            <charset val="129"/>
          </rPr>
          <t>내선전기</t>
        </r>
        <r>
          <rPr>
            <b/>
            <sz val="9"/>
            <color indexed="81"/>
            <rFont val="Tahoma"/>
            <family val="2"/>
          </rPr>
          <t xml:space="preserve"> </t>
        </r>
        <r>
          <rPr>
            <b/>
            <sz val="9"/>
            <color indexed="81"/>
            <rFont val="돋움"/>
            <family val="3"/>
            <charset val="129"/>
          </rPr>
          <t>트레이사용</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Windows 사용자</author>
    <author>USER</author>
  </authors>
  <commentList>
    <comment ref="L14" authorId="0" shapeId="0" xr:uid="{00000000-0006-0000-2D00-00000A000000}">
      <text>
        <r>
          <rPr>
            <b/>
            <sz val="9"/>
            <color indexed="81"/>
            <rFont val="Tahoma"/>
            <family val="2"/>
          </rPr>
          <t xml:space="preserve">LIU </t>
        </r>
        <r>
          <rPr>
            <b/>
            <sz val="9"/>
            <color indexed="81"/>
            <rFont val="돋움"/>
            <family val="3"/>
            <charset val="129"/>
          </rPr>
          <t>챔프케이블</t>
        </r>
      </text>
    </comment>
    <comment ref="L15" authorId="0" shapeId="0" xr:uid="{00000000-0006-0000-2D00-00000B000000}">
      <text>
        <r>
          <rPr>
            <b/>
            <sz val="9"/>
            <color indexed="81"/>
            <rFont val="돋움"/>
            <family val="3"/>
            <charset val="129"/>
          </rPr>
          <t>단자대</t>
        </r>
        <r>
          <rPr>
            <b/>
            <sz val="9"/>
            <color indexed="81"/>
            <rFont val="Tahoma"/>
            <family val="2"/>
          </rPr>
          <t xml:space="preserve">1 </t>
        </r>
        <r>
          <rPr>
            <b/>
            <sz val="9"/>
            <color indexed="81"/>
            <rFont val="돋움"/>
            <family val="3"/>
            <charset val="129"/>
          </rPr>
          <t>랙용</t>
        </r>
      </text>
    </comment>
    <comment ref="L16" authorId="0" shapeId="0" xr:uid="{00000000-0006-0000-2D00-00000D000000}">
      <text>
        <r>
          <rPr>
            <b/>
            <sz val="9"/>
            <color indexed="81"/>
            <rFont val="돋움"/>
            <family val="3"/>
            <charset val="129"/>
          </rPr>
          <t>단자대</t>
        </r>
        <r>
          <rPr>
            <b/>
            <sz val="9"/>
            <color indexed="81"/>
            <rFont val="Tahoma"/>
            <family val="2"/>
          </rPr>
          <t xml:space="preserve">1 </t>
        </r>
        <r>
          <rPr>
            <b/>
            <sz val="9"/>
            <color indexed="81"/>
            <rFont val="돋움"/>
            <family val="3"/>
            <charset val="129"/>
          </rPr>
          <t>랙용</t>
        </r>
      </text>
    </comment>
    <comment ref="L17" authorId="0" shapeId="0" xr:uid="{00000000-0006-0000-2D00-00000F000000}">
      <text>
        <r>
          <rPr>
            <b/>
            <sz val="9"/>
            <color indexed="81"/>
            <rFont val="돋움"/>
            <family val="3"/>
            <charset val="129"/>
          </rPr>
          <t>단자대</t>
        </r>
        <r>
          <rPr>
            <b/>
            <sz val="9"/>
            <color indexed="81"/>
            <rFont val="Tahoma"/>
            <family val="2"/>
          </rPr>
          <t xml:space="preserve">1 </t>
        </r>
        <r>
          <rPr>
            <b/>
            <sz val="9"/>
            <color indexed="81"/>
            <rFont val="돋움"/>
            <family val="3"/>
            <charset val="129"/>
          </rPr>
          <t>랙용</t>
        </r>
      </text>
    </comment>
    <comment ref="L19" authorId="1" shapeId="0" xr:uid="{00000000-0006-0000-2D00-000013000000}">
      <text>
        <r>
          <rPr>
            <b/>
            <sz val="9"/>
            <color indexed="81"/>
            <rFont val="Tahoma"/>
            <family val="2"/>
          </rPr>
          <t>HSR PTP</t>
        </r>
        <r>
          <rPr>
            <b/>
            <sz val="9"/>
            <color indexed="81"/>
            <rFont val="돋움"/>
            <family val="3"/>
            <charset val="129"/>
          </rPr>
          <t>용</t>
        </r>
      </text>
    </comment>
    <comment ref="L23" authorId="1" shapeId="0" xr:uid="{00000000-0006-0000-2D00-000019000000}">
      <text>
        <r>
          <rPr>
            <b/>
            <sz val="9"/>
            <color indexed="81"/>
            <rFont val="돋움"/>
            <family val="3"/>
            <charset val="129"/>
          </rPr>
          <t>단자대</t>
        </r>
        <r>
          <rPr>
            <b/>
            <sz val="9"/>
            <color indexed="81"/>
            <rFont val="Tahoma"/>
            <family val="2"/>
          </rPr>
          <t xml:space="preserve"> </t>
        </r>
        <r>
          <rPr>
            <b/>
            <sz val="9"/>
            <color indexed="81"/>
            <rFont val="돋움"/>
            <family val="3"/>
            <charset val="129"/>
          </rPr>
          <t>랙</t>
        </r>
        <r>
          <rPr>
            <b/>
            <sz val="9"/>
            <color indexed="81"/>
            <rFont val="Tahoma"/>
            <family val="2"/>
          </rPr>
          <t>1</t>
        </r>
      </text>
    </comment>
    <comment ref="L24" authorId="1" shapeId="0" xr:uid="{00000000-0006-0000-2D00-00001D000000}">
      <text>
        <r>
          <rPr>
            <b/>
            <sz val="9"/>
            <color indexed="81"/>
            <rFont val="돋움"/>
            <family val="3"/>
            <charset val="129"/>
          </rPr>
          <t>단자대</t>
        </r>
        <r>
          <rPr>
            <b/>
            <sz val="9"/>
            <color indexed="81"/>
            <rFont val="Tahoma"/>
            <family val="2"/>
          </rPr>
          <t xml:space="preserve"> </t>
        </r>
        <r>
          <rPr>
            <b/>
            <sz val="9"/>
            <color indexed="81"/>
            <rFont val="돋움"/>
            <family val="3"/>
            <charset val="129"/>
          </rPr>
          <t>랙</t>
        </r>
        <r>
          <rPr>
            <b/>
            <sz val="9"/>
            <color indexed="81"/>
            <rFont val="Tahoma"/>
            <family val="2"/>
          </rPr>
          <t>1</t>
        </r>
      </text>
    </comment>
    <comment ref="L25" authorId="1" shapeId="0" xr:uid="{00000000-0006-0000-2D00-000020000000}">
      <text>
        <r>
          <rPr>
            <b/>
            <sz val="9"/>
            <color indexed="81"/>
            <rFont val="Tahoma"/>
            <family val="2"/>
          </rPr>
          <t xml:space="preserve">HSR PTP 2, </t>
        </r>
        <r>
          <rPr>
            <b/>
            <sz val="9"/>
            <color indexed="81"/>
            <rFont val="돋움"/>
            <family val="3"/>
            <charset val="129"/>
          </rPr>
          <t>구</t>
        </r>
        <r>
          <rPr>
            <b/>
            <sz val="9"/>
            <color indexed="81"/>
            <rFont val="Tahoma"/>
            <family val="2"/>
          </rPr>
          <t>)PTP 1</t>
        </r>
      </text>
    </comment>
    <comment ref="L26" authorId="1" shapeId="0" xr:uid="{00000000-0006-0000-2D00-000021000000}">
      <text>
        <r>
          <rPr>
            <b/>
            <sz val="9"/>
            <color indexed="81"/>
            <rFont val="Tahoma"/>
            <family val="2"/>
          </rPr>
          <t>C-MUX</t>
        </r>
      </text>
    </comment>
    <comment ref="L27" authorId="1" shapeId="0" xr:uid="{00000000-0006-0000-2D00-000022000000}">
      <text>
        <r>
          <rPr>
            <b/>
            <sz val="9"/>
            <color indexed="81"/>
            <rFont val="Tahoma"/>
            <family val="2"/>
          </rPr>
          <t>C-MUX</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Administrator</author>
    <author>Windows 사용자</author>
    <author>USER</author>
  </authors>
  <commentList>
    <comment ref="G8" authorId="0" shapeId="0" xr:uid="{CF2319B8-FDEE-40FE-8361-7FFD7134BAC5}">
      <text>
        <r>
          <rPr>
            <b/>
            <sz val="9"/>
            <color indexed="81"/>
            <rFont val="Tahoma"/>
            <family val="2"/>
          </rPr>
          <t>CTRU 4*2 (~</t>
        </r>
        <r>
          <rPr>
            <b/>
            <sz val="9"/>
            <color indexed="81"/>
            <rFont val="돋움"/>
            <family val="3"/>
            <charset val="129"/>
          </rPr>
          <t>동해안</t>
        </r>
        <r>
          <rPr>
            <b/>
            <sz val="9"/>
            <color indexed="81"/>
            <rFont val="Tahoma"/>
            <family val="2"/>
          </rPr>
          <t>, ~</t>
        </r>
        <r>
          <rPr>
            <b/>
            <sz val="9"/>
            <color indexed="81"/>
            <rFont val="돋움"/>
            <family val="3"/>
            <charset val="129"/>
          </rPr>
          <t>가평</t>
        </r>
        <r>
          <rPr>
            <b/>
            <sz val="9"/>
            <color indexed="81"/>
            <rFont val="Tahoma"/>
            <family val="2"/>
          </rPr>
          <t>)</t>
        </r>
      </text>
    </comment>
    <comment ref="L14" authorId="1" shapeId="0" xr:uid="{87447F09-D636-47E5-8C95-11F081CC02D4}">
      <text>
        <r>
          <rPr>
            <b/>
            <sz val="9"/>
            <color indexed="81"/>
            <rFont val="Tahoma"/>
            <family val="2"/>
          </rPr>
          <t xml:space="preserve">LIU </t>
        </r>
        <r>
          <rPr>
            <b/>
            <sz val="9"/>
            <color indexed="81"/>
            <rFont val="돋움"/>
            <family val="3"/>
            <charset val="129"/>
          </rPr>
          <t>챔프케이블</t>
        </r>
      </text>
    </comment>
    <comment ref="L15" authorId="1" shapeId="0" xr:uid="{CC9431AD-8CE5-4744-8E29-DC0714934DFB}">
      <text>
        <r>
          <rPr>
            <b/>
            <sz val="9"/>
            <color indexed="81"/>
            <rFont val="돋움"/>
            <family val="3"/>
            <charset val="129"/>
          </rPr>
          <t>단자대</t>
        </r>
        <r>
          <rPr>
            <b/>
            <sz val="9"/>
            <color indexed="81"/>
            <rFont val="Tahoma"/>
            <family val="2"/>
          </rPr>
          <t xml:space="preserve">1 </t>
        </r>
        <r>
          <rPr>
            <b/>
            <sz val="9"/>
            <color indexed="81"/>
            <rFont val="돋움"/>
            <family val="3"/>
            <charset val="129"/>
          </rPr>
          <t>랙용</t>
        </r>
      </text>
    </comment>
    <comment ref="L16" authorId="1" shapeId="0" xr:uid="{2E246954-DFB0-4248-AB2D-58304FFDE45B}">
      <text>
        <r>
          <rPr>
            <b/>
            <sz val="9"/>
            <color indexed="81"/>
            <rFont val="돋움"/>
            <family val="3"/>
            <charset val="129"/>
          </rPr>
          <t>단자대</t>
        </r>
        <r>
          <rPr>
            <b/>
            <sz val="9"/>
            <color indexed="81"/>
            <rFont val="Tahoma"/>
            <family val="2"/>
          </rPr>
          <t xml:space="preserve">1 </t>
        </r>
        <r>
          <rPr>
            <b/>
            <sz val="9"/>
            <color indexed="81"/>
            <rFont val="돋움"/>
            <family val="3"/>
            <charset val="129"/>
          </rPr>
          <t>랙용</t>
        </r>
      </text>
    </comment>
    <comment ref="L17" authorId="1" shapeId="0" xr:uid="{114062A8-80D8-4381-A12E-7322AF21C8F9}">
      <text>
        <r>
          <rPr>
            <b/>
            <sz val="9"/>
            <color indexed="81"/>
            <rFont val="돋움"/>
            <family val="3"/>
            <charset val="129"/>
          </rPr>
          <t>단자대</t>
        </r>
        <r>
          <rPr>
            <b/>
            <sz val="9"/>
            <color indexed="81"/>
            <rFont val="Tahoma"/>
            <family val="2"/>
          </rPr>
          <t xml:space="preserve">1 </t>
        </r>
        <r>
          <rPr>
            <b/>
            <sz val="9"/>
            <color indexed="81"/>
            <rFont val="돋움"/>
            <family val="3"/>
            <charset val="129"/>
          </rPr>
          <t>랙용</t>
        </r>
      </text>
    </comment>
    <comment ref="L19" authorId="2" shapeId="0" xr:uid="{33011E19-95D6-41C1-859F-31CC133BCF96}">
      <text>
        <r>
          <rPr>
            <b/>
            <sz val="9"/>
            <color indexed="81"/>
            <rFont val="Tahoma"/>
            <family val="2"/>
          </rPr>
          <t>HSR PTP</t>
        </r>
        <r>
          <rPr>
            <b/>
            <sz val="9"/>
            <color indexed="81"/>
            <rFont val="돋움"/>
            <family val="3"/>
            <charset val="129"/>
          </rPr>
          <t>용</t>
        </r>
      </text>
    </comment>
    <comment ref="L23" authorId="2" shapeId="0" xr:uid="{C9A94457-8F24-4671-982F-D9930B31666E}">
      <text>
        <r>
          <rPr>
            <b/>
            <sz val="9"/>
            <color indexed="81"/>
            <rFont val="돋움"/>
            <family val="3"/>
            <charset val="129"/>
          </rPr>
          <t>단자대</t>
        </r>
        <r>
          <rPr>
            <b/>
            <sz val="9"/>
            <color indexed="81"/>
            <rFont val="Tahoma"/>
            <family val="2"/>
          </rPr>
          <t xml:space="preserve"> </t>
        </r>
        <r>
          <rPr>
            <b/>
            <sz val="9"/>
            <color indexed="81"/>
            <rFont val="돋움"/>
            <family val="3"/>
            <charset val="129"/>
          </rPr>
          <t>랙</t>
        </r>
        <r>
          <rPr>
            <b/>
            <sz val="9"/>
            <color indexed="81"/>
            <rFont val="Tahoma"/>
            <family val="2"/>
          </rPr>
          <t>1</t>
        </r>
      </text>
    </comment>
    <comment ref="L24" authorId="2" shapeId="0" xr:uid="{0B3251E1-1D32-4026-9061-F360A527D7E6}">
      <text>
        <r>
          <rPr>
            <b/>
            <sz val="9"/>
            <color indexed="81"/>
            <rFont val="돋움"/>
            <family val="3"/>
            <charset val="129"/>
          </rPr>
          <t>단자대</t>
        </r>
        <r>
          <rPr>
            <b/>
            <sz val="9"/>
            <color indexed="81"/>
            <rFont val="Tahoma"/>
            <family val="2"/>
          </rPr>
          <t xml:space="preserve"> </t>
        </r>
        <r>
          <rPr>
            <b/>
            <sz val="9"/>
            <color indexed="81"/>
            <rFont val="돋움"/>
            <family val="3"/>
            <charset val="129"/>
          </rPr>
          <t>랙</t>
        </r>
        <r>
          <rPr>
            <b/>
            <sz val="9"/>
            <color indexed="81"/>
            <rFont val="Tahoma"/>
            <family val="2"/>
          </rPr>
          <t>1</t>
        </r>
      </text>
    </comment>
    <comment ref="L25" authorId="2" shapeId="0" xr:uid="{15EBCA77-EFC4-42C5-BE12-13A445CCCEAE}">
      <text>
        <r>
          <rPr>
            <b/>
            <sz val="9"/>
            <color indexed="81"/>
            <rFont val="Tahoma"/>
            <family val="2"/>
          </rPr>
          <t xml:space="preserve">HSR PTP 2, </t>
        </r>
        <r>
          <rPr>
            <b/>
            <sz val="9"/>
            <color indexed="81"/>
            <rFont val="돋움"/>
            <family val="3"/>
            <charset val="129"/>
          </rPr>
          <t>구</t>
        </r>
        <r>
          <rPr>
            <b/>
            <sz val="9"/>
            <color indexed="81"/>
            <rFont val="Tahoma"/>
            <family val="2"/>
          </rPr>
          <t>)PTP 1</t>
        </r>
      </text>
    </comment>
    <comment ref="L26" authorId="2" shapeId="0" xr:uid="{5839D21B-9E11-45D1-9937-26A0303AE362}">
      <text>
        <r>
          <rPr>
            <b/>
            <sz val="9"/>
            <color indexed="81"/>
            <rFont val="Tahoma"/>
            <family val="2"/>
          </rPr>
          <t>C-MUX</t>
        </r>
      </text>
    </comment>
    <comment ref="L27" authorId="2" shapeId="0" xr:uid="{B0E9E097-2660-496C-B6AB-20B2A82CFAEB}">
      <text>
        <r>
          <rPr>
            <b/>
            <sz val="9"/>
            <color indexed="81"/>
            <rFont val="Tahoma"/>
            <family val="2"/>
          </rPr>
          <t>C-MUX</t>
        </r>
      </text>
    </comment>
  </commentList>
</comments>
</file>

<file path=xl/sharedStrings.xml><?xml version="1.0" encoding="utf-8"?>
<sst xmlns="http://schemas.openxmlformats.org/spreadsheetml/2006/main" count="7892" uniqueCount="3378">
  <si>
    <t>비  고</t>
    <phoneticPr fontId="6" type="noConversion"/>
  </si>
  <si>
    <t xml:space="preserve"> </t>
    <phoneticPr fontId="6" type="noConversion"/>
  </si>
  <si>
    <t xml:space="preserve"> </t>
  </si>
  <si>
    <t>통신설비공</t>
  </si>
  <si>
    <t>보통인부</t>
  </si>
  <si>
    <t>통신설비공</t>
    <phoneticPr fontId="6" type="noConversion"/>
  </si>
  <si>
    <t>광케이블설치사</t>
    <phoneticPr fontId="4" type="noConversion"/>
  </si>
  <si>
    <t>특별인부</t>
    <phoneticPr fontId="4" type="noConversion"/>
  </si>
  <si>
    <t>개소</t>
  </si>
  <si>
    <t>광케이블설치사</t>
  </si>
  <si>
    <t>특별인부</t>
    <phoneticPr fontId="6" type="noConversion"/>
  </si>
  <si>
    <t>대</t>
    <phoneticPr fontId="6" type="noConversion"/>
  </si>
  <si>
    <t>S/W시험사</t>
    <phoneticPr fontId="4" type="noConversion"/>
  </si>
  <si>
    <t>H/W시험사</t>
    <phoneticPr fontId="4" type="noConversion"/>
  </si>
  <si>
    <t>통신케이블공</t>
    <phoneticPr fontId="4" type="noConversion"/>
  </si>
  <si>
    <t>통신내선공</t>
    <phoneticPr fontId="4" type="noConversion"/>
  </si>
  <si>
    <t>특별인부</t>
  </si>
  <si>
    <t>통신관련산업기사</t>
  </si>
  <si>
    <t>PCM케이블 포설품에 적용</t>
    <phoneticPr fontId="6" type="noConversion"/>
  </si>
  <si>
    <t>비  고</t>
  </si>
  <si>
    <t>비계공</t>
  </si>
  <si>
    <t>배관공</t>
  </si>
  <si>
    <t>송전전공</t>
  </si>
  <si>
    <t>배전전공</t>
  </si>
  <si>
    <t>플랜트전공</t>
  </si>
  <si>
    <t>내선전공</t>
  </si>
  <si>
    <t>고압케이블전공</t>
  </si>
  <si>
    <t>저압케이블전공</t>
  </si>
  <si>
    <t>계장공</t>
  </si>
  <si>
    <t>통신외선공</t>
  </si>
  <si>
    <t>통신내선공</t>
  </si>
  <si>
    <t>통신케이블공</t>
  </si>
  <si>
    <t>무선안테나공</t>
  </si>
  <si>
    <t>지적기사</t>
  </si>
  <si>
    <t>지적산업기사</t>
  </si>
  <si>
    <t>지적기능사</t>
  </si>
  <si>
    <t>노임변동율평균</t>
  </si>
  <si>
    <t>전기공사기사</t>
  </si>
  <si>
    <t>단위</t>
    <phoneticPr fontId="6" type="noConversion"/>
  </si>
  <si>
    <t>비고</t>
    <phoneticPr fontId="6" type="noConversion"/>
  </si>
  <si>
    <t>m</t>
    <phoneticPr fontId="6" type="noConversion"/>
  </si>
  <si>
    <t>EA</t>
  </si>
  <si>
    <t>19" Rack</t>
    <phoneticPr fontId="11" type="noConversion"/>
  </si>
  <si>
    <t>가</t>
    <phoneticPr fontId="11" type="noConversion"/>
  </si>
  <si>
    <t>m</t>
    <phoneticPr fontId="11" type="noConversion"/>
  </si>
  <si>
    <t>대</t>
    <phoneticPr fontId="11" type="noConversion"/>
  </si>
  <si>
    <t>EA</t>
    <phoneticPr fontId="6" type="noConversion"/>
  </si>
  <si>
    <t>No.</t>
    <phoneticPr fontId="6" type="noConversion"/>
  </si>
  <si>
    <t>품    명</t>
    <phoneticPr fontId="6" type="noConversion"/>
  </si>
  <si>
    <t>규     격</t>
    <phoneticPr fontId="6" type="noConversion"/>
  </si>
  <si>
    <t>수량</t>
    <phoneticPr fontId="6" type="noConversion"/>
  </si>
  <si>
    <t>단  가</t>
  </si>
  <si>
    <t>금   액</t>
  </si>
  <si>
    <t>비  고</t>
    <phoneticPr fontId="6" type="noConversion"/>
  </si>
  <si>
    <t xml:space="preserve"> </t>
    <phoneticPr fontId="6" type="noConversion"/>
  </si>
  <si>
    <t>[ 노 무 비 ]</t>
    <phoneticPr fontId="6" type="noConversion"/>
  </si>
  <si>
    <t>Ⅰ. 직접노무비</t>
    <phoneticPr fontId="6" type="noConversion"/>
  </si>
  <si>
    <t>Ⅱ. 간접노무비</t>
    <phoneticPr fontId="6" type="noConversion"/>
  </si>
  <si>
    <t>:</t>
  </si>
  <si>
    <t>[ 경   비 ]</t>
    <phoneticPr fontId="6" type="noConversion"/>
  </si>
  <si>
    <t>[일반관리비]</t>
    <phoneticPr fontId="6" type="noConversion"/>
  </si>
  <si>
    <t>[ 이   윤 ]</t>
    <phoneticPr fontId="6" type="noConversion"/>
  </si>
  <si>
    <t>검 토 자</t>
  </si>
  <si>
    <t>작 성 자</t>
  </si>
  <si>
    <t xml:space="preserve">    가. 재  료  비</t>
  </si>
  <si>
    <t>회 사 분</t>
  </si>
  <si>
    <t>도 급 분</t>
  </si>
  <si>
    <t xml:space="preserve">      1) 출고재료비</t>
    <phoneticPr fontId="6" type="noConversion"/>
  </si>
  <si>
    <t xml:space="preserve">     </t>
  </si>
  <si>
    <t>본 사 분</t>
    <phoneticPr fontId="28" type="noConversion"/>
  </si>
  <si>
    <t>사업소분</t>
  </si>
  <si>
    <t xml:space="preserve">      2) 구입재료비</t>
    <phoneticPr fontId="42" type="noConversion"/>
  </si>
  <si>
    <t xml:space="preserve">  CP외자</t>
    <phoneticPr fontId="28" type="noConversion"/>
  </si>
  <si>
    <t xml:space="preserve">  CP내자</t>
    <phoneticPr fontId="28" type="noConversion"/>
  </si>
  <si>
    <t xml:space="preserve">  LP내자</t>
    <phoneticPr fontId="28" type="noConversion"/>
  </si>
  <si>
    <t xml:space="preserve">      3) 회사운반비</t>
    <phoneticPr fontId="42" type="noConversion"/>
  </si>
  <si>
    <t xml:space="preserve">      4) 외자조작비</t>
    <phoneticPr fontId="42" type="noConversion"/>
  </si>
  <si>
    <t xml:space="preserve">      5) 지입재료비</t>
    <phoneticPr fontId="42" type="noConversion"/>
  </si>
  <si>
    <t xml:space="preserve">      6) 잡 재 료 비</t>
    <phoneticPr fontId="42" type="noConversion"/>
  </si>
  <si>
    <t xml:space="preserve">    나. 노  무  비</t>
  </si>
  <si>
    <t xml:space="preserve">   다. 경      비</t>
  </si>
  <si>
    <t xml:space="preserve">                                        기  간
   공  정</t>
    <phoneticPr fontId="6" type="noConversion"/>
  </si>
  <si>
    <t>자재검수 및 작업준비</t>
    <phoneticPr fontId="6" type="noConversion"/>
  </si>
  <si>
    <t>준공 전 인수점검</t>
    <phoneticPr fontId="6" type="noConversion"/>
  </si>
  <si>
    <t>지적사항 보완, 현장정리 및 준공</t>
    <phoneticPr fontId="6" type="noConversion"/>
  </si>
  <si>
    <t>항 목 별</t>
  </si>
  <si>
    <t>취 급 별</t>
  </si>
  <si>
    <t>계</t>
  </si>
  <si>
    <t>재 료 비</t>
    <phoneticPr fontId="6" type="noConversion"/>
  </si>
  <si>
    <t>본     사</t>
    <phoneticPr fontId="6" type="noConversion"/>
  </si>
  <si>
    <t>사 업 소</t>
  </si>
  <si>
    <t>도     급</t>
    <phoneticPr fontId="6" type="noConversion"/>
  </si>
  <si>
    <t>노 무 비</t>
  </si>
  <si>
    <t>본     사</t>
    <phoneticPr fontId="6" type="noConversion"/>
  </si>
  <si>
    <t>경    비</t>
  </si>
  <si>
    <t>일     반
관 리 비</t>
    <phoneticPr fontId="6" type="noConversion"/>
  </si>
  <si>
    <t>이    윤</t>
  </si>
  <si>
    <t>저     장
관 리 비</t>
    <phoneticPr fontId="6" type="noConversion"/>
  </si>
  <si>
    <t>취  급  별</t>
  </si>
  <si>
    <t>합      계</t>
    <phoneticPr fontId="28" type="noConversion"/>
  </si>
  <si>
    <t>비     고</t>
    <phoneticPr fontId="28" type="noConversion"/>
  </si>
  <si>
    <t>총 공사비</t>
  </si>
  <si>
    <t>( 합   계 )</t>
    <phoneticPr fontId="6" type="noConversion"/>
  </si>
  <si>
    <t>본       사</t>
    <phoneticPr fontId="6" type="noConversion"/>
  </si>
  <si>
    <t>사  업  소</t>
  </si>
  <si>
    <t>도       급</t>
    <phoneticPr fontId="6" type="noConversion"/>
  </si>
  <si>
    <t>비용배분비</t>
  </si>
  <si>
    <t>외   자   비</t>
    <phoneticPr fontId="6" type="noConversion"/>
  </si>
  <si>
    <t xml:space="preserve">    -</t>
  </si>
  <si>
    <t>출고재료비</t>
  </si>
  <si>
    <t>구입재료비</t>
  </si>
  <si>
    <t>( 소  계 )</t>
  </si>
  <si>
    <t xml:space="preserve"> </t>
    <phoneticPr fontId="6" type="noConversion"/>
  </si>
  <si>
    <t>도       급</t>
    <phoneticPr fontId="6" type="noConversion"/>
  </si>
  <si>
    <t>노   무   비</t>
    <phoneticPr fontId="6" type="noConversion"/>
  </si>
  <si>
    <t>경        비</t>
    <phoneticPr fontId="6" type="noConversion"/>
  </si>
  <si>
    <t>본       사</t>
    <phoneticPr fontId="6" type="noConversion"/>
  </si>
  <si>
    <t>일반관리비</t>
  </si>
  <si>
    <t>이        윤</t>
    <phoneticPr fontId="6" type="noConversion"/>
  </si>
  <si>
    <t>-</t>
    <phoneticPr fontId="6" type="noConversion"/>
  </si>
  <si>
    <t xml:space="preserve">2. 공 사 목 적 </t>
    <phoneticPr fontId="6" type="noConversion"/>
  </si>
  <si>
    <t>3. 공 사 개 요</t>
    <phoneticPr fontId="6" type="noConversion"/>
  </si>
  <si>
    <t>나. 시설내역</t>
    <phoneticPr fontId="49" type="noConversion"/>
  </si>
  <si>
    <t>5. 공 사 방 법 :</t>
    <phoneticPr fontId="35" type="noConversion"/>
  </si>
  <si>
    <t>7. 공 사 기 간 :</t>
    <phoneticPr fontId="35" type="noConversion"/>
  </si>
  <si>
    <t xml:space="preserve">  도 급 공 사</t>
    <phoneticPr fontId="6" type="noConversion"/>
  </si>
  <si>
    <t>공사책임자</t>
  </si>
  <si>
    <t>공사감독자</t>
  </si>
  <si>
    <t>준공검사자</t>
  </si>
  <si>
    <t>공사인수자</t>
  </si>
  <si>
    <t>No.</t>
    <phoneticPr fontId="11" type="noConversion"/>
  </si>
  <si>
    <t>케이블 종류</t>
    <phoneticPr fontId="11" type="noConversion"/>
  </si>
  <si>
    <t>시 작</t>
    <phoneticPr fontId="11" type="noConversion"/>
  </si>
  <si>
    <t>종 료</t>
    <phoneticPr fontId="11" type="noConversion"/>
  </si>
  <si>
    <t>용  도</t>
    <phoneticPr fontId="11" type="noConversion"/>
  </si>
  <si>
    <t>동시포설</t>
    <phoneticPr fontId="11" type="noConversion"/>
  </si>
  <si>
    <t>길이</t>
    <phoneticPr fontId="11" type="noConversion"/>
  </si>
  <si>
    <t>비 고</t>
    <phoneticPr fontId="11" type="noConversion"/>
  </si>
  <si>
    <t>전원분전반</t>
    <phoneticPr fontId="6" type="noConversion"/>
  </si>
  <si>
    <t>⑪</t>
    <phoneticPr fontId="11" type="noConversion"/>
  </si>
  <si>
    <t>구  분</t>
    <phoneticPr fontId="6" type="noConversion"/>
  </si>
  <si>
    <t>품   명</t>
    <phoneticPr fontId="11" type="noConversion"/>
  </si>
  <si>
    <t>규   격</t>
    <phoneticPr fontId="11" type="noConversion"/>
  </si>
  <si>
    <t>용   도</t>
    <phoneticPr fontId="19" type="noConversion"/>
  </si>
  <si>
    <t>시 설 구 간</t>
    <phoneticPr fontId="6" type="noConversion"/>
  </si>
  <si>
    <t>산 출 기 준</t>
    <phoneticPr fontId="11" type="noConversion"/>
  </si>
  <si>
    <t>단위</t>
    <phoneticPr fontId="6" type="noConversion"/>
  </si>
  <si>
    <t>수 량</t>
    <phoneticPr fontId="6" type="noConversion"/>
  </si>
  <si>
    <t>FROM</t>
  </si>
  <si>
    <t>TO</t>
  </si>
  <si>
    <t>합계</t>
    <phoneticPr fontId="6" type="noConversion"/>
  </si>
  <si>
    <t>사 급 분</t>
    <phoneticPr fontId="6" type="noConversion"/>
  </si>
  <si>
    <t>신설개소 1대</t>
    <phoneticPr fontId="6" type="noConversion"/>
  </si>
  <si>
    <t>대</t>
    <phoneticPr fontId="6" type="noConversion"/>
  </si>
  <si>
    <t>통화로분선반</t>
  </si>
  <si>
    <t>VDF</t>
  </si>
  <si>
    <t>채널급 종속신호 분배용</t>
    <phoneticPr fontId="6" type="noConversion"/>
  </si>
  <si>
    <t>T1/E1, CH급 회선 연결용</t>
    <phoneticPr fontId="6" type="noConversion"/>
  </si>
  <si>
    <t>신설개소 1대</t>
  </si>
  <si>
    <t>도 급 분</t>
    <phoneticPr fontId="6" type="noConversion"/>
  </si>
  <si>
    <t>난연성제어케이블</t>
    <phoneticPr fontId="11" type="noConversion"/>
  </si>
  <si>
    <t>FADP 전원부㈜</t>
    <phoneticPr fontId="19" type="noConversion"/>
  </si>
  <si>
    <t>거리 * 1조</t>
    <phoneticPr fontId="19" type="noConversion"/>
  </si>
  <si>
    <t>m</t>
    <phoneticPr fontId="6" type="noConversion"/>
  </si>
  <si>
    <t>난연성제어케이블</t>
    <phoneticPr fontId="11" type="noConversion"/>
  </si>
  <si>
    <t>FADP 전원부(예)</t>
    <phoneticPr fontId="19" type="noConversion"/>
  </si>
  <si>
    <t>거리 * 1조</t>
    <phoneticPr fontId="19" type="noConversion"/>
  </si>
  <si>
    <t>Rack AC전원</t>
    <phoneticPr fontId="19" type="noConversion"/>
  </si>
  <si>
    <t>전원분전반(UPS)</t>
    <phoneticPr fontId="6" type="noConversion"/>
  </si>
  <si>
    <t>접지케이블</t>
    <phoneticPr fontId="11" type="noConversion"/>
  </si>
  <si>
    <t>Rack 접지단자(메인)</t>
    <phoneticPr fontId="19" type="noConversion"/>
  </si>
  <si>
    <t>환형접지망(or 접지함체)</t>
    <phoneticPr fontId="19" type="noConversion"/>
  </si>
  <si>
    <t>거리 * 1조</t>
    <phoneticPr fontId="19" type="noConversion"/>
  </si>
  <si>
    <t>UTP케이블</t>
    <phoneticPr fontId="11" type="noConversion"/>
  </si>
  <si>
    <t>CAT.5E 4P</t>
    <phoneticPr fontId="19" type="noConversion"/>
  </si>
  <si>
    <t>LAN 구성용</t>
    <phoneticPr fontId="19" type="noConversion"/>
  </si>
  <si>
    <t>케이블 보호(광점퍼코드)</t>
    <phoneticPr fontId="19" type="noConversion"/>
  </si>
  <si>
    <t>OFD</t>
    <phoneticPr fontId="19" type="noConversion"/>
  </si>
  <si>
    <t>EA</t>
    <phoneticPr fontId="6" type="noConversion"/>
  </si>
  <si>
    <t>광감쇄기</t>
    <phoneticPr fontId="19" type="noConversion"/>
  </si>
  <si>
    <t>광신호 수신레벨 조정</t>
    <phoneticPr fontId="19" type="noConversion"/>
  </si>
  <si>
    <t>DS0신호 단자대</t>
    <phoneticPr fontId="19" type="noConversion"/>
  </si>
  <si>
    <t>MDF내 거치</t>
    <phoneticPr fontId="6" type="noConversion"/>
  </si>
  <si>
    <t>콘센트</t>
    <phoneticPr fontId="19" type="noConversion"/>
  </si>
  <si>
    <t>노출, 접지 2구</t>
    <phoneticPr fontId="19" type="noConversion"/>
  </si>
  <si>
    <t>Rack 멀티콘센트 연결용</t>
    <phoneticPr fontId="19" type="noConversion"/>
  </si>
  <si>
    <t>Rack 하단에 고정</t>
    <phoneticPr fontId="6" type="noConversion"/>
  </si>
  <si>
    <t>Rack당 1EA</t>
    <phoneticPr fontId="6" type="noConversion"/>
  </si>
  <si>
    <t>셋트앙카(STS)</t>
    <phoneticPr fontId="11" type="noConversion"/>
  </si>
  <si>
    <t>Rack 고정</t>
    <phoneticPr fontId="19" type="noConversion"/>
  </si>
  <si>
    <t>잡자재</t>
    <phoneticPr fontId="6" type="noConversion"/>
  </si>
  <si>
    <t>단말처리 구간</t>
    <phoneticPr fontId="6" type="noConversion"/>
  </si>
  <si>
    <t>1식(케이블, 전선관류 2%)</t>
    <phoneticPr fontId="6" type="noConversion"/>
  </si>
  <si>
    <t>식</t>
    <phoneticPr fontId="6" type="noConversion"/>
  </si>
  <si>
    <t>FROM</t>
    <phoneticPr fontId="11" type="noConversion"/>
  </si>
  <si>
    <t>대</t>
  </si>
  <si>
    <t>Rack 접지</t>
    <phoneticPr fontId="19" type="noConversion"/>
  </si>
  <si>
    <t>LAN HUB</t>
    <phoneticPr fontId="19" type="noConversion"/>
  </si>
  <si>
    <t>UTP CAT.5E 4P</t>
  </si>
  <si>
    <t>UTP CAT.5E 4P</t>
    <phoneticPr fontId="6" type="noConversion"/>
  </si>
  <si>
    <t>1조</t>
    <phoneticPr fontId="6" type="noConversion"/>
  </si>
  <si>
    <t>⑫</t>
    <phoneticPr fontId="11" type="noConversion"/>
  </si>
  <si>
    <t>단 위</t>
    <phoneticPr fontId="28" type="noConversion"/>
  </si>
  <si>
    <t>비  고</t>
    <phoneticPr fontId="28" type="noConversion"/>
  </si>
  <si>
    <t>No.</t>
    <phoneticPr fontId="28" type="noConversion"/>
  </si>
  <si>
    <t>규       격</t>
    <phoneticPr fontId="28" type="noConversion"/>
  </si>
  <si>
    <t>기계설비공</t>
  </si>
  <si>
    <t>미장공</t>
  </si>
  <si>
    <t>H/W시험사</t>
  </si>
  <si>
    <t>S/W시험사</t>
  </si>
  <si>
    <t>통신관련기사</t>
  </si>
  <si>
    <t>통신관련기능사</t>
  </si>
  <si>
    <t>5억원 미만</t>
  </si>
  <si>
    <t>5 - 50억원 미만</t>
  </si>
  <si>
    <t>50억원 이상</t>
  </si>
  <si>
    <t>[ 재 료 비 ]</t>
    <phoneticPr fontId="6" type="noConversion"/>
  </si>
  <si>
    <t>간접노무비(직접노무비 * 요율)</t>
    <phoneticPr fontId="6" type="noConversion"/>
  </si>
  <si>
    <t xml:space="preserve">1) [지입재료비+직접노무비] × 적용율 × 1.2 </t>
    <phoneticPr fontId="6" type="noConversion"/>
  </si>
  <si>
    <t>2) [사급재료비+지입재료비+직접노무비] × 적용율</t>
    <phoneticPr fontId="6" type="noConversion"/>
  </si>
  <si>
    <t>1)항 적용</t>
    <phoneticPr fontId="6" type="noConversion"/>
  </si>
  <si>
    <t>Ⅱ. 도급분경비</t>
    <phoneticPr fontId="28" type="noConversion"/>
  </si>
  <si>
    <t>Ⅰ. 회사분경비</t>
    <phoneticPr fontId="28" type="noConversion"/>
  </si>
  <si>
    <t>일반관리비(지입재료비+노무비+도급경비)*6%</t>
    <phoneticPr fontId="6" type="noConversion"/>
  </si>
  <si>
    <t xml:space="preserve">   1. 재 료 비</t>
    <phoneticPr fontId="6" type="noConversion"/>
  </si>
  <si>
    <t xml:space="preserve">     나. 도급재료비</t>
    <phoneticPr fontId="6" type="noConversion"/>
  </si>
  <si>
    <t xml:space="preserve">     가. 사급재료비</t>
    <phoneticPr fontId="6" type="noConversion"/>
  </si>
  <si>
    <t xml:space="preserve">   2. 노 무 비</t>
    <phoneticPr fontId="6" type="noConversion"/>
  </si>
  <si>
    <t xml:space="preserve">     가. 직접노무비</t>
    <phoneticPr fontId="6" type="noConversion"/>
  </si>
  <si>
    <t xml:space="preserve">     나. 간접노무비</t>
    <phoneticPr fontId="6" type="noConversion"/>
  </si>
  <si>
    <t xml:space="preserve">   3. 경     비</t>
    <phoneticPr fontId="6" type="noConversion"/>
  </si>
  <si>
    <t xml:space="preserve">     가. 회사분</t>
    <phoneticPr fontId="6" type="noConversion"/>
  </si>
  <si>
    <t xml:space="preserve">     나. 도급분</t>
    <phoneticPr fontId="6" type="noConversion"/>
  </si>
  <si>
    <t xml:space="preserve">   4. 일반관리비</t>
    <phoneticPr fontId="6" type="noConversion"/>
  </si>
  <si>
    <t xml:space="preserve">   5. 이     윤</t>
    <phoneticPr fontId="6" type="noConversion"/>
  </si>
  <si>
    <t xml:space="preserve">      2) 공구손료</t>
    <phoneticPr fontId="28" type="noConversion"/>
  </si>
  <si>
    <t xml:space="preserve">      3) 산재보험료 </t>
    <phoneticPr fontId="28" type="noConversion"/>
  </si>
  <si>
    <t xml:space="preserve">      4) 고용보험료</t>
    <phoneticPr fontId="28" type="noConversion"/>
  </si>
  <si>
    <t xml:space="preserve">      5) 국민건강보험료</t>
    <phoneticPr fontId="43" type="noConversion"/>
  </si>
  <si>
    <t xml:space="preserve">      6) 국민연금보험료</t>
    <phoneticPr fontId="43" type="noConversion"/>
  </si>
  <si>
    <t xml:space="preserve">      7) 노인장기요양보험료</t>
    <phoneticPr fontId="43" type="noConversion"/>
  </si>
  <si>
    <t xml:space="preserve">      8) 퇴직공제부금비</t>
    <phoneticPr fontId="43" type="noConversion"/>
  </si>
  <si>
    <t xml:space="preserve">      9) 산업안전보건관리비</t>
    <phoneticPr fontId="43" type="noConversion"/>
  </si>
  <si>
    <t>공 사 방 법</t>
    <phoneticPr fontId="6" type="noConversion"/>
  </si>
  <si>
    <t>공 사 기 간</t>
    <phoneticPr fontId="6" type="noConversion"/>
  </si>
  <si>
    <t>자 금 구 분</t>
    <phoneticPr fontId="6" type="noConversion"/>
  </si>
  <si>
    <t>공   사   명</t>
    <phoneticPr fontId="28" type="noConversion"/>
  </si>
  <si>
    <t>첨 부 서 류</t>
    <phoneticPr fontId="28" type="noConversion"/>
  </si>
  <si>
    <t>내        역</t>
    <phoneticPr fontId="28" type="noConversion"/>
  </si>
  <si>
    <t>비         고</t>
    <phoneticPr fontId="28" type="noConversion"/>
  </si>
  <si>
    <t xml:space="preserve"> </t>
    <phoneticPr fontId="6" type="noConversion"/>
  </si>
  <si>
    <t xml:space="preserve"> </t>
    <phoneticPr fontId="35" type="noConversion"/>
  </si>
  <si>
    <t>○  공   사   명  :</t>
    <phoneticPr fontId="42" type="noConversion"/>
  </si>
  <si>
    <t xml:space="preserve">      1) 직접노무비</t>
    <phoneticPr fontId="28" type="noConversion"/>
  </si>
  <si>
    <t xml:space="preserve">      2) 간접노무비</t>
    <phoneticPr fontId="28" type="noConversion"/>
  </si>
  <si>
    <t>후렉시블전선관</t>
  </si>
  <si>
    <t>16㎜, 일반방수(GW-16)</t>
    <phoneticPr fontId="11" type="noConversion"/>
  </si>
  <si>
    <t>22㎜, 일반방수(GW-22)</t>
    <phoneticPr fontId="11" type="noConversion"/>
  </si>
  <si>
    <t>FR-CVV-S, 6SQ/2C</t>
    <phoneticPr fontId="11" type="noConversion"/>
  </si>
  <si>
    <t>블럭단자(레핑)</t>
    <phoneticPr fontId="19" type="noConversion"/>
  </si>
  <si>
    <t>QDF</t>
    <phoneticPr fontId="19" type="noConversion"/>
  </si>
  <si>
    <t>Φ3/8, 75㎜</t>
    <phoneticPr fontId="11" type="noConversion"/>
  </si>
  <si>
    <t>전선, 케이블 배관자재의 2~5%</t>
    <phoneticPr fontId="6" type="noConversion"/>
  </si>
  <si>
    <t>케이블, 전선관류 부속자재</t>
  </si>
  <si>
    <t>케이블, 전선관류 부속자재</t>
    <phoneticPr fontId="6" type="noConversion"/>
  </si>
  <si>
    <t>No.</t>
    <phoneticPr fontId="4" type="noConversion"/>
  </si>
  <si>
    <t>단위</t>
    <phoneticPr fontId="4" type="noConversion"/>
  </si>
  <si>
    <t>통신설비공</t>
    <phoneticPr fontId="4" type="noConversion"/>
  </si>
  <si>
    <t>공   종</t>
    <phoneticPr fontId="4" type="noConversion"/>
  </si>
  <si>
    <t>직   종</t>
    <phoneticPr fontId="4" type="noConversion"/>
  </si>
  <si>
    <t>할증1</t>
    <phoneticPr fontId="4" type="noConversion"/>
  </si>
  <si>
    <t>할증2</t>
    <phoneticPr fontId="4" type="noConversion"/>
  </si>
  <si>
    <t>개</t>
    <phoneticPr fontId="4" type="noConversion"/>
  </si>
  <si>
    <t>m</t>
    <phoneticPr fontId="4" type="noConversion"/>
  </si>
  <si>
    <t>적용</t>
    <phoneticPr fontId="6" type="noConversion"/>
  </si>
  <si>
    <t>대</t>
    <phoneticPr fontId="4" type="noConversion"/>
  </si>
  <si>
    <t>노임단가</t>
    <phoneticPr fontId="6" type="noConversion"/>
  </si>
  <si>
    <t>6. 총 공 사 비 :</t>
    <phoneticPr fontId="35" type="noConversion"/>
  </si>
  <si>
    <t>규   격</t>
    <phoneticPr fontId="4" type="noConversion"/>
  </si>
  <si>
    <t>할증3</t>
    <phoneticPr fontId="4" type="noConversion"/>
  </si>
  <si>
    <t>할증내용</t>
    <phoneticPr fontId="4" type="noConversion"/>
  </si>
  <si>
    <t>3열 동시 : 260%</t>
    <phoneticPr fontId="4" type="noConversion"/>
  </si>
  <si>
    <t>2열동시 : 180%</t>
    <phoneticPr fontId="4" type="noConversion"/>
  </si>
  <si>
    <t>옥내포설 : 150%</t>
    <phoneticPr fontId="4" type="noConversion"/>
  </si>
  <si>
    <t>2열 동시 : 180%</t>
    <phoneticPr fontId="4" type="noConversion"/>
  </si>
  <si>
    <t>4열 동시 : 340%</t>
    <phoneticPr fontId="4" type="noConversion"/>
  </si>
  <si>
    <t>제어케이블 포설</t>
    <phoneticPr fontId="4" type="noConversion"/>
  </si>
  <si>
    <t>6SQ/2C</t>
    <phoneticPr fontId="4" type="noConversion"/>
  </si>
  <si>
    <t>UTP케이블 포설</t>
    <phoneticPr fontId="4" type="noConversion"/>
  </si>
  <si>
    <t>가. 장치거치</t>
    <phoneticPr fontId="11" type="noConversion"/>
  </si>
  <si>
    <t>설치 및 콘솔 운영시험</t>
    <phoneticPr fontId="4" type="noConversion"/>
  </si>
  <si>
    <t>케이블 심선성단 및 수용</t>
    <phoneticPr fontId="6" type="noConversion"/>
  </si>
  <si>
    <t>CAT.5 4Pr</t>
    <phoneticPr fontId="4" type="noConversion"/>
  </si>
  <si>
    <t>후렉시블전선관 시설</t>
    <phoneticPr fontId="4" type="noConversion"/>
  </si>
  <si>
    <t>금속가요전선관 16㎜</t>
    <phoneticPr fontId="4" type="noConversion"/>
  </si>
  <si>
    <t>금속가요전선관 22㎜</t>
    <phoneticPr fontId="4" type="noConversion"/>
  </si>
  <si>
    <t>합  계</t>
    <phoneticPr fontId="4" type="noConversion"/>
  </si>
  <si>
    <t>금  액</t>
    <phoneticPr fontId="6" type="noConversion"/>
  </si>
  <si>
    <t>제어케이블 포설(PCM 0.65㎜/1P)</t>
    <phoneticPr fontId="4" type="noConversion"/>
  </si>
  <si>
    <t>천정속,마루밑 공사 : 130%</t>
    <phoneticPr fontId="4" type="noConversion"/>
  </si>
  <si>
    <t xml:space="preserve"> □  회 사 분</t>
    <phoneticPr fontId="6" type="noConversion"/>
  </si>
  <si>
    <t xml:space="preserve"> □  도 급 분</t>
    <phoneticPr fontId="6" type="noConversion"/>
  </si>
  <si>
    <t>이 윤(노무비+도급경비+일반관리비)*15%</t>
    <phoneticPr fontId="6" type="noConversion"/>
  </si>
  <si>
    <t>[ 총공사비 ]</t>
    <phoneticPr fontId="6" type="noConversion"/>
  </si>
  <si>
    <t>1.  총  공  사  비</t>
    <phoneticPr fontId="6" type="noConversion"/>
  </si>
  <si>
    <t xml:space="preserve">   라. 일반관리비</t>
    <phoneticPr fontId="28" type="noConversion"/>
  </si>
  <si>
    <t xml:space="preserve">   마. 이        윤</t>
    <phoneticPr fontId="28" type="noConversion"/>
  </si>
  <si>
    <t xml:space="preserve">   a. 회 사 분</t>
    <phoneticPr fontId="6" type="noConversion"/>
  </si>
  <si>
    <t xml:space="preserve">   b. 추정가격</t>
    <phoneticPr fontId="6" type="noConversion"/>
  </si>
  <si>
    <t xml:space="preserve">   c. 추정가격에 대한 부가세</t>
    <phoneticPr fontId="6" type="noConversion"/>
  </si>
  <si>
    <t xml:space="preserve"> </t>
    <phoneticPr fontId="6" type="noConversion"/>
  </si>
  <si>
    <t>항  목  별</t>
    <phoneticPr fontId="6" type="noConversion"/>
  </si>
  <si>
    <t xml:space="preserve">    추정가격VAT[c]</t>
    <phoneticPr fontId="6" type="noConversion"/>
  </si>
  <si>
    <t xml:space="preserve"> </t>
    <phoneticPr fontId="6" type="noConversion"/>
  </si>
  <si>
    <t>사업소 도급공사</t>
    <phoneticPr fontId="35" type="noConversion"/>
  </si>
  <si>
    <t xml:space="preserve">8. 하 자 기 간 : </t>
    <phoneticPr fontId="35" type="noConversion"/>
  </si>
  <si>
    <t xml:space="preserve">9. 시설계통도 : </t>
    <phoneticPr fontId="35" type="noConversion"/>
  </si>
  <si>
    <t>붙임참조</t>
    <phoneticPr fontId="35" type="noConversion"/>
  </si>
  <si>
    <t>총 공 사 비</t>
    <phoneticPr fontId="6" type="noConversion"/>
  </si>
  <si>
    <t xml:space="preserve"> ○ 공사설명서             ○ 공사비총괄표            ○ 자금계획서
 ○ 예정공정표             ○ 공사비예산서            ○ 설계명세서
 ○ 공사비산출자료       ○ 시방서                     ○ 시설도면</t>
    <phoneticPr fontId="6" type="noConversion"/>
  </si>
  <si>
    <t xml:space="preserve"> ○ 재     료     비   :</t>
    <phoneticPr fontId="28" type="noConversion"/>
  </si>
  <si>
    <t xml:space="preserve"> ○ 이             윤   :</t>
    <phoneticPr fontId="28" type="noConversion"/>
  </si>
  <si>
    <t>Ⅰ. 사 급 분</t>
    <phoneticPr fontId="6" type="noConversion"/>
  </si>
  <si>
    <t>Ⅱ. 도 급 분</t>
    <phoneticPr fontId="6" type="noConversion"/>
  </si>
  <si>
    <t>SM-SC/PC 10dB</t>
    <phoneticPr fontId="19" type="noConversion"/>
  </si>
  <si>
    <t>계          통          도</t>
    <phoneticPr fontId="6" type="noConversion"/>
  </si>
  <si>
    <t>시설내용</t>
    <phoneticPr fontId="6" type="noConversion"/>
  </si>
  <si>
    <t>현  재</t>
    <phoneticPr fontId="6" type="noConversion"/>
  </si>
  <si>
    <t>공사후</t>
    <phoneticPr fontId="6" type="noConversion"/>
  </si>
  <si>
    <t>통합단말 원격지용 PtoP 장치</t>
    <phoneticPr fontId="6" type="noConversion"/>
  </si>
  <si>
    <t>광점퍼코드 포함</t>
    <phoneticPr fontId="11" type="noConversion"/>
  </si>
  <si>
    <t>통합단말 부속장비</t>
    <phoneticPr fontId="11" type="noConversion"/>
  </si>
  <si>
    <t>PTPU(A), 40km</t>
    <phoneticPr fontId="11" type="noConversion"/>
  </si>
  <si>
    <t>TRMS용 경보</t>
    <phoneticPr fontId="19" type="noConversion"/>
  </si>
  <si>
    <t>광점퍼코드 수신단</t>
    <phoneticPr fontId="6" type="noConversion"/>
  </si>
  <si>
    <t>단자</t>
    <phoneticPr fontId="4" type="noConversion"/>
  </si>
  <si>
    <t xml:space="preserve">      회사취급비[a]</t>
    <phoneticPr fontId="6" type="noConversion"/>
  </si>
  <si>
    <t xml:space="preserve">      추 정 가 격[b]</t>
    <phoneticPr fontId="6" type="noConversion"/>
  </si>
  <si>
    <t>개</t>
  </si>
  <si>
    <t>개</t>
    <phoneticPr fontId="6" type="noConversion"/>
  </si>
  <si>
    <t>T1/E1, 채널급 종속신호 분배용</t>
    <phoneticPr fontId="6" type="noConversion"/>
  </si>
  <si>
    <t>대</t>
    <phoneticPr fontId="11" type="noConversion"/>
  </si>
  <si>
    <t>FR-CVVS 6SQ/2C</t>
  </si>
  <si>
    <t>전원분전반</t>
  </si>
  <si>
    <t>1조</t>
  </si>
  <si>
    <t>후렉시블전선관(16mm,GW-16)</t>
    <phoneticPr fontId="6" type="noConversion"/>
  </si>
  <si>
    <t>콘센트(노출 접지 220V2구)</t>
    <phoneticPr fontId="6" type="noConversion"/>
  </si>
  <si>
    <t>셋트앙카(STS,Φ3/8, 75㎜)</t>
  </si>
  <si>
    <t>셋트앙카(STS,Φ3/8, 75㎜)</t>
    <phoneticPr fontId="6" type="noConversion"/>
  </si>
  <si>
    <t>UTP케이블</t>
    <phoneticPr fontId="11" type="noConversion"/>
  </si>
  <si>
    <t>케이블 보호(LAN구성용, TRMS용 경보)</t>
    <phoneticPr fontId="19" type="noConversion"/>
  </si>
  <si>
    <t>LAN HUB, PIA</t>
    <phoneticPr fontId="19" type="noConversion"/>
  </si>
  <si>
    <t>전산볼트</t>
    <phoneticPr fontId="11" type="noConversion"/>
  </si>
  <si>
    <t>87Ry Trip접점,ALM,전화</t>
    <phoneticPr fontId="19" type="noConversion"/>
  </si>
  <si>
    <t>보호배전반</t>
    <phoneticPr fontId="19" type="noConversion"/>
  </si>
  <si>
    <t>난연성제어케이블</t>
    <phoneticPr fontId="11" type="noConversion"/>
  </si>
  <si>
    <t>FR-CVV-S, 2.5SQ/2C</t>
    <phoneticPr fontId="11" type="noConversion"/>
  </si>
  <si>
    <t>PITR 경보(개별, SCADA)</t>
    <phoneticPr fontId="19" type="noConversion"/>
  </si>
  <si>
    <t>PITR 알람접점</t>
    <phoneticPr fontId="19" type="noConversion"/>
  </si>
  <si>
    <t>64kbps Data(C37.94)</t>
    <phoneticPr fontId="19" type="noConversion"/>
  </si>
  <si>
    <t>보호배전반 광모듈</t>
    <phoneticPr fontId="19" type="noConversion"/>
  </si>
  <si>
    <t>케이블 보호[E1㈜/(예)]</t>
    <phoneticPr fontId="19" type="noConversion"/>
  </si>
  <si>
    <t>6*30</t>
    <phoneticPr fontId="19" type="noConversion"/>
  </si>
  <si>
    <t>랙명판</t>
    <phoneticPr fontId="11" type="noConversion"/>
  </si>
  <si>
    <t>Rack 명판</t>
    <phoneticPr fontId="19" type="noConversion"/>
  </si>
  <si>
    <t>Rack당 1개</t>
    <phoneticPr fontId="19" type="noConversion"/>
  </si>
  <si>
    <t>PITR Rack 명판</t>
    <phoneticPr fontId="19" type="noConversion"/>
  </si>
  <si>
    <t>QDF 단자대</t>
    <phoneticPr fontId="19" type="noConversion"/>
  </si>
  <si>
    <t>60P, 19"랙 실장용</t>
    <phoneticPr fontId="19" type="noConversion"/>
  </si>
  <si>
    <t>10P</t>
    <phoneticPr fontId="11" type="noConversion"/>
  </si>
  <si>
    <t>QDF 취부</t>
    <phoneticPr fontId="19" type="noConversion"/>
  </si>
  <si>
    <t>AL,190*75*1t,헤어라인/검정색도색후 실크인쇄,후면 벨크로</t>
  </si>
  <si>
    <t>AL,190*75*1t,헤어라인/검정색도색후 실크인쇄,후면 벨크로</t>
    <phoneticPr fontId="11" type="noConversion"/>
  </si>
  <si>
    <t>랙명판(AL,190*75*1t)</t>
  </si>
  <si>
    <t>M10,철</t>
    <phoneticPr fontId="11" type="noConversion"/>
  </si>
  <si>
    <t>전산볼트(M10,철)</t>
    <phoneticPr fontId="6" type="noConversion"/>
  </si>
  <si>
    <t>개</t>
    <phoneticPr fontId="11" type="noConversion"/>
  </si>
  <si>
    <t>케이블 도통점검</t>
    <phoneticPr fontId="6" type="noConversion"/>
  </si>
  <si>
    <t>접지선 포설</t>
    <phoneticPr fontId="4" type="noConversion"/>
  </si>
  <si>
    <t>접지선 접속</t>
    <phoneticPr fontId="4" type="noConversion"/>
  </si>
  <si>
    <t>압착단자</t>
    <phoneticPr fontId="4" type="noConversion"/>
  </si>
  <si>
    <t>개소</t>
    <phoneticPr fontId="4" type="noConversion"/>
  </si>
  <si>
    <t>3열동시 : 260%</t>
    <phoneticPr fontId="4" type="noConversion"/>
  </si>
  <si>
    <t>단자블럭 설치</t>
    <phoneticPr fontId="6" type="noConversion"/>
  </si>
  <si>
    <t>블럭단자, QDF 10P</t>
    <phoneticPr fontId="4" type="noConversion"/>
  </si>
  <si>
    <t>콘센트 설치</t>
    <phoneticPr fontId="6" type="noConversion"/>
  </si>
  <si>
    <t>노출 접지 2구</t>
    <phoneticPr fontId="4" type="noConversion"/>
  </si>
  <si>
    <t>통신내선공</t>
    <phoneticPr fontId="6" type="noConversion"/>
  </si>
  <si>
    <t>통신케이블공</t>
    <phoneticPr fontId="6" type="noConversion"/>
  </si>
  <si>
    <t>광점퍼케이블 포설</t>
    <phoneticPr fontId="6" type="noConversion"/>
  </si>
  <si>
    <t>광케이블설치사</t>
    <phoneticPr fontId="6" type="noConversion"/>
  </si>
  <si>
    <t>단수정리</t>
    <phoneticPr fontId="6" type="noConversion"/>
  </si>
  <si>
    <t>선택 사용</t>
    <phoneticPr fontId="6" type="noConversion"/>
  </si>
  <si>
    <t>노출은 120%</t>
    <phoneticPr fontId="4" type="noConversion"/>
  </si>
  <si>
    <t>구   분</t>
    <phoneticPr fontId="6" type="noConversion"/>
  </si>
  <si>
    <t>비율</t>
    <phoneticPr fontId="6" type="noConversion"/>
  </si>
  <si>
    <t>요율</t>
    <phoneticPr fontId="6" type="noConversion"/>
  </si>
  <si>
    <t>비금속광케이블</t>
    <phoneticPr fontId="6" type="noConversion"/>
  </si>
  <si>
    <t>합   계</t>
    <phoneticPr fontId="6" type="noConversion"/>
  </si>
  <si>
    <t>재료비</t>
    <phoneticPr fontId="6" type="noConversion"/>
  </si>
  <si>
    <t>사급재료비</t>
    <phoneticPr fontId="6" type="noConversion"/>
  </si>
  <si>
    <t>지입재료비</t>
    <phoneticPr fontId="6" type="noConversion"/>
  </si>
  <si>
    <t>노무비</t>
    <phoneticPr fontId="6" type="noConversion"/>
  </si>
  <si>
    <t>직접노무비</t>
    <phoneticPr fontId="6" type="noConversion"/>
  </si>
  <si>
    <t>간접노무비</t>
    <phoneticPr fontId="6" type="noConversion"/>
  </si>
  <si>
    <t>경비</t>
    <phoneticPr fontId="6" type="noConversion"/>
  </si>
  <si>
    <t xml:space="preserve">  공구손료</t>
    <phoneticPr fontId="6" type="noConversion"/>
  </si>
  <si>
    <t>직접노무비*3%</t>
    <phoneticPr fontId="6" type="noConversion"/>
  </si>
  <si>
    <t xml:space="preserve">  산재보험료</t>
    <phoneticPr fontId="6" type="noConversion"/>
  </si>
  <si>
    <t xml:space="preserve">  국민건강보험료</t>
    <phoneticPr fontId="6" type="noConversion"/>
  </si>
  <si>
    <t xml:space="preserve">  국민연금보험료</t>
    <phoneticPr fontId="6" type="noConversion"/>
  </si>
  <si>
    <t xml:space="preserve"> 노인장기요양보험료</t>
    <phoneticPr fontId="6" type="noConversion"/>
  </si>
  <si>
    <t xml:space="preserve">  고용보험료 </t>
    <phoneticPr fontId="6" type="noConversion"/>
  </si>
  <si>
    <t xml:space="preserve">  퇴직공제가입금</t>
    <phoneticPr fontId="6" type="noConversion"/>
  </si>
  <si>
    <t>직노*2.3%</t>
    <phoneticPr fontId="6" type="noConversion"/>
  </si>
  <si>
    <t xml:space="preserve">  산업안전보건관리비</t>
    <phoneticPr fontId="6" type="noConversion"/>
  </si>
  <si>
    <t xml:space="preserve">  기타경비</t>
    <phoneticPr fontId="6" type="noConversion"/>
  </si>
  <si>
    <t>(지입재료비+노무비+도급경비) X 요율</t>
  </si>
  <si>
    <t>(노무비 + 경비 + 일반관리비) X 이윤율</t>
  </si>
  <si>
    <t xml:space="preserve"> 일반관리비</t>
    <phoneticPr fontId="6" type="noConversion"/>
  </si>
  <si>
    <t xml:space="preserve"> 이    윤</t>
    <phoneticPr fontId="6" type="noConversion"/>
  </si>
  <si>
    <t>소    계</t>
    <phoneticPr fontId="6" type="noConversion"/>
  </si>
  <si>
    <t>나. 앙카볼트 설치</t>
    <phoneticPr fontId="6" type="noConversion"/>
  </si>
  <si>
    <t>4개</t>
    <phoneticPr fontId="4" type="noConversion"/>
  </si>
  <si>
    <t xml:space="preserve">  1) 시스템 셋업 및 현재상태 확인시험</t>
    <phoneticPr fontId="6" type="noConversion"/>
  </si>
  <si>
    <t xml:space="preserve">  2) 광전송 특성시험</t>
    <phoneticPr fontId="6" type="noConversion"/>
  </si>
  <si>
    <t xml:space="preserve">  3) DS1급 전기적 특성시험</t>
    <phoneticPr fontId="6" type="noConversion"/>
  </si>
  <si>
    <t>랙 접지</t>
  </si>
  <si>
    <t>랙 고정</t>
  </si>
  <si>
    <t>랙 명판</t>
  </si>
  <si>
    <t>OFD</t>
  </si>
  <si>
    <t>광선로 구성</t>
  </si>
  <si>
    <t>⑬</t>
    <phoneticPr fontId="11" type="noConversion"/>
  </si>
  <si>
    <t>⑭</t>
    <phoneticPr fontId="11" type="noConversion"/>
  </si>
  <si>
    <t>⑮</t>
    <phoneticPr fontId="11" type="noConversion"/>
  </si>
  <si>
    <t>ⓗ</t>
    <phoneticPr fontId="11" type="noConversion"/>
  </si>
  <si>
    <t>ⓘ</t>
    <phoneticPr fontId="11" type="noConversion"/>
  </si>
  <si>
    <t>ⓙ</t>
    <phoneticPr fontId="11" type="noConversion"/>
  </si>
  <si>
    <t>ⓚ</t>
    <phoneticPr fontId="11" type="noConversion"/>
  </si>
  <si>
    <t>ⓛ</t>
    <phoneticPr fontId="11" type="noConversion"/>
  </si>
  <si>
    <t>ⓜ</t>
    <phoneticPr fontId="11" type="noConversion"/>
  </si>
  <si>
    <t>광점퍼코드</t>
    <phoneticPr fontId="11" type="noConversion"/>
  </si>
  <si>
    <t>광선로 구성(패치용)</t>
    <phoneticPr fontId="19" type="noConversion"/>
  </si>
  <si>
    <t>OFD</t>
    <phoneticPr fontId="19" type="noConversion"/>
  </si>
  <si>
    <t>UTP CAT.5E 25P</t>
    <phoneticPr fontId="19" type="noConversion"/>
  </si>
  <si>
    <t>m</t>
    <phoneticPr fontId="6" type="noConversion"/>
  </si>
  <si>
    <t>PTPU(B), 100km</t>
    <phoneticPr fontId="11" type="noConversion"/>
  </si>
  <si>
    <t>통합단말장치 설치(PtoP unit)</t>
    <phoneticPr fontId="6" type="noConversion"/>
  </si>
  <si>
    <t>4회선</t>
    <phoneticPr fontId="6" type="noConversion"/>
  </si>
  <si>
    <t>가. Ptop unit 취부(유니트 취부)</t>
    <phoneticPr fontId="6" type="noConversion"/>
  </si>
  <si>
    <t>광점퍼코드 포설</t>
    <phoneticPr fontId="6" type="noConversion"/>
  </si>
  <si>
    <t>챔프케이블(25P), CAT.5E 25Pr</t>
    <phoneticPr fontId="4" type="noConversion"/>
  </si>
  <si>
    <t>나. 자체시험</t>
    <phoneticPr fontId="6" type="noConversion"/>
  </si>
  <si>
    <t>9-1.  일   반   시   방   서</t>
  </si>
  <si>
    <t>9-2.  특   기   시   방   서</t>
  </si>
  <si>
    <t>장비SETUP 및 종합시험</t>
    <phoneticPr fontId="6" type="noConversion"/>
  </si>
  <si>
    <t>장비SETUP, 자체시험 및 연동시험</t>
    <phoneticPr fontId="6" type="noConversion"/>
  </si>
  <si>
    <t>메쉬접지</t>
    <phoneticPr fontId="6" type="noConversion"/>
  </si>
  <si>
    <t>대</t>
    <phoneticPr fontId="60" type="noConversion"/>
  </si>
  <si>
    <t>특별인부</t>
    <phoneticPr fontId="60" type="noConversion"/>
  </si>
  <si>
    <t>PIA</t>
  </si>
  <si>
    <t>랙 접지단자</t>
    <phoneticPr fontId="60" type="noConversion"/>
  </si>
  <si>
    <t>No.</t>
    <phoneticPr fontId="6" type="noConversion"/>
  </si>
  <si>
    <t>품   명</t>
    <phoneticPr fontId="6" type="noConversion"/>
  </si>
  <si>
    <t>규   격</t>
    <phoneticPr fontId="6" type="noConversion"/>
  </si>
  <si>
    <t>단위</t>
    <phoneticPr fontId="6" type="noConversion"/>
  </si>
  <si>
    <t>단위</t>
    <phoneticPr fontId="6" type="noConversion"/>
  </si>
  <si>
    <t>사급자재</t>
    <phoneticPr fontId="6" type="noConversion"/>
  </si>
  <si>
    <t>지입자재</t>
    <phoneticPr fontId="6" type="noConversion"/>
  </si>
  <si>
    <t>적용단가</t>
    <phoneticPr fontId="6" type="noConversion"/>
  </si>
  <si>
    <t>비고</t>
    <phoneticPr fontId="6" type="noConversion"/>
  </si>
  <si>
    <t>계약금액
(단가계약
품목포함)</t>
    <phoneticPr fontId="6" type="noConversion"/>
  </si>
  <si>
    <t>견적가</t>
    <phoneticPr fontId="6" type="noConversion"/>
  </si>
  <si>
    <t>가 격</t>
    <phoneticPr fontId="6" type="noConversion"/>
  </si>
  <si>
    <t>페이지</t>
    <phoneticPr fontId="6" type="noConversion"/>
  </si>
  <si>
    <t>A사</t>
    <phoneticPr fontId="6" type="noConversion"/>
  </si>
  <si>
    <t>B사</t>
    <phoneticPr fontId="6" type="noConversion"/>
  </si>
  <si>
    <t>C사</t>
    <phoneticPr fontId="6" type="noConversion"/>
  </si>
  <si>
    <t>나. 종합점검 및 시험</t>
    <phoneticPr fontId="6" type="noConversion"/>
  </si>
  <si>
    <t>온도센서 설치</t>
    <phoneticPr fontId="6" type="noConversion"/>
  </si>
  <si>
    <t>자석감지기 설치</t>
    <phoneticPr fontId="6" type="noConversion"/>
  </si>
  <si>
    <t>통신용 구내 전력케이블 신설</t>
    <phoneticPr fontId="4" type="noConversion"/>
  </si>
  <si>
    <t>구  분</t>
    <phoneticPr fontId="6" type="noConversion"/>
  </si>
  <si>
    <t>품   명</t>
    <phoneticPr fontId="11" type="noConversion"/>
  </si>
  <si>
    <t>규   격</t>
    <phoneticPr fontId="11" type="noConversion"/>
  </si>
  <si>
    <t>용   도</t>
    <phoneticPr fontId="19" type="noConversion"/>
  </si>
  <si>
    <t>TO</t>
    <phoneticPr fontId="11" type="noConversion"/>
  </si>
  <si>
    <t>산출기준</t>
    <phoneticPr fontId="11" type="noConversion"/>
  </si>
  <si>
    <t>비 고</t>
    <phoneticPr fontId="11" type="noConversion"/>
  </si>
  <si>
    <t>도급분</t>
    <phoneticPr fontId="11" type="noConversion"/>
  </si>
  <si>
    <t>난연성전원케이블</t>
    <phoneticPr fontId="11" type="noConversion"/>
  </si>
  <si>
    <t>m</t>
    <phoneticPr fontId="6" type="noConversion"/>
  </si>
  <si>
    <t>충전기, UPS</t>
    <phoneticPr fontId="19" type="noConversion"/>
  </si>
  <si>
    <t>UTP케이블</t>
    <phoneticPr fontId="11" type="noConversion"/>
  </si>
  <si>
    <t>CAT.5E 4P</t>
    <phoneticPr fontId="19" type="noConversion"/>
  </si>
  <si>
    <t>충전기, UPS 감시 (SNMP)</t>
    <phoneticPr fontId="19" type="noConversion"/>
  </si>
  <si>
    <t>HUB #1</t>
    <phoneticPr fontId="19" type="noConversion"/>
  </si>
  <si>
    <t>접지케이블</t>
    <phoneticPr fontId="11" type="noConversion"/>
  </si>
  <si>
    <t>Rack 접지</t>
    <phoneticPr fontId="19" type="noConversion"/>
  </si>
  <si>
    <t>Rack 접지단자(메인)</t>
    <phoneticPr fontId="19" type="noConversion"/>
  </si>
  <si>
    <t>환형접지망(or 접지함체)</t>
    <phoneticPr fontId="19" type="noConversion"/>
  </si>
  <si>
    <t>3m * 랙대수</t>
    <phoneticPr fontId="19" type="noConversion"/>
  </si>
  <si>
    <t>후렉시블전선관</t>
    <phoneticPr fontId="11" type="noConversion"/>
  </si>
  <si>
    <t>16㎜, 일반방수(GW-16)</t>
    <phoneticPr fontId="11" type="noConversion"/>
  </si>
  <si>
    <t>거리 * 1조</t>
    <phoneticPr fontId="19" type="noConversion"/>
  </si>
  <si>
    <t>셋트앙카(STS)</t>
    <phoneticPr fontId="11" type="noConversion"/>
  </si>
  <si>
    <t>Φ3/8, 75㎜</t>
    <phoneticPr fontId="11" type="noConversion"/>
  </si>
  <si>
    <t>Rack 하단에 고정</t>
    <phoneticPr fontId="19" type="noConversion"/>
  </si>
  <si>
    <t>개</t>
    <phoneticPr fontId="6" type="noConversion"/>
  </si>
  <si>
    <t>전산볼트</t>
    <phoneticPr fontId="11" type="noConversion"/>
  </si>
  <si>
    <t>M10,철</t>
    <phoneticPr fontId="11" type="noConversion"/>
  </si>
  <si>
    <t>잡자재</t>
    <phoneticPr fontId="11" type="noConversion"/>
  </si>
  <si>
    <t>전선, 케이블 배관자재의 2~5%</t>
    <phoneticPr fontId="11" type="noConversion"/>
  </si>
  <si>
    <t>단말처리 구간</t>
    <phoneticPr fontId="19" type="noConversion"/>
  </si>
  <si>
    <t>1식(케이블, 전선관류 2%)</t>
    <phoneticPr fontId="6" type="noConversion"/>
  </si>
  <si>
    <t>식</t>
    <phoneticPr fontId="6" type="noConversion"/>
  </si>
  <si>
    <t>UTP케이블</t>
    <phoneticPr fontId="11" type="noConversion"/>
  </si>
  <si>
    <t>CAT.5E 4P</t>
    <phoneticPr fontId="11" type="noConversion"/>
  </si>
  <si>
    <t>BUS 보호 PNL RY 정보수집</t>
    <phoneticPr fontId="11" type="noConversion"/>
  </si>
  <si>
    <t>BUS 보호 PNL</t>
    <phoneticPr fontId="11" type="noConversion"/>
  </si>
  <si>
    <t>m</t>
    <phoneticPr fontId="11" type="noConversion"/>
  </si>
  <si>
    <t>T/L 보호 PNL RY 정보수집</t>
    <phoneticPr fontId="11" type="noConversion"/>
  </si>
  <si>
    <t>T/L 보호 PNL</t>
    <phoneticPr fontId="11" type="noConversion"/>
  </si>
  <si>
    <t>후렉시블전선관</t>
    <phoneticPr fontId="11" type="noConversion"/>
  </si>
  <si>
    <t>16㎜, 일반방수(GW-16)</t>
    <phoneticPr fontId="11" type="noConversion"/>
  </si>
  <si>
    <t>케이블 보호(BUS 보호 PNL)</t>
    <phoneticPr fontId="11" type="noConversion"/>
  </si>
  <si>
    <t>거리 * 1조</t>
    <phoneticPr fontId="11" type="noConversion"/>
  </si>
  <si>
    <t>케이블 보호(T/L 보호 PNL)</t>
    <phoneticPr fontId="11" type="noConversion"/>
  </si>
  <si>
    <t>Rack 하단에 고정</t>
    <phoneticPr fontId="11" type="noConversion"/>
  </si>
  <si>
    <t>-</t>
    <phoneticPr fontId="6" type="noConversion"/>
  </si>
  <si>
    <t>HUB</t>
    <phoneticPr fontId="6" type="noConversion"/>
  </si>
  <si>
    <t>10/100 24포트</t>
    <phoneticPr fontId="6" type="noConversion"/>
  </si>
  <si>
    <t>LAN 구성용</t>
    <phoneticPr fontId="6" type="noConversion"/>
  </si>
  <si>
    <t>난연성전원케이블</t>
    <phoneticPr fontId="6" type="noConversion"/>
  </si>
  <si>
    <t>FR-CVV-S, 6SQ/2C</t>
    <phoneticPr fontId="6" type="noConversion"/>
  </si>
  <si>
    <t>UTP케이블</t>
    <phoneticPr fontId="6" type="noConversion"/>
  </si>
  <si>
    <t>CAT.5E 4P</t>
    <phoneticPr fontId="6" type="noConversion"/>
  </si>
  <si>
    <t>신설개소 1대</t>
    <phoneticPr fontId="11" type="noConversion"/>
  </si>
  <si>
    <t>온도센서, OFD, 출입문</t>
    <phoneticPr fontId="11" type="noConversion"/>
  </si>
  <si>
    <t>케이블 보호(온도, OFD, 출입문 감시)</t>
    <phoneticPr fontId="11" type="noConversion"/>
  </si>
  <si>
    <t>통합 Rack</t>
    <phoneticPr fontId="19" type="noConversion"/>
  </si>
  <si>
    <t>케이블, 전선관류 부속자재</t>
    <phoneticPr fontId="19" type="noConversion"/>
  </si>
  <si>
    <t>1식(케이블, 전선관류 2%)</t>
    <phoneticPr fontId="19" type="noConversion"/>
  </si>
  <si>
    <t>UPS</t>
  </si>
  <si>
    <t>통신장비 무정전전원 공급</t>
  </si>
  <si>
    <t>ICT실</t>
  </si>
  <si>
    <t>통신용충전기</t>
  </si>
  <si>
    <t>통신장비 48V 전원공급</t>
  </si>
  <si>
    <t>분전반</t>
  </si>
  <si>
    <t>통신전원분전반</t>
  </si>
  <si>
    <t>축전지</t>
  </si>
  <si>
    <t>축전지함체</t>
  </si>
  <si>
    <t>신설 변전소당 1식</t>
  </si>
  <si>
    <t>FR-CVV-S, 16SQ/4C</t>
    <phoneticPr fontId="11" type="noConversion"/>
  </si>
  <si>
    <t>FR-CVV-S, 16SQ/3C</t>
    <phoneticPr fontId="11" type="noConversion"/>
  </si>
  <si>
    <t>FR-CVV-S, 16SQ/2C</t>
    <phoneticPr fontId="11" type="noConversion"/>
  </si>
  <si>
    <t>통신분전반 380V 전원입력전원선</t>
  </si>
  <si>
    <t>거리*1조</t>
  </si>
  <si>
    <t>UPS 380V 입력전원선</t>
  </si>
  <si>
    <t>ICT실 전원분전반</t>
  </si>
  <si>
    <t>충전기 380V 입력전원선</t>
  </si>
  <si>
    <t>충전기</t>
  </si>
  <si>
    <t>충전기, UPS 출력전원선</t>
  </si>
  <si>
    <t>충전기, UPS</t>
  </si>
  <si>
    <t>16㎟*4C</t>
  </si>
  <si>
    <t>16㎟*3C</t>
  </si>
  <si>
    <t>16㎟*2C</t>
  </si>
  <si>
    <t>충전기, UPS 출력전원선 결선</t>
  </si>
  <si>
    <t>충전기 380V 입력전원선 결선</t>
  </si>
  <si>
    <t>UPS 380V 입력전원선 결선</t>
  </si>
  <si>
    <t>통신분전반 380V 전원입력전원선 결선</t>
  </si>
  <si>
    <t>구)기계설치공</t>
  </si>
  <si>
    <t>착암공</t>
  </si>
  <si>
    <t>2. 광전자직종</t>
  </si>
  <si>
    <t>3. 기타직종</t>
  </si>
  <si>
    <t>구  분</t>
    <phoneticPr fontId="6" type="noConversion"/>
  </si>
  <si>
    <t>품   명</t>
    <phoneticPr fontId="11" type="noConversion"/>
  </si>
  <si>
    <t>규   격</t>
    <phoneticPr fontId="11" type="noConversion"/>
  </si>
  <si>
    <t>용   도</t>
    <phoneticPr fontId="19" type="noConversion"/>
  </si>
  <si>
    <t>FROM</t>
    <phoneticPr fontId="11" type="noConversion"/>
  </si>
  <si>
    <t>TO</t>
    <phoneticPr fontId="11" type="noConversion"/>
  </si>
  <si>
    <t>산출기준</t>
    <phoneticPr fontId="11" type="noConversion"/>
  </si>
  <si>
    <t>단위</t>
    <phoneticPr fontId="6" type="noConversion"/>
  </si>
  <si>
    <t>비 고</t>
    <phoneticPr fontId="11" type="noConversion"/>
  </si>
  <si>
    <t>Rack 실장</t>
    <phoneticPr fontId="11" type="noConversion"/>
  </si>
  <si>
    <t>신설개소 1대</t>
    <phoneticPr fontId="6" type="noConversion"/>
  </si>
  <si>
    <t>대</t>
    <phoneticPr fontId="11" type="noConversion"/>
  </si>
  <si>
    <t>허브(FA)</t>
    <phoneticPr fontId="11" type="noConversion"/>
  </si>
  <si>
    <t>IP계통운영통신시스템용</t>
    <phoneticPr fontId="11" type="noConversion"/>
  </si>
  <si>
    <t>유무선 전화기</t>
    <phoneticPr fontId="11" type="noConversion"/>
  </si>
  <si>
    <t>아날로그 음성통화</t>
    <phoneticPr fontId="11" type="noConversion"/>
  </si>
  <si>
    <t>UTP케이블</t>
    <phoneticPr fontId="6" type="noConversion"/>
  </si>
  <si>
    <t>CAT.5E 4P</t>
    <phoneticPr fontId="6" type="noConversion"/>
  </si>
  <si>
    <t>거리 * 1조</t>
    <phoneticPr fontId="6" type="noConversion"/>
  </si>
  <si>
    <t>m</t>
    <phoneticPr fontId="11" type="noConversion"/>
  </si>
  <si>
    <t>사령원콘솔+AOM용</t>
    <phoneticPr fontId="11" type="noConversion"/>
  </si>
  <si>
    <t>IP사령원콘솔(감시실)</t>
    <phoneticPr fontId="11" type="noConversion"/>
  </si>
  <si>
    <t>RSGM</t>
    <phoneticPr fontId="6" type="noConversion"/>
  </si>
  <si>
    <t>유무선 전화기(감시실)</t>
    <phoneticPr fontId="11" type="noConversion"/>
  </si>
  <si>
    <t>후렉시블전선관</t>
    <phoneticPr fontId="11" type="noConversion"/>
  </si>
  <si>
    <t>16㎜, 일반방수(GW-16)</t>
    <phoneticPr fontId="11" type="noConversion"/>
  </si>
  <si>
    <t>L3스위치</t>
    <phoneticPr fontId="11" type="noConversion"/>
  </si>
  <si>
    <t>거리 * 1조</t>
    <phoneticPr fontId="11" type="noConversion"/>
  </si>
  <si>
    <t>난연성전원케이블</t>
    <phoneticPr fontId="6" type="noConversion"/>
  </si>
  <si>
    <t>FR-CVV-S, 2.5SQ/2C</t>
    <phoneticPr fontId="6" type="noConversion"/>
  </si>
  <si>
    <t>AC 220V 전원(사령원콘솔+AOM용)</t>
    <phoneticPr fontId="6" type="noConversion"/>
  </si>
  <si>
    <t>전원분전반(UPS)</t>
    <phoneticPr fontId="6" type="noConversion"/>
  </si>
  <si>
    <t>m</t>
    <phoneticPr fontId="6" type="noConversion"/>
  </si>
  <si>
    <t>노출, 접지 2구</t>
    <phoneticPr fontId="11" type="noConversion"/>
  </si>
  <si>
    <t>사령원콘솔 연결용</t>
    <phoneticPr fontId="11" type="noConversion"/>
  </si>
  <si>
    <t>사령원콘솔당 1개</t>
    <phoneticPr fontId="6" type="noConversion"/>
  </si>
  <si>
    <t>개</t>
    <phoneticPr fontId="6" type="noConversion"/>
  </si>
  <si>
    <t>FR-CVV-S, 6SQ/2C</t>
    <phoneticPr fontId="6" type="noConversion"/>
  </si>
  <si>
    <t>AC 220V 전원</t>
    <phoneticPr fontId="6" type="noConversion"/>
  </si>
  <si>
    <t>Rack</t>
    <phoneticPr fontId="11" type="noConversion"/>
  </si>
  <si>
    <t>IP계통운영통신시스템 랙 설치</t>
    <phoneticPr fontId="6" type="noConversion"/>
  </si>
  <si>
    <t>HUB 설치</t>
    <phoneticPr fontId="6" type="noConversion"/>
  </si>
  <si>
    <t>Dummy 허브 설치</t>
    <phoneticPr fontId="4" type="noConversion"/>
  </si>
  <si>
    <t xml:space="preserve">1열 </t>
    <phoneticPr fontId="4" type="noConversion"/>
  </si>
  <si>
    <t>2.5SQ/2C</t>
    <phoneticPr fontId="4" type="noConversion"/>
  </si>
  <si>
    <t>C형 및 원형 슬리브</t>
    <phoneticPr fontId="4" type="noConversion"/>
  </si>
  <si>
    <t>4개</t>
    <phoneticPr fontId="11" type="noConversion"/>
  </si>
  <si>
    <t>전원분전반 설치</t>
    <phoneticPr fontId="6" type="noConversion"/>
  </si>
  <si>
    <t>장치거치 준용</t>
    <phoneticPr fontId="4" type="noConversion"/>
  </si>
  <si>
    <t>25SQ 이하 4심</t>
    <phoneticPr fontId="4" type="noConversion"/>
  </si>
  <si>
    <t>4심 260%</t>
    <phoneticPr fontId="4" type="noConversion"/>
  </si>
  <si>
    <t>16SQ 이하 4심</t>
    <phoneticPr fontId="4" type="noConversion"/>
  </si>
  <si>
    <t>16SQ 이하 3심</t>
    <phoneticPr fontId="4" type="noConversion"/>
  </si>
  <si>
    <t>3심 200%</t>
    <phoneticPr fontId="4" type="noConversion"/>
  </si>
  <si>
    <t>16SQ 이하 2심</t>
    <phoneticPr fontId="4" type="noConversion"/>
  </si>
  <si>
    <t>2심 140%</t>
    <phoneticPr fontId="4" type="noConversion"/>
  </si>
  <si>
    <t>통신용 전력케이블 단말처리</t>
    <phoneticPr fontId="4" type="noConversion"/>
  </si>
  <si>
    <t>16㎟*2C</t>
    <phoneticPr fontId="4" type="noConversion"/>
  </si>
  <si>
    <t>압착단자 처리 30%</t>
    <phoneticPr fontId="4" type="noConversion"/>
  </si>
  <si>
    <t>16㎟*3C</t>
    <phoneticPr fontId="4" type="noConversion"/>
  </si>
  <si>
    <t>16㎟*4C</t>
    <phoneticPr fontId="4" type="noConversion"/>
  </si>
  <si>
    <t>25㎟*4C</t>
    <phoneticPr fontId="4" type="noConversion"/>
  </si>
  <si>
    <t>가. 유니트 취부</t>
    <phoneticPr fontId="11" type="noConversion"/>
  </si>
  <si>
    <t>열선감지기 준용</t>
    <phoneticPr fontId="4" type="noConversion"/>
  </si>
  <si>
    <t>AC전압검출기 설치</t>
    <phoneticPr fontId="6" type="noConversion"/>
  </si>
  <si>
    <t>전환기 준용</t>
    <phoneticPr fontId="4" type="noConversion"/>
  </si>
  <si>
    <t>문감지기</t>
    <phoneticPr fontId="4" type="noConversion"/>
  </si>
  <si>
    <t xml:space="preserve">1열 동시 </t>
    <phoneticPr fontId="4" type="noConversion"/>
  </si>
  <si>
    <t>콘넥터 및 Jack 접속</t>
    <phoneticPr fontId="4" type="noConversion"/>
  </si>
  <si>
    <t>RJ-45</t>
    <phoneticPr fontId="4" type="noConversion"/>
  </si>
  <si>
    <t>No.</t>
    <phoneticPr fontId="11" type="noConversion"/>
  </si>
  <si>
    <t>시 작</t>
    <phoneticPr fontId="11" type="noConversion"/>
  </si>
  <si>
    <t>용  도</t>
    <phoneticPr fontId="11" type="noConversion"/>
  </si>
  <si>
    <t>길이</t>
    <phoneticPr fontId="11" type="noConversion"/>
  </si>
  <si>
    <t>비 고</t>
    <phoneticPr fontId="11" type="noConversion"/>
  </si>
  <si>
    <t>ⓐ</t>
    <phoneticPr fontId="11" type="noConversion"/>
  </si>
  <si>
    <t>ICT실 전원분전반</t>
    <phoneticPr fontId="6" type="noConversion"/>
  </si>
  <si>
    <t>통신분전반 380V 입력전원</t>
    <phoneticPr fontId="6" type="noConversion"/>
  </si>
  <si>
    <t>1조</t>
    <phoneticPr fontId="6" type="noConversion"/>
  </si>
  <si>
    <t>ⓑ</t>
    <phoneticPr fontId="11" type="noConversion"/>
  </si>
  <si>
    <t>UPS 입력</t>
    <phoneticPr fontId="6" type="noConversion"/>
  </si>
  <si>
    <t>UPS 380V 입력전원</t>
    <phoneticPr fontId="6" type="noConversion"/>
  </si>
  <si>
    <t>1조</t>
    <phoneticPr fontId="6" type="noConversion"/>
  </si>
  <si>
    <t>ⓒ</t>
    <phoneticPr fontId="11" type="noConversion"/>
  </si>
  <si>
    <t>ⓓ</t>
    <phoneticPr fontId="60" type="noConversion"/>
  </si>
  <si>
    <t>UPS 220V 출력전원</t>
    <phoneticPr fontId="6" type="noConversion"/>
  </si>
  <si>
    <t>ⓔ</t>
    <phoneticPr fontId="60" type="noConversion"/>
  </si>
  <si>
    <t>ⓕ</t>
    <phoneticPr fontId="60" type="noConversion"/>
  </si>
  <si>
    <t>랙 접지단자</t>
    <phoneticPr fontId="60" type="noConversion"/>
  </si>
  <si>
    <t>메쉬접지</t>
    <phoneticPr fontId="6" type="noConversion"/>
  </si>
  <si>
    <t>랙당</t>
    <phoneticPr fontId="60" type="noConversion"/>
  </si>
  <si>
    <t>ⓖ</t>
    <phoneticPr fontId="11" type="noConversion"/>
  </si>
  <si>
    <t>UPS,충전기 NMS용 LAN</t>
    <phoneticPr fontId="6" type="noConversion"/>
  </si>
  <si>
    <t>케이블보호[NMS용 LAN]</t>
    <phoneticPr fontId="6" type="noConversion"/>
  </si>
  <si>
    <t>1열*1조</t>
    <phoneticPr fontId="6" type="noConversion"/>
  </si>
  <si>
    <t>압착단자(25㎟ * 4C)</t>
    <phoneticPr fontId="60" type="noConversion"/>
  </si>
  <si>
    <t>통신분전반 380V 입력전원</t>
    <phoneticPr fontId="6" type="noConversion"/>
  </si>
  <si>
    <t>개소당</t>
    <phoneticPr fontId="60" type="noConversion"/>
  </si>
  <si>
    <t>압착단자(16㎟ * 4C)</t>
    <phoneticPr fontId="60" type="noConversion"/>
  </si>
  <si>
    <t>UPS 입력</t>
  </si>
  <si>
    <t>UPS 380V 입력전원</t>
    <phoneticPr fontId="6" type="noConversion"/>
  </si>
  <si>
    <t>압착단자(16㎟ * 3C)</t>
    <phoneticPr fontId="60" type="noConversion"/>
  </si>
  <si>
    <t>압착단자(16㎟ * 2C)</t>
    <phoneticPr fontId="60" type="noConversion"/>
  </si>
  <si>
    <t>UPS 출력</t>
  </si>
  <si>
    <t>랙당 1개</t>
    <phoneticPr fontId="60" type="noConversion"/>
  </si>
  <si>
    <t>⒜</t>
    <phoneticPr fontId="60" type="noConversion"/>
  </si>
  <si>
    <t>허브(FA)</t>
    <phoneticPr fontId="6" type="noConversion"/>
  </si>
  <si>
    <t>IP계통운영통신시스템용 LAN</t>
    <phoneticPr fontId="6" type="noConversion"/>
  </si>
  <si>
    <t>IP계통운영통신시스템당</t>
    <phoneticPr fontId="60" type="noConversion"/>
  </si>
  <si>
    <t>⒝</t>
    <phoneticPr fontId="11" type="noConversion"/>
  </si>
  <si>
    <t>⒞</t>
    <phoneticPr fontId="11" type="noConversion"/>
  </si>
  <si>
    <t>사령원콘솔,AOM(감시실)</t>
    <phoneticPr fontId="60" type="noConversion"/>
  </si>
  <si>
    <t>사령원콘솔,AOM용</t>
    <phoneticPr fontId="60" type="noConversion"/>
  </si>
  <si>
    <t>⒟</t>
    <phoneticPr fontId="11" type="noConversion"/>
  </si>
  <si>
    <t>유무선전화기(감시실)</t>
    <phoneticPr fontId="60" type="noConversion"/>
  </si>
  <si>
    <t>일반전화기용</t>
    <phoneticPr fontId="6" type="noConversion"/>
  </si>
  <si>
    <t>⒠</t>
    <phoneticPr fontId="11" type="noConversion"/>
  </si>
  <si>
    <t>⒡</t>
    <phoneticPr fontId="11" type="noConversion"/>
  </si>
  <si>
    <t>⒢</t>
    <phoneticPr fontId="11" type="noConversion"/>
  </si>
  <si>
    <t>⒣</t>
    <phoneticPr fontId="11" type="noConversion"/>
  </si>
  <si>
    <t>FR-CVVS 2.5SQ/2C</t>
    <phoneticPr fontId="6" type="noConversion"/>
  </si>
  <si>
    <t>ICT실 전원분전반 UPS전원</t>
    <phoneticPr fontId="6" type="noConversion"/>
  </si>
  <si>
    <t>AC입력전압</t>
    <phoneticPr fontId="60" type="noConversion"/>
  </si>
  <si>
    <t>⒤</t>
    <phoneticPr fontId="11" type="noConversion"/>
  </si>
  <si>
    <t>사령원콘솔,AOM 전원용</t>
    <phoneticPr fontId="60" type="noConversion"/>
  </si>
  <si>
    <t>⒥</t>
    <phoneticPr fontId="11" type="noConversion"/>
  </si>
  <si>
    <t>ICT실 전원분전반 UPS 전원</t>
    <phoneticPr fontId="6" type="noConversion"/>
  </si>
  <si>
    <t>IP계통운영통신시스템 랙</t>
    <phoneticPr fontId="6" type="noConversion"/>
  </si>
  <si>
    <t>랙 AC전원</t>
    <phoneticPr fontId="6" type="noConversion"/>
  </si>
  <si>
    <t>⒦</t>
    <phoneticPr fontId="11" type="noConversion"/>
  </si>
  <si>
    <t>랙 접지</t>
    <phoneticPr fontId="6" type="noConversion"/>
  </si>
  <si>
    <t>ⓞ</t>
    <phoneticPr fontId="60" type="noConversion"/>
  </si>
  <si>
    <t>온도센서</t>
    <phoneticPr fontId="6" type="noConversion"/>
  </si>
  <si>
    <t>온도센서용</t>
    <phoneticPr fontId="6" type="noConversion"/>
  </si>
  <si>
    <t>ⓟ</t>
    <phoneticPr fontId="60" type="noConversion"/>
  </si>
  <si>
    <t>OFD출입문</t>
    <phoneticPr fontId="6" type="noConversion"/>
  </si>
  <si>
    <t>OFD출입문 감시용</t>
    <phoneticPr fontId="6" type="noConversion"/>
  </si>
  <si>
    <t>ⓠ</t>
    <phoneticPr fontId="60" type="noConversion"/>
  </si>
  <si>
    <t>ICT실 출입문 감시용</t>
    <phoneticPr fontId="6" type="noConversion"/>
  </si>
  <si>
    <t>ⓡ</t>
    <phoneticPr fontId="60" type="noConversion"/>
  </si>
  <si>
    <t>케이블보호(온도센서용)</t>
    <phoneticPr fontId="6" type="noConversion"/>
  </si>
  <si>
    <t>ⓢ</t>
    <phoneticPr fontId="60" type="noConversion"/>
  </si>
  <si>
    <t>OFD출입문</t>
  </si>
  <si>
    <t>케이블보호(OFD출입문용)</t>
    <phoneticPr fontId="6" type="noConversion"/>
  </si>
  <si>
    <t>ⓣ</t>
    <phoneticPr fontId="60" type="noConversion"/>
  </si>
  <si>
    <t>후렉시블전선관(16mm,GW-16)</t>
  </si>
  <si>
    <t>LAN 랙 멀티콘센트 연결용</t>
    <phoneticPr fontId="60" type="noConversion"/>
  </si>
  <si>
    <t>▣  IP계통운영통신시스템</t>
    <phoneticPr fontId="60" type="noConversion"/>
  </si>
  <si>
    <t>▣  전원설비 (UPS, 충전기, 축전지, 분전반 1식)</t>
    <phoneticPr fontId="60" type="noConversion"/>
  </si>
  <si>
    <t>ICT실</t>
    <phoneticPr fontId="11" type="noConversion"/>
  </si>
  <si>
    <t>EPIA</t>
  </si>
  <si>
    <t>EPIA</t>
    <phoneticPr fontId="11" type="noConversion"/>
  </si>
  <si>
    <t>통신설비 원격감시</t>
  </si>
  <si>
    <t>LAN Rack 실장</t>
  </si>
  <si>
    <t xml:space="preserve">EPIA 주장치 </t>
  </si>
  <si>
    <t>EPIA</t>
    <phoneticPr fontId="6" type="noConversion"/>
  </si>
  <si>
    <t>DC 이중화용 예비전원</t>
  </si>
  <si>
    <t>Rack당 1EA</t>
  </si>
  <si>
    <t>1.  공 사 명 :</t>
    <phoneticPr fontId="35" type="noConversion"/>
  </si>
  <si>
    <t>Rack당 1개</t>
  </si>
  <si>
    <t>1개*0대</t>
    <phoneticPr fontId="6" type="noConversion"/>
  </si>
  <si>
    <t>도급분</t>
    <phoneticPr fontId="11" type="noConversion"/>
  </si>
  <si>
    <t>사급분</t>
    <phoneticPr fontId="11" type="noConversion"/>
  </si>
  <si>
    <t>랙명판(AL,190*75*1t)</t>
    <phoneticPr fontId="6" type="noConversion"/>
  </si>
  <si>
    <t>1조</t>
    <phoneticPr fontId="6" type="noConversion"/>
  </si>
  <si>
    <t>콘센트(노출 접지 220V2구)</t>
    <phoneticPr fontId="6" type="noConversion"/>
  </si>
  <si>
    <t>IP계통운영통신시스템 랙 멀티콘센트 연결용</t>
    <phoneticPr fontId="60" type="noConversion"/>
  </si>
  <si>
    <t>전산볼트(M10,철)</t>
  </si>
  <si>
    <t>콘센트(노출 접지 220V2구)</t>
  </si>
  <si>
    <t>Φ3/8, 75㎜</t>
  </si>
  <si>
    <t>Rack 고정</t>
  </si>
  <si>
    <t>IP계통운영통시스템 Rack 고정</t>
  </si>
  <si>
    <t>Rack당 4개</t>
  </si>
  <si>
    <t>M10,철</t>
  </si>
  <si>
    <t>Rack 명판</t>
  </si>
  <si>
    <t>Rack</t>
  </si>
  <si>
    <t>-</t>
  </si>
  <si>
    <t>노출, 접지 2구</t>
  </si>
  <si>
    <t>Rack 멀티콘센트 연결용</t>
  </si>
  <si>
    <t>Rack 하단에 고정</t>
  </si>
  <si>
    <t>PDAS 구성용</t>
    <phoneticPr fontId="6" type="noConversion"/>
  </si>
  <si>
    <t>내진가대(600*750*270~330)</t>
    <phoneticPr fontId="6" type="noConversion"/>
  </si>
  <si>
    <t xml:space="preserve"> 내진가대</t>
    <phoneticPr fontId="11" type="noConversion"/>
  </si>
  <si>
    <t>600*750*270-330</t>
    <phoneticPr fontId="11" type="noConversion"/>
  </si>
  <si>
    <t>거리 * 1열 * 1조</t>
    <phoneticPr fontId="11" type="noConversion"/>
  </si>
  <si>
    <t>거리 * 1조*1대</t>
    <phoneticPr fontId="11" type="noConversion"/>
  </si>
  <si>
    <t>(a+b, VAT제외)</t>
    <phoneticPr fontId="28" type="noConversion"/>
  </si>
  <si>
    <t>추 정 금 액</t>
    <phoneticPr fontId="6" type="noConversion"/>
  </si>
  <si>
    <t>추 정 가 격</t>
    <phoneticPr fontId="28" type="noConversion"/>
  </si>
  <si>
    <t>(VAT제외)</t>
    <phoneticPr fontId="28" type="noConversion"/>
  </si>
  <si>
    <t xml:space="preserve"> ○ 회   사   분   [a]   :</t>
    <phoneticPr fontId="28" type="noConversion"/>
  </si>
  <si>
    <t xml:space="preserve"> ○ 노     무     비   :</t>
    <phoneticPr fontId="28" type="noConversion"/>
  </si>
  <si>
    <t xml:space="preserve"> ○ 추 정 가 격   [b]   :</t>
    <phoneticPr fontId="28" type="noConversion"/>
  </si>
  <si>
    <t xml:space="preserve"> ○ 경            비    :</t>
    <phoneticPr fontId="28" type="noConversion"/>
  </si>
  <si>
    <t xml:space="preserve"> ○ 추정가격VAT [c]   :</t>
    <phoneticPr fontId="28" type="noConversion"/>
  </si>
  <si>
    <t xml:space="preserve"> ○ 일 반 관 리 비    :</t>
    <phoneticPr fontId="28" type="noConversion"/>
  </si>
  <si>
    <t xml:space="preserve"> 1CORE</t>
    <phoneticPr fontId="11" type="noConversion"/>
  </si>
  <si>
    <t>IPDAS 통신망</t>
    <phoneticPr fontId="11" type="noConversion"/>
  </si>
  <si>
    <t>광점퍼코드(B.O)</t>
    <phoneticPr fontId="11" type="noConversion"/>
  </si>
  <si>
    <t>광통신망 1링 구성</t>
    <phoneticPr fontId="11" type="noConversion"/>
  </si>
  <si>
    <t>거리 * 1열 *1조</t>
    <phoneticPr fontId="6" type="noConversion"/>
  </si>
  <si>
    <t>iPDAS-RT 함체</t>
    <phoneticPr fontId="6" type="noConversion"/>
  </si>
  <si>
    <t>iPDAS-RT 설치함체</t>
    <phoneticPr fontId="6" type="noConversion"/>
  </si>
  <si>
    <t xml:space="preserve">iPDAS-RT당 1개 </t>
    <phoneticPr fontId="6" type="noConversion"/>
  </si>
  <si>
    <t>단자함설치</t>
    <phoneticPr fontId="6" type="noConversion"/>
  </si>
  <si>
    <t>H970*360*550</t>
    <phoneticPr fontId="11" type="noConversion"/>
  </si>
  <si>
    <t>전원설비</t>
    <phoneticPr fontId="6" type="noConversion"/>
  </si>
  <si>
    <t>IP계통운영</t>
    <phoneticPr fontId="6" type="noConversion"/>
  </si>
  <si>
    <t>PDAS-RT</t>
    <phoneticPr fontId="11" type="noConversion"/>
  </si>
  <si>
    <t>사급분</t>
    <phoneticPr fontId="11" type="noConversion"/>
  </si>
  <si>
    <t>6SQ/2C 1열</t>
    <phoneticPr fontId="4" type="noConversion"/>
  </si>
  <si>
    <t>6SQ/2C 2열</t>
    <phoneticPr fontId="4" type="noConversion"/>
  </si>
  <si>
    <t>6SQ/2C 3열</t>
    <phoneticPr fontId="4" type="noConversion"/>
  </si>
  <si>
    <t>CAT.5 4Pr, 2열</t>
    <phoneticPr fontId="4" type="noConversion"/>
  </si>
  <si>
    <t>CAT.5 4Pr, 3열</t>
    <phoneticPr fontId="4" type="noConversion"/>
  </si>
  <si>
    <t>UPS 설치</t>
    <phoneticPr fontId="6" type="noConversion"/>
  </si>
  <si>
    <t>50A</t>
    <phoneticPr fontId="6" type="noConversion"/>
  </si>
  <si>
    <t>충전기 설치</t>
    <phoneticPr fontId="6" type="noConversion"/>
  </si>
  <si>
    <t>개</t>
    <phoneticPr fontId="11" type="noConversion"/>
  </si>
  <si>
    <t xml:space="preserve"> 4개*2개소 </t>
    <phoneticPr fontId="11" type="noConversion"/>
  </si>
  <si>
    <t>1.5SQ/1C, 2열</t>
    <phoneticPr fontId="4" type="noConversion"/>
  </si>
  <si>
    <t>1.5SQ/1C, 4열</t>
    <phoneticPr fontId="4" type="noConversion"/>
  </si>
  <si>
    <t>포인트연결어댑터(EPIA) 설치</t>
    <phoneticPr fontId="6" type="noConversion"/>
  </si>
  <si>
    <t>품4-1.</t>
  </si>
  <si>
    <t>품4-3.</t>
  </si>
  <si>
    <t>품4-4.</t>
  </si>
  <si>
    <t>품4-5.</t>
  </si>
  <si>
    <t>품4-6.</t>
  </si>
  <si>
    <t>동관단자</t>
    <phoneticPr fontId="11" type="noConversion"/>
  </si>
  <si>
    <t>동관단자</t>
    <phoneticPr fontId="11" type="noConversion"/>
  </si>
  <si>
    <t>EPIA용 온도</t>
    <phoneticPr fontId="11" type="noConversion"/>
  </si>
  <si>
    <t>내선전공</t>
    <phoneticPr fontId="6" type="noConversion"/>
  </si>
  <si>
    <t>통5-1-1</t>
  </si>
  <si>
    <t>통3-4-2</t>
  </si>
  <si>
    <t>전5-23 1.</t>
    <phoneticPr fontId="4" type="noConversion"/>
  </si>
  <si>
    <t>광점퍼코드(B.O) 2C, ST-ST, 구내</t>
    <phoneticPr fontId="4" type="noConversion"/>
  </si>
  <si>
    <t>콘크리트공</t>
  </si>
  <si>
    <t>특고압케이블전공</t>
  </si>
  <si>
    <t>나. 앙카볼트 설치</t>
    <phoneticPr fontId="11" type="noConversion"/>
  </si>
  <si>
    <t>광점퍼코드 포설</t>
  </si>
  <si>
    <t>m</t>
  </si>
  <si>
    <t>SC/PC(APC)↔SC/APC, 2열</t>
  </si>
  <si>
    <t>지우지 마세요</t>
  </si>
  <si>
    <t>구분</t>
  </si>
  <si>
    <t>케이블 규격</t>
  </si>
  <si>
    <t>시 작</t>
  </si>
  <si>
    <t>종 료</t>
  </si>
  <si>
    <t>용  도</t>
  </si>
  <si>
    <t>단위</t>
  </si>
  <si>
    <t>조</t>
  </si>
  <si>
    <t>길이</t>
  </si>
  <si>
    <t>비고</t>
  </si>
  <si>
    <t>RT</t>
  </si>
  <si>
    <t>FADP(주)</t>
  </si>
  <si>
    <t>FADP(예비)</t>
  </si>
  <si>
    <t>접지함체</t>
  </si>
  <si>
    <t>광점퍼코드(SC/PC-SC/APC,15m)</t>
  </si>
  <si>
    <t>광카드(OTRU/PtoP)</t>
  </si>
  <si>
    <t>사급</t>
  </si>
  <si>
    <t>후렉시블전선관(22mm,GW-22)</t>
  </si>
  <si>
    <t>케이블 보호(광점퍼코드)</t>
  </si>
  <si>
    <t>UTP케이블, CAT.5E 4P</t>
  </si>
  <si>
    <t>LAN(HUB)</t>
  </si>
  <si>
    <t>LAN 구성(NMS)</t>
  </si>
  <si>
    <t>케이블 보호</t>
  </si>
  <si>
    <t>FADP</t>
  </si>
  <si>
    <t>TRMS용 경보</t>
  </si>
  <si>
    <t>IDF</t>
  </si>
  <si>
    <t>챔프케이블, CAT.5E 25P(15m)</t>
  </si>
  <si>
    <t>DS1 접속 출력</t>
  </si>
  <si>
    <t>DSO 출력</t>
  </si>
  <si>
    <t>MDF</t>
  </si>
  <si>
    <t>랙</t>
  </si>
  <si>
    <t>UTP케이블, CAT.5 25P</t>
  </si>
  <si>
    <t>PDAS</t>
  </si>
  <si>
    <t>송변전 계전기 감시</t>
  </si>
  <si>
    <t>랙당 4개</t>
    <phoneticPr fontId="60" type="noConversion"/>
  </si>
  <si>
    <t>PDAS</t>
    <phoneticPr fontId="11" type="noConversion"/>
  </si>
  <si>
    <t>거리 * 1조(Tx, Rx)/당
#1T/L : 1조)*2계열</t>
    <phoneticPr fontId="6" type="noConversion"/>
  </si>
  <si>
    <t>식</t>
    <phoneticPr fontId="11" type="noConversion"/>
  </si>
  <si>
    <t>준공검사 완료일로부터 3년(2%)</t>
    <phoneticPr fontId="35" type="noConversion"/>
  </si>
  <si>
    <t>밧데리 내부팬용</t>
    <phoneticPr fontId="19" type="noConversion"/>
  </si>
  <si>
    <t>FR-CVVS 2.5SQ/2C</t>
    <phoneticPr fontId="60" type="noConversion"/>
  </si>
  <si>
    <t>팬전원용</t>
    <phoneticPr fontId="6" type="noConversion"/>
  </si>
  <si>
    <t>품4-2.</t>
  </si>
  <si>
    <t>ⓝ</t>
    <phoneticPr fontId="11" type="noConversion"/>
  </si>
  <si>
    <t>광링Type-COT(LAN 4P, 16port)</t>
  </si>
  <si>
    <t>변전소당*1개</t>
  </si>
  <si>
    <t>광링Type-RT(LAN 2, Serial 2Port)</t>
  </si>
  <si>
    <t>COT</t>
  </si>
  <si>
    <t>Serial 보호계전기 2대당*1개</t>
  </si>
  <si>
    <t>Rack,단자함,접지단자</t>
    <phoneticPr fontId="19" type="noConversion"/>
  </si>
  <si>
    <t>통합 Rack, 단자함</t>
    <phoneticPr fontId="19" type="noConversion"/>
  </si>
  <si>
    <t>3m * 랙(단자함)대수</t>
    <phoneticPr fontId="19" type="noConversion"/>
  </si>
  <si>
    <t>Dummy 허브 설치</t>
  </si>
  <si>
    <t>300*400*130(노출,SUS)</t>
    <phoneticPr fontId="6" type="noConversion"/>
  </si>
  <si>
    <t>케이블 보호(충전기,UPS 감시)</t>
    <phoneticPr fontId="19" type="noConversion"/>
  </si>
  <si>
    <t>RJ45</t>
  </si>
  <si>
    <t>보호 PNL</t>
  </si>
  <si>
    <t>9핀</t>
  </si>
  <si>
    <t>PDAS 외함</t>
  </si>
  <si>
    <t>변전소당 *1개</t>
  </si>
  <si>
    <t xml:space="preserve"> 개 </t>
  </si>
  <si>
    <t>광점퍼코드(B/O)</t>
    <phoneticPr fontId="11" type="noConversion"/>
  </si>
  <si>
    <t>보통인부</t>
    <phoneticPr fontId="6" type="noConversion"/>
  </si>
  <si>
    <t>관련근거 : 국가를 당사자로 하는 계약에관한 법률 시행규칙[70조(하자담보책임기간) ① 5.정보통신공사업법 시행령 제37조(공사의 하자담조책임)</t>
  </si>
  <si>
    <t xml:space="preserve">관련근거 : 국가를 당사자로 하는 계약에관한 법률 시행규칙[72조(하자보수보증금률) ①항4. 제1호 내지 제3호외의 공사 : 100분의 2] </t>
  </si>
  <si>
    <t>10포인트</t>
  </si>
  <si>
    <t xml:space="preserve">   가. 공구손료(직접노무비*3%)</t>
    <phoneticPr fontId="6" type="noConversion"/>
  </si>
  <si>
    <t xml:space="preserve">   사. 퇴직공제부금(직접노무비*2.3%)</t>
    <phoneticPr fontId="6" type="noConversion"/>
  </si>
  <si>
    <t xml:space="preserve">   아. 산업안전보건관리비</t>
    <phoneticPr fontId="6" type="noConversion"/>
  </si>
  <si>
    <t>개</t>
    <phoneticPr fontId="6" type="noConversion"/>
  </si>
  <si>
    <t xml:space="preserve">        </t>
    <phoneticPr fontId="60" type="noConversion"/>
  </si>
  <si>
    <t>시중노임
변동률(%)</t>
  </si>
  <si>
    <t>1.7GHz DCP, CID</t>
    <phoneticPr fontId="11" type="noConversion"/>
  </si>
  <si>
    <t>AC전압 검출기</t>
    <phoneticPr fontId="11" type="noConversion"/>
  </si>
  <si>
    <t>전원검출</t>
    <phoneticPr fontId="11" type="noConversion"/>
  </si>
  <si>
    <t>EPIA주장치</t>
    <phoneticPr fontId="11" type="noConversion"/>
  </si>
  <si>
    <t>신설개소 1개</t>
    <phoneticPr fontId="11" type="noConversion"/>
  </si>
  <si>
    <t>개</t>
    <phoneticPr fontId="11" type="noConversion"/>
  </si>
  <si>
    <t>ICT실 검출장치</t>
    <phoneticPr fontId="11" type="noConversion"/>
  </si>
  <si>
    <t>무인보안시스템 주전원</t>
    <phoneticPr fontId="11" type="noConversion"/>
  </si>
  <si>
    <t xml:space="preserve"> </t>
    <phoneticPr fontId="6" type="noConversion"/>
  </si>
  <si>
    <t>광케이블</t>
  </si>
  <si>
    <t>케이블 금구류(행거,홀더) 철거</t>
  </si>
  <si>
    <t>FR-CVV-S, 1.5SQ/2C</t>
    <phoneticPr fontId="11" type="noConversion"/>
  </si>
  <si>
    <t>FR-CVV-S, 1.5SQ/4C</t>
    <phoneticPr fontId="11" type="noConversion"/>
  </si>
  <si>
    <t>SC/PC(APC)↔SC/APC,B.O 4C</t>
    <phoneticPr fontId="6" type="noConversion"/>
  </si>
  <si>
    <t>12코어 이하</t>
    <phoneticPr fontId="6" type="noConversion"/>
  </si>
  <si>
    <t>광케이블 포설</t>
    <phoneticPr fontId="6" type="noConversion"/>
  </si>
  <si>
    <t>랙 설치 및 케이블 포설</t>
    <phoneticPr fontId="6" type="noConversion"/>
  </si>
  <si>
    <t>케이블 심선성단 및 수용</t>
    <phoneticPr fontId="6" type="noConversion"/>
  </si>
  <si>
    <t>케이블 결선</t>
    <phoneticPr fontId="6" type="noConversion"/>
  </si>
  <si>
    <t>L3 스위치 설치 및 시험</t>
    <phoneticPr fontId="6" type="noConversion"/>
  </si>
  <si>
    <t>통6-1-1</t>
  </si>
  <si>
    <t>통3-7-1</t>
  </si>
  <si>
    <t>통6-2-1-1</t>
  </si>
  <si>
    <t>통8-1-1</t>
  </si>
  <si>
    <t>통4-4-1</t>
  </si>
  <si>
    <t>통4-3-1</t>
  </si>
  <si>
    <t>통3-1-1</t>
  </si>
  <si>
    <t>통11-5-1</t>
  </si>
  <si>
    <t>전5-23 1.</t>
  </si>
  <si>
    <t>통11-2-1</t>
  </si>
  <si>
    <t>통4-6-1</t>
  </si>
  <si>
    <t>통4-6-1</t>
    <phoneticPr fontId="6" type="noConversion"/>
  </si>
  <si>
    <t>통11-5-1</t>
    <phoneticPr fontId="6" type="noConversion"/>
  </si>
  <si>
    <t>통4-6-3</t>
    <phoneticPr fontId="6" type="noConversion"/>
  </si>
  <si>
    <t>통4-4-1</t>
    <phoneticPr fontId="6" type="noConversion"/>
  </si>
  <si>
    <t>통8-1-1</t>
    <phoneticPr fontId="6" type="noConversion"/>
  </si>
  <si>
    <t>통3-3-1</t>
    <phoneticPr fontId="6" type="noConversion"/>
  </si>
  <si>
    <t>통8-4-7-5</t>
    <phoneticPr fontId="6" type="noConversion"/>
  </si>
  <si>
    <t>통6-1-1</t>
    <phoneticPr fontId="6" type="noConversion"/>
  </si>
  <si>
    <t>통9-2-4-2</t>
    <phoneticPr fontId="6" type="noConversion"/>
  </si>
  <si>
    <t>통4-3-2</t>
    <phoneticPr fontId="6" type="noConversion"/>
  </si>
  <si>
    <t>10/100/1000 24포트</t>
    <phoneticPr fontId="6" type="noConversion"/>
  </si>
  <si>
    <t>통4-1-3</t>
  </si>
  <si>
    <t>MTR 보호 PNL RY 정보수집</t>
    <phoneticPr fontId="11" type="noConversion"/>
  </si>
  <si>
    <t>MTR 보호 PNL</t>
    <phoneticPr fontId="11" type="noConversion"/>
  </si>
  <si>
    <t>CAT.5 4Pr,3열</t>
    <phoneticPr fontId="4" type="noConversion"/>
  </si>
  <si>
    <t>CAT.5 4Pr,4열</t>
    <phoneticPr fontId="4" type="noConversion"/>
  </si>
  <si>
    <t>케이블 보호(MTR보호 PNL)</t>
    <phoneticPr fontId="11" type="noConversion"/>
  </si>
  <si>
    <t>PDAS 정보수집</t>
    <phoneticPr fontId="11" type="noConversion"/>
  </si>
  <si>
    <t>ICT실 LAN</t>
    <phoneticPr fontId="11" type="noConversion"/>
  </si>
  <si>
    <t>NAC</t>
    <phoneticPr fontId="6" type="noConversion"/>
  </si>
  <si>
    <t>L2 연계장치</t>
    <phoneticPr fontId="6" type="noConversion"/>
  </si>
  <si>
    <t>1Port-Gigabit Ring</t>
    <phoneticPr fontId="6" type="noConversion"/>
  </si>
  <si>
    <t>Digital SCADA 구성용</t>
    <phoneticPr fontId="6" type="noConversion"/>
  </si>
  <si>
    <t>송변전용 광단말장치 설치</t>
    <phoneticPr fontId="6" type="noConversion"/>
  </si>
  <si>
    <t>HSR-10G</t>
    <phoneticPr fontId="6" type="noConversion"/>
  </si>
  <si>
    <t>S/W시험사</t>
    <phoneticPr fontId="6" type="noConversion"/>
  </si>
  <si>
    <t>2유니트</t>
    <phoneticPr fontId="6" type="noConversion"/>
  </si>
  <si>
    <t>계통보호회선유니트(PIU) 설치</t>
    <phoneticPr fontId="6" type="noConversion"/>
  </si>
  <si>
    <t>T/L</t>
    <phoneticPr fontId="4" type="noConversion"/>
  </si>
  <si>
    <t xml:space="preserve">가. 64kbps 측정 </t>
    <phoneticPr fontId="4" type="noConversion"/>
  </si>
  <si>
    <t>나. 전송지연 시간측정</t>
    <phoneticPr fontId="6" type="noConversion"/>
  </si>
  <si>
    <t>다. G.703데이터 저장상태 확인</t>
    <phoneticPr fontId="6" type="noConversion"/>
  </si>
  <si>
    <t>품   셈    명</t>
    <phoneticPr fontId="28" type="noConversion"/>
  </si>
  <si>
    <t>자재번호</t>
    <phoneticPr fontId="11" type="noConversion"/>
  </si>
  <si>
    <t>MCU</t>
    <phoneticPr fontId="6" type="noConversion"/>
  </si>
  <si>
    <t>LIU</t>
    <phoneticPr fontId="6" type="noConversion"/>
  </si>
  <si>
    <t>PIU</t>
    <phoneticPr fontId="6" type="noConversion"/>
  </si>
  <si>
    <t>ECU</t>
    <phoneticPr fontId="6" type="noConversion"/>
  </si>
  <si>
    <t>L3SWU(A)</t>
    <phoneticPr fontId="6" type="noConversion"/>
  </si>
  <si>
    <t>L3SWU(B)
IRIG-B신호 수신</t>
    <phoneticPr fontId="6" type="noConversion"/>
  </si>
  <si>
    <t>19"-내진랙</t>
    <phoneticPr fontId="6" type="noConversion"/>
  </si>
  <si>
    <t>MAIN-S</t>
    <phoneticPr fontId="6" type="noConversion"/>
  </si>
  <si>
    <t>EXT-S</t>
    <phoneticPr fontId="6" type="noConversion"/>
  </si>
  <si>
    <t>19" RACK(경하중/내진)</t>
    <phoneticPr fontId="6" type="noConversion"/>
  </si>
  <si>
    <t>중간배선반</t>
    <phoneticPr fontId="6" type="noConversion"/>
  </si>
  <si>
    <t>집중배선반</t>
    <phoneticPr fontId="6" type="noConversion"/>
  </si>
  <si>
    <t>QDF</t>
    <phoneticPr fontId="6" type="noConversion"/>
  </si>
  <si>
    <t>IDF</t>
    <phoneticPr fontId="6" type="noConversion"/>
  </si>
  <si>
    <t>주셀프</t>
    <phoneticPr fontId="6" type="noConversion"/>
  </si>
  <si>
    <t>주장치용 Shelf</t>
    <phoneticPr fontId="6" type="noConversion"/>
  </si>
  <si>
    <t>확장용 Shelf</t>
    <phoneticPr fontId="11" type="noConversion"/>
  </si>
  <si>
    <t>확장셀프</t>
    <phoneticPr fontId="6" type="noConversion"/>
  </si>
  <si>
    <t>광전송유니트(B)</t>
    <phoneticPr fontId="6" type="noConversion"/>
  </si>
  <si>
    <t>광전송유니트(C)</t>
    <phoneticPr fontId="6" type="noConversion"/>
  </si>
  <si>
    <t>CTRU(B)</t>
    <phoneticPr fontId="6" type="noConversion"/>
  </si>
  <si>
    <t>CTRU(A)</t>
    <phoneticPr fontId="6" type="noConversion"/>
  </si>
  <si>
    <t>제어유니트</t>
    <phoneticPr fontId="6" type="noConversion"/>
  </si>
  <si>
    <t>DS-1/E 회선유니트</t>
    <phoneticPr fontId="6" type="noConversion"/>
  </si>
  <si>
    <t>계통보호 회선유니트</t>
    <phoneticPr fontId="6" type="noConversion"/>
  </si>
  <si>
    <t>확장셀프 데이터
집선유니트</t>
    <phoneticPr fontId="6" type="noConversion"/>
  </si>
  <si>
    <t>PTPU(A)</t>
    <phoneticPr fontId="6" type="noConversion"/>
  </si>
  <si>
    <t>PTPU(B)</t>
    <phoneticPr fontId="6" type="noConversion"/>
  </si>
  <si>
    <t>P-to-P(A) 광전송장치</t>
    <phoneticPr fontId="6" type="noConversion"/>
  </si>
  <si>
    <t>P-to-P(B) 광전송장치</t>
    <phoneticPr fontId="6" type="noConversion"/>
  </si>
  <si>
    <t>P-to-P(C) 광전송장치</t>
    <phoneticPr fontId="6" type="noConversion"/>
  </si>
  <si>
    <t>DS-1/E급 데이터 전송을 위한
40km용 광전송장치</t>
    <phoneticPr fontId="6" type="noConversion"/>
  </si>
  <si>
    <t>DS-1/E급 데이터 전송을 위한
200km용 광전송장치</t>
    <phoneticPr fontId="6" type="noConversion"/>
  </si>
  <si>
    <t>전용랙(내진)</t>
    <phoneticPr fontId="6" type="noConversion"/>
  </si>
  <si>
    <t>19" 타입 내진 RACK 및 부대장비</t>
    <phoneticPr fontId="6" type="noConversion"/>
  </si>
  <si>
    <t>송변전용스위치(A)</t>
    <phoneticPr fontId="6" type="noConversion"/>
  </si>
  <si>
    <t>송변전용스위치(B)</t>
    <phoneticPr fontId="6" type="noConversion"/>
  </si>
  <si>
    <t>L3 스위치(4Port)(기본형)</t>
    <phoneticPr fontId="6" type="noConversion"/>
  </si>
  <si>
    <t>L3 스위치(4Port) (IRIG-B신호 수신모듈 내장형)</t>
    <phoneticPr fontId="6" type="noConversion"/>
  </si>
  <si>
    <t>필요시(PIU 5유니트 이상시)</t>
    <phoneticPr fontId="6" type="noConversion"/>
  </si>
  <si>
    <t>주 Shelf 1대당 2EA</t>
    <phoneticPr fontId="6" type="noConversion"/>
  </si>
  <si>
    <t>필요수량</t>
    <phoneticPr fontId="6" type="noConversion"/>
  </si>
  <si>
    <t>확장셀프당 2EA</t>
    <phoneticPr fontId="6" type="noConversion"/>
  </si>
  <si>
    <t>T/L구간별 1대/개소(계통보호용)</t>
    <phoneticPr fontId="6" type="noConversion"/>
  </si>
  <si>
    <t>구)PtoP 1대당 2EA</t>
    <phoneticPr fontId="6" type="noConversion"/>
  </si>
  <si>
    <t>구)PtoP 1대당 2EA</t>
    <phoneticPr fontId="6" type="noConversion"/>
  </si>
  <si>
    <t>구)PtoP 1대당 1EA</t>
    <phoneticPr fontId="6" type="noConversion"/>
  </si>
  <si>
    <t>Rack(단말장치/단자반/IDF) 접지</t>
    <phoneticPr fontId="19" type="noConversion"/>
  </si>
  <si>
    <t>주셀프</t>
    <phoneticPr fontId="19" type="noConversion"/>
  </si>
  <si>
    <t>주셀프</t>
    <phoneticPr fontId="19" type="noConversion"/>
  </si>
  <si>
    <t>EPIA</t>
    <phoneticPr fontId="19" type="noConversion"/>
  </si>
  <si>
    <t>PIU(POE Type)</t>
    <phoneticPr fontId="19" type="noConversion"/>
  </si>
  <si>
    <t>PIU E1 주/예비회선</t>
    <phoneticPr fontId="19" type="noConversion"/>
  </si>
  <si>
    <t>PIU㈜/(예)</t>
    <phoneticPr fontId="19" type="noConversion"/>
  </si>
  <si>
    <t>QDF/IDF</t>
    <phoneticPr fontId="19" type="noConversion"/>
  </si>
  <si>
    <t xml:space="preserve">보호반, RTU,소내IED </t>
    <phoneticPr fontId="19" type="noConversion"/>
  </si>
  <si>
    <t>단말장치 Rack 내부 거치</t>
    <phoneticPr fontId="11" type="noConversion"/>
  </si>
  <si>
    <t>AC전원</t>
    <phoneticPr fontId="60" type="noConversion"/>
  </si>
  <si>
    <t>DC전원</t>
    <phoneticPr fontId="60" type="noConversion"/>
  </si>
  <si>
    <t>디지털 스카다용</t>
    <phoneticPr fontId="6" type="noConversion"/>
  </si>
  <si>
    <t>Q(I)DF</t>
    <phoneticPr fontId="60" type="noConversion"/>
  </si>
  <si>
    <t>LIU 출력</t>
    <phoneticPr fontId="60" type="noConversion"/>
  </si>
  <si>
    <t>DS1신호 결선</t>
    <phoneticPr fontId="60" type="noConversion"/>
  </si>
  <si>
    <t>DS0신호 결선</t>
    <phoneticPr fontId="60" type="noConversion"/>
  </si>
  <si>
    <t>PTP</t>
    <phoneticPr fontId="60" type="noConversion"/>
  </si>
  <si>
    <t>후렉시블전선관(16mm,GW-16)</t>
    <phoneticPr fontId="60" type="noConversion"/>
  </si>
  <si>
    <t>단가</t>
    <phoneticPr fontId="11" type="noConversion"/>
  </si>
  <si>
    <t>단말장치 Rack</t>
    <phoneticPr fontId="19" type="noConversion"/>
  </si>
  <si>
    <t xml:space="preserve">단말장치/IDF Rack </t>
    <phoneticPr fontId="19" type="noConversion"/>
  </si>
  <si>
    <t>링당*1, PtoP*2</t>
    <phoneticPr fontId="6" type="noConversion"/>
  </si>
  <si>
    <t>PtoP*1</t>
    <phoneticPr fontId="6" type="noConversion"/>
  </si>
  <si>
    <t>PtoP*3</t>
    <phoneticPr fontId="6" type="noConversion"/>
  </si>
  <si>
    <t>광카드(CTRU/PtoP)</t>
    <phoneticPr fontId="19" type="noConversion"/>
  </si>
  <si>
    <t>광모뎀단말장치</t>
    <phoneticPr fontId="6" type="noConversion"/>
  </si>
  <si>
    <t>40km(RT)</t>
    <phoneticPr fontId="11" type="noConversion"/>
  </si>
  <si>
    <t>IDF,QDF,VDF,CTRU등</t>
    <phoneticPr fontId="4" type="noConversion"/>
  </si>
  <si>
    <t>품4-12.</t>
  </si>
  <si>
    <t>PDAS 설치</t>
    <phoneticPr fontId="6" type="noConversion"/>
  </si>
  <si>
    <t>단말 전원 주</t>
  </si>
  <si>
    <t>단말 전원 예비</t>
  </si>
  <si>
    <t>단말 랙</t>
  </si>
  <si>
    <t>단말 랙 AC전원</t>
  </si>
  <si>
    <t>단말/IDF 랙 접지단자</t>
  </si>
  <si>
    <t>단말장치 Rack 고정</t>
  </si>
  <si>
    <t>단말장치 Rack 명판</t>
  </si>
  <si>
    <t>광모뎀 전원2중화 장치</t>
    <phoneticPr fontId="6" type="noConversion"/>
  </si>
  <si>
    <t>입력DC48/220V 출력DC 24V</t>
    <phoneticPr fontId="6" type="noConversion"/>
  </si>
  <si>
    <t>PIU 점퍼코드 분배용</t>
    <phoneticPr fontId="19" type="noConversion"/>
  </si>
  <si>
    <t>PIU</t>
    <phoneticPr fontId="11" type="noConversion"/>
  </si>
  <si>
    <t>단자대Rack</t>
    <phoneticPr fontId="11" type="noConversion"/>
  </si>
  <si>
    <t>광점퍼케이블</t>
  </si>
  <si>
    <t xml:space="preserve">분배반(FDF) </t>
    <phoneticPr fontId="6" type="noConversion"/>
  </si>
  <si>
    <t>통4-1-2-2</t>
    <phoneticPr fontId="6" type="noConversion"/>
  </si>
  <si>
    <t>가. 입력전원 측정</t>
    <phoneticPr fontId="6" type="noConversion"/>
  </si>
  <si>
    <t>나. 경보시험(PDP)</t>
    <phoneticPr fontId="6" type="noConversion"/>
  </si>
  <si>
    <t>통신관련산업기사</t>
    <phoneticPr fontId="4" type="noConversion"/>
  </si>
  <si>
    <t>구)PTP</t>
    <phoneticPr fontId="6" type="noConversion"/>
  </si>
  <si>
    <t>1) PTP 시설</t>
    <phoneticPr fontId="6" type="noConversion"/>
  </si>
  <si>
    <t>2) DS0급 음성회선 대국 전기적 특성시험</t>
    <phoneticPr fontId="6" type="noConversion"/>
  </si>
  <si>
    <t>HSR-PtoP unit 설치</t>
    <phoneticPr fontId="6" type="noConversion"/>
  </si>
  <si>
    <t>신형)HSR-PTP</t>
    <phoneticPr fontId="6" type="noConversion"/>
  </si>
  <si>
    <t>동축 케이블 포설</t>
  </si>
  <si>
    <t>RG 58</t>
  </si>
  <si>
    <t>통4-2-1</t>
    <phoneticPr fontId="6" type="noConversion"/>
  </si>
  <si>
    <t xml:space="preserve">콘넥터 </t>
  </si>
  <si>
    <t>E1/G.703 1대/개소, LIU, PtpP 1대당 1EA</t>
    <phoneticPr fontId="6" type="noConversion"/>
  </si>
  <si>
    <t>QDF/IDF</t>
    <phoneticPr fontId="60" type="noConversion"/>
  </si>
  <si>
    <t>DS1신호 결선</t>
    <phoneticPr fontId="60" type="noConversion"/>
  </si>
  <si>
    <t>송변전광전송장치 전원㈜</t>
    <phoneticPr fontId="19" type="noConversion"/>
  </si>
  <si>
    <t>송변전광전송장치  전원(예)</t>
    <phoneticPr fontId="19" type="noConversion"/>
  </si>
  <si>
    <t>PIU</t>
    <phoneticPr fontId="19" type="noConversion"/>
  </si>
  <si>
    <t>동축케이블</t>
    <phoneticPr fontId="11" type="noConversion"/>
  </si>
  <si>
    <t>T/L당</t>
    <phoneticPr fontId="6" type="noConversion"/>
  </si>
  <si>
    <t>LAN Port Lock</t>
  </si>
  <si>
    <t>Lan RJ-45</t>
  </si>
  <si>
    <t>LAN Port 잠금장치용</t>
  </si>
  <si>
    <t>8파장 미사용 Port 및 허브용</t>
  </si>
  <si>
    <t>Rack당 32EA, 허브 24Port *2EA</t>
  </si>
  <si>
    <t>LAN Port Lock 제거키</t>
  </si>
  <si>
    <t>제거키(Removal Key)</t>
  </si>
  <si>
    <t>LAN Port 잠금장치 제거용</t>
  </si>
  <si>
    <t>변전소당 1EA</t>
  </si>
  <si>
    <t>PIU예비/DAS용</t>
    <phoneticPr fontId="11" type="noConversion"/>
  </si>
  <si>
    <t>구)PTPU CH급</t>
    <phoneticPr fontId="11" type="noConversion"/>
  </si>
  <si>
    <t>송변전광전송장치</t>
    <phoneticPr fontId="60" type="noConversion"/>
  </si>
  <si>
    <t>직노*4.5%</t>
    <phoneticPr fontId="6" type="noConversion"/>
  </si>
  <si>
    <t xml:space="preserve">   마. 국민연금보험료(직접노무비*4.5%)</t>
    <phoneticPr fontId="6" type="noConversion"/>
  </si>
  <si>
    <t>PIU용</t>
  </si>
  <si>
    <t>SC/APC-SC/APC, 15m, 1C</t>
    <phoneticPr fontId="19" type="noConversion"/>
  </si>
  <si>
    <t>광OFD</t>
    <phoneticPr fontId="11" type="noConversion"/>
  </si>
  <si>
    <t>노임산출시적용</t>
    <phoneticPr fontId="11" type="noConversion"/>
  </si>
  <si>
    <t>개</t>
    <phoneticPr fontId="6" type="noConversion"/>
  </si>
  <si>
    <t>지입재료비</t>
    <phoneticPr fontId="11" type="noConversion"/>
  </si>
  <si>
    <t>3U, ST-24C</t>
    <phoneticPr fontId="11" type="noConversion"/>
  </si>
  <si>
    <t>주 Shelf, 확장샐프 각 1대당 1EA</t>
    <phoneticPr fontId="6" type="noConversion"/>
  </si>
  <si>
    <t>품1-1.</t>
  </si>
  <si>
    <t>품1-3.</t>
  </si>
  <si>
    <t>품2-1.</t>
  </si>
  <si>
    <t>품2-2.</t>
  </si>
  <si>
    <t>품2-3.</t>
  </si>
  <si>
    <t>품2-4.</t>
  </si>
  <si>
    <t>품2-7.</t>
  </si>
  <si>
    <t>품2-8.</t>
  </si>
  <si>
    <t>품2-9.</t>
  </si>
  <si>
    <t>품2-10.</t>
  </si>
  <si>
    <t>품2-11.</t>
  </si>
  <si>
    <t>품2-12.</t>
  </si>
  <si>
    <t>품2-13.</t>
  </si>
  <si>
    <t>품2-14.</t>
  </si>
  <si>
    <t>품2-15.</t>
  </si>
  <si>
    <t>품2-16.</t>
  </si>
  <si>
    <t>품2-17.</t>
  </si>
  <si>
    <t>전류차동방식, 1T/L</t>
    <phoneticPr fontId="4" type="noConversion"/>
  </si>
  <si>
    <t xml:space="preserve">  광전송유니트 특성시험</t>
    <phoneticPr fontId="6" type="noConversion"/>
  </si>
  <si>
    <t>광전송유니트(A)</t>
    <phoneticPr fontId="6" type="noConversion"/>
  </si>
  <si>
    <t>송변전용 광단말장치용 광전송유니트설치</t>
    <phoneticPr fontId="6" type="noConversion"/>
  </si>
  <si>
    <t>ST-ST -MM-4C, 80m</t>
    <phoneticPr fontId="11" type="noConversion"/>
  </si>
  <si>
    <t>구 분</t>
  </si>
  <si>
    <t>설 비</t>
  </si>
  <si>
    <t>PITR</t>
  </si>
  <si>
    <t>SCADA</t>
  </si>
  <si>
    <t>FA</t>
  </si>
  <si>
    <t>무인</t>
  </si>
  <si>
    <t>보안</t>
  </si>
  <si>
    <t>OA</t>
  </si>
  <si>
    <t>인터넷</t>
  </si>
  <si>
    <t>IoT</t>
  </si>
  <si>
    <t>예비</t>
  </si>
  <si>
    <t>○ 파장별 수용설비</t>
    <phoneticPr fontId="60" type="noConversion"/>
  </si>
  <si>
    <t>LS SW</t>
    <phoneticPr fontId="60" type="noConversion"/>
  </si>
  <si>
    <t>10-1.  송변전용 광단말장치 구성도</t>
    <phoneticPr fontId="6" type="noConversion"/>
  </si>
  <si>
    <t>PIU~OFD 성단용</t>
    <phoneticPr fontId="11" type="noConversion"/>
  </si>
  <si>
    <t>과목별 예산내역</t>
    <phoneticPr fontId="60" type="noConversion"/>
  </si>
  <si>
    <t>전류차동방식, 1T/L, 단거리</t>
    <phoneticPr fontId="4" type="noConversion"/>
  </si>
  <si>
    <t>1대/신설개소</t>
    <phoneticPr fontId="6" type="noConversion"/>
  </si>
  <si>
    <t>1개/2C당</t>
    <phoneticPr fontId="6" type="noConversion"/>
  </si>
  <si>
    <t>1개/1C당</t>
    <phoneticPr fontId="6" type="noConversion"/>
  </si>
  <si>
    <t>1개/광케이블 50m당,굴곡부,단말측</t>
    <phoneticPr fontId="6" type="noConversion"/>
  </si>
  <si>
    <t>셋트앙카(STS)</t>
    <phoneticPr fontId="6" type="noConversion"/>
  </si>
  <si>
    <t>통품3-7-1</t>
  </si>
  <si>
    <t>통품4-1-2-2</t>
  </si>
  <si>
    <t>통품4-1-1.</t>
  </si>
  <si>
    <t>통품4-1-2-1</t>
  </si>
  <si>
    <t>코아</t>
  </si>
  <si>
    <t>13-71코아</t>
  </si>
  <si>
    <t>최종시험</t>
  </si>
  <si>
    <t>압착단자</t>
  </si>
  <si>
    <t>OFD셀프 설치</t>
    <phoneticPr fontId="6" type="noConversion"/>
  </si>
  <si>
    <t>FOFC-SM-24C, FOFC-SM-48C</t>
    <phoneticPr fontId="6" type="noConversion"/>
  </si>
  <si>
    <t>광케이블 국내성단</t>
    <phoneticPr fontId="6" type="noConversion"/>
  </si>
  <si>
    <t>광케이블 측정 및 시험</t>
    <phoneticPr fontId="6" type="noConversion"/>
  </si>
  <si>
    <t>케이블 명찰 취부</t>
    <phoneticPr fontId="6" type="noConversion"/>
  </si>
  <si>
    <t>접지선 포설</t>
    <phoneticPr fontId="6" type="noConversion"/>
  </si>
  <si>
    <t>OJC-MM 4C, ST-ST, 3M</t>
    <phoneticPr fontId="11" type="noConversion"/>
  </si>
  <si>
    <t>LAN,PIA</t>
    <phoneticPr fontId="6" type="noConversion"/>
  </si>
  <si>
    <t>PtoP(120단자) : QDF(IDF) [2단자*12T]*2(Tx,Rx)=48, VDF [6단자*4CH]*2(in,out)=48, MDF [6단자*4CH]=24</t>
    <phoneticPr fontId="11" type="noConversion"/>
  </si>
  <si>
    <t>PtoP(48P) : QDF(IDF) [12T]*2(Tx,Rx)=24, VDF [3P*4CH]=12, MDF [3P*4CH]=12</t>
    <phoneticPr fontId="11" type="noConversion"/>
  </si>
  <si>
    <t>D=</t>
    <phoneticPr fontId="60" type="noConversion"/>
  </si>
  <si>
    <t>(17.8 * 44 * 26.7)/(1000*4.4)</t>
    <phoneticPr fontId="60" type="noConversion"/>
  </si>
  <si>
    <t>=</t>
    <phoneticPr fontId="60" type="noConversion"/>
  </si>
  <si>
    <t>1.25G X 8파장, 40㎞용 광전송유니트, CWDM Transmit &amp; Receive Unit</t>
    <phoneticPr fontId="6" type="noConversion"/>
  </si>
  <si>
    <t>1.25G X 8파장, 100㎞용 광전송유니트, CWDM Transmit &amp; Receive Unit</t>
    <phoneticPr fontId="6" type="noConversion"/>
  </si>
  <si>
    <t>1.25G X 8파장, 200㎞용 광전송유니트, CWDM Transmit &amp; Receive Unit</t>
    <phoneticPr fontId="6" type="noConversion"/>
  </si>
  <si>
    <t>운용 제어 유니트, Main Control Unit</t>
    <phoneticPr fontId="6" type="noConversion"/>
  </si>
  <si>
    <t>DS-1/E 수용 유니트(12CH),
 Line Interface Unit</t>
    <phoneticPr fontId="6" type="noConversion"/>
  </si>
  <si>
    <t>계통보호신호 수용 유니트(1CH), 
Protective Information Unit</t>
    <phoneticPr fontId="6" type="noConversion"/>
  </si>
  <si>
    <t>주셀프 ∼ 확장셀프간 연결 유니트, Extension Concentraion Unit</t>
    <phoneticPr fontId="6" type="noConversion"/>
  </si>
  <si>
    <t>1T/L당 2EA, 단거리(or 345) 1T/L당 4EA</t>
    <phoneticPr fontId="6" type="noConversion"/>
  </si>
  <si>
    <t>사급(구형)</t>
    <phoneticPr fontId="60" type="noConversion"/>
  </si>
  <si>
    <t>충전기 48V 출력전원</t>
    <phoneticPr fontId="6" type="noConversion"/>
  </si>
  <si>
    <t>밧데리함체(3)</t>
    <phoneticPr fontId="6" type="noConversion"/>
  </si>
  <si>
    <t>주장치(RSGM)</t>
    <phoneticPr fontId="60" type="noConversion"/>
  </si>
  <si>
    <t>주장치(RSGM)용 LAN</t>
    <phoneticPr fontId="6" type="noConversion"/>
  </si>
  <si>
    <t>허브(FA,POE)</t>
    <phoneticPr fontId="6" type="noConversion"/>
  </si>
  <si>
    <t>▣ LAN설비 (HUB, NAC, EPIA, SCADA 1식)</t>
    <phoneticPr fontId="60" type="noConversion"/>
  </si>
  <si>
    <t>광모뎀 전원2중화 장치</t>
  </si>
  <si>
    <t>디지털 스카다용</t>
  </si>
  <si>
    <t>EPIA</t>
    <phoneticPr fontId="6" type="noConversion"/>
  </si>
  <si>
    <t>1조</t>
    <phoneticPr fontId="60" type="noConversion"/>
  </si>
  <si>
    <t>광모뎀</t>
    <phoneticPr fontId="60" type="noConversion"/>
  </si>
  <si>
    <t>2열*1조</t>
    <phoneticPr fontId="6" type="noConversion"/>
  </si>
  <si>
    <t>6T/L * 1개</t>
    <phoneticPr fontId="19" type="noConversion"/>
  </si>
  <si>
    <t>LAN(HUB),확장셀프</t>
    <phoneticPr fontId="60" type="noConversion"/>
  </si>
  <si>
    <t>LAN 구성(NMS,확장)</t>
    <phoneticPr fontId="60" type="noConversion"/>
  </si>
  <si>
    <t>FR-CVVS 16SQ/4C</t>
  </si>
  <si>
    <t>FR-CVVS 16SQ/3C</t>
  </si>
  <si>
    <t>FR-CVVS 16SQ/2C</t>
  </si>
  <si>
    <t>사급분</t>
  </si>
  <si>
    <t>LAN 8P, Serial 16port</t>
  </si>
  <si>
    <t>거리 * 2열 * 1조</t>
    <phoneticPr fontId="11" type="noConversion"/>
  </si>
  <si>
    <t>345 BUS 보호 PNL</t>
    <phoneticPr fontId="11" type="noConversion"/>
  </si>
  <si>
    <t>154 BUS 보호 PNL</t>
    <phoneticPr fontId="11" type="noConversion"/>
  </si>
  <si>
    <t>345 BFP PNL</t>
    <phoneticPr fontId="11" type="noConversion"/>
  </si>
  <si>
    <t>345T/L 보호 PNL</t>
    <phoneticPr fontId="11" type="noConversion"/>
  </si>
  <si>
    <t>154T/L 보호 PNL</t>
    <phoneticPr fontId="11" type="noConversion"/>
  </si>
  <si>
    <t>케이블 보호(BFP PNL)</t>
    <phoneticPr fontId="11" type="noConversion"/>
  </si>
  <si>
    <t>BFP PNL</t>
    <phoneticPr fontId="11" type="noConversion"/>
  </si>
  <si>
    <t>PDAS LAN 커넥터</t>
    <phoneticPr fontId="6" type="noConversion"/>
  </si>
  <si>
    <t>PDAS serial 커넥터</t>
    <phoneticPr fontId="6" type="noConversion"/>
  </si>
  <si>
    <t>1열 *1조</t>
    <phoneticPr fontId="6" type="noConversion"/>
  </si>
  <si>
    <t>LAN Rack</t>
    <phoneticPr fontId="6" type="noConversion"/>
  </si>
  <si>
    <t>도급분</t>
    <phoneticPr fontId="6" type="noConversion"/>
  </si>
  <si>
    <t>IP계통운영통신시스템 실장용</t>
    <phoneticPr fontId="11" type="noConversion"/>
  </si>
  <si>
    <t>주장치(RSGM) WAN용</t>
    <phoneticPr fontId="11" type="noConversion"/>
  </si>
  <si>
    <t>주장치(RSGM)</t>
    <phoneticPr fontId="11" type="noConversion"/>
  </si>
  <si>
    <t>주장치(RSGM)</t>
    <phoneticPr fontId="6" type="noConversion"/>
  </si>
  <si>
    <t>BUS PNL RY 정보수집</t>
    <phoneticPr fontId="11" type="noConversion"/>
  </si>
  <si>
    <t>BFP PNL RY 정보수집</t>
    <phoneticPr fontId="11" type="noConversion"/>
  </si>
  <si>
    <t>재사용 50%</t>
    <phoneticPr fontId="6" type="noConversion"/>
  </si>
  <si>
    <t>1) PTP(유니트 취부) 철거</t>
    <phoneticPr fontId="6" type="noConversion"/>
  </si>
  <si>
    <t>유니트 철거</t>
    <phoneticPr fontId="6" type="noConversion"/>
  </si>
  <si>
    <t xml:space="preserve"> 2개*6개소 </t>
    <phoneticPr fontId="11" type="noConversion"/>
  </si>
  <si>
    <t xml:space="preserve"> 3개*4개소 </t>
    <phoneticPr fontId="11" type="noConversion"/>
  </si>
  <si>
    <t>6SQ/2C, 3열</t>
    <phoneticPr fontId="4" type="noConversion"/>
  </si>
  <si>
    <t>CAT.5 4Pr,5열</t>
    <phoneticPr fontId="4" type="noConversion"/>
  </si>
  <si>
    <t>5열 동시 : 420%</t>
    <phoneticPr fontId="4" type="noConversion"/>
  </si>
  <si>
    <t>SC/PC(APC)↔SC/APC,B.O 1C</t>
    <phoneticPr fontId="6" type="noConversion"/>
  </si>
  <si>
    <t>700(W)*600(D)*2350(H)
3.2T, 5Y 7/1</t>
    <phoneticPr fontId="11" type="noConversion"/>
  </si>
  <si>
    <t>송광치 랙</t>
    <phoneticPr fontId="60" type="noConversion"/>
  </si>
  <si>
    <t>주셀프 1대</t>
    <phoneticPr fontId="60" type="noConversion"/>
  </si>
  <si>
    <t>단자대 랙</t>
    <phoneticPr fontId="60" type="noConversion"/>
  </si>
  <si>
    <t>IDF 랙</t>
    <phoneticPr fontId="60" type="noConversion"/>
  </si>
  <si>
    <t>단자대</t>
    <phoneticPr fontId="60" type="noConversion"/>
  </si>
  <si>
    <t>허브</t>
    <phoneticPr fontId="60" type="noConversion"/>
  </si>
  <si>
    <t>EPIA</t>
    <phoneticPr fontId="60" type="noConversion"/>
  </si>
  <si>
    <t>디지털스카다 광모뎀</t>
    <phoneticPr fontId="60" type="noConversion"/>
  </si>
  <si>
    <t>디지털스카다 UTM</t>
    <phoneticPr fontId="60" type="noConversion"/>
  </si>
  <si>
    <t>UPS용, 내진랙(19")</t>
    <phoneticPr fontId="11" type="noConversion"/>
  </si>
  <si>
    <t>충전기용, 내진랙(19")</t>
    <phoneticPr fontId="11" type="noConversion"/>
  </si>
  <si>
    <t>DC 전원 분배반</t>
    <phoneticPr fontId="60" type="noConversion"/>
  </si>
  <si>
    <t>1조</t>
    <phoneticPr fontId="60" type="noConversion"/>
  </si>
  <si>
    <t>ST-ST -MM-4C, 65m</t>
    <phoneticPr fontId="11" type="noConversion"/>
  </si>
  <si>
    <t>ST-ST -MM-4C, 70m</t>
    <phoneticPr fontId="11" type="noConversion"/>
  </si>
  <si>
    <t>ST-ST -MM-4C, 75m</t>
    <phoneticPr fontId="11" type="noConversion"/>
  </si>
  <si>
    <t>19"-단자대 내진랙</t>
    <phoneticPr fontId="6" type="noConversion"/>
  </si>
  <si>
    <t>19" RACK(LAN/내진)</t>
    <phoneticPr fontId="6" type="noConversion"/>
  </si>
  <si>
    <t>경하중,LAN,내진, 600(W)*750(D)*2000(H)</t>
    <phoneticPr fontId="6" type="noConversion"/>
  </si>
  <si>
    <t>경하중,IP,내진, 600(W)*750(D)*2000(H)</t>
    <phoneticPr fontId="11" type="noConversion"/>
  </si>
  <si>
    <t>경하중,IDF,내진, 600(W)*750(D)*2000(H)</t>
    <phoneticPr fontId="6" type="noConversion"/>
  </si>
  <si>
    <t>19" RACK(IDF/내진)</t>
    <phoneticPr fontId="6" type="noConversion"/>
  </si>
  <si>
    <t>48V 분배용</t>
    <phoneticPr fontId="6" type="noConversion"/>
  </si>
  <si>
    <t xml:space="preserve"> </t>
    <phoneticPr fontId="60" type="noConversion"/>
  </si>
  <si>
    <t>LIU(LIU-DS) 출력</t>
    <phoneticPr fontId="60" type="noConversion"/>
  </si>
  <si>
    <t>사급(LIU)</t>
    <phoneticPr fontId="60" type="noConversion"/>
  </si>
  <si>
    <t>주셀프(L3SW)</t>
    <phoneticPr fontId="60" type="noConversion"/>
  </si>
  <si>
    <t>PTP</t>
    <phoneticPr fontId="60" type="noConversion"/>
  </si>
  <si>
    <t>주장치, PTP, L3 SW, 확장셀프용</t>
    <phoneticPr fontId="6" type="noConversion"/>
  </si>
  <si>
    <t>ST-ST -MM-4C, 85m</t>
    <phoneticPr fontId="11" type="noConversion"/>
  </si>
  <si>
    <t>ST-ST -MM-4C, 90m</t>
    <phoneticPr fontId="11" type="noConversion"/>
  </si>
  <si>
    <t>ST-ST -MM-4C, 95m</t>
    <phoneticPr fontId="11" type="noConversion"/>
  </si>
  <si>
    <t>단자대 실장용</t>
    <phoneticPr fontId="6" type="noConversion"/>
  </si>
  <si>
    <t>단자대 용</t>
    <phoneticPr fontId="6" type="noConversion"/>
  </si>
  <si>
    <t>인력견인포설(관로,구내),야간</t>
  </si>
  <si>
    <t>야간(노임할증 50%, 품할증 25%)</t>
  </si>
  <si>
    <t>식별표시용,야간</t>
  </si>
  <si>
    <t>문서 20190729 아인(네트)-1550 송변전광단말장치 표준품셈 및 시설기준 변경 알림</t>
    <phoneticPr fontId="6" type="noConversion"/>
  </si>
  <si>
    <t>다. 장비설정 및 상태확인 시험</t>
    <phoneticPr fontId="6" type="noConversion"/>
  </si>
  <si>
    <t>라. 광전송유니트 특성시험</t>
    <phoneticPr fontId="6" type="noConversion"/>
  </si>
  <si>
    <t>마. Ethernet 회선구성 시험</t>
    <phoneticPr fontId="6" type="noConversion"/>
  </si>
  <si>
    <t>바. 장비특성 및 대국시험</t>
    <phoneticPr fontId="6" type="noConversion"/>
  </si>
  <si>
    <t>송광치/IDF/단자/PITR 랙 설치</t>
    <phoneticPr fontId="6" type="noConversion"/>
  </si>
  <si>
    <t>CTRU 2매 및 8파장 기준</t>
    <phoneticPr fontId="6" type="noConversion"/>
  </si>
  <si>
    <t>라. 장비설정 및 상태확인 시험</t>
    <phoneticPr fontId="6" type="noConversion"/>
  </si>
  <si>
    <t xml:space="preserve">  4) 장비특성 및 대국시험</t>
    <phoneticPr fontId="6" type="noConversion"/>
  </si>
  <si>
    <t>통4-2-2</t>
    <phoneticPr fontId="6" type="noConversion"/>
  </si>
  <si>
    <t>마. 대국간 송수신 상태 확인</t>
    <phoneticPr fontId="6" type="noConversion"/>
  </si>
  <si>
    <t>내부배선 및 기타결선</t>
    <phoneticPr fontId="6" type="noConversion"/>
  </si>
  <si>
    <t>인력견인포설(관로,구내),주간</t>
    <phoneticPr fontId="6" type="noConversion"/>
  </si>
  <si>
    <t>식별표시용,주간</t>
    <phoneticPr fontId="6" type="noConversion"/>
  </si>
  <si>
    <t>LIU(48단자) : QDF(IDF) [2단자*12T]*2(Tx,Rx)=48,              LIU-DS(80단자) : QDF(IDF) [2단자*20T]*2(Tx,Rx)=80</t>
    <phoneticPr fontId="11" type="noConversion"/>
  </si>
  <si>
    <t>LIU-DS</t>
    <phoneticPr fontId="11" type="noConversion"/>
  </si>
  <si>
    <t>디지털 SCADA 집선장치, DS-1E 20CH, Ethernet 6CH</t>
    <phoneticPr fontId="6" type="noConversion"/>
  </si>
  <si>
    <t>SCADA회선구성용</t>
    <phoneticPr fontId="6" type="noConversion"/>
  </si>
  <si>
    <t>ㅇ 변전 인터락 접점 수용예정</t>
  </si>
  <si>
    <t>LAN 랙/일</t>
    <phoneticPr fontId="60" type="noConversion"/>
  </si>
  <si>
    <t>디지털스카다 NAC</t>
    <phoneticPr fontId="60" type="noConversion"/>
  </si>
  <si>
    <t>사급(LIU1)</t>
    <phoneticPr fontId="60" type="noConversion"/>
  </si>
  <si>
    <t>LAN/일 랙</t>
    <phoneticPr fontId="6" type="noConversion"/>
  </si>
  <si>
    <t>2열*2조</t>
    <phoneticPr fontId="6" type="noConversion"/>
  </si>
  <si>
    <t>송광치</t>
    <phoneticPr fontId="6" type="noConversion"/>
  </si>
  <si>
    <t>L3스위치, HUB</t>
    <phoneticPr fontId="6" type="noConversion"/>
  </si>
  <si>
    <t>L3스위치</t>
    <phoneticPr fontId="60" type="noConversion"/>
  </si>
  <si>
    <t>L3스위치</t>
    <phoneticPr fontId="6" type="noConversion"/>
  </si>
  <si>
    <t>허브(FA, IP계통)</t>
    <phoneticPr fontId="6" type="noConversion"/>
  </si>
  <si>
    <t>LAN 랙/스</t>
    <phoneticPr fontId="60" type="noConversion"/>
  </si>
  <si>
    <t>통신메인접지</t>
    <phoneticPr fontId="60" type="noConversion"/>
  </si>
  <si>
    <t>19" RACK(MDF/내진)</t>
    <phoneticPr fontId="6" type="noConversion"/>
  </si>
  <si>
    <t>경하중,MDF,내진, 600(W)*750(D)*2000(H)</t>
    <phoneticPr fontId="6" type="noConversion"/>
  </si>
  <si>
    <t>채널급 수용</t>
    <phoneticPr fontId="6" type="noConversion"/>
  </si>
  <si>
    <t>FADP</t>
    <phoneticPr fontId="60" type="noConversion"/>
  </si>
  <si>
    <t>19" RACK(IP/내진)</t>
    <phoneticPr fontId="11" type="noConversion"/>
  </si>
  <si>
    <t>유니트 실장</t>
    <phoneticPr fontId="6" type="noConversion"/>
  </si>
  <si>
    <t>확장셀프, PIU관련 케이블</t>
    <phoneticPr fontId="6" type="noConversion"/>
  </si>
  <si>
    <t>PIA, PDAS, MDF 랙 설치</t>
    <phoneticPr fontId="6" type="noConversion"/>
  </si>
  <si>
    <t>통6-3-7</t>
    <phoneticPr fontId="6" type="noConversion"/>
  </si>
  <si>
    <t>￠13㎜ 이하</t>
    <phoneticPr fontId="4" type="noConversion"/>
  </si>
  <si>
    <t>20년 상반기  개정분 반영</t>
    <phoneticPr fontId="6" type="noConversion"/>
  </si>
  <si>
    <t>20년 상반기 개정분 반영</t>
    <phoneticPr fontId="6" type="noConversion"/>
  </si>
  <si>
    <t>송변전광단말 원격지용 PtoP 장치</t>
    <phoneticPr fontId="6" type="noConversion"/>
  </si>
  <si>
    <t>구형 PTP용</t>
    <phoneticPr fontId="6" type="noConversion"/>
  </si>
  <si>
    <t>신형 PTP용</t>
    <phoneticPr fontId="6" type="noConversion"/>
  </si>
  <si>
    <t>챔프케이블(송광치)</t>
    <phoneticPr fontId="11" type="noConversion"/>
  </si>
  <si>
    <t>신형 PTP+구형PTP용 포함</t>
    <phoneticPr fontId="6" type="noConversion"/>
  </si>
  <si>
    <t>사급(신1)</t>
    <phoneticPr fontId="60" type="noConversion"/>
  </si>
  <si>
    <t>케이블보호(ICT실 출입문용)</t>
    <phoneticPr fontId="60" type="noConversion"/>
  </si>
  <si>
    <t>ST-ST -MM-4C, 50m</t>
    <phoneticPr fontId="11" type="noConversion"/>
  </si>
  <si>
    <t>ST-ST -MM-4C, 60m</t>
    <phoneticPr fontId="11" type="noConversion"/>
  </si>
  <si>
    <t>CH-SM-15(송광치)</t>
    <phoneticPr fontId="6" type="noConversion"/>
  </si>
  <si>
    <t>1. 간접노무비</t>
    <phoneticPr fontId="95" type="noConversion"/>
  </si>
  <si>
    <t>공사규모</t>
    <phoneticPr fontId="6" type="noConversion"/>
  </si>
  <si>
    <t>공사기간</t>
    <phoneticPr fontId="6" type="noConversion"/>
  </si>
  <si>
    <t>적  용  기  준</t>
    <phoneticPr fontId="95" type="noConversion"/>
  </si>
  <si>
    <t>50억 미만</t>
    <phoneticPr fontId="95" type="noConversion"/>
  </si>
  <si>
    <t>6개월 이하 (183일)</t>
    <phoneticPr fontId="95" type="noConversion"/>
  </si>
  <si>
    <t>직접노무비×적용율</t>
    <phoneticPr fontId="6" type="noConversion"/>
  </si>
  <si>
    <t>7-12개월 (365일)</t>
    <phoneticPr fontId="95" type="noConversion"/>
  </si>
  <si>
    <t>13-36개월 (1095일)</t>
    <phoneticPr fontId="95" type="noConversion"/>
  </si>
  <si>
    <t>36개월 이상 (1096일)</t>
    <phoneticPr fontId="95" type="noConversion"/>
  </si>
  <si>
    <t>50억 이상</t>
    <phoneticPr fontId="6" type="noConversion"/>
  </si>
  <si>
    <t>조달청 발표자료 참조(공사규모별, 기간별 적용율)</t>
    <phoneticPr fontId="6" type="noConversion"/>
  </si>
  <si>
    <t xml:space="preserve">    ☞ 공사규모별 적용기준 : 도급재료비 + 노무비 + 경비</t>
    <phoneticPr fontId="95" type="noConversion"/>
  </si>
  <si>
    <t xml:space="preserve">    ☞ 계상금액 : 직접노무비 × 적용율</t>
    <phoneticPr fontId="95" type="noConversion"/>
  </si>
  <si>
    <t xml:space="preserve">    ☞ 적 용 율 :  </t>
    <phoneticPr fontId="95" type="noConversion"/>
  </si>
  <si>
    <t>2. 경    비</t>
    <phoneticPr fontId="95" type="noConversion"/>
  </si>
  <si>
    <t xml:space="preserve"> 가. 공구손료</t>
    <phoneticPr fontId="95" type="noConversion"/>
  </si>
  <si>
    <t xml:space="preserve">    ☞ 계상금액 : 직접노무비(노임할증과 작업시간 증가에 의하지 않은 품할증 제외) × 3%</t>
    <phoneticPr fontId="95" type="noConversion"/>
  </si>
  <si>
    <t xml:space="preserve">    ☞ 대상공사 : 모든 건설공사(다만, 총공사금액[(도급금액+관급재료)에서 부가세 제외] 2천만원 미만의</t>
    <phoneticPr fontId="95" type="noConversion"/>
  </si>
  <si>
    <t xml:space="preserve">                  건설공사를 건설업자가 아닌 자가 시공시 적용제외</t>
    <phoneticPr fontId="95" type="noConversion"/>
  </si>
  <si>
    <t xml:space="preserve"> 다. 고용보험료</t>
    <phoneticPr fontId="95" type="noConversion"/>
  </si>
  <si>
    <t xml:space="preserve"> 라. 국민건강보험료(실적정산)</t>
    <phoneticPr fontId="95" type="noConversion"/>
  </si>
  <si>
    <t xml:space="preserve">    ☞ 대상공사 : 공사기간이 1개월이상인 공사</t>
    <phoneticPr fontId="95" type="noConversion"/>
  </si>
  <si>
    <t xml:space="preserve">    ☞ 계상금액 : 직접노무비 × 보험요율</t>
    <phoneticPr fontId="95" type="noConversion"/>
  </si>
  <si>
    <t xml:space="preserve"> 마. 국민연금보험료(실적정산)</t>
    <phoneticPr fontId="95" type="noConversion"/>
  </si>
  <si>
    <t xml:space="preserve"> 바. 퇴직공제가입금(실적정산)</t>
    <phoneticPr fontId="95" type="noConversion"/>
  </si>
  <si>
    <t xml:space="preserve">    ☞ 대상공사 : 추정금액이 1억원 이상인 공사</t>
    <phoneticPr fontId="95" type="noConversion"/>
  </si>
  <si>
    <t xml:space="preserve"> 사. 노인장기요양보험료  </t>
    <phoneticPr fontId="95" type="noConversion"/>
  </si>
  <si>
    <t xml:space="preserve">    ☞ 국민건강보험의 보험료 × 보험요율</t>
    <phoneticPr fontId="48" type="noConversion"/>
  </si>
  <si>
    <t>공사규모(대상액)별</t>
    <phoneticPr fontId="95" type="noConversion"/>
  </si>
  <si>
    <t>적    용    율[특수 및 기타 적용]</t>
    <phoneticPr fontId="95" type="noConversion"/>
  </si>
  <si>
    <t>4천만원 미만</t>
    <phoneticPr fontId="95" type="noConversion"/>
  </si>
  <si>
    <t xml:space="preserve">    ☞ 공사규모(대상액)별 적용기준 : 재료비(사급재료비 포함) + 직접노무비</t>
    <phoneticPr fontId="95" type="noConversion"/>
  </si>
  <si>
    <t xml:space="preserve">    ☞ 적 용 율 :  (사급재료비 제외시)</t>
    <phoneticPr fontId="95" type="noConversion"/>
  </si>
  <si>
    <t xml:space="preserve">    ☞ 적 용 율 :  (사급재료비 포함시)</t>
    <phoneticPr fontId="95" type="noConversion"/>
  </si>
  <si>
    <t>기준</t>
    <phoneticPr fontId="6" type="noConversion"/>
  </si>
  <si>
    <t>적용율</t>
    <phoneticPr fontId="6" type="noConversion"/>
  </si>
  <si>
    <t>(도급재료비+노무비) × 적용율</t>
    <phoneticPr fontId="6" type="noConversion"/>
  </si>
  <si>
    <t>비목</t>
    <phoneticPr fontId="6" type="noConversion"/>
  </si>
  <si>
    <t>구성비율</t>
    <phoneticPr fontId="6" type="noConversion"/>
  </si>
  <si>
    <t>수도광열비</t>
    <phoneticPr fontId="6" type="noConversion"/>
  </si>
  <si>
    <t>여비·교통·통신비</t>
    <phoneticPr fontId="6" type="noConversion"/>
  </si>
  <si>
    <t>복리후생비</t>
    <phoneticPr fontId="6" type="noConversion"/>
  </si>
  <si>
    <t>세금과 공과</t>
    <phoneticPr fontId="6" type="noConversion"/>
  </si>
  <si>
    <t>소모품비 및 사무용품비</t>
    <phoneticPr fontId="6" type="noConversion"/>
  </si>
  <si>
    <t>도서인쇄비</t>
    <phoneticPr fontId="6" type="noConversion"/>
  </si>
  <si>
    <t xml:space="preserve">    ☞ 계상금액 : (도급재료비 + 노무비) × 적용율</t>
    <phoneticPr fontId="95" type="noConversion"/>
  </si>
  <si>
    <t>3. 일반관리비</t>
    <phoneticPr fontId="95" type="noConversion"/>
  </si>
  <si>
    <t>공 사 규 모</t>
    <phoneticPr fontId="95" type="noConversion"/>
  </si>
  <si>
    <t>적용율 (전기, 통신, 소방 전문 적용)</t>
    <phoneticPr fontId="95" type="noConversion"/>
  </si>
  <si>
    <t>5억원 미만</t>
    <phoneticPr fontId="6" type="noConversion"/>
  </si>
  <si>
    <t>[지입재료비+노무비+도급분경비]×적용율</t>
    <phoneticPr fontId="95" type="noConversion"/>
  </si>
  <si>
    <t>5억원 이상 ~ 30억원 미만</t>
    <phoneticPr fontId="6" type="noConversion"/>
  </si>
  <si>
    <t>30억원 이상 ~ 100억원 미만</t>
    <phoneticPr fontId="6" type="noConversion"/>
  </si>
  <si>
    <t>100억원 이상</t>
    <phoneticPr fontId="6" type="noConversion"/>
  </si>
  <si>
    <t xml:space="preserve">    ☞ 공사규모별 적용기준 : 지입재료비 + 노무비 + 도급분경비</t>
    <phoneticPr fontId="95" type="noConversion"/>
  </si>
  <si>
    <t>4. 이   윤</t>
    <phoneticPr fontId="95" type="noConversion"/>
  </si>
  <si>
    <t>구        분</t>
    <phoneticPr fontId="95" type="noConversion"/>
  </si>
  <si>
    <t>공사규모(추정가격 기준)</t>
    <phoneticPr fontId="6" type="noConversion"/>
  </si>
  <si>
    <t>적용율</t>
    <phoneticPr fontId="95" type="noConversion"/>
  </si>
  <si>
    <t>경쟁계약</t>
    <phoneticPr fontId="95" type="noConversion"/>
  </si>
  <si>
    <t>50억원 미만</t>
    <phoneticPr fontId="6" type="noConversion"/>
  </si>
  <si>
    <t xml:space="preserve">  [노무비+경비(기술료,외주가공비 제외)+
   일반관리비]×적용율</t>
    <phoneticPr fontId="95" type="noConversion"/>
  </si>
  <si>
    <t>50억원 이상 ~ 300억원 미만</t>
    <phoneticPr fontId="6" type="noConversion"/>
  </si>
  <si>
    <t>300억원 이상 ~ 1000억원 미만</t>
    <phoneticPr fontId="6" type="noConversion"/>
  </si>
  <si>
    <t>1000억원 이상</t>
    <phoneticPr fontId="6" type="noConversion"/>
  </si>
  <si>
    <t>수의계약</t>
    <phoneticPr fontId="6" type="noConversion"/>
  </si>
  <si>
    <t>1000억원 미만</t>
    <phoneticPr fontId="6" type="noConversion"/>
  </si>
  <si>
    <t>F-GV 16SQ</t>
    <phoneticPr fontId="60" type="noConversion"/>
  </si>
  <si>
    <t>F-GV, 6SQ</t>
    <phoneticPr fontId="11" type="noConversion"/>
  </si>
  <si>
    <t>F-GV, 16SQ</t>
    <phoneticPr fontId="11" type="noConversion"/>
  </si>
  <si>
    <t>F-GV 6SQ</t>
    <phoneticPr fontId="60" type="noConversion"/>
  </si>
  <si>
    <t>F-GV 6SQ</t>
    <phoneticPr fontId="60" type="noConversion"/>
  </si>
  <si>
    <t>10㎟ 이하</t>
    <phoneticPr fontId="6" type="noConversion"/>
  </si>
  <si>
    <t>35㎟ 이하</t>
    <phoneticPr fontId="4" type="noConversion"/>
  </si>
  <si>
    <t>1억이상</t>
    <phoneticPr fontId="6" type="noConversion"/>
  </si>
  <si>
    <t>챔프케이블(구형 PTP)</t>
    <phoneticPr fontId="11" type="noConversion"/>
  </si>
  <si>
    <t>CH-SM-15(구형 PTP)</t>
    <phoneticPr fontId="6" type="noConversion"/>
  </si>
  <si>
    <t>결
재</t>
    <phoneticPr fontId="6" type="noConversion"/>
  </si>
  <si>
    <t>담 당</t>
    <phoneticPr fontId="6" type="noConversion"/>
  </si>
  <si>
    <t>차  장</t>
    <phoneticPr fontId="6" type="noConversion"/>
  </si>
  <si>
    <t>접지케이블</t>
  </si>
  <si>
    <r>
      <t xml:space="preserve"> 아. 산업안전보건관리비 : </t>
    </r>
    <r>
      <rPr>
        <sz val="9"/>
        <color rgb="FF0000FF"/>
        <rFont val="맑은 고딕"/>
        <family val="3"/>
        <charset val="129"/>
        <scheme val="minor"/>
      </rPr>
      <t>추정금액(총공사비) 2천만원이상 공사(사급자재 포함)</t>
    </r>
    <phoneticPr fontId="95" type="noConversion"/>
  </si>
  <si>
    <t>화물차운전사</t>
  </si>
  <si>
    <t>방수공</t>
  </si>
  <si>
    <t>내장공</t>
  </si>
  <si>
    <t>플랜트기계설치공</t>
  </si>
  <si>
    <t>바닥고정브라켓(평마루용)</t>
    <phoneticPr fontId="11" type="noConversion"/>
  </si>
  <si>
    <t>600*750*25</t>
    <phoneticPr fontId="11" type="noConversion"/>
  </si>
  <si>
    <t>Rack 고정(베이스플레이트 등)</t>
    <phoneticPr fontId="19" type="noConversion"/>
  </si>
  <si>
    <t>바닥고정브라켓(평마루용,600*750*25)</t>
    <phoneticPr fontId="60" type="noConversion"/>
  </si>
  <si>
    <t>LNA 랙</t>
    <phoneticPr fontId="60" type="noConversion"/>
  </si>
  <si>
    <t>Rack 고정</t>
    <phoneticPr fontId="6" type="noConversion"/>
  </si>
  <si>
    <t>PIA DI카드</t>
    <phoneticPr fontId="6" type="noConversion"/>
  </si>
  <si>
    <t>DI 8PORT</t>
    <phoneticPr fontId="6" type="noConversion"/>
  </si>
  <si>
    <t>구형 PIA DI카드</t>
    <phoneticPr fontId="6" type="noConversion"/>
  </si>
  <si>
    <t>PIA실장</t>
    <phoneticPr fontId="6" type="noConversion"/>
  </si>
  <si>
    <t>증설개소 1매</t>
    <phoneticPr fontId="6" type="noConversion"/>
  </si>
  <si>
    <t>매</t>
    <phoneticPr fontId="6" type="noConversion"/>
  </si>
  <si>
    <t>ST-ST -MM-4C, 55m</t>
    <phoneticPr fontId="11" type="noConversion"/>
  </si>
  <si>
    <t>[ 추정금액(d=(a+b)*1.1) ]</t>
  </si>
  <si>
    <t>d=(a+b)*1.1</t>
    <phoneticPr fontId="60" type="noConversion"/>
  </si>
  <si>
    <t>추정가격(a)</t>
    <phoneticPr fontId="6" type="noConversion"/>
  </si>
  <si>
    <t>추정금액(d)</t>
    <phoneticPr fontId="6" type="noConversion"/>
  </si>
  <si>
    <t>회사분(b)</t>
    <phoneticPr fontId="6" type="noConversion"/>
  </si>
  <si>
    <t>추정금액[(a+b)*1.1]</t>
    <phoneticPr fontId="6" type="noConversion"/>
  </si>
  <si>
    <t xml:space="preserve">  나. 회  사  분       [a]   : </t>
    <phoneticPr fontId="49" type="noConversion"/>
  </si>
  <si>
    <t xml:space="preserve">  다. 추정가격        [b]   :</t>
    <phoneticPr fontId="49" type="noConversion"/>
  </si>
  <si>
    <t xml:space="preserve">  라. 추정가격VAT   [c]   : </t>
    <phoneticPr fontId="49" type="noConversion"/>
  </si>
  <si>
    <t xml:space="preserve">  가. 추정금액[(a+b)*1.1] :</t>
    <phoneticPr fontId="49" type="noConversion"/>
  </si>
  <si>
    <t>[(a+b)*1.1, VAT포함]</t>
    <phoneticPr fontId="28" type="noConversion"/>
  </si>
  <si>
    <t>추정가격 VAT( c )</t>
    <phoneticPr fontId="6" type="noConversion"/>
  </si>
  <si>
    <t>총공사비( E )</t>
    <phoneticPr fontId="6" type="noConversion"/>
  </si>
  <si>
    <t>통품11-5-1 해8</t>
  </si>
  <si>
    <t>1800㎠이하, 노출, 벽면</t>
    <phoneticPr fontId="4" type="noConversion"/>
  </si>
  <si>
    <t>통12-2-1</t>
    <phoneticPr fontId="6" type="noConversion"/>
  </si>
  <si>
    <t xml:space="preserve">   나. 산재보험료(노무비*3.763%)</t>
    <phoneticPr fontId="6" type="noConversion"/>
  </si>
  <si>
    <t xml:space="preserve">   라. 국민건강보험료(직접노무비*3.43%)</t>
    <phoneticPr fontId="6" type="noConversion"/>
  </si>
  <si>
    <t xml:space="preserve">   바. 노인장기요양보험료(건강보험료*11.52%)</t>
    <phoneticPr fontId="6" type="noConversion"/>
  </si>
  <si>
    <t>※ 참고자료 (기타 경비의 구성항목별 비율) : [자재(계)52402-5923('11.12.29), 자재(공사)-9('21.1.4)]</t>
    <phoneticPr fontId="6" type="noConversion"/>
  </si>
  <si>
    <t>LIU 2매</t>
    <phoneticPr fontId="60" type="noConversion"/>
  </si>
  <si>
    <t>PIU IDF</t>
    <phoneticPr fontId="6" type="noConversion"/>
  </si>
  <si>
    <t>2CH, 1U, 19"랙 실장, LINE LOOP기능</t>
    <phoneticPr fontId="6" type="noConversion"/>
  </si>
  <si>
    <t>PIU GMU, 인터록, ARM, E1, G703 단자대</t>
    <phoneticPr fontId="6" type="noConversion"/>
  </si>
  <si>
    <t>단자대랙 거치</t>
    <phoneticPr fontId="6" type="noConversion"/>
  </si>
  <si>
    <t>PIU 2SET당 1EA</t>
    <phoneticPr fontId="6" type="noConversion"/>
  </si>
  <si>
    <t>광케이블</t>
    <phoneticPr fontId="6" type="noConversion"/>
  </si>
  <si>
    <t>FOFC-MM-48C</t>
    <phoneticPr fontId="6" type="noConversion"/>
  </si>
  <si>
    <t>ICT실 OFD</t>
    <phoneticPr fontId="19" type="noConversion"/>
  </si>
  <si>
    <t>현장제어동 OFD</t>
    <phoneticPr fontId="19" type="noConversion"/>
  </si>
  <si>
    <t>PIU(POE Type)/보호배전반 모듈</t>
    <phoneticPr fontId="19" type="noConversion"/>
  </si>
  <si>
    <t>OFD(ICT실/현장제어동)</t>
    <phoneticPr fontId="19" type="noConversion"/>
  </si>
  <si>
    <t>광점퍼코드 보호[PIU/보호배전반~OFD]</t>
    <phoneticPr fontId="19" type="noConversion"/>
  </si>
  <si>
    <t>ST(SC)-ST -MM-4C</t>
    <phoneticPr fontId="11" type="noConversion"/>
  </si>
  <si>
    <t>1.5SQ/4C 4열</t>
    <phoneticPr fontId="4" type="noConversion"/>
  </si>
  <si>
    <t>1.5SQ/4C 1열</t>
    <phoneticPr fontId="4" type="noConversion"/>
  </si>
  <si>
    <t>1.5SQ/2C 1열</t>
    <phoneticPr fontId="4" type="noConversion"/>
  </si>
  <si>
    <t>1.5SQ/2C 4열</t>
    <phoneticPr fontId="4" type="noConversion"/>
  </si>
  <si>
    <t>1.5SQ/4C 2열</t>
    <phoneticPr fontId="4" type="noConversion"/>
  </si>
  <si>
    <t>1.5SQ/2C 2열</t>
    <phoneticPr fontId="4" type="noConversion"/>
  </si>
  <si>
    <t>4. 재       원</t>
    <phoneticPr fontId="35" type="noConversion"/>
  </si>
  <si>
    <t>확장셀프 1대</t>
    <phoneticPr fontId="60" type="noConversion"/>
  </si>
  <si>
    <t>LIU용 IDF</t>
    <phoneticPr fontId="60" type="noConversion"/>
  </si>
  <si>
    <t>PTP용 IDF</t>
    <phoneticPr fontId="60" type="noConversion"/>
  </si>
  <si>
    <t>FDF</t>
    <phoneticPr fontId="60" type="noConversion"/>
  </si>
  <si>
    <t>PIU용 IDF</t>
    <phoneticPr fontId="60" type="noConversion"/>
  </si>
  <si>
    <t>AC/DC컨버터</t>
    <phoneticPr fontId="60" type="noConversion"/>
  </si>
  <si>
    <t>DC/DC컨버터</t>
    <phoneticPr fontId="60" type="noConversion"/>
  </si>
  <si>
    <t>ST-ST -MM-4C, 15m</t>
    <phoneticPr fontId="11" type="noConversion"/>
  </si>
  <si>
    <t>ST-ST -MM-4C, 40m</t>
    <phoneticPr fontId="11" type="noConversion"/>
  </si>
  <si>
    <t>ST-ST -MM-4C, 35m</t>
    <phoneticPr fontId="11" type="noConversion"/>
  </si>
  <si>
    <t xml:space="preserve"> 나. 산재보험료</t>
    <phoneticPr fontId="95" type="noConversion"/>
  </si>
  <si>
    <t xml:space="preserve">   자. 기타경비(지입재료비+노무비)*4.6%</t>
    <phoneticPr fontId="6" type="noConversion"/>
  </si>
  <si>
    <t>국민건강보험료*11.52%</t>
    <phoneticPr fontId="6" type="noConversion"/>
  </si>
  <si>
    <t>노무비*3.763%</t>
    <phoneticPr fontId="6" type="noConversion"/>
  </si>
  <si>
    <t>AC/DC컨버터</t>
    <phoneticPr fontId="60" type="noConversion"/>
  </si>
  <si>
    <t>DC/DC컨버터</t>
    <phoneticPr fontId="60" type="noConversion"/>
  </si>
  <si>
    <t>LAN/일반 랙</t>
    <phoneticPr fontId="60" type="noConversion"/>
  </si>
  <si>
    <t>LAN/스카다 랙</t>
    <phoneticPr fontId="60" type="noConversion"/>
  </si>
  <si>
    <t>AC/DC 48V 변환, 분배용</t>
    <phoneticPr fontId="6" type="noConversion"/>
  </si>
  <si>
    <t>LAN/스카다 랙</t>
    <phoneticPr fontId="6" type="noConversion"/>
  </si>
  <si>
    <t>LAN/일반 랙</t>
    <phoneticPr fontId="6" type="noConversion"/>
  </si>
  <si>
    <t>DC 48V 분배용</t>
    <phoneticPr fontId="6" type="noConversion"/>
  </si>
  <si>
    <t>송변전광단말장치랙용, AC220V to DC48V</t>
    <phoneticPr fontId="6" type="noConversion"/>
  </si>
  <si>
    <t>PADPA</t>
    <phoneticPr fontId="6" type="noConversion"/>
  </si>
  <si>
    <t>PADPB</t>
    <phoneticPr fontId="6" type="noConversion"/>
  </si>
  <si>
    <t>송변전광단말장치랙용, DC48V to DC48V</t>
    <phoneticPr fontId="6" type="noConversion"/>
  </si>
  <si>
    <t>PADP, FADP 설치</t>
    <phoneticPr fontId="6" type="noConversion"/>
  </si>
  <si>
    <t>AC220V/DC48V</t>
    <phoneticPr fontId="6" type="noConversion"/>
  </si>
  <si>
    <t>10-7. 송변전광단말 케이블 포설 LIST</t>
    <phoneticPr fontId="60" type="noConversion"/>
  </si>
  <si>
    <t>PTP 3대</t>
    <phoneticPr fontId="60" type="noConversion"/>
  </si>
  <si>
    <t>소계</t>
    <phoneticPr fontId="6" type="noConversion"/>
  </si>
  <si>
    <t xml:space="preserve"> 구)PtoP  2개</t>
    <phoneticPr fontId="6" type="noConversion"/>
  </si>
  <si>
    <t>HSR PtoP  1개, LIU 1개</t>
    <phoneticPr fontId="6" type="noConversion"/>
  </si>
  <si>
    <t>AI 16, DI 48 카드 포함</t>
    <phoneticPr fontId="11" type="noConversion"/>
  </si>
  <si>
    <t>ICT실 전원분전반(소내전원실 소내반MA1)</t>
    <phoneticPr fontId="60" type="noConversion"/>
  </si>
  <si>
    <t>ICT실 UPS전원분전반</t>
    <phoneticPr fontId="60" type="noConversion"/>
  </si>
  <si>
    <t>출입문(단), 출입문(양)</t>
    <phoneticPr fontId="6" type="noConversion"/>
  </si>
  <si>
    <t>출입문(단), 출입문(양)</t>
    <phoneticPr fontId="60" type="noConversion"/>
  </si>
  <si>
    <t>ICT실 UPS, DC분전반</t>
    <phoneticPr fontId="6" type="noConversion"/>
  </si>
  <si>
    <t>MDF, LAN/일, LAN/스 랙</t>
    <phoneticPr fontId="60" type="noConversion"/>
  </si>
  <si>
    <t>LAN/일, LAN/스 랙</t>
    <phoneticPr fontId="60" type="noConversion"/>
  </si>
  <si>
    <t>1열*2조</t>
    <phoneticPr fontId="6" type="noConversion"/>
  </si>
  <si>
    <t>구)PTPU, C-MUX CH급</t>
    <phoneticPr fontId="11" type="noConversion"/>
  </si>
  <si>
    <t>구)PtoP, C-MUX 1대당 1EA</t>
    <phoneticPr fontId="6" type="noConversion"/>
  </si>
  <si>
    <t>거리 * 1열 * 1조</t>
    <phoneticPr fontId="19" type="noConversion"/>
  </si>
  <si>
    <t>C-MUX</t>
    <phoneticPr fontId="60" type="noConversion"/>
  </si>
  <si>
    <t>DS0신호 결선(PtoP,C-MUX)</t>
    <phoneticPr fontId="19" type="noConversion"/>
  </si>
  <si>
    <t>IDF 실장용</t>
    <phoneticPr fontId="6" type="noConversion"/>
  </si>
  <si>
    <t>HSR, 통합단말장치 철거(PtoP unit)</t>
    <phoneticPr fontId="6" type="noConversion"/>
  </si>
  <si>
    <t>신)PTP, 구)PTP</t>
    <phoneticPr fontId="6" type="noConversion"/>
  </si>
  <si>
    <t>CAT.5 4Pr, 4열</t>
    <phoneticPr fontId="4" type="noConversion"/>
  </si>
  <si>
    <t>4열동시 : 3400%</t>
    <phoneticPr fontId="4" type="noConversion"/>
  </si>
  <si>
    <t>사령원콘솔 2대 포함</t>
    <phoneticPr fontId="6" type="noConversion"/>
  </si>
  <si>
    <t>IP계통운영통신시스템 시험(개통)</t>
    <phoneticPr fontId="6" type="noConversion"/>
  </si>
  <si>
    <t>가. 디지폰(키폰) 시험</t>
    <phoneticPr fontId="11" type="noConversion"/>
  </si>
  <si>
    <t>사령원콘솔 2대</t>
    <phoneticPr fontId="11" type="noConversion"/>
  </si>
  <si>
    <t>2대</t>
    <phoneticPr fontId="11" type="noConversion"/>
  </si>
  <si>
    <t>나. 국선/DID/DOD/전용선 시험</t>
    <phoneticPr fontId="11" type="noConversion"/>
  </si>
  <si>
    <t>H/W시험사</t>
    <phoneticPr fontId="6" type="noConversion"/>
  </si>
  <si>
    <t>다. 기능 시험</t>
    <phoneticPr fontId="11" type="noConversion"/>
  </si>
  <si>
    <t>시스템</t>
    <phoneticPr fontId="11" type="noConversion"/>
  </si>
  <si>
    <t>통5-2-1</t>
    <phoneticPr fontId="6" type="noConversion"/>
  </si>
  <si>
    <t>회</t>
    <phoneticPr fontId="11" type="noConversion"/>
  </si>
  <si>
    <t>회선</t>
    <phoneticPr fontId="11" type="noConversion"/>
  </si>
  <si>
    <t>라. 음성정보시스템(녹음장치)</t>
    <phoneticPr fontId="6" type="noConversion"/>
  </si>
  <si>
    <t>마. 종합시험</t>
    <phoneticPr fontId="6" type="noConversion"/>
  </si>
  <si>
    <t>UTP CAT.5E 100P</t>
    <phoneticPr fontId="19" type="noConversion"/>
  </si>
  <si>
    <t>DS0신호 결선(C-MUX)</t>
    <phoneticPr fontId="19" type="noConversion"/>
  </si>
  <si>
    <t>C-MUX(VDF,MDF)</t>
    <phoneticPr fontId="19" type="noConversion"/>
  </si>
  <si>
    <t>C-MUX(DSO출력,VDF)</t>
    <phoneticPr fontId="19" type="noConversion"/>
  </si>
  <si>
    <t>NAC(업무망)</t>
    <phoneticPr fontId="60" type="noConversion"/>
  </si>
  <si>
    <t>사급(신3, 구0)</t>
    <phoneticPr fontId="60" type="noConversion"/>
  </si>
  <si>
    <t>지입(C-MUX)</t>
    <phoneticPr fontId="60" type="noConversion"/>
  </si>
  <si>
    <t>PTP,C-MUX(DSO출력/VDF)</t>
    <phoneticPr fontId="19" type="noConversion"/>
  </si>
  <si>
    <t>PTP,C-MUX(VDF/MDF)</t>
    <phoneticPr fontId="19" type="noConversion"/>
  </si>
  <si>
    <t>UTP케이블 포설</t>
  </si>
  <si>
    <t>챔프케이블(25P), CAT.5E 25Pr 3열</t>
    <phoneticPr fontId="6" type="noConversion"/>
  </si>
  <si>
    <t>3열동시 : 260%</t>
  </si>
  <si>
    <t>HSR PtoP(48단자) : QDF(IDF) [2단자*12T]*2(Tx,Rx)=48,     C-MUX(432단자) : VDF [6단자*24CH]*2(in,out)=288, MDF [6단자*24CH]=144</t>
    <phoneticPr fontId="11" type="noConversion"/>
  </si>
  <si>
    <t>HSR PtoP(24P) : QDF(IDF) [12T]*2(Tx,Rx)=24,   C-MUX(144P) : VDF [3P*24CH]=72, MDF [3P*24CH]=72</t>
    <phoneticPr fontId="11" type="noConversion"/>
  </si>
  <si>
    <t>LIU(24P) : QDF(IDF) [12T]*2(Tx,Rx)=24,            LIU-DS(40P) : QDF(IDF) [20T]*2(Tx,Rx)=40</t>
    <phoneticPr fontId="11" type="noConversion"/>
  </si>
  <si>
    <t>4열*1조</t>
    <phoneticPr fontId="6" type="noConversion"/>
  </si>
  <si>
    <t>거리 *1열 * 1조</t>
    <phoneticPr fontId="11" type="noConversion"/>
  </si>
  <si>
    <t>거리 * 4열 * 1조</t>
    <phoneticPr fontId="11" type="noConversion"/>
  </si>
  <si>
    <t>RS-232</t>
    <phoneticPr fontId="6" type="noConversion"/>
  </si>
  <si>
    <t xml:space="preserve">   다. 고용보험료(노무비*1.01%)</t>
    <phoneticPr fontId="6" type="noConversion"/>
  </si>
  <si>
    <t>Ⅶ.  설  계  명  세  서(전력통신-종합)</t>
    <phoneticPr fontId="6" type="noConversion"/>
  </si>
  <si>
    <t>노무비*1.01%</t>
    <phoneticPr fontId="6" type="noConversion"/>
  </si>
  <si>
    <t>PIU 2매</t>
    <phoneticPr fontId="60" type="noConversion"/>
  </si>
  <si>
    <t>L3SW 3대</t>
    <phoneticPr fontId="60" type="noConversion"/>
  </si>
  <si>
    <t>CTRU 4매</t>
    <phoneticPr fontId="60" type="noConversion"/>
  </si>
  <si>
    <t>10-1.  광코아 계통도</t>
    <phoneticPr fontId="6" type="noConversion"/>
  </si>
  <si>
    <t>10-2.  광케이블 시설 경과지도</t>
    <phoneticPr fontId="6" type="noConversion"/>
  </si>
  <si>
    <t>10-3.  광케이블 시설 루트도(전구간)</t>
    <phoneticPr fontId="6" type="noConversion"/>
  </si>
  <si>
    <t>송광치(HSR)
0대
확장셀프 1대</t>
    <phoneticPr fontId="60" type="noConversion"/>
  </si>
  <si>
    <t>확장셀프 1대
HSR PTP
(1대)
구)PTP
(0대)</t>
    <phoneticPr fontId="60" type="noConversion"/>
  </si>
  <si>
    <t>기설</t>
    <phoneticPr fontId="60" type="noConversion"/>
  </si>
  <si>
    <t>신설</t>
    <phoneticPr fontId="60" type="noConversion"/>
  </si>
  <si>
    <t>확장2</t>
    <phoneticPr fontId="60" type="noConversion"/>
  </si>
  <si>
    <t>DC분전반</t>
  </si>
  <si>
    <t>DC 20+20회로</t>
  </si>
  <si>
    <t>1. 일반공사직종</t>
  </si>
  <si>
    <t>감시실 IP 전화</t>
  </si>
  <si>
    <t>감시실</t>
  </si>
  <si>
    <t>식</t>
  </si>
  <si>
    <t>AC/UPS/DC분전반</t>
  </si>
  <si>
    <t>AC 2회로, UPS 20회로, DC 16회로</t>
  </si>
  <si>
    <t>LAN(OA1, FA1) 구성용</t>
    <phoneticPr fontId="6" type="noConversion"/>
  </si>
  <si>
    <t>도일C/T 광단국, PITR 시설도면</t>
    <phoneticPr fontId="60" type="noConversion"/>
  </si>
  <si>
    <t>서안성S/S 광단국, PITR 시설도면</t>
    <phoneticPr fontId="60" type="noConversion"/>
  </si>
  <si>
    <t>10/100 24포트-POE</t>
    <phoneticPr fontId="6" type="noConversion"/>
  </si>
  <si>
    <t>파워링</t>
  </si>
  <si>
    <t>출력 30VAC이상, 100M용 방수형 전원선 포함</t>
  </si>
  <si>
    <t>파워링전원장치</t>
  </si>
  <si>
    <t>50W, 12Vdc/24Vdc 출력</t>
  </si>
  <si>
    <t>PLC 송전용 커플러</t>
  </si>
  <si>
    <t>비접촉식, 100M용 5C 케이블 포함</t>
  </si>
  <si>
    <t>전력선모뎀</t>
  </si>
  <si>
    <t>BNC connector, RJ45 *2, 10/100/1000Mbps지원</t>
  </si>
  <si>
    <t>지능형전원장치</t>
  </si>
  <si>
    <t>다중입력 및 출력지원, 원격제어</t>
  </si>
  <si>
    <t>철탑용광전송장치</t>
  </si>
  <si>
    <t>1core, cwdm 8파장</t>
  </si>
  <si>
    <t>에너지 저장장치</t>
  </si>
  <si>
    <t>DC12C 100Ah*2</t>
  </si>
  <si>
    <t>옥외 함체</t>
  </si>
  <si>
    <t>제작품</t>
  </si>
  <si>
    <t>회전형 카메라</t>
  </si>
  <si>
    <t>FHD, IR 100M 이상, 30배 이상</t>
  </si>
  <si>
    <t>고정용 카메라</t>
  </si>
  <si>
    <t>FHD, IR 20M이상, 4배 이상</t>
  </si>
  <si>
    <t>시각감지모듈</t>
  </si>
  <si>
    <t>송전탑접근감시</t>
  </si>
  <si>
    <t>카메라 브라켓</t>
  </si>
  <si>
    <t>SUS</t>
  </si>
  <si>
    <t>고덕#2S/S 광단국, PITR 시설도면</t>
    <phoneticPr fontId="60" type="noConversion"/>
  </si>
  <si>
    <t>충전기 입력</t>
    <phoneticPr fontId="6" type="noConversion"/>
  </si>
  <si>
    <t>충전기 380V 입력전원</t>
    <phoneticPr fontId="6" type="noConversion"/>
  </si>
  <si>
    <t>충전기 입력</t>
    <phoneticPr fontId="60" type="noConversion"/>
  </si>
  <si>
    <t>충전기 220V 출력전원</t>
    <phoneticPr fontId="6" type="noConversion"/>
  </si>
  <si>
    <t>충전기 출력</t>
    <phoneticPr fontId="60" type="noConversion"/>
  </si>
  <si>
    <t>PIU</t>
    <phoneticPr fontId="6" type="noConversion"/>
  </si>
  <si>
    <t>주장치</t>
    <phoneticPr fontId="6" type="noConversion"/>
  </si>
  <si>
    <t>통9-2-1-1</t>
  </si>
  <si>
    <t>일반형</t>
    <phoneticPr fontId="6" type="noConversion"/>
  </si>
  <si>
    <t>통9-2-1-1(5)</t>
  </si>
  <si>
    <t>항공장애등관리용</t>
  </si>
  <si>
    <t>에너지발전부</t>
  </si>
  <si>
    <t>데이터전송부</t>
  </si>
  <si>
    <t>계측부</t>
  </si>
  <si>
    <t>모니터링부</t>
  </si>
  <si>
    <t>Power Ring 철탑 기당 1대</t>
  </si>
  <si>
    <t>항공장애표시등 전원함체</t>
  </si>
  <si>
    <t>Power Ring 철탑 T/L당 4개</t>
    <phoneticPr fontId="6" type="noConversion"/>
  </si>
  <si>
    <t>노니터림부</t>
    <phoneticPr fontId="6" type="noConversion"/>
  </si>
  <si>
    <t>Power Ring 철탑 기당 1대</t>
    <phoneticPr fontId="6" type="noConversion"/>
  </si>
  <si>
    <t xml:space="preserve"> 항공장애등 감시설비 구성도</t>
    <phoneticPr fontId="11" type="noConversion"/>
  </si>
  <si>
    <t>가. 근  거 : 국토교통부고시 제2020~828호(항공장애 표시등과 항공장애 주간표지의 설치 및 관리기준)</t>
    <phoneticPr fontId="60" type="noConversion"/>
  </si>
  <si>
    <t>※ 관련근거</t>
    <phoneticPr fontId="60" type="noConversion"/>
  </si>
  <si>
    <t xml:space="preserve">               설치할 것</t>
    <phoneticPr fontId="60" type="noConversion"/>
  </si>
  <si>
    <t xml:space="preserve">나. 제21조 : 표시등의 운용을 감시할 수 있는 시각 감시기 또는 청각 감시기를
 감시자가 상시 감시할 수 있는 곳에 </t>
    <phoneticPr fontId="60" type="noConversion"/>
  </si>
  <si>
    <t>F-GV, 6SQ</t>
    <phoneticPr fontId="6" type="noConversion"/>
  </si>
  <si>
    <t>Φ3/8, 75㎜</t>
    <phoneticPr fontId="6" type="noConversion"/>
  </si>
  <si>
    <t>Rack당 4개</t>
    <phoneticPr fontId="6" type="noConversion"/>
  </si>
  <si>
    <t>랙명판</t>
    <phoneticPr fontId="6" type="noConversion"/>
  </si>
  <si>
    <t>AL,190*75*1t,헤어라인/검정색도색후 실크인쇄,후면 벨크로</t>
    <phoneticPr fontId="6" type="noConversion"/>
  </si>
  <si>
    <t>Rack 명판</t>
    <phoneticPr fontId="6" type="noConversion"/>
  </si>
  <si>
    <t>ICT실</t>
    <phoneticPr fontId="6" type="noConversion"/>
  </si>
  <si>
    <t>광케이블</t>
    <phoneticPr fontId="60" type="noConversion"/>
  </si>
  <si>
    <t>소계</t>
  </si>
  <si>
    <t>8-6. 자재단가 비교표</t>
    <phoneticPr fontId="6" type="noConversion"/>
  </si>
  <si>
    <t>소내전원실 소내반(2층)</t>
    <phoneticPr fontId="6" type="noConversion"/>
  </si>
  <si>
    <t>후렉시블전선관(28mm,GW-28)</t>
    <phoneticPr fontId="6" type="noConversion"/>
  </si>
  <si>
    <t>2조</t>
    <phoneticPr fontId="60" type="noConversion"/>
  </si>
  <si>
    <t>2개*4개소</t>
    <phoneticPr fontId="6" type="noConversion"/>
  </si>
  <si>
    <t>전원분전반(UPS출력)</t>
    <phoneticPr fontId="6" type="noConversion"/>
  </si>
  <si>
    <t>LAN/일 랙 AC전원</t>
    <phoneticPr fontId="6" type="noConversion"/>
  </si>
  <si>
    <t>전원분전반(충전기출력)</t>
    <phoneticPr fontId="6" type="noConversion"/>
  </si>
  <si>
    <t>LAN/일 랙 DC전원</t>
    <phoneticPr fontId="6" type="noConversion"/>
  </si>
  <si>
    <t>송광치랙</t>
    <phoneticPr fontId="60" type="noConversion"/>
  </si>
  <si>
    <t>일반내진랙</t>
    <phoneticPr fontId="60" type="noConversion"/>
  </si>
  <si>
    <t>단자대랙</t>
    <phoneticPr fontId="60" type="noConversion"/>
  </si>
  <si>
    <t>L3SW 4대(OA, FA, 무인보안, IPT)</t>
    <phoneticPr fontId="60" type="noConversion"/>
  </si>
  <si>
    <t>NAC</t>
    <phoneticPr fontId="60" type="noConversion"/>
  </si>
  <si>
    <t>CTRU 2매</t>
    <phoneticPr fontId="60" type="noConversion"/>
  </si>
  <si>
    <t>디지털스카다 UTM#1</t>
    <phoneticPr fontId="60" type="noConversion"/>
  </si>
  <si>
    <t>디지털스카다UTM#2</t>
    <phoneticPr fontId="60" type="noConversion"/>
  </si>
  <si>
    <t>IP계통운영</t>
    <phoneticPr fontId="60" type="noConversion"/>
  </si>
  <si>
    <t>L3SW 2대(스카다)</t>
    <phoneticPr fontId="60" type="noConversion"/>
  </si>
  <si>
    <t>FADP(DC-DC)</t>
    <phoneticPr fontId="60" type="noConversion"/>
  </si>
  <si>
    <t>SCADA랙</t>
    <phoneticPr fontId="60" type="noConversion"/>
  </si>
  <si>
    <t>일반랙</t>
    <phoneticPr fontId="60" type="noConversion"/>
  </si>
  <si>
    <t>케이블보호(OA, FA , IPT용)</t>
    <phoneticPr fontId="6" type="noConversion"/>
  </si>
  <si>
    <t>OA, FA , IPT용</t>
    <phoneticPr fontId="6" type="noConversion"/>
  </si>
  <si>
    <t>UPS 출력</t>
    <phoneticPr fontId="6" type="noConversion"/>
  </si>
  <si>
    <t>충전기 출력</t>
    <phoneticPr fontId="6" type="noConversion"/>
  </si>
  <si>
    <t>충전기 125V 출력전원</t>
    <phoneticPr fontId="6" type="noConversion"/>
  </si>
  <si>
    <t>분전반 랙 접지</t>
    <phoneticPr fontId="60" type="noConversion"/>
  </si>
  <si>
    <t>PTP랙랙</t>
    <phoneticPr fontId="60" type="noConversion"/>
  </si>
  <si>
    <t>PTP 9대</t>
    <phoneticPr fontId="60" type="noConversion"/>
  </si>
  <si>
    <t>4W E&amp;M</t>
    <phoneticPr fontId="6" type="noConversion"/>
  </si>
  <si>
    <t>채널급 회선 구성용</t>
    <phoneticPr fontId="6" type="noConversion"/>
  </si>
  <si>
    <t>Shelf 1대당 2EA</t>
    <phoneticPr fontId="6" type="noConversion"/>
  </si>
  <si>
    <t>EA</t>
    <phoneticPr fontId="6" type="noConversion"/>
  </si>
  <si>
    <t>채널급 유니트</t>
    <phoneticPr fontId="6" type="noConversion"/>
  </si>
  <si>
    <t>PTP랙</t>
    <phoneticPr fontId="60" type="noConversion"/>
  </si>
  <si>
    <t>허브(FA, POE)</t>
    <phoneticPr fontId="6" type="noConversion"/>
  </si>
  <si>
    <t>2조</t>
    <phoneticPr fontId="6" type="noConversion"/>
  </si>
  <si>
    <t>전원분전반(충전기)</t>
    <phoneticPr fontId="19" type="noConversion"/>
  </si>
  <si>
    <t>LAN랙</t>
    <phoneticPr fontId="60" type="noConversion"/>
  </si>
  <si>
    <t>PTP 2대</t>
    <phoneticPr fontId="60" type="noConversion"/>
  </si>
  <si>
    <t>스위치류</t>
    <phoneticPr fontId="60" type="noConversion"/>
  </si>
  <si>
    <t>상용전원</t>
    <phoneticPr fontId="6" type="noConversion"/>
  </si>
  <si>
    <t>UPS,충전기 SNMP</t>
    <phoneticPr fontId="6" type="noConversion"/>
  </si>
  <si>
    <t>LAN랙</t>
    <phoneticPr fontId="6" type="noConversion"/>
  </si>
  <si>
    <t>전원분전반</t>
    <phoneticPr fontId="60" type="noConversion"/>
  </si>
  <si>
    <t>4개*2개소</t>
    <phoneticPr fontId="6" type="noConversion"/>
  </si>
  <si>
    <t>3개*2개소</t>
    <phoneticPr fontId="6" type="noConversion"/>
  </si>
  <si>
    <t>2개*2개소</t>
    <phoneticPr fontId="6" type="noConversion"/>
  </si>
  <si>
    <t>1개*8대</t>
    <phoneticPr fontId="6" type="noConversion"/>
  </si>
  <si>
    <t>AC전원(220V)</t>
    <phoneticPr fontId="6" type="noConversion"/>
  </si>
  <si>
    <t>소내전원실 소내반</t>
    <phoneticPr fontId="6" type="noConversion"/>
  </si>
  <si>
    <t>랙당 1개(전원설비)</t>
    <phoneticPr fontId="60" type="noConversion"/>
  </si>
  <si>
    <t>LAN/스, PTP랙</t>
    <phoneticPr fontId="6" type="noConversion"/>
  </si>
  <si>
    <t>LAN/스 랙 AC(2), DC(1) *2</t>
    <phoneticPr fontId="6" type="noConversion"/>
  </si>
  <si>
    <t>6열*1조</t>
    <phoneticPr fontId="6" type="noConversion"/>
  </si>
  <si>
    <t>LAN/일, LAN/스, PTP랙</t>
    <phoneticPr fontId="60" type="noConversion"/>
  </si>
  <si>
    <t>DC-DC컨버터</t>
    <phoneticPr fontId="60" type="noConversion"/>
  </si>
  <si>
    <t>송변전광단말</t>
    <phoneticPr fontId="60" type="noConversion"/>
  </si>
  <si>
    <t>송광치 L3</t>
    <phoneticPr fontId="6" type="noConversion"/>
  </si>
  <si>
    <t>POE스위치</t>
    <phoneticPr fontId="60" type="noConversion"/>
  </si>
  <si>
    <t>시스템박스 활용</t>
    <phoneticPr fontId="60" type="noConversion"/>
  </si>
  <si>
    <t>MDF</t>
    <phoneticPr fontId="6" type="noConversion"/>
  </si>
  <si>
    <t>분전반(3),UPS(2),충전기(3),축전지(6) 랙</t>
    <phoneticPr fontId="60" type="noConversion"/>
  </si>
  <si>
    <t>기타랙</t>
    <phoneticPr fontId="6" type="noConversion"/>
  </si>
  <si>
    <t>동강C/H 부지 전원설비</t>
    <phoneticPr fontId="60" type="noConversion"/>
  </si>
  <si>
    <t>PTP랙 제외해서 다시 그리기
위치도 수정 필요(지중)</t>
    <phoneticPr fontId="60" type="noConversion"/>
  </si>
  <si>
    <t>LAN랙 AC전원</t>
    <phoneticPr fontId="6" type="noConversion"/>
  </si>
  <si>
    <t>LAN랙 DC전원</t>
    <phoneticPr fontId="6" type="noConversion"/>
  </si>
  <si>
    <t>사급</t>
    <phoneticPr fontId="60" type="noConversion"/>
  </si>
  <si>
    <t>사급</t>
    <phoneticPr fontId="60" type="noConversion"/>
  </si>
  <si>
    <t>일반내진랙(LAN)</t>
    <phoneticPr fontId="60" type="noConversion"/>
  </si>
  <si>
    <t>3열*6조</t>
    <phoneticPr fontId="6" type="noConversion"/>
  </si>
  <si>
    <t>1층 냉각기실</t>
    <phoneticPr fontId="60" type="noConversion"/>
  </si>
  <si>
    <t>충전기 NMS용 LAN</t>
    <phoneticPr fontId="6" type="noConversion"/>
  </si>
  <si>
    <t>UPS NMS용 LAN</t>
    <phoneticPr fontId="6" type="noConversion"/>
  </si>
  <si>
    <t>UPS SNMP</t>
    <phoneticPr fontId="60" type="noConversion"/>
  </si>
  <si>
    <t>충전기 SNMP</t>
    <phoneticPr fontId="6" type="noConversion"/>
  </si>
  <si>
    <t>랙당 1개(기타설비)</t>
    <phoneticPr fontId="60" type="noConversion"/>
  </si>
  <si>
    <t>랙당 4개(전원설비)</t>
    <phoneticPr fontId="60" type="noConversion"/>
  </si>
  <si>
    <t>견적가</t>
    <phoneticPr fontId="6" type="noConversion"/>
  </si>
  <si>
    <t xml:space="preserve"> CTRU(C)</t>
    <phoneticPr fontId="6" type="noConversion"/>
  </si>
  <si>
    <t>PTPU(C)</t>
    <phoneticPr fontId="6" type="noConversion"/>
  </si>
  <si>
    <t>도급분</t>
    <phoneticPr fontId="6" type="noConversion"/>
  </si>
  <si>
    <t>접지케이블</t>
    <phoneticPr fontId="6" type="noConversion"/>
  </si>
  <si>
    <t>Rack 접지</t>
    <phoneticPr fontId="6" type="noConversion"/>
  </si>
  <si>
    <t>콘센트</t>
    <phoneticPr fontId="6" type="noConversion"/>
  </si>
  <si>
    <t>노출, 접지 2구</t>
    <phoneticPr fontId="6" type="noConversion"/>
  </si>
  <si>
    <t>Rack 멀티콘센트 연결용</t>
    <phoneticPr fontId="6" type="noConversion"/>
  </si>
  <si>
    <t>바닥고정브라켓(평마루용)</t>
    <phoneticPr fontId="6" type="noConversion"/>
  </si>
  <si>
    <t>600*750*25</t>
    <phoneticPr fontId="6" type="noConversion"/>
  </si>
  <si>
    <t>Rack 고정(베이스플레이트 등)</t>
    <phoneticPr fontId="6" type="noConversion"/>
  </si>
  <si>
    <t>신설개소 1대</t>
    <phoneticPr fontId="19" type="noConversion"/>
  </si>
  <si>
    <t>거리 * 4열*1조</t>
    <phoneticPr fontId="19" type="noConversion"/>
  </si>
  <si>
    <t>후렉시블전선관</t>
    <phoneticPr fontId="6" type="noConversion"/>
  </si>
  <si>
    <t>16㎜, 일반방수(GW-16)</t>
    <phoneticPr fontId="6" type="noConversion"/>
  </si>
  <si>
    <t>케이블 보호(통합 Rack 구성)</t>
    <phoneticPr fontId="6" type="noConversion"/>
  </si>
  <si>
    <t>광점퍼코드</t>
    <phoneticPr fontId="6" type="noConversion"/>
  </si>
  <si>
    <t>SCADA 광모뎀 회선구성용</t>
    <phoneticPr fontId="6" type="noConversion"/>
  </si>
  <si>
    <t>문감지기</t>
    <phoneticPr fontId="6" type="noConversion"/>
  </si>
  <si>
    <t>출입문 감시</t>
    <phoneticPr fontId="6" type="noConversion"/>
  </si>
  <si>
    <t>ICT실 문*1개</t>
    <phoneticPr fontId="19" type="noConversion"/>
  </si>
  <si>
    <t>온도, OFD, 출입문 감시</t>
    <phoneticPr fontId="6" type="noConversion"/>
  </si>
  <si>
    <t>송광치 L3스위치</t>
    <phoneticPr fontId="6" type="noConversion"/>
  </si>
  <si>
    <t>SCADA 광모뎀</t>
    <phoneticPr fontId="6" type="noConversion"/>
  </si>
  <si>
    <t>OFD</t>
    <phoneticPr fontId="6" type="noConversion"/>
  </si>
  <si>
    <t>송변전광단말</t>
    <phoneticPr fontId="6" type="noConversion"/>
  </si>
  <si>
    <t>SA주장치</t>
    <phoneticPr fontId="6" type="noConversion"/>
  </si>
  <si>
    <t>출입문, OFD</t>
    <phoneticPr fontId="6" type="noConversion"/>
  </si>
  <si>
    <t>거리 * 1조(T/L 1개당)</t>
    <phoneticPr fontId="6" type="noConversion"/>
  </si>
  <si>
    <t>PCM케이블</t>
    <phoneticPr fontId="11" type="noConversion"/>
  </si>
  <si>
    <t>0.65/1P</t>
    <phoneticPr fontId="11" type="noConversion"/>
  </si>
  <si>
    <t>거리 * 2조(TX,RX)(PIU 1개당)</t>
    <phoneticPr fontId="6" type="noConversion"/>
  </si>
  <si>
    <t>RG58</t>
    <phoneticPr fontId="11" type="noConversion"/>
  </si>
  <si>
    <t>GPS용</t>
    <phoneticPr fontId="19" type="noConversion"/>
  </si>
  <si>
    <t>SA주장치</t>
    <phoneticPr fontId="19" type="noConversion"/>
  </si>
  <si>
    <t>송변전광 L3스위치</t>
    <phoneticPr fontId="19" type="noConversion"/>
  </si>
  <si>
    <t>거리 * 1조(EIU 1개당)</t>
    <phoneticPr fontId="6" type="noConversion"/>
  </si>
  <si>
    <t>OFD셀프</t>
    <phoneticPr fontId="11" type="noConversion"/>
  </si>
  <si>
    <t>96C</t>
    <phoneticPr fontId="11" type="noConversion"/>
  </si>
  <si>
    <t>광케이블 성단</t>
    <phoneticPr fontId="19" type="noConversion"/>
  </si>
  <si>
    <t>광점퍼코드(성단)</t>
    <phoneticPr fontId="11" type="noConversion"/>
  </si>
  <si>
    <t>OJC-SM-3</t>
    <phoneticPr fontId="11" type="noConversion"/>
  </si>
  <si>
    <t>광아답타</t>
    <phoneticPr fontId="11" type="noConversion"/>
  </si>
  <si>
    <t>OFA-SC/APC</t>
    <phoneticPr fontId="11" type="noConversion"/>
  </si>
  <si>
    <t>케이블명찰</t>
    <phoneticPr fontId="11" type="noConversion"/>
  </si>
  <si>
    <t>120*70(포맥스)</t>
    <phoneticPr fontId="11" type="noConversion"/>
  </si>
  <si>
    <t>광케이블 표시</t>
    <phoneticPr fontId="19" type="noConversion"/>
  </si>
  <si>
    <t>시점</t>
    <phoneticPr fontId="19" type="noConversion"/>
  </si>
  <si>
    <t>종점</t>
    <phoneticPr fontId="19" type="noConversion"/>
  </si>
  <si>
    <t>이동형콘솔</t>
    <phoneticPr fontId="11" type="noConversion"/>
  </si>
  <si>
    <t>변전소당 1EA</t>
    <phoneticPr fontId="6" type="noConversion"/>
  </si>
  <si>
    <t>단말장치 Rack 고정</t>
    <phoneticPr fontId="19" type="noConversion"/>
  </si>
  <si>
    <t>전원분전반(변전)</t>
    <phoneticPr fontId="60" type="noConversion"/>
  </si>
  <si>
    <t>구내통신 반영</t>
    <phoneticPr fontId="11" type="noConversion"/>
  </si>
  <si>
    <t>DC/DC 컨버터</t>
    <phoneticPr fontId="11" type="noConversion"/>
  </si>
  <si>
    <t>OA, FA , 인터넷, 통합보안</t>
    <phoneticPr fontId="6" type="noConversion"/>
  </si>
  <si>
    <t>전원설비 전체, 전송설비(신설), 기타설비(신설) 제외</t>
    <phoneticPr fontId="60" type="noConversion"/>
  </si>
  <si>
    <t>LAN랙(일반)</t>
    <phoneticPr fontId="60" type="noConversion"/>
  </si>
  <si>
    <t>19", 1U, DC125/DC48V</t>
    <phoneticPr fontId="11" type="noConversion"/>
  </si>
  <si>
    <t>견적가</t>
  </si>
  <si>
    <t>PADP</t>
    <phoneticPr fontId="6" type="noConversion"/>
  </si>
  <si>
    <t>19" Rack</t>
  </si>
  <si>
    <t>가</t>
  </si>
  <si>
    <t>옥내포설 : 150%</t>
  </si>
  <si>
    <t>직경 10cm, 벽두께 25cm</t>
  </si>
  <si>
    <t>콘크리트 블록벽 50%</t>
  </si>
  <si>
    <t>바닥</t>
    <phoneticPr fontId="6" type="noConversion"/>
  </si>
  <si>
    <t>벽면 450*550*200</t>
  </si>
  <si>
    <t>노출은 120%</t>
  </si>
  <si>
    <t>앙카볼트 설치</t>
    <phoneticPr fontId="6" type="noConversion"/>
  </si>
  <si>
    <t>전류차동방식, 1T/L, 단거리</t>
    <phoneticPr fontId="6" type="noConversion"/>
  </si>
  <si>
    <t>계통보호회선유니트(PIU) 시험</t>
    <phoneticPr fontId="6" type="noConversion"/>
  </si>
  <si>
    <t>전류차동 1T/L, 단거리, 시험품</t>
    <phoneticPr fontId="4" type="noConversion"/>
  </si>
  <si>
    <t>가. 장비설정 및 상태확인 시험</t>
    <phoneticPr fontId="6" type="noConversion"/>
  </si>
  <si>
    <t>유니트 이설</t>
    <phoneticPr fontId="6" type="noConversion"/>
  </si>
  <si>
    <t>PITR 랙 설치</t>
    <phoneticPr fontId="6" type="noConversion"/>
  </si>
  <si>
    <t>통6-3-6</t>
  </si>
  <si>
    <t>계통보호전송장치 설치(PITR-5000, POE/PEE)</t>
    <phoneticPr fontId="6" type="noConversion"/>
  </si>
  <si>
    <t>가. SET 조립</t>
    <phoneticPr fontId="4" type="noConversion"/>
  </si>
  <si>
    <t>나. 내부배선 및 기타결선</t>
    <phoneticPr fontId="6" type="noConversion"/>
  </si>
  <si>
    <t>다. 전송로 시험(E1 또는 광)</t>
    <phoneticPr fontId="6" type="noConversion"/>
  </si>
  <si>
    <t>라. 국부시험 및 점검조정</t>
    <phoneticPr fontId="6" type="noConversion"/>
  </si>
  <si>
    <t>마. 대국시험 및 종합시험</t>
    <phoneticPr fontId="6" type="noConversion"/>
  </si>
  <si>
    <t>계통보호전송장치 설치 이설(PITR-5000, POE)</t>
    <phoneticPr fontId="6" type="noConversion"/>
  </si>
  <si>
    <t>전류차동방식, 1T/L</t>
  </si>
  <si>
    <t xml:space="preserve"> SET 조립, 내부배선 및 기타결선</t>
    <phoneticPr fontId="6" type="noConversion"/>
  </si>
  <si>
    <t>재사용 철거(신설의 80%)</t>
    <phoneticPr fontId="6" type="noConversion"/>
  </si>
  <si>
    <t>계통보호전송장치 신설</t>
    <phoneticPr fontId="6" type="noConversion"/>
  </si>
  <si>
    <t>신설품</t>
    <phoneticPr fontId="6" type="noConversion"/>
  </si>
  <si>
    <t>계통보호전송장치 이설 시험(PITR-5000, PEE)</t>
    <phoneticPr fontId="6" type="noConversion"/>
  </si>
  <si>
    <t>장치 이동없음</t>
    <phoneticPr fontId="6" type="noConversion"/>
  </si>
  <si>
    <t>PITR~보호반간 케이블 이설후 시험</t>
    <phoneticPr fontId="6" type="noConversion"/>
  </si>
  <si>
    <t>1.5SQ/4C</t>
    <phoneticPr fontId="4" type="noConversion"/>
  </si>
  <si>
    <t>제어케이블 이설</t>
    <phoneticPr fontId="4" type="noConversion"/>
  </si>
  <si>
    <t>1.5SQ/4C 이설</t>
    <phoneticPr fontId="4" type="noConversion"/>
  </si>
  <si>
    <t>재사용 90%</t>
    <phoneticPr fontId="6" type="noConversion"/>
  </si>
  <si>
    <t>1.5SQ/2C</t>
    <phoneticPr fontId="4" type="noConversion"/>
  </si>
  <si>
    <t>제어케이블 포설(PCM 0.65㎜/1P) 이설</t>
    <phoneticPr fontId="4" type="noConversion"/>
  </si>
  <si>
    <t>1.5SQ/1C, 4열 이설</t>
    <phoneticPr fontId="4" type="noConversion"/>
  </si>
  <si>
    <t>4열 동시 : 340%, 재사용 90%</t>
    <phoneticPr fontId="4" type="noConversion"/>
  </si>
  <si>
    <t>후렉시블전선관 이설</t>
    <phoneticPr fontId="4" type="noConversion"/>
  </si>
  <si>
    <t>천정속,마루밑 공사 : 130%, 재사용 40%</t>
    <phoneticPr fontId="4" type="noConversion"/>
  </si>
  <si>
    <t>AC/DC 컨버터 설치</t>
  </si>
  <si>
    <t>AC220/DC48V, 10A</t>
  </si>
  <si>
    <t>계통보호전송장치 철거 (PITR-2000,PE2,E/O)</t>
    <phoneticPr fontId="6" type="noConversion"/>
  </si>
  <si>
    <t>불용 30%</t>
    <phoneticPr fontId="6" type="noConversion"/>
  </si>
  <si>
    <t>통6-3-6 (1)</t>
  </si>
  <si>
    <t>계통보호전송장치  철거 (조립 및 설치의 30%)</t>
    <phoneticPr fontId="60" type="noConversion"/>
  </si>
  <si>
    <t>밧데리함 설치</t>
    <phoneticPr fontId="6" type="noConversion"/>
  </si>
  <si>
    <t>품4-14.</t>
  </si>
  <si>
    <t>품4-18.</t>
  </si>
  <si>
    <t>2.5SQ/2C, 2열</t>
    <phoneticPr fontId="4" type="noConversion"/>
  </si>
  <si>
    <t>광모뎀 설치</t>
    <phoneticPr fontId="6" type="noConversion"/>
  </si>
  <si>
    <t>품6-1.</t>
  </si>
  <si>
    <t>통합형계통운영시스템용 콘솔</t>
    <phoneticPr fontId="4" type="noConversion"/>
  </si>
  <si>
    <t>사령원콘솔</t>
    <phoneticPr fontId="4" type="noConversion"/>
  </si>
  <si>
    <t>통8-1-6</t>
    <phoneticPr fontId="6" type="noConversion"/>
  </si>
  <si>
    <t>사용자시스템시설</t>
  </si>
  <si>
    <t>단말기설치</t>
  </si>
  <si>
    <t>KVM스위치</t>
  </si>
  <si>
    <t>부대장치</t>
  </si>
  <si>
    <t>현장녹화장치 설치</t>
  </si>
  <si>
    <t>영상저장장치</t>
  </si>
  <si>
    <t>스피트돔 카메라</t>
  </si>
  <si>
    <t>카메라설치</t>
  </si>
  <si>
    <t>고정형카메라</t>
  </si>
  <si>
    <t>카메라 송수신제어 및 레벨조정</t>
  </si>
  <si>
    <t>일체형</t>
  </si>
  <si>
    <t>set</t>
  </si>
  <si>
    <t>카메라 종합시험</t>
  </si>
  <si>
    <t>일체형(10대이하)</t>
  </si>
  <si>
    <t>10대이하</t>
  </si>
  <si>
    <t>일체형(11대이상)</t>
  </si>
  <si>
    <t>11대이상</t>
  </si>
  <si>
    <t>11대이상은 대당 6% 가산</t>
  </si>
  <si>
    <t>오디오 앰프</t>
  </si>
  <si>
    <t>랙 설치</t>
  </si>
  <si>
    <t>가. 장치거치</t>
  </si>
  <si>
    <t>나. 앙카볼트 설치</t>
  </si>
  <si>
    <t>￠13㎜ 이하</t>
  </si>
  <si>
    <t>4개</t>
  </si>
  <si>
    <t>지능형전원공급장치 설치</t>
  </si>
  <si>
    <t>오토리프트 설치</t>
  </si>
  <si>
    <t>실내</t>
  </si>
  <si>
    <t>실내 설치시 180%</t>
  </si>
  <si>
    <t>누전보호형 써지보호기</t>
  </si>
  <si>
    <t>전원용</t>
  </si>
  <si>
    <t>단상2선식은 80%</t>
  </si>
  <si>
    <t>통11-6-2(3)</t>
  </si>
  <si>
    <t>디지털 경보수신반 설치</t>
  </si>
  <si>
    <t>메인주장치</t>
  </si>
  <si>
    <t>통9-2-4-1</t>
  </si>
  <si>
    <t>알람표시기</t>
  </si>
  <si>
    <t>로컬컨트롤러</t>
  </si>
  <si>
    <t>조작표시기</t>
  </si>
  <si>
    <t>주장치 함체설치</t>
  </si>
  <si>
    <t>벽면 400*400*150</t>
  </si>
  <si>
    <t>노출 120%</t>
  </si>
  <si>
    <t>통3-2-1</t>
  </si>
  <si>
    <t>(400*400*150/단면적 1,600㎠이하, 앵커볼트 공정포함)</t>
  </si>
  <si>
    <t>카드리더 설치</t>
  </si>
  <si>
    <t>통합형</t>
  </si>
  <si>
    <t>통9-2-2-1</t>
  </si>
  <si>
    <t>카드리더 함체설치</t>
  </si>
  <si>
    <t>400*400*150</t>
  </si>
  <si>
    <t>(200*300*150/단면적 1,600㎠이하, 앵커볼트 공정포함)</t>
  </si>
  <si>
    <t>EM Lock 설치</t>
  </si>
  <si>
    <t>출구버튼 설치</t>
  </si>
  <si>
    <t>신호전송기 설치</t>
  </si>
  <si>
    <t>4i-node</t>
  </si>
  <si>
    <t>통 9-2-4-1</t>
  </si>
  <si>
    <t>(4i-Node/경보 및 보안기기 신호전송기 적용)</t>
  </si>
  <si>
    <t>열선감지기 설치</t>
  </si>
  <si>
    <t>일반형,자가진단형</t>
  </si>
  <si>
    <t>통 9-2-4-2</t>
  </si>
  <si>
    <t>자석감지기 설치</t>
  </si>
  <si>
    <t>셔터감지기 설치</t>
  </si>
  <si>
    <t>마이크로웨이브 감지기 설치</t>
  </si>
  <si>
    <t>광이더넷 스위치 설치</t>
  </si>
  <si>
    <t>인텔리전트 허브</t>
  </si>
  <si>
    <t>통 8-1-1</t>
  </si>
  <si>
    <t>(COT, RT)</t>
  </si>
  <si>
    <t>Dummy</t>
  </si>
  <si>
    <t>보조전원장치 설치</t>
  </si>
  <si>
    <t>220VAC/12VDC 3A</t>
  </si>
  <si>
    <t>통 9-2-4-3</t>
  </si>
  <si>
    <t>스피커설치(옥내,옥외)</t>
  </si>
  <si>
    <t>30W 이하</t>
  </si>
  <si>
    <t>노출은 60%</t>
  </si>
  <si>
    <t>통7-11-5(2)</t>
  </si>
  <si>
    <t>브라켓설치</t>
  </si>
  <si>
    <t>일반형</t>
  </si>
  <si>
    <t>천정형</t>
  </si>
  <si>
    <t>영상처리장치함체 설치</t>
  </si>
  <si>
    <t>통3-3-1</t>
  </si>
  <si>
    <t>(450*550*200/단면적 4,900㎠이하, 앵커볼트 공정포함)</t>
  </si>
  <si>
    <t>카메라폴설치</t>
  </si>
  <si>
    <t>6m이하, 작업대 포함</t>
  </si>
  <si>
    <t>설계하중 200kg이상</t>
  </si>
  <si>
    <t>본</t>
  </si>
  <si>
    <t>통 9-2-1-3③</t>
  </si>
  <si>
    <t>안전작업대</t>
  </si>
  <si>
    <t xml:space="preserve">통 9-1-10 </t>
  </si>
  <si>
    <t>설계하중 200kg이하</t>
  </si>
  <si>
    <t>통 9-2-1-3</t>
  </si>
  <si>
    <t>광전송장치 함체 설치</t>
  </si>
  <si>
    <t>광심선분배함 설치</t>
  </si>
  <si>
    <t>8포트</t>
  </si>
  <si>
    <t>통4-1-2-2</t>
  </si>
  <si>
    <t>광점퍼코드포설</t>
  </si>
  <si>
    <t>1 CORE용</t>
  </si>
  <si>
    <t>광케이블 코어성단</t>
  </si>
  <si>
    <t>멀티모드</t>
  </si>
  <si>
    <t>통 4-1-3</t>
  </si>
  <si>
    <t>광케이블 시험</t>
  </si>
  <si>
    <t>광섬유케이블 포설</t>
  </si>
  <si>
    <t>12코아 이하</t>
  </si>
  <si>
    <t>전원케이블 포설</t>
  </si>
  <si>
    <t>FR-CVVS 16SQ-2C</t>
  </si>
  <si>
    <t>2심은 140%</t>
  </si>
  <si>
    <t>통 4-6-1</t>
  </si>
  <si>
    <t>FR-CVVS 2.5SQ-2C,1열 포설</t>
  </si>
  <si>
    <t>통 4-4-1</t>
  </si>
  <si>
    <t>FR-CVVS 2.5SQ-2C,2열 동시</t>
  </si>
  <si>
    <t>2열 동시(180%)</t>
  </si>
  <si>
    <t>FR-CVVS 2.5SQ-2C,3열 동시</t>
  </si>
  <si>
    <t>3열 동시(260%)</t>
  </si>
  <si>
    <t>FR-CVVS 2.5SQ-2C,4열 동시</t>
  </si>
  <si>
    <t>실드 120%,4열 동시(340%)</t>
  </si>
  <si>
    <t>FR-CVVS 1.5SQ-2C,1열 포설</t>
  </si>
  <si>
    <t>FR-CVVS 1.5SQ-2C,2열 동시</t>
  </si>
  <si>
    <t>FR-CVVS 1.5SQ-2C,3열 동시</t>
  </si>
  <si>
    <t>실드 120%,3열 동시(260%)</t>
  </si>
  <si>
    <t>FR-CVVS 1.5SQ-2C,4열 동시</t>
  </si>
  <si>
    <t>4열 동시(340%)</t>
  </si>
  <si>
    <t>제어케이블포설</t>
  </si>
  <si>
    <t>FR-CVVS 1.5SQ-4C</t>
  </si>
  <si>
    <t>FR-CVVS 1.5SQ-15C</t>
  </si>
  <si>
    <t>동축케이블</t>
  </si>
  <si>
    <t>3C-2V</t>
  </si>
  <si>
    <t>통4-2-1</t>
  </si>
  <si>
    <t>UTP 케이블 포설</t>
  </si>
  <si>
    <t>CAT.5e 4P</t>
  </si>
  <si>
    <t>RS-데이터 케이블 포설</t>
  </si>
  <si>
    <t>10P 이하, 1열</t>
  </si>
  <si>
    <t>10P 이하, 2열</t>
  </si>
  <si>
    <t>10P 이하, 3열</t>
  </si>
  <si>
    <t>S-FTP 케이블 포설</t>
  </si>
  <si>
    <t>CAT.5e 4P,1열 포설</t>
  </si>
  <si>
    <t>CAT.5e 4P,2열 동시</t>
  </si>
  <si>
    <t>CAT.5e 4P,3열 동시</t>
  </si>
  <si>
    <t>CAT.5e 4P,4열 동시</t>
  </si>
  <si>
    <t>접지선 포설</t>
  </si>
  <si>
    <t>F-GV 6SQ</t>
  </si>
  <si>
    <t>통11-5-1(9)</t>
  </si>
  <si>
    <t>F-GV 16SQ</t>
  </si>
  <si>
    <t>F-GV 95SQ</t>
  </si>
  <si>
    <t>합성수지 파형관 시설</t>
  </si>
  <si>
    <t>50mm이하</t>
  </si>
  <si>
    <t>통2-1-3</t>
  </si>
  <si>
    <t>후강전선관 시설</t>
  </si>
  <si>
    <t>22㎜</t>
  </si>
  <si>
    <t>28㎜</t>
  </si>
  <si>
    <t>플랙시블 전선관 시설</t>
  </si>
  <si>
    <t>22mm</t>
  </si>
  <si>
    <t>천정,마루밑 130%</t>
  </si>
  <si>
    <t>28mm</t>
  </si>
  <si>
    <t>금속닥트 신설</t>
  </si>
  <si>
    <t>중형(150*100mm) 이하</t>
  </si>
  <si>
    <t>통3-5-2</t>
  </si>
  <si>
    <t>앙카볼트 설치</t>
  </si>
  <si>
    <t>Φ13mm이하</t>
  </si>
  <si>
    <t>노출박스 제외, 전선관 적용</t>
  </si>
  <si>
    <t>모듈라플러그 접속</t>
  </si>
  <si>
    <t>S-FTP RJ-45, 접지</t>
  </si>
  <si>
    <t>모듈라잭의 130%</t>
  </si>
  <si>
    <t>통4-3-2(2)</t>
  </si>
  <si>
    <t>콘넥터(영상)</t>
  </si>
  <si>
    <t>BNC, 5C이하</t>
  </si>
  <si>
    <t>통4-2-2</t>
  </si>
  <si>
    <t>풀박스 설치</t>
  </si>
  <si>
    <t>100㎠이하, 천정,노출</t>
  </si>
  <si>
    <t>100㎠이하, 벽체,노출</t>
  </si>
  <si>
    <t>625㎠이하, 벽체,노출</t>
  </si>
  <si>
    <t>900㎠이하, 벽체,노출</t>
  </si>
  <si>
    <t>기기기초대 설치</t>
  </si>
  <si>
    <t>CCTV폴(60cm*60cm*60cm이상)</t>
  </si>
  <si>
    <t>30cm*30cm*30cm 비례적용</t>
  </si>
  <si>
    <t>감지기폴(40cm*40cm*40cm이상)</t>
  </si>
  <si>
    <t>30cm*30cm*30cm 적용</t>
  </si>
  <si>
    <t>합성수지함 설치</t>
  </si>
  <si>
    <t>연결용박스</t>
  </si>
  <si>
    <t>안내판설치</t>
  </si>
  <si>
    <t>접속및 단자설치</t>
  </si>
  <si>
    <t>C형 및 원형 슬리브</t>
  </si>
  <si>
    <t>PA단말기 설치</t>
  </si>
  <si>
    <t>FR-CVVS 4SQ-2C,1열 포설</t>
  </si>
  <si>
    <t>FR-CVVS 4SQ-2C,2열 동시</t>
  </si>
  <si>
    <t>FR-CVVS 4SQ-2C,3열 동시</t>
  </si>
  <si>
    <t>FR-CVVS 4SQ-2C,4열 동시</t>
  </si>
  <si>
    <t>합성수지제 가요전선관</t>
    <phoneticPr fontId="6" type="noConversion"/>
  </si>
  <si>
    <t>CD, 22㎜</t>
  </si>
  <si>
    <t>합성수지전선관 품의 80%, 천정</t>
    <phoneticPr fontId="6" type="noConversion"/>
  </si>
  <si>
    <t>M</t>
  </si>
  <si>
    <t>벽관통 구멍파기</t>
  </si>
  <si>
    <t>통3-7-2-1</t>
  </si>
  <si>
    <t>배관용 구멍뚫기(코어드릴 사용기준)</t>
  </si>
  <si>
    <t>직경 2.5cm, 바닥두께 30cm 이하</t>
  </si>
  <si>
    <t>바닥</t>
  </si>
  <si>
    <t>통3-7-2-3</t>
  </si>
  <si>
    <t>직경 2.5cm, 벽두께 30cm 이하</t>
  </si>
  <si>
    <t>벽면</t>
  </si>
  <si>
    <t>케이블 명찰 취부</t>
  </si>
  <si>
    <t>식별표시용</t>
  </si>
  <si>
    <t>▣  동강C/H 송변전광단말장치 1대, HSR PtoP unit 1대</t>
    <phoneticPr fontId="60" type="noConversion"/>
  </si>
  <si>
    <t>FR-CVV-S, 25SQ/4C</t>
    <phoneticPr fontId="11" type="noConversion"/>
  </si>
  <si>
    <t>FR-CVVS 25SQ/4C</t>
    <phoneticPr fontId="60" type="noConversion"/>
  </si>
  <si>
    <t>거리 * 1열 *1조</t>
    <phoneticPr fontId="19" type="noConversion"/>
  </si>
  <si>
    <t>식</t>
    <phoneticPr fontId="60" type="noConversion"/>
  </si>
  <si>
    <t>거리 * 3열*6.조</t>
    <phoneticPr fontId="6" type="noConversion"/>
  </si>
  <si>
    <r>
      <t xml:space="preserve">    ☞ 계상금액 : 노무비 × 보험요율</t>
    </r>
    <r>
      <rPr>
        <sz val="11"/>
        <color rgb="FFFF0000"/>
        <rFont val="맑은 고딕"/>
        <family val="3"/>
        <charset val="129"/>
        <scheme val="minor"/>
      </rPr>
      <t>(130억원 미만:1.01%, 130억원이상~220억원 미만:1.02% 등</t>
    </r>
    <r>
      <rPr>
        <sz val="11"/>
        <rFont val="맑은 고딕"/>
        <family val="3"/>
        <charset val="129"/>
        <scheme val="minor"/>
      </rPr>
      <t>)</t>
    </r>
    <phoneticPr fontId="95" type="noConversion"/>
  </si>
  <si>
    <t>번호</t>
    <phoneticPr fontId="6" type="noConversion"/>
  </si>
  <si>
    <t>단  위  공  종</t>
  </si>
  <si>
    <t>할증후   수량
(재료비)</t>
    <phoneticPr fontId="6" type="noConversion"/>
  </si>
  <si>
    <t>할증
(%)</t>
    <phoneticPr fontId="6" type="noConversion"/>
  </si>
  <si>
    <t>산출수량
(노임)</t>
    <phoneticPr fontId="6" type="noConversion"/>
  </si>
  <si>
    <t>RACK</t>
  </si>
  <si>
    <t>CA 1번</t>
  </si>
  <si>
    <t>CA 2번</t>
  </si>
  <si>
    <t>CA 3번</t>
  </si>
  <si>
    <t>CA 4번</t>
  </si>
  <si>
    <t>CA 5번</t>
  </si>
  <si>
    <t>CA 6번</t>
  </si>
  <si>
    <t>CA 7번</t>
  </si>
  <si>
    <t>CA 8번</t>
  </si>
  <si>
    <t>CA 9번</t>
  </si>
  <si>
    <t>CA 10번</t>
  </si>
  <si>
    <t>CA 11번</t>
  </si>
  <si>
    <t>CA 12번</t>
  </si>
  <si>
    <t>CA 13번</t>
  </si>
  <si>
    <t>CA 14번</t>
  </si>
  <si>
    <t>CA 15번</t>
  </si>
  <si>
    <t>CA 16번</t>
  </si>
  <si>
    <t>CA 17번</t>
  </si>
  <si>
    <t>CA 18번</t>
  </si>
  <si>
    <t>CA 19번</t>
  </si>
  <si>
    <t>CA 20번</t>
  </si>
  <si>
    <t>CA 21번</t>
  </si>
  <si>
    <t>CA 22번</t>
  </si>
  <si>
    <t>침투주장치</t>
  </si>
  <si>
    <t>현관</t>
  </si>
  <si>
    <t>자재번호</t>
    <phoneticPr fontId="6" type="noConversion"/>
  </si>
  <si>
    <t>품  명</t>
    <phoneticPr fontId="6" type="noConversion"/>
  </si>
  <si>
    <t>규  격</t>
    <phoneticPr fontId="6" type="noConversion"/>
  </si>
  <si>
    <t>구간</t>
    <phoneticPr fontId="6" type="noConversion"/>
  </si>
  <si>
    <t>전원케이블</t>
    <phoneticPr fontId="60" type="noConversion"/>
  </si>
  <si>
    <t>지상1층</t>
  </si>
  <si>
    <t>ICT실 RACK</t>
  </si>
  <si>
    <t>가.</t>
    <phoneticPr fontId="6" type="noConversion"/>
  </si>
  <si>
    <t>회사분</t>
    <phoneticPr fontId="6" type="noConversion"/>
  </si>
  <si>
    <t>녹화장치</t>
  </si>
  <si>
    <t>운영자 단말</t>
  </si>
  <si>
    <t>멀티 모니터링장치</t>
  </si>
  <si>
    <t>3.4GHz, 8GB, Display 다중전송</t>
  </si>
  <si>
    <t>KVM스위치</t>
    <phoneticPr fontId="6" type="noConversion"/>
  </si>
  <si>
    <t>8채널 이상, 19" 랙타입</t>
  </si>
  <si>
    <t>42" LED모니터</t>
    <phoneticPr fontId="6" type="noConversion"/>
  </si>
  <si>
    <t>42” 이상 (16:9 지원)</t>
  </si>
  <si>
    <t>55" LED모니터</t>
    <phoneticPr fontId="6" type="noConversion"/>
  </si>
  <si>
    <t>55” 이상 (16:9 지원)</t>
  </si>
  <si>
    <t>영상추적서버</t>
  </si>
  <si>
    <t>3.4GHz, 8GB, SATA 1TB</t>
    <phoneticPr fontId="6" type="noConversion"/>
  </si>
  <si>
    <t>영상추적 소프트웨어</t>
  </si>
  <si>
    <t>영상분석, 움직임추적</t>
  </si>
  <si>
    <t>오디오앰프</t>
  </si>
  <si>
    <t>30W, G.711 또는 G729a/b</t>
  </si>
  <si>
    <t>Full-HD PTZ IP카메라(30X)</t>
    <phoneticPr fontId="6" type="noConversion"/>
  </si>
  <si>
    <t>30배줌, Onvif 2.0, TTA인증</t>
    <phoneticPr fontId="6" type="noConversion"/>
  </si>
  <si>
    <t>Full-HD PTZ IP카메라(20X)</t>
    <phoneticPr fontId="6" type="noConversion"/>
  </si>
  <si>
    <t>20배줌, Onvif 2.0, TTA인증</t>
    <phoneticPr fontId="6" type="noConversion"/>
  </si>
  <si>
    <t>20배줌, Onvif 2.0</t>
    <phoneticPr fontId="6" type="noConversion"/>
  </si>
  <si>
    <t>Full-HD IP카메라(고정형)</t>
    <phoneticPr fontId="6" type="noConversion"/>
  </si>
  <si>
    <t>4배줌, Onvif 2.0, TTA인증</t>
    <phoneticPr fontId="6" type="noConversion"/>
  </si>
  <si>
    <t>19인치 랙(내진형)</t>
  </si>
  <si>
    <t>내진형, 600×750×2000</t>
  </si>
  <si>
    <t>카메라함체</t>
  </si>
  <si>
    <t>방수형, Stainless</t>
  </si>
  <si>
    <t>네트워크장치함체</t>
  </si>
  <si>
    <t>네트웍 방수형, Stainless</t>
    <phoneticPr fontId="6" type="noConversion"/>
  </si>
  <si>
    <t>카메라 지지대</t>
  </si>
  <si>
    <t>일반형, W165 X H6000 X T5mm, 안전작업대 포함</t>
    <phoneticPr fontId="6" type="noConversion"/>
  </si>
  <si>
    <t>스마트 카메라 지지대</t>
  </si>
  <si>
    <t>일반형, W165 X H6000 X T5mm</t>
  </si>
  <si>
    <t>카메라리프트(옥내)</t>
    <phoneticPr fontId="6" type="noConversion"/>
  </si>
  <si>
    <t>카메라 승하강 동작, 자동, 수동</t>
    <phoneticPr fontId="6" type="noConversion"/>
  </si>
  <si>
    <t>주전원공급장치</t>
  </si>
  <si>
    <t>AC220V 60Hz, 8채널</t>
  </si>
  <si>
    <t>전원분배기</t>
  </si>
  <si>
    <t>AC220V, 8채널</t>
  </si>
  <si>
    <t>서지전원장치</t>
  </si>
  <si>
    <t>AC220V, 60Hz, 40KA, KS인증제품</t>
    <phoneticPr fontId="6" type="noConversion"/>
  </si>
  <si>
    <t>경보주장치</t>
  </si>
  <si>
    <t>터치형 7인치 LCD(16DI*1, 16DO*2)</t>
    <phoneticPr fontId="6" type="noConversion"/>
  </si>
  <si>
    <t>번호, RF카드, 지문인식(OR, AND인증 설정지원), 상태표시창</t>
  </si>
  <si>
    <t>출입리더기 함체</t>
  </si>
  <si>
    <t>Stainless Steel, Window는 안전접합 유리</t>
  </si>
  <si>
    <t>E/M Lock</t>
  </si>
  <si>
    <t>500㎏ 이상, NO/NC, Com+</t>
  </si>
  <si>
    <t>퇴실버튼</t>
  </si>
  <si>
    <t>벽면부착형</t>
  </si>
  <si>
    <t>지문등록기</t>
  </si>
  <si>
    <t>지문등록</t>
  </si>
  <si>
    <t>ID Card</t>
  </si>
  <si>
    <t>비접촉 근접식</t>
  </si>
  <si>
    <t>센서수신장치</t>
    <phoneticPr fontId="6" type="noConversion"/>
  </si>
  <si>
    <t>자가진단형, 4i-node(4IN 4OUT)</t>
  </si>
  <si>
    <t>문 감지기</t>
  </si>
  <si>
    <t>(자가진단형)영구자석근접, 전자코일</t>
  </si>
  <si>
    <t>자석근접</t>
  </si>
  <si>
    <t>셔터 감지기</t>
  </si>
  <si>
    <t>적외선반사, 5-20cm</t>
    <phoneticPr fontId="6" type="noConversion"/>
  </si>
  <si>
    <t>열선감지기</t>
  </si>
  <si>
    <t>(자가진단형)Wide angle 11m</t>
  </si>
  <si>
    <t>Wide angle 11m</t>
  </si>
  <si>
    <t>마이크로웨이브(단거리용)</t>
  </si>
  <si>
    <t>단거리용_50m</t>
  </si>
  <si>
    <t>마이크로웨이브(중장거리용)</t>
  </si>
  <si>
    <t>중장거리용_100m</t>
  </si>
  <si>
    <t>스마트레이더감지기(송,수)</t>
  </si>
  <si>
    <t>송-감지거리 50m, 2CH/ 수-1CH</t>
  </si>
  <si>
    <t>적외선감지기</t>
  </si>
  <si>
    <t>2빔_30m</t>
  </si>
  <si>
    <t>적외선감지기(단거리용)</t>
    <phoneticPr fontId="6" type="noConversion"/>
  </si>
  <si>
    <t>단거리용_100m</t>
    <phoneticPr fontId="6" type="noConversion"/>
  </si>
  <si>
    <t>적외선감지기(중장거리용)</t>
    <phoneticPr fontId="6" type="noConversion"/>
  </si>
  <si>
    <t>중장거리용_200m</t>
    <phoneticPr fontId="6" type="noConversion"/>
  </si>
  <si>
    <t xml:space="preserve">광이더넷스위치  </t>
  </si>
  <si>
    <t>광4포트, LAN24포트, RACK Type, 광모듈포함</t>
  </si>
  <si>
    <t>광이더넷스위치</t>
  </si>
  <si>
    <t>스위칭허브</t>
  </si>
  <si>
    <t>미니기가허브, 8포트</t>
  </si>
  <si>
    <t xml:space="preserve">광이더넷스위치 COT  </t>
  </si>
  <si>
    <t>COT, 1Gbps</t>
  </si>
  <si>
    <t xml:space="preserve">광이더넷스위치 RT  </t>
  </si>
  <si>
    <t>RT, 1Gbps</t>
  </si>
  <si>
    <t>지문인식 리더기</t>
  </si>
  <si>
    <t>전력제어시스템용,번호,카드,지문인식,스마트카드</t>
  </si>
  <si>
    <t>스마트 레이더감지기</t>
  </si>
  <si>
    <t>영상분석+레이더2ch,감지영역 50m</t>
  </si>
  <si>
    <t>카메라 지지대</t>
    <phoneticPr fontId="6" type="noConversion"/>
  </si>
  <si>
    <t>환경친화형</t>
    <phoneticPr fontId="6" type="noConversion"/>
  </si>
  <si>
    <t>나.</t>
    <phoneticPr fontId="60" type="noConversion"/>
  </si>
  <si>
    <t>벽부형브라켓</t>
  </si>
  <si>
    <t>벽부형</t>
  </si>
  <si>
    <t>옥내용 스피커</t>
  </si>
  <si>
    <t>컬럼, 20W</t>
    <phoneticPr fontId="60" type="noConversion"/>
  </si>
  <si>
    <t>옥외용 스피커</t>
  </si>
  <si>
    <t>컬럼, 30W</t>
    <phoneticPr fontId="60" type="noConversion"/>
  </si>
  <si>
    <t>스테인레스, 1.8m, 3T</t>
    <phoneticPr fontId="6" type="noConversion"/>
  </si>
  <si>
    <t>카메라 브라켓(폴부착형)</t>
  </si>
  <si>
    <t>SUS 304, 600*89￠*2T</t>
  </si>
  <si>
    <t>FDF-24C, Rack type</t>
    <phoneticPr fontId="6" type="noConversion"/>
  </si>
  <si>
    <t>광심선분배함</t>
    <phoneticPr fontId="6" type="noConversion"/>
  </si>
  <si>
    <t>FDF-8core, SC Connector Type</t>
    <phoneticPr fontId="6" type="noConversion"/>
  </si>
  <si>
    <t>광전송장치용 전원장치</t>
  </si>
  <si>
    <t>입220V/출DC24 1A, 15V 6A</t>
    <phoneticPr fontId="6" type="noConversion"/>
  </si>
  <si>
    <t>감지기용전원장치</t>
  </si>
  <si>
    <t>입220V/출DC24 1A, 15V 6A</t>
  </si>
  <si>
    <t>광아답터</t>
    <phoneticPr fontId="6" type="noConversion"/>
  </si>
  <si>
    <t>SC, 세라믹 ,MM</t>
    <phoneticPr fontId="6" type="noConversion"/>
  </si>
  <si>
    <t>점퍼코드</t>
  </si>
  <si>
    <t>옥외용광점퍼코드</t>
  </si>
  <si>
    <t>OJC-SC/PC-MM-LC/PC-2C(50m용)</t>
  </si>
  <si>
    <t>카메라지지대 기초</t>
  </si>
  <si>
    <t>500*800*1000H이상, 앵커포함</t>
    <phoneticPr fontId="6" type="noConversion"/>
  </si>
  <si>
    <t>감지기 폴</t>
  </si>
  <si>
    <t>400*400*400H기초포함</t>
    <phoneticPr fontId="6" type="noConversion"/>
  </si>
  <si>
    <t>CCTV안내판</t>
  </si>
  <si>
    <t>알루미늄</t>
  </si>
  <si>
    <t>COT - RT, RT - RT</t>
    <phoneticPr fontId="6" type="noConversion"/>
  </si>
  <si>
    <t>케이블 명찰</t>
  </si>
  <si>
    <t>포맥스, 230x60mm</t>
    <phoneticPr fontId="6" type="noConversion"/>
  </si>
  <si>
    <t>전원케이블</t>
  </si>
  <si>
    <t>메인전원(RACK - UPS분전반)</t>
    <phoneticPr fontId="6" type="noConversion"/>
  </si>
  <si>
    <t>FR-CVVS 2.5SQ-2C</t>
    <phoneticPr fontId="6" type="noConversion"/>
  </si>
  <si>
    <t>RACK - RT함체, RT함체 - CCTV함체</t>
    <phoneticPr fontId="6" type="noConversion"/>
  </si>
  <si>
    <t>FR-CVVS 4SQ-2C</t>
    <phoneticPr fontId="6" type="noConversion"/>
  </si>
  <si>
    <t>RACK - RT함체</t>
    <phoneticPr fontId="6" type="noConversion"/>
  </si>
  <si>
    <t>#1,2</t>
    <phoneticPr fontId="60" type="noConversion"/>
  </si>
  <si>
    <t>#8,9</t>
    <phoneticPr fontId="60" type="noConversion"/>
  </si>
  <si>
    <t>랙</t>
    <phoneticPr fontId="60" type="noConversion"/>
  </si>
  <si>
    <t>FR-CVVS 6SQ-2C</t>
  </si>
  <si>
    <t>RACK - RT함체(옥외 할로겐등 사용시)</t>
    <phoneticPr fontId="6" type="noConversion"/>
  </si>
  <si>
    <t>FR-CVVS 1.5SQ-2C</t>
  </si>
  <si>
    <t>RT함체 - 스피커, 스피커, LED등, 투광등</t>
    <phoneticPr fontId="6" type="noConversion"/>
  </si>
  <si>
    <t>제어케이블</t>
  </si>
  <si>
    <t>RT함체-카메라, LED 등, 출입경보주장치-RTU</t>
    <phoneticPr fontId="6" type="noConversion"/>
  </si>
  <si>
    <t>출입경보주장치-RTU</t>
    <phoneticPr fontId="6" type="noConversion"/>
  </si>
  <si>
    <t>ECX 3C-2V</t>
    <phoneticPr fontId="6" type="noConversion"/>
  </si>
  <si>
    <t>CCTV함체-카메라(영상용)</t>
    <phoneticPr fontId="6" type="noConversion"/>
  </si>
  <si>
    <t>UTP케이블</t>
  </si>
  <si>
    <t>CAT. 5E CM 4P_일반(회색)</t>
    <phoneticPr fontId="6" type="noConversion"/>
  </si>
  <si>
    <t>LAN등</t>
    <phoneticPr fontId="6" type="noConversion"/>
  </si>
  <si>
    <t>S-FTP 케이블</t>
  </si>
  <si>
    <t>CAT. 5E CM 4P_SFTP(회색)</t>
    <phoneticPr fontId="6" type="noConversion"/>
  </si>
  <si>
    <t>RT함체 - i Node(CCTV함체) - 카메라</t>
    <phoneticPr fontId="6" type="noConversion"/>
  </si>
  <si>
    <t>데이터케이블</t>
  </si>
  <si>
    <t>20AWG/0.5㎟ 2C, 조작,실드</t>
  </si>
  <si>
    <t>20AWG/0.5㎟ 4C, 조작,실드</t>
  </si>
  <si>
    <t>20AWG/0.5㎟ 6C, 조작,실드</t>
    <phoneticPr fontId="6" type="noConversion"/>
  </si>
  <si>
    <t>F-GV 6SQ</t>
    <phoneticPr fontId="6" type="noConversion"/>
  </si>
  <si>
    <t>RT함체 - i Node</t>
    <phoneticPr fontId="6" type="noConversion"/>
  </si>
  <si>
    <t>F-GV 16SQ</t>
    <phoneticPr fontId="6" type="noConversion"/>
  </si>
  <si>
    <t>RACK(RT함체) - 메쉬접지,RT함체(CCTV함체)</t>
    <phoneticPr fontId="6" type="noConversion"/>
  </si>
  <si>
    <t>F-GV 95SQ</t>
    <phoneticPr fontId="6" type="noConversion"/>
  </si>
  <si>
    <t>주접지망 - 메쉬접지</t>
    <phoneticPr fontId="6" type="noConversion"/>
  </si>
  <si>
    <t>ELP전선관</t>
  </si>
  <si>
    <t>30㎜</t>
  </si>
  <si>
    <t>40㎜</t>
    <phoneticPr fontId="6" type="noConversion"/>
  </si>
  <si>
    <t>강제전선관</t>
  </si>
  <si>
    <t>강제전선관, 22㎜</t>
    <phoneticPr fontId="6" type="noConversion"/>
  </si>
  <si>
    <t>강제전선관, 28㎜</t>
    <phoneticPr fontId="6" type="noConversion"/>
  </si>
  <si>
    <t>플랙시블전선관</t>
  </si>
  <si>
    <t>GW-22㎜</t>
    <phoneticPr fontId="6" type="noConversion"/>
  </si>
  <si>
    <t>GW-28㎜</t>
    <phoneticPr fontId="6" type="noConversion"/>
  </si>
  <si>
    <t>알류미늄덕트</t>
  </si>
  <si>
    <t>150*100</t>
  </si>
  <si>
    <t>노말밴드</t>
    <phoneticPr fontId="6" type="noConversion"/>
  </si>
  <si>
    <t>노말밴드, 28㎜</t>
    <phoneticPr fontId="6" type="noConversion"/>
  </si>
  <si>
    <t>셋트앙카(STS)</t>
  </si>
  <si>
    <t>M10(3/8), 75㎜</t>
    <phoneticPr fontId="6" type="noConversion"/>
  </si>
  <si>
    <t>U-찬넬</t>
    <phoneticPr fontId="6" type="noConversion"/>
  </si>
  <si>
    <t>40*40*2.6t, 1m, 용융</t>
    <phoneticPr fontId="6" type="noConversion"/>
  </si>
  <si>
    <t>찬넬용클램프</t>
    <phoneticPr fontId="6" type="noConversion"/>
  </si>
  <si>
    <t>22㎜, 용융</t>
  </si>
  <si>
    <t>28㎜, 용융</t>
  </si>
  <si>
    <t>스트롱앵커</t>
    <phoneticPr fontId="6" type="noConversion"/>
  </si>
  <si>
    <t>스트롱앵커, 16㎜</t>
    <phoneticPr fontId="6" type="noConversion"/>
  </si>
  <si>
    <t>행거볼트</t>
    <phoneticPr fontId="6" type="noConversion"/>
  </si>
  <si>
    <t>M16 * 1000㎜</t>
    <phoneticPr fontId="6" type="noConversion"/>
  </si>
  <si>
    <t>6각 너트</t>
    <phoneticPr fontId="6" type="noConversion"/>
  </si>
  <si>
    <t>3/8, M16</t>
    <phoneticPr fontId="6" type="noConversion"/>
  </si>
  <si>
    <t>스프링와샤</t>
    <phoneticPr fontId="6" type="noConversion"/>
  </si>
  <si>
    <t>D16</t>
    <phoneticPr fontId="6" type="noConversion"/>
  </si>
  <si>
    <t>모듈러 플러그</t>
    <phoneticPr fontId="6" type="noConversion"/>
  </si>
  <si>
    <t>RJ-45 STP용</t>
  </si>
  <si>
    <t>BNC, 3C</t>
  </si>
  <si>
    <t>PA 단말기</t>
  </si>
  <si>
    <t>구내방송연계용</t>
  </si>
  <si>
    <t>PULL BOX</t>
    <phoneticPr fontId="6" type="noConversion"/>
  </si>
  <si>
    <t>100*100*100, 1.6t</t>
    <phoneticPr fontId="6" type="noConversion"/>
  </si>
  <si>
    <t>합성수지전기함</t>
  </si>
  <si>
    <t>ABS, 300㎜*200㎜*180㎜</t>
  </si>
  <si>
    <t>단자대</t>
  </si>
  <si>
    <t>20A,10P</t>
    <phoneticPr fontId="6" type="noConversion"/>
  </si>
  <si>
    <t>함체명판</t>
  </si>
  <si>
    <t>아크릴(백색/검정색글자)</t>
  </si>
  <si>
    <t>8CH 이상</t>
    <phoneticPr fontId="6" type="noConversion"/>
  </si>
  <si>
    <t>닌연CD전선관</t>
  </si>
  <si>
    <t>22C</t>
  </si>
  <si>
    <t>천정 속</t>
  </si>
  <si>
    <t>m</t>
    <phoneticPr fontId="60" type="noConversion"/>
  </si>
  <si>
    <t>적외선감지기브라켓</t>
  </si>
  <si>
    <t>벽면부착형, SUS</t>
  </si>
  <si>
    <t>건물 전.후면 적외선감지기에 사용</t>
  </si>
  <si>
    <t>안전발판사다리(말비계)</t>
    <phoneticPr fontId="6" type="noConversion"/>
  </si>
  <si>
    <t>최대사용하중120kg미만,사용높이4.8m,안전난간,전도방지대,이동바퀴 포함</t>
    <phoneticPr fontId="6" type="noConversion"/>
  </si>
  <si>
    <t>압착슬리이브</t>
  </si>
  <si>
    <t>동압착슬리브-C형 150㎟</t>
  </si>
  <si>
    <t>전원케이블(F-CVVS 2.5SQ-2C) 포설</t>
  </si>
  <si>
    <t>1열 포설</t>
  </si>
  <si>
    <t>2열 포설</t>
  </si>
  <si>
    <t>3열 포설</t>
  </si>
  <si>
    <t>전원케이블(F-CVVS 2.5SQ-2C) 포설</t>
    <phoneticPr fontId="6" type="noConversion"/>
  </si>
  <si>
    <t>4열 포설</t>
  </si>
  <si>
    <t>전원케이블(F-CVVS 4SQ-2C) 포설</t>
    <phoneticPr fontId="6" type="noConversion"/>
  </si>
  <si>
    <t>전원케이블(F-CVVS 4SQ-2C) 포설</t>
  </si>
  <si>
    <t>전원케이블(1.5SQ-2C) 포설</t>
  </si>
  <si>
    <t>S-FTP 케이블(AWG24 CAT.5e 4P) 포설</t>
  </si>
  <si>
    <t xml:space="preserve">노출 풀박스, 카메라함체, 네트워크함체, 카드리더함체용 앙카볼트 수량은 노임 품에서 제외, </t>
    <phoneticPr fontId="6" type="noConversion"/>
  </si>
  <si>
    <t>전선관용 앙카볼트는 노임 별도 계상</t>
    <phoneticPr fontId="6" type="noConversion"/>
  </si>
  <si>
    <t>전선관용 스트롱앙카는 노임 별도 계상</t>
    <phoneticPr fontId="6" type="noConversion"/>
  </si>
  <si>
    <t>100㎠이하, 천정,노출</t>
    <phoneticPr fontId="6" type="noConversion"/>
  </si>
  <si>
    <t>100㎠이하, 벽체,노출</t>
    <phoneticPr fontId="6" type="noConversion"/>
  </si>
  <si>
    <t>625㎠이하, 벽체,노출</t>
    <phoneticPr fontId="6" type="noConversion"/>
  </si>
  <si>
    <t>벽체</t>
    <phoneticPr fontId="6" type="noConversion"/>
  </si>
  <si>
    <t>COT</t>
    <phoneticPr fontId="60" type="noConversion"/>
  </si>
  <si>
    <t>.</t>
    <phoneticPr fontId="60" type="noConversion"/>
  </si>
  <si>
    <t>RT#B01</t>
    <phoneticPr fontId="60" type="noConversion"/>
  </si>
  <si>
    <t>지상1층</t>
    <phoneticPr fontId="60" type="noConversion"/>
  </si>
  <si>
    <t>RT#101</t>
    <phoneticPr fontId="60" type="noConversion"/>
  </si>
  <si>
    <t>CA 23번</t>
    <phoneticPr fontId="60" type="noConversion"/>
  </si>
  <si>
    <t>CA 24번</t>
    <phoneticPr fontId="60" type="noConversion"/>
  </si>
  <si>
    <t>CA 25번</t>
    <phoneticPr fontId="60" type="noConversion"/>
  </si>
  <si>
    <t>CA 26번</t>
  </si>
  <si>
    <t>CA 27번</t>
  </si>
  <si>
    <t>CA 28번</t>
  </si>
  <si>
    <t>CA 29번</t>
  </si>
  <si>
    <t>CA 31번</t>
  </si>
  <si>
    <t>CA 32번</t>
  </si>
  <si>
    <t>CA 33번</t>
  </si>
  <si>
    <t>CA 34번</t>
  </si>
  <si>
    <t>CA 35번</t>
  </si>
  <si>
    <t>CA 36번</t>
  </si>
  <si>
    <t>CA 37번</t>
  </si>
  <si>
    <t>CA 38번</t>
  </si>
  <si>
    <t>CA 39번</t>
  </si>
  <si>
    <t>CA 40번</t>
  </si>
  <si>
    <t>CA 41번</t>
  </si>
  <si>
    <t>CA 42번</t>
  </si>
  <si>
    <t>CA 43번</t>
  </si>
  <si>
    <t>지상2층</t>
    <phoneticPr fontId="60" type="noConversion"/>
  </si>
  <si>
    <t>CA 30번</t>
    <phoneticPr fontId="60" type="noConversion"/>
  </si>
  <si>
    <t>CA 44번</t>
    <phoneticPr fontId="60" type="noConversion"/>
  </si>
  <si>
    <t>CA 45번</t>
    <phoneticPr fontId="60" type="noConversion"/>
  </si>
  <si>
    <t>CA 46번</t>
    <phoneticPr fontId="60" type="noConversion"/>
  </si>
  <si>
    <t>CA 47번</t>
    <phoneticPr fontId="60" type="noConversion"/>
  </si>
  <si>
    <t>CA 48번</t>
    <phoneticPr fontId="60" type="noConversion"/>
  </si>
  <si>
    <t>CA 49번</t>
    <phoneticPr fontId="60" type="noConversion"/>
  </si>
  <si>
    <t>CA 50번</t>
    <phoneticPr fontId="60" type="noConversion"/>
  </si>
  <si>
    <t>CA 51번</t>
    <phoneticPr fontId="60" type="noConversion"/>
  </si>
  <si>
    <t>CA 52번</t>
  </si>
  <si>
    <t>CA 53번</t>
  </si>
  <si>
    <t>CA 54번</t>
  </si>
  <si>
    <t>CA 55번</t>
  </si>
  <si>
    <t>CA 56번</t>
  </si>
  <si>
    <t>CA 57번</t>
  </si>
  <si>
    <t>CA 58번</t>
  </si>
  <si>
    <t>CA 59번</t>
  </si>
  <si>
    <t>CA 60번</t>
  </si>
  <si>
    <t>CA 61번</t>
  </si>
  <si>
    <t>CA 62번</t>
  </si>
  <si>
    <t>CA 63번</t>
  </si>
  <si>
    <t>CA 64번</t>
  </si>
  <si>
    <t>CA 65번</t>
  </si>
  <si>
    <t>CA 66번</t>
  </si>
  <si>
    <t>CA 67번</t>
  </si>
  <si>
    <t>CA 68번</t>
  </si>
  <si>
    <t>CA 69번</t>
    <phoneticPr fontId="60" type="noConversion"/>
  </si>
  <si>
    <t>CA 70번</t>
  </si>
  <si>
    <t>CA 71번</t>
  </si>
  <si>
    <t>CA 72번</t>
  </si>
  <si>
    <t>CA 73번</t>
  </si>
  <si>
    <t>지상1층</t>
    <phoneticPr fontId="60" type="noConversion"/>
  </si>
  <si>
    <t>COT</t>
    <phoneticPr fontId="60" type="noConversion"/>
  </si>
  <si>
    <t>RT#104</t>
  </si>
  <si>
    <t>RT#103</t>
  </si>
  <si>
    <t>RT#102</t>
  </si>
  <si>
    <t>RT#101</t>
    <phoneticPr fontId="60" type="noConversion"/>
  </si>
  <si>
    <t>출입문</t>
    <phoneticPr fontId="60" type="noConversion"/>
  </si>
  <si>
    <t>지상3층</t>
    <phoneticPr fontId="60" type="noConversion"/>
  </si>
  <si>
    <t>RT#201</t>
    <phoneticPr fontId="60" type="noConversion"/>
  </si>
  <si>
    <t>COT-&gt;</t>
    <phoneticPr fontId="60" type="noConversion"/>
  </si>
  <si>
    <t>RT#102</t>
    <phoneticPr fontId="60" type="noConversion"/>
  </si>
  <si>
    <t>RT#301</t>
    <phoneticPr fontId="60" type="noConversion"/>
  </si>
  <si>
    <t>지상1층</t>
    <phoneticPr fontId="60" type="noConversion"/>
  </si>
  <si>
    <t>RT#102-&gt;</t>
    <phoneticPr fontId="60" type="noConversion"/>
  </si>
  <si>
    <t>RT#103-&gt;</t>
    <phoneticPr fontId="60" type="noConversion"/>
  </si>
  <si>
    <t>RT#104-&gt;</t>
    <phoneticPr fontId="60" type="noConversion"/>
  </si>
  <si>
    <t>RT#B01-&gt;</t>
    <phoneticPr fontId="60" type="noConversion"/>
  </si>
  <si>
    <t>RT#101-&gt;</t>
    <phoneticPr fontId="60" type="noConversion"/>
  </si>
  <si>
    <t>RT#201-&gt;</t>
    <phoneticPr fontId="60" type="noConversion"/>
  </si>
  <si>
    <t>RT#301-&gt;</t>
    <phoneticPr fontId="60" type="noConversion"/>
  </si>
  <si>
    <t>지하1층</t>
    <phoneticPr fontId="60" type="noConversion"/>
  </si>
  <si>
    <t>직종분류</t>
    <phoneticPr fontId="48" type="noConversion"/>
  </si>
  <si>
    <t>24년 변경</t>
    <phoneticPr fontId="95" type="noConversion"/>
  </si>
  <si>
    <t xml:space="preserve">    ☞ 계상금액 : 노무비 × 3.626%(산재보험료율 3.5%+출퇴근재해요율0.06%+임금채권부담비율0.06%+석면피해구제분담비율0.006%)</t>
    <phoneticPr fontId="98" type="noConversion"/>
  </si>
  <si>
    <t>24년도 변경</t>
    <phoneticPr fontId="95" type="noConversion"/>
  </si>
  <si>
    <t xml:space="preserve">    ☞ 계상금액 : [(지입재료비+직접노무비) × 적용율 + 기초액] × 1.2 와</t>
    <phoneticPr fontId="95" type="noConversion"/>
  </si>
  <si>
    <t>[(지입재료비+직접노무비) × 적용율 + 기초액] × 1.2</t>
    <phoneticPr fontId="48" type="noConversion"/>
  </si>
  <si>
    <t>중 적은것을 적용한다</t>
    <phoneticPr fontId="95" type="noConversion"/>
  </si>
  <si>
    <t xml:space="preserve">                       [사급재료비+지입재료비+직접노무비] × 적용율 + 기초액 중 적은 금액</t>
    <phoneticPr fontId="97" type="noConversion"/>
  </si>
  <si>
    <t>[사급재료비+지입재료비+직접노무비] × 적용율 + 기초액</t>
    <phoneticPr fontId="95" type="noConversion"/>
  </si>
  <si>
    <t>적용율 (산업설비-건축 적용,  '24.01.08)</t>
    <phoneticPr fontId="95" type="noConversion"/>
  </si>
  <si>
    <t>물정08 P1389</t>
    <phoneticPr fontId="6" type="noConversion"/>
  </si>
  <si>
    <t>물자08  P1152</t>
    <phoneticPr fontId="6" type="noConversion"/>
  </si>
  <si>
    <t>물정08    P1240</t>
    <phoneticPr fontId="6" type="noConversion"/>
  </si>
  <si>
    <t>물자08 P86</t>
  </si>
  <si>
    <t>물정08 P43</t>
  </si>
  <si>
    <t>물자08  P90</t>
  </si>
  <si>
    <t>물정08    P41</t>
  </si>
  <si>
    <t>물자08  P89</t>
    <phoneticPr fontId="6" type="noConversion"/>
  </si>
  <si>
    <t>물정08    P43</t>
  </si>
  <si>
    <t>물자08  P1155</t>
    <phoneticPr fontId="6" type="noConversion"/>
  </si>
  <si>
    <t>물정08 P1236</t>
    <phoneticPr fontId="6" type="noConversion"/>
  </si>
  <si>
    <t>물자08 
P1142</t>
    <phoneticPr fontId="6" type="noConversion"/>
  </si>
  <si>
    <t>물정08 P1232</t>
    <phoneticPr fontId="6" type="noConversion"/>
  </si>
  <si>
    <t>24포트 10/100</t>
    <phoneticPr fontId="11" type="noConversion"/>
  </si>
  <si>
    <t>1C SC/APC-SC/APC, 15m</t>
    <phoneticPr fontId="6" type="noConversion"/>
  </si>
  <si>
    <t>8-2. 노 무 임 수 량 산 출 내 역</t>
  </si>
  <si>
    <t>No.</t>
  </si>
  <si>
    <t>품1-9.</t>
  </si>
  <si>
    <t>품1-10.</t>
  </si>
  <si>
    <t>품1-10-가.</t>
  </si>
  <si>
    <t>품1-10-나.</t>
  </si>
  <si>
    <t>품1-11.</t>
  </si>
  <si>
    <t>2. 송변전용 광전송장치</t>
  </si>
  <si>
    <t>품6-1-가.</t>
  </si>
  <si>
    <t>품6-14.</t>
  </si>
  <si>
    <t>6. 무인보안시스템</t>
  </si>
  <si>
    <t>대</t>
    <phoneticPr fontId="60" type="noConversion"/>
  </si>
  <si>
    <t>1) [(지입재료비+직접노무비) × 적용율 + 기초액] × 1.2</t>
    <phoneticPr fontId="6" type="noConversion"/>
  </si>
  <si>
    <t>2) [사급재료비+지입재료비+직접노무비] × 적용율 + 기초액</t>
    <phoneticPr fontId="6" type="noConversion"/>
  </si>
  <si>
    <t>*1.2</t>
    <phoneticPr fontId="95" type="noConversion"/>
  </si>
  <si>
    <t>IP사령원콘솔</t>
    <phoneticPr fontId="6" type="noConversion"/>
  </si>
  <si>
    <t>AOM</t>
    <phoneticPr fontId="6" type="noConversion"/>
  </si>
  <si>
    <t>신설개소</t>
    <phoneticPr fontId="11" type="noConversion"/>
  </si>
  <si>
    <t>신설개소</t>
    <phoneticPr fontId="6" type="noConversion"/>
  </si>
  <si>
    <t>무인보안</t>
    <phoneticPr fontId="60" type="noConversion"/>
  </si>
  <si>
    <t>HVDC건설본부 전자통신부</t>
    <phoneticPr fontId="6" type="noConversion"/>
  </si>
  <si>
    <t>3. 계통보호회선유니트(PIU)</t>
    <phoneticPr fontId="6" type="noConversion"/>
  </si>
  <si>
    <t>ㅇ 금암S/S</t>
    <phoneticPr fontId="6" type="noConversion"/>
  </si>
  <si>
    <t>ㅇ 세교S/S</t>
    <phoneticPr fontId="6" type="noConversion"/>
  </si>
  <si>
    <t xml:space="preserve">  - PIU 8유니트 신설</t>
    <phoneticPr fontId="6" type="noConversion"/>
  </si>
  <si>
    <t xml:space="preserve">  - 각 T/L별 송신2, 수신2</t>
  </si>
  <si>
    <t>2-2. 무인보안시스템 계통도</t>
    <phoneticPr fontId="11" type="noConversion"/>
  </si>
  <si>
    <t xml:space="preserve">  HVDC건설본부 전자통신부장 </t>
  </si>
  <si>
    <t xml:space="preserve">  HVDC건설본부 전자통신부장이 임명한 자</t>
  </si>
  <si>
    <t>2025년</t>
    <phoneticPr fontId="6" type="noConversion"/>
  </si>
  <si>
    <t>2026년</t>
    <phoneticPr fontId="6" type="noConversion"/>
  </si>
  <si>
    <t>보안시스템</t>
    <phoneticPr fontId="6" type="noConversion"/>
  </si>
  <si>
    <t>장비 및 배관 설치</t>
    <phoneticPr fontId="6" type="noConversion"/>
  </si>
  <si>
    <t>케이블 포설</t>
    <phoneticPr fontId="6" type="noConversion"/>
  </si>
  <si>
    <t>공사비 집계표(전력통신)</t>
    <phoneticPr fontId="6" type="noConversion"/>
  </si>
  <si>
    <t>[(지입재료비+직접노무비) × 적용율 + 기초액] × 1.2</t>
    <phoneticPr fontId="6" type="noConversion"/>
  </si>
  <si>
    <t>사내망(업무망, 인터넷망), FA, 무인보안</t>
    <phoneticPr fontId="6" type="noConversion"/>
  </si>
  <si>
    <t>컴팩트 LCD 출입리더기</t>
    <phoneticPr fontId="60" type="noConversion"/>
  </si>
  <si>
    <t>로비폰</t>
    <phoneticPr fontId="6" type="noConversion"/>
  </si>
  <si>
    <t>IP비디오폰</t>
    <phoneticPr fontId="6" type="noConversion"/>
  </si>
  <si>
    <t>견적가</t>
    <phoneticPr fontId="6" type="noConversion"/>
  </si>
  <si>
    <t>UPS 축전지 함체(32개)</t>
    <phoneticPr fontId="6" type="noConversion"/>
  </si>
  <si>
    <t>충전기 축전지 함체(8개)</t>
    <phoneticPr fontId="6" type="noConversion"/>
  </si>
  <si>
    <t>12V/200AH, 충전기용</t>
    <phoneticPr fontId="11" type="noConversion"/>
  </si>
  <si>
    <t>15kVA 입력 3상4선 출력 단상, 내진랙(19")</t>
    <phoneticPr fontId="11" type="noConversion"/>
  </si>
  <si>
    <t>UPS용(AC설비)</t>
    <phoneticPr fontId="6" type="noConversion"/>
  </si>
  <si>
    <t>UPS용(DC설비)</t>
    <phoneticPr fontId="6" type="noConversion"/>
  </si>
  <si>
    <t>충전기용(AC설비)</t>
    <phoneticPr fontId="6" type="noConversion"/>
  </si>
  <si>
    <t>신설 UPS당 16개</t>
    <phoneticPr fontId="11" type="noConversion"/>
  </si>
  <si>
    <t>신설 충전기당 4개</t>
    <phoneticPr fontId="11" type="noConversion"/>
  </si>
  <si>
    <t>충전기당 1식(1면)</t>
    <phoneticPr fontId="6" type="noConversion"/>
  </si>
  <si>
    <t>온도센서</t>
    <phoneticPr fontId="11" type="noConversion"/>
  </si>
  <si>
    <t>2.9GHz, 16GB, Display 다중전송, 23인치 이상 LCD모니터 포함</t>
    <phoneticPr fontId="6" type="noConversion"/>
  </si>
  <si>
    <t>광4포트, LAN8포트, 광모듈포함(함체설치브라켓제작필요)</t>
    <phoneticPr fontId="6" type="noConversion"/>
  </si>
  <si>
    <t>IP사령원콘솔, 라이선스 포함</t>
    <phoneticPr fontId="6" type="noConversion"/>
  </si>
  <si>
    <t>기술지원비</t>
    <phoneticPr fontId="6" type="noConversion"/>
  </si>
  <si>
    <t>설정 및 테스트</t>
    <phoneticPr fontId="6" type="noConversion"/>
  </si>
  <si>
    <t>48V to 48V, 2채널</t>
    <phoneticPr fontId="6" type="noConversion"/>
  </si>
  <si>
    <t>단수정리</t>
    <phoneticPr fontId="6" type="noConversion"/>
  </si>
  <si>
    <t>물가자료(24.03)</t>
    <phoneticPr fontId="6" type="noConversion"/>
  </si>
  <si>
    <t>9-3.  안   전   시   방   서</t>
    <phoneticPr fontId="6" type="noConversion"/>
  </si>
  <si>
    <t>9-4.  품   질   시   방   서</t>
    <phoneticPr fontId="6" type="noConversion"/>
  </si>
  <si>
    <t>9-5.  환   경   시   방   서</t>
    <phoneticPr fontId="6" type="noConversion"/>
  </si>
  <si>
    <t>9-6.  계  약  특  수  조  건</t>
    <phoneticPr fontId="6" type="noConversion"/>
  </si>
  <si>
    <t xml:space="preserve">10-2.  PIA, NAC, HUB 및 전원설비 시설도 </t>
    <phoneticPr fontId="6" type="noConversion"/>
  </si>
  <si>
    <t>10-3.  송변전용 광단말장치 케이블 포설 LIST</t>
    <phoneticPr fontId="6" type="noConversion"/>
  </si>
  <si>
    <t>10-4.  전원설비 용량산출서</t>
    <phoneticPr fontId="6" type="noConversion"/>
  </si>
  <si>
    <r>
      <t xml:space="preserve">   방전시간 : 3시간 적용 </t>
    </r>
    <r>
      <rPr>
        <sz val="10"/>
        <color indexed="8"/>
        <rFont val="맑은 고딕"/>
        <family val="3"/>
        <charset val="129"/>
      </rPr>
      <t>[정보통신설비 운영지침 제18조 ⑤ 예비전원설비 설치운영기준 - 변전소 ICT실 적용]</t>
    </r>
    <phoneticPr fontId="6" type="noConversion"/>
  </si>
  <si>
    <t>※ 1.2 : Design Margin 20%</t>
    <phoneticPr fontId="6" type="noConversion"/>
  </si>
  <si>
    <t>방전전류(부하전류)</t>
    <phoneticPr fontId="6" type="noConversion"/>
  </si>
  <si>
    <t>I</t>
    <phoneticPr fontId="6" type="noConversion"/>
  </si>
  <si>
    <t>4시간율</t>
    <phoneticPr fontId="6" type="noConversion"/>
  </si>
  <si>
    <t>3시간율</t>
    <phoneticPr fontId="6" type="noConversion"/>
  </si>
  <si>
    <t>방전율에 있어서 용량저하율</t>
    <phoneticPr fontId="6" type="noConversion"/>
  </si>
  <si>
    <t>p</t>
    <phoneticPr fontId="6" type="noConversion"/>
  </si>
  <si>
    <t>온도에 의한 용량저하율</t>
    <phoneticPr fontId="6" type="noConversion"/>
  </si>
  <si>
    <t>θ</t>
    <phoneticPr fontId="6" type="noConversion"/>
  </si>
  <si>
    <t>TRS이동중계국</t>
    <phoneticPr fontId="6" type="noConversion"/>
  </si>
  <si>
    <t>AH(규격최소용량)</t>
    <phoneticPr fontId="6" type="noConversion"/>
  </si>
  <si>
    <t>∴</t>
  </si>
  <si>
    <t>ICT실(RTU시설개소)</t>
    <phoneticPr fontId="6" type="noConversion"/>
  </si>
  <si>
    <t>AH</t>
    <phoneticPr fontId="6" type="noConversion"/>
  </si>
  <si>
    <t>=</t>
    <phoneticPr fontId="6" type="noConversion"/>
  </si>
  <si>
    <t>방전시간(h)</t>
    <phoneticPr fontId="6" type="noConversion"/>
  </si>
  <si>
    <t>T</t>
    <phoneticPr fontId="6" type="noConversion"/>
  </si>
  <si>
    <t>보수율,경년용량저하율(충방전시 손실보정)</t>
    <phoneticPr fontId="6" type="noConversion"/>
  </si>
  <si>
    <t>L</t>
    <phoneticPr fontId="6" type="noConversion"/>
  </si>
  <si>
    <t>※ 계산식) 충전기용 축전지 용량</t>
    <phoneticPr fontId="6" type="noConversion"/>
  </si>
  <si>
    <t>값</t>
    <phoneticPr fontId="6" type="noConversion"/>
  </si>
  <si>
    <t>설명</t>
    <phoneticPr fontId="6" type="noConversion"/>
  </si>
  <si>
    <t>기호</t>
    <phoneticPr fontId="6" type="noConversion"/>
  </si>
  <si>
    <t>50A 모듈 2개 용량에 N+1 운영에 따라</t>
    <phoneticPr fontId="6" type="noConversion"/>
  </si>
  <si>
    <t>○</t>
    <phoneticPr fontId="6" type="noConversion"/>
  </si>
  <si>
    <t>연축전지</t>
    <phoneticPr fontId="6" type="noConversion"/>
  </si>
  <si>
    <t>충전시간율, 공칭용량</t>
    <phoneticPr fontId="6" type="noConversion"/>
  </si>
  <si>
    <t>K</t>
    <phoneticPr fontId="6" type="noConversion"/>
  </si>
  <si>
    <t>축전지 용량</t>
    <phoneticPr fontId="6" type="noConversion"/>
  </si>
  <si>
    <t>A(시중판매용량)</t>
    <phoneticPr fontId="6" type="noConversion"/>
  </si>
  <si>
    <t>∴</t>
    <phoneticPr fontId="6" type="noConversion"/>
  </si>
  <si>
    <t>부하전류</t>
    <phoneticPr fontId="6" type="noConversion"/>
  </si>
  <si>
    <t>A</t>
    <phoneticPr fontId="6" type="noConversion"/>
  </si>
  <si>
    <t xml:space="preserve">     =</t>
    <phoneticPr fontId="6" type="noConversion"/>
  </si>
  <si>
    <t>※ 계산식)-충전기용량</t>
    <phoneticPr fontId="6" type="noConversion"/>
  </si>
  <si>
    <t>※ 총소비전력은 장비의 Full 카드실장 및 기능 업그레이드가 최대 반영된 소비전력임</t>
    <phoneticPr fontId="19" type="noConversion"/>
  </si>
  <si>
    <t>합계</t>
    <phoneticPr fontId="19" type="noConversion"/>
  </si>
  <si>
    <t>예비</t>
    <phoneticPr fontId="19" type="noConversion"/>
  </si>
  <si>
    <t>DC</t>
    <phoneticPr fontId="19" type="noConversion"/>
  </si>
  <si>
    <t>향후기타추가적인 부하예상</t>
    <phoneticPr fontId="19" type="noConversion"/>
  </si>
  <si>
    <t>기타설비</t>
    <phoneticPr fontId="19" type="noConversion"/>
  </si>
  <si>
    <t>무인보안 광스위치(COT) 등</t>
    <phoneticPr fontId="19" type="noConversion"/>
  </si>
  <si>
    <t>포인트연결어댑터</t>
    <phoneticPr fontId="19" type="noConversion"/>
  </si>
  <si>
    <t>OMS, CMS</t>
    <phoneticPr fontId="19" type="noConversion"/>
  </si>
  <si>
    <t>광전송/PCM단국장치</t>
    <phoneticPr fontId="19" type="noConversion"/>
  </si>
  <si>
    <t>POE</t>
    <phoneticPr fontId="19" type="noConversion"/>
  </si>
  <si>
    <t>PITR</t>
    <phoneticPr fontId="19" type="noConversion"/>
  </si>
  <si>
    <t>L3SWU</t>
    <phoneticPr fontId="19" type="noConversion"/>
  </si>
  <si>
    <t>송변전광단말장치</t>
    <phoneticPr fontId="19" type="noConversion"/>
  </si>
  <si>
    <t>PTP</t>
    <phoneticPr fontId="19" type="noConversion"/>
  </si>
  <si>
    <t>확장장치</t>
    <phoneticPr fontId="19" type="noConversion"/>
  </si>
  <si>
    <t>주장치</t>
    <phoneticPr fontId="19" type="noConversion"/>
  </si>
  <si>
    <t>총소비
전력[W]</t>
    <phoneticPr fontId="6" type="noConversion"/>
  </si>
  <si>
    <t>총소비
전류[I]</t>
    <phoneticPr fontId="6" type="noConversion"/>
  </si>
  <si>
    <t>소비전력
[W]</t>
    <phoneticPr fontId="6" type="noConversion"/>
  </si>
  <si>
    <t>전류
[I]</t>
  </si>
  <si>
    <t>전압
[V]</t>
  </si>
  <si>
    <t>총 용량</t>
    <phoneticPr fontId="6" type="noConversion"/>
  </si>
  <si>
    <t>수량</t>
  </si>
  <si>
    <t>단위별</t>
  </si>
  <si>
    <t>상세내용</t>
  </si>
  <si>
    <t>설비명</t>
  </si>
  <si>
    <t>○ DC부하용량산출</t>
    <phoneticPr fontId="6" type="noConversion"/>
  </si>
  <si>
    <t>□ 전원용량산출</t>
    <phoneticPr fontId="6" type="noConversion"/>
  </si>
  <si>
    <t>□ 대상구간</t>
    <phoneticPr fontId="6" type="noConversion"/>
  </si>
  <si>
    <t xml:space="preserve">    </t>
    <phoneticPr fontId="6" type="noConversion"/>
  </si>
  <si>
    <t>   </t>
  </si>
  <si>
    <t>※ 계산식) UPS용 축전지 용량</t>
    <phoneticPr fontId="6" type="noConversion"/>
  </si>
  <si>
    <t>PFC 부하 : 역률보상소자가 사용된 부하(서버, 교환기, 통신장비 등)</t>
    <phoneticPr fontId="6" type="noConversion"/>
  </si>
  <si>
    <t>SMPS 부하 : 스위칭파워소자가 사용된 부하 (PC, 스위치, 라우터 등)</t>
    <phoneticPr fontId="6" type="noConversion"/>
  </si>
  <si>
    <t>UPS 역률</t>
    <phoneticPr fontId="6" type="noConversion"/>
  </si>
  <si>
    <t>p.fu</t>
    <phoneticPr fontId="6" type="noConversion"/>
  </si>
  <si>
    <t>PFC부하</t>
    <phoneticPr fontId="6" type="noConversion"/>
  </si>
  <si>
    <t>kVA(규격최소용량)</t>
    <phoneticPr fontId="6" type="noConversion"/>
  </si>
  <si>
    <t>SMPS부하</t>
    <phoneticPr fontId="6" type="noConversion"/>
  </si>
  <si>
    <t>부하역률</t>
    <phoneticPr fontId="6" type="noConversion"/>
  </si>
  <si>
    <t>p.fl</t>
    <phoneticPr fontId="6" type="noConversion"/>
  </si>
  <si>
    <t>kVA</t>
  </si>
  <si>
    <t>향후 증설용량(현재부하의 20%)</t>
    <phoneticPr fontId="6" type="noConversion"/>
  </si>
  <si>
    <t>Pf</t>
    <phoneticPr fontId="6" type="noConversion"/>
  </si>
  <si>
    <t>부하용량(kW)</t>
    <phoneticPr fontId="6" type="noConversion"/>
  </si>
  <si>
    <t>Pw</t>
    <phoneticPr fontId="6" type="noConversion"/>
  </si>
  <si>
    <t>※ 계산식) UPS 용량</t>
    <phoneticPr fontId="6" type="noConversion"/>
  </si>
  <si>
    <t>※ 총소비전력은 장비의 Full 카드실장 및 기능 업그레이드가 최대 반영된 소비전력임</t>
  </si>
  <si>
    <t>합           계</t>
  </si>
  <si>
    <t>소     계</t>
  </si>
  <si>
    <t>AC</t>
  </si>
  <si>
    <t>향후기타추가적인 부하예상</t>
    <phoneticPr fontId="6" type="noConversion"/>
  </si>
  <si>
    <t>TV증폭기함</t>
  </si>
  <si>
    <t>IDF/VDF RACK</t>
    <phoneticPr fontId="6" type="noConversion"/>
  </si>
  <si>
    <t>IP계통</t>
    <phoneticPr fontId="6" type="noConversion"/>
  </si>
  <si>
    <t>IP계통운영통신시스템</t>
    <phoneticPr fontId="6" type="noConversion"/>
  </si>
  <si>
    <t>OMS / CMS</t>
    <phoneticPr fontId="6" type="noConversion"/>
  </si>
  <si>
    <t>광전송/PCM단국장치</t>
    <phoneticPr fontId="6" type="noConversion"/>
  </si>
  <si>
    <t>POE</t>
    <phoneticPr fontId="6" type="noConversion"/>
  </si>
  <si>
    <t>PITR</t>
    <phoneticPr fontId="6" type="noConversion"/>
  </si>
  <si>
    <t>L3SWU</t>
    <phoneticPr fontId="6" type="noConversion"/>
  </si>
  <si>
    <t>송변전광단말장치</t>
    <phoneticPr fontId="6" type="noConversion"/>
  </si>
  <si>
    <t>PTP</t>
    <phoneticPr fontId="6" type="noConversion"/>
  </si>
  <si>
    <t>확장장치</t>
    <phoneticPr fontId="6" type="noConversion"/>
  </si>
  <si>
    <t>감시정보(모장치)</t>
    <phoneticPr fontId="6" type="noConversion"/>
  </si>
  <si>
    <t>PFC
부하</t>
    <phoneticPr fontId="6" type="noConversion"/>
  </si>
  <si>
    <t>출입관리/침투감시</t>
    <phoneticPr fontId="6" type="noConversion"/>
  </si>
  <si>
    <t>본체, 모니터 등</t>
    <phoneticPr fontId="6" type="noConversion"/>
  </si>
  <si>
    <t>컴퓨터</t>
    <phoneticPr fontId="6" type="noConversion"/>
  </si>
  <si>
    <t>스위치,허브 등</t>
  </si>
  <si>
    <t>LAN장비</t>
  </si>
  <si>
    <t>앰프 등</t>
    <phoneticPr fontId="6" type="noConversion"/>
  </si>
  <si>
    <t>전관방송</t>
    <phoneticPr fontId="6" type="noConversion"/>
  </si>
  <si>
    <t>네트워크 접근통제</t>
    <phoneticPr fontId="6" type="noConversion"/>
  </si>
  <si>
    <t>PDAS(RT)</t>
    <phoneticPr fontId="6" type="noConversion"/>
  </si>
  <si>
    <t>보호계전기 데이터 원격취득 장치</t>
    <phoneticPr fontId="6" type="noConversion"/>
  </si>
  <si>
    <t>RTU</t>
    <phoneticPr fontId="6" type="noConversion"/>
  </si>
  <si>
    <t>스카다RTU</t>
    <phoneticPr fontId="6" type="noConversion"/>
  </si>
  <si>
    <t>SMPS
부하</t>
    <phoneticPr fontId="6" type="noConversion"/>
  </si>
  <si>
    <t>비상통신망</t>
    <phoneticPr fontId="6" type="noConversion"/>
  </si>
  <si>
    <t>전력구 비상통신설비</t>
    <phoneticPr fontId="6" type="noConversion"/>
  </si>
  <si>
    <t>총소비
전력[W]</t>
  </si>
  <si>
    <t>총소비
전류[I]</t>
  </si>
  <si>
    <t>소비전력
[W]</t>
  </si>
  <si>
    <t>○ AC부하용량산출</t>
    <phoneticPr fontId="6" type="noConversion"/>
  </si>
  <si>
    <t>품38-1</t>
    <phoneticPr fontId="60" type="noConversion"/>
  </si>
  <si>
    <t>픔38-2</t>
    <phoneticPr fontId="60" type="noConversion"/>
  </si>
  <si>
    <t>품38-3</t>
    <phoneticPr fontId="60" type="noConversion"/>
  </si>
  <si>
    <t>품43-1</t>
    <phoneticPr fontId="6" type="noConversion"/>
  </si>
  <si>
    <t>품43-2</t>
    <phoneticPr fontId="60" type="noConversion"/>
  </si>
  <si>
    <t>품44-2</t>
    <phoneticPr fontId="60" type="noConversion"/>
  </si>
  <si>
    <t>품44-3</t>
    <phoneticPr fontId="60" type="noConversion"/>
  </si>
  <si>
    <t>가. 500kV HVDC 동해안-신가평 건설 계획과 연계한 전력통신망 제공</t>
    <phoneticPr fontId="49" type="noConversion"/>
  </si>
  <si>
    <t>광전송
(단말)
장치</t>
    <phoneticPr fontId="6" type="noConversion"/>
  </si>
  <si>
    <t>적용율 (산업환경설비(건축) 적용,  '24.04.01)</t>
    <phoneticPr fontId="95" type="noConversion"/>
  </si>
  <si>
    <t>[조달(공사)-588(24.3.20), 조달청 원가계산 간접공사비(제비율) 적용기준」변경사항 알림</t>
    <phoneticPr fontId="95" type="noConversion"/>
  </si>
  <si>
    <t>통합형, EM LOCK</t>
    <phoneticPr fontId="60" type="noConversion"/>
  </si>
  <si>
    <t>멀티모드, 시험</t>
    <phoneticPr fontId="60" type="noConversion"/>
  </si>
  <si>
    <t>실드케이블, 2열 동시 : 180%</t>
    <phoneticPr fontId="4" type="noConversion"/>
  </si>
  <si>
    <t>실드케이블, 3열 동시 : 260%</t>
    <phoneticPr fontId="4" type="noConversion"/>
  </si>
  <si>
    <t>실드케이블</t>
    <phoneticPr fontId="60" type="noConversion"/>
  </si>
  <si>
    <t>ERP단가
(계약이전)</t>
    <phoneticPr fontId="6" type="noConversion"/>
  </si>
  <si>
    <t>ERP단가</t>
    <phoneticPr fontId="6" type="noConversion"/>
  </si>
  <si>
    <t>ERP단가</t>
    <phoneticPr fontId="6" type="noConversion"/>
  </si>
  <si>
    <t>금액</t>
    <phoneticPr fontId="60" type="noConversion"/>
  </si>
  <si>
    <t>단가</t>
    <phoneticPr fontId="60" type="noConversion"/>
  </si>
  <si>
    <t>노무비</t>
    <phoneticPr fontId="11" type="noConversion"/>
  </si>
  <si>
    <t>할증비</t>
    <phoneticPr fontId="60" type="noConversion"/>
  </si>
  <si>
    <t>실드케이블 120%</t>
    <phoneticPr fontId="60" type="noConversion"/>
  </si>
  <si>
    <t>공구손료용</t>
    <phoneticPr fontId="60" type="noConversion"/>
  </si>
  <si>
    <t>실드케이블</t>
    <phoneticPr fontId="60" type="noConversion"/>
  </si>
  <si>
    <t>천정속,마루밑공사 130%</t>
    <phoneticPr fontId="60" type="noConversion"/>
  </si>
  <si>
    <t>공구손료용</t>
    <phoneticPr fontId="6" type="noConversion"/>
  </si>
  <si>
    <t>옥내포설 150%</t>
    <phoneticPr fontId="60" type="noConversion"/>
  </si>
  <si>
    <t>노출 120%</t>
    <phoneticPr fontId="60" type="noConversion"/>
  </si>
  <si>
    <t>천정속, 마루밑공사 130%</t>
    <phoneticPr fontId="60" type="noConversion"/>
  </si>
  <si>
    <t>공구손료용</t>
    <phoneticPr fontId="60" type="noConversion"/>
  </si>
  <si>
    <t>2열 동시(180%), 실드케이블</t>
    <phoneticPr fontId="60" type="noConversion"/>
  </si>
  <si>
    <t>실드케이블(120%)</t>
    <phoneticPr fontId="60" type="noConversion"/>
  </si>
  <si>
    <t>2심은 140%, 실드케이블</t>
    <phoneticPr fontId="60" type="noConversion"/>
  </si>
  <si>
    <t>8-8. 공구손료 산출내역</t>
    <phoneticPr fontId="11" type="noConversion"/>
  </si>
  <si>
    <t>공구손료 할증분 합계</t>
    <phoneticPr fontId="60" type="noConversion"/>
  </si>
  <si>
    <t>-</t>
    <phoneticPr fontId="6" type="noConversion"/>
  </si>
  <si>
    <t>8-3. 노 무 임 수 량 산 출 내 역</t>
    <phoneticPr fontId="11" type="noConversion"/>
  </si>
  <si>
    <t>8-4. 일 위 대 가 표</t>
    <phoneticPr fontId="11" type="noConversion"/>
  </si>
  <si>
    <t>8-7. 공사비 산출 적용근거</t>
    <phoneticPr fontId="6" type="noConversion"/>
  </si>
  <si>
    <t>1.  공  사  계  획  서</t>
    <phoneticPr fontId="6" type="noConversion"/>
  </si>
  <si>
    <t>2.  공  사  설  명  서</t>
    <phoneticPr fontId="6" type="noConversion"/>
  </si>
  <si>
    <t>3.  공  사  비  총  괄  표</t>
    <phoneticPr fontId="28" type="noConversion"/>
  </si>
  <si>
    <t>4.  자  금  계  획  서</t>
    <phoneticPr fontId="6" type="noConversion"/>
  </si>
  <si>
    <t>5.  예  정  공  정  표</t>
    <phoneticPr fontId="6" type="noConversion"/>
  </si>
  <si>
    <t>6.  공 사 비 예 산 서</t>
    <phoneticPr fontId="6" type="noConversion"/>
  </si>
  <si>
    <t>7.  설  계  명  세  서</t>
    <phoneticPr fontId="6" type="noConversion"/>
  </si>
  <si>
    <t>8.  설  비  자  재  산  출</t>
    <phoneticPr fontId="35" type="noConversion"/>
  </si>
  <si>
    <t>9.  공  사  시  방  서</t>
    <phoneticPr fontId="6" type="noConversion"/>
  </si>
  <si>
    <t>10.  시   설   도   면</t>
    <phoneticPr fontId="6" type="noConversion"/>
  </si>
  <si>
    <t>8-1-1. 자 재 수 량 산 출 내 역( 전 력 통 신 )</t>
    <phoneticPr fontId="11" type="noConversion"/>
  </si>
  <si>
    <t>8-1-2. 자 재 수 량 산 출 내 역 ( 무 인 보 안 )</t>
    <phoneticPr fontId="6" type="noConversion"/>
  </si>
  <si>
    <t>10-1. 송변전용 광단말장치 구성도</t>
    <phoneticPr fontId="11" type="noConversion"/>
  </si>
  <si>
    <t>10-2. 전원설비 구성도</t>
    <phoneticPr fontId="11" type="noConversion"/>
  </si>
  <si>
    <t>10-2. LAN, EPIA, PDAS 구성도</t>
    <phoneticPr fontId="11" type="noConversion"/>
  </si>
  <si>
    <t>10-2. IP계통운영통신시스템 구성도</t>
    <phoneticPr fontId="11" type="noConversion"/>
  </si>
  <si>
    <t>1. 송변전용 광단말장치</t>
    <phoneticPr fontId="6" type="noConversion"/>
  </si>
  <si>
    <t xml:space="preserve"> 동해안#1 변환소 전력통신설비 시설공사</t>
    <phoneticPr fontId="28" type="noConversion"/>
  </si>
  <si>
    <t>'24년하반기
시중노임   ('24.09 발표)</t>
  </si>
  <si>
    <t>'25년상반기
시중노임   ('25.01 발표)</t>
  </si>
  <si>
    <t>1. 송변전광전송단말장치</t>
    <phoneticPr fontId="6" type="noConversion"/>
  </si>
  <si>
    <t>2. 전원설비</t>
    <phoneticPr fontId="11" type="noConversion"/>
  </si>
  <si>
    <t>동해안#1</t>
  </si>
  <si>
    <t>동해안#1</t>
    <phoneticPr fontId="6" type="noConversion"/>
  </si>
  <si>
    <t>동강CH</t>
  </si>
  <si>
    <t>동강CH</t>
    <phoneticPr fontId="6" type="noConversion"/>
  </si>
  <si>
    <t>신태백S/S</t>
  </si>
  <si>
    <t>신태백S/S</t>
    <phoneticPr fontId="11" type="noConversion"/>
  </si>
  <si>
    <t>신설 변전소당 1식</t>
    <phoneticPr fontId="6" type="noConversion"/>
  </si>
  <si>
    <t>5kVA 입력 3상4선 출력 단상, 내진랙(19")</t>
  </si>
  <si>
    <t>12V/100AH, UPS용</t>
    <phoneticPr fontId="11" type="noConversion"/>
  </si>
  <si>
    <t>충전기용(AC설비)</t>
  </si>
  <si>
    <t>신설 충전기당 4개</t>
  </si>
  <si>
    <t>설비관리동</t>
    <phoneticPr fontId="60" type="noConversion"/>
  </si>
  <si>
    <t>지상5층</t>
    <phoneticPr fontId="60" type="noConversion"/>
  </si>
  <si>
    <t>CAM#B01</t>
    <phoneticPr fontId="60" type="noConversion"/>
  </si>
  <si>
    <t>CAM#B02</t>
    <phoneticPr fontId="60" type="noConversion"/>
  </si>
  <si>
    <t>CAM#101</t>
    <phoneticPr fontId="60" type="noConversion"/>
  </si>
  <si>
    <t>RT#101</t>
  </si>
  <si>
    <t>CAM#102</t>
    <phoneticPr fontId="60" type="noConversion"/>
  </si>
  <si>
    <t>CAM#103</t>
    <phoneticPr fontId="60" type="noConversion"/>
  </si>
  <si>
    <t>CAM#104</t>
    <phoneticPr fontId="60" type="noConversion"/>
  </si>
  <si>
    <t>CAM#105</t>
    <phoneticPr fontId="6" type="noConversion"/>
  </si>
  <si>
    <t>CAM#106</t>
    <phoneticPr fontId="6" type="noConversion"/>
  </si>
  <si>
    <t>RT#103</t>
    <phoneticPr fontId="6" type="noConversion"/>
  </si>
  <si>
    <t>CAM#107</t>
    <phoneticPr fontId="6" type="noConversion"/>
  </si>
  <si>
    <t>CAM#108</t>
    <phoneticPr fontId="6" type="noConversion"/>
  </si>
  <si>
    <t>CAM#109</t>
    <phoneticPr fontId="6" type="noConversion"/>
  </si>
  <si>
    <t>CAM#110</t>
    <phoneticPr fontId="6" type="noConversion"/>
  </si>
  <si>
    <t>RT#104</t>
    <phoneticPr fontId="6" type="noConversion"/>
  </si>
  <si>
    <t>CAM#111</t>
    <phoneticPr fontId="6" type="noConversion"/>
  </si>
  <si>
    <t>CAM#112</t>
    <phoneticPr fontId="6" type="noConversion"/>
  </si>
  <si>
    <t>CAM#113</t>
    <phoneticPr fontId="6" type="noConversion"/>
  </si>
  <si>
    <t>CAM#114</t>
    <phoneticPr fontId="6" type="noConversion"/>
  </si>
  <si>
    <t>RT#105</t>
    <phoneticPr fontId="6" type="noConversion"/>
  </si>
  <si>
    <t>CAM#115</t>
    <phoneticPr fontId="6" type="noConversion"/>
  </si>
  <si>
    <t>CAM#116</t>
    <phoneticPr fontId="6" type="noConversion"/>
  </si>
  <si>
    <t>CAM#117</t>
    <phoneticPr fontId="6" type="noConversion"/>
  </si>
  <si>
    <t>지상2층</t>
  </si>
  <si>
    <t>RT#201</t>
    <phoneticPr fontId="6" type="noConversion"/>
  </si>
  <si>
    <t>CAM#201</t>
    <phoneticPr fontId="6" type="noConversion"/>
  </si>
  <si>
    <t>CAM#202</t>
    <phoneticPr fontId="6" type="noConversion"/>
  </si>
  <si>
    <t>CAM#203</t>
    <phoneticPr fontId="6" type="noConversion"/>
  </si>
  <si>
    <t>CAM#204</t>
    <phoneticPr fontId="6" type="noConversion"/>
  </si>
  <si>
    <t>CAM#205</t>
    <phoneticPr fontId="6" type="noConversion"/>
  </si>
  <si>
    <t>CAM#206</t>
    <phoneticPr fontId="6" type="noConversion"/>
  </si>
  <si>
    <t>RT#202</t>
    <phoneticPr fontId="6" type="noConversion"/>
  </si>
  <si>
    <t>CAM#207</t>
    <phoneticPr fontId="6" type="noConversion"/>
  </si>
  <si>
    <t>CAM#208</t>
    <phoneticPr fontId="6" type="noConversion"/>
  </si>
  <si>
    <t>CAM#209</t>
    <phoneticPr fontId="6" type="noConversion"/>
  </si>
  <si>
    <t>CAM#210</t>
    <phoneticPr fontId="6" type="noConversion"/>
  </si>
  <si>
    <t>CAM#211</t>
    <phoneticPr fontId="6" type="noConversion"/>
  </si>
  <si>
    <t>CAM#212</t>
    <phoneticPr fontId="6" type="noConversion"/>
  </si>
  <si>
    <t>RT#203</t>
    <phoneticPr fontId="6" type="noConversion"/>
  </si>
  <si>
    <t>CAM#213</t>
    <phoneticPr fontId="6" type="noConversion"/>
  </si>
  <si>
    <t>CAM#214</t>
    <phoneticPr fontId="6" type="noConversion"/>
  </si>
  <si>
    <t>CAM#216</t>
    <phoneticPr fontId="6" type="noConversion"/>
  </si>
  <si>
    <t>CAM#215</t>
    <phoneticPr fontId="6" type="noConversion"/>
  </si>
  <si>
    <t>CAM#217</t>
    <phoneticPr fontId="6" type="noConversion"/>
  </si>
  <si>
    <t>CAM#218</t>
    <phoneticPr fontId="6" type="noConversion"/>
  </si>
  <si>
    <t>지상3층</t>
  </si>
  <si>
    <t>지상3층</t>
    <phoneticPr fontId="6" type="noConversion"/>
  </si>
  <si>
    <t>CAM#301</t>
    <phoneticPr fontId="6" type="noConversion"/>
  </si>
  <si>
    <t>CAM#302</t>
    <phoneticPr fontId="6" type="noConversion"/>
  </si>
  <si>
    <t>CAM#303</t>
    <phoneticPr fontId="6" type="noConversion"/>
  </si>
  <si>
    <t>CAM#304</t>
    <phoneticPr fontId="6" type="noConversion"/>
  </si>
  <si>
    <t>지상4층</t>
    <phoneticPr fontId="60" type="noConversion"/>
  </si>
  <si>
    <t>RT#301</t>
  </si>
  <si>
    <t>RT#301</t>
    <phoneticPr fontId="6" type="noConversion"/>
  </si>
  <si>
    <t>RT#401</t>
    <phoneticPr fontId="6" type="noConversion"/>
  </si>
  <si>
    <t>CAM#401</t>
    <phoneticPr fontId="6" type="noConversion"/>
  </si>
  <si>
    <t>CAM#402</t>
    <phoneticPr fontId="6" type="noConversion"/>
  </si>
  <si>
    <t>CAM#403</t>
    <phoneticPr fontId="6" type="noConversion"/>
  </si>
  <si>
    <t>CAM#404</t>
    <phoneticPr fontId="6" type="noConversion"/>
  </si>
  <si>
    <t>RT#402</t>
    <phoneticPr fontId="6" type="noConversion"/>
  </si>
  <si>
    <t>CAM#405</t>
    <phoneticPr fontId="6" type="noConversion"/>
  </si>
  <si>
    <t>CAM#406</t>
    <phoneticPr fontId="6" type="noConversion"/>
  </si>
  <si>
    <t>CAM#407</t>
    <phoneticPr fontId="6" type="noConversion"/>
  </si>
  <si>
    <t>CAM#408</t>
    <phoneticPr fontId="6" type="noConversion"/>
  </si>
  <si>
    <t>RT#403</t>
    <phoneticPr fontId="6" type="noConversion"/>
  </si>
  <si>
    <t>CAM#409</t>
    <phoneticPr fontId="6" type="noConversion"/>
  </si>
  <si>
    <t xml:space="preserve"> </t>
    <phoneticPr fontId="6" type="noConversion"/>
  </si>
  <si>
    <t>CAM#410</t>
    <phoneticPr fontId="6" type="noConversion"/>
  </si>
  <si>
    <t>CAM#411</t>
    <phoneticPr fontId="6" type="noConversion"/>
  </si>
  <si>
    <t>CAM#412</t>
    <phoneticPr fontId="6" type="noConversion"/>
  </si>
  <si>
    <t>RT#501</t>
    <phoneticPr fontId="60" type="noConversion"/>
  </si>
  <si>
    <t>CAM#501</t>
    <phoneticPr fontId="6" type="noConversion"/>
  </si>
  <si>
    <t>CAM#502</t>
    <phoneticPr fontId="6" type="noConversion"/>
  </si>
  <si>
    <t>CAM#503</t>
    <phoneticPr fontId="6" type="noConversion"/>
  </si>
  <si>
    <t>CAM#504</t>
    <phoneticPr fontId="6" type="noConversion"/>
  </si>
  <si>
    <t>CAM#505</t>
    <phoneticPr fontId="6" type="noConversion"/>
  </si>
  <si>
    <t>RT#502</t>
    <phoneticPr fontId="60" type="noConversion"/>
  </si>
  <si>
    <t>CAM#507</t>
    <phoneticPr fontId="6" type="noConversion"/>
  </si>
  <si>
    <t>CAM#506</t>
    <phoneticPr fontId="6" type="noConversion"/>
  </si>
  <si>
    <t>RT#503</t>
    <phoneticPr fontId="60" type="noConversion"/>
  </si>
  <si>
    <t>CAM#508</t>
    <phoneticPr fontId="6" type="noConversion"/>
  </si>
  <si>
    <t>CAM#509</t>
    <phoneticPr fontId="6" type="noConversion"/>
  </si>
  <si>
    <t>CAM#510</t>
    <phoneticPr fontId="6" type="noConversion"/>
  </si>
  <si>
    <t>CAM#511</t>
    <phoneticPr fontId="6" type="noConversion"/>
  </si>
  <si>
    <t>CAM#512</t>
    <phoneticPr fontId="6" type="noConversion"/>
  </si>
  <si>
    <t>CAM#513</t>
    <phoneticPr fontId="6" type="noConversion"/>
  </si>
  <si>
    <t>CAM#514</t>
    <phoneticPr fontId="6" type="noConversion"/>
  </si>
  <si>
    <t>CAM#515</t>
    <phoneticPr fontId="6" type="noConversion"/>
  </si>
  <si>
    <t>CAM#516</t>
    <phoneticPr fontId="6" type="noConversion"/>
  </si>
  <si>
    <t>CAM#517</t>
    <phoneticPr fontId="6" type="noConversion"/>
  </si>
  <si>
    <t>CAM#518</t>
    <phoneticPr fontId="6" type="noConversion"/>
  </si>
  <si>
    <t>CAM#519</t>
    <phoneticPr fontId="6" type="noConversion"/>
  </si>
  <si>
    <t>RT#504</t>
    <phoneticPr fontId="60" type="noConversion"/>
  </si>
  <si>
    <t>RT#A101</t>
    <phoneticPr fontId="60" type="noConversion"/>
  </si>
  <si>
    <t>CAM#A101</t>
    <phoneticPr fontId="6" type="noConversion"/>
  </si>
  <si>
    <t>CA 74번</t>
    <phoneticPr fontId="6" type="noConversion"/>
  </si>
  <si>
    <t>CAM#A102</t>
    <phoneticPr fontId="6" type="noConversion"/>
  </si>
  <si>
    <t>RT#A102</t>
    <phoneticPr fontId="60" type="noConversion"/>
  </si>
  <si>
    <t>CAM#A103</t>
    <phoneticPr fontId="6" type="noConversion"/>
  </si>
  <si>
    <t>CAM#A104</t>
    <phoneticPr fontId="6" type="noConversion"/>
  </si>
  <si>
    <t>RT#A103</t>
    <phoneticPr fontId="60" type="noConversion"/>
  </si>
  <si>
    <t>RT#A104</t>
    <phoneticPr fontId="60" type="noConversion"/>
  </si>
  <si>
    <t>RT#B101</t>
    <phoneticPr fontId="60" type="noConversion"/>
  </si>
  <si>
    <t>CAM#B101</t>
    <phoneticPr fontId="6" type="noConversion"/>
  </si>
  <si>
    <t>CAM#B102</t>
    <phoneticPr fontId="6" type="noConversion"/>
  </si>
  <si>
    <t>CAM#전력구</t>
    <phoneticPr fontId="60" type="noConversion"/>
  </si>
  <si>
    <t>RT#B102</t>
    <phoneticPr fontId="60" type="noConversion"/>
  </si>
  <si>
    <t>CAM#B103</t>
    <phoneticPr fontId="6" type="noConversion"/>
  </si>
  <si>
    <t>CAM#B104</t>
    <phoneticPr fontId="6" type="noConversion"/>
  </si>
  <si>
    <t>RT#B103</t>
    <phoneticPr fontId="60" type="noConversion"/>
  </si>
  <si>
    <t>CAM#B111</t>
    <phoneticPr fontId="6" type="noConversion"/>
  </si>
  <si>
    <t>CAM#B110</t>
    <phoneticPr fontId="6" type="noConversion"/>
  </si>
  <si>
    <t>CAM#B105</t>
    <phoneticPr fontId="6" type="noConversion"/>
  </si>
  <si>
    <t>CAM#B106</t>
    <phoneticPr fontId="6" type="noConversion"/>
  </si>
  <si>
    <t>CAM#B109</t>
    <phoneticPr fontId="6" type="noConversion"/>
  </si>
  <si>
    <t>RT#B104</t>
    <phoneticPr fontId="60" type="noConversion"/>
  </si>
  <si>
    <t>CAM#B112</t>
    <phoneticPr fontId="6" type="noConversion"/>
  </si>
  <si>
    <t>CAM#B108</t>
    <phoneticPr fontId="6" type="noConversion"/>
  </si>
  <si>
    <t>CAM#B107</t>
    <phoneticPr fontId="6" type="noConversion"/>
  </si>
  <si>
    <t>RT#C101</t>
    <phoneticPr fontId="60" type="noConversion"/>
  </si>
  <si>
    <t>CAM#C101</t>
    <phoneticPr fontId="6" type="noConversion"/>
  </si>
  <si>
    <t>CAM#C201</t>
    <phoneticPr fontId="6" type="noConversion"/>
  </si>
  <si>
    <t>CAM#C301</t>
    <phoneticPr fontId="6" type="noConversion"/>
  </si>
  <si>
    <t>CA 75번</t>
    <phoneticPr fontId="6" type="noConversion"/>
  </si>
  <si>
    <t>CA 77번</t>
    <phoneticPr fontId="6" type="noConversion"/>
  </si>
  <si>
    <t>CA 76번</t>
    <phoneticPr fontId="6" type="noConversion"/>
  </si>
  <si>
    <t>CA 78번</t>
    <phoneticPr fontId="6" type="noConversion"/>
  </si>
  <si>
    <t>CA 79번</t>
    <phoneticPr fontId="6" type="noConversion"/>
  </si>
  <si>
    <t>CA 80번</t>
    <phoneticPr fontId="6" type="noConversion"/>
  </si>
  <si>
    <t>CA 81번</t>
    <phoneticPr fontId="6" type="noConversion"/>
  </si>
  <si>
    <t>CA 82번</t>
    <phoneticPr fontId="6" type="noConversion"/>
  </si>
  <si>
    <t>CA 83번</t>
    <phoneticPr fontId="6" type="noConversion"/>
  </si>
  <si>
    <t>CA 84번</t>
    <phoneticPr fontId="6" type="noConversion"/>
  </si>
  <si>
    <t>CA 85번</t>
    <phoneticPr fontId="6" type="noConversion"/>
  </si>
  <si>
    <t>CA 86번</t>
    <phoneticPr fontId="6" type="noConversion"/>
  </si>
  <si>
    <t>CA 87번</t>
    <phoneticPr fontId="6" type="noConversion"/>
  </si>
  <si>
    <t>CA 88번</t>
    <phoneticPr fontId="6" type="noConversion"/>
  </si>
  <si>
    <t>CA 89번</t>
    <phoneticPr fontId="6" type="noConversion"/>
  </si>
  <si>
    <t>CA 90번</t>
    <phoneticPr fontId="6" type="noConversion"/>
  </si>
  <si>
    <t>CA 91번</t>
    <phoneticPr fontId="6" type="noConversion"/>
  </si>
  <si>
    <t>CA 92번</t>
    <phoneticPr fontId="6" type="noConversion"/>
  </si>
  <si>
    <t>CA 93번</t>
    <phoneticPr fontId="6" type="noConversion"/>
  </si>
  <si>
    <t>CA 94번</t>
    <phoneticPr fontId="6" type="noConversion"/>
  </si>
  <si>
    <t>CA 95번</t>
    <phoneticPr fontId="6" type="noConversion"/>
  </si>
  <si>
    <t>CA 96번</t>
    <phoneticPr fontId="6" type="noConversion"/>
  </si>
  <si>
    <t>CA 97번</t>
    <phoneticPr fontId="6" type="noConversion"/>
  </si>
  <si>
    <t>CA 98번</t>
    <phoneticPr fontId="6" type="noConversion"/>
  </si>
  <si>
    <t>CA 99번</t>
    <phoneticPr fontId="6" type="noConversion"/>
  </si>
  <si>
    <t>CA 100번</t>
    <phoneticPr fontId="6" type="noConversion"/>
  </si>
  <si>
    <t>CA 101번</t>
    <phoneticPr fontId="6" type="noConversion"/>
  </si>
  <si>
    <t>CA 102번</t>
    <phoneticPr fontId="6" type="noConversion"/>
  </si>
  <si>
    <t>CA 103번</t>
    <phoneticPr fontId="6" type="noConversion"/>
  </si>
  <si>
    <t>CA 104번</t>
    <phoneticPr fontId="6" type="noConversion"/>
  </si>
  <si>
    <t>CA 105번</t>
    <phoneticPr fontId="6" type="noConversion"/>
  </si>
  <si>
    <t>CA 106번</t>
    <phoneticPr fontId="6" type="noConversion"/>
  </si>
  <si>
    <t>CA 107번</t>
    <phoneticPr fontId="6" type="noConversion"/>
  </si>
  <si>
    <t>CA 108번</t>
    <phoneticPr fontId="6" type="noConversion"/>
  </si>
  <si>
    <t>CA 109번</t>
    <phoneticPr fontId="6" type="noConversion"/>
  </si>
  <si>
    <t>CA 110번</t>
    <phoneticPr fontId="6" type="noConversion"/>
  </si>
  <si>
    <t>RT#A201</t>
    <phoneticPr fontId="60" type="noConversion"/>
  </si>
  <si>
    <t>CAM#A201</t>
    <phoneticPr fontId="6" type="noConversion"/>
  </si>
  <si>
    <t>CAM#A202</t>
    <phoneticPr fontId="6" type="noConversion"/>
  </si>
  <si>
    <t>CAM#A203</t>
    <phoneticPr fontId="6" type="noConversion"/>
  </si>
  <si>
    <t>CAM#A204</t>
    <phoneticPr fontId="6" type="noConversion"/>
  </si>
  <si>
    <t>CAM#A205</t>
    <phoneticPr fontId="6" type="noConversion"/>
  </si>
  <si>
    <t>RT#B201</t>
    <phoneticPr fontId="60" type="noConversion"/>
  </si>
  <si>
    <t>CAM#B201</t>
    <phoneticPr fontId="6" type="noConversion"/>
  </si>
  <si>
    <t>CAM#B202</t>
    <phoneticPr fontId="6" type="noConversion"/>
  </si>
  <si>
    <t>CAM#B203</t>
    <phoneticPr fontId="6" type="noConversion"/>
  </si>
  <si>
    <t>CAM#B204</t>
    <phoneticPr fontId="6" type="noConversion"/>
  </si>
  <si>
    <t>CAM#B205</t>
    <phoneticPr fontId="6" type="noConversion"/>
  </si>
  <si>
    <t>RT#C401</t>
    <phoneticPr fontId="60" type="noConversion"/>
  </si>
  <si>
    <t>CAM#C401</t>
    <phoneticPr fontId="6" type="noConversion"/>
  </si>
  <si>
    <t>CAM#C402</t>
    <phoneticPr fontId="6" type="noConversion"/>
  </si>
  <si>
    <t>CAM#C403</t>
    <phoneticPr fontId="6" type="noConversion"/>
  </si>
  <si>
    <t>CAM#C404</t>
    <phoneticPr fontId="6" type="noConversion"/>
  </si>
  <si>
    <t>CAM#C405</t>
    <phoneticPr fontId="6" type="noConversion"/>
  </si>
  <si>
    <t>CA 111번</t>
    <phoneticPr fontId="6" type="noConversion"/>
  </si>
  <si>
    <t>RT#옥상1</t>
    <phoneticPr fontId="60" type="noConversion"/>
  </si>
  <si>
    <t>CA 112번</t>
    <phoneticPr fontId="6" type="noConversion"/>
  </si>
  <si>
    <t>CA 113번</t>
    <phoneticPr fontId="6" type="noConversion"/>
  </si>
  <si>
    <t>CA 114번</t>
    <phoneticPr fontId="6" type="noConversion"/>
  </si>
  <si>
    <t>CA 115번</t>
    <phoneticPr fontId="6" type="noConversion"/>
  </si>
  <si>
    <t>CA 116번</t>
    <phoneticPr fontId="6" type="noConversion"/>
  </si>
  <si>
    <t>CA 117번</t>
    <phoneticPr fontId="6" type="noConversion"/>
  </si>
  <si>
    <t>CA 120번</t>
    <phoneticPr fontId="6" type="noConversion"/>
  </si>
  <si>
    <t>옥상층</t>
    <phoneticPr fontId="60" type="noConversion"/>
  </si>
  <si>
    <t>CA 121번</t>
    <phoneticPr fontId="6" type="noConversion"/>
  </si>
  <si>
    <t>CA 122번</t>
    <phoneticPr fontId="60" type="noConversion"/>
  </si>
  <si>
    <t>CA 123번</t>
    <phoneticPr fontId="6" type="noConversion"/>
  </si>
  <si>
    <t>CA 124번</t>
    <phoneticPr fontId="6" type="noConversion"/>
  </si>
  <si>
    <t>CA 125번</t>
    <phoneticPr fontId="6" type="noConversion"/>
  </si>
  <si>
    <t>CA 126번</t>
    <phoneticPr fontId="60" type="noConversion"/>
  </si>
  <si>
    <t>옥외</t>
    <phoneticPr fontId="6" type="noConversion"/>
  </si>
  <si>
    <t>CA 127번</t>
    <phoneticPr fontId="6" type="noConversion"/>
  </si>
  <si>
    <t>RT#01</t>
    <phoneticPr fontId="60" type="noConversion"/>
  </si>
  <si>
    <t>CAM#01</t>
    <phoneticPr fontId="60" type="noConversion"/>
  </si>
  <si>
    <t>RT#02</t>
    <phoneticPr fontId="60" type="noConversion"/>
  </si>
  <si>
    <t>RT#03</t>
    <phoneticPr fontId="60" type="noConversion"/>
  </si>
  <si>
    <t>RT#04</t>
    <phoneticPr fontId="60" type="noConversion"/>
  </si>
  <si>
    <t>RT#05</t>
    <phoneticPr fontId="60" type="noConversion"/>
  </si>
  <si>
    <t>RT#06</t>
    <phoneticPr fontId="60" type="noConversion"/>
  </si>
  <si>
    <t>RT#07</t>
    <phoneticPr fontId="60" type="noConversion"/>
  </si>
  <si>
    <t>RT#A08</t>
    <phoneticPr fontId="60" type="noConversion"/>
  </si>
  <si>
    <t>CAM#02</t>
    <phoneticPr fontId="60" type="noConversion"/>
  </si>
  <si>
    <t>CAM#03</t>
    <phoneticPr fontId="60" type="noConversion"/>
  </si>
  <si>
    <t>CAM#04</t>
    <phoneticPr fontId="60" type="noConversion"/>
  </si>
  <si>
    <t>CAM#05</t>
    <phoneticPr fontId="60" type="noConversion"/>
  </si>
  <si>
    <t>CAM#06</t>
    <phoneticPr fontId="60" type="noConversion"/>
  </si>
  <si>
    <t>CAM#07</t>
    <phoneticPr fontId="60" type="noConversion"/>
  </si>
  <si>
    <t>CAM#08</t>
    <phoneticPr fontId="60" type="noConversion"/>
  </si>
  <si>
    <t>본관동</t>
    <phoneticPr fontId="6" type="noConversion"/>
  </si>
  <si>
    <t>옥외</t>
    <phoneticPr fontId="6" type="noConversion"/>
  </si>
  <si>
    <t>설비관리동</t>
    <phoneticPr fontId="6" type="noConversion"/>
  </si>
  <si>
    <t>지상5층</t>
    <phoneticPr fontId="6" type="noConversion"/>
  </si>
  <si>
    <t>현관</t>
    <phoneticPr fontId="6" type="noConversion"/>
  </si>
  <si>
    <t>현관</t>
    <phoneticPr fontId="60" type="noConversion"/>
  </si>
  <si>
    <t>RT#A101</t>
    <phoneticPr fontId="6" type="noConversion"/>
  </si>
  <si>
    <t>RT#B101</t>
    <phoneticPr fontId="6" type="noConversion"/>
  </si>
  <si>
    <t>RT#C101</t>
    <phoneticPr fontId="6" type="noConversion"/>
  </si>
  <si>
    <t>RT#501-&gt;</t>
    <phoneticPr fontId="60" type="noConversion"/>
  </si>
  <si>
    <t>RT#503</t>
    <phoneticPr fontId="6" type="noConversion"/>
  </si>
  <si>
    <t>RT#504</t>
    <phoneticPr fontId="6" type="noConversion"/>
  </si>
  <si>
    <t>RT#503-&gt;</t>
    <phoneticPr fontId="60" type="noConversion"/>
  </si>
  <si>
    <t>RT#502&gt;</t>
    <phoneticPr fontId="60" type="noConversion"/>
  </si>
  <si>
    <t>카메라리프트</t>
    <phoneticPr fontId="6" type="noConversion"/>
  </si>
  <si>
    <t>지상4층</t>
    <phoneticPr fontId="6" type="noConversion"/>
  </si>
  <si>
    <t>RT#502-&gt;</t>
    <phoneticPr fontId="60" type="noConversion"/>
  </si>
  <si>
    <t>RT#402</t>
    <phoneticPr fontId="6" type="noConversion"/>
  </si>
  <si>
    <t>RT#402-&gt;</t>
    <phoneticPr fontId="60" type="noConversion"/>
  </si>
  <si>
    <t>RT#401-&gt;</t>
    <phoneticPr fontId="60" type="noConversion"/>
  </si>
  <si>
    <t>i Node-감지기, 침투감지주장치-화재, CCTV함체-카메라</t>
    <phoneticPr fontId="6" type="noConversion"/>
  </si>
  <si>
    <t xml:space="preserve"> </t>
    <phoneticPr fontId="6" type="noConversion"/>
  </si>
  <si>
    <t>CAM#A105</t>
    <phoneticPr fontId="6" type="noConversion"/>
  </si>
  <si>
    <t>CAM#A106</t>
    <phoneticPr fontId="6" type="noConversion"/>
  </si>
  <si>
    <t>CAM#A107</t>
    <phoneticPr fontId="6" type="noConversion"/>
  </si>
  <si>
    <t>CAM#A108</t>
    <phoneticPr fontId="6" type="noConversion"/>
  </si>
  <si>
    <t>CAM#A109</t>
    <phoneticPr fontId="6" type="noConversion"/>
  </si>
  <si>
    <t>CAM#A110</t>
    <phoneticPr fontId="6" type="noConversion"/>
  </si>
  <si>
    <t>CAM#A111</t>
    <phoneticPr fontId="6" type="noConversion"/>
  </si>
  <si>
    <t>CAM#A112</t>
    <phoneticPr fontId="6" type="noConversion"/>
  </si>
  <si>
    <t>CAM함체#옥상1,2</t>
    <phoneticPr fontId="6" type="noConversion"/>
  </si>
  <si>
    <t>CAM함체#옥상3,4</t>
    <phoneticPr fontId="6" type="noConversion"/>
  </si>
  <si>
    <t>지상5층</t>
    <phoneticPr fontId="6" type="noConversion"/>
  </si>
  <si>
    <t>감시실</t>
    <phoneticPr fontId="6" type="noConversion"/>
  </si>
  <si>
    <t>RT403</t>
    <phoneticPr fontId="6" type="noConversion"/>
  </si>
  <si>
    <t>RT#504-&gt;</t>
    <phoneticPr fontId="60" type="noConversion"/>
  </si>
  <si>
    <t>RT#403-&gt;</t>
    <phoneticPr fontId="60" type="noConversion"/>
  </si>
  <si>
    <t>RT#202</t>
    <phoneticPr fontId="60" type="noConversion"/>
  </si>
  <si>
    <t>지상2층</t>
    <phoneticPr fontId="6" type="noConversion"/>
  </si>
  <si>
    <t>RT#203</t>
    <phoneticPr fontId="60" type="noConversion"/>
  </si>
  <si>
    <t>RT#202-&gt;</t>
    <phoneticPr fontId="60" type="noConversion"/>
  </si>
  <si>
    <t>RT#203-&gt;</t>
    <phoneticPr fontId="60" type="noConversion"/>
  </si>
  <si>
    <t>RT#105</t>
    <phoneticPr fontId="60" type="noConversion"/>
  </si>
  <si>
    <t>RT#104</t>
    <phoneticPr fontId="60" type="noConversion"/>
  </si>
  <si>
    <t>RT105-&gt;</t>
    <phoneticPr fontId="60" type="noConversion"/>
  </si>
  <si>
    <t>RT#103</t>
    <phoneticPr fontId="60" type="noConversion"/>
  </si>
  <si>
    <t>RT#B01</t>
    <phoneticPr fontId="6" type="noConversion"/>
  </si>
  <si>
    <t>RT#01</t>
    <phoneticPr fontId="6" type="noConversion"/>
  </si>
  <si>
    <t>RT#B01-&gt;</t>
  </si>
  <si>
    <t>RT#02</t>
    <phoneticPr fontId="6" type="noConversion"/>
  </si>
  <si>
    <t>RT#03</t>
    <phoneticPr fontId="6" type="noConversion"/>
  </si>
  <si>
    <t>RT#04</t>
    <phoneticPr fontId="6" type="noConversion"/>
  </si>
  <si>
    <t>RT#05</t>
    <phoneticPr fontId="6" type="noConversion"/>
  </si>
  <si>
    <t>RT#06</t>
    <phoneticPr fontId="6" type="noConversion"/>
  </si>
  <si>
    <t>RT#07</t>
    <phoneticPr fontId="6" type="noConversion"/>
  </si>
  <si>
    <t>RT#08</t>
    <phoneticPr fontId="6" type="noConversion"/>
  </si>
  <si>
    <t>RT#02-&gt;</t>
    <phoneticPr fontId="6" type="noConversion"/>
  </si>
  <si>
    <t>RT#01-&gt;</t>
    <phoneticPr fontId="6" type="noConversion"/>
  </si>
  <si>
    <t>RT#03-&gt;</t>
    <phoneticPr fontId="6" type="noConversion"/>
  </si>
  <si>
    <t>RT#04-&gt;</t>
    <phoneticPr fontId="6" type="noConversion"/>
  </si>
  <si>
    <t>RT#05-&gt;</t>
    <phoneticPr fontId="6" type="noConversion"/>
  </si>
  <si>
    <t>RT#A101</t>
    <phoneticPr fontId="6" type="noConversion"/>
  </si>
  <si>
    <t>옥외</t>
    <phoneticPr fontId="6" type="noConversion"/>
  </si>
  <si>
    <t>RT#A102</t>
    <phoneticPr fontId="6" type="noConversion"/>
  </si>
  <si>
    <t>RT#B102</t>
    <phoneticPr fontId="6" type="noConversion"/>
  </si>
  <si>
    <t>RT#B101</t>
    <phoneticPr fontId="6" type="noConversion"/>
  </si>
  <si>
    <t>RT#B201</t>
    <phoneticPr fontId="6" type="noConversion"/>
  </si>
  <si>
    <t>RT#B101-&gt;</t>
    <phoneticPr fontId="6" type="noConversion"/>
  </si>
  <si>
    <t>RT#A101-&gt;</t>
    <phoneticPr fontId="6" type="noConversion"/>
  </si>
  <si>
    <t>RT#A102-&gt;</t>
    <phoneticPr fontId="6" type="noConversion"/>
  </si>
  <si>
    <t>RT#B102-&gt;</t>
    <phoneticPr fontId="6" type="noConversion"/>
  </si>
  <si>
    <t>RT#B103</t>
    <phoneticPr fontId="6" type="noConversion"/>
  </si>
  <si>
    <t>RT#B201-&gt;</t>
    <phoneticPr fontId="6" type="noConversion"/>
  </si>
  <si>
    <t>RT#B104</t>
    <phoneticPr fontId="6" type="noConversion"/>
  </si>
  <si>
    <t>RT#B103-&gt;</t>
    <phoneticPr fontId="6" type="noConversion"/>
  </si>
  <si>
    <t>RT#옥상1</t>
    <phoneticPr fontId="6" type="noConversion"/>
  </si>
  <si>
    <t>RT#C401</t>
    <phoneticPr fontId="6" type="noConversion"/>
  </si>
  <si>
    <t>RT#C101</t>
    <phoneticPr fontId="6" type="noConversion"/>
  </si>
  <si>
    <t>RT#B104-&gt;</t>
    <phoneticPr fontId="6" type="noConversion"/>
  </si>
  <si>
    <t>RT#옥상1-&gt;</t>
    <phoneticPr fontId="6" type="noConversion"/>
  </si>
  <si>
    <t>RT#A104</t>
    <phoneticPr fontId="6" type="noConversion"/>
  </si>
  <si>
    <t>RT#C101-&gt;</t>
    <phoneticPr fontId="6" type="noConversion"/>
  </si>
  <si>
    <t>RT#C401-&gt;</t>
    <phoneticPr fontId="6" type="noConversion"/>
  </si>
  <si>
    <t>RT#A103</t>
    <phoneticPr fontId="6" type="noConversion"/>
  </si>
  <si>
    <t>RT#A104-&gt;</t>
    <phoneticPr fontId="6" type="noConversion"/>
  </si>
  <si>
    <t>지상1층</t>
    <phoneticPr fontId="6" type="noConversion"/>
  </si>
  <si>
    <t>4. IP계통운영통신시스템</t>
    <phoneticPr fontId="11" type="noConversion"/>
  </si>
  <si>
    <t>5. 무인보안시스템</t>
    <phoneticPr fontId="6" type="noConversion"/>
  </si>
  <si>
    <t>공사명 : 동해안#1 변환소 전력통신설비 시설공사</t>
    <phoneticPr fontId="6" type="noConversion"/>
  </si>
  <si>
    <t>로비폰(자기)</t>
    <phoneticPr fontId="6" type="noConversion"/>
  </si>
  <si>
    <t>IP비디오폰(로비폰 연동, 모기)</t>
    <phoneticPr fontId="6" type="noConversion"/>
  </si>
  <si>
    <t>1. 송변전용 광전송장치</t>
    <phoneticPr fontId="6" type="noConversion"/>
  </si>
  <si>
    <t>동강C/H</t>
    <phoneticPr fontId="11" type="noConversion"/>
  </si>
  <si>
    <t>신태백S/S</t>
    <phoneticPr fontId="11" type="noConversion"/>
  </si>
  <si>
    <t>2. 계통보호전송장치(PITR)</t>
    <phoneticPr fontId="6" type="noConversion"/>
  </si>
  <si>
    <t>1. 송변전용광단말</t>
    <phoneticPr fontId="6" type="noConversion"/>
  </si>
  <si>
    <t>10-2-1. 동해안#1 변환소 전원설비, LAN설비, IP계통운영 시설도면(ICT실)</t>
    <phoneticPr fontId="60" type="noConversion"/>
  </si>
  <si>
    <t xml:space="preserve">1. 충전기 용량산출 검토서 </t>
    <phoneticPr fontId="19" type="noConversion"/>
  </si>
  <si>
    <t>FA/OA/인터넷망/통합보안</t>
    <phoneticPr fontId="19" type="noConversion"/>
  </si>
  <si>
    <t>통합위협관리장치</t>
    <phoneticPr fontId="19" type="noConversion"/>
  </si>
  <si>
    <t>UTM</t>
    <phoneticPr fontId="19" type="noConversion"/>
  </si>
  <si>
    <t>※ 송변전광단말장치 수량산출은 제8차 송변전중장기계획의 2021년 시설계획분까지 반영</t>
    <phoneticPr fontId="19" type="noConversion"/>
  </si>
  <si>
    <t>○ 충전기 용량산출 [정보통신용 전원설비 운용절차서 부록6. 전원설비 용량산정]</t>
    <phoneticPr fontId="6" type="noConversion"/>
  </si>
  <si>
    <r>
      <rPr>
        <b/>
        <u/>
        <sz val="12"/>
        <color rgb="FFFF0000"/>
        <rFont val="맑은 고딕"/>
        <family val="3"/>
        <charset val="129"/>
      </rPr>
      <t>100A</t>
    </r>
    <r>
      <rPr>
        <b/>
        <sz val="12"/>
        <color rgb="FFFF0000"/>
        <rFont val="맑은 고딕"/>
        <family val="3"/>
        <charset val="129"/>
      </rPr>
      <t xml:space="preserve"> (50A × 2EA 모듈) 시설</t>
    </r>
    <phoneticPr fontId="6" type="noConversion"/>
  </si>
  <si>
    <t>345kV 변전소 전원이중화 정책에 따라</t>
    <phoneticPr fontId="6" type="noConversion"/>
  </si>
  <si>
    <r>
      <t>충전기 1대 시설</t>
    </r>
    <r>
      <rPr>
        <b/>
        <sz val="8"/>
        <color rgb="FFFF0000"/>
        <rFont val="맑은 고딕"/>
        <family val="3"/>
        <charset val="129"/>
      </rPr>
      <t xml:space="preserve"> (ICT업무처리지침 9.4항)</t>
    </r>
    <phoneticPr fontId="6" type="noConversion"/>
  </si>
  <si>
    <t>○ 충전기용 축전지 용량산출 [정보통신용 전원설비 운용절차서 부록6. 전원설비 용량산정]</t>
    <phoneticPr fontId="6" type="noConversion"/>
  </si>
  <si>
    <t>ICT실, 23℃</t>
    <phoneticPr fontId="6" type="noConversion"/>
  </si>
  <si>
    <t>2. 무정전전원공급장치(UPS) 용량산출 검토서</t>
    <phoneticPr fontId="6" type="noConversion"/>
  </si>
  <si>
    <t>○ UPS용량산출 [정보통신용 전원설비 운용절차서 부록6. 전원설비 용량산정]</t>
    <phoneticPr fontId="6" type="noConversion"/>
  </si>
  <si>
    <t>○ UPS용 축전지 용량산출 [정보통신용 전원설비 운용절차서 부록6. 전원설비 용량산정]</t>
    <phoneticPr fontId="6" type="noConversion"/>
  </si>
  <si>
    <t>○ 동해안#1 변환소</t>
    <phoneticPr fontId="6" type="noConversion"/>
  </si>
  <si>
    <t>○ 동강</t>
    <phoneticPr fontId="6" type="noConversion"/>
  </si>
  <si>
    <t>○ 동강C/H</t>
    <phoneticPr fontId="6" type="noConversion"/>
  </si>
  <si>
    <t>나. 동해안#1 변환소 무인보안감시설비 등 전력통신설비 적기 구축</t>
    <phoneticPr fontId="35" type="noConversion"/>
  </si>
  <si>
    <t>5. 무인보안시스템</t>
    <phoneticPr fontId="11" type="noConversion"/>
  </si>
  <si>
    <t>2. 전원설비</t>
    <phoneticPr fontId="6" type="noConversion"/>
  </si>
  <si>
    <t>3. PDAS, LAN, PIA</t>
    <phoneticPr fontId="6" type="noConversion"/>
  </si>
  <si>
    <t>4. IP계통운영통신시스템</t>
    <phoneticPr fontId="6" type="noConversion"/>
  </si>
  <si>
    <t>품1-3-가.</t>
  </si>
  <si>
    <t>품1-3-나.</t>
  </si>
  <si>
    <t>품1-4.</t>
  </si>
  <si>
    <t>품1-7.</t>
  </si>
  <si>
    <t>품1-8.</t>
  </si>
  <si>
    <t>품1-13.</t>
  </si>
  <si>
    <t>품1-14.</t>
  </si>
  <si>
    <t>품1-31.</t>
  </si>
  <si>
    <t>품1-33.</t>
  </si>
  <si>
    <t>품1-35.</t>
  </si>
  <si>
    <t>품1-36.</t>
  </si>
  <si>
    <t>품1-36-가.</t>
  </si>
  <si>
    <t>품1-37.</t>
  </si>
  <si>
    <t>품1-38.</t>
  </si>
  <si>
    <t>품1-39.</t>
  </si>
  <si>
    <t>품1-40.</t>
  </si>
  <si>
    <t>품1-40-가.</t>
  </si>
  <si>
    <t>품2-5.</t>
  </si>
  <si>
    <t>품2-6.</t>
  </si>
  <si>
    <t>품2-14.</t>
    <phoneticPr fontId="60" type="noConversion"/>
  </si>
  <si>
    <t>품2-4.</t>
    <phoneticPr fontId="60" type="noConversion"/>
  </si>
  <si>
    <t>10-3-2. 송변전광단말 케이블 포설 LIST(동강)</t>
    <phoneticPr fontId="60" type="noConversion"/>
  </si>
  <si>
    <t>10-3-3. 송변전광단말 케이블 포설 LIST(신태백)</t>
    <phoneticPr fontId="60" type="noConversion"/>
  </si>
  <si>
    <t>EA</t>
    <phoneticPr fontId="6" type="noConversion"/>
  </si>
  <si>
    <t>품3-1.</t>
  </si>
  <si>
    <t>품3-2.</t>
  </si>
  <si>
    <t>품3-3.</t>
  </si>
  <si>
    <t>품3-4.</t>
  </si>
  <si>
    <t>품3-4-1.</t>
  </si>
  <si>
    <t>품3-6.</t>
  </si>
  <si>
    <t>품3-7.</t>
  </si>
  <si>
    <t>품3-8.</t>
  </si>
  <si>
    <t>품3-9.</t>
  </si>
  <si>
    <t>품3-10.</t>
  </si>
  <si>
    <t>품3-18.</t>
  </si>
  <si>
    <t>품3-19.</t>
  </si>
  <si>
    <t>품3-20.</t>
  </si>
  <si>
    <t>품5-1</t>
  </si>
  <si>
    <t>품5-2</t>
  </si>
  <si>
    <t>품5-3</t>
  </si>
  <si>
    <t>품5-4</t>
  </si>
  <si>
    <t>품5-5</t>
  </si>
  <si>
    <t>품5-6</t>
  </si>
  <si>
    <t>품5-8</t>
  </si>
  <si>
    <t>품5-9</t>
  </si>
  <si>
    <t>품5-10</t>
  </si>
  <si>
    <t>품5-11</t>
  </si>
  <si>
    <t>품5-11-1</t>
  </si>
  <si>
    <t>품5-12</t>
  </si>
  <si>
    <t>품5-13</t>
  </si>
  <si>
    <t>품5-14</t>
  </si>
  <si>
    <t>품5-15</t>
  </si>
  <si>
    <t>품5-16</t>
  </si>
  <si>
    <t>품5-18</t>
  </si>
  <si>
    <t>품5-19</t>
  </si>
  <si>
    <t>품5-20</t>
  </si>
  <si>
    <t>품5-21</t>
  </si>
  <si>
    <t>품5-22</t>
  </si>
  <si>
    <t>품5-23</t>
  </si>
  <si>
    <t>품5-24</t>
  </si>
  <si>
    <t>품5-24-1</t>
  </si>
  <si>
    <t>품5-25</t>
  </si>
  <si>
    <t>품5-26</t>
  </si>
  <si>
    <t>품5-28</t>
  </si>
  <si>
    <t>품5-29</t>
  </si>
  <si>
    <t>품5-30</t>
  </si>
  <si>
    <t>품5-31</t>
  </si>
  <si>
    <t>품5-32</t>
  </si>
  <si>
    <t>품5-33</t>
  </si>
  <si>
    <t>품5-34</t>
  </si>
  <si>
    <t>품5-35</t>
  </si>
  <si>
    <t>품5-36</t>
  </si>
  <si>
    <t>품5-38</t>
  </si>
  <si>
    <t>품5-39</t>
  </si>
  <si>
    <t>품5-40</t>
  </si>
  <si>
    <t>품5-41</t>
  </si>
  <si>
    <t>품5-42</t>
  </si>
  <si>
    <t>품5-43</t>
  </si>
  <si>
    <t>품5-44</t>
  </si>
  <si>
    <t>품5-44-1</t>
  </si>
  <si>
    <t>품5-45</t>
  </si>
  <si>
    <t>품5-46</t>
  </si>
  <si>
    <t>품5-48</t>
  </si>
  <si>
    <t>품5-49</t>
  </si>
  <si>
    <t>품5-50</t>
  </si>
  <si>
    <t>품5-51</t>
  </si>
  <si>
    <t>품5-52</t>
  </si>
  <si>
    <t>품5-53</t>
  </si>
  <si>
    <t>품5-54</t>
  </si>
  <si>
    <t>품5-55</t>
  </si>
  <si>
    <t>품5-56</t>
  </si>
  <si>
    <t>품5-59</t>
  </si>
  <si>
    <t>품5-60</t>
  </si>
  <si>
    <t>품5-61</t>
  </si>
  <si>
    <t>품5-62</t>
  </si>
  <si>
    <t>품5-63</t>
  </si>
  <si>
    <t>품5-64</t>
  </si>
  <si>
    <t>품5-65</t>
  </si>
  <si>
    <t>품5-66</t>
  </si>
  <si>
    <t>품5-57</t>
  </si>
  <si>
    <t>품5-57-4</t>
  </si>
  <si>
    <t>품5-57-4</t>
    <phoneticPr fontId="60" type="noConversion"/>
  </si>
  <si>
    <t>품5-57-3</t>
  </si>
  <si>
    <t>품5-57-3</t>
    <phoneticPr fontId="60" type="noConversion"/>
  </si>
  <si>
    <t>품5-57-2</t>
  </si>
  <si>
    <t>품5-57-2</t>
    <phoneticPr fontId="60" type="noConversion"/>
  </si>
  <si>
    <t>품5-57-1</t>
  </si>
  <si>
    <t>품5-57-1</t>
    <phoneticPr fontId="60" type="noConversion"/>
  </si>
  <si>
    <t>품5-6</t>
    <phoneticPr fontId="60" type="noConversion"/>
  </si>
  <si>
    <t>품5-7</t>
  </si>
  <si>
    <t>품5-7</t>
    <phoneticPr fontId="60" type="noConversion"/>
  </si>
  <si>
    <t>품5-7-1</t>
  </si>
  <si>
    <t>품5-7-1</t>
    <phoneticPr fontId="60" type="noConversion"/>
  </si>
  <si>
    <t>품5-7-2</t>
  </si>
  <si>
    <t>품5-7-2</t>
    <phoneticPr fontId="60" type="noConversion"/>
  </si>
  <si>
    <t>품5-17</t>
  </si>
  <si>
    <t>품5-17</t>
    <phoneticPr fontId="60" type="noConversion"/>
  </si>
  <si>
    <t>품5-27</t>
  </si>
  <si>
    <t>품5-27</t>
    <phoneticPr fontId="60" type="noConversion"/>
  </si>
  <si>
    <t>품27-1</t>
  </si>
  <si>
    <t>품27-1</t>
    <phoneticPr fontId="60" type="noConversion"/>
  </si>
  <si>
    <t>품5-37</t>
  </si>
  <si>
    <t>품5-37</t>
    <phoneticPr fontId="60" type="noConversion"/>
  </si>
  <si>
    <t>품5-37-1</t>
  </si>
  <si>
    <t>품5-37-1</t>
    <phoneticPr fontId="60" type="noConversion"/>
  </si>
  <si>
    <t>품5-37-2</t>
  </si>
  <si>
    <t>품5-37-2</t>
    <phoneticPr fontId="60" type="noConversion"/>
  </si>
  <si>
    <t>품5-37-3</t>
  </si>
  <si>
    <t>품5-37-3</t>
    <phoneticPr fontId="60" type="noConversion"/>
  </si>
  <si>
    <t>품5-47</t>
  </si>
  <si>
    <t>품5-47</t>
    <phoneticPr fontId="60" type="noConversion"/>
  </si>
  <si>
    <t>품5-65</t>
    <phoneticPr fontId="60" type="noConversion"/>
  </si>
  <si>
    <t>픔29-1</t>
  </si>
  <si>
    <t>품38-1</t>
  </si>
  <si>
    <t>픔38-2</t>
  </si>
  <si>
    <t>품38-3</t>
  </si>
  <si>
    <t>품43-1</t>
  </si>
  <si>
    <t>품43-2</t>
  </si>
  <si>
    <t>품44-2</t>
  </si>
  <si>
    <t>품44-3</t>
  </si>
  <si>
    <t>품58-1</t>
  </si>
  <si>
    <t>품63-1</t>
  </si>
  <si>
    <t>품63-2</t>
  </si>
  <si>
    <t>품63-3</t>
  </si>
  <si>
    <t>품65-1</t>
  </si>
  <si>
    <t>품65-2</t>
  </si>
  <si>
    <t>5. 무인보안시스템</t>
    <phoneticPr fontId="11" type="noConversion"/>
  </si>
  <si>
    <t>4. IP계통운영통신시스템</t>
    <phoneticPr fontId="11" type="noConversion"/>
  </si>
  <si>
    <t>3. LAN, EPIA, SCADA</t>
    <phoneticPr fontId="11" type="noConversion"/>
  </si>
  <si>
    <t>1. 송변전용 광전송장치</t>
    <phoneticPr fontId="11" type="noConversion"/>
  </si>
  <si>
    <t>2. 전원설비</t>
    <phoneticPr fontId="11" type="noConversion"/>
  </si>
  <si>
    <t>공사명 : 동해안#1 변환소 전력통신설비 시설공사</t>
    <phoneticPr fontId="11" type="noConversion"/>
  </si>
  <si>
    <t>2. 전원설비</t>
    <phoneticPr fontId="60" type="noConversion"/>
  </si>
  <si>
    <t>3. LAN, EPIA, SCADA</t>
    <phoneticPr fontId="60" type="noConversion"/>
  </si>
  <si>
    <t>4. IP계통운영통신시스템</t>
    <phoneticPr fontId="60" type="noConversion"/>
  </si>
  <si>
    <t>품5-63-1</t>
    <phoneticPr fontId="60" type="noConversion"/>
  </si>
  <si>
    <t>품5-63-2</t>
    <phoneticPr fontId="60" type="noConversion"/>
  </si>
  <si>
    <t>품5-63-3</t>
    <phoneticPr fontId="60" type="noConversion"/>
  </si>
  <si>
    <t>품5-65-1</t>
    <phoneticPr fontId="60" type="noConversion"/>
  </si>
  <si>
    <t>품5-65-2</t>
    <phoneticPr fontId="60" type="noConversion"/>
  </si>
  <si>
    <t xml:space="preserve"> </t>
    <phoneticPr fontId="60" type="noConversion"/>
  </si>
  <si>
    <r>
      <t>충전기 1대 추가 시설</t>
    </r>
    <r>
      <rPr>
        <b/>
        <sz val="8"/>
        <color rgb="FFFF0000"/>
        <rFont val="맑은 고딕"/>
        <family val="3"/>
        <charset val="129"/>
      </rPr>
      <t xml:space="preserve"> (ICT업무처리지침 9.4항)</t>
    </r>
    <phoneticPr fontId="6" type="noConversion"/>
  </si>
  <si>
    <t>ㅇ 문서번호 HD(전자)-5054 "500kV HVDC 동해안-신가평 건설사업 광통신설비 구성 알림" 관련</t>
    <phoneticPr fontId="6" type="noConversion"/>
  </si>
  <si>
    <r>
      <rPr>
        <b/>
        <u/>
        <sz val="12"/>
        <color rgb="FFFF0000"/>
        <rFont val="맑은 고딕"/>
        <family val="3"/>
        <charset val="129"/>
      </rPr>
      <t>150A</t>
    </r>
    <r>
      <rPr>
        <b/>
        <sz val="12"/>
        <color rgb="FFFF0000"/>
        <rFont val="맑은 고딕"/>
        <family val="3"/>
        <charset val="129"/>
      </rPr>
      <t xml:space="preserve"> (50A × 3EA 모듈) 시설</t>
    </r>
    <phoneticPr fontId="6" type="noConversion"/>
  </si>
  <si>
    <t>분전반, ups, 충전기 랙 접지</t>
    <phoneticPr fontId="60" type="noConversion"/>
  </si>
  <si>
    <t>ICT실 전원분전반</t>
    <phoneticPr fontId="60" type="noConversion"/>
  </si>
  <si>
    <t>PTP,LAN</t>
    <phoneticPr fontId="60" type="noConversion"/>
  </si>
  <si>
    <t>48V 100A(50A * 3), 단독형, 내진랙(19")</t>
    <phoneticPr fontId="11" type="noConversion"/>
  </si>
  <si>
    <t>48V 100A(50A * 2), 단독형, 내진랙(19")</t>
    <phoneticPr fontId="6" type="noConversion"/>
  </si>
  <si>
    <t>품1-12.</t>
    <phoneticPr fontId="60" type="noConversion"/>
  </si>
  <si>
    <t>품1-32.</t>
    <phoneticPr fontId="60" type="noConversion"/>
  </si>
  <si>
    <t>10-2-2. 동강 전원설비 시설도면</t>
    <phoneticPr fontId="60" type="noConversion"/>
  </si>
  <si>
    <t>품5-63-1</t>
  </si>
  <si>
    <t>품5-63-2</t>
  </si>
  <si>
    <t>품5-63-3</t>
  </si>
  <si>
    <t>품5-65-1</t>
  </si>
  <si>
    <t>품5-65-2</t>
  </si>
  <si>
    <t>가.</t>
    <phoneticPr fontId="6" type="noConversion"/>
  </si>
  <si>
    <t>나.</t>
    <phoneticPr fontId="6" type="noConversion"/>
  </si>
  <si>
    <t>FR-CVVS 35SQ/4C</t>
    <phoneticPr fontId="60" type="noConversion"/>
  </si>
  <si>
    <t>압착단자(35㎟ * 4C)</t>
    <phoneticPr fontId="60" type="noConversion"/>
  </si>
  <si>
    <t>3개*4개소</t>
    <phoneticPr fontId="6" type="noConversion"/>
  </si>
  <si>
    <t xml:space="preserve">    4) 기타설비 1식</t>
    <phoneticPr fontId="35" type="noConversion"/>
  </si>
  <si>
    <t>송광치랙</t>
  </si>
  <si>
    <t>PTP랙</t>
  </si>
  <si>
    <t>1열*4조</t>
    <phoneticPr fontId="6" type="noConversion"/>
  </si>
  <si>
    <t>12V/150AH, UPS용</t>
    <phoneticPr fontId="11" type="noConversion"/>
  </si>
  <si>
    <t>장거리 선로 광단말장치 신호 보강</t>
    <phoneticPr fontId="6" type="noConversion"/>
  </si>
  <si>
    <t>광증폭기</t>
    <phoneticPr fontId="6" type="noConversion"/>
  </si>
  <si>
    <t>8CH</t>
    <phoneticPr fontId="6" type="noConversion"/>
  </si>
  <si>
    <t>신가평~신태백 2EA, 동강 2EA, 예비품 1EA</t>
    <phoneticPr fontId="6" type="noConversion"/>
  </si>
  <si>
    <t>실례가</t>
    <phoneticPr fontId="6" type="noConversion"/>
  </si>
  <si>
    <t>물가정보</t>
  </si>
  <si>
    <t>물가자료</t>
  </si>
  <si>
    <t>물가자료(25.08)</t>
    <phoneticPr fontId="6" type="noConversion"/>
  </si>
  <si>
    <t>물가정보(25.08)</t>
    <phoneticPr fontId="6" type="noConversion"/>
  </si>
  <si>
    <t>물가정보</t>
    <phoneticPr fontId="6" type="noConversion"/>
  </si>
  <si>
    <t>35㎟*4C</t>
    <phoneticPr fontId="6" type="noConversion"/>
  </si>
  <si>
    <t>EPIA, 네트워장비 실장용</t>
    <phoneticPr fontId="6" type="noConversion"/>
  </si>
  <si>
    <t>DS-1/E급 데이터 전송을 위한
100km용 광전송장치</t>
    <phoneticPr fontId="6" type="noConversion"/>
  </si>
  <si>
    <t xml:space="preserve">    1) 송변전용 광단말장치 3식, PtoP 2식 시설((동해안#1, 동강C/H, 신태백S/S))</t>
    <phoneticPr fontId="35" type="noConversion"/>
  </si>
  <si>
    <t>15kVA/5kVA</t>
    <phoneticPr fontId="6" type="noConversion"/>
  </si>
  <si>
    <t>전력구 소내반</t>
    <phoneticPr fontId="6" type="noConversion"/>
  </si>
  <si>
    <t xml:space="preserve"> 적용시기: 2025. 5. 19. 공고분부터 적용</t>
    <phoneticPr fontId="95" type="noConversion"/>
  </si>
  <si>
    <t>[조달(공사)-384('25. 4. 1), 2025년 4월 조달청 원가계산 간접공사비(제비율) 적용기준 알림]</t>
    <phoneticPr fontId="95" type="noConversion"/>
  </si>
  <si>
    <t>+2,450천원</t>
    <phoneticPr fontId="95" type="noConversion"/>
  </si>
  <si>
    <t>LAN 랙</t>
    <phoneticPr fontId="60" type="noConversion"/>
  </si>
  <si>
    <t>ⓐ</t>
  </si>
  <si>
    <t>ⓑ</t>
  </si>
  <si>
    <t>ⓒ</t>
  </si>
  <si>
    <t>ⓓ</t>
  </si>
  <si>
    <t>ⓔ</t>
  </si>
  <si>
    <t>ⓕ</t>
  </si>
  <si>
    <t>ⓖ</t>
  </si>
  <si>
    <t>ⓗ</t>
  </si>
  <si>
    <t>ⓘ</t>
  </si>
  <si>
    <t>ⓙ</t>
  </si>
  <si>
    <t>ⓚ</t>
  </si>
  <si>
    <t>ⓛ</t>
  </si>
  <si>
    <t>ⓜ</t>
  </si>
  <si>
    <t>ⓝ</t>
  </si>
  <si>
    <t>ⓞ</t>
  </si>
  <si>
    <t>ⓟ</t>
  </si>
  <si>
    <t>▣ LAN설비 (HUB, EPIA 1식)</t>
    <phoneticPr fontId="60" type="noConversion"/>
  </si>
  <si>
    <t>견적가</t>
    <phoneticPr fontId="6" type="noConversion"/>
  </si>
  <si>
    <t>▣  신태백 송변전광단말장치</t>
    <phoneticPr fontId="60" type="noConversion"/>
  </si>
  <si>
    <t>HSR PTP
(1대)
구)PTP
(0대)
C-MUX
(0대)</t>
    <phoneticPr fontId="60" type="noConversion"/>
  </si>
  <si>
    <t>▣ 동강C/H 송변전광단말</t>
    <phoneticPr fontId="60" type="noConversion"/>
  </si>
  <si>
    <t>▣ 동해안#1 변환소 송변전광단말</t>
    <phoneticPr fontId="60" type="noConversion"/>
  </si>
  <si>
    <t>3열*3조</t>
    <phoneticPr fontId="6" type="noConversion"/>
  </si>
  <si>
    <t xml:space="preserve">  - (주회선) 송광치, (예비회선) PTP구성</t>
    <phoneticPr fontId="60" type="noConversion"/>
  </si>
  <si>
    <t xml:space="preserve">  - 신가평 변환소 ~ 신태백S/S, 신가평 변환소 ~ 동강C/H 구간 장경간으로 광 증폭기 추가 시설</t>
    <phoneticPr fontId="60" type="noConversion"/>
  </si>
  <si>
    <t>전원설비
네트워크
IPT</t>
    <phoneticPr fontId="6" type="noConversion"/>
  </si>
  <si>
    <t xml:space="preserve"> ○ 전원설비 (421300103250036)</t>
    <phoneticPr fontId="28" type="noConversion"/>
  </si>
  <si>
    <t xml:space="preserve"> ○ 급전전화 (421100105250004)</t>
    <phoneticPr fontId="28" type="noConversion"/>
  </si>
  <si>
    <t xml:space="preserve"> ○ 광단말장치 (411200102250011)</t>
    <phoneticPr fontId="28" type="noConversion"/>
  </si>
  <si>
    <t xml:space="preserve"> ○ LAN설비 (421100101250010)</t>
    <phoneticPr fontId="28" type="noConversion"/>
  </si>
  <si>
    <t>RT#A201</t>
  </si>
  <si>
    <t>RT#A103-&gt;</t>
  </si>
  <si>
    <t>동강</t>
    <phoneticPr fontId="60" type="noConversion"/>
  </si>
  <si>
    <t>단수정리</t>
    <phoneticPr fontId="6" type="noConversion"/>
  </si>
  <si>
    <t>LIU-DS</t>
    <phoneticPr fontId="6" type="noConversion"/>
  </si>
  <si>
    <t>2025. 09</t>
    <phoneticPr fontId="6" type="noConversion"/>
  </si>
  <si>
    <t xml:space="preserve">  착   공  :  2025년   11월</t>
    <phoneticPr fontId="6" type="noConversion"/>
  </si>
  <si>
    <t xml:space="preserve">  준   공  :  2026년   12월</t>
    <phoneticPr fontId="6" type="noConversion"/>
  </si>
  <si>
    <t>착공후  390일</t>
    <phoneticPr fontId="6" type="noConversion"/>
  </si>
  <si>
    <t>착공 후 390일간</t>
    <phoneticPr fontId="35" type="noConversion"/>
  </si>
  <si>
    <t xml:space="preserve">  경북본부/강원본부 전자제어부장</t>
    <phoneticPr fontId="28" type="noConversion"/>
  </si>
  <si>
    <t>예산과목</t>
    <phoneticPr fontId="28" type="noConversion"/>
  </si>
  <si>
    <t xml:space="preserve">    2) 전원설비 2식(동해안#1, 동강C/T) 및 LAN설비 · IP계통운영통신시스템 각 1식</t>
    <phoneticPr fontId="35" type="noConversion"/>
  </si>
  <si>
    <r>
      <t xml:space="preserve">   방전시간 : 4시간 적용 </t>
    </r>
    <r>
      <rPr>
        <sz val="10"/>
        <color indexed="8"/>
        <rFont val="맑은 고딕"/>
        <family val="3"/>
        <charset val="129"/>
      </rPr>
      <t>[정보통신설비 운영지침 제18조 ⑤ 예비전원설비 설치운영기준 - 변전소 ICT실 적용]</t>
    </r>
    <r>
      <rPr>
        <sz val="12"/>
        <color indexed="8"/>
        <rFont val="맑은 고딕"/>
        <family val="3"/>
        <charset val="129"/>
      </rPr>
      <t xml:space="preserve"> 및 장거리 적용</t>
    </r>
    <phoneticPr fontId="6" type="noConversion"/>
  </si>
  <si>
    <r>
      <t xml:space="preserve">   방전시간 : 4시간 적용 </t>
    </r>
    <r>
      <rPr>
        <sz val="10"/>
        <color indexed="8"/>
        <rFont val="맑은 고딕"/>
        <family val="3"/>
        <charset val="129"/>
      </rPr>
      <t>[정보통신설비 운영지침 제18조 ⑤ 예비전원설비 설치운영기준 - 변전소 ICT실 적용] 및 장거리 적용</t>
    </r>
    <phoneticPr fontId="6" type="noConversion"/>
  </si>
  <si>
    <t>송광치(HSR)
1대
확장
셀프
 0대</t>
    <phoneticPr fontId="60" type="noConversion"/>
  </si>
  <si>
    <t>확장
셀프 
1대
HSR 
PTP
(1대)
구)PTP
(0대)</t>
    <phoneticPr fontId="60" type="noConversion"/>
  </si>
  <si>
    <t>송광치(HSR)
1대
확장
셀프 
0대</t>
    <phoneticPr fontId="60" type="noConversion"/>
  </si>
  <si>
    <r>
      <t xml:space="preserve">10-3-1. 송변전광단말 케이블 포설 </t>
    </r>
    <r>
      <rPr>
        <b/>
        <sz val="18"/>
        <color rgb="FFFF0000"/>
        <rFont val="맑은 고딕"/>
        <family val="3"/>
        <charset val="129"/>
        <scheme val="minor"/>
      </rPr>
      <t>LIST(동해안#1 ICT실)</t>
    </r>
    <phoneticPr fontId="60" type="noConversion"/>
  </si>
  <si>
    <t>가. 공사장소 :  울진군 덕천리 600번지 일원(동해안#1변환소 부지 내)</t>
    <phoneticPr fontId="49" type="noConversion"/>
  </si>
  <si>
    <t>CAT.5 4Pr</t>
  </si>
  <si>
    <t>FOFC-SM-4C</t>
    <phoneticPr fontId="6" type="noConversion"/>
  </si>
  <si>
    <t>3열 동시(180%), 실드케이블</t>
    <phoneticPr fontId="60" type="noConversion"/>
  </si>
  <si>
    <t>4열 동시(180%), 실드케이블</t>
    <phoneticPr fontId="60" type="noConversion"/>
  </si>
  <si>
    <t>실내 설치 180%</t>
    <phoneticPr fontId="60" type="noConversion"/>
  </si>
  <si>
    <t>55" TV Monitor 설치</t>
    <phoneticPr fontId="60" type="noConversion"/>
  </si>
  <si>
    <t>41" 이상</t>
    <phoneticPr fontId="60" type="noConversion"/>
  </si>
  <si>
    <t>통신관련산업기사</t>
    <phoneticPr fontId="60" type="noConversion"/>
  </si>
  <si>
    <t>통7-11-1</t>
    <phoneticPr fontId="60" type="noConversion"/>
  </si>
  <si>
    <t>통신설비공</t>
    <phoneticPr fontId="60" type="noConversion"/>
  </si>
  <si>
    <t>품5-4</t>
    <phoneticPr fontId="11" type="noConversion"/>
  </si>
  <si>
    <t>사급분</t>
    <phoneticPr fontId="6" type="noConversion"/>
  </si>
  <si>
    <t>광증폭기</t>
    <phoneticPr fontId="19" type="noConversion"/>
  </si>
  <si>
    <t>8-5. 2025년도 하반기 시중노무임</t>
    <phoneticPr fontId="19" type="noConversion"/>
  </si>
  <si>
    <t>2025년도
적용노임
[하반기]</t>
    <phoneticPr fontId="21" type="noConversion"/>
  </si>
  <si>
    <t>'25년하반기
시중노임   ('25.09 발표)</t>
    <phoneticPr fontId="21" type="noConversion"/>
  </si>
  <si>
    <t>LAN 구성용(업무/인터넷망)</t>
    <phoneticPr fontId="6" type="noConversion"/>
  </si>
  <si>
    <t>12V/150AH, 충전기용</t>
    <phoneticPr fontId="6" type="noConversion"/>
  </si>
  <si>
    <t>3. LAN, EPIA, 정보보호</t>
    <phoneticPr fontId="11" type="noConversion"/>
  </si>
  <si>
    <t>통8-1-2</t>
    <phoneticPr fontId="6" type="noConversion"/>
  </si>
  <si>
    <t>NAC 설치</t>
    <phoneticPr fontId="6" type="noConversion"/>
  </si>
  <si>
    <t>기본S/W 설정포함</t>
    <phoneticPr fontId="4" type="noConversion"/>
  </si>
  <si>
    <t>품5-58</t>
    <phoneticPr fontId="60" type="noConversion"/>
  </si>
  <si>
    <t>품5-58-1</t>
    <phoneticPr fontId="60" type="noConversion"/>
  </si>
  <si>
    <t>기초대 설치</t>
    <phoneticPr fontId="60" type="noConversion"/>
  </si>
  <si>
    <t>EPIA포함</t>
    <phoneticPr fontId="6" type="noConversion"/>
  </si>
  <si>
    <t>OA, FA, 인터넷망, 통합보안,지중감시,가평지중감시</t>
    <phoneticPr fontId="6" type="noConversion"/>
  </si>
  <si>
    <t>신가평 2EA, 동강 1EA, 신태백 : 2EA(예비품 포함)</t>
    <phoneticPr fontId="6" type="noConversion"/>
  </si>
  <si>
    <t>품1-2.</t>
  </si>
  <si>
    <t>품1-2.</t>
    <phoneticPr fontId="60" type="noConversion"/>
  </si>
  <si>
    <t>품1-3.</t>
    <phoneticPr fontId="60" type="noConversion"/>
  </si>
  <si>
    <t>품1-4.</t>
    <phoneticPr fontId="60" type="noConversion"/>
  </si>
  <si>
    <t>품1-5.</t>
  </si>
  <si>
    <t>품1-5.</t>
    <phoneticPr fontId="60" type="noConversion"/>
  </si>
  <si>
    <t>품1-6.</t>
  </si>
  <si>
    <t>품1-6.</t>
    <phoneticPr fontId="60" type="noConversion"/>
  </si>
  <si>
    <t>품1-8.</t>
    <phoneticPr fontId="60" type="noConversion"/>
  </si>
  <si>
    <t>품1-9.</t>
    <phoneticPr fontId="60" type="noConversion"/>
  </si>
  <si>
    <t>품1-7.</t>
    <phoneticPr fontId="60" type="noConversion"/>
  </si>
  <si>
    <t>품1-10.</t>
    <phoneticPr fontId="60" type="noConversion"/>
  </si>
  <si>
    <t>품1-11.</t>
    <phoneticPr fontId="60" type="noConversion"/>
  </si>
  <si>
    <t>품1-12.</t>
  </si>
  <si>
    <t>품1-13.</t>
    <phoneticPr fontId="60" type="noConversion"/>
  </si>
  <si>
    <t>품1-14.</t>
    <phoneticPr fontId="60" type="noConversion"/>
  </si>
  <si>
    <t>품3-1.</t>
    <phoneticPr fontId="60" type="noConversion"/>
  </si>
  <si>
    <t>품3-2.</t>
    <phoneticPr fontId="60" type="noConversion"/>
  </si>
  <si>
    <t>품3-3.</t>
    <phoneticPr fontId="60" type="noConversion"/>
  </si>
  <si>
    <t>품3-4.</t>
    <phoneticPr fontId="60" type="noConversion"/>
  </si>
  <si>
    <t>품3-5.</t>
  </si>
  <si>
    <t>품3-5.</t>
    <phoneticPr fontId="60" type="noConversion"/>
  </si>
  <si>
    <t>품3-6.</t>
    <phoneticPr fontId="60" type="noConversion"/>
  </si>
  <si>
    <t>실드케이블</t>
  </si>
  <si>
    <t>품3-7.</t>
    <phoneticPr fontId="60" type="noConversion"/>
  </si>
  <si>
    <t>품3-8.</t>
    <phoneticPr fontId="60" type="noConversion"/>
  </si>
  <si>
    <t>품3-8-1</t>
  </si>
  <si>
    <t>품3-8-2</t>
  </si>
  <si>
    <t>품3-8-3</t>
  </si>
  <si>
    <t>품1-1-1.</t>
  </si>
  <si>
    <t>품1-1-1.</t>
    <phoneticPr fontId="60" type="noConversion"/>
  </si>
  <si>
    <t>품1-6-1.</t>
  </si>
  <si>
    <t>품1-6-1.</t>
    <phoneticPr fontId="60" type="noConversion"/>
  </si>
  <si>
    <t>품1-6-2.</t>
  </si>
  <si>
    <t>품1-6-2.</t>
    <phoneticPr fontId="60" type="noConversion"/>
  </si>
  <si>
    <t>품3-1-1.</t>
  </si>
  <si>
    <t>품3-1-1.</t>
    <phoneticPr fontId="60" type="noConversion"/>
  </si>
  <si>
    <t>품3-9.</t>
    <phoneticPr fontId="60" type="noConversion"/>
  </si>
  <si>
    <t>품3-9-1.</t>
  </si>
  <si>
    <t>품3-9-1.</t>
    <phoneticPr fontId="60" type="noConversion"/>
  </si>
  <si>
    <t>품3-10-1.</t>
  </si>
  <si>
    <t>1조</t>
    <phoneticPr fontId="60" type="noConversion"/>
  </si>
  <si>
    <t>지중감시 예비용</t>
    <phoneticPr fontId="6" type="noConversion"/>
  </si>
  <si>
    <t>OJC-SC/APC-SM-LC,  2m</t>
    <phoneticPr fontId="6" type="noConversion"/>
  </si>
  <si>
    <t>품4-1.</t>
    <phoneticPr fontId="60" type="noConversion"/>
  </si>
  <si>
    <t>품4-2.</t>
    <phoneticPr fontId="60" type="noConversion"/>
  </si>
  <si>
    <t>품4-3.</t>
    <phoneticPr fontId="60" type="noConversion"/>
  </si>
  <si>
    <t>품4-4.</t>
    <phoneticPr fontId="60" type="noConversion"/>
  </si>
  <si>
    <t>품4-5.</t>
    <phoneticPr fontId="60" type="noConversion"/>
  </si>
  <si>
    <t>품4-6.</t>
    <phoneticPr fontId="60" type="noConversion"/>
  </si>
  <si>
    <t>품2-11.</t>
    <phoneticPr fontId="60" type="noConversion"/>
  </si>
  <si>
    <t>품2-12.</t>
    <phoneticPr fontId="60" type="noConversion"/>
  </si>
  <si>
    <t>품2-13.</t>
    <phoneticPr fontId="60" type="noConversion"/>
  </si>
  <si>
    <t>컨테이너</t>
    <phoneticPr fontId="11" type="noConversion"/>
  </si>
  <si>
    <t>잡자재</t>
    <phoneticPr fontId="6" type="noConversion"/>
  </si>
  <si>
    <t>전선, 케이블 배관자재의 2~5%</t>
  </si>
  <si>
    <t>식</t>
    <phoneticPr fontId="6" type="noConversion"/>
  </si>
  <si>
    <t>녹화장치(동강C/H)</t>
    <phoneticPr fontId="6" type="noConversion"/>
  </si>
  <si>
    <t>4core 2.4GHz*1EA이상,8GB이상, SSD256GB,스토리지4TB이하</t>
    <phoneticPr fontId="6" type="noConversion"/>
  </si>
  <si>
    <t>4core 2.4GHz*1EA이상,16GB이상, SSD512GB,스토리지80TB이상</t>
    <phoneticPr fontId="6" type="noConversion"/>
  </si>
  <si>
    <t>동강C/H ICT실 컨테이너</t>
    <phoneticPr fontId="6" type="noConversion"/>
  </si>
  <si>
    <t>UPS당 1식(4면)</t>
    <phoneticPr fontId="6" type="noConversion"/>
  </si>
  <si>
    <t>픔5-29-1</t>
    <phoneticPr fontId="60" type="noConversion"/>
  </si>
  <si>
    <t>ㄷ'자 카메라 폴대</t>
    <phoneticPr fontId="6" type="noConversion"/>
  </si>
  <si>
    <t>일반형, W700 X H700 X 200</t>
    <phoneticPr fontId="6" type="noConversion"/>
  </si>
  <si>
    <t>3m 이하, 작업대 제외</t>
    <phoneticPr fontId="60" type="noConversion"/>
  </si>
  <si>
    <t xml:space="preserve">    3) 무인보안시스템 1식(카메라 128대, 출입관리)</t>
    <phoneticPr fontId="35" type="noConversion"/>
  </si>
  <si>
    <t>3심 200%, 2열 동시 180%</t>
    <phoneticPr fontId="4" type="noConversion"/>
  </si>
  <si>
    <t>품2-7-1.</t>
  </si>
  <si>
    <t>품2-7-1.</t>
    <phoneticPr fontId="60" type="noConversion"/>
  </si>
  <si>
    <t>16SQ 이하 3심, 2열 동시</t>
    <phoneticPr fontId="4" type="noConversion"/>
  </si>
  <si>
    <t>감시실 3대, 본광동 1층 복도 1대</t>
    <phoneticPr fontId="6" type="noConversion"/>
  </si>
  <si>
    <r>
      <t xml:space="preserve">부 </t>
    </r>
    <r>
      <rPr>
        <sz val="11"/>
        <color theme="1"/>
        <rFont val="맑은 고딕"/>
        <family val="3"/>
        <charset val="129"/>
        <scheme val="minor"/>
      </rPr>
      <t xml:space="preserve"> 장</t>
    </r>
    <phoneticPr fontId="6" type="noConversion"/>
  </si>
  <si>
    <t>단 가</t>
  </si>
  <si>
    <t>기계경비</t>
    <phoneticPr fontId="6" type="noConversion"/>
  </si>
  <si>
    <t>고소작업 리프트 비용</t>
    <phoneticPr fontId="6" type="noConversion"/>
  </si>
  <si>
    <t>11-1. 기계경비</t>
    <phoneticPr fontId="48" type="noConversion"/>
  </si>
  <si>
    <t>운반비</t>
    <phoneticPr fontId="60" type="noConversion"/>
  </si>
  <si>
    <t>산출근거</t>
    <phoneticPr fontId="60" type="noConversion"/>
  </si>
  <si>
    <t>비고</t>
    <phoneticPr fontId="60" type="noConversion"/>
  </si>
  <si>
    <t>견적가</t>
    <phoneticPr fontId="60" type="noConversion"/>
  </si>
  <si>
    <t>품명</t>
    <phoneticPr fontId="60" type="noConversion"/>
  </si>
  <si>
    <t>고소작업용 리프트</t>
    <phoneticPr fontId="60" type="noConversion"/>
  </si>
  <si>
    <t>규격</t>
    <phoneticPr fontId="60" type="noConversion"/>
  </si>
  <si>
    <t>수량</t>
    <phoneticPr fontId="60" type="noConversion"/>
  </si>
  <si>
    <t>작업발판 16m 이상</t>
    <phoneticPr fontId="60" type="noConversion"/>
  </si>
  <si>
    <t>회</t>
    <phoneticPr fontId="60" type="noConversion"/>
  </si>
  <si>
    <t>왕복(반출입 포함)</t>
    <phoneticPr fontId="60" type="noConversion"/>
  </si>
  <si>
    <t>금액</t>
    <phoneticPr fontId="60" type="noConversion"/>
  </si>
  <si>
    <t xml:space="preserve">      1) 기계경비</t>
    <phoneticPr fontId="28" type="noConversion"/>
  </si>
  <si>
    <t>신호수 배치</t>
    <phoneticPr fontId="6" type="noConversion"/>
  </si>
  <si>
    <t>통1-1-27-1</t>
    <phoneticPr fontId="6" type="noConversion"/>
  </si>
  <si>
    <t>품5-67</t>
  </si>
  <si>
    <t>품5-67</t>
    <phoneticPr fontId="6" type="noConversion"/>
  </si>
  <si>
    <t>월</t>
    <phoneticPr fontId="60" type="noConversion"/>
  </si>
  <si>
    <t>합 계</t>
    <phoneticPr fontId="60" type="noConversion"/>
  </si>
  <si>
    <t>(A)설치위치 3.5m 이상 카메라 수량 : 77대
(B)일평균 카메라 설치 가능 수량 : 3대
(C)A÷B = 26일 
(배선 작업 등 고려하여 1개월 계상)</t>
    <phoneticPr fontId="60" type="noConversion"/>
  </si>
  <si>
    <t xml:space="preserve">     10) 기타경비</t>
    <phoneticPr fontId="43" type="noConversion"/>
  </si>
  <si>
    <t>인/일</t>
    <phoneticPr fontId="6" type="noConversion"/>
  </si>
  <si>
    <t xml:space="preserve"> 자. 기타 경비</t>
    <phoneticPr fontId="95" type="noConversion"/>
  </si>
  <si>
    <t>10억 미만</t>
    <phoneticPr fontId="95" type="noConversion"/>
  </si>
  <si>
    <t>일반관리비(지입재료비+노무비+도급경비)*8%</t>
    <phoneticPr fontId="6" type="noConversion"/>
  </si>
  <si>
    <t>카메라 승하강 동작, 자동, 수동, 방수, 6m 이하</t>
    <phoneticPr fontId="6" type="noConversion"/>
  </si>
  <si>
    <t>실외</t>
    <phoneticPr fontId="60" type="noConversion"/>
  </si>
  <si>
    <t>통9-2-1-1</t>
    <phoneticPr fontId="60" type="noConversion"/>
  </si>
  <si>
    <t>본체 설치</t>
    <phoneticPr fontId="4" type="noConversion"/>
  </si>
  <si>
    <t>control consol 시험</t>
    <phoneticPr fontId="60" type="noConversion"/>
  </si>
  <si>
    <t>통 9-2-1-2</t>
    <phoneticPr fontId="60" type="noConversion"/>
  </si>
  <si>
    <t>ICT실용, 냉방기, 단열재, 운송 설치 포함</t>
    <phoneticPr fontId="6" type="noConversion"/>
  </si>
  <si>
    <t>2025.  09.  29.</t>
    <phoneticPr fontId="42" type="noConversion"/>
  </si>
  <si>
    <t>오 승 조    (인)</t>
    <phoneticPr fontId="6" type="noConversion"/>
  </si>
  <si>
    <t>이 주 신    (인)</t>
    <phoneticPr fontId="42" type="noConversion"/>
  </si>
  <si>
    <t xml:space="preserve"> ○ 시설보안 (421300102250021)</t>
    <phoneticPr fontId="28" type="noConversion"/>
  </si>
  <si>
    <t>(지입재료비+노무비)*4.0%</t>
    <phoneticPr fontId="6" type="noConversion"/>
  </si>
  <si>
    <t>직노*3.545%</t>
    <phoneticPr fontId="6" type="noConversion"/>
  </si>
  <si>
    <t>고정</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</si>
</sst>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5" formatCode="&quot;₩&quot;#,##0;\-&quot;₩&quot;#,##0"/>
    <numFmt numFmtId="6" formatCode="&quot;₩&quot;#,##0;[Red]\-&quot;₩&quot;#,##0"/>
    <numFmt numFmtId="42" formatCode="_-&quot;₩&quot;* #,##0_-;\-&quot;₩&quot;* #,##0_-;_-&quot;₩&quot;* &quot;-&quot;_-;_-@_-"/>
    <numFmt numFmtId="41" formatCode="_-* #,##0_-;\-* #,##0_-;_-* &quot;-&quot;_-;_-@_-"/>
    <numFmt numFmtId="44" formatCode="_-&quot;₩&quot;* #,##0.00_-;\-&quot;₩&quot;* #,##0.00_-;_-&quot;₩&quot;* &quot;-&quot;??_-;_-@_-"/>
    <numFmt numFmtId="43" formatCode="_-* #,##0.00_-;\-* #,##0.00_-;_-* &quot;-&quot;??_-;_-@_-"/>
    <numFmt numFmtId="176" formatCode="_ * #,##0_ ;_ * \-#,##0_ ;_ * &quot;-&quot;_ ;_ @_ "/>
    <numFmt numFmtId="177" formatCode="#,##0_ "/>
    <numFmt numFmtId="178" formatCode="_ &quot;₩&quot;* #,##0_ ;_ &quot;₩&quot;* \-#,##0_ ;_ &quot;₩&quot;* &quot;-&quot;_ ;_ @_ "/>
    <numFmt numFmtId="179" formatCode="#,##0_ ;[Red]\-#,##0\ "/>
    <numFmt numFmtId="180" formatCode="0.000%"/>
    <numFmt numFmtId="181" formatCode="0_);[Red]\(0\)"/>
    <numFmt numFmtId="182" formatCode="#,##0.0_ "/>
    <numFmt numFmtId="183" formatCode="#,##0;[Red]#,##0"/>
    <numFmt numFmtId="184" formatCode="0.0%"/>
    <numFmt numFmtId="185" formatCode="&quot;₩&quot;#,##0"/>
    <numFmt numFmtId="186" formatCode="#,##0.0000"/>
    <numFmt numFmtId="187" formatCode="0_);\(0\)"/>
    <numFmt numFmtId="188" formatCode="_(&quot;$&quot;* #,##0_);_(&quot;$&quot;* \(#,##0\);_(&quot;$&quot;* &quot;-&quot;_);_(@_)"/>
    <numFmt numFmtId="189" formatCode="_ * #,##0.00_ ;_ * \-#,##0.00_ ;_ * &quot;-&quot;??_ ;_ @_ "/>
    <numFmt numFmtId="190" formatCode="_-* #,##0_-;\-* #,##0_-;_-* &quot;-&quot;??_-;_-@_-"/>
    <numFmt numFmtId="191" formatCode="_-* #,##0.00_-;\-* #,##0.00_-;_-* &quot;-&quot;_-;_-@_-"/>
    <numFmt numFmtId="192" formatCode="_-* #,##0.0_-;\-* #,##0.0_-;_-* &quot;-&quot;_-;_-@_-"/>
    <numFmt numFmtId="193" formatCode="_-* #,##0.0_-;\-* #,##0.0_-;_-* &quot;-&quot;?_-;_-@_-"/>
    <numFmt numFmtId="194" formatCode="0_ "/>
    <numFmt numFmtId="195" formatCode="0.00_ "/>
    <numFmt numFmtId="196" formatCode="0.0_ "/>
    <numFmt numFmtId="197" formatCode="0.0"/>
  </numFmts>
  <fonts count="198">
    <font>
      <sz val="11"/>
      <color theme="1"/>
      <name val="맑은 고딕"/>
      <family val="2"/>
      <charset val="129"/>
      <scheme val="minor"/>
    </font>
    <font>
      <sz val="11"/>
      <color theme="1"/>
      <name val="맑은 고딕"/>
      <family val="2"/>
      <charset val="129"/>
      <scheme val="minor"/>
    </font>
    <font>
      <sz val="11"/>
      <name val="돋움"/>
      <family val="3"/>
      <charset val="129"/>
    </font>
    <font>
      <b/>
      <sz val="24"/>
      <name val="굴림"/>
      <family val="3"/>
      <charset val="129"/>
    </font>
    <font>
      <sz val="12"/>
      <name val="바탕체"/>
      <family val="1"/>
      <charset val="129"/>
    </font>
    <font>
      <b/>
      <u/>
      <sz val="26"/>
      <name val="HY견고딕"/>
      <family val="1"/>
      <charset val="129"/>
    </font>
    <font>
      <sz val="8"/>
      <name val="돋움"/>
      <family val="3"/>
      <charset val="129"/>
    </font>
    <font>
      <sz val="26"/>
      <name val="돋움"/>
      <family val="3"/>
      <charset val="129"/>
    </font>
    <font>
      <b/>
      <sz val="20"/>
      <name val="맑은 고딕"/>
      <family val="3"/>
      <charset val="129"/>
      <scheme val="minor"/>
    </font>
    <font>
      <sz val="20"/>
      <name val="맑은 고딕"/>
      <family val="3"/>
      <charset val="129"/>
      <scheme val="minor"/>
    </font>
    <font>
      <b/>
      <u/>
      <sz val="20"/>
      <name val="HY견고딕"/>
      <family val="1"/>
      <charset val="129"/>
    </font>
    <font>
      <sz val="8"/>
      <name val="바탕체"/>
      <family val="1"/>
      <charset val="129"/>
    </font>
    <font>
      <sz val="11"/>
      <name val="굴림"/>
      <family val="3"/>
      <charset val="129"/>
    </font>
    <font>
      <b/>
      <u/>
      <sz val="20"/>
      <name val="궁서체"/>
      <family val="1"/>
      <charset val="129"/>
    </font>
    <font>
      <b/>
      <sz val="11"/>
      <color indexed="8"/>
      <name val="맑은 고딕"/>
      <family val="3"/>
      <charset val="129"/>
      <scheme val="minor"/>
    </font>
    <font>
      <sz val="11"/>
      <name val="맑은 고딕"/>
      <family val="3"/>
      <charset val="129"/>
      <scheme val="minor"/>
    </font>
    <font>
      <b/>
      <sz val="11"/>
      <color indexed="12"/>
      <name val="맑은 고딕"/>
      <family val="3"/>
      <charset val="129"/>
      <scheme val="minor"/>
    </font>
    <font>
      <b/>
      <sz val="11"/>
      <name val="맑은 고딕"/>
      <family val="3"/>
      <charset val="129"/>
      <scheme val="minor"/>
    </font>
    <font>
      <b/>
      <u/>
      <sz val="20"/>
      <color indexed="8"/>
      <name val="HY견고딕"/>
      <family val="1"/>
      <charset val="129"/>
    </font>
    <font>
      <sz val="8"/>
      <name val="맑은 고딕"/>
      <family val="3"/>
      <charset val="129"/>
    </font>
    <font>
      <sz val="10"/>
      <color indexed="8"/>
      <name val="바탕"/>
      <family val="1"/>
      <charset val="129"/>
    </font>
    <font>
      <sz val="10"/>
      <name val="Arial"/>
      <family val="2"/>
    </font>
    <font>
      <sz val="10"/>
      <color indexed="8"/>
      <name val="맑은 고딕"/>
      <family val="3"/>
      <charset val="129"/>
      <scheme val="minor"/>
    </font>
    <font>
      <sz val="10"/>
      <name val="맑은 고딕"/>
      <family val="3"/>
      <charset val="129"/>
      <scheme val="minor"/>
    </font>
    <font>
      <sz val="11"/>
      <name val="굴림체"/>
      <family val="3"/>
      <charset val="129"/>
    </font>
    <font>
      <b/>
      <sz val="12"/>
      <name val="맑은 고딕"/>
      <family val="3"/>
      <charset val="129"/>
      <scheme val="minor"/>
    </font>
    <font>
      <sz val="10"/>
      <name val="맑은 고딕"/>
      <family val="3"/>
      <charset val="129"/>
    </font>
    <font>
      <sz val="10"/>
      <name val="굴림"/>
      <family val="3"/>
      <charset val="129"/>
    </font>
    <font>
      <sz val="8"/>
      <name val="바탕"/>
      <family val="1"/>
      <charset val="129"/>
    </font>
    <font>
      <b/>
      <u/>
      <sz val="22"/>
      <name val="HY견고딕"/>
      <family val="1"/>
      <charset val="129"/>
    </font>
    <font>
      <sz val="11"/>
      <color indexed="8"/>
      <name val="맑은 고딕"/>
      <family val="3"/>
      <charset val="129"/>
      <scheme val="minor"/>
    </font>
    <font>
      <sz val="12"/>
      <name val="굴림체"/>
      <family val="3"/>
      <charset val="129"/>
    </font>
    <font>
      <sz val="12"/>
      <name val="맑은 고딕"/>
      <family val="3"/>
      <charset val="129"/>
      <scheme val="minor"/>
    </font>
    <font>
      <b/>
      <u/>
      <sz val="24"/>
      <name val="HY견고딕"/>
      <family val="1"/>
      <charset val="129"/>
    </font>
    <font>
      <b/>
      <u/>
      <sz val="24"/>
      <name val="궁서체"/>
      <family val="1"/>
      <charset val="129"/>
    </font>
    <font>
      <b/>
      <sz val="11"/>
      <name val="돋움"/>
      <family val="3"/>
      <charset val="129"/>
    </font>
    <font>
      <b/>
      <sz val="10"/>
      <name val="맑은 고딕"/>
      <family val="3"/>
      <charset val="129"/>
      <scheme val="minor"/>
    </font>
    <font>
      <sz val="11"/>
      <color theme="1"/>
      <name val="맑은 고딕"/>
      <family val="3"/>
      <charset val="129"/>
      <scheme val="minor"/>
    </font>
    <font>
      <sz val="10"/>
      <color indexed="12"/>
      <name val="맑은 고딕"/>
      <family val="3"/>
      <charset val="129"/>
      <scheme val="minor"/>
    </font>
    <font>
      <b/>
      <sz val="9"/>
      <name val="맑은 고딕"/>
      <family val="3"/>
      <charset val="129"/>
      <scheme val="minor"/>
    </font>
    <font>
      <sz val="9"/>
      <name val="맑은 고딕"/>
      <family val="3"/>
      <charset val="129"/>
      <scheme val="minor"/>
    </font>
    <font>
      <sz val="10"/>
      <color indexed="10"/>
      <name val="맑은 고딕"/>
      <family val="3"/>
      <charset val="129"/>
      <scheme val="minor"/>
    </font>
    <font>
      <sz val="14"/>
      <name val="뼻뮝"/>
      <family val="3"/>
      <charset val="129"/>
    </font>
    <font>
      <b/>
      <sz val="10"/>
      <name val="굴림체"/>
      <family val="3"/>
      <charset val="129"/>
    </font>
    <font>
      <b/>
      <u/>
      <sz val="18"/>
      <name val="HY견고딕"/>
      <family val="1"/>
      <charset val="129"/>
    </font>
    <font>
      <b/>
      <sz val="13"/>
      <name val="맑은 고딕"/>
      <family val="3"/>
      <charset val="129"/>
      <scheme val="minor"/>
    </font>
    <font>
      <sz val="13"/>
      <name val="맑은 고딕"/>
      <family val="3"/>
      <charset val="129"/>
      <scheme val="minor"/>
    </font>
    <font>
      <sz val="8"/>
      <name val="맑은 고딕"/>
      <family val="3"/>
      <charset val="129"/>
      <scheme val="minor"/>
    </font>
    <font>
      <sz val="8"/>
      <name val="굴림체"/>
      <family val="3"/>
      <charset val="129"/>
    </font>
    <font>
      <b/>
      <sz val="10"/>
      <color indexed="12"/>
      <name val="굴림체"/>
      <family val="3"/>
      <charset val="129"/>
    </font>
    <font>
      <sz val="11"/>
      <name val="HY견고딕"/>
      <family val="1"/>
      <charset val="129"/>
    </font>
    <font>
      <b/>
      <sz val="38"/>
      <name val="HY헤드라인M"/>
      <family val="1"/>
      <charset val="129"/>
    </font>
    <font>
      <sz val="11"/>
      <name val="HY헤드라인M"/>
      <family val="1"/>
      <charset val="129"/>
    </font>
    <font>
      <sz val="11"/>
      <name val="궁서체"/>
      <family val="1"/>
      <charset val="129"/>
    </font>
    <font>
      <b/>
      <sz val="20"/>
      <name val="HY헤드라인M"/>
      <family val="1"/>
      <charset val="129"/>
    </font>
    <font>
      <b/>
      <sz val="18"/>
      <name val="HY헤드라인M"/>
      <family val="1"/>
      <charset val="129"/>
    </font>
    <font>
      <sz val="20"/>
      <name val="HY헤드라인M"/>
      <family val="1"/>
      <charset val="129"/>
    </font>
    <font>
      <b/>
      <sz val="22"/>
      <name val="HY헤드라인M"/>
      <family val="1"/>
      <charset val="129"/>
    </font>
    <font>
      <sz val="22"/>
      <name val="HY헤드라인M"/>
      <family val="1"/>
      <charset val="129"/>
    </font>
    <font>
      <u/>
      <sz val="26"/>
      <name val="HY견고딕"/>
      <family val="1"/>
      <charset val="129"/>
    </font>
    <font>
      <sz val="8"/>
      <name val="맑은 고딕"/>
      <family val="2"/>
      <charset val="129"/>
      <scheme val="minor"/>
    </font>
    <font>
      <b/>
      <sz val="12"/>
      <color indexed="8"/>
      <name val="돋움"/>
      <family val="3"/>
      <charset val="129"/>
    </font>
    <font>
      <b/>
      <sz val="10"/>
      <name val="돋움"/>
      <family val="3"/>
      <charset val="129"/>
    </font>
    <font>
      <b/>
      <u/>
      <sz val="22"/>
      <name val="바탕체"/>
      <family val="1"/>
      <charset val="129"/>
    </font>
    <font>
      <sz val="12"/>
      <name val="HY견고딕"/>
      <family val="1"/>
      <charset val="129"/>
    </font>
    <font>
      <sz val="10"/>
      <name val="돋움"/>
      <family val="3"/>
      <charset val="129"/>
    </font>
    <font>
      <b/>
      <sz val="12"/>
      <name val="돋움"/>
      <family val="3"/>
      <charset val="129"/>
    </font>
    <font>
      <sz val="28"/>
      <name val="HY견고딕"/>
      <family val="1"/>
      <charset val="129"/>
    </font>
    <font>
      <sz val="24"/>
      <name val="맑은 고딕"/>
      <family val="3"/>
      <charset val="129"/>
      <scheme val="minor"/>
    </font>
    <font>
      <u/>
      <sz val="9"/>
      <color rgb="FFFF0000"/>
      <name val="맑은 고딕"/>
      <family val="3"/>
      <charset val="129"/>
      <scheme val="minor"/>
    </font>
    <font>
      <sz val="10"/>
      <color rgb="FFFF0000"/>
      <name val="맑은 고딕"/>
      <family val="3"/>
      <charset val="129"/>
      <scheme val="minor"/>
    </font>
    <font>
      <b/>
      <sz val="9"/>
      <color indexed="81"/>
      <name val="Tahoma"/>
      <family val="2"/>
    </font>
    <font>
      <b/>
      <sz val="9"/>
      <color indexed="81"/>
      <name val="돋움"/>
      <family val="3"/>
      <charset val="129"/>
    </font>
    <font>
      <sz val="10"/>
      <name val="바탕체"/>
      <family val="1"/>
      <charset val="129"/>
    </font>
    <font>
      <sz val="10"/>
      <color indexed="10"/>
      <name val="바탕체"/>
      <family val="1"/>
      <charset val="129"/>
    </font>
    <font>
      <sz val="12"/>
      <name val="¹????¼"/>
      <family val="1"/>
      <charset val="129"/>
    </font>
    <font>
      <sz val="12"/>
      <name val="System"/>
      <family val="2"/>
      <charset val="129"/>
    </font>
    <font>
      <sz val="12"/>
      <name val="Times New Roman"/>
      <family val="1"/>
    </font>
    <font>
      <sz val="12"/>
      <name val="¹UAAA¼"/>
      <family val="1"/>
      <charset val="129"/>
    </font>
    <font>
      <sz val="12"/>
      <name val="ⓒoUAAA¨u"/>
      <family val="1"/>
      <charset val="129"/>
    </font>
    <font>
      <sz val="11"/>
      <name val="￥i￠￢￠?o"/>
      <family val="3"/>
      <charset val="129"/>
    </font>
    <font>
      <sz val="12"/>
      <name val="¹ÙÅÁÃ¼"/>
      <family val="1"/>
      <charset val="129"/>
    </font>
    <font>
      <sz val="1"/>
      <color indexed="8"/>
      <name val="Courier"/>
      <family val="3"/>
    </font>
    <font>
      <u/>
      <sz val="8"/>
      <color indexed="12"/>
      <name val="Times New Roman"/>
      <family val="1"/>
    </font>
    <font>
      <sz val="10"/>
      <name val="μ¸¿oA¼"/>
      <family val="3"/>
      <charset val="129"/>
    </font>
    <font>
      <sz val="11"/>
      <name val="µ¸¿ò"/>
      <family val="3"/>
      <charset val="129"/>
    </font>
    <font>
      <sz val="11"/>
      <name val="μ¸¿o"/>
      <family val="3"/>
      <charset val="129"/>
    </font>
    <font>
      <sz val="11"/>
      <name val="__"/>
      <family val="3"/>
    </font>
    <font>
      <sz val="12"/>
      <name val="___"/>
      <family val="1"/>
    </font>
    <font>
      <sz val="10"/>
      <name val="___"/>
      <family val="1"/>
    </font>
    <font>
      <b/>
      <sz val="12"/>
      <color indexed="12"/>
      <name val="맑은 고딕"/>
      <family val="3"/>
      <charset val="129"/>
      <scheme val="minor"/>
    </font>
    <font>
      <b/>
      <sz val="14"/>
      <color rgb="FF0000FF"/>
      <name val="맑은 고딕"/>
      <family val="3"/>
      <charset val="129"/>
      <scheme val="minor"/>
    </font>
    <font>
      <u/>
      <sz val="24"/>
      <name val="HY견고딕"/>
      <family val="1"/>
      <charset val="129"/>
    </font>
    <font>
      <sz val="12"/>
      <color theme="1"/>
      <name val="맑은 고딕"/>
      <family val="3"/>
      <charset val="129"/>
      <scheme val="minor"/>
    </font>
    <font>
      <b/>
      <u/>
      <sz val="24"/>
      <name val="맑은 고딕"/>
      <family val="3"/>
      <charset val="129"/>
      <scheme val="minor"/>
    </font>
    <font>
      <b/>
      <u/>
      <sz val="12"/>
      <name val="굴림체"/>
      <family val="3"/>
      <charset val="129"/>
    </font>
    <font>
      <b/>
      <sz val="11"/>
      <color indexed="10"/>
      <name val="맑은 고딕"/>
      <family val="3"/>
      <charset val="129"/>
      <scheme val="minor"/>
    </font>
    <font>
      <sz val="8"/>
      <name val="굴림"/>
      <family val="3"/>
      <charset val="129"/>
    </font>
    <font>
      <b/>
      <sz val="12"/>
      <color indexed="10"/>
      <name val="바탕체"/>
      <family val="1"/>
      <charset val="129"/>
    </font>
    <font>
      <b/>
      <sz val="28"/>
      <name val="HY견고딕"/>
      <family val="1"/>
      <charset val="129"/>
    </font>
    <font>
      <b/>
      <sz val="20"/>
      <name val="맑은 고딕"/>
      <family val="3"/>
      <charset val="129"/>
      <scheme val="major"/>
    </font>
    <font>
      <sz val="20"/>
      <name val="맑은 고딕"/>
      <family val="3"/>
      <charset val="129"/>
      <scheme val="major"/>
    </font>
    <font>
      <sz val="20"/>
      <color theme="1"/>
      <name val="맑은 고딕"/>
      <family val="3"/>
      <charset val="129"/>
      <scheme val="major"/>
    </font>
    <font>
      <b/>
      <u/>
      <sz val="20"/>
      <name val="돋움"/>
      <family val="3"/>
      <charset val="129"/>
    </font>
    <font>
      <b/>
      <sz val="14"/>
      <name val="돋움"/>
      <family val="3"/>
      <charset val="129"/>
    </font>
    <font>
      <sz val="14"/>
      <name val="돋움"/>
      <family val="3"/>
      <charset val="129"/>
    </font>
    <font>
      <b/>
      <sz val="16"/>
      <name val="HY헤드라인M"/>
      <family val="1"/>
      <charset val="129"/>
    </font>
    <font>
      <b/>
      <sz val="12"/>
      <name val="굴림체"/>
      <family val="3"/>
      <charset val="129"/>
    </font>
    <font>
      <b/>
      <sz val="10"/>
      <color rgb="FF0000FF"/>
      <name val="돋움"/>
      <family val="3"/>
      <charset val="129"/>
    </font>
    <font>
      <sz val="11"/>
      <name val="맑은 고딕"/>
      <family val="2"/>
      <charset val="129"/>
      <scheme val="minor"/>
    </font>
    <font>
      <sz val="9"/>
      <color rgb="FFFF0000"/>
      <name val="맑은 고딕"/>
      <family val="3"/>
      <charset val="129"/>
      <scheme val="minor"/>
    </font>
    <font>
      <u/>
      <sz val="10"/>
      <name val="맑은 고딕"/>
      <family val="3"/>
      <charset val="129"/>
      <scheme val="minor"/>
    </font>
    <font>
      <u/>
      <sz val="20"/>
      <name val="굴림체"/>
      <family val="3"/>
      <charset val="129"/>
    </font>
    <font>
      <b/>
      <u/>
      <sz val="26"/>
      <name val="굴림체"/>
      <family val="3"/>
      <charset val="129"/>
    </font>
    <font>
      <b/>
      <sz val="12"/>
      <color indexed="8"/>
      <name val="맑은 고딕"/>
      <family val="3"/>
      <charset val="129"/>
      <scheme val="minor"/>
    </font>
    <font>
      <b/>
      <sz val="11"/>
      <color rgb="FF0000FF"/>
      <name val="맑은 고딕"/>
      <family val="3"/>
      <charset val="129"/>
      <scheme val="minor"/>
    </font>
    <font>
      <b/>
      <sz val="17"/>
      <name val="맑은 고딕"/>
      <family val="3"/>
      <charset val="129"/>
      <scheme val="minor"/>
    </font>
    <font>
      <sz val="10"/>
      <color theme="1"/>
      <name val="맑은 고딕"/>
      <family val="3"/>
      <charset val="129"/>
      <scheme val="minor"/>
    </font>
    <font>
      <sz val="12"/>
      <color rgb="FFFF0000"/>
      <name val="굴림체"/>
      <family val="3"/>
      <charset val="129"/>
    </font>
    <font>
      <sz val="9"/>
      <color rgb="FF0000FF"/>
      <name val="맑은 고딕"/>
      <family val="3"/>
      <charset val="129"/>
      <scheme val="minor"/>
    </font>
    <font>
      <sz val="12"/>
      <color indexed="8"/>
      <name val="맑은 고딕"/>
      <family val="3"/>
      <charset val="129"/>
      <scheme val="minor"/>
    </font>
    <font>
      <sz val="9"/>
      <color indexed="81"/>
      <name val="Tahoma"/>
      <family val="2"/>
    </font>
    <font>
      <sz val="11"/>
      <name val="맑은 고딕"/>
      <family val="3"/>
      <charset val="129"/>
    </font>
    <font>
      <sz val="10"/>
      <color indexed="8"/>
      <name val="맑은 고딕"/>
      <family val="3"/>
      <charset val="129"/>
      <scheme val="major"/>
    </font>
    <font>
      <sz val="22"/>
      <color theme="1"/>
      <name val="맑은 고딕"/>
      <family val="2"/>
      <charset val="129"/>
      <scheme val="minor"/>
    </font>
    <font>
      <sz val="12"/>
      <color theme="1"/>
      <name val="맑은 고딕"/>
      <family val="2"/>
      <charset val="129"/>
      <scheme val="minor"/>
    </font>
    <font>
      <b/>
      <sz val="10"/>
      <color theme="1"/>
      <name val="맑은 고딕"/>
      <family val="3"/>
      <charset val="129"/>
      <scheme val="minor"/>
    </font>
    <font>
      <b/>
      <sz val="18"/>
      <color theme="1"/>
      <name val="맑은 고딕"/>
      <family val="3"/>
      <charset val="129"/>
      <scheme val="minor"/>
    </font>
    <font>
      <b/>
      <sz val="11"/>
      <color theme="1"/>
      <name val="맑은 고딕"/>
      <family val="3"/>
      <charset val="129"/>
      <scheme val="minor"/>
    </font>
    <font>
      <sz val="11"/>
      <color rgb="FFFF0000"/>
      <name val="맑은 고딕"/>
      <family val="2"/>
      <charset val="129"/>
      <scheme val="minor"/>
    </font>
    <font>
      <sz val="12"/>
      <name val="맑은 고딕"/>
      <family val="2"/>
      <charset val="129"/>
      <scheme val="minor"/>
    </font>
    <font>
      <sz val="11"/>
      <color rgb="FFFF0000"/>
      <name val="맑은 고딕"/>
      <family val="3"/>
      <charset val="129"/>
      <scheme val="minor"/>
    </font>
    <font>
      <sz val="11"/>
      <color rgb="FF000000"/>
      <name val="돋움"/>
      <family val="3"/>
      <charset val="129"/>
    </font>
    <font>
      <sz val="10"/>
      <color theme="1"/>
      <name val="굴림"/>
      <family val="3"/>
      <charset val="129"/>
    </font>
    <font>
      <b/>
      <sz val="10"/>
      <color theme="1"/>
      <name val="굴림"/>
      <family val="3"/>
      <charset val="129"/>
    </font>
    <font>
      <sz val="14"/>
      <color rgb="FFFF0000"/>
      <name val="맑은 고딕"/>
      <family val="3"/>
      <charset val="129"/>
      <scheme val="minor"/>
    </font>
    <font>
      <b/>
      <sz val="26"/>
      <name val="돋움"/>
      <family val="3"/>
      <charset val="129"/>
    </font>
    <font>
      <sz val="9"/>
      <color indexed="81"/>
      <name val="돋움"/>
      <family val="3"/>
      <charset val="129"/>
    </font>
    <font>
      <b/>
      <sz val="11"/>
      <color rgb="FFFF0000"/>
      <name val="맑은 고딕"/>
      <family val="3"/>
      <charset val="129"/>
      <scheme val="minor"/>
    </font>
    <font>
      <sz val="11"/>
      <color rgb="FF0000FF"/>
      <name val="맑은 고딕"/>
      <family val="3"/>
      <charset val="129"/>
      <scheme val="minor"/>
    </font>
    <font>
      <sz val="6"/>
      <name val="맑은 고딕"/>
      <family val="3"/>
      <charset val="129"/>
      <scheme val="minor"/>
    </font>
    <font>
      <sz val="11"/>
      <color theme="0" tint="-0.34998626667073579"/>
      <name val="맑은 고딕"/>
      <family val="3"/>
      <charset val="129"/>
      <scheme val="minor"/>
    </font>
    <font>
      <sz val="11"/>
      <color rgb="FFFF0000"/>
      <name val="돋움"/>
      <family val="3"/>
      <charset val="129"/>
    </font>
    <font>
      <b/>
      <sz val="11"/>
      <name val="맑은 고딕"/>
      <family val="3"/>
      <charset val="129"/>
    </font>
    <font>
      <b/>
      <sz val="10"/>
      <color rgb="FFFF0000"/>
      <name val="맑은 고딕"/>
      <family val="3"/>
      <charset val="129"/>
      <scheme val="minor"/>
    </font>
    <font>
      <b/>
      <sz val="20"/>
      <color rgb="FFFF0000"/>
      <name val="맑은 고딕"/>
      <family val="3"/>
      <charset val="129"/>
      <scheme val="minor"/>
    </font>
    <font>
      <sz val="12"/>
      <color rgb="FF0000FF"/>
      <name val="맑은 고딕"/>
      <family val="3"/>
      <charset val="129"/>
      <scheme val="minor"/>
    </font>
    <font>
      <b/>
      <u/>
      <sz val="22"/>
      <color theme="1"/>
      <name val="맑은 고딕"/>
      <family val="3"/>
      <charset val="129"/>
      <scheme val="minor"/>
    </font>
    <font>
      <sz val="11"/>
      <color theme="1"/>
      <name val="굴림체"/>
      <family val="3"/>
      <charset val="129"/>
    </font>
    <font>
      <sz val="10"/>
      <color theme="1"/>
      <name val="맑은 고딕"/>
      <family val="3"/>
      <charset val="129"/>
    </font>
    <font>
      <b/>
      <sz val="18"/>
      <color theme="0"/>
      <name val="HY헤드라인M"/>
      <family val="1"/>
      <charset val="129"/>
    </font>
    <font>
      <sz val="11"/>
      <color theme="0"/>
      <name val="궁서체"/>
      <family val="1"/>
      <charset val="129"/>
    </font>
    <font>
      <b/>
      <sz val="20"/>
      <color theme="1"/>
      <name val="맑은 고딕"/>
      <family val="3"/>
      <charset val="129"/>
      <scheme val="minor"/>
    </font>
    <font>
      <sz val="20"/>
      <color rgb="FFFF0000"/>
      <name val="맑은 고딕"/>
      <family val="3"/>
      <charset val="129"/>
      <scheme val="minor"/>
    </font>
    <font>
      <sz val="20"/>
      <color theme="1"/>
      <name val="맑은 고딕"/>
      <family val="3"/>
      <charset val="129"/>
      <scheme val="minor"/>
    </font>
    <font>
      <sz val="11"/>
      <color indexed="8"/>
      <name val="맑은 고딕"/>
      <family val="3"/>
      <charset val="129"/>
    </font>
    <font>
      <sz val="11"/>
      <color theme="1"/>
      <name val="돋움"/>
      <family val="3"/>
      <charset val="129"/>
    </font>
    <font>
      <b/>
      <u/>
      <sz val="28"/>
      <color theme="1"/>
      <name val="맑은 고딕"/>
      <family val="3"/>
      <charset val="129"/>
      <scheme val="minor"/>
    </font>
    <font>
      <b/>
      <sz val="16"/>
      <color theme="1"/>
      <name val="맑은 고딕"/>
      <family val="3"/>
      <charset val="129"/>
      <scheme val="minor"/>
    </font>
    <font>
      <sz val="11"/>
      <color rgb="FFFF00FF"/>
      <name val="돋움"/>
      <family val="3"/>
      <charset val="129"/>
    </font>
    <font>
      <sz val="11"/>
      <color rgb="FF0000FF"/>
      <name val="돋움"/>
      <family val="3"/>
      <charset val="129"/>
    </font>
    <font>
      <b/>
      <sz val="12"/>
      <color theme="1"/>
      <name val="맑은 고딕"/>
      <family val="3"/>
      <charset val="129"/>
      <scheme val="minor"/>
    </font>
    <font>
      <strike/>
      <sz val="11"/>
      <name val="맑은 고딕"/>
      <family val="3"/>
      <charset val="129"/>
      <scheme val="minor"/>
    </font>
    <font>
      <sz val="7"/>
      <name val="맑은 고딕"/>
      <family val="3"/>
      <charset val="129"/>
      <scheme val="minor"/>
    </font>
    <font>
      <sz val="11"/>
      <color rgb="FF00FF00"/>
      <name val="돋움"/>
      <family val="3"/>
      <charset val="129"/>
    </font>
    <font>
      <sz val="11"/>
      <color rgb="FFFFFF00"/>
      <name val="돋움"/>
      <family val="3"/>
      <charset val="129"/>
    </font>
    <font>
      <sz val="11"/>
      <color rgb="FFFF00FF"/>
      <name val="맑은 고딕"/>
      <family val="2"/>
      <charset val="129"/>
      <scheme val="minor"/>
    </font>
    <font>
      <sz val="11"/>
      <color rgb="FFFF00FF"/>
      <name val="맑은 고딕"/>
      <family val="3"/>
      <charset val="129"/>
      <scheme val="minor"/>
    </font>
    <font>
      <sz val="10"/>
      <color indexed="8"/>
      <name val="바탕체"/>
      <family val="1"/>
      <charset val="129"/>
    </font>
    <font>
      <sz val="9"/>
      <color theme="1"/>
      <name val="맑은 고딕"/>
      <family val="3"/>
      <charset val="129"/>
      <scheme val="minor"/>
    </font>
    <font>
      <sz val="11"/>
      <name val="돋움체"/>
      <family val="3"/>
      <charset val="129"/>
    </font>
    <font>
      <sz val="11"/>
      <color rgb="FF9C0006"/>
      <name val="맑은 고딕"/>
      <family val="2"/>
      <charset val="129"/>
      <scheme val="minor"/>
    </font>
    <font>
      <sz val="12"/>
      <color indexed="8"/>
      <name val="맑은 고딕"/>
      <family val="3"/>
      <charset val="129"/>
    </font>
    <font>
      <sz val="10"/>
      <color indexed="8"/>
      <name val="맑은 고딕"/>
      <family val="3"/>
      <charset val="129"/>
    </font>
    <font>
      <sz val="12"/>
      <name val="맑은 고딕"/>
      <family val="3"/>
      <charset val="129"/>
    </font>
    <font>
      <b/>
      <sz val="12"/>
      <name val="맑은 고딕"/>
      <family val="3"/>
      <charset val="129"/>
    </font>
    <font>
      <b/>
      <sz val="12"/>
      <color indexed="8"/>
      <name val="맑은 고딕"/>
      <family val="3"/>
      <charset val="129"/>
    </font>
    <font>
      <b/>
      <sz val="12"/>
      <color indexed="10"/>
      <name val="맑은 고딕"/>
      <family val="3"/>
      <charset val="129"/>
    </font>
    <font>
      <b/>
      <u/>
      <sz val="12"/>
      <color indexed="10"/>
      <name val="맑은 고딕"/>
      <family val="3"/>
      <charset val="129"/>
    </font>
    <font>
      <sz val="12"/>
      <color indexed="30"/>
      <name val="맑은 고딕"/>
      <family val="3"/>
      <charset val="129"/>
    </font>
    <font>
      <sz val="12"/>
      <color rgb="FFFF0000"/>
      <name val="맑은 고딕"/>
      <family val="3"/>
      <charset val="129"/>
    </font>
    <font>
      <b/>
      <sz val="24"/>
      <color indexed="8"/>
      <name val="맑은 고딕"/>
      <family val="3"/>
      <charset val="129"/>
    </font>
    <font>
      <b/>
      <u/>
      <sz val="24"/>
      <color indexed="8"/>
      <name val="맑은 고딕"/>
      <family val="3"/>
      <charset val="129"/>
    </font>
    <font>
      <b/>
      <sz val="12"/>
      <color rgb="FFFF0000"/>
      <name val="맑은 고딕"/>
      <family val="3"/>
      <charset val="129"/>
    </font>
    <font>
      <b/>
      <u/>
      <sz val="12"/>
      <color rgb="FFFF0000"/>
      <name val="맑은 고딕"/>
      <family val="3"/>
      <charset val="129"/>
    </font>
    <font>
      <sz val="12"/>
      <color indexed="10"/>
      <name val="맑은 고딕"/>
      <family val="3"/>
      <charset val="129"/>
    </font>
    <font>
      <sz val="12"/>
      <color rgb="FF0000FF"/>
      <name val="맑은 고딕"/>
      <family val="3"/>
      <charset val="129"/>
    </font>
    <font>
      <b/>
      <sz val="20"/>
      <color indexed="8"/>
      <name val="맑은 고딕"/>
      <family val="3"/>
      <charset val="129"/>
    </font>
    <font>
      <u/>
      <sz val="12"/>
      <color indexed="8"/>
      <name val="맑은 고딕"/>
      <family val="3"/>
      <charset val="129"/>
    </font>
    <font>
      <b/>
      <u/>
      <sz val="12"/>
      <color indexed="8"/>
      <name val="맑은 고딕"/>
      <family val="3"/>
      <charset val="129"/>
    </font>
    <font>
      <b/>
      <sz val="8"/>
      <color rgb="FFFF0000"/>
      <name val="맑은 고딕"/>
      <family val="3"/>
      <charset val="129"/>
    </font>
    <font>
      <sz val="9"/>
      <color indexed="8"/>
      <name val="맑은 고딕"/>
      <family val="3"/>
      <charset val="129"/>
    </font>
    <font>
      <sz val="10"/>
      <color rgb="FF0070C0"/>
      <name val="맑은 고딕"/>
      <family val="3"/>
      <charset val="129"/>
    </font>
    <font>
      <sz val="11"/>
      <color rgb="FF0070C0"/>
      <name val="맑은 고딕"/>
      <family val="3"/>
      <charset val="129"/>
      <scheme val="minor"/>
    </font>
    <font>
      <sz val="11"/>
      <color theme="1"/>
      <name val="HY견고딕"/>
      <family val="1"/>
      <charset val="129"/>
    </font>
    <font>
      <b/>
      <sz val="18"/>
      <color rgb="FFFF0000"/>
      <name val="맑은 고딕"/>
      <family val="3"/>
      <charset val="129"/>
      <scheme val="minor"/>
    </font>
    <font>
      <b/>
      <sz val="14"/>
      <name val="맑은 고딕"/>
      <family val="3"/>
      <charset val="129"/>
      <scheme val="minor"/>
    </font>
    <font>
      <sz val="8"/>
      <color theme="1"/>
      <name val="맑은 고딕"/>
      <family val="3"/>
      <charset val="129"/>
      <scheme val="minor"/>
    </font>
  </fonts>
  <fills count="27">
    <fill>
      <patternFill patternType="none"/>
    </fill>
    <fill>
      <patternFill patternType="gray125"/>
    </fill>
    <fill>
      <patternFill patternType="solid">
        <fgColor indexed="9"/>
        <bgColor indexed="64"/>
      </patternFill>
    </fill>
    <fill>
      <patternFill patternType="solid">
        <fgColor theme="4"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indexed="27"/>
        <bgColor indexed="64"/>
      </patternFill>
    </fill>
    <fill>
      <patternFill patternType="solid">
        <fgColor theme="6" tint="0.59999389629810485"/>
        <bgColor indexed="64"/>
      </patternFill>
    </fill>
    <fill>
      <patternFill patternType="solid">
        <fgColor indexed="65"/>
        <bgColor indexed="12"/>
      </patternFill>
    </fill>
    <fill>
      <patternFill patternType="solid">
        <fgColor indexed="9"/>
        <bgColor indexed="9"/>
      </patternFill>
    </fill>
    <fill>
      <patternFill patternType="solid">
        <fgColor theme="5" tint="0.79998168889431442"/>
        <bgColor indexed="12"/>
      </patternFill>
    </fill>
    <fill>
      <patternFill patternType="solid">
        <fgColor theme="3" tint="0.79998168889431442"/>
        <bgColor indexed="64"/>
      </patternFill>
    </fill>
    <fill>
      <patternFill patternType="solid">
        <fgColor indexed="65"/>
        <bgColor indexed="64"/>
      </patternFill>
    </fill>
    <fill>
      <patternFill patternType="solid">
        <fgColor theme="9" tint="0.79998168889431442"/>
        <bgColor indexed="64"/>
      </patternFill>
    </fill>
    <fill>
      <patternFill patternType="solid">
        <fgColor indexed="44"/>
        <bgColor indexed="64"/>
      </patternFill>
    </fill>
    <fill>
      <patternFill patternType="solid">
        <fgColor theme="0" tint="-4.9989318521683403E-2"/>
        <bgColor indexed="64"/>
      </patternFill>
    </fill>
    <fill>
      <patternFill patternType="solid">
        <fgColor theme="0"/>
        <bgColor indexed="12"/>
      </patternFill>
    </fill>
    <fill>
      <patternFill patternType="solid">
        <fgColor rgb="FFFFFF00"/>
        <bgColor indexed="64"/>
      </patternFill>
    </fill>
    <fill>
      <patternFill patternType="solid">
        <fgColor indexed="9"/>
        <bgColor indexed="44"/>
      </patternFill>
    </fill>
    <fill>
      <patternFill patternType="solid">
        <fgColor theme="9" tint="0.39997558519241921"/>
        <bgColor indexed="64"/>
      </patternFill>
    </fill>
    <fill>
      <patternFill patternType="solid">
        <fgColor rgb="FFE5E5E5"/>
        <bgColor indexed="64"/>
      </patternFill>
    </fill>
    <fill>
      <patternFill patternType="solid">
        <fgColor rgb="FFF2DCDB"/>
        <bgColor indexed="64"/>
      </patternFill>
    </fill>
    <fill>
      <patternFill patternType="solid">
        <fgColor rgb="FFFABF8F"/>
        <bgColor indexed="64"/>
      </patternFill>
    </fill>
    <fill>
      <patternFill patternType="solid">
        <fgColor rgb="FFFFC7CE"/>
      </patternFill>
    </fill>
    <fill>
      <patternFill patternType="solid">
        <fgColor theme="1" tint="0.499984740745262"/>
        <bgColor indexed="64"/>
      </patternFill>
    </fill>
    <fill>
      <patternFill patternType="solid">
        <fgColor theme="0" tint="-0.14999847407452621"/>
        <bgColor indexed="64"/>
      </patternFill>
    </fill>
    <fill>
      <patternFill patternType="solid">
        <fgColor theme="0" tint="-0.14999847407452621"/>
        <bgColor indexed="44"/>
      </patternFill>
    </fill>
  </fills>
  <borders count="244">
    <border>
      <left/>
      <right/>
      <top/>
      <bottom/>
      <diagonal/>
    </border>
    <border>
      <left/>
      <right style="hair">
        <color indexed="64"/>
      </right>
      <top style="thin">
        <color indexed="64"/>
      </top>
      <bottom style="hair">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top/>
      <bottom style="hair">
        <color indexed="64"/>
      </bottom>
      <diagonal/>
    </border>
    <border>
      <left style="thin">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bottom/>
      <diagonal/>
    </border>
    <border>
      <left style="hair">
        <color indexed="64"/>
      </left>
      <right/>
      <top style="hair">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hair">
        <color indexed="64"/>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top/>
      <bottom/>
      <diagonal/>
    </border>
    <border diagonalDown="1">
      <left style="medium">
        <color indexed="64"/>
      </left>
      <right/>
      <top style="medium">
        <color indexed="64"/>
      </top>
      <bottom/>
      <diagonal style="thin">
        <color indexed="64"/>
      </diagonal>
    </border>
    <border diagonalDown="1">
      <left/>
      <right style="thin">
        <color indexed="64"/>
      </right>
      <top style="medium">
        <color indexed="64"/>
      </top>
      <bottom/>
      <diagonal style="thin">
        <color indexed="64"/>
      </diagonal>
    </border>
    <border>
      <left style="thin">
        <color indexed="64"/>
      </left>
      <right style="hair">
        <color indexed="64"/>
      </right>
      <top style="medium">
        <color indexed="64"/>
      </top>
      <bottom/>
      <diagonal/>
    </border>
    <border>
      <left style="hair">
        <color indexed="64"/>
      </left>
      <right style="hair">
        <color indexed="64"/>
      </right>
      <top style="medium">
        <color indexed="64"/>
      </top>
      <bottom/>
      <diagonal/>
    </border>
    <border>
      <left/>
      <right style="hair">
        <color indexed="64"/>
      </right>
      <top style="medium">
        <color indexed="64"/>
      </top>
      <bottom/>
      <diagonal/>
    </border>
    <border>
      <left style="hair">
        <color indexed="64"/>
      </left>
      <right style="medium">
        <color indexed="64"/>
      </right>
      <top style="medium">
        <color indexed="64"/>
      </top>
      <bottom/>
      <diagonal/>
    </border>
    <border diagonalDown="1">
      <left style="medium">
        <color indexed="64"/>
      </left>
      <right/>
      <top/>
      <bottom style="thin">
        <color indexed="64"/>
      </bottom>
      <diagonal style="thin">
        <color indexed="64"/>
      </diagonal>
    </border>
    <border diagonalDown="1">
      <left/>
      <right style="thin">
        <color indexed="64"/>
      </right>
      <top/>
      <bottom style="thin">
        <color indexed="64"/>
      </bottom>
      <diagonal style="thin">
        <color indexed="64"/>
      </diagonal>
    </border>
    <border>
      <left/>
      <right style="hair">
        <color indexed="64"/>
      </right>
      <top/>
      <bottom style="thin">
        <color indexed="64"/>
      </bottom>
      <diagonal/>
    </border>
    <border>
      <left style="hair">
        <color indexed="64"/>
      </left>
      <right style="medium">
        <color indexed="64"/>
      </right>
      <top/>
      <bottom style="thin">
        <color indexed="64"/>
      </bottom>
      <diagonal/>
    </border>
    <border>
      <left/>
      <right style="hair">
        <color indexed="64"/>
      </right>
      <top/>
      <bottom/>
      <diagonal/>
    </border>
    <border>
      <left style="hair">
        <color indexed="64"/>
      </left>
      <right style="medium">
        <color indexed="64"/>
      </right>
      <top/>
      <bottom/>
      <diagonal/>
    </border>
    <border>
      <left style="medium">
        <color indexed="64"/>
      </left>
      <right style="thin">
        <color indexed="64"/>
      </right>
      <top style="thin">
        <color indexed="64"/>
      </top>
      <bottom/>
      <diagonal/>
    </border>
    <border>
      <left style="hair">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thin">
        <color indexed="64"/>
      </right>
      <top style="hair">
        <color indexed="64"/>
      </top>
      <bottom/>
      <diagonal/>
    </border>
    <border>
      <left style="hair">
        <color indexed="64"/>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right style="hair">
        <color indexed="64"/>
      </right>
      <top style="hair">
        <color indexed="64"/>
      </top>
      <bottom/>
      <diagonal/>
    </border>
    <border>
      <left/>
      <right style="hair">
        <color indexed="64"/>
      </right>
      <top style="thin">
        <color indexed="64"/>
      </top>
      <bottom style="thin">
        <color indexed="64"/>
      </bottom>
      <diagonal/>
    </border>
    <border>
      <left style="hair">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bottom style="thin">
        <color indexed="64"/>
      </bottom>
      <diagonal/>
    </border>
    <border>
      <left style="medium">
        <color auto="1"/>
      </left>
      <right/>
      <top style="medium">
        <color auto="1"/>
      </top>
      <bottom/>
      <diagonal/>
    </border>
    <border>
      <left/>
      <right/>
      <top style="medium">
        <color indexed="64"/>
      </top>
      <bottom/>
      <diagonal/>
    </border>
    <border>
      <left style="medium">
        <color auto="1"/>
      </left>
      <right style="hair">
        <color auto="1"/>
      </right>
      <top style="medium">
        <color auto="1"/>
      </top>
      <bottom/>
      <diagonal/>
    </border>
    <border>
      <left style="hair">
        <color auto="1"/>
      </left>
      <right style="medium">
        <color auto="1"/>
      </right>
      <top style="medium">
        <color auto="1"/>
      </top>
      <bottom style="hair">
        <color auto="1"/>
      </bottom>
      <diagonal/>
    </border>
    <border>
      <left style="medium">
        <color auto="1"/>
      </left>
      <right/>
      <top/>
      <bottom/>
      <diagonal/>
    </border>
    <border>
      <left style="medium">
        <color auto="1"/>
      </left>
      <right style="medium">
        <color auto="1"/>
      </right>
      <top style="medium">
        <color auto="1"/>
      </top>
      <bottom/>
      <diagonal/>
    </border>
    <border>
      <left/>
      <right style="medium">
        <color indexed="64"/>
      </right>
      <top style="medium">
        <color indexed="64"/>
      </top>
      <bottom/>
      <diagonal/>
    </border>
    <border>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hair">
        <color indexed="64"/>
      </left>
      <right style="medium">
        <color indexed="64"/>
      </right>
      <top/>
      <bottom style="hair">
        <color indexed="64"/>
      </bottom>
      <diagonal/>
    </border>
    <border>
      <left style="hair">
        <color indexed="64"/>
      </left>
      <right/>
      <top style="hair">
        <color indexed="64"/>
      </top>
      <bottom style="medium">
        <color indexed="64"/>
      </bottom>
      <diagonal/>
    </border>
    <border>
      <left style="hair">
        <color indexed="64"/>
      </left>
      <right/>
      <top style="medium">
        <color indexed="64"/>
      </top>
      <bottom/>
      <diagonal/>
    </border>
    <border>
      <left style="medium">
        <color indexed="64"/>
      </left>
      <right style="hair">
        <color indexed="64"/>
      </right>
      <top/>
      <bottom style="thin">
        <color indexed="64"/>
      </bottom>
      <diagonal/>
    </border>
    <border>
      <left style="medium">
        <color indexed="64"/>
      </left>
      <right style="hair">
        <color indexed="64"/>
      </right>
      <top/>
      <bottom/>
      <diagonal/>
    </border>
    <border>
      <left style="medium">
        <color indexed="64"/>
      </left>
      <right style="hair">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hair">
        <color indexed="64"/>
      </right>
      <top style="hair">
        <color indexed="64"/>
      </top>
      <bottom style="medium">
        <color indexed="64"/>
      </bottom>
      <diagonal/>
    </border>
    <border>
      <left/>
      <right/>
      <top style="hair">
        <color indexed="64"/>
      </top>
      <bottom style="thin">
        <color indexed="64"/>
      </bottom>
      <diagonal/>
    </border>
    <border>
      <left style="hair">
        <color indexed="64"/>
      </left>
      <right/>
      <top/>
      <bottom style="thin">
        <color indexed="64"/>
      </bottom>
      <diagonal/>
    </border>
    <border>
      <left style="thin">
        <color indexed="64"/>
      </left>
      <right/>
      <top style="hair">
        <color indexed="64"/>
      </top>
      <bottom style="thin">
        <color indexed="64"/>
      </bottom>
      <diagonal/>
    </border>
    <border>
      <left/>
      <right/>
      <top/>
      <bottom style="medium">
        <color indexed="64"/>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style="thin">
        <color indexed="64"/>
      </left>
      <right style="thin">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hair">
        <color indexed="64"/>
      </top>
      <bottom style="medium">
        <color indexed="64"/>
      </bottom>
      <diagonal/>
    </border>
    <border>
      <left/>
      <right style="medium">
        <color indexed="64"/>
      </right>
      <top style="hair">
        <color indexed="64"/>
      </top>
      <bottom/>
      <diagonal/>
    </border>
    <border>
      <left style="medium">
        <color indexed="64"/>
      </left>
      <right style="thin">
        <color indexed="64"/>
      </right>
      <top style="medium">
        <color auto="1"/>
      </top>
      <bottom/>
      <diagonal/>
    </border>
    <border>
      <left style="thin">
        <color indexed="64"/>
      </left>
      <right style="thin">
        <color indexed="64"/>
      </right>
      <top style="medium">
        <color auto="1"/>
      </top>
      <bottom/>
      <diagonal/>
    </border>
    <border>
      <left/>
      <right style="thin">
        <color indexed="64"/>
      </right>
      <top style="medium">
        <color auto="1"/>
      </top>
      <bottom/>
      <diagonal/>
    </border>
    <border>
      <left style="medium">
        <color indexed="64"/>
      </left>
      <right style="medium">
        <color auto="1"/>
      </right>
      <top/>
      <bottom style="medium">
        <color auto="1"/>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hair">
        <color auto="1"/>
      </left>
      <right style="thin">
        <color auto="1"/>
      </right>
      <top style="thin">
        <color auto="1"/>
      </top>
      <bottom style="hair">
        <color auto="1"/>
      </bottom>
      <diagonal/>
    </border>
    <border>
      <left style="thin">
        <color auto="1"/>
      </left>
      <right style="hair">
        <color indexed="64"/>
      </right>
      <top style="hair">
        <color auto="1"/>
      </top>
      <bottom style="hair">
        <color auto="1"/>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style="medium">
        <color auto="1"/>
      </left>
      <right style="thin">
        <color indexed="64"/>
      </right>
      <top style="thin">
        <color auto="1"/>
      </top>
      <bottom style="thin">
        <color auto="1"/>
      </bottom>
      <diagonal/>
    </border>
    <border>
      <left/>
      <right style="hair">
        <color indexed="64"/>
      </right>
      <top style="thin">
        <color indexed="64"/>
      </top>
      <bottom/>
      <diagonal/>
    </border>
    <border>
      <left style="medium">
        <color auto="1"/>
      </left>
      <right style="thin">
        <color indexed="64"/>
      </right>
      <top style="thin">
        <color auto="1"/>
      </top>
      <bottom style="medium">
        <color auto="1"/>
      </bottom>
      <diagonal/>
    </border>
    <border>
      <left/>
      <right style="medium">
        <color indexed="64"/>
      </right>
      <top style="thin">
        <color auto="1"/>
      </top>
      <bottom style="medium">
        <color auto="1"/>
      </bottom>
      <diagonal/>
    </border>
    <border>
      <left style="medium">
        <color auto="1"/>
      </left>
      <right style="thin">
        <color auto="1"/>
      </right>
      <top style="thin">
        <color indexed="64"/>
      </top>
      <bottom/>
      <diagonal/>
    </border>
    <border>
      <left style="thin">
        <color auto="1"/>
      </left>
      <right style="thin">
        <color auto="1"/>
      </right>
      <top style="thin">
        <color indexed="64"/>
      </top>
      <bottom style="medium">
        <color auto="1"/>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auto="1"/>
      </top>
      <bottom style="medium">
        <color auto="1"/>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diagonal/>
    </border>
    <border>
      <left style="hair">
        <color indexed="64"/>
      </left>
      <right/>
      <top style="thin">
        <color indexed="64"/>
      </top>
      <bottom style="thin">
        <color indexed="64"/>
      </bottom>
      <diagonal/>
    </border>
    <border>
      <left/>
      <right style="hair">
        <color indexed="64"/>
      </right>
      <top style="thin">
        <color indexed="64"/>
      </top>
      <bottom style="hair">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auto="1"/>
      </top>
      <bottom style="medium">
        <color auto="1"/>
      </bottom>
      <diagonal/>
    </border>
    <border>
      <left style="thin">
        <color indexed="64"/>
      </left>
      <right style="medium">
        <color indexed="64"/>
      </right>
      <top style="medium">
        <color auto="1"/>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auto="1"/>
      </top>
      <bottom style="medium">
        <color auto="1"/>
      </bottom>
      <diagonal/>
    </border>
    <border>
      <left style="hair">
        <color indexed="64"/>
      </left>
      <right style="hair">
        <color indexed="64"/>
      </right>
      <top style="hair">
        <color indexed="64"/>
      </top>
      <bottom style="double">
        <color indexed="64"/>
      </bottom>
      <diagonal/>
    </border>
    <border>
      <left style="hair">
        <color indexed="64"/>
      </left>
      <right/>
      <top style="hair">
        <color indexed="64"/>
      </top>
      <bottom style="double">
        <color indexed="64"/>
      </bottom>
      <diagonal/>
    </border>
    <border>
      <left style="hair">
        <color indexed="64"/>
      </left>
      <right style="thin">
        <color indexed="64"/>
      </right>
      <top style="hair">
        <color indexed="64"/>
      </top>
      <bottom/>
      <diagonal/>
    </border>
    <border>
      <left style="hair">
        <color auto="1"/>
      </left>
      <right style="hair">
        <color auto="1"/>
      </right>
      <top/>
      <bottom style="medium">
        <color auto="1"/>
      </bottom>
      <diagonal/>
    </border>
    <border>
      <left style="hair">
        <color indexed="64"/>
      </left>
      <right style="medium">
        <color indexed="64"/>
      </right>
      <top style="thin">
        <color indexed="64"/>
      </top>
      <bottom style="thin">
        <color indexed="64"/>
      </bottom>
      <diagonal/>
    </border>
    <border>
      <left/>
      <right style="thin">
        <color indexed="64"/>
      </right>
      <top style="hair">
        <color indexed="64"/>
      </top>
      <bottom style="hair">
        <color indexed="64"/>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right style="medium">
        <color auto="1"/>
      </right>
      <top style="hair">
        <color auto="1"/>
      </top>
      <bottom style="hair">
        <color auto="1"/>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thin">
        <color indexed="64"/>
      </right>
      <top/>
      <bottom style="hair">
        <color indexed="64"/>
      </bottom>
      <diagonal/>
    </border>
    <border>
      <left style="medium">
        <color auto="1"/>
      </left>
      <right style="thin">
        <color auto="1"/>
      </right>
      <top style="hair">
        <color auto="1"/>
      </top>
      <bottom style="thin">
        <color indexed="64"/>
      </bottom>
      <diagonal/>
    </border>
    <border>
      <left/>
      <right style="hair">
        <color auto="1"/>
      </right>
      <top style="medium">
        <color auto="1"/>
      </top>
      <bottom style="hair">
        <color auto="1"/>
      </bottom>
      <diagonal/>
    </border>
    <border>
      <left/>
      <right style="hair">
        <color indexed="64"/>
      </right>
      <top style="thin">
        <color indexed="64"/>
      </top>
      <bottom/>
      <diagonal/>
    </border>
    <border>
      <left/>
      <right style="hair">
        <color indexed="64"/>
      </right>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top style="thin">
        <color indexed="64"/>
      </top>
      <bottom style="medium">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hair">
        <color auto="1"/>
      </left>
      <right/>
      <top style="thin">
        <color indexed="64"/>
      </top>
      <bottom style="hair">
        <color auto="1"/>
      </bottom>
      <diagonal/>
    </border>
    <border>
      <left/>
      <right/>
      <top style="thin">
        <color indexed="64"/>
      </top>
      <bottom style="hair">
        <color indexed="64"/>
      </bottom>
      <diagonal/>
    </border>
    <border>
      <left/>
      <right style="thin">
        <color indexed="64"/>
      </right>
      <top style="thin">
        <color auto="1"/>
      </top>
      <bottom style="hair">
        <color indexed="64"/>
      </bottom>
      <diagonal/>
    </border>
    <border>
      <left/>
      <right style="thin">
        <color indexed="64"/>
      </right>
      <top style="hair">
        <color indexed="64"/>
      </top>
      <bottom style="thin">
        <color indexed="64"/>
      </bottom>
      <diagonal/>
    </border>
    <border>
      <left style="hair">
        <color auto="1"/>
      </left>
      <right style="hair">
        <color auto="1"/>
      </right>
      <top style="thin">
        <color auto="1"/>
      </top>
      <bottom style="hair">
        <color auto="1"/>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hair">
        <color indexed="64"/>
      </right>
      <top style="thin">
        <color indexed="64"/>
      </top>
      <bottom style="thin">
        <color indexed="64"/>
      </bottom>
      <diagonal/>
    </border>
    <border>
      <left style="hair">
        <color indexed="64"/>
      </left>
      <right/>
      <top style="thin">
        <color indexed="64"/>
      </top>
      <bottom/>
      <diagonal/>
    </border>
    <border>
      <left/>
      <right style="medium">
        <color indexed="64"/>
      </right>
      <top style="thin">
        <color indexed="64"/>
      </top>
      <bottom style="thin">
        <color indexed="64"/>
      </bottom>
      <diagonal/>
    </border>
    <border>
      <left style="hair">
        <color auto="1"/>
      </left>
      <right/>
      <top/>
      <bottom style="medium">
        <color auto="1"/>
      </bottom>
      <diagonal/>
    </border>
    <border>
      <left style="thin">
        <color indexed="64"/>
      </left>
      <right style="thin">
        <color indexed="64"/>
      </right>
      <top/>
      <bottom style="hair">
        <color indexed="64"/>
      </bottom>
      <diagonal/>
    </border>
    <border>
      <left/>
      <right style="medium">
        <color indexed="64"/>
      </right>
      <top/>
      <bottom style="hair">
        <color indexed="64"/>
      </bottom>
      <diagonal/>
    </border>
    <border>
      <left/>
      <right style="medium">
        <color indexed="64"/>
      </right>
      <top style="hair">
        <color indexed="64"/>
      </top>
      <bottom style="thin">
        <color indexed="64"/>
      </bottom>
      <diagonal/>
    </border>
    <border>
      <left/>
      <right style="medium">
        <color indexed="64"/>
      </right>
      <top style="thin">
        <color indexed="64"/>
      </top>
      <bottom style="hair">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hair">
        <color auto="1"/>
      </left>
      <right style="thin">
        <color indexed="64"/>
      </right>
      <top style="hair">
        <color auto="1"/>
      </top>
      <bottom style="medium">
        <color indexed="64"/>
      </bottom>
      <diagonal/>
    </border>
    <border>
      <left style="hair">
        <color auto="1"/>
      </left>
      <right style="hair">
        <color auto="1"/>
      </right>
      <top style="hair">
        <color auto="1"/>
      </top>
      <bottom style="medium">
        <color indexed="64"/>
      </bottom>
      <diagonal/>
    </border>
    <border>
      <left style="hair">
        <color indexed="64"/>
      </left>
      <right/>
      <top style="hair">
        <color auto="1"/>
      </top>
      <bottom style="medium">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thin">
        <color indexed="64"/>
      </top>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auto="1"/>
      </left>
      <right style="hair">
        <color indexed="64"/>
      </right>
      <top style="hair">
        <color auto="1"/>
      </top>
      <bottom/>
      <diagonal/>
    </border>
    <border>
      <left style="hair">
        <color auto="1"/>
      </left>
      <right style="hair">
        <color auto="1"/>
      </right>
      <top style="hair">
        <color auto="1"/>
      </top>
      <bottom/>
      <diagonal/>
    </border>
    <border>
      <left style="thin">
        <color indexed="64"/>
      </left>
      <right style="hair">
        <color indexed="64"/>
      </right>
      <top style="thin">
        <color indexed="64"/>
      </top>
      <bottom style="medium">
        <color indexed="64"/>
      </bottom>
      <diagonal/>
    </border>
    <border>
      <left style="medium">
        <color indexed="64"/>
      </left>
      <right style="hair">
        <color indexed="64"/>
      </right>
      <top style="thin">
        <color indexed="64"/>
      </top>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bottom style="medium">
        <color auto="1"/>
      </bottom>
      <diagonal/>
    </border>
    <border>
      <left style="medium">
        <color indexed="64"/>
      </left>
      <right style="thin">
        <color indexed="64"/>
      </right>
      <top/>
      <bottom style="medium">
        <color auto="1"/>
      </bottom>
      <diagonal/>
    </border>
    <border>
      <left style="thin">
        <color indexed="64"/>
      </left>
      <right style="medium">
        <color indexed="64"/>
      </right>
      <top/>
      <bottom style="medium">
        <color auto="1"/>
      </bottom>
      <diagonal/>
    </border>
    <border>
      <left style="thin">
        <color indexed="64"/>
      </left>
      <right/>
      <top style="medium">
        <color indexed="64"/>
      </top>
      <bottom/>
      <diagonal/>
    </border>
    <border>
      <left/>
      <right style="hair">
        <color indexed="64"/>
      </right>
      <top style="thin">
        <color indexed="64"/>
      </top>
      <bottom style="medium">
        <color indexed="64"/>
      </bottom>
      <diagonal/>
    </border>
    <border>
      <left style="thin">
        <color indexed="64"/>
      </left>
      <right/>
      <top/>
      <bottom style="hair">
        <color indexed="64"/>
      </bottom>
      <diagonal/>
    </border>
    <border>
      <left style="thin">
        <color auto="1"/>
      </left>
      <right/>
      <top style="hair">
        <color auto="1"/>
      </top>
      <bottom/>
      <diagonal/>
    </border>
    <border>
      <left/>
      <right style="thin">
        <color indexed="64"/>
      </right>
      <top style="hair">
        <color indexed="64"/>
      </top>
      <bottom/>
      <diagonal/>
    </border>
    <border>
      <left style="hair">
        <color indexed="64"/>
      </left>
      <right/>
      <top style="medium">
        <color auto="1"/>
      </top>
      <bottom style="hair">
        <color indexed="64"/>
      </bottom>
      <diagonal/>
    </border>
    <border>
      <left style="thin">
        <color indexed="64"/>
      </left>
      <right style="thin">
        <color indexed="64"/>
      </right>
      <top style="medium">
        <color auto="1"/>
      </top>
      <bottom style="hair">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thin">
        <color indexed="64"/>
      </left>
      <right/>
      <top/>
      <bottom style="medium">
        <color indexed="64"/>
      </bottom>
      <diagonal/>
    </border>
    <border>
      <left style="hair">
        <color indexed="64"/>
      </left>
      <right style="thin">
        <color indexed="64"/>
      </right>
      <top style="thin">
        <color indexed="64"/>
      </top>
      <bottom/>
      <diagonal/>
    </border>
  </borders>
  <cellStyleXfs count="162">
    <xf numFmtId="0" fontId="0" fillId="0" borderId="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9" fontId="1" fillId="0" borderId="0" applyFont="0" applyFill="0" applyBorder="0" applyAlignment="0" applyProtection="0">
      <alignment vertical="center"/>
    </xf>
    <xf numFmtId="0" fontId="73" fillId="0" borderId="0"/>
    <xf numFmtId="176" fontId="2" fillId="0" borderId="0" applyFont="0" applyFill="0" applyBorder="0" applyAlignment="0" applyProtection="0"/>
    <xf numFmtId="0" fontId="12" fillId="0" borderId="18">
      <alignment horizontal="centerContinuous" vertical="center"/>
    </xf>
    <xf numFmtId="0" fontId="12" fillId="0" borderId="18">
      <alignment horizontal="centerContinuous" vertical="center"/>
    </xf>
    <xf numFmtId="0" fontId="12" fillId="0" borderId="18">
      <alignment horizontal="centerContinuous" vertical="center"/>
    </xf>
    <xf numFmtId="0" fontId="12" fillId="0" borderId="18">
      <alignment horizontal="centerContinuous" vertical="center"/>
    </xf>
    <xf numFmtId="0" fontId="12" fillId="0" borderId="18">
      <alignment horizontal="centerContinuous" vertical="center"/>
    </xf>
    <xf numFmtId="187" fontId="2" fillId="0" borderId="18">
      <alignment horizontal="centerContinuous" vertical="center"/>
    </xf>
    <xf numFmtId="0" fontId="74" fillId="0" borderId="18">
      <alignment horizontal="centerContinuous" vertical="center"/>
    </xf>
    <xf numFmtId="0" fontId="12" fillId="0" borderId="18">
      <alignment horizontal="centerContinuous" vertical="center"/>
    </xf>
    <xf numFmtId="188" fontId="2" fillId="0" borderId="18">
      <alignment horizontal="centerContinuous" vertical="center"/>
    </xf>
    <xf numFmtId="0" fontId="73" fillId="0" borderId="18">
      <alignment horizontal="centerContinuous" vertical="center"/>
    </xf>
    <xf numFmtId="0" fontId="12" fillId="0" borderId="18">
      <alignment horizontal="centerContinuous" vertical="center"/>
    </xf>
    <xf numFmtId="0" fontId="75" fillId="0" borderId="0" applyFont="0" applyFill="0" applyBorder="0" applyAlignment="0" applyProtection="0"/>
    <xf numFmtId="0" fontId="75" fillId="0" borderId="0" applyFont="0" applyFill="0" applyBorder="0" applyAlignment="0" applyProtection="0"/>
    <xf numFmtId="0" fontId="75" fillId="0" borderId="0" applyFont="0" applyFill="0" applyBorder="0" applyAlignment="0" applyProtection="0"/>
    <xf numFmtId="0" fontId="75" fillId="0" borderId="0" applyFont="0" applyFill="0" applyBorder="0" applyAlignment="0" applyProtection="0"/>
    <xf numFmtId="0" fontId="77" fillId="0" borderId="0"/>
    <xf numFmtId="0" fontId="79" fillId="0" borderId="0" applyFont="0" applyFill="0" applyBorder="0" applyAlignment="0" applyProtection="0"/>
    <xf numFmtId="0" fontId="80" fillId="0" borderId="0" applyFont="0" applyFill="0" applyBorder="0" applyAlignment="0" applyProtection="0"/>
    <xf numFmtId="0" fontId="81" fillId="0" borderId="0" applyFont="0" applyFill="0" applyBorder="0" applyAlignment="0" applyProtection="0"/>
    <xf numFmtId="0" fontId="78" fillId="0" borderId="0" applyFont="0" applyFill="0" applyBorder="0" applyAlignment="0" applyProtection="0"/>
    <xf numFmtId="0" fontId="81" fillId="0" borderId="0" applyFont="0" applyFill="0" applyBorder="0" applyAlignment="0" applyProtection="0"/>
    <xf numFmtId="0" fontId="78" fillId="0" borderId="0" applyFont="0" applyFill="0" applyBorder="0" applyAlignment="0" applyProtection="0"/>
    <xf numFmtId="0" fontId="81" fillId="0" borderId="0" applyFont="0" applyFill="0" applyBorder="0" applyAlignment="0" applyProtection="0"/>
    <xf numFmtId="0" fontId="78" fillId="0" borderId="0" applyFont="0" applyFill="0" applyBorder="0" applyAlignment="0" applyProtection="0"/>
    <xf numFmtId="0" fontId="81" fillId="0" borderId="0" applyFont="0" applyFill="0" applyBorder="0" applyAlignment="0" applyProtection="0"/>
    <xf numFmtId="0" fontId="78" fillId="0" borderId="0" applyFont="0" applyFill="0" applyBorder="0" applyAlignment="0" applyProtection="0"/>
    <xf numFmtId="0" fontId="79" fillId="0" borderId="0" applyFont="0" applyFill="0" applyBorder="0" applyAlignment="0" applyProtection="0"/>
    <xf numFmtId="0" fontId="81" fillId="0" borderId="0" applyFont="0" applyFill="0" applyBorder="0" applyAlignment="0" applyProtection="0"/>
    <xf numFmtId="0" fontId="78" fillId="0" borderId="0" applyFont="0" applyFill="0" applyBorder="0" applyAlignment="0" applyProtection="0"/>
    <xf numFmtId="0" fontId="81" fillId="0" borderId="0" applyFont="0" applyFill="0" applyBorder="0" applyAlignment="0" applyProtection="0"/>
    <xf numFmtId="0" fontId="2" fillId="0" borderId="0" applyFont="0" applyFill="0" applyBorder="0" applyAlignment="0" applyProtection="0"/>
    <xf numFmtId="0" fontId="81" fillId="0" borderId="0" applyFont="0" applyFill="0" applyBorder="0" applyAlignment="0" applyProtection="0"/>
    <xf numFmtId="0" fontId="78" fillId="0" borderId="0" applyFont="0" applyFill="0" applyBorder="0" applyAlignment="0" applyProtection="0"/>
    <xf numFmtId="0" fontId="4" fillId="0" borderId="0" applyFont="0" applyFill="0" applyBorder="0" applyAlignment="0" applyProtection="0"/>
    <xf numFmtId="0" fontId="21" fillId="0" borderId="0" applyFont="0" applyFill="0" applyBorder="0" applyAlignment="0" applyProtection="0"/>
    <xf numFmtId="0" fontId="76" fillId="0" borderId="0"/>
    <xf numFmtId="0" fontId="76" fillId="0" borderId="0"/>
    <xf numFmtId="0" fontId="76" fillId="0" borderId="0" applyNumberFormat="0"/>
    <xf numFmtId="0" fontId="81" fillId="0" borderId="0"/>
    <xf numFmtId="0" fontId="78" fillId="0" borderId="0"/>
    <xf numFmtId="0" fontId="81" fillId="0" borderId="0"/>
    <xf numFmtId="0" fontId="78" fillId="0" borderId="0"/>
    <xf numFmtId="0" fontId="81" fillId="0" borderId="0"/>
    <xf numFmtId="4" fontId="82" fillId="0" borderId="0">
      <protection locked="0"/>
    </xf>
    <xf numFmtId="0" fontId="21" fillId="0" borderId="0" applyFont="0" applyFill="0" applyBorder="0" applyAlignment="0" applyProtection="0"/>
    <xf numFmtId="0" fontId="2" fillId="0" borderId="0">
      <protection locked="0"/>
    </xf>
    <xf numFmtId="0" fontId="21" fillId="0" borderId="0" applyFont="0" applyFill="0" applyBorder="0" applyAlignment="0" applyProtection="0"/>
    <xf numFmtId="0" fontId="4" fillId="0" borderId="0" applyFont="0" applyFill="0" applyBorder="0" applyAlignment="0" applyProtection="0"/>
    <xf numFmtId="37" fontId="4" fillId="0" borderId="0"/>
    <xf numFmtId="0" fontId="83" fillId="0" borderId="0" applyNumberFormat="0" applyFill="0" applyBorder="0" applyAlignment="0" applyProtection="0">
      <alignment vertical="top"/>
      <protection locked="0"/>
    </xf>
    <xf numFmtId="0" fontId="21" fillId="0" borderId="0" applyNumberFormat="0" applyFill="0" applyBorder="0" applyAlignment="0" applyProtection="0"/>
    <xf numFmtId="0" fontId="2" fillId="0" borderId="0">
      <protection locked="0"/>
    </xf>
    <xf numFmtId="0" fontId="75" fillId="0" borderId="0"/>
    <xf numFmtId="0" fontId="82" fillId="0" borderId="0">
      <protection locked="0"/>
    </xf>
    <xf numFmtId="0" fontId="84" fillId="0" borderId="0" applyFont="0" applyFill="0" applyBorder="0" applyAlignment="0" applyProtection="0"/>
    <xf numFmtId="0" fontId="78" fillId="0" borderId="0" applyFont="0" applyFill="0" applyBorder="0" applyAlignment="0" applyProtection="0"/>
    <xf numFmtId="0" fontId="78" fillId="0" borderId="0"/>
    <xf numFmtId="0" fontId="81" fillId="0" borderId="0"/>
    <xf numFmtId="0" fontId="86" fillId="0" borderId="0"/>
    <xf numFmtId="0" fontId="85" fillId="0" borderId="0"/>
    <xf numFmtId="0" fontId="86" fillId="0" borderId="0"/>
    <xf numFmtId="0" fontId="85" fillId="0" borderId="0"/>
    <xf numFmtId="0" fontId="78" fillId="0" borderId="0"/>
    <xf numFmtId="0" fontId="2" fillId="0" borderId="18">
      <alignment horizontal="centerContinuous" vertical="center"/>
    </xf>
    <xf numFmtId="0" fontId="2" fillId="0" borderId="18">
      <alignment horizontal="centerContinuous" vertical="center"/>
    </xf>
    <xf numFmtId="0" fontId="2" fillId="0" borderId="18">
      <alignment horizontal="centerContinuous" vertical="center"/>
    </xf>
    <xf numFmtId="0" fontId="2" fillId="0" borderId="18">
      <alignment horizontal="centerContinuous" vertical="center"/>
    </xf>
    <xf numFmtId="41" fontId="87" fillId="0" borderId="0" applyFont="0" applyFill="0" applyBorder="0" applyAlignment="0" applyProtection="0"/>
    <xf numFmtId="176" fontId="88" fillId="0" borderId="0" applyFont="0" applyFill="0" applyBorder="0" applyAlignment="0" applyProtection="0"/>
    <xf numFmtId="176" fontId="88" fillId="0" borderId="0" applyFont="0" applyFill="0" applyBorder="0" applyAlignment="0" applyProtection="0"/>
    <xf numFmtId="44" fontId="87" fillId="0" borderId="0" applyFont="0" applyFill="0" applyBorder="0" applyAlignment="0" applyProtection="0"/>
    <xf numFmtId="0" fontId="21" fillId="0" borderId="0"/>
    <xf numFmtId="0" fontId="88" fillId="0" borderId="0"/>
    <xf numFmtId="0" fontId="89" fillId="0" borderId="0"/>
    <xf numFmtId="0" fontId="88" fillId="0" borderId="0"/>
    <xf numFmtId="189" fontId="88" fillId="0" borderId="0" applyFont="0" applyFill="0" applyBorder="0" applyAlignment="0" applyProtection="0"/>
    <xf numFmtId="0" fontId="2" fillId="0" borderId="0">
      <alignment vertical="center"/>
    </xf>
    <xf numFmtId="0" fontId="2" fillId="0" borderId="0">
      <alignment vertical="center"/>
    </xf>
    <xf numFmtId="0" fontId="2" fillId="0" borderId="0">
      <protection locked="0"/>
    </xf>
    <xf numFmtId="0" fontId="2" fillId="0" borderId="0">
      <protection locked="0"/>
    </xf>
    <xf numFmtId="0" fontId="2" fillId="0" borderId="0">
      <alignment vertical="center"/>
    </xf>
    <xf numFmtId="0" fontId="2" fillId="0" borderId="0">
      <protection locked="0"/>
    </xf>
    <xf numFmtId="0" fontId="2" fillId="0" borderId="0">
      <protection locked="0"/>
    </xf>
    <xf numFmtId="0" fontId="2" fillId="0" borderId="0">
      <protection locked="0"/>
    </xf>
    <xf numFmtId="0" fontId="2" fillId="0" borderId="0">
      <protection locked="0"/>
    </xf>
    <xf numFmtId="0" fontId="2" fillId="0" borderId="0">
      <protection locked="0"/>
    </xf>
    <xf numFmtId="0" fontId="2" fillId="0" borderId="0">
      <protection locked="0"/>
    </xf>
    <xf numFmtId="0" fontId="2" fillId="0" borderId="0">
      <protection locked="0"/>
    </xf>
    <xf numFmtId="0" fontId="2" fillId="0" borderId="0">
      <protection locked="0"/>
    </xf>
    <xf numFmtId="0" fontId="2" fillId="0" borderId="0">
      <protection locked="0"/>
    </xf>
    <xf numFmtId="0" fontId="2" fillId="0" borderId="0">
      <protection locked="0"/>
    </xf>
    <xf numFmtId="0" fontId="2" fillId="0" borderId="0">
      <protection locked="0"/>
    </xf>
    <xf numFmtId="0" fontId="2" fillId="0" borderId="0">
      <protection locked="0"/>
    </xf>
    <xf numFmtId="0" fontId="2" fillId="0" borderId="0">
      <protection locked="0"/>
    </xf>
    <xf numFmtId="0" fontId="2" fillId="0" borderId="0">
      <protection locked="0"/>
    </xf>
    <xf numFmtId="0" fontId="2" fillId="0" borderId="0">
      <protection locked="0"/>
    </xf>
    <xf numFmtId="0" fontId="2" fillId="0" borderId="0">
      <protection locked="0"/>
    </xf>
    <xf numFmtId="0" fontId="2" fillId="0" borderId="0">
      <protection locked="0"/>
    </xf>
    <xf numFmtId="0" fontId="2" fillId="0" borderId="0">
      <protection locked="0"/>
    </xf>
    <xf numFmtId="0" fontId="2" fillId="0" borderId="0">
      <alignment vertical="center"/>
    </xf>
    <xf numFmtId="0" fontId="2" fillId="0" borderId="0">
      <protection locked="0"/>
    </xf>
    <xf numFmtId="0" fontId="2" fillId="0" borderId="0">
      <protection locked="0"/>
    </xf>
    <xf numFmtId="0" fontId="2" fillId="0" borderId="0">
      <protection locked="0"/>
    </xf>
    <xf numFmtId="0" fontId="2" fillId="0" borderId="0">
      <protection locked="0"/>
    </xf>
    <xf numFmtId="0" fontId="2" fillId="0" borderId="0">
      <protection locked="0"/>
    </xf>
    <xf numFmtId="0" fontId="2" fillId="0" borderId="0">
      <protection locked="0"/>
    </xf>
    <xf numFmtId="0" fontId="2" fillId="0" borderId="0">
      <protection locked="0"/>
    </xf>
    <xf numFmtId="0" fontId="2" fillId="0" borderId="0">
      <protection locked="0"/>
    </xf>
    <xf numFmtId="0" fontId="2" fillId="0" borderId="0">
      <protection locked="0"/>
    </xf>
    <xf numFmtId="0" fontId="2" fillId="0" borderId="0">
      <alignment vertical="center"/>
    </xf>
    <xf numFmtId="0" fontId="2" fillId="0" borderId="0">
      <alignment vertical="center"/>
    </xf>
    <xf numFmtId="0" fontId="73" fillId="0" borderId="0"/>
    <xf numFmtId="0" fontId="73" fillId="0" borderId="0"/>
    <xf numFmtId="0" fontId="73" fillId="0" borderId="0"/>
    <xf numFmtId="0" fontId="73" fillId="0" borderId="0"/>
    <xf numFmtId="0" fontId="81" fillId="0" borderId="0" applyFont="0" applyFill="0" applyBorder="0" applyAlignment="0" applyProtection="0"/>
    <xf numFmtId="0" fontId="78" fillId="0" borderId="0" applyFont="0" applyFill="0" applyBorder="0" applyAlignment="0" applyProtection="0"/>
    <xf numFmtId="0" fontId="81" fillId="0" borderId="0" applyFont="0" applyFill="0" applyBorder="0" applyAlignment="0" applyProtection="0"/>
    <xf numFmtId="0" fontId="78" fillId="0" borderId="0" applyFont="0" applyFill="0" applyBorder="0" applyAlignment="0" applyProtection="0"/>
    <xf numFmtId="0" fontId="81" fillId="0" borderId="0" applyFont="0" applyFill="0" applyBorder="0" applyAlignment="0" applyProtection="0"/>
    <xf numFmtId="0" fontId="78" fillId="0" borderId="0" applyFont="0" applyFill="0" applyBorder="0" applyAlignment="0" applyProtection="0"/>
    <xf numFmtId="0" fontId="81" fillId="0" borderId="0" applyFont="0" applyFill="0" applyBorder="0" applyAlignment="0" applyProtection="0"/>
    <xf numFmtId="0" fontId="78"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2" fillId="0" borderId="0"/>
    <xf numFmtId="41" fontId="1" fillId="0" borderId="0" applyFont="0" applyFill="0" applyBorder="0" applyAlignment="0" applyProtection="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0" fontId="2" fillId="0" borderId="0"/>
    <xf numFmtId="0" fontId="155" fillId="0" borderId="0">
      <alignment vertical="center"/>
    </xf>
    <xf numFmtId="0" fontId="4" fillId="0" borderId="0"/>
    <xf numFmtId="0" fontId="4" fillId="0" borderId="0" applyFont="0" applyFill="0" applyBorder="0" applyAlignment="0" applyProtection="0"/>
    <xf numFmtId="0" fontId="1" fillId="0" borderId="0">
      <alignment vertical="center"/>
    </xf>
    <xf numFmtId="176" fontId="4" fillId="0" borderId="0" applyFont="0" applyFill="0" applyBorder="0" applyAlignment="0" applyProtection="0"/>
    <xf numFmtId="0" fontId="2" fillId="0" borderId="0"/>
    <xf numFmtId="178" fontId="4" fillId="0" borderId="0" applyFont="0" applyFill="0" applyBorder="0" applyAlignment="0" applyProtection="0"/>
    <xf numFmtId="176" fontId="4" fillId="0" borderId="0" applyFont="0" applyFill="0" applyBorder="0" applyAlignment="0" applyProtection="0"/>
    <xf numFmtId="0" fontId="2" fillId="0" borderId="0"/>
    <xf numFmtId="0" fontId="4" fillId="0" borderId="0"/>
    <xf numFmtId="9" fontId="1" fillId="0" borderId="0" applyFont="0" applyFill="0" applyBorder="0" applyAlignment="0" applyProtection="0">
      <alignment vertical="center"/>
    </xf>
    <xf numFmtId="0" fontId="2" fillId="0" borderId="0">
      <alignment vertical="center"/>
    </xf>
    <xf numFmtId="0" fontId="2" fillId="0" borderId="0"/>
    <xf numFmtId="41" fontId="2" fillId="0" borderId="0" applyFont="0" applyFill="0" applyBorder="0" applyAlignment="0" applyProtection="0">
      <alignment vertical="center"/>
    </xf>
    <xf numFmtId="41" fontId="2" fillId="0" borderId="0" applyFont="0" applyFill="0" applyBorder="0" applyAlignment="0" applyProtection="0"/>
    <xf numFmtId="3" fontId="168" fillId="0" borderId="0">
      <alignment vertical="center"/>
    </xf>
    <xf numFmtId="0" fontId="4" fillId="0" borderId="0"/>
    <xf numFmtId="0" fontId="2" fillId="0" borderId="0">
      <alignment vertical="center"/>
    </xf>
    <xf numFmtId="0" fontId="2" fillId="0" borderId="0">
      <alignment vertical="center"/>
    </xf>
    <xf numFmtId="0" fontId="2" fillId="0" borderId="0"/>
    <xf numFmtId="0" fontId="170" fillId="0" borderId="0"/>
    <xf numFmtId="0" fontId="171" fillId="23" borderId="0" applyNumberFormat="0" applyBorder="0" applyAlignment="0" applyProtection="0">
      <alignment vertical="center"/>
    </xf>
    <xf numFmtId="0" fontId="37" fillId="0" borderId="0">
      <alignment vertical="center"/>
    </xf>
    <xf numFmtId="0" fontId="2" fillId="0" borderId="0" applyFont="0" applyFill="0" applyBorder="0" applyAlignment="0" applyProtection="0"/>
    <xf numFmtId="0" fontId="31" fillId="0" borderId="0">
      <alignment vertical="center"/>
    </xf>
    <xf numFmtId="41" fontId="31" fillId="0" borderId="0" applyFont="0" applyFill="0" applyBorder="0" applyAlignment="0" applyProtection="0">
      <alignment vertical="center"/>
    </xf>
  </cellStyleXfs>
  <cellXfs count="2401">
    <xf numFmtId="0" fontId="0" fillId="0" borderId="0" xfId="0">
      <alignment vertical="center"/>
    </xf>
    <xf numFmtId="41" fontId="23" fillId="0" borderId="169" xfId="132" applyFont="1" applyFill="1" applyBorder="1" applyAlignment="1">
      <alignment horizontal="center" vertical="center"/>
    </xf>
    <xf numFmtId="0" fontId="23" fillId="0" borderId="10" xfId="0" applyFont="1" applyBorder="1" applyAlignment="1">
      <alignment horizontal="center" vertical="center" shrinkToFit="1"/>
    </xf>
    <xf numFmtId="0" fontId="23" fillId="0" borderId="33" xfId="0" applyFont="1" applyBorder="1" applyAlignment="1">
      <alignment horizontal="center" vertical="center"/>
    </xf>
    <xf numFmtId="0" fontId="3" fillId="2" borderId="0" xfId="0" applyFont="1" applyFill="1">
      <alignment vertical="center"/>
    </xf>
    <xf numFmtId="0" fontId="0" fillId="2" borderId="0" xfId="0" applyFill="1">
      <alignment vertical="center"/>
    </xf>
    <xf numFmtId="0" fontId="7" fillId="2" borderId="0" xfId="0" applyFont="1" applyFill="1">
      <alignment vertical="center"/>
    </xf>
    <xf numFmtId="0" fontId="8" fillId="2" borderId="0" xfId="0" applyFont="1" applyFill="1">
      <alignment vertical="center"/>
    </xf>
    <xf numFmtId="0" fontId="9" fillId="2" borderId="0" xfId="0" applyFont="1" applyFill="1">
      <alignment vertical="center"/>
    </xf>
    <xf numFmtId="0" fontId="12" fillId="2" borderId="0" xfId="0" applyFont="1" applyFill="1">
      <alignment vertical="center"/>
    </xf>
    <xf numFmtId="0" fontId="15" fillId="2" borderId="0" xfId="0" applyFont="1" applyFill="1">
      <alignment vertical="center"/>
    </xf>
    <xf numFmtId="41" fontId="15" fillId="2" borderId="0" xfId="0" applyNumberFormat="1" applyFont="1" applyFill="1">
      <alignment vertical="center"/>
    </xf>
    <xf numFmtId="0" fontId="12" fillId="2" borderId="0" xfId="0" applyFont="1" applyFill="1" applyAlignment="1">
      <alignment horizontal="center" vertical="center"/>
    </xf>
    <xf numFmtId="0" fontId="2" fillId="2" borderId="0" xfId="0" applyFont="1" applyFill="1">
      <alignment vertical="center"/>
    </xf>
    <xf numFmtId="0" fontId="20" fillId="0" borderId="0" xfId="0" applyFont="1">
      <alignment vertical="center"/>
    </xf>
    <xf numFmtId="0" fontId="20" fillId="4" borderId="0" xfId="0" applyFont="1" applyFill="1">
      <alignment vertical="center"/>
    </xf>
    <xf numFmtId="0" fontId="22" fillId="0" borderId="0" xfId="0" applyFont="1">
      <alignment vertical="center"/>
    </xf>
    <xf numFmtId="0" fontId="22" fillId="6" borderId="0" xfId="0" applyFont="1" applyFill="1">
      <alignment vertical="center"/>
    </xf>
    <xf numFmtId="0" fontId="12" fillId="0" borderId="0" xfId="0" applyFont="1">
      <alignment vertical="center"/>
    </xf>
    <xf numFmtId="0" fontId="24" fillId="2" borderId="0" xfId="0" applyFont="1" applyFill="1" applyAlignment="1">
      <alignment horizontal="right"/>
    </xf>
    <xf numFmtId="0" fontId="24" fillId="2" borderId="0" xfId="0" applyFont="1" applyFill="1" applyAlignment="1">
      <alignment horizontal="left"/>
    </xf>
    <xf numFmtId="0" fontId="24" fillId="2" borderId="0" xfId="0" applyFont="1" applyFill="1">
      <alignment vertical="center"/>
    </xf>
    <xf numFmtId="0" fontId="15" fillId="0" borderId="0" xfId="0" applyFont="1">
      <alignment vertical="center"/>
    </xf>
    <xf numFmtId="0" fontId="34" fillId="2" borderId="0" xfId="0" applyFont="1" applyFill="1" applyAlignment="1"/>
    <xf numFmtId="0" fontId="34" fillId="2" borderId="0" xfId="0" applyFont="1" applyFill="1" applyAlignment="1">
      <alignment horizontal="center"/>
    </xf>
    <xf numFmtId="0" fontId="27" fillId="4" borderId="0" xfId="0" applyFont="1" applyFill="1">
      <alignment vertical="center"/>
    </xf>
    <xf numFmtId="0" fontId="27" fillId="4" borderId="0" xfId="0" applyFont="1" applyFill="1" applyAlignment="1">
      <alignment horizontal="left"/>
    </xf>
    <xf numFmtId="0" fontId="27" fillId="4" borderId="0" xfId="0" applyFont="1" applyFill="1" applyAlignment="1">
      <alignment horizontal="center"/>
    </xf>
    <xf numFmtId="177" fontId="27" fillId="4" borderId="0" xfId="0" applyNumberFormat="1" applyFont="1" applyFill="1">
      <alignment vertical="center"/>
    </xf>
    <xf numFmtId="0" fontId="27" fillId="0" borderId="0" xfId="0" applyFont="1" applyAlignment="1">
      <alignment horizontal="left" vertical="center"/>
    </xf>
    <xf numFmtId="49" fontId="27" fillId="9" borderId="0" xfId="0" applyNumberFormat="1" applyFont="1" applyFill="1">
      <alignment vertical="center"/>
    </xf>
    <xf numFmtId="49" fontId="27" fillId="9" borderId="0" xfId="0" applyNumberFormat="1" applyFont="1" applyFill="1" applyAlignment="1">
      <alignment horizontal="left" vertical="center"/>
    </xf>
    <xf numFmtId="0" fontId="27" fillId="9" borderId="0" xfId="0" applyFont="1" applyFill="1" applyAlignment="1">
      <alignment horizontal="center" vertical="center"/>
    </xf>
    <xf numFmtId="0" fontId="27" fillId="9" borderId="0" xfId="0" applyFont="1" applyFill="1">
      <alignment vertical="center"/>
    </xf>
    <xf numFmtId="0" fontId="23" fillId="0" borderId="0" xfId="0" applyFont="1">
      <alignment vertical="center"/>
    </xf>
    <xf numFmtId="183" fontId="23" fillId="0" borderId="0" xfId="0" applyNumberFormat="1" applyFont="1">
      <alignment vertical="center"/>
    </xf>
    <xf numFmtId="0" fontId="27" fillId="0" borderId="0" xfId="0" applyFont="1" applyAlignment="1">
      <alignment horizontal="left"/>
    </xf>
    <xf numFmtId="0" fontId="27" fillId="0" borderId="0" xfId="0" applyFont="1">
      <alignment vertical="center"/>
    </xf>
    <xf numFmtId="0" fontId="27" fillId="0" borderId="0" xfId="0" applyFont="1" applyAlignment="1">
      <alignment horizontal="center"/>
    </xf>
    <xf numFmtId="177" fontId="27" fillId="0" borderId="0" xfId="0" applyNumberFormat="1" applyFont="1">
      <alignment vertical="center"/>
    </xf>
    <xf numFmtId="0" fontId="31" fillId="2" borderId="0" xfId="0" applyFont="1" applyFill="1">
      <alignment vertical="center"/>
    </xf>
    <xf numFmtId="0" fontId="32" fillId="2" borderId="0" xfId="0" applyFont="1" applyFill="1">
      <alignment vertical="center"/>
    </xf>
    <xf numFmtId="185" fontId="32" fillId="2" borderId="0" xfId="0" applyNumberFormat="1" applyFont="1" applyFill="1">
      <alignment vertical="center"/>
    </xf>
    <xf numFmtId="6" fontId="32" fillId="2" borderId="0" xfId="0" applyNumberFormat="1" applyFont="1" applyFill="1">
      <alignment vertical="center"/>
    </xf>
    <xf numFmtId="6" fontId="32" fillId="2" borderId="0" xfId="0" applyNumberFormat="1" applyFont="1" applyFill="1" applyAlignment="1"/>
    <xf numFmtId="6" fontId="32" fillId="2" borderId="0" xfId="0" applyNumberFormat="1" applyFont="1" applyFill="1" applyAlignment="1">
      <alignment horizontal="right"/>
    </xf>
    <xf numFmtId="3" fontId="32" fillId="2" borderId="0" xfId="0" applyNumberFormat="1" applyFont="1" applyFill="1">
      <alignment vertical="center"/>
    </xf>
    <xf numFmtId="41" fontId="32" fillId="2" borderId="0" xfId="0" applyNumberFormat="1" applyFont="1" applyFill="1">
      <alignment vertical="center"/>
    </xf>
    <xf numFmtId="0" fontId="32" fillId="2" borderId="0" xfId="0" quotePrefix="1" applyFont="1" applyFill="1">
      <alignment vertical="center"/>
    </xf>
    <xf numFmtId="185" fontId="31" fillId="2" borderId="0" xfId="0" applyNumberFormat="1" applyFont="1" applyFill="1">
      <alignment vertical="center"/>
    </xf>
    <xf numFmtId="0" fontId="13" fillId="2" borderId="0" xfId="0" applyFont="1" applyFill="1" applyAlignment="1"/>
    <xf numFmtId="0" fontId="13" fillId="2" borderId="0" xfId="0" applyFont="1" applyFill="1" applyAlignment="1">
      <alignment horizontal="center"/>
    </xf>
    <xf numFmtId="0" fontId="17" fillId="2" borderId="0" xfId="0" applyFont="1" applyFill="1">
      <alignment vertical="center"/>
    </xf>
    <xf numFmtId="0" fontId="45" fillId="2" borderId="0" xfId="0" applyFont="1" applyFill="1" applyAlignment="1">
      <alignment horizontal="left" vertical="center"/>
    </xf>
    <xf numFmtId="0" fontId="46" fillId="2" borderId="0" xfId="0" applyFont="1" applyFill="1">
      <alignment vertical="center"/>
    </xf>
    <xf numFmtId="0" fontId="47" fillId="2" borderId="0" xfId="0" applyFont="1" applyFill="1">
      <alignment vertical="center"/>
    </xf>
    <xf numFmtId="0" fontId="40" fillId="3" borderId="47" xfId="0" applyFont="1" applyFill="1" applyBorder="1" applyAlignment="1">
      <alignment horizontal="centerContinuous" vertical="center"/>
    </xf>
    <xf numFmtId="0" fontId="40" fillId="3" borderId="48" xfId="0" applyFont="1" applyFill="1" applyBorder="1" applyAlignment="1">
      <alignment horizontal="centerContinuous" vertical="center"/>
    </xf>
    <xf numFmtId="0" fontId="40" fillId="3" borderId="50" xfId="0" applyFont="1" applyFill="1" applyBorder="1" applyAlignment="1">
      <alignment horizontal="centerContinuous" vertical="center"/>
    </xf>
    <xf numFmtId="0" fontId="40" fillId="3" borderId="5" xfId="0" applyFont="1" applyFill="1" applyBorder="1" applyAlignment="1">
      <alignment horizontal="center" vertical="center"/>
    </xf>
    <xf numFmtId="0" fontId="40" fillId="3" borderId="6" xfId="0" applyFont="1" applyFill="1" applyBorder="1" applyAlignment="1">
      <alignment horizontal="center" vertical="center"/>
    </xf>
    <xf numFmtId="0" fontId="40" fillId="3" borderId="54" xfId="0" applyFont="1" applyFill="1" applyBorder="1" applyAlignment="1">
      <alignment horizontal="center" vertical="center"/>
    </xf>
    <xf numFmtId="0" fontId="40" fillId="0" borderId="58" xfId="0" applyFont="1" applyBorder="1">
      <alignment vertical="center"/>
    </xf>
    <xf numFmtId="0" fontId="40" fillId="0" borderId="61" xfId="0" applyFont="1" applyBorder="1">
      <alignment vertical="center"/>
    </xf>
    <xf numFmtId="0" fontId="40" fillId="0" borderId="64" xfId="0" applyFont="1" applyBorder="1">
      <alignment vertical="center"/>
    </xf>
    <xf numFmtId="0" fontId="48" fillId="2" borderId="0" xfId="0" applyFont="1" applyFill="1">
      <alignment vertical="center"/>
    </xf>
    <xf numFmtId="0" fontId="32" fillId="2" borderId="26" xfId="0" applyFont="1" applyFill="1" applyBorder="1" applyAlignment="1">
      <alignment horizontal="center" vertical="center"/>
    </xf>
    <xf numFmtId="0" fontId="32" fillId="2" borderId="13" xfId="0" applyFont="1" applyFill="1" applyBorder="1" applyAlignment="1">
      <alignment horizontal="center" vertical="center"/>
    </xf>
    <xf numFmtId="0" fontId="32" fillId="2" borderId="32" xfId="0" applyFont="1" applyFill="1" applyBorder="1" applyAlignment="1">
      <alignment horizontal="center" vertical="center"/>
    </xf>
    <xf numFmtId="0" fontId="25" fillId="2" borderId="0" xfId="0" applyFont="1" applyFill="1">
      <alignment vertical="center"/>
    </xf>
    <xf numFmtId="0" fontId="32" fillId="3" borderId="23" xfId="0" applyFont="1" applyFill="1" applyBorder="1" applyAlignment="1">
      <alignment horizontal="center" vertical="center"/>
    </xf>
    <xf numFmtId="0" fontId="32" fillId="3" borderId="67" xfId="0" applyFont="1" applyFill="1" applyBorder="1" applyAlignment="1">
      <alignment horizontal="center" vertical="center"/>
    </xf>
    <xf numFmtId="0" fontId="32" fillId="3" borderId="42" xfId="0" applyFont="1" applyFill="1" applyBorder="1" applyAlignment="1">
      <alignment horizontal="center" vertical="center"/>
    </xf>
    <xf numFmtId="0" fontId="32" fillId="3" borderId="43" xfId="0" applyFont="1" applyFill="1" applyBorder="1" applyAlignment="1">
      <alignment horizontal="center" vertical="center"/>
    </xf>
    <xf numFmtId="0" fontId="32" fillId="2" borderId="1" xfId="0" applyFont="1" applyFill="1" applyBorder="1" applyAlignment="1">
      <alignment horizontal="center" vertical="center"/>
    </xf>
    <xf numFmtId="3" fontId="32" fillId="2" borderId="25" xfId="0" applyNumberFormat="1" applyFont="1" applyFill="1" applyBorder="1">
      <alignment vertical="center"/>
    </xf>
    <xf numFmtId="0" fontId="32" fillId="2" borderId="26" xfId="0" applyFont="1" applyFill="1" applyBorder="1">
      <alignment vertical="center"/>
    </xf>
    <xf numFmtId="0" fontId="32" fillId="2" borderId="33" xfId="0" applyFont="1" applyFill="1" applyBorder="1" applyAlignment="1">
      <alignment horizontal="center" vertical="center"/>
    </xf>
    <xf numFmtId="3" fontId="32" fillId="2" borderId="12" xfId="0" applyNumberFormat="1" applyFont="1" applyFill="1" applyBorder="1">
      <alignment vertical="center"/>
    </xf>
    <xf numFmtId="0" fontId="32" fillId="2" borderId="13" xfId="0" applyFont="1" applyFill="1" applyBorder="1">
      <alignment vertical="center"/>
    </xf>
    <xf numFmtId="0" fontId="32" fillId="2" borderId="34" xfId="0" applyFont="1" applyFill="1" applyBorder="1" applyAlignment="1">
      <alignment horizontal="center" vertical="center"/>
    </xf>
    <xf numFmtId="3" fontId="32" fillId="2" borderId="30" xfId="0" applyNumberFormat="1" applyFont="1" applyFill="1" applyBorder="1">
      <alignment vertical="center"/>
    </xf>
    <xf numFmtId="0" fontId="32" fillId="2" borderId="32" xfId="0" applyFont="1" applyFill="1" applyBorder="1">
      <alignment vertical="center"/>
    </xf>
    <xf numFmtId="0" fontId="32" fillId="2" borderId="23" xfId="0" applyFont="1" applyFill="1" applyBorder="1" applyAlignment="1">
      <alignment horizontal="center" vertical="center"/>
    </xf>
    <xf numFmtId="0" fontId="32" fillId="2" borderId="67" xfId="0" applyFont="1" applyFill="1" applyBorder="1" applyAlignment="1">
      <alignment horizontal="center" vertical="center"/>
    </xf>
    <xf numFmtId="3" fontId="32" fillId="2" borderId="42" xfId="0" applyNumberFormat="1" applyFont="1" applyFill="1" applyBorder="1">
      <alignment vertical="center"/>
    </xf>
    <xf numFmtId="0" fontId="32" fillId="2" borderId="43" xfId="0" applyFont="1" applyFill="1" applyBorder="1">
      <alignment vertical="center"/>
    </xf>
    <xf numFmtId="0" fontId="32" fillId="2" borderId="22" xfId="0" applyFont="1" applyFill="1" applyBorder="1" applyAlignment="1">
      <alignment horizontal="center" vertical="center"/>
    </xf>
    <xf numFmtId="0" fontId="32" fillId="2" borderId="53" xfId="0" applyFont="1" applyFill="1" applyBorder="1" applyAlignment="1">
      <alignment horizontal="center" vertical="center"/>
    </xf>
    <xf numFmtId="3" fontId="32" fillId="2" borderId="6" xfId="0" applyNumberFormat="1" applyFont="1" applyFill="1" applyBorder="1">
      <alignment vertical="center"/>
    </xf>
    <xf numFmtId="0" fontId="32" fillId="2" borderId="7" xfId="0" applyFont="1" applyFill="1" applyBorder="1">
      <alignment vertical="center"/>
    </xf>
    <xf numFmtId="0" fontId="13" fillId="2" borderId="0" xfId="0" applyFont="1" applyFill="1">
      <alignment vertical="center"/>
    </xf>
    <xf numFmtId="0" fontId="13" fillId="2" borderId="0" xfId="0" applyFont="1" applyFill="1" applyAlignment="1">
      <alignment horizontal="center" vertical="center"/>
    </xf>
    <xf numFmtId="0" fontId="32" fillId="2" borderId="0" xfId="0" applyFont="1" applyFill="1" applyAlignment="1">
      <alignment horizontal="left" vertical="center"/>
    </xf>
    <xf numFmtId="5" fontId="25" fillId="2" borderId="0" xfId="0" applyNumberFormat="1" applyFont="1" applyFill="1">
      <alignment vertical="center"/>
    </xf>
    <xf numFmtId="5" fontId="32" fillId="2" borderId="0" xfId="0" applyNumberFormat="1" applyFont="1" applyFill="1">
      <alignment vertical="center"/>
    </xf>
    <xf numFmtId="0" fontId="50" fillId="2" borderId="0" xfId="0" applyFont="1" applyFill="1">
      <alignment vertical="center"/>
    </xf>
    <xf numFmtId="0" fontId="32" fillId="2" borderId="19" xfId="0" applyFont="1" applyFill="1" applyBorder="1">
      <alignment vertical="center"/>
    </xf>
    <xf numFmtId="0" fontId="32" fillId="2" borderId="20" xfId="0" applyFont="1" applyFill="1" applyBorder="1">
      <alignment vertical="center"/>
    </xf>
    <xf numFmtId="0" fontId="32" fillId="2" borderId="37" xfId="0" applyFont="1" applyFill="1" applyBorder="1">
      <alignment vertical="center"/>
    </xf>
    <xf numFmtId="0" fontId="32" fillId="2" borderId="39" xfId="0" applyFont="1" applyFill="1" applyBorder="1">
      <alignment vertical="center"/>
    </xf>
    <xf numFmtId="0" fontId="32" fillId="2" borderId="44" xfId="0" applyFont="1" applyFill="1" applyBorder="1">
      <alignment vertical="center"/>
    </xf>
    <xf numFmtId="0" fontId="32" fillId="2" borderId="71" xfId="0" applyFont="1" applyFill="1" applyBorder="1">
      <alignment vertical="center"/>
    </xf>
    <xf numFmtId="0" fontId="32" fillId="2" borderId="18" xfId="0" applyFont="1" applyFill="1" applyBorder="1">
      <alignment vertical="center"/>
    </xf>
    <xf numFmtId="0" fontId="32" fillId="2" borderId="37" xfId="0" quotePrefix="1" applyFont="1" applyFill="1" applyBorder="1" applyAlignment="1">
      <alignment horizontal="left" vertical="center"/>
    </xf>
    <xf numFmtId="0" fontId="32" fillId="2" borderId="72" xfId="0" applyFont="1" applyFill="1" applyBorder="1">
      <alignment vertical="center"/>
    </xf>
    <xf numFmtId="0" fontId="32" fillId="2" borderId="24" xfId="0" applyFont="1" applyFill="1" applyBorder="1">
      <alignment vertical="center"/>
    </xf>
    <xf numFmtId="0" fontId="32" fillId="2" borderId="69" xfId="0" applyFont="1" applyFill="1" applyBorder="1">
      <alignment vertical="center"/>
    </xf>
    <xf numFmtId="0" fontId="52" fillId="2" borderId="0" xfId="0" applyFont="1" applyFill="1">
      <alignment vertical="center"/>
    </xf>
    <xf numFmtId="0" fontId="53" fillId="2" borderId="0" xfId="0" applyFont="1" applyFill="1">
      <alignment vertical="center"/>
    </xf>
    <xf numFmtId="0" fontId="56" fillId="2" borderId="0" xfId="0" applyFont="1" applyFill="1">
      <alignment vertical="center"/>
    </xf>
    <xf numFmtId="0" fontId="55" fillId="2" borderId="0" xfId="0" applyFont="1" applyFill="1" applyAlignment="1">
      <alignment horizontal="center"/>
    </xf>
    <xf numFmtId="0" fontId="58" fillId="2" borderId="0" xfId="0" applyFont="1" applyFill="1">
      <alignment vertical="center"/>
    </xf>
    <xf numFmtId="0" fontId="29" fillId="2" borderId="0" xfId="0" applyFont="1" applyFill="1">
      <alignment vertical="center"/>
    </xf>
    <xf numFmtId="0" fontId="0" fillId="4" borderId="0" xfId="0" applyFill="1" applyAlignment="1"/>
    <xf numFmtId="0" fontId="8" fillId="4" borderId="0" xfId="0" applyFont="1" applyFill="1">
      <alignment vertical="center"/>
    </xf>
    <xf numFmtId="0" fontId="67" fillId="4" borderId="0" xfId="0" applyFont="1" applyFill="1">
      <alignment vertical="center"/>
    </xf>
    <xf numFmtId="3" fontId="68" fillId="0" borderId="0" xfId="0" applyNumberFormat="1" applyFont="1" applyAlignment="1">
      <alignment horizontal="center" vertical="center"/>
    </xf>
    <xf numFmtId="3" fontId="25" fillId="0" borderId="0" xfId="0" applyNumberFormat="1" applyFont="1" applyAlignment="1">
      <alignment horizontal="left" vertical="center"/>
    </xf>
    <xf numFmtId="3" fontId="15" fillId="0" borderId="0" xfId="0" applyNumberFormat="1" applyFont="1" applyAlignment="1">
      <alignment horizontal="center" vertical="center"/>
    </xf>
    <xf numFmtId="41" fontId="23" fillId="0" borderId="10" xfId="0" applyNumberFormat="1" applyFont="1" applyBorder="1" applyAlignment="1">
      <alignment horizontal="center" vertical="center"/>
    </xf>
    <xf numFmtId="3" fontId="40" fillId="0" borderId="0" xfId="0" applyNumberFormat="1" applyFont="1" applyAlignment="1">
      <alignment horizontal="center" vertical="center"/>
    </xf>
    <xf numFmtId="41" fontId="23" fillId="0" borderId="12" xfId="0" applyNumberFormat="1" applyFont="1" applyBorder="1" applyAlignment="1">
      <alignment horizontal="center" vertical="center"/>
    </xf>
    <xf numFmtId="3" fontId="23" fillId="0" borderId="3" xfId="0" applyNumberFormat="1" applyFont="1" applyBorder="1" applyAlignment="1">
      <alignment horizontal="center" vertical="center" wrapText="1"/>
    </xf>
    <xf numFmtId="3" fontId="23" fillId="0" borderId="3" xfId="0" applyNumberFormat="1" applyFont="1" applyBorder="1" applyAlignment="1">
      <alignment horizontal="center" vertical="center"/>
    </xf>
    <xf numFmtId="3" fontId="23" fillId="0" borderId="81" xfId="0" applyNumberFormat="1" applyFont="1" applyBorder="1" applyAlignment="1">
      <alignment horizontal="center" vertical="center"/>
    </xf>
    <xf numFmtId="3" fontId="23" fillId="0" borderId="81" xfId="0" applyNumberFormat="1" applyFont="1" applyBorder="1" applyAlignment="1">
      <alignment horizontal="center" vertical="center" wrapText="1"/>
    </xf>
    <xf numFmtId="41" fontId="23" fillId="0" borderId="81" xfId="0" applyNumberFormat="1" applyFont="1" applyBorder="1" applyAlignment="1">
      <alignment horizontal="center" vertical="center"/>
    </xf>
    <xf numFmtId="3" fontId="36" fillId="0" borderId="0" xfId="0" applyNumberFormat="1" applyFont="1" applyAlignment="1">
      <alignment horizontal="center" vertical="center"/>
    </xf>
    <xf numFmtId="3" fontId="40" fillId="0" borderId="0" xfId="0" applyNumberFormat="1" applyFont="1" applyAlignment="1">
      <alignment horizontal="center" vertical="center" wrapText="1"/>
    </xf>
    <xf numFmtId="41" fontId="40" fillId="0" borderId="0" xfId="0" applyNumberFormat="1" applyFont="1" applyAlignment="1">
      <alignment horizontal="center" vertical="center"/>
    </xf>
    <xf numFmtId="41" fontId="40" fillId="0" borderId="0" xfId="0" applyNumberFormat="1" applyFont="1" applyAlignment="1">
      <alignment vertical="center" wrapText="1"/>
    </xf>
    <xf numFmtId="3" fontId="91" fillId="0" borderId="0" xfId="0" applyNumberFormat="1" applyFont="1" applyAlignment="1">
      <alignment horizontal="left" vertical="center"/>
    </xf>
    <xf numFmtId="0" fontId="93" fillId="0" borderId="0" xfId="0" applyFont="1" applyAlignment="1"/>
    <xf numFmtId="0" fontId="15" fillId="0" borderId="0" xfId="0" applyFont="1" applyAlignment="1"/>
    <xf numFmtId="41" fontId="32" fillId="2" borderId="0" xfId="0" applyNumberFormat="1" applyFont="1" applyFill="1" applyAlignment="1">
      <alignment horizontal="right"/>
    </xf>
    <xf numFmtId="0" fontId="100" fillId="2" borderId="0" xfId="0" applyFont="1" applyFill="1">
      <alignment vertical="center"/>
    </xf>
    <xf numFmtId="3" fontId="100" fillId="2" borderId="0" xfId="0" applyNumberFormat="1" applyFont="1" applyFill="1">
      <alignment vertical="center"/>
    </xf>
    <xf numFmtId="0" fontId="100" fillId="2" borderId="0" xfId="0" applyFont="1" applyFill="1" applyAlignment="1">
      <alignment horizontal="left" vertical="center"/>
    </xf>
    <xf numFmtId="0" fontId="101" fillId="2" borderId="0" xfId="0" applyFont="1" applyFill="1">
      <alignment vertical="center"/>
    </xf>
    <xf numFmtId="0" fontId="102" fillId="2" borderId="0" xfId="0" applyFont="1" applyFill="1">
      <alignment vertical="center"/>
    </xf>
    <xf numFmtId="185" fontId="32" fillId="2" borderId="8" xfId="0" applyNumberFormat="1" applyFont="1" applyFill="1" applyBorder="1">
      <alignment vertical="center"/>
    </xf>
    <xf numFmtId="3" fontId="32" fillId="2" borderId="8" xfId="0" applyNumberFormat="1" applyFont="1" applyFill="1" applyBorder="1">
      <alignment vertical="center"/>
    </xf>
    <xf numFmtId="0" fontId="32" fillId="2" borderId="8" xfId="0" applyFont="1" applyFill="1" applyBorder="1">
      <alignment vertical="center"/>
    </xf>
    <xf numFmtId="6" fontId="32" fillId="2" borderId="8" xfId="0" applyNumberFormat="1" applyFont="1" applyFill="1" applyBorder="1">
      <alignment vertical="center"/>
    </xf>
    <xf numFmtId="185" fontId="32" fillId="2" borderId="8" xfId="0" applyNumberFormat="1" applyFont="1" applyFill="1" applyBorder="1" applyAlignment="1"/>
    <xf numFmtId="0" fontId="32" fillId="2" borderId="0" xfId="0" applyFont="1" applyFill="1" applyAlignment="1">
      <alignment horizontal="left"/>
    </xf>
    <xf numFmtId="185" fontId="32" fillId="2" borderId="40" xfId="0" applyNumberFormat="1" applyFont="1" applyFill="1" applyBorder="1">
      <alignment vertical="center"/>
    </xf>
    <xf numFmtId="0" fontId="24" fillId="4" borderId="0" xfId="0" applyFont="1" applyFill="1">
      <alignment vertical="center"/>
    </xf>
    <xf numFmtId="0" fontId="24" fillId="4" borderId="0" xfId="0" applyFont="1" applyFill="1" applyAlignment="1">
      <alignment horizontal="center" vertical="center"/>
    </xf>
    <xf numFmtId="5" fontId="32" fillId="2" borderId="0" xfId="0" applyNumberFormat="1" applyFont="1" applyFill="1" applyAlignment="1">
      <alignment horizontal="left" vertical="center"/>
    </xf>
    <xf numFmtId="185" fontId="25" fillId="2" borderId="8" xfId="0" applyNumberFormat="1" applyFont="1" applyFill="1" applyBorder="1">
      <alignment vertical="center"/>
    </xf>
    <xf numFmtId="6" fontId="25" fillId="2" borderId="8" xfId="0" applyNumberFormat="1" applyFont="1" applyFill="1" applyBorder="1">
      <alignment vertical="center"/>
    </xf>
    <xf numFmtId="5" fontId="32" fillId="2" borderId="0" xfId="0" applyNumberFormat="1" applyFont="1" applyFill="1" applyAlignment="1">
      <alignment horizontal="right" vertical="center"/>
    </xf>
    <xf numFmtId="42" fontId="32" fillId="2" borderId="55" xfId="0" applyNumberFormat="1" applyFont="1" applyFill="1" applyBorder="1">
      <alignment vertical="center"/>
    </xf>
    <xf numFmtId="42" fontId="32" fillId="2" borderId="71" xfId="0" applyNumberFormat="1" applyFont="1" applyFill="1" applyBorder="1">
      <alignment vertical="center"/>
    </xf>
    <xf numFmtId="42" fontId="32" fillId="2" borderId="53" xfId="0" quotePrefix="1" applyNumberFormat="1" applyFont="1" applyFill="1" applyBorder="1" applyAlignment="1">
      <alignment horizontal="left" vertical="center"/>
    </xf>
    <xf numFmtId="42" fontId="15" fillId="2" borderId="0" xfId="0" applyNumberFormat="1" applyFont="1" applyFill="1">
      <alignment vertical="center"/>
    </xf>
    <xf numFmtId="3" fontId="23" fillId="0" borderId="12" xfId="0" applyNumberFormat="1" applyFont="1" applyBorder="1" applyAlignment="1">
      <alignment horizontal="center" vertical="center" wrapText="1"/>
    </xf>
    <xf numFmtId="0" fontId="0" fillId="4" borderId="0" xfId="0" applyFill="1">
      <alignment vertical="center"/>
    </xf>
    <xf numFmtId="0" fontId="105" fillId="4" borderId="0" xfId="0" applyFont="1" applyFill="1">
      <alignment vertical="center"/>
    </xf>
    <xf numFmtId="0" fontId="15" fillId="4" borderId="0" xfId="0" applyFont="1" applyFill="1">
      <alignment vertical="center"/>
    </xf>
    <xf numFmtId="0" fontId="64" fillId="0" borderId="0" xfId="0" applyFont="1" applyAlignment="1"/>
    <xf numFmtId="0" fontId="64" fillId="0" borderId="105" xfId="0" applyFont="1" applyBorder="1" applyAlignment="1"/>
    <xf numFmtId="0" fontId="0" fillId="0" borderId="74" xfId="0" applyBorder="1" applyAlignment="1"/>
    <xf numFmtId="0" fontId="0" fillId="0" borderId="79" xfId="0" applyBorder="1" applyAlignment="1"/>
    <xf numFmtId="0" fontId="0" fillId="0" borderId="77" xfId="0" applyBorder="1" applyAlignment="1"/>
    <xf numFmtId="0" fontId="0" fillId="0" borderId="0" xfId="0" applyAlignment="1"/>
    <xf numFmtId="0" fontId="0" fillId="0" borderId="105" xfId="0" applyBorder="1" applyAlignment="1"/>
    <xf numFmtId="0" fontId="109" fillId="0" borderId="0" xfId="0" applyFont="1">
      <alignment vertical="center"/>
    </xf>
    <xf numFmtId="0" fontId="0" fillId="0" borderId="77" xfId="0" applyBorder="1">
      <alignment vertical="center"/>
    </xf>
    <xf numFmtId="0" fontId="0" fillId="0" borderId="105" xfId="0" applyBorder="1">
      <alignment vertical="center"/>
    </xf>
    <xf numFmtId="0" fontId="61" fillId="0" borderId="77" xfId="0" applyFont="1" applyBorder="1" applyAlignment="1">
      <alignment horizontal="center" vertical="center" readingOrder="1"/>
    </xf>
    <xf numFmtId="0" fontId="66" fillId="0" borderId="77" xfId="0" applyFont="1" applyBorder="1" applyAlignment="1">
      <alignment horizontal="center" vertical="center" readingOrder="1"/>
    </xf>
    <xf numFmtId="0" fontId="62" fillId="0" borderId="77" xfId="0" applyFont="1" applyBorder="1" applyAlignment="1">
      <alignment horizontal="center" vertical="center" readingOrder="1"/>
    </xf>
    <xf numFmtId="0" fontId="66" fillId="0" borderId="106" xfId="0" applyFont="1" applyBorder="1" applyAlignment="1">
      <alignment horizontal="center" vertical="center" readingOrder="1"/>
    </xf>
    <xf numFmtId="3" fontId="23" fillId="0" borderId="0" xfId="0" applyNumberFormat="1" applyFont="1" applyAlignment="1">
      <alignment horizontal="center" vertical="center"/>
    </xf>
    <xf numFmtId="41" fontId="23" fillId="0" borderId="0" xfId="0" applyNumberFormat="1" applyFont="1" applyAlignment="1">
      <alignment horizontal="center" vertical="center"/>
    </xf>
    <xf numFmtId="3" fontId="23" fillId="0" borderId="10" xfId="0" applyNumberFormat="1" applyFont="1" applyBorder="1" applyAlignment="1">
      <alignment horizontal="center" vertical="center" wrapText="1"/>
    </xf>
    <xf numFmtId="3" fontId="23" fillId="0" borderId="10" xfId="0" applyNumberFormat="1" applyFont="1" applyBorder="1" applyAlignment="1">
      <alignment horizontal="center" vertical="center"/>
    </xf>
    <xf numFmtId="0" fontId="112" fillId="0" borderId="0" xfId="0" applyFont="1" applyAlignment="1">
      <alignment horizontal="centerContinuous" vertical="center"/>
    </xf>
    <xf numFmtId="0" fontId="31" fillId="0" borderId="0" xfId="0" applyFont="1">
      <alignment vertical="center"/>
    </xf>
    <xf numFmtId="41" fontId="31" fillId="0" borderId="0" xfId="0" applyNumberFormat="1" applyFont="1">
      <alignment vertical="center"/>
    </xf>
    <xf numFmtId="0" fontId="107" fillId="0" borderId="0" xfId="0" applyFont="1">
      <alignment vertical="center"/>
    </xf>
    <xf numFmtId="0" fontId="31" fillId="0" borderId="0" xfId="0" applyFont="1" applyAlignment="1">
      <alignment vertical="center" shrinkToFit="1"/>
    </xf>
    <xf numFmtId="41" fontId="0" fillId="0" borderId="0" xfId="0" applyNumberFormat="1" applyAlignment="1"/>
    <xf numFmtId="0" fontId="31" fillId="0" borderId="22" xfId="0" applyFont="1" applyBorder="1" applyAlignment="1">
      <alignment horizontal="centerContinuous" vertical="center"/>
    </xf>
    <xf numFmtId="0" fontId="31" fillId="0" borderId="22" xfId="0" applyFont="1" applyBorder="1" applyAlignment="1">
      <alignment vertical="center" shrinkToFit="1"/>
    </xf>
    <xf numFmtId="41" fontId="31" fillId="0" borderId="62" xfId="0" applyNumberFormat="1" applyFont="1" applyBorder="1">
      <alignment vertical="center"/>
    </xf>
    <xf numFmtId="41" fontId="31" fillId="0" borderId="110" xfId="0" applyNumberFormat="1" applyFont="1" applyBorder="1">
      <alignment vertical="center"/>
    </xf>
    <xf numFmtId="0" fontId="31" fillId="0" borderId="109" xfId="0" applyFont="1" applyBorder="1" applyAlignment="1">
      <alignment horizontal="center" vertical="center"/>
    </xf>
    <xf numFmtId="0" fontId="31" fillId="0" borderId="109" xfId="0" applyFont="1" applyBorder="1">
      <alignment vertical="center"/>
    </xf>
    <xf numFmtId="0" fontId="31" fillId="0" borderId="87" xfId="0" applyFont="1" applyBorder="1">
      <alignment vertical="center"/>
    </xf>
    <xf numFmtId="0" fontId="113" fillId="0" borderId="0" xfId="0" applyFont="1" applyAlignment="1">
      <alignment horizontal="centerContinuous" vertical="center"/>
    </xf>
    <xf numFmtId="0" fontId="37" fillId="0" borderId="0" xfId="0" applyFont="1">
      <alignment vertical="center"/>
    </xf>
    <xf numFmtId="0" fontId="23" fillId="0" borderId="18" xfId="0" applyFont="1" applyBorder="1" applyAlignment="1">
      <alignment vertical="center" shrinkToFit="1"/>
    </xf>
    <xf numFmtId="0" fontId="114" fillId="0" borderId="88" xfId="0" applyFont="1" applyBorder="1" applyAlignment="1">
      <alignment horizontal="center" vertical="center" readingOrder="1"/>
    </xf>
    <xf numFmtId="0" fontId="25" fillId="0" borderId="57" xfId="0" applyFont="1" applyBorder="1" applyAlignment="1">
      <alignment horizontal="center" vertical="center" readingOrder="1"/>
    </xf>
    <xf numFmtId="0" fontId="114" fillId="0" borderId="59" xfId="0" applyFont="1" applyBorder="1" applyAlignment="1">
      <alignment horizontal="center" vertical="center" readingOrder="1"/>
    </xf>
    <xf numFmtId="0" fontId="23" fillId="0" borderId="91" xfId="0" applyFont="1" applyBorder="1" applyAlignment="1">
      <alignment vertical="center" shrinkToFit="1"/>
    </xf>
    <xf numFmtId="0" fontId="25" fillId="0" borderId="59" xfId="0" applyFont="1" applyBorder="1" applyAlignment="1">
      <alignment horizontal="center" vertical="center" readingOrder="1"/>
    </xf>
    <xf numFmtId="0" fontId="25" fillId="0" borderId="88" xfId="0" applyFont="1" applyBorder="1" applyAlignment="1">
      <alignment horizontal="center" vertical="center" readingOrder="1"/>
    </xf>
    <xf numFmtId="0" fontId="22" fillId="11" borderId="108" xfId="0" applyFont="1" applyFill="1" applyBorder="1" applyAlignment="1">
      <alignment horizontal="center" vertical="center" readingOrder="1"/>
    </xf>
    <xf numFmtId="0" fontId="25" fillId="0" borderId="90" xfId="0" applyFont="1" applyBorder="1" applyAlignment="1">
      <alignment horizontal="center" vertical="center" readingOrder="1"/>
    </xf>
    <xf numFmtId="0" fontId="23" fillId="11" borderId="83" xfId="0" applyFont="1" applyFill="1" applyBorder="1" applyAlignment="1">
      <alignment horizontal="center" vertical="center" shrinkToFit="1" readingOrder="1"/>
    </xf>
    <xf numFmtId="0" fontId="23" fillId="0" borderId="18" xfId="0" applyFont="1" applyBorder="1" applyAlignment="1">
      <alignment horizontal="center" vertical="center"/>
    </xf>
    <xf numFmtId="0" fontId="23" fillId="0" borderId="91" xfId="0" applyFont="1" applyBorder="1" applyAlignment="1">
      <alignment horizontal="center" vertical="center"/>
    </xf>
    <xf numFmtId="0" fontId="23" fillId="0" borderId="18" xfId="0" applyFont="1" applyBorder="1">
      <alignment vertical="center"/>
    </xf>
    <xf numFmtId="0" fontId="23" fillId="0" borderId="91" xfId="0" applyFont="1" applyBorder="1">
      <alignment vertical="center"/>
    </xf>
    <xf numFmtId="0" fontId="115" fillId="0" borderId="0" xfId="0" applyFont="1">
      <alignment vertical="center"/>
    </xf>
    <xf numFmtId="0" fontId="23" fillId="0" borderId="0" xfId="0" applyFont="1" applyAlignment="1">
      <alignment vertical="center" shrinkToFit="1"/>
    </xf>
    <xf numFmtId="0" fontId="23" fillId="0" borderId="0" xfId="0" applyFont="1" applyAlignment="1">
      <alignment horizontal="center" vertical="center"/>
    </xf>
    <xf numFmtId="0" fontId="23" fillId="0" borderId="72" xfId="0" applyFont="1" applyBorder="1" applyAlignment="1">
      <alignment vertical="center" shrinkToFit="1"/>
    </xf>
    <xf numFmtId="0" fontId="23" fillId="0" borderId="89" xfId="0" applyFont="1" applyBorder="1">
      <alignment vertical="center"/>
    </xf>
    <xf numFmtId="41" fontId="23" fillId="0" borderId="89" xfId="0" applyNumberFormat="1" applyFont="1" applyBorder="1">
      <alignment vertical="center"/>
    </xf>
    <xf numFmtId="0" fontId="23" fillId="0" borderId="92" xfId="0" applyFont="1" applyBorder="1">
      <alignment vertical="center"/>
    </xf>
    <xf numFmtId="0" fontId="36" fillId="0" borderId="86" xfId="0" applyFont="1" applyBorder="1" applyAlignment="1">
      <alignment horizontal="center" vertical="center" readingOrder="1"/>
    </xf>
    <xf numFmtId="0" fontId="37" fillId="0" borderId="73" xfId="0" applyFont="1" applyBorder="1">
      <alignment vertical="center"/>
    </xf>
    <xf numFmtId="0" fontId="37" fillId="0" borderId="74" xfId="0" applyFont="1" applyBorder="1">
      <alignment vertical="center"/>
    </xf>
    <xf numFmtId="0" fontId="37" fillId="0" borderId="79" xfId="0" applyFont="1" applyBorder="1">
      <alignment vertical="center"/>
    </xf>
    <xf numFmtId="0" fontId="37" fillId="0" borderId="77" xfId="0" applyFont="1" applyBorder="1">
      <alignment vertical="center"/>
    </xf>
    <xf numFmtId="0" fontId="37" fillId="0" borderId="105" xfId="0" applyFont="1" applyBorder="1">
      <alignment vertical="center"/>
    </xf>
    <xf numFmtId="0" fontId="37" fillId="0" borderId="106" xfId="0" applyFont="1" applyBorder="1">
      <alignment vertical="center"/>
    </xf>
    <xf numFmtId="0" fontId="37" fillId="0" borderId="104" xfId="0" applyFont="1" applyBorder="1">
      <alignment vertical="center"/>
    </xf>
    <xf numFmtId="0" fontId="37" fillId="0" borderId="107" xfId="0" applyFont="1" applyBorder="1">
      <alignment vertical="center"/>
    </xf>
    <xf numFmtId="3" fontId="110" fillId="0" borderId="0" xfId="0" applyNumberFormat="1" applyFont="1" applyAlignment="1">
      <alignment horizontal="center" vertical="center"/>
    </xf>
    <xf numFmtId="41" fontId="26" fillId="0" borderId="12" xfId="0" applyNumberFormat="1" applyFont="1" applyBorder="1" applyAlignment="1">
      <alignment horizontal="center" vertical="center" wrapText="1"/>
    </xf>
    <xf numFmtId="41" fontId="26" fillId="0" borderId="12" xfId="0" applyNumberFormat="1" applyFont="1" applyBorder="1">
      <alignment vertical="center"/>
    </xf>
    <xf numFmtId="0" fontId="0" fillId="0" borderId="73" xfId="0" applyBorder="1" applyAlignment="1"/>
    <xf numFmtId="41" fontId="23" fillId="0" borderId="113" xfId="0" applyNumberFormat="1" applyFont="1" applyBorder="1">
      <alignment vertical="center"/>
    </xf>
    <xf numFmtId="0" fontId="23" fillId="0" borderId="23" xfId="0" applyFont="1" applyBorder="1" applyAlignment="1">
      <alignment vertical="center" shrinkToFit="1"/>
    </xf>
    <xf numFmtId="0" fontId="23" fillId="0" borderId="23" xfId="0" applyFont="1" applyBorder="1" applyAlignment="1">
      <alignment horizontal="center" vertical="center"/>
    </xf>
    <xf numFmtId="41" fontId="26" fillId="0" borderId="12" xfId="0" applyNumberFormat="1" applyFont="1" applyBorder="1" applyAlignment="1">
      <alignment horizontal="center" vertical="center" shrinkToFit="1"/>
    </xf>
    <xf numFmtId="41" fontId="26" fillId="0" borderId="12" xfId="0" applyNumberFormat="1" applyFont="1" applyBorder="1" applyAlignment="1">
      <alignment horizontal="right" vertical="center"/>
    </xf>
    <xf numFmtId="41" fontId="26" fillId="0" borderId="12" xfId="0" applyNumberFormat="1" applyFont="1" applyBorder="1" applyAlignment="1">
      <alignment horizontal="center" vertical="center"/>
    </xf>
    <xf numFmtId="3" fontId="26" fillId="0" borderId="12" xfId="0" applyNumberFormat="1" applyFont="1" applyBorder="1" applyAlignment="1">
      <alignment horizontal="left" vertical="center"/>
    </xf>
    <xf numFmtId="3" fontId="26" fillId="0" borderId="12" xfId="0" applyNumberFormat="1" applyFont="1" applyBorder="1" applyAlignment="1">
      <alignment horizontal="center" vertical="center"/>
    </xf>
    <xf numFmtId="41" fontId="23" fillId="0" borderId="0" xfId="0" applyNumberFormat="1" applyFont="1">
      <alignment vertical="center"/>
    </xf>
    <xf numFmtId="3" fontId="23" fillId="0" borderId="14" xfId="0" applyNumberFormat="1" applyFont="1" applyBorder="1" applyAlignment="1">
      <alignment horizontal="center" vertical="center"/>
    </xf>
    <xf numFmtId="3" fontId="23" fillId="0" borderId="66" xfId="0" applyNumberFormat="1" applyFont="1" applyBorder="1" applyAlignment="1">
      <alignment horizontal="center" vertical="center"/>
    </xf>
    <xf numFmtId="0" fontId="116" fillId="2" borderId="0" xfId="0" applyFont="1" applyFill="1">
      <alignment vertical="center"/>
    </xf>
    <xf numFmtId="0" fontId="9" fillId="2" borderId="0" xfId="0" applyFont="1" applyFill="1" applyAlignment="1">
      <alignment vertical="top"/>
    </xf>
    <xf numFmtId="0" fontId="40" fillId="2" borderId="63" xfId="0" applyFont="1" applyFill="1" applyBorder="1" applyAlignment="1">
      <alignment horizontal="center" vertical="center" shrinkToFit="1"/>
    </xf>
    <xf numFmtId="0" fontId="40" fillId="2" borderId="60" xfId="0" applyFont="1" applyFill="1" applyBorder="1" applyAlignment="1">
      <alignment horizontal="center" vertical="center" shrinkToFit="1"/>
    </xf>
    <xf numFmtId="0" fontId="40" fillId="2" borderId="65" xfId="0" applyFont="1" applyFill="1" applyBorder="1" applyAlignment="1">
      <alignment horizontal="center" vertical="center" shrinkToFit="1"/>
    </xf>
    <xf numFmtId="0" fontId="23" fillId="0" borderId="13" xfId="0" applyFont="1" applyBorder="1" applyAlignment="1">
      <alignment horizontal="center" vertical="center"/>
    </xf>
    <xf numFmtId="0" fontId="27" fillId="4" borderId="0" xfId="0" applyFont="1" applyFill="1" applyAlignment="1">
      <alignment horizontal="center" vertical="center"/>
    </xf>
    <xf numFmtId="0" fontId="23" fillId="13" borderId="13" xfId="0" applyFont="1" applyFill="1" applyBorder="1" applyAlignment="1">
      <alignment horizontal="center" vertical="center" shrinkToFit="1"/>
    </xf>
    <xf numFmtId="0" fontId="23" fillId="0" borderId="13" xfId="0" applyFont="1" applyBorder="1" applyAlignment="1">
      <alignment horizontal="center" vertical="center" shrinkToFit="1"/>
    </xf>
    <xf numFmtId="182" fontId="40" fillId="0" borderId="13" xfId="0" applyNumberFormat="1" applyFont="1" applyBorder="1" applyAlignment="1">
      <alignment horizontal="center" vertical="center"/>
    </xf>
    <xf numFmtId="0" fontId="15" fillId="0" borderId="13" xfId="0" applyFont="1" applyBorder="1" applyAlignment="1">
      <alignment horizontal="center" vertical="center"/>
    </xf>
    <xf numFmtId="182" fontId="23" fillId="0" borderId="13" xfId="0" applyNumberFormat="1" applyFont="1" applyBorder="1" applyAlignment="1">
      <alignment horizontal="center" vertical="center"/>
    </xf>
    <xf numFmtId="0" fontId="27" fillId="0" borderId="0" xfId="0" applyFont="1" applyAlignment="1">
      <alignment horizontal="center" vertical="center"/>
    </xf>
    <xf numFmtId="41" fontId="31" fillId="0" borderId="22" xfId="0" applyNumberFormat="1" applyFont="1" applyBorder="1">
      <alignment vertical="center"/>
    </xf>
    <xf numFmtId="41" fontId="31" fillId="0" borderId="109" xfId="0" applyNumberFormat="1" applyFont="1" applyBorder="1">
      <alignment vertical="center"/>
    </xf>
    <xf numFmtId="0" fontId="29" fillId="0" borderId="0" xfId="0" applyFont="1" applyAlignment="1">
      <alignment horizontal="center" vertical="center"/>
    </xf>
    <xf numFmtId="0" fontId="23" fillId="0" borderId="38" xfId="0" applyFont="1" applyBorder="1" applyAlignment="1">
      <alignment vertical="center" shrinkToFit="1"/>
    </xf>
    <xf numFmtId="41" fontId="23" fillId="0" borderId="111" xfId="0" applyNumberFormat="1" applyFont="1" applyBorder="1">
      <alignment vertical="center"/>
    </xf>
    <xf numFmtId="41" fontId="23" fillId="0" borderId="92" xfId="0" applyNumberFormat="1" applyFont="1" applyBorder="1">
      <alignment vertical="center"/>
    </xf>
    <xf numFmtId="0" fontId="25" fillId="0" borderId="0" xfId="0" applyFont="1" applyAlignment="1">
      <alignment horizontal="center" vertical="center" readingOrder="1"/>
    </xf>
    <xf numFmtId="0" fontId="23" fillId="0" borderId="125" xfId="0" applyFont="1" applyBorder="1" applyAlignment="1">
      <alignment vertical="center" shrinkToFit="1"/>
    </xf>
    <xf numFmtId="0" fontId="23" fillId="0" borderId="125" xfId="0" applyFont="1" applyBorder="1" applyAlignment="1">
      <alignment horizontal="center" vertical="center"/>
    </xf>
    <xf numFmtId="0" fontId="23" fillId="0" borderId="126" xfId="0" applyFont="1" applyBorder="1">
      <alignment vertical="center"/>
    </xf>
    <xf numFmtId="41" fontId="23" fillId="0" borderId="0" xfId="0" applyNumberFormat="1" applyFont="1" applyAlignment="1">
      <alignment vertical="center" wrapText="1"/>
    </xf>
    <xf numFmtId="3" fontId="17" fillId="3" borderId="76" xfId="0" applyNumberFormat="1" applyFont="1" applyFill="1" applyBorder="1" applyAlignment="1">
      <alignment horizontal="center" vertical="center"/>
    </xf>
    <xf numFmtId="0" fontId="23" fillId="0" borderId="127" xfId="0" applyFont="1" applyBorder="1" applyAlignment="1">
      <alignment vertical="center" shrinkToFit="1"/>
    </xf>
    <xf numFmtId="0" fontId="23" fillId="0" borderId="127" xfId="0" applyFont="1" applyBorder="1" applyAlignment="1">
      <alignment horizontal="center" vertical="center"/>
    </xf>
    <xf numFmtId="0" fontId="15" fillId="0" borderId="124" xfId="0" applyFont="1" applyBorder="1" applyAlignment="1">
      <alignment horizontal="center" vertical="center"/>
    </xf>
    <xf numFmtId="41" fontId="15" fillId="0" borderId="0" xfId="0" applyNumberFormat="1" applyFont="1">
      <alignment vertical="center"/>
    </xf>
    <xf numFmtId="41" fontId="26" fillId="0" borderId="13" xfId="0" applyNumberFormat="1" applyFont="1" applyBorder="1" applyAlignment="1">
      <alignment horizontal="left" vertical="center" shrinkToFit="1"/>
    </xf>
    <xf numFmtId="0" fontId="26" fillId="0" borderId="13" xfId="0" applyFont="1" applyBorder="1" applyAlignment="1">
      <alignment horizontal="left" vertical="center" shrinkToFit="1"/>
    </xf>
    <xf numFmtId="0" fontId="32" fillId="3" borderId="127" xfId="0" applyFont="1" applyFill="1" applyBorder="1" applyAlignment="1">
      <alignment horizontal="center" vertical="center"/>
    </xf>
    <xf numFmtId="0" fontId="32" fillId="2" borderId="130" xfId="0" applyFont="1" applyFill="1" applyBorder="1">
      <alignment vertical="center"/>
    </xf>
    <xf numFmtId="42" fontId="25" fillId="2" borderId="125" xfId="0" quotePrefix="1" applyNumberFormat="1" applyFont="1" applyFill="1" applyBorder="1" applyAlignment="1">
      <alignment horizontal="right" vertical="center"/>
    </xf>
    <xf numFmtId="177" fontId="25" fillId="2" borderId="131" xfId="0" applyNumberFormat="1" applyFont="1" applyFill="1" applyBorder="1">
      <alignment vertical="center"/>
    </xf>
    <xf numFmtId="42" fontId="32" fillId="2" borderId="131" xfId="0" applyNumberFormat="1" applyFont="1" applyFill="1" applyBorder="1">
      <alignment vertical="center"/>
    </xf>
    <xf numFmtId="0" fontId="32" fillId="3" borderId="133" xfId="0" applyFont="1" applyFill="1" applyBorder="1" applyAlignment="1">
      <alignment horizontal="center" vertical="center"/>
    </xf>
    <xf numFmtId="42" fontId="25" fillId="2" borderId="134" xfId="0" quotePrefix="1" applyNumberFormat="1" applyFont="1" applyFill="1" applyBorder="1" applyAlignment="1">
      <alignment horizontal="right" vertical="center"/>
    </xf>
    <xf numFmtId="177" fontId="25" fillId="2" borderId="132" xfId="0" applyNumberFormat="1" applyFont="1" applyFill="1" applyBorder="1">
      <alignment vertical="center"/>
    </xf>
    <xf numFmtId="0" fontId="32" fillId="2" borderId="132" xfId="0" applyFont="1" applyFill="1" applyBorder="1">
      <alignment vertical="center"/>
    </xf>
    <xf numFmtId="0" fontId="32" fillId="2" borderId="135" xfId="0" applyFont="1" applyFill="1" applyBorder="1">
      <alignment vertical="center"/>
    </xf>
    <xf numFmtId="0" fontId="32" fillId="2" borderId="134" xfId="0" applyFont="1" applyFill="1" applyBorder="1">
      <alignment vertical="center"/>
    </xf>
    <xf numFmtId="42" fontId="32" fillId="2" borderId="138" xfId="0" applyNumberFormat="1" applyFont="1" applyFill="1" applyBorder="1">
      <alignment vertical="center"/>
    </xf>
    <xf numFmtId="42" fontId="32" fillId="2" borderId="135" xfId="0" applyNumberFormat="1" applyFont="1" applyFill="1" applyBorder="1">
      <alignment vertical="center"/>
    </xf>
    <xf numFmtId="3" fontId="40" fillId="0" borderId="81" xfId="0" applyNumberFormat="1" applyFont="1" applyBorder="1" applyAlignment="1">
      <alignment horizontal="center" vertical="center"/>
    </xf>
    <xf numFmtId="41" fontId="31" fillId="0" borderId="137" xfId="0" applyNumberFormat="1" applyFont="1" applyBorder="1">
      <alignment vertical="center"/>
    </xf>
    <xf numFmtId="41" fontId="31" fillId="0" borderId="127" xfId="0" applyNumberFormat="1" applyFont="1" applyBorder="1">
      <alignment vertical="center"/>
    </xf>
    <xf numFmtId="41" fontId="107" fillId="0" borderId="127" xfId="0" applyNumberFormat="1" applyFont="1" applyBorder="1">
      <alignment vertical="center"/>
    </xf>
    <xf numFmtId="0" fontId="31" fillId="0" borderId="127" xfId="0" applyFont="1" applyBorder="1" applyAlignment="1">
      <alignment horizontal="center" vertical="center"/>
    </xf>
    <xf numFmtId="0" fontId="31" fillId="0" borderId="127" xfId="0" applyFont="1" applyBorder="1">
      <alignment vertical="center"/>
    </xf>
    <xf numFmtId="41" fontId="31" fillId="0" borderId="143" xfId="0" applyNumberFormat="1" applyFont="1" applyBorder="1">
      <alignment vertical="center"/>
    </xf>
    <xf numFmtId="0" fontId="31" fillId="0" borderId="126" xfId="0" applyFont="1" applyBorder="1">
      <alignment vertical="center"/>
    </xf>
    <xf numFmtId="0" fontId="107" fillId="0" borderId="127" xfId="0" applyFont="1" applyBorder="1" applyAlignment="1">
      <alignment horizontal="center" vertical="center"/>
    </xf>
    <xf numFmtId="0" fontId="107" fillId="0" borderId="127" xfId="0" applyFont="1" applyBorder="1">
      <alignment vertical="center"/>
    </xf>
    <xf numFmtId="41" fontId="107" fillId="0" borderId="143" xfId="0" applyNumberFormat="1" applyFont="1" applyBorder="1">
      <alignment vertical="center"/>
    </xf>
    <xf numFmtId="0" fontId="107" fillId="0" borderId="126" xfId="0" applyFont="1" applyBorder="1">
      <alignment vertical="center"/>
    </xf>
    <xf numFmtId="0" fontId="31" fillId="0" borderId="127" xfId="0" applyFont="1" applyBorder="1" applyAlignment="1">
      <alignment vertical="center" shrinkToFit="1"/>
    </xf>
    <xf numFmtId="0" fontId="107" fillId="0" borderId="127" xfId="0" applyFont="1" applyBorder="1" applyAlignment="1">
      <alignment vertical="center" shrinkToFit="1"/>
    </xf>
    <xf numFmtId="0" fontId="31" fillId="0" borderId="144" xfId="0" applyFont="1" applyBorder="1" applyAlignment="1">
      <alignment horizontal="left" vertical="center"/>
    </xf>
    <xf numFmtId="0" fontId="107" fillId="0" borderId="130" xfId="0" applyFont="1" applyBorder="1" applyAlignment="1">
      <alignment horizontal="centerContinuous" vertical="center"/>
    </xf>
    <xf numFmtId="0" fontId="31" fillId="0" borderId="127" xfId="0" applyFont="1" applyBorder="1" applyAlignment="1">
      <alignment horizontal="left" vertical="center" shrinkToFit="1"/>
    </xf>
    <xf numFmtId="0" fontId="107" fillId="0" borderId="126" xfId="0" applyFont="1" applyBorder="1" applyAlignment="1">
      <alignment horizontal="center" vertical="center"/>
    </xf>
    <xf numFmtId="0" fontId="107" fillId="0" borderId="136" xfId="0" applyFont="1" applyBorder="1" applyAlignment="1">
      <alignment horizontal="center" vertical="center"/>
    </xf>
    <xf numFmtId="0" fontId="31" fillId="0" borderId="62" xfId="0" applyFont="1" applyBorder="1" applyAlignment="1">
      <alignment horizontal="centerContinuous" vertical="center"/>
    </xf>
    <xf numFmtId="0" fontId="31" fillId="0" borderId="113" xfId="0" applyFont="1" applyBorder="1">
      <alignment vertical="center"/>
    </xf>
    <xf numFmtId="0" fontId="31" fillId="0" borderId="137" xfId="0" applyFont="1" applyBorder="1" applyAlignment="1">
      <alignment horizontal="centerContinuous" vertical="center"/>
    </xf>
    <xf numFmtId="0" fontId="31" fillId="0" borderId="127" xfId="0" applyFont="1" applyBorder="1" applyAlignment="1">
      <alignment horizontal="centerContinuous" vertical="center"/>
    </xf>
    <xf numFmtId="0" fontId="31" fillId="14" borderId="147" xfId="0" applyFont="1" applyFill="1" applyBorder="1" applyAlignment="1">
      <alignment horizontal="centerContinuous" vertical="center"/>
    </xf>
    <xf numFmtId="0" fontId="31" fillId="14" borderId="84" xfId="0" applyFont="1" applyFill="1" applyBorder="1" applyAlignment="1">
      <alignment horizontal="centerContinuous" vertical="center"/>
    </xf>
    <xf numFmtId="0" fontId="31" fillId="14" borderId="85" xfId="0" applyFont="1" applyFill="1" applyBorder="1" applyAlignment="1">
      <alignment horizontal="centerContinuous" vertical="center"/>
    </xf>
    <xf numFmtId="0" fontId="40" fillId="19" borderId="68" xfId="0" applyFont="1" applyFill="1" applyBorder="1" applyAlignment="1">
      <alignment horizontal="center" vertical="center"/>
    </xf>
    <xf numFmtId="37" fontId="23" fillId="0" borderId="13" xfId="0" applyNumberFormat="1" applyFont="1" applyBorder="1" applyAlignment="1">
      <alignment horizontal="center" vertical="center"/>
    </xf>
    <xf numFmtId="37" fontId="23" fillId="4" borderId="13" xfId="0" applyNumberFormat="1" applyFont="1" applyFill="1" applyBorder="1" applyAlignment="1">
      <alignment horizontal="center" vertical="center"/>
    </xf>
    <xf numFmtId="37" fontId="23" fillId="13" borderId="13" xfId="0" applyNumberFormat="1" applyFont="1" applyFill="1" applyBorder="1" applyAlignment="1">
      <alignment horizontal="center" vertical="center"/>
    </xf>
    <xf numFmtId="0" fontId="18" fillId="4" borderId="0" xfId="0" applyFont="1" applyFill="1" applyAlignment="1">
      <alignment horizontal="center" vertical="center"/>
    </xf>
    <xf numFmtId="0" fontId="15" fillId="0" borderId="9" xfId="0" applyFont="1" applyBorder="1">
      <alignment vertical="center"/>
    </xf>
    <xf numFmtId="0" fontId="15" fillId="0" borderId="124" xfId="0" applyFont="1" applyBorder="1" applyAlignment="1">
      <alignment horizontal="right" vertical="center"/>
    </xf>
    <xf numFmtId="0" fontId="15" fillId="2" borderId="124" xfId="0" applyFont="1" applyFill="1" applyBorder="1" applyAlignment="1">
      <alignment horizontal="center" vertical="center"/>
    </xf>
    <xf numFmtId="37" fontId="32" fillId="2" borderId="149" xfId="0" applyNumberFormat="1" applyFont="1" applyFill="1" applyBorder="1">
      <alignment vertical="center"/>
    </xf>
    <xf numFmtId="37" fontId="32" fillId="2" borderId="65" xfId="0" applyNumberFormat="1" applyFont="1" applyFill="1" applyBorder="1">
      <alignment vertical="center"/>
    </xf>
    <xf numFmtId="37" fontId="32" fillId="2" borderId="63" xfId="0" applyNumberFormat="1" applyFont="1" applyFill="1" applyBorder="1">
      <alignment vertical="center"/>
    </xf>
    <xf numFmtId="41" fontId="31" fillId="0" borderId="155" xfId="0" applyNumberFormat="1" applyFont="1" applyBorder="1">
      <alignment vertical="center"/>
    </xf>
    <xf numFmtId="41" fontId="31" fillId="0" borderId="130" xfId="0" applyNumberFormat="1" applyFont="1" applyBorder="1">
      <alignment vertical="center"/>
    </xf>
    <xf numFmtId="41" fontId="107" fillId="0" borderId="130" xfId="0" applyNumberFormat="1" applyFont="1" applyBorder="1">
      <alignment vertical="center"/>
    </xf>
    <xf numFmtId="0" fontId="31" fillId="0" borderId="159" xfId="0" applyFont="1" applyBorder="1">
      <alignment vertical="center"/>
    </xf>
    <xf numFmtId="0" fontId="31" fillId="0" borderId="150" xfId="0" applyFont="1" applyBorder="1">
      <alignment vertical="center"/>
    </xf>
    <xf numFmtId="0" fontId="107" fillId="0" borderId="150" xfId="0" applyFont="1" applyBorder="1">
      <alignment vertical="center"/>
    </xf>
    <xf numFmtId="9" fontId="31" fillId="0" borderId="160" xfId="0" applyNumberFormat="1" applyFont="1" applyBorder="1">
      <alignment vertical="center"/>
    </xf>
    <xf numFmtId="0" fontId="31" fillId="0" borderId="161" xfId="0" applyFont="1" applyBorder="1">
      <alignment vertical="center"/>
    </xf>
    <xf numFmtId="41" fontId="0" fillId="0" borderId="0" xfId="0" applyNumberFormat="1">
      <alignment vertical="center"/>
    </xf>
    <xf numFmtId="0" fontId="107" fillId="0" borderId="108" xfId="0" applyFont="1" applyBorder="1" applyAlignment="1">
      <alignment horizontal="centerContinuous" vertical="center"/>
    </xf>
    <xf numFmtId="0" fontId="107" fillId="0" borderId="112" xfId="0" applyFont="1" applyBorder="1" applyAlignment="1">
      <alignment horizontal="centerContinuous" vertical="center"/>
    </xf>
    <xf numFmtId="0" fontId="107" fillId="0" borderId="112" xfId="0" applyFont="1" applyBorder="1" applyAlignment="1">
      <alignment vertical="center" shrinkToFit="1"/>
    </xf>
    <xf numFmtId="0" fontId="107" fillId="0" borderId="156" xfId="0" applyFont="1" applyBorder="1">
      <alignment vertical="center"/>
    </xf>
    <xf numFmtId="41" fontId="107" fillId="0" borderId="112" xfId="0" applyNumberFormat="1" applyFont="1" applyBorder="1">
      <alignment vertical="center"/>
    </xf>
    <xf numFmtId="41" fontId="107" fillId="0" borderId="99" xfId="0" applyNumberFormat="1" applyFont="1" applyBorder="1">
      <alignment vertical="center"/>
    </xf>
    <xf numFmtId="0" fontId="107" fillId="0" borderId="85" xfId="0" applyFont="1" applyBorder="1">
      <alignment vertical="center"/>
    </xf>
    <xf numFmtId="0" fontId="107" fillId="0" borderId="137" xfId="0" applyFont="1" applyBorder="1" applyAlignment="1">
      <alignment horizontal="centerContinuous" vertical="center"/>
    </xf>
    <xf numFmtId="0" fontId="107" fillId="0" borderId="127" xfId="0" applyFont="1" applyBorder="1" applyAlignment="1">
      <alignment horizontal="centerContinuous" vertical="center"/>
    </xf>
    <xf numFmtId="0" fontId="107" fillId="0" borderId="139" xfId="0" applyFont="1" applyBorder="1" applyAlignment="1">
      <alignment horizontal="centerContinuous" vertical="center"/>
    </xf>
    <xf numFmtId="0" fontId="107" fillId="0" borderId="142" xfId="0" applyFont="1" applyBorder="1" applyAlignment="1">
      <alignment horizontal="centerContinuous" vertical="center"/>
    </xf>
    <xf numFmtId="0" fontId="107" fillId="0" borderId="142" xfId="0" applyFont="1" applyBorder="1" applyAlignment="1">
      <alignment vertical="center" shrinkToFit="1"/>
    </xf>
    <xf numFmtId="0" fontId="107" fillId="0" borderId="162" xfId="0" applyFont="1" applyBorder="1">
      <alignment vertical="center"/>
    </xf>
    <xf numFmtId="41" fontId="107" fillId="0" borderId="142" xfId="0" applyNumberFormat="1" applyFont="1" applyBorder="1">
      <alignment vertical="center"/>
    </xf>
    <xf numFmtId="41" fontId="107" fillId="0" borderId="146" xfId="0" applyNumberFormat="1" applyFont="1" applyBorder="1">
      <alignment vertical="center"/>
    </xf>
    <xf numFmtId="0" fontId="107" fillId="0" borderId="140" xfId="0" applyFont="1" applyBorder="1">
      <alignment vertical="center"/>
    </xf>
    <xf numFmtId="0" fontId="123" fillId="3" borderId="163" xfId="0" quotePrefix="1" applyFont="1" applyFill="1" applyBorder="1" applyAlignment="1">
      <alignment horizontal="center" vertical="center" wrapText="1"/>
    </xf>
    <xf numFmtId="0" fontId="33" fillId="2" borderId="0" xfId="0" applyFont="1" applyFill="1" applyAlignment="1">
      <alignment horizontal="centerContinuous" vertical="center"/>
    </xf>
    <xf numFmtId="0" fontId="0" fillId="0" borderId="0" xfId="0" applyAlignment="1">
      <alignment horizontal="center" vertical="center"/>
    </xf>
    <xf numFmtId="0" fontId="124" fillId="0" borderId="0" xfId="0" applyFont="1" applyAlignment="1">
      <alignment horizontal="centerContinuous" vertical="center"/>
    </xf>
    <xf numFmtId="0" fontId="117" fillId="0" borderId="0" xfId="0" applyFont="1">
      <alignment vertical="center"/>
    </xf>
    <xf numFmtId="0" fontId="117" fillId="0" borderId="127" xfId="0" applyFont="1" applyBorder="1">
      <alignment vertical="center"/>
    </xf>
    <xf numFmtId="0" fontId="0" fillId="0" borderId="127" xfId="0" applyBorder="1" applyAlignment="1">
      <alignment horizontal="center" vertical="center"/>
    </xf>
    <xf numFmtId="3" fontId="23" fillId="0" borderId="12" xfId="0" applyNumberFormat="1" applyFont="1" applyBorder="1" applyAlignment="1">
      <alignment horizontal="center" vertical="center"/>
    </xf>
    <xf numFmtId="3" fontId="5" fillId="0" borderId="0" xfId="0" applyNumberFormat="1" applyFont="1" applyAlignment="1">
      <alignment horizontal="center" vertical="center"/>
    </xf>
    <xf numFmtId="0" fontId="15" fillId="0" borderId="124" xfId="0" applyFont="1" applyBorder="1" applyAlignment="1">
      <alignment horizontal="center" vertical="center" shrinkToFit="1"/>
    </xf>
    <xf numFmtId="0" fontId="127" fillId="0" borderId="0" xfId="0" applyFont="1" applyAlignment="1">
      <alignment horizontal="centerContinuous" vertical="center"/>
    </xf>
    <xf numFmtId="0" fontId="32" fillId="0" borderId="0" xfId="0" applyFont="1" applyAlignment="1">
      <alignment horizontal="left" vertical="center"/>
    </xf>
    <xf numFmtId="3" fontId="23" fillId="0" borderId="12" xfId="0" applyNumberFormat="1" applyFont="1" applyBorder="1" applyAlignment="1">
      <alignment horizontal="center" vertical="center" shrinkToFit="1"/>
    </xf>
    <xf numFmtId="0" fontId="37" fillId="0" borderId="128" xfId="0" applyFont="1" applyBorder="1" applyAlignment="1">
      <alignment horizontal="center" vertical="center"/>
    </xf>
    <xf numFmtId="0" fontId="37" fillId="0" borderId="100" xfId="0" applyFont="1" applyBorder="1" applyAlignment="1">
      <alignment horizontal="center" vertical="center"/>
    </xf>
    <xf numFmtId="0" fontId="0" fillId="0" borderId="129" xfId="0" applyBorder="1">
      <alignment vertical="center"/>
    </xf>
    <xf numFmtId="0" fontId="0" fillId="0" borderId="81" xfId="0" applyBorder="1">
      <alignment vertical="center"/>
    </xf>
    <xf numFmtId="0" fontId="37" fillId="0" borderId="129" xfId="0" applyFont="1" applyBorder="1" applyAlignment="1">
      <alignment horizontal="center" vertical="center"/>
    </xf>
    <xf numFmtId="0" fontId="0" fillId="0" borderId="76" xfId="0" applyBorder="1">
      <alignment vertical="center"/>
    </xf>
    <xf numFmtId="0" fontId="37" fillId="0" borderId="81" xfId="0" applyFont="1" applyBorder="1" applyAlignment="1">
      <alignment horizontal="center" vertical="center"/>
    </xf>
    <xf numFmtId="0" fontId="0" fillId="0" borderId="82" xfId="0" applyBorder="1">
      <alignment vertical="center"/>
    </xf>
    <xf numFmtId="0" fontId="128" fillId="0" borderId="0" xfId="0" applyFont="1">
      <alignment vertical="center"/>
    </xf>
    <xf numFmtId="0" fontId="32" fillId="2" borderId="10" xfId="0" applyFont="1" applyFill="1" applyBorder="1" applyAlignment="1">
      <alignment horizontal="left" vertical="center"/>
    </xf>
    <xf numFmtId="0" fontId="40" fillId="0" borderId="28" xfId="0" applyFont="1" applyBorder="1">
      <alignment vertical="center"/>
    </xf>
    <xf numFmtId="0" fontId="40" fillId="0" borderId="4" xfId="0" applyFont="1" applyBorder="1">
      <alignment vertical="center"/>
    </xf>
    <xf numFmtId="0" fontId="40" fillId="0" borderId="56" xfId="0" applyFont="1" applyBorder="1">
      <alignment vertical="center"/>
    </xf>
    <xf numFmtId="0" fontId="117" fillId="0" borderId="13" xfId="0" applyFont="1" applyBorder="1">
      <alignment vertical="center"/>
    </xf>
    <xf numFmtId="3" fontId="111" fillId="0" borderId="10" xfId="0" applyNumberFormat="1" applyFont="1" applyBorder="1" applyAlignment="1">
      <alignment horizontal="center" vertical="center"/>
    </xf>
    <xf numFmtId="0" fontId="24" fillId="2" borderId="0" xfId="0" applyFont="1" applyFill="1" applyAlignment="1">
      <alignment shrinkToFit="1"/>
    </xf>
    <xf numFmtId="0" fontId="33" fillId="2" borderId="0" xfId="0" applyFont="1" applyFill="1" applyAlignment="1">
      <alignment horizontal="centerContinuous" vertical="center" shrinkToFit="1"/>
    </xf>
    <xf numFmtId="0" fontId="32" fillId="0" borderId="0" xfId="0" applyFont="1" applyAlignment="1">
      <alignment horizontal="left" vertical="center" shrinkToFit="1"/>
    </xf>
    <xf numFmtId="0" fontId="40" fillId="0" borderId="6" xfId="0" applyFont="1" applyBorder="1" applyAlignment="1">
      <alignment horizontal="center" vertical="center"/>
    </xf>
    <xf numFmtId="0" fontId="40" fillId="0" borderId="54" xfId="0" applyFont="1" applyBorder="1" applyAlignment="1">
      <alignment horizontal="center" vertical="center"/>
    </xf>
    <xf numFmtId="0" fontId="40" fillId="19" borderId="121" xfId="0" applyFont="1" applyFill="1" applyBorder="1" applyAlignment="1">
      <alignment horizontal="center" vertical="center"/>
    </xf>
    <xf numFmtId="0" fontId="40" fillId="0" borderId="121" xfId="0" applyFont="1" applyBorder="1" applyAlignment="1">
      <alignment horizontal="center" vertical="center"/>
    </xf>
    <xf numFmtId="0" fontId="40" fillId="0" borderId="167" xfId="0" applyFont="1" applyBorder="1" applyAlignment="1">
      <alignment horizontal="center" vertical="center"/>
    </xf>
    <xf numFmtId="5" fontId="25" fillId="2" borderId="0" xfId="0" applyNumberFormat="1" applyFont="1" applyFill="1" applyAlignment="1">
      <alignment horizontal="left" vertical="center"/>
    </xf>
    <xf numFmtId="0" fontId="109" fillId="2" borderId="0" xfId="0" applyFont="1" applyFill="1">
      <alignment vertical="center"/>
    </xf>
    <xf numFmtId="0" fontId="130" fillId="2" borderId="0" xfId="0" applyFont="1" applyFill="1">
      <alignment vertical="center"/>
    </xf>
    <xf numFmtId="0" fontId="40" fillId="0" borderId="53" xfId="0" applyFont="1" applyBorder="1" applyAlignment="1">
      <alignment horizontal="center" vertical="center"/>
    </xf>
    <xf numFmtId="41" fontId="23" fillId="0" borderId="25" xfId="0" applyNumberFormat="1" applyFont="1" applyBorder="1" applyAlignment="1">
      <alignment horizontal="center" vertical="center"/>
    </xf>
    <xf numFmtId="0" fontId="40" fillId="2" borderId="69" xfId="0" applyFont="1" applyFill="1" applyBorder="1" applyAlignment="1">
      <alignment horizontal="center" vertical="center"/>
    </xf>
    <xf numFmtId="3" fontId="17" fillId="3" borderId="172" xfId="0" applyNumberFormat="1" applyFont="1" applyFill="1" applyBorder="1" applyAlignment="1">
      <alignment horizontal="center" vertical="center" shrinkToFit="1"/>
    </xf>
    <xf numFmtId="0" fontId="15" fillId="17" borderId="0" xfId="0" applyFont="1" applyFill="1">
      <alignment vertical="center"/>
    </xf>
    <xf numFmtId="0" fontId="131" fillId="0" borderId="0" xfId="0" applyFont="1">
      <alignment vertical="center"/>
    </xf>
    <xf numFmtId="0" fontId="32" fillId="0" borderId="0" xfId="0" applyFont="1" applyAlignment="1">
      <alignment horizontal="right" vertical="center"/>
    </xf>
    <xf numFmtId="3" fontId="23" fillId="0" borderId="169" xfId="0" applyNumberFormat="1" applyFont="1" applyBorder="1" applyAlignment="1">
      <alignment vertical="center" wrapText="1"/>
    </xf>
    <xf numFmtId="0" fontId="23" fillId="0" borderId="169" xfId="0" applyFont="1" applyBorder="1">
      <alignment vertical="center"/>
    </xf>
    <xf numFmtId="0" fontId="23" fillId="0" borderId="169" xfId="0" applyFont="1" applyBorder="1" applyAlignment="1">
      <alignment horizontal="center" vertical="center"/>
    </xf>
    <xf numFmtId="0" fontId="132" fillId="0" borderId="0" xfId="0" applyFont="1" applyAlignment="1">
      <alignment horizontal="center" vertical="center" readingOrder="1"/>
    </xf>
    <xf numFmtId="0" fontId="15" fillId="0" borderId="169" xfId="0" applyFont="1" applyBorder="1" applyAlignment="1">
      <alignment vertical="center" shrinkToFit="1"/>
    </xf>
    <xf numFmtId="0" fontId="15" fillId="0" borderId="169" xfId="0" applyFont="1" applyBorder="1" applyAlignment="1">
      <alignment horizontal="left" vertical="center"/>
    </xf>
    <xf numFmtId="3" fontId="15" fillId="0" borderId="169" xfId="0" applyNumberFormat="1" applyFont="1" applyBorder="1" applyAlignment="1">
      <alignment horizontal="right" vertical="center"/>
    </xf>
    <xf numFmtId="0" fontId="15" fillId="0" borderId="169" xfId="0" applyFont="1" applyBorder="1">
      <alignment vertical="center"/>
    </xf>
    <xf numFmtId="0" fontId="15" fillId="0" borderId="169" xfId="0" applyFont="1" applyBorder="1" applyAlignment="1">
      <alignment horizontal="center" vertical="center"/>
    </xf>
    <xf numFmtId="0" fontId="24" fillId="2" borderId="0" xfId="0" applyFont="1" applyFill="1" applyAlignment="1">
      <alignment horizontal="center"/>
    </xf>
    <xf numFmtId="0" fontId="24" fillId="2" borderId="0" xfId="0" applyFont="1" applyFill="1" applyAlignment="1">
      <alignment horizontal="centerContinuous"/>
    </xf>
    <xf numFmtId="0" fontId="24" fillId="2" borderId="0" xfId="0" applyFont="1" applyFill="1" applyAlignment="1">
      <alignment horizontal="centerContinuous" shrinkToFit="1"/>
    </xf>
    <xf numFmtId="0" fontId="15" fillId="0" borderId="169" xfId="0" applyFont="1" applyBorder="1" applyAlignment="1">
      <alignment horizontal="left" vertical="center" shrinkToFit="1"/>
    </xf>
    <xf numFmtId="0" fontId="90" fillId="0" borderId="13" xfId="0" applyFont="1" applyBorder="1" applyAlignment="1">
      <alignment horizontal="left" vertical="center" shrinkToFit="1"/>
    </xf>
    <xf numFmtId="0" fontId="15" fillId="0" borderId="13" xfId="0" applyFont="1" applyBorder="1" applyAlignment="1">
      <alignment horizontal="center" vertical="center" shrinkToFit="1"/>
    </xf>
    <xf numFmtId="0" fontId="15" fillId="0" borderId="13" xfId="0" applyFont="1" applyBorder="1" applyAlignment="1">
      <alignment vertical="center" shrinkToFit="1"/>
    </xf>
    <xf numFmtId="3" fontId="90" fillId="0" borderId="124" xfId="0" applyNumberFormat="1" applyFont="1" applyBorder="1" applyAlignment="1">
      <alignment horizontal="left" vertical="center"/>
    </xf>
    <xf numFmtId="0" fontId="117" fillId="0" borderId="169" xfId="0" applyFont="1" applyBorder="1" applyAlignment="1">
      <alignment horizontal="center" vertical="center" shrinkToFit="1"/>
    </xf>
    <xf numFmtId="0" fontId="117" fillId="0" borderId="169" xfId="0" applyFont="1" applyBorder="1" applyAlignment="1">
      <alignment horizontal="center" vertical="center"/>
    </xf>
    <xf numFmtId="0" fontId="117" fillId="0" borderId="169" xfId="0" applyFont="1" applyBorder="1">
      <alignment vertical="center"/>
    </xf>
    <xf numFmtId="0" fontId="117" fillId="0" borderId="174" xfId="0" applyFont="1" applyBorder="1" applyAlignment="1">
      <alignment horizontal="center" vertical="center" shrinkToFit="1"/>
    </xf>
    <xf numFmtId="0" fontId="117" fillId="0" borderId="174" xfId="0" applyFont="1" applyBorder="1" applyAlignment="1">
      <alignment horizontal="center" vertical="center"/>
    </xf>
    <xf numFmtId="0" fontId="117" fillId="0" borderId="174" xfId="0" applyFont="1" applyBorder="1">
      <alignment vertical="center"/>
    </xf>
    <xf numFmtId="0" fontId="17" fillId="0" borderId="169" xfId="0" applyFont="1" applyBorder="1">
      <alignment vertical="center"/>
    </xf>
    <xf numFmtId="0" fontId="15" fillId="2" borderId="169" xfId="0" applyFont="1" applyFill="1" applyBorder="1" applyAlignment="1">
      <alignment vertical="center" shrinkToFit="1"/>
    </xf>
    <xf numFmtId="0" fontId="15" fillId="2" borderId="169" xfId="0" applyFont="1" applyFill="1" applyBorder="1" applyAlignment="1">
      <alignment horizontal="center" vertical="center"/>
    </xf>
    <xf numFmtId="3" fontId="36" fillId="0" borderId="55" xfId="0" applyNumberFormat="1" applyFont="1" applyBorder="1" applyAlignment="1">
      <alignment horizontal="center" vertical="center"/>
    </xf>
    <xf numFmtId="3" fontId="36" fillId="0" borderId="180" xfId="0" applyNumberFormat="1" applyFont="1" applyBorder="1" applyAlignment="1">
      <alignment horizontal="center" vertical="center"/>
    </xf>
    <xf numFmtId="3" fontId="36" fillId="0" borderId="181" xfId="0" applyNumberFormat="1" applyFont="1" applyBorder="1" applyAlignment="1">
      <alignment horizontal="center" vertical="center"/>
    </xf>
    <xf numFmtId="3" fontId="17" fillId="3" borderId="179" xfId="0" applyNumberFormat="1" applyFont="1" applyFill="1" applyBorder="1" applyAlignment="1">
      <alignment horizontal="center" vertical="center"/>
    </xf>
    <xf numFmtId="3" fontId="36" fillId="0" borderId="33" xfId="0" applyNumberFormat="1" applyFont="1" applyBorder="1" applyAlignment="1">
      <alignment horizontal="center" vertical="center"/>
    </xf>
    <xf numFmtId="3" fontId="36" fillId="0" borderId="80" xfId="0" applyNumberFormat="1" applyFont="1" applyBorder="1" applyAlignment="1">
      <alignment horizontal="center" vertical="center"/>
    </xf>
    <xf numFmtId="0" fontId="23" fillId="0" borderId="10" xfId="0" applyFont="1" applyBorder="1" applyAlignment="1">
      <alignment horizontal="center" vertical="center" wrapText="1"/>
    </xf>
    <xf numFmtId="3" fontId="23" fillId="0" borderId="33" xfId="0" applyNumberFormat="1" applyFont="1" applyBorder="1" applyAlignment="1">
      <alignment horizontal="center" vertical="center"/>
    </xf>
    <xf numFmtId="3" fontId="23" fillId="0" borderId="169" xfId="0" applyNumberFormat="1" applyFont="1" applyBorder="1" applyAlignment="1">
      <alignment horizontal="center" vertical="center"/>
    </xf>
    <xf numFmtId="3" fontId="23" fillId="0" borderId="169" xfId="0" applyNumberFormat="1" applyFont="1" applyBorder="1" applyAlignment="1">
      <alignment horizontal="center" vertical="center" wrapText="1"/>
    </xf>
    <xf numFmtId="3" fontId="23" fillId="0" borderId="174" xfId="0" applyNumberFormat="1" applyFont="1" applyBorder="1" applyAlignment="1">
      <alignment horizontal="center" vertical="center" wrapText="1"/>
    </xf>
    <xf numFmtId="3" fontId="23" fillId="0" borderId="169" xfId="0" applyNumberFormat="1" applyFont="1" applyBorder="1">
      <alignment vertical="center"/>
    </xf>
    <xf numFmtId="41" fontId="23" fillId="0" borderId="169" xfId="0" applyNumberFormat="1" applyFont="1" applyBorder="1" applyAlignment="1">
      <alignment horizontal="center" vertical="center"/>
    </xf>
    <xf numFmtId="0" fontId="125" fillId="3" borderId="151" xfId="0" applyFont="1" applyFill="1" applyBorder="1" applyAlignment="1">
      <alignment horizontal="center" vertical="center"/>
    </xf>
    <xf numFmtId="0" fontId="93" fillId="3" borderId="25" xfId="0" applyFont="1" applyFill="1" applyBorder="1" applyAlignment="1">
      <alignment horizontal="center" vertical="center"/>
    </xf>
    <xf numFmtId="0" fontId="93" fillId="3" borderId="123" xfId="0" applyFont="1" applyFill="1" applyBorder="1" applyAlignment="1">
      <alignment horizontal="center" vertical="center"/>
    </xf>
    <xf numFmtId="0" fontId="117" fillId="0" borderId="176" xfId="0" applyFont="1" applyBorder="1">
      <alignment vertical="center"/>
    </xf>
    <xf numFmtId="3" fontId="32" fillId="2" borderId="149" xfId="0" applyNumberFormat="1" applyFont="1" applyFill="1" applyBorder="1">
      <alignment vertical="center"/>
    </xf>
    <xf numFmtId="3" fontId="32" fillId="2" borderId="63" xfId="0" applyNumberFormat="1" applyFont="1" applyFill="1" applyBorder="1">
      <alignment vertical="center"/>
    </xf>
    <xf numFmtId="0" fontId="32" fillId="2" borderId="149" xfId="0" applyFont="1" applyFill="1" applyBorder="1">
      <alignment vertical="center"/>
    </xf>
    <xf numFmtId="0" fontId="32" fillId="2" borderId="65" xfId="0" applyFont="1" applyFill="1" applyBorder="1">
      <alignment vertical="center"/>
    </xf>
    <xf numFmtId="3" fontId="32" fillId="2" borderId="65" xfId="0" applyNumberFormat="1" applyFont="1" applyFill="1" applyBorder="1">
      <alignment vertical="center"/>
    </xf>
    <xf numFmtId="0" fontId="32" fillId="2" borderId="63" xfId="0" applyFont="1" applyFill="1" applyBorder="1">
      <alignment vertical="center"/>
    </xf>
    <xf numFmtId="0" fontId="36" fillId="0" borderId="33" xfId="0" applyFont="1" applyBorder="1" applyAlignment="1">
      <alignment horizontal="center" vertical="center"/>
    </xf>
    <xf numFmtId="0" fontId="36" fillId="0" borderId="66" xfId="0" applyFont="1" applyBorder="1" applyAlignment="1">
      <alignment horizontal="center" vertical="center"/>
    </xf>
    <xf numFmtId="0" fontId="26" fillId="0" borderId="124" xfId="0" applyFont="1" applyBorder="1" applyAlignment="1">
      <alignment horizontal="center" vertical="center"/>
    </xf>
    <xf numFmtId="0" fontId="24" fillId="4" borderId="0" xfId="0" applyFont="1" applyFill="1" applyAlignment="1">
      <alignment horizontal="left" vertical="center"/>
    </xf>
    <xf numFmtId="3" fontId="17" fillId="3" borderId="49" xfId="0" applyNumberFormat="1" applyFont="1" applyFill="1" applyBorder="1" applyAlignment="1">
      <alignment horizontal="center" vertical="center"/>
    </xf>
    <xf numFmtId="3" fontId="17" fillId="3" borderId="181" xfId="0" applyNumberFormat="1" applyFont="1" applyFill="1" applyBorder="1" applyAlignment="1">
      <alignment horizontal="center" vertical="center"/>
    </xf>
    <xf numFmtId="3" fontId="17" fillId="3" borderId="80" xfId="0" applyNumberFormat="1" applyFont="1" applyFill="1" applyBorder="1" applyAlignment="1">
      <alignment horizontal="center" vertical="center"/>
    </xf>
    <xf numFmtId="3" fontId="23" fillId="13" borderId="169" xfId="0" applyNumberFormat="1" applyFont="1" applyFill="1" applyBorder="1" applyAlignment="1">
      <alignment horizontal="left" vertical="center"/>
    </xf>
    <xf numFmtId="41" fontId="23" fillId="13" borderId="169" xfId="0" applyNumberFormat="1" applyFont="1" applyFill="1" applyBorder="1" applyAlignment="1">
      <alignment horizontal="center" vertical="center"/>
    </xf>
    <xf numFmtId="0" fontId="23" fillId="13" borderId="169" xfId="0" applyFont="1" applyFill="1" applyBorder="1" applyAlignment="1">
      <alignment horizontal="center" vertical="center"/>
    </xf>
    <xf numFmtId="0" fontId="23" fillId="13" borderId="169" xfId="0" applyFont="1" applyFill="1" applyBorder="1">
      <alignment vertical="center"/>
    </xf>
    <xf numFmtId="0" fontId="23" fillId="13" borderId="169" xfId="0" applyFont="1" applyFill="1" applyBorder="1" applyAlignment="1">
      <alignment horizontal="left" vertical="center" shrinkToFit="1"/>
    </xf>
    <xf numFmtId="0" fontId="23" fillId="13" borderId="169" xfId="0" applyFont="1" applyFill="1" applyBorder="1" applyAlignment="1">
      <alignment horizontal="center" vertical="center" shrinkToFit="1"/>
    </xf>
    <xf numFmtId="37" fontId="23" fillId="13" borderId="169" xfId="0" applyNumberFormat="1" applyFont="1" applyFill="1" applyBorder="1" applyAlignment="1">
      <alignment vertical="center" shrinkToFit="1"/>
    </xf>
    <xf numFmtId="0" fontId="23" fillId="13" borderId="169" xfId="0" applyFont="1" applyFill="1" applyBorder="1" applyAlignment="1">
      <alignment vertical="center" shrinkToFit="1"/>
    </xf>
    <xf numFmtId="0" fontId="23" fillId="0" borderId="169" xfId="0" applyFont="1" applyBorder="1" applyAlignment="1">
      <alignment vertical="center" shrinkToFit="1"/>
    </xf>
    <xf numFmtId="0" fontId="23" fillId="0" borderId="169" xfId="0" applyFont="1" applyBorder="1" applyAlignment="1">
      <alignment horizontal="center" vertical="center" shrinkToFit="1"/>
    </xf>
    <xf numFmtId="37" fontId="23" fillId="0" borderId="169" xfId="0" applyNumberFormat="1" applyFont="1" applyBorder="1">
      <alignment vertical="center"/>
    </xf>
    <xf numFmtId="3" fontId="23" fillId="0" borderId="169" xfId="0" applyNumberFormat="1" applyFont="1" applyBorder="1" applyAlignment="1">
      <alignment horizontal="left" vertical="center"/>
    </xf>
    <xf numFmtId="0" fontId="23" fillId="3" borderId="25" xfId="0" applyFont="1" applyFill="1" applyBorder="1" applyAlignment="1">
      <alignment horizontal="center" vertical="center"/>
    </xf>
    <xf numFmtId="49" fontId="23" fillId="3" borderId="25" xfId="0" applyNumberFormat="1" applyFont="1" applyFill="1" applyBorder="1" applyAlignment="1">
      <alignment horizontal="center" vertical="center"/>
    </xf>
    <xf numFmtId="177" fontId="23" fillId="3" borderId="25" xfId="0" applyNumberFormat="1" applyFont="1" applyFill="1" applyBorder="1" applyAlignment="1">
      <alignment horizontal="center" vertical="center"/>
    </xf>
    <xf numFmtId="0" fontId="23" fillId="3" borderId="25" xfId="0" quotePrefix="1" applyFont="1" applyFill="1" applyBorder="1" applyAlignment="1">
      <alignment horizontal="center" vertical="center"/>
    </xf>
    <xf numFmtId="0" fontId="23" fillId="3" borderId="123" xfId="0" applyFont="1" applyFill="1" applyBorder="1" applyAlignment="1">
      <alignment horizontal="center" vertical="center"/>
    </xf>
    <xf numFmtId="0" fontId="36" fillId="0" borderId="169" xfId="0" applyFont="1" applyBorder="1">
      <alignment vertical="center"/>
    </xf>
    <xf numFmtId="0" fontId="23" fillId="0" borderId="169" xfId="0" applyFont="1" applyBorder="1" applyAlignment="1">
      <alignment horizontal="left" vertical="center"/>
    </xf>
    <xf numFmtId="177" fontId="23" fillId="0" borderId="169" xfId="0" applyNumberFormat="1" applyFont="1" applyBorder="1">
      <alignment vertical="center"/>
    </xf>
    <xf numFmtId="177" fontId="23" fillId="0" borderId="169" xfId="0" applyNumberFormat="1" applyFont="1" applyBorder="1" applyAlignment="1">
      <alignment horizontal="right" vertical="center"/>
    </xf>
    <xf numFmtId="177" fontId="36" fillId="10" borderId="169" xfId="0" applyNumberFormat="1" applyFont="1" applyFill="1" applyBorder="1" applyAlignment="1">
      <alignment horizontal="right" vertical="center"/>
    </xf>
    <xf numFmtId="177" fontId="36" fillId="16" borderId="169" xfId="0" applyNumberFormat="1" applyFont="1" applyFill="1" applyBorder="1" applyAlignment="1">
      <alignment horizontal="right" vertical="center"/>
    </xf>
    <xf numFmtId="0" fontId="23" fillId="4" borderId="169" xfId="0" applyFont="1" applyFill="1" applyBorder="1">
      <alignment vertical="center"/>
    </xf>
    <xf numFmtId="0" fontId="23" fillId="8" borderId="169" xfId="0" applyFont="1" applyFill="1" applyBorder="1" applyAlignment="1">
      <alignment horizontal="center" vertical="center"/>
    </xf>
    <xf numFmtId="3" fontId="23" fillId="0" borderId="169" xfId="0" applyNumberFormat="1" applyFont="1" applyBorder="1" applyAlignment="1">
      <alignment horizontal="left" vertical="center" shrinkToFit="1"/>
    </xf>
    <xf numFmtId="0" fontId="36" fillId="8" borderId="169" xfId="0" applyFont="1" applyFill="1" applyBorder="1" applyAlignment="1">
      <alignment horizontal="right" vertical="center"/>
    </xf>
    <xf numFmtId="0" fontId="39" fillId="0" borderId="169" xfId="0" applyFont="1" applyBorder="1" applyAlignment="1">
      <alignment horizontal="left" vertical="center"/>
    </xf>
    <xf numFmtId="0" fontId="40" fillId="0" borderId="169" xfId="0" applyFont="1" applyBorder="1" applyAlignment="1">
      <alignment horizontal="left" vertical="center"/>
    </xf>
    <xf numFmtId="0" fontId="40" fillId="0" borderId="169" xfId="0" applyFont="1" applyBorder="1" applyAlignment="1">
      <alignment horizontal="center" vertical="center"/>
    </xf>
    <xf numFmtId="181" fontId="40" fillId="0" borderId="169" xfId="0" applyNumberFormat="1" applyFont="1" applyBorder="1" applyAlignment="1">
      <alignment horizontal="center" vertical="center"/>
    </xf>
    <xf numFmtId="177" fontId="40" fillId="0" borderId="169" xfId="0" applyNumberFormat="1" applyFont="1" applyBorder="1">
      <alignment vertical="center"/>
    </xf>
    <xf numFmtId="0" fontId="23" fillId="0" borderId="169" xfId="0" applyFont="1" applyBorder="1" applyAlignment="1">
      <alignment horizontal="left" vertical="center" shrinkToFit="1"/>
    </xf>
    <xf numFmtId="181" fontId="23" fillId="0" borderId="169" xfId="0" applyNumberFormat="1" applyFont="1" applyBorder="1" applyAlignment="1">
      <alignment horizontal="center" vertical="center"/>
    </xf>
    <xf numFmtId="37" fontId="23" fillId="0" borderId="169" xfId="0" applyNumberFormat="1" applyFont="1" applyBorder="1" applyAlignment="1">
      <alignment vertical="center" shrinkToFit="1"/>
    </xf>
    <xf numFmtId="37" fontId="23" fillId="4" borderId="169" xfId="0" applyNumberFormat="1" applyFont="1" applyFill="1" applyBorder="1">
      <alignment vertical="center"/>
    </xf>
    <xf numFmtId="37" fontId="23" fillId="13" borderId="169" xfId="0" applyNumberFormat="1" applyFont="1" applyFill="1" applyBorder="1">
      <alignment vertical="center"/>
    </xf>
    <xf numFmtId="0" fontId="36" fillId="0" borderId="169" xfId="0" applyFont="1" applyBorder="1" applyAlignment="1">
      <alignment horizontal="left" vertical="center" wrapText="1"/>
    </xf>
    <xf numFmtId="184" fontId="23" fillId="0" borderId="169" xfId="0" applyNumberFormat="1" applyFont="1" applyBorder="1" applyAlignment="1">
      <alignment horizontal="right" vertical="center"/>
    </xf>
    <xf numFmtId="3" fontId="70" fillId="0" borderId="169" xfId="0" applyNumberFormat="1" applyFont="1" applyBorder="1" applyAlignment="1">
      <alignment horizontal="center" vertical="center"/>
    </xf>
    <xf numFmtId="0" fontId="70" fillId="0" borderId="169" xfId="0" applyFont="1" applyBorder="1" applyAlignment="1">
      <alignment horizontal="center" vertical="center"/>
    </xf>
    <xf numFmtId="10" fontId="70" fillId="0" borderId="169" xfId="0" applyNumberFormat="1" applyFont="1" applyBorder="1" applyAlignment="1">
      <alignment horizontal="center" vertical="center"/>
    </xf>
    <xf numFmtId="3" fontId="38" fillId="0" borderId="169" xfId="0" applyNumberFormat="1" applyFont="1" applyBorder="1">
      <alignment vertical="center"/>
    </xf>
    <xf numFmtId="177" fontId="36" fillId="0" borderId="169" xfId="0" applyNumberFormat="1" applyFont="1" applyBorder="1" applyAlignment="1">
      <alignment horizontal="right" vertical="center"/>
    </xf>
    <xf numFmtId="0" fontId="36" fillId="5" borderId="169" xfId="0" applyFont="1" applyFill="1" applyBorder="1" applyAlignment="1">
      <alignment horizontal="center" vertical="center"/>
    </xf>
    <xf numFmtId="41" fontId="23" fillId="0" borderId="169" xfId="0" applyNumberFormat="1" applyFont="1" applyBorder="1">
      <alignment vertical="center"/>
    </xf>
    <xf numFmtId="41" fontId="23" fillId="4" borderId="169" xfId="0" applyNumberFormat="1" applyFont="1" applyFill="1" applyBorder="1">
      <alignment vertical="center"/>
    </xf>
    <xf numFmtId="0" fontId="23" fillId="0" borderId="169" xfId="0" quotePrefix="1" applyFont="1" applyBorder="1" applyAlignment="1">
      <alignment horizontal="center" vertical="center"/>
    </xf>
    <xf numFmtId="0" fontId="36" fillId="0" borderId="169" xfId="0" applyFont="1" applyBorder="1" applyAlignment="1">
      <alignment horizontal="left" vertical="center"/>
    </xf>
    <xf numFmtId="0" fontId="23" fillId="0" borderId="169" xfId="0" applyFont="1" applyBorder="1" applyAlignment="1">
      <alignment horizontal="left" vertical="center" indent="1"/>
    </xf>
    <xf numFmtId="9" fontId="23" fillId="0" borderId="169" xfId="0" applyNumberFormat="1" applyFont="1" applyBorder="1" applyAlignment="1">
      <alignment horizontal="right" vertical="center"/>
    </xf>
    <xf numFmtId="10" fontId="23" fillId="0" borderId="169" xfId="0" applyNumberFormat="1" applyFont="1" applyBorder="1" applyAlignment="1">
      <alignment horizontal="right" vertical="center"/>
    </xf>
    <xf numFmtId="0" fontId="23" fillId="0" borderId="169" xfId="0" quotePrefix="1" applyFont="1" applyBorder="1">
      <alignment vertical="center"/>
    </xf>
    <xf numFmtId="177" fontId="23" fillId="0" borderId="169" xfId="0" applyNumberFormat="1" applyFont="1" applyBorder="1" applyAlignment="1">
      <alignment horizontal="left" vertical="center"/>
    </xf>
    <xf numFmtId="177" fontId="23" fillId="0" borderId="169" xfId="0" quotePrefix="1" applyNumberFormat="1" applyFont="1" applyBorder="1" applyAlignment="1">
      <alignment horizontal="right" vertical="center"/>
    </xf>
    <xf numFmtId="177" fontId="36" fillId="5" borderId="169" xfId="0" quotePrefix="1" applyNumberFormat="1" applyFont="1" applyFill="1" applyBorder="1" applyAlignment="1">
      <alignment horizontal="right" vertical="center"/>
    </xf>
    <xf numFmtId="0" fontId="23" fillId="0" borderId="169" xfId="0" quotePrefix="1" applyFont="1" applyBorder="1" applyAlignment="1">
      <alignment horizontal="left" vertical="center"/>
    </xf>
    <xf numFmtId="9" fontId="23" fillId="0" borderId="169" xfId="0" applyNumberFormat="1" applyFont="1" applyBorder="1">
      <alignment vertical="center"/>
    </xf>
    <xf numFmtId="9" fontId="41" fillId="0" borderId="169" xfId="0" applyNumberFormat="1" applyFont="1" applyBorder="1">
      <alignment vertical="center"/>
    </xf>
    <xf numFmtId="177" fontId="36" fillId="5" borderId="169" xfId="0" applyNumberFormat="1" applyFont="1" applyFill="1" applyBorder="1" applyAlignment="1">
      <alignment horizontal="right" vertical="center"/>
    </xf>
    <xf numFmtId="0" fontId="36" fillId="0" borderId="169" xfId="0" applyFont="1" applyBorder="1" applyAlignment="1">
      <alignment horizontal="center" vertical="center"/>
    </xf>
    <xf numFmtId="0" fontId="23" fillId="0" borderId="169" xfId="0" applyFont="1" applyBorder="1" applyAlignment="1">
      <alignment horizontal="left"/>
    </xf>
    <xf numFmtId="0" fontId="23" fillId="0" borderId="169" xfId="0" applyFont="1" applyBorder="1" applyAlignment="1">
      <alignment horizontal="center"/>
    </xf>
    <xf numFmtId="0" fontId="23" fillId="0" borderId="174" xfId="0" applyFont="1" applyBorder="1">
      <alignment vertical="center"/>
    </xf>
    <xf numFmtId="0" fontId="23" fillId="0" borderId="174" xfId="0" applyFont="1" applyBorder="1" applyAlignment="1">
      <alignment horizontal="left" vertical="center"/>
    </xf>
    <xf numFmtId="0" fontId="23" fillId="0" borderId="174" xfId="0" applyFont="1" applyBorder="1" applyAlignment="1">
      <alignment horizontal="center" vertical="center"/>
    </xf>
    <xf numFmtId="177" fontId="23" fillId="0" borderId="174" xfId="0" applyNumberFormat="1" applyFont="1" applyBorder="1">
      <alignment vertical="center"/>
    </xf>
    <xf numFmtId="177" fontId="23" fillId="0" borderId="174" xfId="0" applyNumberFormat="1" applyFont="1" applyBorder="1" applyAlignment="1">
      <alignment horizontal="right" vertical="center"/>
    </xf>
    <xf numFmtId="177" fontId="36" fillId="5" borderId="174" xfId="0" applyNumberFormat="1" applyFont="1" applyFill="1" applyBorder="1" applyAlignment="1">
      <alignment horizontal="right" vertical="center"/>
    </xf>
    <xf numFmtId="182" fontId="23" fillId="0" borderId="176" xfId="0" applyNumberFormat="1" applyFont="1" applyBorder="1" applyAlignment="1">
      <alignment horizontal="center" vertical="center"/>
    </xf>
    <xf numFmtId="0" fontId="40" fillId="0" borderId="152" xfId="0" applyFont="1" applyBorder="1">
      <alignment vertical="center"/>
    </xf>
    <xf numFmtId="0" fontId="40" fillId="0" borderId="169" xfId="0" applyFont="1" applyBorder="1">
      <alignment vertical="center"/>
    </xf>
    <xf numFmtId="0" fontId="40" fillId="0" borderId="182" xfId="0" applyFont="1" applyBorder="1" applyAlignment="1">
      <alignment horizontal="center" vertical="center"/>
    </xf>
    <xf numFmtId="0" fontId="40" fillId="3" borderId="95" xfId="0" applyFont="1" applyFill="1" applyBorder="1" applyAlignment="1">
      <alignment horizontal="centerContinuous" vertical="center"/>
    </xf>
    <xf numFmtId="0" fontId="40" fillId="0" borderId="153" xfId="0" applyFont="1" applyBorder="1" applyAlignment="1">
      <alignment horizontal="center" vertical="center"/>
    </xf>
    <xf numFmtId="0" fontId="40" fillId="0" borderId="102" xfId="0" applyFont="1" applyBorder="1" applyAlignment="1">
      <alignment horizontal="center" vertical="center"/>
    </xf>
    <xf numFmtId="0" fontId="40" fillId="0" borderId="36" xfId="0" applyFont="1" applyBorder="1">
      <alignment vertical="center"/>
    </xf>
    <xf numFmtId="0" fontId="40" fillId="19" borderId="183" xfId="0" applyFont="1" applyFill="1" applyBorder="1" applyAlignment="1">
      <alignment horizontal="center" vertical="center"/>
    </xf>
    <xf numFmtId="0" fontId="133" fillId="4" borderId="0" xfId="0" applyFont="1" applyFill="1" applyAlignment="1">
      <alignment horizontal="right"/>
    </xf>
    <xf numFmtId="0" fontId="134" fillId="9" borderId="0" xfId="0" applyFont="1" applyFill="1" applyAlignment="1">
      <alignment horizontal="left" vertical="center"/>
    </xf>
    <xf numFmtId="0" fontId="117" fillId="3" borderId="151" xfId="0" applyFont="1" applyFill="1" applyBorder="1" applyAlignment="1">
      <alignment horizontal="center" vertical="center"/>
    </xf>
    <xf numFmtId="0" fontId="128" fillId="0" borderId="124" xfId="0" applyFont="1" applyBorder="1" applyAlignment="1">
      <alignment horizontal="left" vertical="center"/>
    </xf>
    <xf numFmtId="0" fontId="117" fillId="0" borderId="124" xfId="0" applyFont="1" applyBorder="1" applyAlignment="1">
      <alignment horizontal="center" vertical="center" wrapText="1"/>
    </xf>
    <xf numFmtId="0" fontId="117" fillId="0" borderId="124" xfId="0" applyFont="1" applyBorder="1" applyAlignment="1">
      <alignment vertical="center" wrapText="1"/>
    </xf>
    <xf numFmtId="3" fontId="126" fillId="0" borderId="124" xfId="0" applyNumberFormat="1" applyFont="1" applyBorder="1" applyAlignment="1">
      <alignment horizontal="left" vertical="center"/>
    </xf>
    <xf numFmtId="0" fontId="117" fillId="0" borderId="124" xfId="0" applyFont="1" applyBorder="1" applyAlignment="1">
      <alignment horizontal="right" vertical="center"/>
    </xf>
    <xf numFmtId="0" fontId="117" fillId="0" borderId="124" xfId="0" applyFont="1" applyBorder="1" applyAlignment="1">
      <alignment horizontal="center" vertical="center"/>
    </xf>
    <xf numFmtId="0" fontId="117" fillId="0" borderId="124" xfId="0" applyFont="1" applyBorder="1" applyAlignment="1">
      <alignment horizontal="left" vertical="center"/>
    </xf>
    <xf numFmtId="0" fontId="126" fillId="0" borderId="124" xfId="0" applyFont="1" applyBorder="1" applyAlignment="1">
      <alignment horizontal="left" vertical="center"/>
    </xf>
    <xf numFmtId="0" fontId="117" fillId="4" borderId="124" xfId="0" applyFont="1" applyFill="1" applyBorder="1" applyAlignment="1">
      <alignment horizontal="right" vertical="center"/>
    </xf>
    <xf numFmtId="0" fontId="117" fillId="13" borderId="124" xfId="0" applyFont="1" applyFill="1" applyBorder="1" applyAlignment="1">
      <alignment horizontal="right" vertical="center"/>
    </xf>
    <xf numFmtId="0" fontId="128" fillId="8" borderId="124" xfId="0" applyFont="1" applyFill="1" applyBorder="1" applyAlignment="1">
      <alignment horizontal="left" vertical="center"/>
    </xf>
    <xf numFmtId="0" fontId="117" fillId="0" borderId="124" xfId="0" quotePrefix="1" applyFont="1" applyBorder="1" applyAlignment="1">
      <alignment horizontal="left" vertical="center"/>
    </xf>
    <xf numFmtId="0" fontId="117" fillId="0" borderId="124" xfId="0" applyFont="1" applyBorder="1" applyAlignment="1">
      <alignment horizontal="left"/>
    </xf>
    <xf numFmtId="0" fontId="128" fillId="0" borderId="175" xfId="0" applyFont="1" applyBorder="1" applyAlignment="1">
      <alignment horizontal="left" vertical="center"/>
    </xf>
    <xf numFmtId="0" fontId="133" fillId="0" borderId="0" xfId="0" applyFont="1" applyAlignment="1">
      <alignment horizontal="left"/>
    </xf>
    <xf numFmtId="0" fontId="133" fillId="0" borderId="0" xfId="0" applyFont="1" applyAlignment="1">
      <alignment horizontal="right"/>
    </xf>
    <xf numFmtId="0" fontId="16" fillId="2" borderId="124" xfId="0" applyFont="1" applyFill="1" applyBorder="1" applyAlignment="1">
      <alignment horizontal="left" vertical="center"/>
    </xf>
    <xf numFmtId="3" fontId="36" fillId="0" borderId="169" xfId="0" applyNumberFormat="1" applyFont="1" applyBorder="1" applyAlignment="1">
      <alignment horizontal="center" vertical="center"/>
    </xf>
    <xf numFmtId="3" fontId="36" fillId="0" borderId="172" xfId="0" applyNumberFormat="1" applyFont="1" applyBorder="1" applyAlignment="1">
      <alignment horizontal="center" vertical="center"/>
    </xf>
    <xf numFmtId="0" fontId="129" fillId="0" borderId="0" xfId="0" applyFont="1">
      <alignment vertical="center"/>
    </xf>
    <xf numFmtId="0" fontId="135" fillId="20" borderId="184" xfId="0" applyFont="1" applyFill="1" applyBorder="1" applyAlignment="1">
      <alignment horizontal="center" vertical="center" wrapText="1"/>
    </xf>
    <xf numFmtId="0" fontId="135" fillId="20" borderId="185" xfId="0" applyFont="1" applyFill="1" applyBorder="1" applyAlignment="1">
      <alignment horizontal="center" vertical="center" wrapText="1"/>
    </xf>
    <xf numFmtId="0" fontId="135" fillId="20" borderId="186" xfId="0" applyFont="1" applyFill="1" applyBorder="1" applyAlignment="1">
      <alignment horizontal="center" vertical="center" wrapText="1"/>
    </xf>
    <xf numFmtId="0" fontId="135" fillId="0" borderId="189" xfId="0" applyFont="1" applyBorder="1" applyAlignment="1">
      <alignment horizontal="center" vertical="center" wrapText="1"/>
    </xf>
    <xf numFmtId="0" fontId="135" fillId="0" borderId="190" xfId="0" applyFont="1" applyBorder="1" applyAlignment="1">
      <alignment horizontal="center" vertical="center" wrapText="1"/>
    </xf>
    <xf numFmtId="3" fontId="5" fillId="0" borderId="0" xfId="0" applyNumberFormat="1" applyFont="1" applyAlignment="1">
      <alignment horizontal="center" vertical="center" shrinkToFit="1"/>
    </xf>
    <xf numFmtId="3" fontId="15" fillId="0" borderId="0" xfId="0" applyNumberFormat="1" applyFont="1" applyAlignment="1">
      <alignment horizontal="center" vertical="center" shrinkToFit="1"/>
    </xf>
    <xf numFmtId="3" fontId="23" fillId="0" borderId="10" xfId="0" applyNumberFormat="1" applyFont="1" applyBorder="1" applyAlignment="1">
      <alignment horizontal="center" vertical="center" shrinkToFit="1"/>
    </xf>
    <xf numFmtId="41" fontId="23" fillId="0" borderId="10" xfId="0" applyNumberFormat="1" applyFont="1" applyBorder="1" applyAlignment="1">
      <alignment horizontal="center" vertical="center" shrinkToFit="1"/>
    </xf>
    <xf numFmtId="41" fontId="23" fillId="0" borderId="12" xfId="0" applyNumberFormat="1" applyFont="1" applyBorder="1" applyAlignment="1">
      <alignment horizontal="center" vertical="center" shrinkToFit="1"/>
    </xf>
    <xf numFmtId="3" fontId="23" fillId="0" borderId="3" xfId="0" applyNumberFormat="1" applyFont="1" applyBorder="1" applyAlignment="1">
      <alignment horizontal="center" vertical="center" shrinkToFit="1"/>
    </xf>
    <xf numFmtId="41" fontId="23" fillId="0" borderId="3" xfId="0" applyNumberFormat="1" applyFont="1" applyBorder="1" applyAlignment="1">
      <alignment horizontal="center" vertical="center" shrinkToFit="1"/>
    </xf>
    <xf numFmtId="3" fontId="23" fillId="0" borderId="25" xfId="0" applyNumberFormat="1" applyFont="1" applyBorder="1" applyAlignment="1">
      <alignment horizontal="center" vertical="center" shrinkToFit="1"/>
    </xf>
    <xf numFmtId="41" fontId="23" fillId="0" borderId="25" xfId="0" applyNumberFormat="1" applyFont="1" applyBorder="1" applyAlignment="1">
      <alignment horizontal="center" vertical="center" shrinkToFit="1"/>
    </xf>
    <xf numFmtId="41" fontId="23" fillId="0" borderId="169" xfId="0" applyNumberFormat="1" applyFont="1" applyBorder="1" applyAlignment="1">
      <alignment horizontal="center" vertical="center" shrinkToFit="1"/>
    </xf>
    <xf numFmtId="3" fontId="23" fillId="0" borderId="169" xfId="0" applyNumberFormat="1" applyFont="1" applyBorder="1" applyAlignment="1">
      <alignment horizontal="center" vertical="center" shrinkToFit="1"/>
    </xf>
    <xf numFmtId="3" fontId="23" fillId="0" borderId="174" xfId="0" applyNumberFormat="1" applyFont="1" applyBorder="1" applyAlignment="1">
      <alignment horizontal="center" vertical="center" shrinkToFit="1"/>
    </xf>
    <xf numFmtId="41" fontId="23" fillId="0" borderId="174" xfId="0" applyNumberFormat="1" applyFont="1" applyBorder="1" applyAlignment="1">
      <alignment horizontal="center" vertical="center" shrinkToFit="1"/>
    </xf>
    <xf numFmtId="3" fontId="23" fillId="0" borderId="81" xfId="0" applyNumberFormat="1" applyFont="1" applyBorder="1" applyAlignment="1">
      <alignment horizontal="center" vertical="center" shrinkToFit="1"/>
    </xf>
    <xf numFmtId="3" fontId="40" fillId="0" borderId="0" xfId="0" applyNumberFormat="1" applyFont="1" applyAlignment="1">
      <alignment horizontal="center" vertical="center" shrinkToFit="1"/>
    </xf>
    <xf numFmtId="3" fontId="69" fillId="0" borderId="0" xfId="0" applyNumberFormat="1" applyFont="1" applyAlignment="1">
      <alignment horizontal="center" vertical="center" shrinkToFit="1"/>
    </xf>
    <xf numFmtId="41" fontId="23" fillId="0" borderId="81" xfId="0" applyNumberFormat="1" applyFont="1" applyBorder="1" applyAlignment="1">
      <alignment horizontal="center" vertical="center" shrinkToFit="1"/>
    </xf>
    <xf numFmtId="3" fontId="23" fillId="0" borderId="12" xfId="0" quotePrefix="1" applyNumberFormat="1" applyFont="1" applyBorder="1" applyAlignment="1">
      <alignment horizontal="center" vertical="center" shrinkToFit="1"/>
    </xf>
    <xf numFmtId="3" fontId="23" fillId="0" borderId="169" xfId="0" quotePrefix="1" applyNumberFormat="1" applyFont="1" applyBorder="1" applyAlignment="1">
      <alignment horizontal="center" vertical="center" shrinkToFit="1"/>
    </xf>
    <xf numFmtId="3" fontId="23" fillId="0" borderId="0" xfId="0" applyNumberFormat="1" applyFont="1" applyAlignment="1">
      <alignment horizontal="center" vertical="center" shrinkToFit="1"/>
    </xf>
    <xf numFmtId="41" fontId="23" fillId="0" borderId="0" xfId="0" applyNumberFormat="1" applyFont="1" applyAlignment="1">
      <alignment horizontal="center" vertical="center" shrinkToFit="1"/>
    </xf>
    <xf numFmtId="3" fontId="23" fillId="0" borderId="12" xfId="0" applyNumberFormat="1" applyFont="1" applyBorder="1" applyAlignment="1">
      <alignment horizontal="centerContinuous" vertical="center" shrinkToFit="1"/>
    </xf>
    <xf numFmtId="3" fontId="40" fillId="0" borderId="81" xfId="0" applyNumberFormat="1" applyFont="1" applyBorder="1" applyAlignment="1">
      <alignment horizontal="center" vertical="center" shrinkToFit="1"/>
    </xf>
    <xf numFmtId="0" fontId="15" fillId="0" borderId="0" xfId="0" applyFont="1" applyAlignment="1">
      <alignment vertical="center" shrinkToFit="1"/>
    </xf>
    <xf numFmtId="0" fontId="23" fillId="0" borderId="169" xfId="0" applyFont="1" applyBorder="1" applyAlignment="1">
      <alignment horizontal="center" vertical="center" wrapText="1"/>
    </xf>
    <xf numFmtId="0" fontId="17" fillId="0" borderId="169" xfId="0" applyFont="1" applyBorder="1" applyAlignment="1">
      <alignment horizontal="center" vertical="center"/>
    </xf>
    <xf numFmtId="0" fontId="17" fillId="0" borderId="13" xfId="0" applyFont="1" applyBorder="1" applyAlignment="1">
      <alignment horizontal="center" vertical="center"/>
    </xf>
    <xf numFmtId="0" fontId="15" fillId="2" borderId="13" xfId="0" applyFont="1" applyFill="1" applyBorder="1" applyAlignment="1">
      <alignment horizontal="center" vertical="center" shrinkToFit="1"/>
    </xf>
    <xf numFmtId="41" fontId="26" fillId="0" borderId="169" xfId="0" applyNumberFormat="1" applyFont="1" applyBorder="1">
      <alignment vertical="center"/>
    </xf>
    <xf numFmtId="41" fontId="26" fillId="0" borderId="169" xfId="0" applyNumberFormat="1" applyFont="1" applyBorder="1" applyAlignment="1">
      <alignment horizontal="right" vertical="center"/>
    </xf>
    <xf numFmtId="41" fontId="26" fillId="0" borderId="169" xfId="0" applyNumberFormat="1" applyFont="1" applyBorder="1" applyAlignment="1">
      <alignment horizontal="center" vertical="center" wrapText="1"/>
    </xf>
    <xf numFmtId="0" fontId="36" fillId="0" borderId="169" xfId="0" applyFont="1" applyBorder="1" applyAlignment="1">
      <alignment horizontal="center" vertical="center" wrapText="1"/>
    </xf>
    <xf numFmtId="0" fontId="36" fillId="5" borderId="169" xfId="0" applyFont="1" applyFill="1" applyBorder="1">
      <alignment vertical="center"/>
    </xf>
    <xf numFmtId="0" fontId="23" fillId="0" borderId="127" xfId="0" applyFont="1" applyBorder="1">
      <alignment vertical="center"/>
    </xf>
    <xf numFmtId="0" fontId="15" fillId="2" borderId="169" xfId="0" applyFont="1" applyFill="1" applyBorder="1">
      <alignment vertical="center"/>
    </xf>
    <xf numFmtId="0" fontId="29" fillId="0" borderId="0" xfId="0" applyFont="1" applyAlignment="1">
      <alignment horizontal="centerContinuous" vertical="center"/>
    </xf>
    <xf numFmtId="0" fontId="63" fillId="0" borderId="0" xfId="0" applyFont="1" applyAlignment="1">
      <alignment horizontal="centerContinuous" vertical="center"/>
    </xf>
    <xf numFmtId="0" fontId="94" fillId="0" borderId="0" xfId="0" applyFont="1" applyAlignment="1">
      <alignment horizontal="center" vertical="center"/>
    </xf>
    <xf numFmtId="0" fontId="17" fillId="0" borderId="0" xfId="0" applyFont="1" applyAlignment="1">
      <alignment horizontal="left" vertical="center"/>
    </xf>
    <xf numFmtId="0" fontId="15" fillId="0" borderId="0" xfId="0" applyFont="1" applyAlignment="1">
      <alignment horizontal="left" vertical="center"/>
    </xf>
    <xf numFmtId="0" fontId="30" fillId="0" borderId="0" xfId="0" applyFont="1" applyAlignment="1"/>
    <xf numFmtId="184" fontId="138" fillId="0" borderId="0" xfId="0" applyNumberFormat="1" applyFont="1">
      <alignment vertical="center"/>
    </xf>
    <xf numFmtId="184" fontId="15" fillId="0" borderId="169" xfId="0" applyNumberFormat="1" applyFont="1" applyBorder="1" applyAlignment="1">
      <alignment horizontal="center" vertical="center"/>
    </xf>
    <xf numFmtId="0" fontId="37" fillId="0" borderId="0" xfId="0" applyFont="1" applyAlignment="1"/>
    <xf numFmtId="0" fontId="96" fillId="0" borderId="0" xfId="0" applyFont="1" applyAlignment="1">
      <alignment horizontal="left" vertical="center"/>
    </xf>
    <xf numFmtId="0" fontId="96" fillId="0" borderId="0" xfId="0" applyFont="1" applyAlignment="1"/>
    <xf numFmtId="0" fontId="115" fillId="0" borderId="0" xfId="0" applyFont="1" applyAlignment="1">
      <alignment horizontal="left" vertical="center"/>
    </xf>
    <xf numFmtId="0" fontId="37" fillId="0" borderId="0" xfId="0" applyFont="1" applyAlignment="1">
      <alignment horizontal="right" vertical="center"/>
    </xf>
    <xf numFmtId="0" fontId="30" fillId="0" borderId="0" xfId="0" applyFont="1" applyAlignment="1">
      <alignment horizontal="justify"/>
    </xf>
    <xf numFmtId="10" fontId="138" fillId="0" borderId="0" xfId="0" applyNumberFormat="1" applyFont="1">
      <alignment vertical="center"/>
    </xf>
    <xf numFmtId="0" fontId="17" fillId="0" borderId="0" xfId="0" applyFont="1" applyAlignment="1">
      <alignment horizontal="left" vertical="center" indent="1"/>
    </xf>
    <xf numFmtId="180" fontId="96" fillId="0" borderId="0" xfId="0" applyNumberFormat="1" applyFont="1" applyAlignment="1">
      <alignment horizontal="center" vertical="center"/>
    </xf>
    <xf numFmtId="0" fontId="30" fillId="0" borderId="0" xfId="0" applyFont="1">
      <alignment vertical="center"/>
    </xf>
    <xf numFmtId="0" fontId="15" fillId="0" borderId="0" xfId="0" applyFont="1" applyAlignment="1">
      <alignment horizontal="left" vertical="center" indent="1"/>
    </xf>
    <xf numFmtId="4" fontId="37" fillId="0" borderId="35" xfId="0" applyNumberFormat="1" applyFont="1" applyBorder="1" applyAlignment="1">
      <alignment horizontal="left" vertical="center" indent="1"/>
    </xf>
    <xf numFmtId="0" fontId="37" fillId="0" borderId="0" xfId="0" applyFont="1" applyAlignment="1">
      <alignment horizontal="left" vertical="center"/>
    </xf>
    <xf numFmtId="0" fontId="37" fillId="0" borderId="71" xfId="0" applyFont="1" applyBorder="1" applyAlignment="1">
      <alignment horizontal="left" vertical="center"/>
    </xf>
    <xf numFmtId="0" fontId="37" fillId="2" borderId="35" xfId="0" applyFont="1" applyFill="1" applyBorder="1" applyAlignment="1">
      <alignment horizontal="left" vertical="center" indent="1"/>
    </xf>
    <xf numFmtId="0" fontId="15" fillId="2" borderId="102" xfId="0" applyFont="1" applyFill="1" applyBorder="1" applyAlignment="1">
      <alignment horizontal="left" vertical="center" indent="1"/>
    </xf>
    <xf numFmtId="0" fontId="15" fillId="0" borderId="24" xfId="0" applyFont="1" applyBorder="1" applyAlignment="1">
      <alignment horizontal="left" vertical="center"/>
    </xf>
    <xf numFmtId="0" fontId="15" fillId="0" borderId="69" xfId="0" applyFont="1" applyBorder="1" applyAlignment="1">
      <alignment horizontal="left" vertical="center"/>
    </xf>
    <xf numFmtId="0" fontId="138" fillId="0" borderId="0" xfId="0" applyFont="1" applyAlignment="1"/>
    <xf numFmtId="184" fontId="17" fillId="0" borderId="169" xfId="0" applyNumberFormat="1" applyFont="1" applyBorder="1" applyAlignment="1">
      <alignment horizontal="center" vertical="center"/>
    </xf>
    <xf numFmtId="184" fontId="15" fillId="0" borderId="27" xfId="0" applyNumberFormat="1" applyFont="1" applyBorder="1" applyAlignment="1">
      <alignment horizontal="center" vertical="center"/>
    </xf>
    <xf numFmtId="0" fontId="37" fillId="0" borderId="0" xfId="0" applyFont="1" applyAlignment="1">
      <alignment horizontal="left" vertical="center" indent="1"/>
    </xf>
    <xf numFmtId="3" fontId="15" fillId="0" borderId="0" xfId="0" applyNumberFormat="1" applyFont="1" applyAlignment="1"/>
    <xf numFmtId="3" fontId="93" fillId="0" borderId="0" xfId="0" applyNumberFormat="1" applyFont="1" applyAlignment="1"/>
    <xf numFmtId="0" fontId="122" fillId="3" borderId="164" xfId="0" applyFont="1" applyFill="1" applyBorder="1" applyAlignment="1">
      <alignment horizontal="center" vertical="center" wrapText="1"/>
    </xf>
    <xf numFmtId="0" fontId="15" fillId="0" borderId="124" xfId="0" applyFont="1" applyBorder="1">
      <alignment vertical="center"/>
    </xf>
    <xf numFmtId="10" fontId="15" fillId="0" borderId="169" xfId="0" applyNumberFormat="1" applyFont="1" applyBorder="1">
      <alignment vertical="center"/>
    </xf>
    <xf numFmtId="3" fontId="17" fillId="5" borderId="169" xfId="0" applyNumberFormat="1" applyFont="1" applyFill="1" applyBorder="1">
      <alignment vertical="center"/>
    </xf>
    <xf numFmtId="0" fontId="15" fillId="7" borderId="124" xfId="0" applyFont="1" applyFill="1" applyBorder="1">
      <alignment vertical="center"/>
    </xf>
    <xf numFmtId="3" fontId="15" fillId="0" borderId="169" xfId="0" applyNumberFormat="1" applyFont="1" applyBorder="1" applyAlignment="1">
      <alignment horizontal="center" vertical="center"/>
    </xf>
    <xf numFmtId="3" fontId="17" fillId="0" borderId="124" xfId="0" applyNumberFormat="1" applyFont="1" applyBorder="1">
      <alignment vertical="center"/>
    </xf>
    <xf numFmtId="180" fontId="15" fillId="0" borderId="169" xfId="0" applyNumberFormat="1" applyFont="1" applyBorder="1">
      <alignment vertical="center"/>
    </xf>
    <xf numFmtId="3" fontId="20" fillId="0" borderId="0" xfId="0" applyNumberFormat="1" applyFont="1">
      <alignment vertical="center"/>
    </xf>
    <xf numFmtId="42" fontId="32" fillId="2" borderId="69" xfId="0" applyNumberFormat="1" applyFont="1" applyFill="1" applyBorder="1">
      <alignment vertical="center"/>
    </xf>
    <xf numFmtId="0" fontId="32" fillId="4" borderId="0" xfId="0" applyFont="1" applyFill="1">
      <alignment vertical="center"/>
    </xf>
    <xf numFmtId="0" fontId="32" fillId="4" borderId="72" xfId="0" applyFont="1" applyFill="1" applyBorder="1">
      <alignment vertical="center"/>
    </xf>
    <xf numFmtId="0" fontId="32" fillId="4" borderId="24" xfId="0" applyFont="1" applyFill="1" applyBorder="1">
      <alignment vertical="center"/>
    </xf>
    <xf numFmtId="0" fontId="40" fillId="4" borderId="24" xfId="0" applyFont="1" applyFill="1" applyBorder="1">
      <alignment vertical="center"/>
    </xf>
    <xf numFmtId="190" fontId="23" fillId="0" borderId="89" xfId="0" applyNumberFormat="1" applyFont="1" applyBorder="1">
      <alignment vertical="center"/>
    </xf>
    <xf numFmtId="0" fontId="23" fillId="0" borderId="134" xfId="0" applyFont="1" applyBorder="1" applyAlignment="1">
      <alignment vertical="center" shrinkToFit="1"/>
    </xf>
    <xf numFmtId="0" fontId="23" fillId="0" borderId="134" xfId="0" applyFont="1" applyBorder="1" applyAlignment="1">
      <alignment horizontal="center" vertical="center"/>
    </xf>
    <xf numFmtId="41" fontId="23" fillId="0" borderId="136" xfId="0" applyNumberFormat="1" applyFont="1" applyBorder="1">
      <alignment vertical="center"/>
    </xf>
    <xf numFmtId="190" fontId="23" fillId="0" borderId="136" xfId="0" applyNumberFormat="1" applyFont="1" applyBorder="1">
      <alignment vertical="center"/>
    </xf>
    <xf numFmtId="41" fontId="23" fillId="0" borderId="29" xfId="0" applyNumberFormat="1" applyFont="1" applyBorder="1" applyAlignment="1">
      <alignment horizontal="center" vertical="center"/>
    </xf>
    <xf numFmtId="3" fontId="15" fillId="0" borderId="0" xfId="0" applyNumberFormat="1" applyFont="1">
      <alignment vertical="center"/>
    </xf>
    <xf numFmtId="0" fontId="23" fillId="13" borderId="0" xfId="0" applyFont="1" applyFill="1">
      <alignment vertical="center"/>
    </xf>
    <xf numFmtId="41" fontId="26" fillId="0" borderId="13" xfId="0" applyNumberFormat="1" applyFont="1" applyBorder="1" applyAlignment="1">
      <alignment vertical="center" shrinkToFit="1"/>
    </xf>
    <xf numFmtId="41" fontId="12" fillId="0" borderId="0" xfId="0" applyNumberFormat="1" applyFont="1">
      <alignment vertical="center"/>
    </xf>
    <xf numFmtId="41" fontId="26" fillId="0" borderId="169" xfId="0" applyNumberFormat="1" applyFont="1" applyBorder="1" applyAlignment="1">
      <alignment horizontal="center" vertical="center"/>
    </xf>
    <xf numFmtId="41" fontId="107" fillId="0" borderId="0" xfId="0" applyNumberFormat="1" applyFont="1">
      <alignment vertical="center"/>
    </xf>
    <xf numFmtId="3" fontId="23" fillId="0" borderId="29" xfId="0" applyNumberFormat="1" applyFont="1" applyBorder="1" applyAlignment="1">
      <alignment horizontal="center" vertical="center" shrinkToFit="1"/>
    </xf>
    <xf numFmtId="3" fontId="23" fillId="0" borderId="33" xfId="0" applyNumberFormat="1" applyFont="1" applyBorder="1" applyAlignment="1">
      <alignment horizontal="center" vertical="center" shrinkToFit="1"/>
    </xf>
    <xf numFmtId="3" fontId="23" fillId="0" borderId="94" xfId="0" applyNumberFormat="1" applyFont="1" applyBorder="1" applyAlignment="1">
      <alignment horizontal="center" vertical="center" shrinkToFit="1"/>
    </xf>
    <xf numFmtId="3" fontId="23" fillId="0" borderId="80" xfId="0" applyNumberFormat="1" applyFont="1" applyBorder="1" applyAlignment="1">
      <alignment horizontal="center" vertical="center" shrinkToFit="1"/>
    </xf>
    <xf numFmtId="0" fontId="65" fillId="0" borderId="33" xfId="0" applyFont="1" applyBorder="1" applyAlignment="1">
      <alignment shrinkToFit="1"/>
    </xf>
    <xf numFmtId="0" fontId="117" fillId="0" borderId="198" xfId="0" applyFont="1" applyBorder="1">
      <alignment vertical="center"/>
    </xf>
    <xf numFmtId="0" fontId="32" fillId="2" borderId="199" xfId="0" applyFont="1" applyFill="1" applyBorder="1">
      <alignment vertical="center"/>
    </xf>
    <xf numFmtId="0" fontId="32" fillId="2" borderId="200" xfId="0" applyFont="1" applyFill="1" applyBorder="1" applyAlignment="1">
      <alignment horizontal="left" vertical="center"/>
    </xf>
    <xf numFmtId="0" fontId="47" fillId="15" borderId="124" xfId="0" applyFont="1" applyFill="1" applyBorder="1" applyAlignment="1">
      <alignment horizontal="right" vertical="center" shrinkToFit="1"/>
    </xf>
    <xf numFmtId="0" fontId="15" fillId="15" borderId="169" xfId="0" applyFont="1" applyFill="1" applyBorder="1" applyAlignment="1">
      <alignment horizontal="left" vertical="center" shrinkToFit="1"/>
    </xf>
    <xf numFmtId="0" fontId="15" fillId="15" borderId="169" xfId="0" applyFont="1" applyFill="1" applyBorder="1" applyAlignment="1">
      <alignment horizontal="center" vertical="center" shrinkToFit="1"/>
    </xf>
    <xf numFmtId="0" fontId="15" fillId="15" borderId="169" xfId="0" applyFont="1" applyFill="1" applyBorder="1" applyAlignment="1">
      <alignment horizontal="right" vertical="center" shrinkToFit="1"/>
    </xf>
    <xf numFmtId="9" fontId="15" fillId="15" borderId="169" xfId="0" applyNumberFormat="1" applyFont="1" applyFill="1" applyBorder="1">
      <alignment vertical="center"/>
    </xf>
    <xf numFmtId="177" fontId="15" fillId="15" borderId="169" xfId="0" applyNumberFormat="1" applyFont="1" applyFill="1" applyBorder="1">
      <alignment vertical="center"/>
    </xf>
    <xf numFmtId="0" fontId="15" fillId="15" borderId="0" xfId="0" applyFont="1" applyFill="1">
      <alignment vertical="center"/>
    </xf>
    <xf numFmtId="176" fontId="15" fillId="15" borderId="0" xfId="0" applyNumberFormat="1" applyFont="1" applyFill="1">
      <alignment vertical="center"/>
    </xf>
    <xf numFmtId="0" fontId="16" fillId="2" borderId="169" xfId="0" applyFont="1" applyFill="1" applyBorder="1" applyAlignment="1">
      <alignment horizontal="left" vertical="center"/>
    </xf>
    <xf numFmtId="0" fontId="16" fillId="2" borderId="169" xfId="0" applyFont="1" applyFill="1" applyBorder="1" applyAlignment="1">
      <alignment horizontal="center" vertical="center"/>
    </xf>
    <xf numFmtId="0" fontId="17" fillId="2" borderId="169" xfId="0" applyFont="1" applyFill="1" applyBorder="1" applyAlignment="1">
      <alignment horizontal="left" vertical="center"/>
    </xf>
    <xf numFmtId="41" fontId="26" fillId="0" borderId="169" xfId="0" applyNumberFormat="1" applyFont="1" applyBorder="1" applyAlignment="1">
      <alignment horizontal="center" vertical="center" shrinkToFit="1"/>
    </xf>
    <xf numFmtId="0" fontId="32" fillId="0" borderId="0" xfId="0" applyFont="1">
      <alignment vertical="center"/>
    </xf>
    <xf numFmtId="180" fontId="23" fillId="0" borderId="169" xfId="0" applyNumberFormat="1" applyFont="1" applyBorder="1" applyAlignment="1">
      <alignment horizontal="right" vertical="center"/>
    </xf>
    <xf numFmtId="0" fontId="141" fillId="2" borderId="0" xfId="0" applyFont="1" applyFill="1">
      <alignment vertical="center"/>
    </xf>
    <xf numFmtId="180" fontId="96" fillId="0" borderId="0" xfId="0" applyNumberFormat="1" applyFont="1">
      <alignment vertical="center"/>
    </xf>
    <xf numFmtId="41" fontId="26" fillId="0" borderId="169" xfId="0" applyNumberFormat="1" applyFont="1" applyBorder="1" applyAlignment="1">
      <alignment vertical="center" wrapText="1"/>
    </xf>
    <xf numFmtId="41" fontId="26" fillId="0" borderId="165" xfId="0" applyNumberFormat="1" applyFont="1" applyBorder="1" applyAlignment="1">
      <alignment horizontal="left" vertical="center" shrinkToFit="1"/>
    </xf>
    <xf numFmtId="0" fontId="23" fillId="0" borderId="200" xfId="0" applyFont="1" applyBorder="1">
      <alignment vertical="center"/>
    </xf>
    <xf numFmtId="0" fontId="23" fillId="0" borderId="200" xfId="0" applyFont="1" applyBorder="1" applyAlignment="1">
      <alignment horizontal="center" vertical="center"/>
    </xf>
    <xf numFmtId="0" fontId="23" fillId="0" borderId="201" xfId="0" applyFont="1" applyBorder="1" applyAlignment="1">
      <alignment vertical="center" shrinkToFit="1"/>
    </xf>
    <xf numFmtId="0" fontId="23" fillId="0" borderId="201" xfId="0" applyFont="1" applyBorder="1" applyAlignment="1">
      <alignment horizontal="center" vertical="center"/>
    </xf>
    <xf numFmtId="0" fontId="23" fillId="0" borderId="200" xfId="0" applyFont="1" applyBorder="1" applyAlignment="1">
      <alignment vertical="center" shrinkToFit="1"/>
    </xf>
    <xf numFmtId="0" fontId="30" fillId="3" borderId="120" xfId="0" applyFont="1" applyFill="1" applyBorder="1" applyAlignment="1">
      <alignment horizontal="center" vertical="center"/>
    </xf>
    <xf numFmtId="184" fontId="15" fillId="5" borderId="197" xfId="0" applyNumberFormat="1" applyFont="1" applyFill="1" applyBorder="1" applyAlignment="1">
      <alignment horizontal="center" vertical="center"/>
    </xf>
    <xf numFmtId="3" fontId="36" fillId="0" borderId="10" xfId="0" applyNumberFormat="1" applyFont="1" applyBorder="1" applyAlignment="1">
      <alignment horizontal="center" vertical="center"/>
    </xf>
    <xf numFmtId="41" fontId="26" fillId="17" borderId="169" xfId="0" applyNumberFormat="1" applyFont="1" applyFill="1" applyBorder="1" applyAlignment="1">
      <alignment horizontal="center" vertical="center" wrapText="1"/>
    </xf>
    <xf numFmtId="0" fontId="23" fillId="0" borderId="13" xfId="0" applyFont="1" applyBorder="1">
      <alignment vertical="center"/>
    </xf>
    <xf numFmtId="0" fontId="23" fillId="0" borderId="198" xfId="0" applyFont="1" applyBorder="1">
      <alignment vertical="center"/>
    </xf>
    <xf numFmtId="0" fontId="15" fillId="0" borderId="0" xfId="0" applyFont="1" applyAlignment="1">
      <alignment horizontal="right" vertical="center"/>
    </xf>
    <xf numFmtId="0" fontId="138" fillId="0" borderId="124" xfId="0" applyFont="1" applyBorder="1" applyAlignment="1">
      <alignment horizontal="left" vertical="center"/>
    </xf>
    <xf numFmtId="0" fontId="143" fillId="0" borderId="12" xfId="0" applyFont="1" applyBorder="1">
      <alignment vertical="center"/>
    </xf>
    <xf numFmtId="0" fontId="24" fillId="0" borderId="0" xfId="0" applyFont="1" applyAlignment="1">
      <alignment horizontal="center" vertical="center"/>
    </xf>
    <xf numFmtId="0" fontId="24" fillId="0" borderId="0" xfId="0" applyFont="1">
      <alignment vertical="center"/>
    </xf>
    <xf numFmtId="180" fontId="15" fillId="0" borderId="0" xfId="0" applyNumberFormat="1" applyFont="1" applyAlignment="1"/>
    <xf numFmtId="43" fontId="31" fillId="0" borderId="22" xfId="0" applyNumberFormat="1" applyFont="1" applyBorder="1">
      <alignment vertical="center"/>
    </xf>
    <xf numFmtId="3" fontId="36" fillId="0" borderId="3" xfId="0" applyNumberFormat="1" applyFont="1" applyBorder="1" applyAlignment="1">
      <alignment horizontal="center" vertical="center"/>
    </xf>
    <xf numFmtId="3" fontId="23" fillId="0" borderId="36" xfId="0" applyNumberFormat="1" applyFont="1" applyBorder="1" applyAlignment="1">
      <alignment horizontal="center" vertical="center" shrinkToFit="1"/>
    </xf>
    <xf numFmtId="0" fontId="65" fillId="0" borderId="66" xfId="0" applyFont="1" applyBorder="1" applyAlignment="1">
      <alignment shrinkToFit="1"/>
    </xf>
    <xf numFmtId="0" fontId="70" fillId="0" borderId="127" xfId="0" applyFont="1" applyBorder="1">
      <alignment vertical="center"/>
    </xf>
    <xf numFmtId="0" fontId="117" fillId="13" borderId="124" xfId="0" applyFont="1" applyFill="1" applyBorder="1" applyAlignment="1">
      <alignment horizontal="center" vertical="center"/>
    </xf>
    <xf numFmtId="0" fontId="23" fillId="13" borderId="124" xfId="0" applyFont="1" applyFill="1" applyBorder="1" applyAlignment="1">
      <alignment horizontal="right" vertical="center"/>
    </xf>
    <xf numFmtId="0" fontId="32" fillId="2" borderId="201" xfId="0" applyFont="1" applyFill="1" applyBorder="1">
      <alignment vertical="center"/>
    </xf>
    <xf numFmtId="0" fontId="32" fillId="2" borderId="200" xfId="0" applyFont="1" applyFill="1" applyBorder="1" applyAlignment="1">
      <alignment horizontal="center" vertical="center"/>
    </xf>
    <xf numFmtId="0" fontId="29" fillId="0" borderId="0" xfId="0" applyFont="1">
      <alignment vertical="center"/>
    </xf>
    <xf numFmtId="0" fontId="25" fillId="2" borderId="18" xfId="0" applyFont="1" applyFill="1" applyBorder="1" applyAlignment="1">
      <alignment horizontal="left" vertical="center"/>
    </xf>
    <xf numFmtId="3" fontId="23" fillId="0" borderId="34" xfId="0" applyNumberFormat="1" applyFont="1" applyBorder="1" applyAlignment="1">
      <alignment horizontal="center" vertical="center"/>
    </xf>
    <xf numFmtId="3" fontId="36" fillId="0" borderId="174" xfId="0" applyNumberFormat="1" applyFont="1" applyBorder="1" applyAlignment="1">
      <alignment horizontal="center" vertical="center"/>
    </xf>
    <xf numFmtId="3" fontId="23" fillId="0" borderId="31" xfId="0" applyNumberFormat="1" applyFont="1" applyBorder="1" applyAlignment="1">
      <alignment horizontal="center" vertical="center" shrinkToFit="1"/>
    </xf>
    <xf numFmtId="0" fontId="65" fillId="0" borderId="34" xfId="0" applyFont="1" applyBorder="1" applyAlignment="1">
      <alignment shrinkToFit="1"/>
    </xf>
    <xf numFmtId="0" fontId="143" fillId="0" borderId="13" xfId="0" applyFont="1" applyBorder="1" applyAlignment="1">
      <alignment vertical="center" shrinkToFit="1"/>
    </xf>
    <xf numFmtId="41" fontId="23" fillId="0" borderId="31" xfId="0" applyNumberFormat="1" applyFont="1" applyBorder="1" applyAlignment="1">
      <alignment horizontal="center" vertical="center"/>
    </xf>
    <xf numFmtId="41" fontId="23" fillId="0" borderId="27" xfId="0" applyNumberFormat="1" applyFont="1" applyBorder="1" applyAlignment="1">
      <alignment horizontal="center" vertical="center"/>
    </xf>
    <xf numFmtId="41" fontId="23" fillId="0" borderId="36" xfId="0" applyNumberFormat="1" applyFont="1" applyBorder="1" applyAlignment="1">
      <alignment horizontal="center" vertical="center"/>
    </xf>
    <xf numFmtId="41" fontId="23" fillId="0" borderId="207" xfId="0" applyNumberFormat="1" applyFont="1" applyBorder="1" applyAlignment="1">
      <alignment horizontal="center" vertical="center" wrapText="1"/>
    </xf>
    <xf numFmtId="41" fontId="23" fillId="0" borderId="173" xfId="0" applyNumberFormat="1" applyFont="1" applyBorder="1" applyAlignment="1">
      <alignment horizontal="center" vertical="center" wrapText="1"/>
    </xf>
    <xf numFmtId="41" fontId="23" fillId="0" borderId="208" xfId="0" applyNumberFormat="1" applyFont="1" applyBorder="1" applyAlignment="1">
      <alignment horizontal="center" vertical="center" wrapText="1"/>
    </xf>
    <xf numFmtId="41" fontId="23" fillId="0" borderId="115" xfId="0" applyNumberFormat="1" applyFont="1" applyBorder="1" applyAlignment="1">
      <alignment horizontal="center" vertical="center" wrapText="1"/>
    </xf>
    <xf numFmtId="41" fontId="23" fillId="0" borderId="114" xfId="0" applyNumberFormat="1" applyFont="1" applyBorder="1" applyAlignment="1">
      <alignment horizontal="center" vertical="center" wrapText="1"/>
    </xf>
    <xf numFmtId="3" fontId="23" fillId="13" borderId="10" xfId="0" applyNumberFormat="1" applyFont="1" applyFill="1" applyBorder="1" applyAlignment="1">
      <alignment horizontal="center" vertical="center" wrapText="1"/>
    </xf>
    <xf numFmtId="3" fontId="23" fillId="13" borderId="10" xfId="0" applyNumberFormat="1" applyFont="1" applyFill="1" applyBorder="1" applyAlignment="1">
      <alignment horizontal="center" vertical="center" shrinkToFit="1"/>
    </xf>
    <xf numFmtId="41" fontId="23" fillId="13" borderId="10" xfId="0" applyNumberFormat="1" applyFont="1" applyFill="1" applyBorder="1" applyAlignment="1">
      <alignment horizontal="center" vertical="center" shrinkToFit="1"/>
    </xf>
    <xf numFmtId="3" fontId="23" fillId="13" borderId="12" xfId="0" applyNumberFormat="1" applyFont="1" applyFill="1" applyBorder="1" applyAlignment="1">
      <alignment horizontal="center" vertical="center" shrinkToFit="1"/>
    </xf>
    <xf numFmtId="41" fontId="23" fillId="13" borderId="12" xfId="0" applyNumberFormat="1" applyFont="1" applyFill="1" applyBorder="1" applyAlignment="1">
      <alignment horizontal="center" vertical="center" shrinkToFit="1"/>
    </xf>
    <xf numFmtId="3" fontId="23" fillId="13" borderId="174" xfId="0" applyNumberFormat="1" applyFont="1" applyFill="1" applyBorder="1" applyAlignment="1">
      <alignment horizontal="center" vertical="center" wrapText="1"/>
    </xf>
    <xf numFmtId="3" fontId="23" fillId="13" borderId="174" xfId="0" applyNumberFormat="1" applyFont="1" applyFill="1" applyBorder="1" applyAlignment="1">
      <alignment horizontal="center" vertical="center" shrinkToFit="1"/>
    </xf>
    <xf numFmtId="41" fontId="23" fillId="13" borderId="174" xfId="0" applyNumberFormat="1" applyFont="1" applyFill="1" applyBorder="1" applyAlignment="1">
      <alignment horizontal="center" vertical="center" shrinkToFit="1"/>
    </xf>
    <xf numFmtId="41" fontId="23" fillId="13" borderId="10" xfId="0" applyNumberFormat="1" applyFont="1" applyFill="1" applyBorder="1" applyAlignment="1">
      <alignment horizontal="center" vertical="center"/>
    </xf>
    <xf numFmtId="3" fontId="15" fillId="13" borderId="0" xfId="0" applyNumberFormat="1" applyFont="1" applyFill="1" applyAlignment="1">
      <alignment horizontal="center" vertical="center"/>
    </xf>
    <xf numFmtId="3" fontId="23" fillId="13" borderId="10" xfId="0" applyNumberFormat="1" applyFont="1" applyFill="1" applyBorder="1" applyAlignment="1">
      <alignment horizontal="center" vertical="center"/>
    </xf>
    <xf numFmtId="3" fontId="23" fillId="13" borderId="12" xfId="0" applyNumberFormat="1" applyFont="1" applyFill="1" applyBorder="1" applyAlignment="1">
      <alignment horizontal="center" vertical="center"/>
    </xf>
    <xf numFmtId="0" fontId="17" fillId="13" borderId="55" xfId="0" applyFont="1" applyFill="1" applyBorder="1" applyAlignment="1">
      <alignment horizontal="center" vertical="center"/>
    </xf>
    <xf numFmtId="41" fontId="23" fillId="13" borderId="12" xfId="0" applyNumberFormat="1" applyFont="1" applyFill="1" applyBorder="1" applyAlignment="1">
      <alignment horizontal="center" vertical="center"/>
    </xf>
    <xf numFmtId="0" fontId="36" fillId="13" borderId="33" xfId="0" applyFont="1" applyFill="1" applyBorder="1" applyAlignment="1">
      <alignment horizontal="center" vertical="center"/>
    </xf>
    <xf numFmtId="3" fontId="23" fillId="13" borderId="12" xfId="0" quotePrefix="1" applyNumberFormat="1" applyFont="1" applyFill="1" applyBorder="1" applyAlignment="1">
      <alignment horizontal="center" vertical="center" shrinkToFit="1"/>
    </xf>
    <xf numFmtId="3" fontId="23" fillId="13" borderId="174" xfId="0" applyNumberFormat="1" applyFont="1" applyFill="1" applyBorder="1" applyAlignment="1">
      <alignment horizontal="center" vertical="center"/>
    </xf>
    <xf numFmtId="41" fontId="23" fillId="13" borderId="174" xfId="0" applyNumberFormat="1" applyFont="1" applyFill="1" applyBorder="1" applyAlignment="1">
      <alignment horizontal="center" vertical="center"/>
    </xf>
    <xf numFmtId="0" fontId="70" fillId="0" borderId="200" xfId="0" applyFont="1" applyBorder="1">
      <alignment vertical="center"/>
    </xf>
    <xf numFmtId="0" fontId="70" fillId="0" borderId="198" xfId="0" applyFont="1" applyBorder="1">
      <alignment vertical="center"/>
    </xf>
    <xf numFmtId="0" fontId="70" fillId="0" borderId="201" xfId="0" applyFont="1" applyBorder="1">
      <alignment vertical="center"/>
    </xf>
    <xf numFmtId="0" fontId="70" fillId="0" borderId="134" xfId="0" applyFont="1" applyBorder="1">
      <alignment vertical="center"/>
    </xf>
    <xf numFmtId="0" fontId="117" fillId="0" borderId="13" xfId="0" applyFont="1" applyBorder="1" applyAlignment="1">
      <alignment vertical="center" shrinkToFit="1"/>
    </xf>
    <xf numFmtId="0" fontId="117" fillId="0" borderId="176" xfId="0" applyFont="1" applyBorder="1" applyAlignment="1">
      <alignment vertical="center" shrinkToFit="1"/>
    </xf>
    <xf numFmtId="41" fontId="140" fillId="0" borderId="173" xfId="0" applyNumberFormat="1" applyFont="1" applyBorder="1" applyAlignment="1">
      <alignment horizontal="center" vertical="center" wrapText="1"/>
    </xf>
    <xf numFmtId="0" fontId="17" fillId="0" borderId="29" xfId="0" applyFont="1" applyBorder="1" applyAlignment="1">
      <alignment horizontal="center" vertical="center"/>
    </xf>
    <xf numFmtId="0" fontId="15" fillId="0" borderId="29" xfId="0" applyFont="1" applyBorder="1" applyAlignment="1">
      <alignment horizontal="center" vertical="center"/>
    </xf>
    <xf numFmtId="0" fontId="30" fillId="0" borderId="124" xfId="0" applyFont="1" applyBorder="1" applyAlignment="1">
      <alignment horizontal="center" vertical="center"/>
    </xf>
    <xf numFmtId="191" fontId="30" fillId="0" borderId="124" xfId="0" applyNumberFormat="1" applyFont="1" applyBorder="1" applyAlignment="1">
      <alignment horizontal="center" vertical="center"/>
    </xf>
    <xf numFmtId="0" fontId="17" fillId="0" borderId="33" xfId="0" applyFont="1" applyBorder="1" applyAlignment="1">
      <alignment horizontal="center" vertical="center"/>
    </xf>
    <xf numFmtId="177" fontId="15" fillId="0" borderId="33" xfId="0" applyNumberFormat="1" applyFont="1" applyBorder="1" applyAlignment="1">
      <alignment horizontal="right" vertical="center"/>
    </xf>
    <xf numFmtId="3" fontId="17" fillId="0" borderId="9" xfId="0" applyNumberFormat="1" applyFont="1" applyBorder="1" applyAlignment="1">
      <alignment horizontal="center" vertical="center"/>
    </xf>
    <xf numFmtId="3" fontId="17" fillId="3" borderId="41" xfId="0" applyNumberFormat="1" applyFont="1" applyFill="1" applyBorder="1" applyAlignment="1">
      <alignment horizontal="center" vertical="center" wrapText="1"/>
    </xf>
    <xf numFmtId="0" fontId="32" fillId="2" borderId="24" xfId="0" quotePrefix="1" applyFont="1" applyFill="1" applyBorder="1" applyAlignment="1">
      <alignment horizontal="left" vertical="center"/>
    </xf>
    <xf numFmtId="184" fontId="31" fillId="0" borderId="150" xfId="0" applyNumberFormat="1" applyFont="1" applyBorder="1">
      <alignment vertical="center"/>
    </xf>
    <xf numFmtId="9" fontId="31" fillId="0" borderId="150" xfId="0" applyNumberFormat="1" applyFont="1" applyBorder="1">
      <alignment vertical="center"/>
    </xf>
    <xf numFmtId="180" fontId="31" fillId="0" borderId="150" xfId="0" applyNumberFormat="1" applyFont="1" applyBorder="1">
      <alignment vertical="center"/>
    </xf>
    <xf numFmtId="10" fontId="31" fillId="0" borderId="150" xfId="0" applyNumberFormat="1" applyFont="1" applyBorder="1">
      <alignment vertical="center"/>
    </xf>
    <xf numFmtId="0" fontId="118" fillId="0" borderId="126" xfId="0" applyFont="1" applyBorder="1">
      <alignment vertical="center"/>
    </xf>
    <xf numFmtId="3" fontId="117" fillId="0" borderId="124" xfId="0" applyNumberFormat="1" applyFont="1" applyBorder="1" applyAlignment="1">
      <alignment horizontal="center" vertical="center" wrapText="1"/>
    </xf>
    <xf numFmtId="0" fontId="145" fillId="4" borderId="0" xfId="0" applyFont="1" applyFill="1">
      <alignment vertical="center"/>
    </xf>
    <xf numFmtId="0" fontId="23" fillId="0" borderId="14" xfId="0" applyFont="1" applyBorder="1" applyAlignment="1">
      <alignment horizontal="center" vertical="center"/>
    </xf>
    <xf numFmtId="0" fontId="142" fillId="0" borderId="0" xfId="0" applyFont="1" applyAlignment="1">
      <alignment horizontal="left" vertical="center"/>
    </xf>
    <xf numFmtId="0" fontId="15" fillId="0" borderId="222" xfId="0" applyFont="1" applyBorder="1" applyAlignment="1">
      <alignment horizontal="center" vertical="center"/>
    </xf>
    <xf numFmtId="10" fontId="96" fillId="0" borderId="0" xfId="0" applyNumberFormat="1" applyFont="1" applyAlignment="1">
      <alignment horizontal="right" vertical="center"/>
    </xf>
    <xf numFmtId="0" fontId="15" fillId="3" borderId="220" xfId="0" applyFont="1" applyFill="1" applyBorder="1" applyAlignment="1">
      <alignment horizontal="center" vertical="center"/>
    </xf>
    <xf numFmtId="0" fontId="17" fillId="3" borderId="220" xfId="0" applyFont="1" applyFill="1" applyBorder="1" applyAlignment="1">
      <alignment horizontal="center" vertical="center"/>
    </xf>
    <xf numFmtId="0" fontId="36" fillId="13" borderId="14" xfId="0" applyFont="1" applyFill="1" applyBorder="1" applyAlignment="1">
      <alignment horizontal="center" vertical="center"/>
    </xf>
    <xf numFmtId="3" fontId="23" fillId="13" borderId="12" xfId="0" applyNumberFormat="1" applyFont="1" applyFill="1" applyBorder="1" applyAlignment="1">
      <alignment horizontal="center" vertical="center" wrapText="1"/>
    </xf>
    <xf numFmtId="0" fontId="36" fillId="13" borderId="174" xfId="0" applyFont="1" applyFill="1" applyBorder="1" applyAlignment="1">
      <alignment horizontal="center" vertical="center"/>
    </xf>
    <xf numFmtId="0" fontId="23" fillId="0" borderId="129" xfId="0" applyFont="1" applyBorder="1" applyAlignment="1">
      <alignment horizontal="center" vertical="center"/>
    </xf>
    <xf numFmtId="0" fontId="23" fillId="0" borderId="66" xfId="0" applyFont="1" applyBorder="1" applyAlignment="1">
      <alignment horizontal="center" vertical="center"/>
    </xf>
    <xf numFmtId="41" fontId="23" fillId="0" borderId="13" xfId="0" applyNumberFormat="1" applyFont="1" applyBorder="1" applyAlignment="1">
      <alignment horizontal="center" vertical="center"/>
    </xf>
    <xf numFmtId="0" fontId="146" fillId="0" borderId="0" xfId="0" applyFont="1" applyAlignment="1">
      <alignment horizontal="right" vertical="center"/>
    </xf>
    <xf numFmtId="0" fontId="23" fillId="0" borderId="55" xfId="0" applyFont="1" applyBorder="1" applyAlignment="1">
      <alignment horizontal="center" vertical="center" wrapText="1"/>
    </xf>
    <xf numFmtId="0" fontId="17" fillId="0" borderId="55" xfId="0" applyFont="1" applyBorder="1" applyAlignment="1">
      <alignment horizontal="center" vertical="center"/>
    </xf>
    <xf numFmtId="37" fontId="32" fillId="3" borderId="133" xfId="0" applyNumberFormat="1" applyFont="1" applyFill="1" applyBorder="1" applyAlignment="1">
      <alignment horizontal="center" vertical="center"/>
    </xf>
    <xf numFmtId="41" fontId="130" fillId="2" borderId="0" xfId="0" applyNumberFormat="1" applyFont="1" applyFill="1">
      <alignment vertical="center"/>
    </xf>
    <xf numFmtId="185" fontId="130" fillId="2" borderId="0" xfId="0" applyNumberFormat="1" applyFont="1" applyFill="1">
      <alignment vertical="center"/>
    </xf>
    <xf numFmtId="3" fontId="23" fillId="0" borderId="129" xfId="0" applyNumberFormat="1" applyFont="1" applyBorder="1" applyAlignment="1">
      <alignment horizontal="center" vertical="center" shrinkToFit="1"/>
    </xf>
    <xf numFmtId="0" fontId="15" fillId="0" borderId="173" xfId="0" applyFont="1" applyBorder="1">
      <alignment vertical="center"/>
    </xf>
    <xf numFmtId="3" fontId="36" fillId="0" borderId="97" xfId="0" applyNumberFormat="1" applyFont="1" applyBorder="1" applyAlignment="1">
      <alignment horizontal="center" vertical="center"/>
    </xf>
    <xf numFmtId="3" fontId="36" fillId="0" borderId="98" xfId="0" applyNumberFormat="1" applyFont="1" applyBorder="1" applyAlignment="1">
      <alignment horizontal="center" vertical="center"/>
    </xf>
    <xf numFmtId="0" fontId="26" fillId="3" borderId="12" xfId="0" applyFont="1" applyFill="1" applyBorder="1" applyAlignment="1">
      <alignment horizontal="center" vertical="center"/>
    </xf>
    <xf numFmtId="0" fontId="0" fillId="0" borderId="106" xfId="0" applyBorder="1">
      <alignment vertical="center"/>
    </xf>
    <xf numFmtId="0" fontId="0" fillId="0" borderId="104" xfId="0" applyBorder="1">
      <alignment vertical="center"/>
    </xf>
    <xf numFmtId="0" fontId="0" fillId="0" borderId="107" xfId="0" applyBorder="1">
      <alignment vertical="center"/>
    </xf>
    <xf numFmtId="0" fontId="0" fillId="0" borderId="73" xfId="0" applyBorder="1" applyAlignment="1">
      <alignment horizontal="centerContinuous" vertical="center"/>
    </xf>
    <xf numFmtId="0" fontId="0" fillId="0" borderId="74" xfId="0" applyBorder="1" applyAlignment="1">
      <alignment horizontal="centerContinuous" vertical="center"/>
    </xf>
    <xf numFmtId="0" fontId="0" fillId="0" borderId="79" xfId="0" applyBorder="1" applyAlignment="1">
      <alignment horizontal="centerContinuous" vertical="center"/>
    </xf>
    <xf numFmtId="0" fontId="147" fillId="0" borderId="73" xfId="0" applyFont="1" applyBorder="1" applyAlignment="1">
      <alignment horizontal="centerContinuous" vertical="center"/>
    </xf>
    <xf numFmtId="41" fontId="23" fillId="0" borderId="165" xfId="0" applyNumberFormat="1" applyFont="1" applyBorder="1" applyAlignment="1">
      <alignment horizontal="center" vertical="center"/>
    </xf>
    <xf numFmtId="41" fontId="23" fillId="0" borderId="217" xfId="0" applyNumberFormat="1" applyFont="1" applyBorder="1" applyAlignment="1">
      <alignment horizontal="center" vertical="center"/>
    </xf>
    <xf numFmtId="3" fontId="23" fillId="0" borderId="12" xfId="0" applyNumberFormat="1" applyFont="1" applyBorder="1" applyAlignment="1">
      <alignment horizontal="left" vertical="center"/>
    </xf>
    <xf numFmtId="3" fontId="23" fillId="0" borderId="12" xfId="0" applyNumberFormat="1" applyFont="1" applyBorder="1" applyAlignment="1">
      <alignment horizontal="left" vertical="center" shrinkToFit="1"/>
    </xf>
    <xf numFmtId="3" fontId="23" fillId="0" borderId="25" xfId="0" applyNumberFormat="1" applyFont="1" applyBorder="1" applyAlignment="1">
      <alignment horizontal="left" vertical="center"/>
    </xf>
    <xf numFmtId="3" fontId="23" fillId="0" borderId="25" xfId="0" applyNumberFormat="1" applyFont="1" applyBorder="1" applyAlignment="1">
      <alignment horizontal="left" vertical="center" wrapText="1"/>
    </xf>
    <xf numFmtId="3" fontId="23" fillId="0" borderId="25" xfId="0" applyNumberFormat="1" applyFont="1" applyBorder="1" applyAlignment="1">
      <alignment horizontal="left" vertical="center" shrinkToFit="1"/>
    </xf>
    <xf numFmtId="3" fontId="23" fillId="0" borderId="10" xfId="0" applyNumberFormat="1" applyFont="1" applyBorder="1" applyAlignment="1">
      <alignment horizontal="left" vertical="center"/>
    </xf>
    <xf numFmtId="3" fontId="23" fillId="0" borderId="10" xfId="0" applyNumberFormat="1" applyFont="1" applyBorder="1" applyAlignment="1">
      <alignment horizontal="left" vertical="center" shrinkToFit="1"/>
    </xf>
    <xf numFmtId="3" fontId="23" fillId="0" borderId="12" xfId="0" applyNumberFormat="1" applyFont="1" applyBorder="1" applyAlignment="1">
      <alignment horizontal="left" vertical="center" wrapText="1"/>
    </xf>
    <xf numFmtId="3" fontId="23" fillId="0" borderId="169" xfId="0" applyNumberFormat="1" applyFont="1" applyBorder="1" applyAlignment="1">
      <alignment horizontal="left" vertical="center" wrapText="1"/>
    </xf>
    <xf numFmtId="0" fontId="148" fillId="4" borderId="0" xfId="0" applyFont="1" applyFill="1">
      <alignment vertical="center"/>
    </xf>
    <xf numFmtId="0" fontId="149" fillId="3" borderId="12" xfId="0" applyFont="1" applyFill="1" applyBorder="1" applyAlignment="1">
      <alignment horizontal="center" vertical="center"/>
    </xf>
    <xf numFmtId="0" fontId="148" fillId="0" borderId="0" xfId="0" applyFont="1">
      <alignment vertical="center"/>
    </xf>
    <xf numFmtId="0" fontId="150" fillId="2" borderId="0" xfId="0" applyFont="1" applyFill="1" applyAlignment="1">
      <alignment horizontal="center"/>
    </xf>
    <xf numFmtId="0" fontId="151" fillId="2" borderId="0" xfId="0" applyFont="1" applyFill="1">
      <alignment vertical="center"/>
    </xf>
    <xf numFmtId="0" fontId="150" fillId="4" borderId="0" xfId="0" applyFont="1" applyFill="1" applyAlignment="1">
      <alignment horizontal="center"/>
    </xf>
    <xf numFmtId="0" fontId="151" fillId="4" borderId="0" xfId="0" applyFont="1" applyFill="1">
      <alignment vertical="center"/>
    </xf>
    <xf numFmtId="3" fontId="90" fillId="0" borderId="9" xfId="0" applyNumberFormat="1" applyFont="1" applyBorder="1" applyAlignment="1">
      <alignment horizontal="left" vertical="center"/>
    </xf>
    <xf numFmtId="0" fontId="63" fillId="0" borderId="0" xfId="0" applyFont="1" applyAlignment="1">
      <alignment horizontal="center" vertical="center"/>
    </xf>
    <xf numFmtId="0" fontId="0" fillId="0" borderId="73" xfId="0" applyBorder="1">
      <alignment vertical="center"/>
    </xf>
    <xf numFmtId="0" fontId="0" fillId="0" borderId="74" xfId="0" applyBorder="1">
      <alignment vertical="center"/>
    </xf>
    <xf numFmtId="0" fontId="0" fillId="0" borderId="79" xfId="0" applyBorder="1">
      <alignment vertical="center"/>
    </xf>
    <xf numFmtId="0" fontId="0" fillId="0" borderId="228" xfId="0" applyBorder="1">
      <alignment vertical="center"/>
    </xf>
    <xf numFmtId="0" fontId="0" fillId="0" borderId="229" xfId="0" applyBorder="1">
      <alignment vertical="center"/>
    </xf>
    <xf numFmtId="41" fontId="23" fillId="0" borderId="169" xfId="132" applyFont="1" applyFill="1" applyBorder="1" applyAlignment="1">
      <alignment horizontal="left" vertical="center"/>
    </xf>
    <xf numFmtId="0" fontId="23" fillId="0" borderId="210" xfId="0" applyFont="1" applyBorder="1" applyAlignment="1">
      <alignment vertical="center" shrinkToFit="1"/>
    </xf>
    <xf numFmtId="0" fontId="70" fillId="0" borderId="210" xfId="0" applyFont="1" applyBorder="1">
      <alignment vertical="center"/>
    </xf>
    <xf numFmtId="0" fontId="142" fillId="0" borderId="0" xfId="135" applyFont="1" applyAlignment="1">
      <alignment horizontal="left" vertical="center"/>
    </xf>
    <xf numFmtId="0" fontId="23" fillId="0" borderId="216" xfId="0" applyFont="1" applyBorder="1" applyAlignment="1">
      <alignment horizontal="center" vertical="center" shrinkToFit="1"/>
    </xf>
    <xf numFmtId="0" fontId="25" fillId="0" borderId="141" xfId="0" applyFont="1" applyBorder="1" applyAlignment="1">
      <alignment horizontal="center" vertical="center" readingOrder="1"/>
    </xf>
    <xf numFmtId="0" fontId="25" fillId="0" borderId="62" xfId="0" applyFont="1" applyBorder="1" applyAlignment="1">
      <alignment horizontal="center" vertical="center" readingOrder="1"/>
    </xf>
    <xf numFmtId="0" fontId="23" fillId="11" borderId="83" xfId="0" applyFont="1" applyFill="1" applyBorder="1" applyAlignment="1">
      <alignment horizontal="center" vertical="center" readingOrder="1"/>
    </xf>
    <xf numFmtId="0" fontId="114" fillId="0" borderId="116" xfId="0" applyFont="1" applyBorder="1" applyAlignment="1">
      <alignment horizontal="center" vertical="center" readingOrder="1"/>
    </xf>
    <xf numFmtId="0" fontId="114" fillId="0" borderId="141" xfId="0" applyFont="1" applyBorder="1" applyAlignment="1">
      <alignment horizontal="center" vertical="center" readingOrder="1"/>
    </xf>
    <xf numFmtId="0" fontId="23" fillId="0" borderId="117" xfId="0" applyFont="1" applyBorder="1" applyAlignment="1">
      <alignment horizontal="center" vertical="center" shrinkToFit="1"/>
    </xf>
    <xf numFmtId="0" fontId="23" fillId="0" borderId="18" xfId="0" applyFont="1" applyBorder="1" applyAlignment="1">
      <alignment horizontal="center" vertical="center" shrinkToFit="1"/>
    </xf>
    <xf numFmtId="0" fontId="23" fillId="0" borderId="200" xfId="0" applyFont="1" applyBorder="1" applyAlignment="1">
      <alignment horizontal="center" vertical="center" shrinkToFit="1"/>
    </xf>
    <xf numFmtId="0" fontId="70" fillId="0" borderId="210" xfId="0" applyFont="1" applyBorder="1" applyAlignment="1">
      <alignment horizontal="center" vertical="center"/>
    </xf>
    <xf numFmtId="41" fontId="23" fillId="0" borderId="113" xfId="0" applyNumberFormat="1" applyFont="1" applyBorder="1" applyAlignment="1">
      <alignment horizontal="center" vertical="center"/>
    </xf>
    <xf numFmtId="0" fontId="70" fillId="0" borderId="200" xfId="0" applyFont="1" applyBorder="1" applyAlignment="1">
      <alignment horizontal="center" vertical="center"/>
    </xf>
    <xf numFmtId="41" fontId="23" fillId="0" borderId="89" xfId="0" applyNumberFormat="1" applyFont="1" applyBorder="1" applyAlignment="1">
      <alignment horizontal="center" vertical="center"/>
    </xf>
    <xf numFmtId="0" fontId="23" fillId="0" borderId="89" xfId="0" applyFont="1" applyBorder="1" applyAlignment="1">
      <alignment horizontal="center" vertical="center"/>
    </xf>
    <xf numFmtId="43" fontId="23" fillId="0" borderId="89" xfId="0" applyNumberFormat="1" applyFont="1" applyBorder="1" applyAlignment="1">
      <alignment horizontal="center" vertical="center"/>
    </xf>
    <xf numFmtId="41" fontId="23" fillId="0" borderId="204" xfId="0" applyNumberFormat="1" applyFont="1" applyBorder="1" applyAlignment="1">
      <alignment horizontal="center" vertical="center"/>
    </xf>
    <xf numFmtId="0" fontId="117" fillId="0" borderId="91" xfId="0" applyFont="1" applyBorder="1">
      <alignment vertical="center"/>
    </xf>
    <xf numFmtId="0" fontId="117" fillId="0" borderId="210" xfId="0" applyFont="1" applyBorder="1">
      <alignment vertical="center"/>
    </xf>
    <xf numFmtId="0" fontId="70" fillId="0" borderId="18" xfId="0" applyFont="1" applyBorder="1">
      <alignment vertical="center"/>
    </xf>
    <xf numFmtId="0" fontId="70" fillId="0" borderId="125" xfId="0" applyFont="1" applyBorder="1">
      <alignment vertical="center"/>
    </xf>
    <xf numFmtId="0" fontId="23" fillId="0" borderId="125" xfId="0" applyFont="1" applyBorder="1">
      <alignment vertical="center"/>
    </xf>
    <xf numFmtId="0" fontId="152" fillId="4" borderId="0" xfId="0" applyFont="1" applyFill="1">
      <alignment vertical="center"/>
    </xf>
    <xf numFmtId="0" fontId="154" fillId="0" borderId="0" xfId="0" applyFont="1">
      <alignment vertical="center"/>
    </xf>
    <xf numFmtId="0" fontId="154" fillId="0" borderId="0" xfId="0" applyFont="1" applyAlignment="1"/>
    <xf numFmtId="41" fontId="26" fillId="0" borderId="169" xfId="137" applyNumberFormat="1" applyFont="1" applyBorder="1" applyAlignment="1">
      <alignment horizontal="center" vertical="center"/>
    </xf>
    <xf numFmtId="41" fontId="26" fillId="0" borderId="169" xfId="132" applyFont="1" applyFill="1" applyBorder="1">
      <alignment vertical="center"/>
    </xf>
    <xf numFmtId="41" fontId="26" fillId="0" borderId="169" xfId="132" applyFont="1" applyFill="1" applyBorder="1" applyAlignment="1">
      <alignment horizontal="center" vertical="center"/>
    </xf>
    <xf numFmtId="3" fontId="26" fillId="0" borderId="169" xfId="0" applyNumberFormat="1" applyFont="1" applyBorder="1" applyAlignment="1">
      <alignment horizontal="left" vertical="center"/>
    </xf>
    <xf numFmtId="3" fontId="26" fillId="0" borderId="169" xfId="0" applyNumberFormat="1" applyFont="1" applyBorder="1" applyAlignment="1">
      <alignment horizontal="center" vertical="center"/>
    </xf>
    <xf numFmtId="0" fontId="143" fillId="0" borderId="12" xfId="0" applyFont="1" applyBorder="1" applyAlignment="1">
      <alignment horizontal="center" vertical="center"/>
    </xf>
    <xf numFmtId="3" fontId="36" fillId="0" borderId="75" xfId="0" applyNumberFormat="1" applyFont="1" applyBorder="1">
      <alignment vertical="center"/>
    </xf>
    <xf numFmtId="41" fontId="23" fillId="0" borderId="173" xfId="0" applyNumberFormat="1" applyFont="1" applyBorder="1" applyAlignment="1">
      <alignment vertical="center" wrapText="1"/>
    </xf>
    <xf numFmtId="0" fontId="15" fillId="0" borderId="207" xfId="0" applyFont="1" applyBorder="1">
      <alignment vertical="center"/>
    </xf>
    <xf numFmtId="0" fontId="15" fillId="0" borderId="208" xfId="0" applyFont="1" applyBorder="1">
      <alignment vertical="center"/>
    </xf>
    <xf numFmtId="0" fontId="15" fillId="13" borderId="207" xfId="0" applyFont="1" applyFill="1" applyBorder="1">
      <alignment vertical="center"/>
    </xf>
    <xf numFmtId="0" fontId="15" fillId="13" borderId="173" xfId="0" applyFont="1" applyFill="1" applyBorder="1">
      <alignment vertical="center"/>
    </xf>
    <xf numFmtId="0" fontId="15" fillId="13" borderId="208" xfId="0" applyFont="1" applyFill="1" applyBorder="1">
      <alignment vertical="center"/>
    </xf>
    <xf numFmtId="41" fontId="23" fillId="0" borderId="114" xfId="0" applyNumberFormat="1" applyFont="1" applyBorder="1" applyAlignment="1">
      <alignment vertical="center" wrapText="1"/>
    </xf>
    <xf numFmtId="3" fontId="17" fillId="3" borderId="114" xfId="0" applyNumberFormat="1" applyFont="1" applyFill="1" applyBorder="1" applyAlignment="1">
      <alignment horizontal="center" vertical="center"/>
    </xf>
    <xf numFmtId="3" fontId="138" fillId="0" borderId="207" xfId="0" applyNumberFormat="1" applyFont="1" applyBorder="1" applyAlignment="1">
      <alignment horizontal="center" vertical="center" shrinkToFit="1"/>
    </xf>
    <xf numFmtId="3" fontId="17" fillId="0" borderId="209" xfId="0" applyNumberFormat="1" applyFont="1" applyBorder="1" applyAlignment="1">
      <alignment horizontal="center" vertical="center"/>
    </xf>
    <xf numFmtId="0" fontId="5" fillId="0" borderId="0" xfId="0" applyFont="1" applyAlignment="1">
      <alignment horizontal="center" vertical="center"/>
    </xf>
    <xf numFmtId="0" fontId="17" fillId="3" borderId="226" xfId="0" applyFont="1" applyFill="1" applyBorder="1" applyAlignment="1">
      <alignment horizontal="center" vertical="center" wrapText="1"/>
    </xf>
    <xf numFmtId="0" fontId="17" fillId="3" borderId="234" xfId="0" applyFont="1" applyFill="1" applyBorder="1" applyAlignment="1">
      <alignment horizontal="center" vertical="center" wrapText="1"/>
    </xf>
    <xf numFmtId="0" fontId="17" fillId="3" borderId="183" xfId="0" applyFont="1" applyFill="1" applyBorder="1" applyAlignment="1">
      <alignment horizontal="center" vertical="center" shrinkToFit="1"/>
    </xf>
    <xf numFmtId="0" fontId="23" fillId="0" borderId="124" xfId="0" applyFont="1" applyBorder="1" applyAlignment="1">
      <alignment horizontal="center" vertical="center"/>
    </xf>
    <xf numFmtId="0" fontId="23" fillId="0" borderId="29" xfId="0" applyFont="1" applyBorder="1" applyAlignment="1">
      <alignment horizontal="center" vertical="center"/>
    </xf>
    <xf numFmtId="0" fontId="23" fillId="0" borderId="27" xfId="0" applyFont="1" applyBorder="1" applyAlignment="1">
      <alignment horizontal="center" vertical="center"/>
    </xf>
    <xf numFmtId="0" fontId="23" fillId="13" borderId="29" xfId="0" applyFont="1" applyFill="1" applyBorder="1" applyAlignment="1">
      <alignment horizontal="center" vertical="center"/>
    </xf>
    <xf numFmtId="0" fontId="23" fillId="0" borderId="222" xfId="0" applyFont="1" applyBorder="1" applyAlignment="1">
      <alignment horizontal="center" vertical="center"/>
    </xf>
    <xf numFmtId="0" fontId="23" fillId="0" borderId="34" xfId="0" applyFont="1" applyBorder="1" applyAlignment="1">
      <alignment horizontal="center" vertical="center"/>
    </xf>
    <xf numFmtId="0" fontId="23" fillId="0" borderId="31" xfId="0" applyFont="1" applyBorder="1" applyAlignment="1">
      <alignment horizontal="center" vertical="center"/>
    </xf>
    <xf numFmtId="0" fontId="15" fillId="0" borderId="0" xfId="0" applyFont="1" applyAlignment="1">
      <alignment horizontal="center" vertical="center"/>
    </xf>
    <xf numFmtId="0" fontId="23" fillId="0" borderId="220" xfId="0" applyFont="1" applyBorder="1" applyAlignment="1">
      <alignment horizontal="center" vertical="center"/>
    </xf>
    <xf numFmtId="0" fontId="23" fillId="0" borderId="3" xfId="0" applyFont="1" applyBorder="1" applyAlignment="1">
      <alignment horizontal="center" vertical="center"/>
    </xf>
    <xf numFmtId="0" fontId="40" fillId="0" borderId="220" xfId="0" applyFont="1" applyBorder="1" applyAlignment="1">
      <alignment horizontal="center" vertical="center"/>
    </xf>
    <xf numFmtId="0" fontId="40" fillId="0" borderId="151" xfId="0" applyFont="1" applyBorder="1" applyAlignment="1">
      <alignment horizontal="center" vertical="center"/>
    </xf>
    <xf numFmtId="0" fontId="40" fillId="0" borderId="154" xfId="0" applyFont="1" applyBorder="1" applyAlignment="1">
      <alignment horizontal="center" vertical="center"/>
    </xf>
    <xf numFmtId="0" fontId="23" fillId="0" borderId="197" xfId="0" applyFont="1" applyBorder="1" applyAlignment="1">
      <alignment horizontal="center" vertical="center"/>
    </xf>
    <xf numFmtId="0" fontId="40" fillId="0" borderId="124" xfId="0" applyFont="1" applyBorder="1" applyAlignment="1">
      <alignment horizontal="center" vertical="center"/>
    </xf>
    <xf numFmtId="0" fontId="40" fillId="0" borderId="33" xfId="0" applyFont="1" applyBorder="1" applyAlignment="1">
      <alignment horizontal="center" vertical="center"/>
    </xf>
    <xf numFmtId="0" fontId="110" fillId="0" borderId="124" xfId="0" applyFont="1" applyBorder="1" applyAlignment="1">
      <alignment horizontal="center" vertical="center"/>
    </xf>
    <xf numFmtId="0" fontId="110" fillId="0" borderId="33" xfId="0" applyFont="1" applyBorder="1" applyAlignment="1">
      <alignment horizontal="center" vertical="center"/>
    </xf>
    <xf numFmtId="0" fontId="40" fillId="0" borderId="0" xfId="0" applyFont="1" applyAlignment="1">
      <alignment horizontal="center" vertical="center"/>
    </xf>
    <xf numFmtId="0" fontId="23" fillId="0" borderId="218" xfId="0" applyFont="1" applyBorder="1" applyAlignment="1">
      <alignment horizontal="center" vertical="center"/>
    </xf>
    <xf numFmtId="0" fontId="23" fillId="0" borderId="10" xfId="0" applyFont="1" applyBorder="1" applyAlignment="1">
      <alignment horizontal="center" vertical="center"/>
    </xf>
    <xf numFmtId="0" fontId="23" fillId="0" borderId="12" xfId="0" applyFont="1" applyBorder="1" applyAlignment="1">
      <alignment horizontal="center" vertical="center"/>
    </xf>
    <xf numFmtId="0" fontId="23" fillId="13" borderId="10" xfId="0" applyFont="1" applyFill="1" applyBorder="1" applyAlignment="1">
      <alignment horizontal="center" vertical="center"/>
    </xf>
    <xf numFmtId="0" fontId="23" fillId="13" borderId="27" xfId="0" applyFont="1" applyFill="1" applyBorder="1" applyAlignment="1">
      <alignment horizontal="center" vertical="center"/>
    </xf>
    <xf numFmtId="0" fontId="23" fillId="13" borderId="12" xfId="0" applyFont="1" applyFill="1" applyBorder="1" applyAlignment="1">
      <alignment horizontal="center" vertical="center"/>
    </xf>
    <xf numFmtId="0" fontId="23" fillId="13" borderId="174" xfId="0" applyFont="1" applyFill="1" applyBorder="1" applyAlignment="1">
      <alignment horizontal="center" vertical="center"/>
    </xf>
    <xf numFmtId="0" fontId="23" fillId="13" borderId="220" xfId="0" applyFont="1" applyFill="1" applyBorder="1" applyAlignment="1">
      <alignment horizontal="center" vertical="center"/>
    </xf>
    <xf numFmtId="0" fontId="23" fillId="13" borderId="31" xfId="0" applyFont="1" applyFill="1" applyBorder="1" applyAlignment="1">
      <alignment horizontal="center" vertical="center"/>
    </xf>
    <xf numFmtId="0" fontId="144" fillId="0" borderId="14" xfId="0" applyFont="1" applyBorder="1" applyAlignment="1">
      <alignment horizontal="center" vertical="center"/>
    </xf>
    <xf numFmtId="0" fontId="23" fillId="0" borderId="81" xfId="0" applyFont="1" applyBorder="1" applyAlignment="1">
      <alignment horizontal="center" vertical="center"/>
    </xf>
    <xf numFmtId="0" fontId="23" fillId="0" borderId="219" xfId="0" applyFont="1" applyBorder="1" applyAlignment="1">
      <alignment horizontal="center" vertical="center"/>
    </xf>
    <xf numFmtId="0" fontId="23" fillId="0" borderId="63" xfId="0" applyFont="1" applyBorder="1" applyAlignment="1">
      <alignment horizontal="center" vertical="center"/>
    </xf>
    <xf numFmtId="0" fontId="23" fillId="0" borderId="25" xfId="0" applyFont="1" applyBorder="1" applyAlignment="1">
      <alignment horizontal="center" vertical="center"/>
    </xf>
    <xf numFmtId="0" fontId="23" fillId="0" borderId="193" xfId="0" applyFont="1" applyBorder="1" applyAlignment="1">
      <alignment horizontal="center" vertical="center"/>
    </xf>
    <xf numFmtId="0" fontId="40" fillId="0" borderId="81" xfId="0" applyFont="1" applyBorder="1" applyAlignment="1">
      <alignment horizontal="center" vertical="center"/>
    </xf>
    <xf numFmtId="0" fontId="40" fillId="0" borderId="218" xfId="0" applyFont="1" applyBorder="1" applyAlignment="1">
      <alignment horizontal="center" vertical="center"/>
    </xf>
    <xf numFmtId="0" fontId="40" fillId="0" borderId="219" xfId="0" applyFont="1" applyBorder="1" applyAlignment="1">
      <alignment horizontal="center" vertical="center"/>
    </xf>
    <xf numFmtId="3" fontId="36" fillId="0" borderId="14" xfId="0" applyNumberFormat="1" applyFont="1" applyBorder="1" applyAlignment="1">
      <alignment horizontal="center" vertical="center"/>
    </xf>
    <xf numFmtId="41" fontId="26" fillId="0" borderId="10" xfId="132" applyFont="1" applyFill="1" applyBorder="1">
      <alignment vertical="center"/>
    </xf>
    <xf numFmtId="41" fontId="26" fillId="0" borderId="11" xfId="0" applyNumberFormat="1" applyFont="1" applyBorder="1" applyAlignment="1">
      <alignment horizontal="left" vertical="center" shrinkToFit="1"/>
    </xf>
    <xf numFmtId="41" fontId="26" fillId="0" borderId="169" xfId="138" applyNumberFormat="1" applyFont="1" applyFill="1" applyBorder="1" applyAlignment="1">
      <alignment horizontal="right" vertical="center"/>
    </xf>
    <xf numFmtId="41" fontId="26" fillId="0" borderId="169" xfId="132" applyFont="1" applyFill="1" applyBorder="1" applyAlignment="1">
      <alignment vertical="center"/>
    </xf>
    <xf numFmtId="41" fontId="26" fillId="0" borderId="169" xfId="132" applyFont="1" applyFill="1" applyBorder="1" applyAlignment="1">
      <alignment horizontal="center" vertical="center" wrapText="1"/>
    </xf>
    <xf numFmtId="0" fontId="15" fillId="0" borderId="224" xfId="0" applyFont="1" applyBorder="1" applyAlignment="1">
      <alignment horizontal="center" vertical="center"/>
    </xf>
    <xf numFmtId="0" fontId="15" fillId="0" borderId="16" xfId="0" applyFont="1" applyBorder="1" applyAlignment="1">
      <alignment horizontal="center" vertical="center"/>
    </xf>
    <xf numFmtId="41" fontId="26" fillId="0" borderId="225" xfId="0" applyNumberFormat="1" applyFont="1" applyBorder="1" applyAlignment="1">
      <alignment horizontal="center" vertical="center" shrinkToFit="1"/>
    </xf>
    <xf numFmtId="41" fontId="26" fillId="0" borderId="225" xfId="138" applyNumberFormat="1" applyFont="1" applyFill="1" applyBorder="1" applyAlignment="1">
      <alignment horizontal="right" vertical="center"/>
    </xf>
    <xf numFmtId="41" fontId="26" fillId="0" borderId="225" xfId="132" applyFont="1" applyFill="1" applyBorder="1" applyAlignment="1">
      <alignment horizontal="center" vertical="center" wrapText="1"/>
    </xf>
    <xf numFmtId="41" fontId="26" fillId="0" borderId="225" xfId="132" applyFont="1" applyFill="1" applyBorder="1">
      <alignment vertical="center"/>
    </xf>
    <xf numFmtId="0" fontId="17" fillId="3" borderId="214" xfId="0" applyFont="1" applyFill="1" applyBorder="1" applyAlignment="1">
      <alignment horizontal="center" vertical="center"/>
    </xf>
    <xf numFmtId="0" fontId="17" fillId="3" borderId="0" xfId="0" applyFont="1" applyFill="1" applyAlignment="1">
      <alignment horizontal="center" vertical="center"/>
    </xf>
    <xf numFmtId="0" fontId="17" fillId="0" borderId="8" xfId="0" applyFont="1" applyBorder="1" applyAlignment="1">
      <alignment horizontal="center" vertical="center"/>
    </xf>
    <xf numFmtId="0" fontId="15" fillId="0" borderId="40" xfId="0" applyFont="1" applyBorder="1" applyAlignment="1">
      <alignment horizontal="center" vertical="center"/>
    </xf>
    <xf numFmtId="0" fontId="15" fillId="0" borderId="225" xfId="0" applyFont="1" applyBorder="1" applyAlignment="1">
      <alignment vertical="center" shrinkToFit="1"/>
    </xf>
    <xf numFmtId="0" fontId="15" fillId="0" borderId="225" xfId="0" applyFont="1" applyBorder="1" applyAlignment="1">
      <alignment horizontal="left" vertical="center" shrinkToFit="1"/>
    </xf>
    <xf numFmtId="0" fontId="15" fillId="0" borderId="36" xfId="0" applyFont="1" applyBorder="1" applyAlignment="1">
      <alignment horizontal="center" vertical="center"/>
    </xf>
    <xf numFmtId="0" fontId="30" fillId="0" borderId="224" xfId="0" applyFont="1" applyBorder="1" applyAlignment="1">
      <alignment horizontal="center" vertical="center"/>
    </xf>
    <xf numFmtId="177" fontId="15" fillId="0" borderId="66" xfId="0" applyNumberFormat="1" applyFont="1" applyBorder="1" applyAlignment="1">
      <alignment horizontal="right" vertical="center"/>
    </xf>
    <xf numFmtId="0" fontId="15" fillId="0" borderId="165" xfId="0" applyFont="1" applyBorder="1" applyAlignment="1">
      <alignment horizontal="center" vertical="center" shrinkToFit="1"/>
    </xf>
    <xf numFmtId="0" fontId="17" fillId="3" borderId="198" xfId="0" applyFont="1" applyFill="1" applyBorder="1" applyAlignment="1">
      <alignment horizontal="center" vertical="center" wrapText="1"/>
    </xf>
    <xf numFmtId="0" fontId="15" fillId="0" borderId="169" xfId="140" applyNumberFormat="1" applyFont="1" applyFill="1" applyBorder="1" applyAlignment="1">
      <alignment vertical="center"/>
    </xf>
    <xf numFmtId="9" fontId="15" fillId="0" borderId="169" xfId="140" applyNumberFormat="1" applyFont="1" applyFill="1" applyBorder="1" applyAlignment="1">
      <alignment vertical="center"/>
    </xf>
    <xf numFmtId="177" fontId="15" fillId="0" borderId="169" xfId="141" applyNumberFormat="1" applyFont="1" applyBorder="1" applyAlignment="1">
      <alignment vertical="center"/>
    </xf>
    <xf numFmtId="178" fontId="17" fillId="0" borderId="169" xfId="142" applyFont="1" applyFill="1" applyBorder="1" applyAlignment="1">
      <alignment vertical="center"/>
    </xf>
    <xf numFmtId="178" fontId="15" fillId="0" borderId="169" xfId="142" applyFont="1" applyFill="1" applyBorder="1" applyAlignment="1">
      <alignment vertical="center"/>
    </xf>
    <xf numFmtId="178" fontId="17" fillId="15" borderId="169" xfId="0" applyNumberFormat="1" applyFont="1" applyFill="1" applyBorder="1">
      <alignment vertical="center"/>
    </xf>
    <xf numFmtId="0" fontId="15" fillId="15" borderId="13" xfId="0" applyFont="1" applyFill="1" applyBorder="1" applyAlignment="1">
      <alignment horizontal="center" vertical="center" shrinkToFit="1"/>
    </xf>
    <xf numFmtId="2" fontId="15" fillId="15" borderId="169" xfId="0" applyNumberFormat="1" applyFont="1" applyFill="1" applyBorder="1" applyAlignment="1">
      <alignment horizontal="center" vertical="center" shrinkToFit="1"/>
    </xf>
    <xf numFmtId="0" fontId="33" fillId="2" borderId="0" xfId="137" applyFont="1" applyFill="1" applyAlignment="1">
      <alignment horizontal="centerContinuous" vertical="center"/>
    </xf>
    <xf numFmtId="176" fontId="12" fillId="2" borderId="0" xfId="143" applyFont="1" applyFill="1" applyAlignment="1">
      <alignment vertical="center"/>
    </xf>
    <xf numFmtId="0" fontId="13" fillId="2" borderId="0" xfId="137" applyFont="1" applyFill="1" applyAlignment="1">
      <alignment horizontal="center"/>
    </xf>
    <xf numFmtId="0" fontId="13" fillId="2" borderId="0" xfId="137" applyFont="1" applyFill="1" applyAlignment="1">
      <alignment horizontal="center" shrinkToFit="1"/>
    </xf>
    <xf numFmtId="0" fontId="14" fillId="3" borderId="120" xfId="0" applyFont="1" applyFill="1" applyBorder="1" applyAlignment="1">
      <alignment horizontal="center" vertical="center"/>
    </xf>
    <xf numFmtId="0" fontId="14" fillId="3" borderId="121" xfId="0" applyFont="1" applyFill="1" applyBorder="1" applyAlignment="1">
      <alignment horizontal="center" vertical="center"/>
    </xf>
    <xf numFmtId="0" fontId="14" fillId="3" borderId="121" xfId="0" applyFont="1" applyFill="1" applyBorder="1" applyAlignment="1">
      <alignment horizontal="center" vertical="center" wrapText="1"/>
    </xf>
    <xf numFmtId="0" fontId="17" fillId="3" borderId="121" xfId="140" applyNumberFormat="1" applyFont="1" applyFill="1" applyBorder="1" applyAlignment="1">
      <alignment horizontal="center" vertical="center"/>
    </xf>
    <xf numFmtId="0" fontId="14" fillId="3" borderId="121" xfId="140" applyNumberFormat="1" applyFont="1" applyFill="1" applyBorder="1" applyAlignment="1">
      <alignment horizontal="center" vertical="center"/>
    </xf>
    <xf numFmtId="176" fontId="14" fillId="3" borderId="121" xfId="143" applyFont="1" applyFill="1" applyBorder="1" applyAlignment="1">
      <alignment horizontal="center" vertical="center"/>
    </xf>
    <xf numFmtId="0" fontId="14" fillId="3" borderId="122" xfId="0" applyFont="1" applyFill="1" applyBorder="1" applyAlignment="1">
      <alignment horizontal="center" vertical="center" shrinkToFit="1"/>
    </xf>
    <xf numFmtId="176" fontId="15" fillId="2" borderId="0" xfId="143" applyFont="1" applyFill="1" applyAlignment="1">
      <alignment vertical="center"/>
    </xf>
    <xf numFmtId="176" fontId="15" fillId="0" borderId="0" xfId="143" applyFont="1" applyFill="1" applyAlignment="1">
      <alignment vertical="center"/>
    </xf>
    <xf numFmtId="42" fontId="17" fillId="0" borderId="169" xfId="0" applyNumberFormat="1" applyFont="1" applyBorder="1">
      <alignment vertical="center"/>
    </xf>
    <xf numFmtId="0" fontId="16" fillId="2" borderId="13" xfId="0" applyFont="1" applyFill="1" applyBorder="1" applyAlignment="1">
      <alignment horizontal="center" vertical="center" shrinkToFit="1"/>
    </xf>
    <xf numFmtId="176" fontId="15" fillId="0" borderId="169" xfId="143" applyFont="1" applyFill="1" applyBorder="1" applyAlignment="1">
      <alignment horizontal="center" vertical="center"/>
    </xf>
    <xf numFmtId="176" fontId="15" fillId="0" borderId="169" xfId="143" applyFont="1" applyFill="1" applyBorder="1" applyAlignment="1">
      <alignment horizontal="right" vertical="center"/>
    </xf>
    <xf numFmtId="179" fontId="17" fillId="0" borderId="169" xfId="0" applyNumberFormat="1" applyFont="1" applyBorder="1">
      <alignment vertical="center"/>
    </xf>
    <xf numFmtId="9" fontId="15" fillId="0" borderId="169" xfId="0" applyNumberFormat="1" applyFont="1" applyBorder="1" applyAlignment="1">
      <alignment horizontal="center" vertical="center"/>
    </xf>
    <xf numFmtId="176" fontId="15" fillId="0" borderId="169" xfId="143" applyFont="1" applyFill="1" applyBorder="1" applyAlignment="1">
      <alignment vertical="center"/>
    </xf>
    <xf numFmtId="0" fontId="15" fillId="0" borderId="169" xfId="137" applyFont="1" applyBorder="1" applyAlignment="1">
      <alignment horizontal="center" vertical="center"/>
    </xf>
    <xf numFmtId="0" fontId="15" fillId="2" borderId="124" xfId="144" applyFont="1" applyFill="1" applyBorder="1" applyAlignment="1">
      <alignment horizontal="center" vertical="center"/>
    </xf>
    <xf numFmtId="9" fontId="15" fillId="2" borderId="169" xfId="140" applyNumberFormat="1" applyFont="1" applyFill="1" applyBorder="1" applyAlignment="1">
      <alignment vertical="center"/>
    </xf>
    <xf numFmtId="177" fontId="15" fillId="2" borderId="169" xfId="141" applyNumberFormat="1" applyFont="1" applyFill="1" applyBorder="1" applyAlignment="1">
      <alignment vertical="center"/>
    </xf>
    <xf numFmtId="0" fontId="15" fillId="0" borderId="124" xfId="144" applyFont="1" applyBorder="1" applyAlignment="1">
      <alignment horizontal="center" vertical="center"/>
    </xf>
    <xf numFmtId="0" fontId="15" fillId="2" borderId="169" xfId="140" applyNumberFormat="1" applyFont="1" applyFill="1" applyBorder="1" applyAlignment="1">
      <alignment vertical="center"/>
    </xf>
    <xf numFmtId="42" fontId="17" fillId="2" borderId="169" xfId="0" applyNumberFormat="1" applyFont="1" applyFill="1" applyBorder="1">
      <alignment vertical="center"/>
    </xf>
    <xf numFmtId="0" fontId="17" fillId="2" borderId="169" xfId="0" applyFont="1" applyFill="1" applyBorder="1">
      <alignment vertical="center"/>
    </xf>
    <xf numFmtId="0" fontId="115" fillId="2" borderId="124" xfId="0" applyFont="1" applyFill="1" applyBorder="1" applyAlignment="1">
      <alignment horizontal="left" vertical="center"/>
    </xf>
    <xf numFmtId="9" fontId="15" fillId="0" borderId="169" xfId="0" applyNumberFormat="1" applyFont="1" applyBorder="1" applyAlignment="1">
      <alignment vertical="center" shrinkToFit="1"/>
    </xf>
    <xf numFmtId="177" fontId="17" fillId="0" borderId="169" xfId="141" applyNumberFormat="1" applyFont="1" applyBorder="1" applyAlignment="1">
      <alignment vertical="center"/>
    </xf>
    <xf numFmtId="0" fontId="17" fillId="0" borderId="169" xfId="0" applyFont="1" applyBorder="1" applyAlignment="1">
      <alignment vertical="center" shrinkToFit="1"/>
    </xf>
    <xf numFmtId="178" fontId="17" fillId="2" borderId="169" xfId="142" applyFont="1" applyFill="1" applyBorder="1" applyAlignment="1">
      <alignment vertical="center"/>
    </xf>
    <xf numFmtId="178" fontId="17" fillId="12" borderId="169" xfId="142" applyFont="1" applyFill="1" applyBorder="1" applyAlignment="1">
      <alignment vertical="center"/>
    </xf>
    <xf numFmtId="178" fontId="17" fillId="18" borderId="169" xfId="142" applyFont="1" applyFill="1" applyBorder="1" applyAlignment="1">
      <alignment vertical="center"/>
    </xf>
    <xf numFmtId="0" fontId="131" fillId="0" borderId="169" xfId="140" applyNumberFormat="1" applyFont="1" applyFill="1" applyBorder="1" applyAlignment="1">
      <alignment vertical="center"/>
    </xf>
    <xf numFmtId="0" fontId="131" fillId="2" borderId="169" xfId="140" applyNumberFormat="1" applyFont="1" applyFill="1" applyBorder="1" applyAlignment="1">
      <alignment vertical="center"/>
    </xf>
    <xf numFmtId="0" fontId="17" fillId="2" borderId="124" xfId="144" applyFont="1" applyFill="1" applyBorder="1" applyAlignment="1">
      <alignment horizontal="center" vertical="center"/>
    </xf>
    <xf numFmtId="0" fontId="17" fillId="2" borderId="169" xfId="0" applyFont="1" applyFill="1" applyBorder="1" applyAlignment="1">
      <alignment vertical="center" shrinkToFit="1"/>
    </xf>
    <xf numFmtId="0" fontId="16" fillId="2" borderId="169" xfId="0" applyFont="1" applyFill="1" applyBorder="1" applyAlignment="1">
      <alignment horizontal="centerContinuous" vertical="center"/>
    </xf>
    <xf numFmtId="177" fontId="15" fillId="12" borderId="169" xfId="141" applyNumberFormat="1" applyFont="1" applyFill="1" applyBorder="1" applyAlignment="1">
      <alignment vertical="center"/>
    </xf>
    <xf numFmtId="178" fontId="15" fillId="12" borderId="169" xfId="142" applyFont="1" applyFill="1" applyBorder="1" applyAlignment="1">
      <alignment vertical="center"/>
    </xf>
    <xf numFmtId="0" fontId="12" fillId="2" borderId="169" xfId="0" applyFont="1" applyFill="1" applyBorder="1">
      <alignment vertical="center"/>
    </xf>
    <xf numFmtId="0" fontId="12" fillId="2" borderId="169" xfId="0" applyFont="1" applyFill="1" applyBorder="1" applyAlignment="1">
      <alignment horizontal="center" vertical="center"/>
    </xf>
    <xf numFmtId="0" fontId="12" fillId="2" borderId="169" xfId="140" applyNumberFormat="1" applyFont="1" applyFill="1" applyBorder="1" applyAlignment="1">
      <alignment vertical="center"/>
    </xf>
    <xf numFmtId="176" fontId="12" fillId="2" borderId="169" xfId="143" applyFont="1" applyFill="1" applyBorder="1" applyAlignment="1">
      <alignment vertical="center"/>
    </xf>
    <xf numFmtId="0" fontId="12" fillId="2" borderId="13" xfId="0" applyFont="1" applyFill="1" applyBorder="1" applyAlignment="1">
      <alignment horizontal="center" vertical="center" shrinkToFit="1"/>
    </xf>
    <xf numFmtId="0" fontId="12" fillId="2" borderId="124" xfId="0" applyFont="1" applyFill="1" applyBorder="1" applyAlignment="1">
      <alignment horizontal="center" vertical="center"/>
    </xf>
    <xf numFmtId="17" fontId="12" fillId="2" borderId="124" xfId="0" quotePrefix="1" applyNumberFormat="1" applyFont="1" applyFill="1" applyBorder="1" applyAlignment="1">
      <alignment horizontal="center" vertical="center"/>
    </xf>
    <xf numFmtId="0" fontId="12" fillId="2" borderId="169" xfId="0" applyFont="1" applyFill="1" applyBorder="1" applyAlignment="1">
      <alignment horizontal="left" vertical="center"/>
    </xf>
    <xf numFmtId="0" fontId="12" fillId="2" borderId="0" xfId="140" applyNumberFormat="1" applyFont="1" applyFill="1" applyBorder="1" applyAlignment="1">
      <alignment vertical="center"/>
    </xf>
    <xf numFmtId="176" fontId="12" fillId="2" borderId="0" xfId="143" applyFont="1" applyFill="1" applyBorder="1" applyAlignment="1">
      <alignment vertical="center"/>
    </xf>
    <xf numFmtId="0" fontId="12" fillId="2" borderId="0" xfId="0" applyFont="1" applyFill="1" applyAlignment="1">
      <alignment horizontal="center" vertical="center" shrinkToFit="1"/>
    </xf>
    <xf numFmtId="41" fontId="15" fillId="0" borderId="169" xfId="0" applyNumberFormat="1" applyFont="1" applyBorder="1" applyAlignment="1">
      <alignment horizontal="center" vertical="center"/>
    </xf>
    <xf numFmtId="3" fontId="15" fillId="0" borderId="13" xfId="0" applyNumberFormat="1" applyFont="1" applyBorder="1" applyAlignment="1">
      <alignment horizontal="center" vertical="center" shrinkToFit="1"/>
    </xf>
    <xf numFmtId="0" fontId="15" fillId="3" borderId="153" xfId="0" applyFont="1" applyFill="1" applyBorder="1" applyAlignment="1">
      <alignment horizontal="center" vertical="center"/>
    </xf>
    <xf numFmtId="0" fontId="15" fillId="0" borderId="0" xfId="0" applyFont="1" applyAlignment="1">
      <alignment horizontal="center" vertical="center" wrapText="1"/>
    </xf>
    <xf numFmtId="184" fontId="15" fillId="13" borderId="29" xfId="0" applyNumberFormat="1" applyFont="1" applyFill="1" applyBorder="1" applyAlignment="1">
      <alignment horizontal="center" vertical="center"/>
    </xf>
    <xf numFmtId="0" fontId="15" fillId="0" borderId="29" xfId="137" applyFont="1" applyBorder="1" applyAlignment="1">
      <alignment horizontal="center" vertical="center"/>
    </xf>
    <xf numFmtId="41" fontId="37" fillId="0" borderId="13" xfId="132" applyFont="1" applyFill="1" applyBorder="1" applyAlignment="1">
      <alignment horizontal="center" vertical="center"/>
    </xf>
    <xf numFmtId="0" fontId="37" fillId="0" borderId="124" xfId="137" applyFont="1" applyBorder="1" applyAlignment="1">
      <alignment vertical="center"/>
    </xf>
    <xf numFmtId="0" fontId="37" fillId="0" borderId="169" xfId="137" applyFont="1" applyBorder="1" applyAlignment="1">
      <alignment vertical="center"/>
    </xf>
    <xf numFmtId="179" fontId="37" fillId="0" borderId="65" xfId="132" applyNumberFormat="1" applyFont="1" applyFill="1" applyBorder="1" applyAlignment="1">
      <alignment horizontal="right" vertical="center"/>
    </xf>
    <xf numFmtId="177" fontId="15" fillId="0" borderId="65" xfId="0" applyNumberFormat="1" applyFont="1" applyBorder="1" applyAlignment="1">
      <alignment horizontal="right" vertical="center"/>
    </xf>
    <xf numFmtId="0" fontId="15" fillId="0" borderId="168" xfId="137" applyFont="1" applyBorder="1" applyAlignment="1">
      <alignment horizontal="center" vertical="center" shrinkToFit="1"/>
    </xf>
    <xf numFmtId="0" fontId="15" fillId="0" borderId="0" xfId="137" applyFont="1" applyAlignment="1">
      <alignment vertical="center"/>
    </xf>
    <xf numFmtId="0" fontId="37" fillId="0" borderId="124" xfId="0" applyFont="1" applyBorder="1">
      <alignment vertical="center"/>
    </xf>
    <xf numFmtId="0" fontId="37" fillId="0" borderId="169" xfId="0" applyFont="1" applyBorder="1">
      <alignment vertical="center"/>
    </xf>
    <xf numFmtId="0" fontId="15" fillId="3" borderId="120" xfId="0" applyFont="1" applyFill="1" applyBorder="1" applyAlignment="1">
      <alignment horizontal="center" vertical="center"/>
    </xf>
    <xf numFmtId="0" fontId="15" fillId="0" borderId="0" xfId="145" applyFont="1"/>
    <xf numFmtId="0" fontId="15" fillId="0" borderId="0" xfId="145" applyFont="1" applyAlignment="1">
      <alignment horizontal="right" vertical="center"/>
    </xf>
    <xf numFmtId="180" fontId="15" fillId="0" borderId="0" xfId="146" applyNumberFormat="1" applyFont="1" applyAlignment="1">
      <alignment vertical="center"/>
    </xf>
    <xf numFmtId="41" fontId="15" fillId="0" borderId="0" xfId="132" applyFont="1" applyAlignment="1">
      <alignment vertical="center"/>
    </xf>
    <xf numFmtId="0" fontId="15" fillId="3" borderId="121" xfId="0" applyFont="1" applyFill="1" applyBorder="1" applyAlignment="1">
      <alignment horizontal="center" vertical="center"/>
    </xf>
    <xf numFmtId="184" fontId="15" fillId="0" borderId="220" xfId="0" applyNumberFormat="1" applyFont="1" applyBorder="1" applyAlignment="1">
      <alignment horizontal="center" vertical="center"/>
    </xf>
    <xf numFmtId="0" fontId="156" fillId="0" borderId="0" xfId="147" applyFont="1">
      <alignment vertical="center"/>
    </xf>
    <xf numFmtId="0" fontId="157" fillId="0" borderId="0" xfId="147" applyFont="1">
      <alignment vertical="center"/>
    </xf>
    <xf numFmtId="0" fontId="156" fillId="0" borderId="0" xfId="147" applyFont="1" applyAlignment="1">
      <alignment horizontal="center" vertical="center"/>
    </xf>
    <xf numFmtId="0" fontId="158" fillId="0" borderId="0" xfId="147" applyFont="1" applyAlignment="1">
      <alignment horizontal="left" vertical="center"/>
    </xf>
    <xf numFmtId="0" fontId="158" fillId="0" borderId="0" xfId="147" applyFont="1">
      <alignment vertical="center"/>
    </xf>
    <xf numFmtId="0" fontId="2" fillId="0" borderId="0" xfId="147">
      <alignment vertical="center"/>
    </xf>
    <xf numFmtId="0" fontId="159" fillId="0" borderId="0" xfId="147" applyFont="1">
      <alignment vertical="center"/>
    </xf>
    <xf numFmtId="0" fontId="160" fillId="0" borderId="0" xfId="147" applyFont="1">
      <alignment vertical="center"/>
    </xf>
    <xf numFmtId="0" fontId="161" fillId="0" borderId="0" xfId="147" applyFont="1">
      <alignment vertical="center"/>
    </xf>
    <xf numFmtId="0" fontId="17" fillId="0" borderId="151" xfId="147" applyFont="1" applyBorder="1" applyAlignment="1">
      <alignment horizontal="left" vertical="center"/>
    </xf>
    <xf numFmtId="0" fontId="17" fillId="0" borderId="154" xfId="147" applyFont="1" applyBorder="1" applyAlignment="1">
      <alignment horizontal="left" vertical="center"/>
    </xf>
    <xf numFmtId="0" fontId="17" fillId="0" borderId="197" xfId="147" applyFont="1" applyBorder="1">
      <alignment vertical="center"/>
    </xf>
    <xf numFmtId="0" fontId="15" fillId="0" borderId="197" xfId="147" applyFont="1" applyBorder="1">
      <alignment vertical="center"/>
    </xf>
    <xf numFmtId="0" fontId="15" fillId="0" borderId="193" xfId="147" applyFont="1" applyBorder="1">
      <alignment vertical="center"/>
    </xf>
    <xf numFmtId="0" fontId="15" fillId="0" borderId="123" xfId="147" applyFont="1" applyBorder="1" applyAlignment="1">
      <alignment horizontal="center" vertical="center"/>
    </xf>
    <xf numFmtId="41" fontId="15" fillId="0" borderId="149" xfId="147" applyNumberFormat="1" applyFont="1" applyBorder="1" applyAlignment="1">
      <alignment horizontal="center" vertical="center"/>
    </xf>
    <xf numFmtId="41" fontId="15" fillId="0" borderId="148" xfId="147" applyNumberFormat="1" applyFont="1" applyBorder="1" applyAlignment="1">
      <alignment horizontal="center" vertical="center"/>
    </xf>
    <xf numFmtId="41" fontId="23" fillId="0" borderId="154" xfId="147" applyNumberFormat="1" applyFont="1" applyBorder="1" applyAlignment="1">
      <alignment horizontal="center" vertical="center"/>
    </xf>
    <xf numFmtId="41" fontId="23" fillId="0" borderId="194" xfId="147" applyNumberFormat="1" applyFont="1" applyBorder="1" applyAlignment="1">
      <alignment horizontal="center" vertical="center"/>
    </xf>
    <xf numFmtId="0" fontId="2" fillId="0" borderId="0" xfId="147" applyAlignment="1">
      <alignment vertical="center" shrinkToFit="1"/>
    </xf>
    <xf numFmtId="0" fontId="36" fillId="0" borderId="124" xfId="148" applyFont="1" applyBorder="1" applyAlignment="1">
      <alignment horizontal="center" vertical="center" shrinkToFit="1"/>
    </xf>
    <xf numFmtId="0" fontId="36" fillId="0" borderId="33" xfId="148" applyFont="1" applyBorder="1" applyAlignment="1">
      <alignment horizontal="center" vertical="center" shrinkToFit="1"/>
    </xf>
    <xf numFmtId="0" fontId="36" fillId="0" borderId="169" xfId="148" applyFont="1" applyBorder="1" applyAlignment="1">
      <alignment horizontal="left" vertical="center" shrinkToFit="1"/>
    </xf>
    <xf numFmtId="0" fontId="36" fillId="0" borderId="169" xfId="147" applyFont="1" applyBorder="1" applyAlignment="1">
      <alignment horizontal="center" vertical="center" shrinkToFit="1"/>
    </xf>
    <xf numFmtId="0" fontId="36" fillId="0" borderId="29" xfId="147" applyFont="1" applyBorder="1" applyAlignment="1">
      <alignment horizontal="center" vertical="center" shrinkToFit="1"/>
    </xf>
    <xf numFmtId="0" fontId="36" fillId="0" borderId="13" xfId="147" applyFont="1" applyBorder="1" applyAlignment="1">
      <alignment horizontal="center" vertical="center" shrinkToFit="1"/>
    </xf>
    <xf numFmtId="41" fontId="15" fillId="0" borderId="65" xfId="147" applyNumberFormat="1" applyFont="1" applyBorder="1" applyAlignment="1">
      <alignment horizontal="center" vertical="center" shrinkToFit="1"/>
    </xf>
    <xf numFmtId="41" fontId="15" fillId="0" borderId="15" xfId="147" applyNumberFormat="1" applyFont="1" applyBorder="1" applyAlignment="1">
      <alignment horizontal="center" vertical="center" shrinkToFit="1"/>
    </xf>
    <xf numFmtId="41" fontId="23" fillId="0" borderId="33" xfId="147" applyNumberFormat="1" applyFont="1" applyBorder="1" applyAlignment="1">
      <alignment horizontal="center" vertical="center" shrinkToFit="1"/>
    </xf>
    <xf numFmtId="41" fontId="23" fillId="0" borderId="169" xfId="147" applyNumberFormat="1" applyFont="1" applyBorder="1" applyAlignment="1">
      <alignment horizontal="center" vertical="center" wrapText="1" shrinkToFit="1"/>
    </xf>
    <xf numFmtId="41" fontId="23" fillId="0" borderId="169" xfId="147" applyNumberFormat="1" applyFont="1" applyBorder="1" applyAlignment="1">
      <alignment horizontal="center" vertical="center" shrinkToFit="1"/>
    </xf>
    <xf numFmtId="41" fontId="47" fillId="0" borderId="169" xfId="147" applyNumberFormat="1" applyFont="1" applyBorder="1" applyAlignment="1">
      <alignment horizontal="center" vertical="center" wrapText="1" shrinkToFit="1"/>
    </xf>
    <xf numFmtId="41" fontId="23" fillId="0" borderId="29" xfId="147" applyNumberFormat="1" applyFont="1" applyBorder="1" applyAlignment="1">
      <alignment horizontal="center" vertical="center" wrapText="1" shrinkToFit="1"/>
    </xf>
    <xf numFmtId="41" fontId="23" fillId="0" borderId="29" xfId="147" applyNumberFormat="1" applyFont="1" applyBorder="1" applyAlignment="1">
      <alignment horizontal="center" vertical="center" shrinkToFit="1"/>
    </xf>
    <xf numFmtId="41" fontId="47" fillId="0" borderId="16" xfId="147" applyNumberFormat="1" applyFont="1" applyBorder="1" applyAlignment="1">
      <alignment horizontal="center" vertical="center" wrapText="1" shrinkToFit="1"/>
    </xf>
    <xf numFmtId="41" fontId="23" fillId="0" borderId="14" xfId="147" applyNumberFormat="1" applyFont="1" applyBorder="1" applyAlignment="1">
      <alignment horizontal="center" vertical="center"/>
    </xf>
    <xf numFmtId="41" fontId="23" fillId="0" borderId="10" xfId="147" applyNumberFormat="1" applyFont="1" applyBorder="1" applyAlignment="1">
      <alignment horizontal="center" vertical="center"/>
    </xf>
    <xf numFmtId="41" fontId="23" fillId="0" borderId="10" xfId="147" applyNumberFormat="1" applyFont="1" applyBorder="1" applyAlignment="1">
      <alignment horizontal="center" vertical="center" shrinkToFit="1"/>
    </xf>
    <xf numFmtId="0" fontId="23" fillId="0" borderId="124" xfId="148" applyFont="1" applyBorder="1" applyAlignment="1">
      <alignment horizontal="center" vertical="center" shrinkToFit="1"/>
    </xf>
    <xf numFmtId="0" fontId="23" fillId="0" borderId="33" xfId="148" applyFont="1" applyBorder="1" applyAlignment="1">
      <alignment horizontal="center" vertical="center" shrinkToFit="1"/>
    </xf>
    <xf numFmtId="0" fontId="23" fillId="0" borderId="169" xfId="148" applyFont="1" applyBorder="1" applyAlignment="1">
      <alignment horizontal="left" vertical="center" shrinkToFit="1"/>
    </xf>
    <xf numFmtId="0" fontId="23" fillId="0" borderId="169" xfId="147" applyFont="1" applyBorder="1" applyAlignment="1">
      <alignment horizontal="left" vertical="center" wrapText="1"/>
    </xf>
    <xf numFmtId="0" fontId="23" fillId="0" borderId="29" xfId="147" applyFont="1" applyBorder="1" applyAlignment="1">
      <alignment horizontal="center" vertical="center" shrinkToFit="1"/>
    </xf>
    <xf numFmtId="0" fontId="23" fillId="0" borderId="13" xfId="147" applyFont="1" applyBorder="1" applyAlignment="1">
      <alignment horizontal="center" vertical="center" shrinkToFit="1"/>
    </xf>
    <xf numFmtId="192" fontId="15" fillId="0" borderId="65" xfId="147" applyNumberFormat="1" applyFont="1" applyBorder="1" applyAlignment="1">
      <alignment horizontal="center" vertical="center" shrinkToFit="1"/>
    </xf>
    <xf numFmtId="41" fontId="23" fillId="0" borderId="27" xfId="147" applyNumberFormat="1" applyFont="1" applyBorder="1" applyAlignment="1">
      <alignment horizontal="center" vertical="center"/>
    </xf>
    <xf numFmtId="41" fontId="15" fillId="0" borderId="33" xfId="147" applyNumberFormat="1" applyFont="1" applyBorder="1">
      <alignment vertical="center"/>
    </xf>
    <xf numFmtId="41" fontId="15" fillId="0" borderId="169" xfId="147" applyNumberFormat="1" applyFont="1" applyBorder="1">
      <alignment vertical="center"/>
    </xf>
    <xf numFmtId="41" fontId="15" fillId="0" borderId="29" xfId="147" applyNumberFormat="1" applyFont="1" applyBorder="1">
      <alignment vertical="center"/>
    </xf>
    <xf numFmtId="0" fontId="23" fillId="0" borderId="169" xfId="148" applyFont="1" applyBorder="1" applyAlignment="1">
      <alignment vertical="center" shrinkToFit="1"/>
    </xf>
    <xf numFmtId="0" fontId="23" fillId="0" borderId="29" xfId="147" applyFont="1" applyBorder="1" applyAlignment="1">
      <alignment horizontal="left" vertical="center" shrinkToFit="1"/>
    </xf>
    <xf numFmtId="3" fontId="23" fillId="0" borderId="13" xfId="147" applyNumberFormat="1" applyFont="1" applyBorder="1" applyAlignment="1">
      <alignment horizontal="center" vertical="center" shrinkToFit="1"/>
    </xf>
    <xf numFmtId="0" fontId="23" fillId="0" borderId="169" xfId="149" applyNumberFormat="1" applyFont="1" applyFill="1" applyBorder="1" applyAlignment="1">
      <alignment horizontal="left" vertical="center" wrapText="1"/>
    </xf>
    <xf numFmtId="0" fontId="23" fillId="0" borderId="29" xfId="149" applyNumberFormat="1" applyFont="1" applyFill="1" applyBorder="1" applyAlignment="1">
      <alignment horizontal="left" vertical="center" shrinkToFit="1"/>
    </xf>
    <xf numFmtId="0" fontId="23" fillId="0" borderId="169" xfId="149" applyNumberFormat="1" applyFont="1" applyFill="1" applyBorder="1" applyAlignment="1">
      <alignment vertical="center" shrinkToFit="1"/>
    </xf>
    <xf numFmtId="0" fontId="23" fillId="0" borderId="169" xfId="150" applyNumberFormat="1" applyFont="1" applyFill="1" applyBorder="1" applyAlignment="1">
      <alignment horizontal="left" vertical="center" shrinkToFit="1"/>
    </xf>
    <xf numFmtId="0" fontId="23" fillId="0" borderId="169" xfId="149" applyNumberFormat="1" applyFont="1" applyFill="1" applyBorder="1" applyAlignment="1">
      <alignment horizontal="left" vertical="center" shrinkToFit="1"/>
    </xf>
    <xf numFmtId="192" fontId="15" fillId="0" borderId="206" xfId="147" applyNumberFormat="1" applyFont="1" applyBorder="1" applyAlignment="1">
      <alignment horizontal="center" vertical="center" shrinkToFit="1"/>
    </xf>
    <xf numFmtId="41" fontId="15" fillId="0" borderId="235" xfId="147" applyNumberFormat="1" applyFont="1" applyBorder="1" applyAlignment="1">
      <alignment horizontal="center" vertical="center" shrinkToFit="1"/>
    </xf>
    <xf numFmtId="41" fontId="15" fillId="0" borderId="206" xfId="147" applyNumberFormat="1" applyFont="1" applyBorder="1" applyAlignment="1">
      <alignment horizontal="center" vertical="center" shrinkToFit="1"/>
    </xf>
    <xf numFmtId="0" fontId="15" fillId="0" borderId="9" xfId="148" applyFont="1" applyBorder="1" applyAlignment="1">
      <alignment horizontal="center" vertical="center" shrinkToFit="1"/>
    </xf>
    <xf numFmtId="0" fontId="15" fillId="0" borderId="14" xfId="148" applyFont="1" applyBorder="1" applyAlignment="1">
      <alignment horizontal="center" vertical="center" shrinkToFit="1"/>
    </xf>
    <xf numFmtId="0" fontId="23" fillId="0" borderId="10" xfId="148" applyFont="1" applyBorder="1" applyAlignment="1">
      <alignment vertical="center" shrinkToFit="1"/>
    </xf>
    <xf numFmtId="0" fontId="23" fillId="0" borderId="10" xfId="147" applyFont="1" applyBorder="1" applyAlignment="1">
      <alignment horizontal="left" vertical="center" shrinkToFit="1"/>
    </xf>
    <xf numFmtId="0" fontId="23" fillId="0" borderId="27" xfId="147" applyFont="1" applyBorder="1" applyAlignment="1">
      <alignment horizontal="left" vertical="center" shrinkToFit="1"/>
    </xf>
    <xf numFmtId="3" fontId="23" fillId="0" borderId="11" xfId="147" applyNumberFormat="1" applyFont="1" applyBorder="1" applyAlignment="1">
      <alignment horizontal="center" vertical="center" shrinkToFit="1"/>
    </xf>
    <xf numFmtId="41" fontId="15" fillId="0" borderId="55" xfId="0" applyNumberFormat="1" applyFont="1" applyBorder="1">
      <alignment vertical="center"/>
    </xf>
    <xf numFmtId="41" fontId="15" fillId="0" borderId="33" xfId="0" applyNumberFormat="1" applyFont="1" applyBorder="1">
      <alignment vertical="center"/>
    </xf>
    <xf numFmtId="41" fontId="15" fillId="0" borderId="169" xfId="0" applyNumberFormat="1" applyFont="1" applyBorder="1">
      <alignment vertical="center"/>
    </xf>
    <xf numFmtId="41" fontId="15" fillId="0" borderId="4" xfId="0" applyNumberFormat="1" applyFont="1" applyBorder="1">
      <alignment vertical="center"/>
    </xf>
    <xf numFmtId="0" fontId="15" fillId="0" borderId="33" xfId="148" applyFont="1" applyBorder="1" applyAlignment="1">
      <alignment horizontal="center" vertical="center" shrinkToFit="1"/>
    </xf>
    <xf numFmtId="0" fontId="23" fillId="0" borderId="169" xfId="147" applyFont="1" applyBorder="1" applyAlignment="1">
      <alignment horizontal="left" vertical="center" shrinkToFit="1"/>
    </xf>
    <xf numFmtId="41" fontId="15" fillId="0" borderId="29" xfId="0" applyNumberFormat="1" applyFont="1" applyBorder="1">
      <alignment vertical="center"/>
    </xf>
    <xf numFmtId="0" fontId="23" fillId="0" borderId="169" xfId="147" applyFont="1" applyBorder="1" applyAlignment="1">
      <alignment horizontal="left" vertical="center" wrapText="1" shrinkToFit="1"/>
    </xf>
    <xf numFmtId="0" fontId="15" fillId="0" borderId="66" xfId="148" applyFont="1" applyBorder="1" applyAlignment="1">
      <alignment horizontal="center" vertical="center" shrinkToFit="1"/>
    </xf>
    <xf numFmtId="0" fontId="23" fillId="0" borderId="225" xfId="148" applyFont="1" applyBorder="1" applyAlignment="1">
      <alignment vertical="center" shrinkToFit="1"/>
    </xf>
    <xf numFmtId="0" fontId="23" fillId="0" borderId="225" xfId="147" applyFont="1" applyBorder="1" applyAlignment="1">
      <alignment horizontal="left" vertical="center" wrapText="1" shrinkToFit="1"/>
    </xf>
    <xf numFmtId="0" fontId="23" fillId="0" borderId="36" xfId="147" applyFont="1" applyBorder="1" applyAlignment="1">
      <alignment horizontal="left" vertical="center" shrinkToFit="1"/>
    </xf>
    <xf numFmtId="41" fontId="15" fillId="0" borderId="66" xfId="0" applyNumberFormat="1" applyFont="1" applyBorder="1">
      <alignment vertical="center"/>
    </xf>
    <xf numFmtId="41" fontId="15" fillId="0" borderId="225" xfId="0" applyNumberFormat="1" applyFont="1" applyBorder="1">
      <alignment vertical="center"/>
    </xf>
    <xf numFmtId="41" fontId="15" fillId="0" borderId="36" xfId="0" applyNumberFormat="1" applyFont="1" applyBorder="1">
      <alignment vertical="center"/>
    </xf>
    <xf numFmtId="41" fontId="15" fillId="0" borderId="60" xfId="147" applyNumberFormat="1" applyFont="1" applyBorder="1" applyAlignment="1">
      <alignment horizontal="center" vertical="center" shrinkToFit="1"/>
    </xf>
    <xf numFmtId="0" fontId="23" fillId="0" borderId="225" xfId="147" applyFont="1" applyBorder="1" applyAlignment="1">
      <alignment horizontal="left" vertical="center" shrinkToFit="1"/>
    </xf>
    <xf numFmtId="3" fontId="23" fillId="0" borderId="165" xfId="147" applyNumberFormat="1" applyFont="1" applyBorder="1" applyAlignment="1">
      <alignment horizontal="center" vertical="center" shrinkToFit="1"/>
    </xf>
    <xf numFmtId="192" fontId="15" fillId="0" borderId="60" xfId="147" applyNumberFormat="1" applyFont="1" applyBorder="1" applyAlignment="1">
      <alignment horizontal="center" vertical="center" shrinkToFit="1"/>
    </xf>
    <xf numFmtId="41" fontId="15" fillId="0" borderId="236" xfId="147" applyNumberFormat="1" applyFont="1" applyBorder="1" applyAlignment="1">
      <alignment horizontal="center" vertical="center" shrinkToFit="1"/>
    </xf>
    <xf numFmtId="192" fontId="15" fillId="0" borderId="15" xfId="147" applyNumberFormat="1" applyFont="1" applyBorder="1" applyAlignment="1">
      <alignment horizontal="center" vertical="center" shrinkToFit="1"/>
    </xf>
    <xf numFmtId="0" fontId="2" fillId="0" borderId="222" xfId="147" applyBorder="1" applyAlignment="1">
      <alignment horizontal="center" vertical="center"/>
    </xf>
    <xf numFmtId="0" fontId="2" fillId="0" borderId="220" xfId="147" applyBorder="1" applyAlignment="1">
      <alignment horizontal="center" vertical="center"/>
    </xf>
    <xf numFmtId="0" fontId="2" fillId="0" borderId="223" xfId="147" applyBorder="1" applyAlignment="1">
      <alignment horizontal="center" vertical="center"/>
    </xf>
    <xf numFmtId="41" fontId="162" fillId="0" borderId="33" xfId="0" applyNumberFormat="1" applyFont="1" applyBorder="1">
      <alignment vertical="center"/>
    </xf>
    <xf numFmtId="192" fontId="15" fillId="0" borderId="169" xfId="0" applyNumberFormat="1" applyFont="1" applyBorder="1">
      <alignment vertical="center"/>
    </xf>
    <xf numFmtId="192" fontId="15" fillId="0" borderId="16" xfId="147" applyNumberFormat="1" applyFont="1" applyBorder="1" applyAlignment="1">
      <alignment horizontal="center" vertical="center" shrinkToFit="1"/>
    </xf>
    <xf numFmtId="192" fontId="15" fillId="0" borderId="169" xfId="0" applyNumberFormat="1" applyFont="1" applyBorder="1" applyAlignment="1">
      <alignment horizontal="center" vertical="center" shrinkToFit="1"/>
    </xf>
    <xf numFmtId="41" fontId="15" fillId="0" borderId="33" xfId="0" applyNumberFormat="1" applyFont="1" applyBorder="1" applyAlignment="1">
      <alignment horizontal="center" vertical="center" shrinkToFit="1"/>
    </xf>
    <xf numFmtId="41" fontId="15" fillId="0" borderId="169" xfId="0" applyNumberFormat="1" applyFont="1" applyBorder="1" applyAlignment="1">
      <alignment horizontal="center" vertical="center" shrinkToFit="1"/>
    </xf>
    <xf numFmtId="192" fontId="15" fillId="0" borderId="33" xfId="0" applyNumberFormat="1" applyFont="1" applyBorder="1" applyAlignment="1">
      <alignment horizontal="center" vertical="center" shrinkToFit="1"/>
    </xf>
    <xf numFmtId="192" fontId="15" fillId="0" borderId="29" xfId="0" applyNumberFormat="1" applyFont="1" applyBorder="1" applyAlignment="1">
      <alignment horizontal="center" vertical="center" shrinkToFit="1"/>
    </xf>
    <xf numFmtId="41" fontId="15" fillId="0" borderId="29" xfId="0" applyNumberFormat="1" applyFont="1" applyBorder="1" applyAlignment="1">
      <alignment horizontal="center" vertical="center" shrinkToFit="1"/>
    </xf>
    <xf numFmtId="41" fontId="15" fillId="0" borderId="66" xfId="0" applyNumberFormat="1" applyFont="1" applyBorder="1" applyAlignment="1">
      <alignment horizontal="center" vertical="center" shrinkToFit="1"/>
    </xf>
    <xf numFmtId="41" fontId="15" fillId="0" borderId="225" xfId="0" applyNumberFormat="1" applyFont="1" applyBorder="1" applyAlignment="1">
      <alignment horizontal="center" vertical="center" shrinkToFit="1"/>
    </xf>
    <xf numFmtId="41" fontId="15" fillId="0" borderId="36" xfId="0" applyNumberFormat="1" applyFont="1" applyBorder="1" applyAlignment="1">
      <alignment horizontal="center" vertical="center" shrinkToFit="1"/>
    </xf>
    <xf numFmtId="192" fontId="15" fillId="0" borderId="225" xfId="0" applyNumberFormat="1" applyFont="1" applyBorder="1" applyAlignment="1">
      <alignment horizontal="center" vertical="center" shrinkToFit="1"/>
    </xf>
    <xf numFmtId="192" fontId="15" fillId="0" borderId="236" xfId="147" applyNumberFormat="1" applyFont="1" applyBorder="1" applyAlignment="1">
      <alignment horizontal="center" vertical="center" shrinkToFit="1"/>
    </xf>
    <xf numFmtId="0" fontId="15" fillId="0" borderId="34" xfId="148" applyFont="1" applyBorder="1" applyAlignment="1">
      <alignment horizontal="center" vertical="center" shrinkToFit="1"/>
    </xf>
    <xf numFmtId="0" fontId="23" fillId="0" borderId="220" xfId="148" applyFont="1" applyBorder="1" applyAlignment="1">
      <alignment vertical="center" shrinkToFit="1"/>
    </xf>
    <xf numFmtId="0" fontId="23" fillId="0" borderId="31" xfId="147" applyFont="1" applyBorder="1" applyAlignment="1">
      <alignment horizontal="left" vertical="center" shrinkToFit="1"/>
    </xf>
    <xf numFmtId="3" fontId="23" fillId="0" borderId="223" xfId="147" applyNumberFormat="1" applyFont="1" applyBorder="1" applyAlignment="1">
      <alignment horizontal="center" vertical="center" shrinkToFit="1"/>
    </xf>
    <xf numFmtId="41" fontId="15" fillId="0" borderId="103" xfId="147" applyNumberFormat="1" applyFont="1" applyBorder="1" applyAlignment="1">
      <alignment horizontal="center" vertical="center" shrinkToFit="1"/>
    </xf>
    <xf numFmtId="41" fontId="15" fillId="0" borderId="220" xfId="0" applyNumberFormat="1" applyFont="1" applyBorder="1">
      <alignment vertical="center"/>
    </xf>
    <xf numFmtId="41" fontId="15" fillId="0" borderId="34" xfId="0" applyNumberFormat="1" applyFont="1" applyBorder="1">
      <alignment vertical="center"/>
    </xf>
    <xf numFmtId="41" fontId="15" fillId="0" borderId="63" xfId="147" applyNumberFormat="1" applyFont="1" applyBorder="1" applyAlignment="1">
      <alignment horizontal="center" vertical="center" shrinkToFit="1"/>
    </xf>
    <xf numFmtId="0" fontId="164" fillId="0" borderId="0" xfId="147" applyFont="1">
      <alignment vertical="center"/>
    </xf>
    <xf numFmtId="0" fontId="156" fillId="0" borderId="124" xfId="147" applyFont="1" applyBorder="1">
      <alignment vertical="center"/>
    </xf>
    <xf numFmtId="0" fontId="156" fillId="0" borderId="169" xfId="147" applyFont="1" applyBorder="1" applyAlignment="1">
      <alignment horizontal="right" vertical="center"/>
    </xf>
    <xf numFmtId="0" fontId="156" fillId="0" borderId="169" xfId="147" applyFont="1" applyBorder="1" applyAlignment="1">
      <alignment horizontal="center" vertical="center"/>
    </xf>
    <xf numFmtId="0" fontId="156" fillId="0" borderId="169" xfId="147" applyFont="1" applyBorder="1">
      <alignment vertical="center"/>
    </xf>
    <xf numFmtId="41" fontId="156" fillId="0" borderId="169" xfId="149" applyFont="1" applyBorder="1">
      <alignment vertical="center"/>
    </xf>
    <xf numFmtId="41" fontId="2" fillId="0" borderId="169" xfId="147" applyNumberFormat="1" applyBorder="1">
      <alignment vertical="center"/>
    </xf>
    <xf numFmtId="0" fontId="2" fillId="0" borderId="13" xfId="147" applyBorder="1">
      <alignment vertical="center"/>
    </xf>
    <xf numFmtId="0" fontId="165" fillId="0" borderId="124" xfId="147" applyFont="1" applyBorder="1">
      <alignment vertical="center"/>
    </xf>
    <xf numFmtId="0" fontId="165" fillId="0" borderId="169" xfId="147" applyFont="1" applyBorder="1" applyAlignment="1">
      <alignment horizontal="right" vertical="center"/>
    </xf>
    <xf numFmtId="0" fontId="165" fillId="0" borderId="169" xfId="147" applyFont="1" applyBorder="1" applyAlignment="1">
      <alignment horizontal="center" vertical="center"/>
    </xf>
    <xf numFmtId="0" fontId="165" fillId="0" borderId="169" xfId="147" applyFont="1" applyBorder="1">
      <alignment vertical="center"/>
    </xf>
    <xf numFmtId="41" fontId="165" fillId="0" borderId="169" xfId="149" applyFont="1" applyBorder="1">
      <alignment vertical="center"/>
    </xf>
    <xf numFmtId="41" fontId="165" fillId="0" borderId="169" xfId="147" applyNumberFormat="1" applyFont="1" applyBorder="1">
      <alignment vertical="center"/>
    </xf>
    <xf numFmtId="0" fontId="165" fillId="0" borderId="13" xfId="147" applyFont="1" applyBorder="1">
      <alignment vertical="center"/>
    </xf>
    <xf numFmtId="0" fontId="165" fillId="0" borderId="0" xfId="147" applyFont="1">
      <alignment vertical="center"/>
    </xf>
    <xf numFmtId="0" fontId="160" fillId="0" borderId="169" xfId="147" applyFont="1" applyBorder="1" applyAlignment="1">
      <alignment horizontal="right" vertical="center"/>
    </xf>
    <xf numFmtId="0" fontId="160" fillId="0" borderId="169" xfId="147" applyFont="1" applyBorder="1" applyAlignment="1">
      <alignment horizontal="center" vertical="center"/>
    </xf>
    <xf numFmtId="41" fontId="156" fillId="0" borderId="169" xfId="149" applyFont="1" applyBorder="1" applyAlignment="1">
      <alignment vertical="center"/>
    </xf>
    <xf numFmtId="0" fontId="2" fillId="0" borderId="169" xfId="147" applyBorder="1">
      <alignment vertical="center"/>
    </xf>
    <xf numFmtId="0" fontId="160" fillId="0" borderId="169" xfId="147" applyFont="1" applyBorder="1">
      <alignment vertical="center"/>
    </xf>
    <xf numFmtId="0" fontId="159" fillId="0" borderId="169" xfId="147" applyFont="1" applyBorder="1">
      <alignment vertical="center"/>
    </xf>
    <xf numFmtId="41" fontId="142" fillId="0" borderId="169" xfId="147" applyNumberFormat="1" applyFont="1" applyBorder="1">
      <alignment vertical="center"/>
    </xf>
    <xf numFmtId="0" fontId="142" fillId="0" borderId="169" xfId="147" applyFont="1" applyBorder="1" applyAlignment="1">
      <alignment horizontal="right" vertical="center"/>
    </xf>
    <xf numFmtId="0" fontId="142" fillId="0" borderId="169" xfId="147" applyFont="1" applyBorder="1" applyAlignment="1">
      <alignment horizontal="center" vertical="center"/>
    </xf>
    <xf numFmtId="0" fontId="142" fillId="0" borderId="169" xfId="147" applyFont="1" applyBorder="1">
      <alignment vertical="center"/>
    </xf>
    <xf numFmtId="41" fontId="156" fillId="0" borderId="169" xfId="147" applyNumberFormat="1" applyFont="1" applyBorder="1">
      <alignment vertical="center"/>
    </xf>
    <xf numFmtId="0" fontId="164" fillId="0" borderId="124" xfId="147" applyFont="1" applyBorder="1">
      <alignment vertical="center"/>
    </xf>
    <xf numFmtId="0" fontId="164" fillId="0" borderId="169" xfId="147" applyFont="1" applyBorder="1" applyAlignment="1">
      <alignment horizontal="right" vertical="center"/>
    </xf>
    <xf numFmtId="0" fontId="164" fillId="0" borderId="169" xfId="147" applyFont="1" applyBorder="1" applyAlignment="1">
      <alignment horizontal="center" vertical="center"/>
    </xf>
    <xf numFmtId="0" fontId="164" fillId="0" borderId="169" xfId="147" applyFont="1" applyBorder="1">
      <alignment vertical="center"/>
    </xf>
    <xf numFmtId="0" fontId="164" fillId="0" borderId="13" xfId="147" applyFont="1" applyBorder="1">
      <alignment vertical="center"/>
    </xf>
    <xf numFmtId="41" fontId="159" fillId="0" borderId="169" xfId="147" applyNumberFormat="1" applyFont="1" applyBorder="1">
      <alignment vertical="center"/>
    </xf>
    <xf numFmtId="41" fontId="160" fillId="0" borderId="169" xfId="147" applyNumberFormat="1" applyFont="1" applyBorder="1">
      <alignment vertical="center"/>
    </xf>
    <xf numFmtId="193" fontId="160" fillId="0" borderId="169" xfId="147" applyNumberFormat="1" applyFont="1" applyBorder="1">
      <alignment vertical="center"/>
    </xf>
    <xf numFmtId="192" fontId="156" fillId="0" borderId="169" xfId="149" applyNumberFormat="1" applyFont="1" applyBorder="1">
      <alignment vertical="center"/>
    </xf>
    <xf numFmtId="41" fontId="0" fillId="0" borderId="169" xfId="149" applyFont="1" applyBorder="1" applyAlignment="1">
      <alignment vertical="center"/>
    </xf>
    <xf numFmtId="41" fontId="0" fillId="0" borderId="169" xfId="149" applyFont="1" applyFill="1" applyBorder="1" applyAlignment="1">
      <alignment vertical="center"/>
    </xf>
    <xf numFmtId="41" fontId="166" fillId="0" borderId="169" xfId="149" applyFont="1" applyBorder="1" applyAlignment="1">
      <alignment vertical="center"/>
    </xf>
    <xf numFmtId="41" fontId="160" fillId="0" borderId="169" xfId="149" applyFont="1" applyBorder="1" applyAlignment="1">
      <alignment vertical="center"/>
    </xf>
    <xf numFmtId="192" fontId="164" fillId="0" borderId="169" xfId="147" applyNumberFormat="1" applyFont="1" applyBorder="1">
      <alignment vertical="center"/>
    </xf>
    <xf numFmtId="192" fontId="142" fillId="0" borderId="169" xfId="147" applyNumberFormat="1" applyFont="1" applyBorder="1">
      <alignment vertical="center"/>
    </xf>
    <xf numFmtId="192" fontId="156" fillId="0" borderId="0" xfId="147" applyNumberFormat="1" applyFont="1">
      <alignment vertical="center"/>
    </xf>
    <xf numFmtId="0" fontId="160" fillId="0" borderId="124" xfId="147" applyFont="1" applyBorder="1">
      <alignment vertical="center"/>
    </xf>
    <xf numFmtId="0" fontId="160" fillId="0" borderId="13" xfId="147" applyFont="1" applyBorder="1">
      <alignment vertical="center"/>
    </xf>
    <xf numFmtId="41" fontId="164" fillId="0" borderId="169" xfId="147" applyNumberFormat="1" applyFont="1" applyBorder="1">
      <alignment vertical="center"/>
    </xf>
    <xf numFmtId="192" fontId="165" fillId="0" borderId="169" xfId="149" applyNumberFormat="1" applyFont="1" applyBorder="1">
      <alignment vertical="center"/>
    </xf>
    <xf numFmtId="193" fontId="142" fillId="0" borderId="169" xfId="147" applyNumberFormat="1" applyFont="1" applyBorder="1">
      <alignment vertical="center"/>
    </xf>
    <xf numFmtId="0" fontId="156" fillId="0" borderId="222" xfId="147" applyFont="1" applyBorder="1">
      <alignment vertical="center"/>
    </xf>
    <xf numFmtId="0" fontId="156" fillId="0" borderId="220" xfId="147" applyFont="1" applyBorder="1" applyAlignment="1">
      <alignment horizontal="center" vertical="center"/>
    </xf>
    <xf numFmtId="0" fontId="156" fillId="0" borderId="220" xfId="147" applyFont="1" applyBorder="1">
      <alignment vertical="center"/>
    </xf>
    <xf numFmtId="192" fontId="156" fillId="0" borderId="220" xfId="147" applyNumberFormat="1" applyFont="1" applyBorder="1">
      <alignment vertical="center"/>
    </xf>
    <xf numFmtId="193" fontId="156" fillId="0" borderId="220" xfId="147" applyNumberFormat="1" applyFont="1" applyBorder="1">
      <alignment vertical="center"/>
    </xf>
    <xf numFmtId="0" fontId="2" fillId="0" borderId="223" xfId="147" applyBorder="1">
      <alignment vertical="center"/>
    </xf>
    <xf numFmtId="41" fontId="2" fillId="0" borderId="0" xfId="147" applyNumberFormat="1">
      <alignment vertical="center"/>
    </xf>
    <xf numFmtId="193" fontId="2" fillId="0" borderId="0" xfId="147" applyNumberFormat="1">
      <alignment vertical="center"/>
    </xf>
    <xf numFmtId="41" fontId="160" fillId="0" borderId="0" xfId="147" applyNumberFormat="1" applyFont="1">
      <alignment vertical="center"/>
    </xf>
    <xf numFmtId="0" fontId="156" fillId="0" borderId="0" xfId="147" applyFont="1" applyAlignment="1">
      <alignment horizontal="left" vertical="center"/>
    </xf>
    <xf numFmtId="41" fontId="156" fillId="0" borderId="0" xfId="149" applyFont="1">
      <alignment vertical="center"/>
    </xf>
    <xf numFmtId="41" fontId="159" fillId="0" borderId="0" xfId="147" applyNumberFormat="1" applyFont="1">
      <alignment vertical="center"/>
    </xf>
    <xf numFmtId="0" fontId="15" fillId="17" borderId="169" xfId="147" applyFont="1" applyFill="1" applyBorder="1" applyAlignment="1">
      <alignment vertical="center" shrinkToFit="1"/>
    </xf>
    <xf numFmtId="192" fontId="2" fillId="0" borderId="0" xfId="147" applyNumberFormat="1">
      <alignment vertical="center"/>
    </xf>
    <xf numFmtId="192" fontId="160" fillId="0" borderId="0" xfId="147" applyNumberFormat="1" applyFont="1">
      <alignment vertical="center"/>
    </xf>
    <xf numFmtId="192" fontId="159" fillId="0" borderId="0" xfId="147" applyNumberFormat="1" applyFont="1">
      <alignment vertical="center"/>
    </xf>
    <xf numFmtId="0" fontId="15" fillId="17" borderId="0" xfId="147" applyFont="1" applyFill="1" applyAlignment="1">
      <alignment vertical="center" shrinkToFit="1"/>
    </xf>
    <xf numFmtId="0" fontId="37" fillId="0" borderId="0" xfId="147" applyFont="1" applyAlignment="1">
      <alignment horizontal="center" vertical="center"/>
    </xf>
    <xf numFmtId="0" fontId="37" fillId="0" borderId="0" xfId="147" applyFont="1">
      <alignment vertical="center"/>
    </xf>
    <xf numFmtId="0" fontId="15" fillId="0" borderId="0" xfId="147" applyFont="1">
      <alignment vertical="center"/>
    </xf>
    <xf numFmtId="0" fontId="167" fillId="0" borderId="0" xfId="147" applyFont="1">
      <alignment vertical="center"/>
    </xf>
    <xf numFmtId="0" fontId="139" fillId="0" borderId="0" xfId="147" applyFont="1">
      <alignment vertical="center"/>
    </xf>
    <xf numFmtId="41" fontId="15" fillId="0" borderId="16" xfId="0" applyNumberFormat="1" applyFont="1" applyBorder="1">
      <alignment vertical="center"/>
    </xf>
    <xf numFmtId="192" fontId="15" fillId="0" borderId="33" xfId="0" applyNumberFormat="1" applyFont="1" applyBorder="1">
      <alignment vertical="center"/>
    </xf>
    <xf numFmtId="192" fontId="15" fillId="0" borderId="33" xfId="0" applyNumberFormat="1" applyFont="1" applyBorder="1" applyAlignment="1">
      <alignment horizontal="center" vertical="center"/>
    </xf>
    <xf numFmtId="192" fontId="15" fillId="0" borderId="169" xfId="0" applyNumberFormat="1" applyFont="1" applyBorder="1" applyAlignment="1">
      <alignment horizontal="center" vertical="center"/>
    </xf>
    <xf numFmtId="192" fontId="162" fillId="0" borderId="33" xfId="0" applyNumberFormat="1" applyFont="1" applyBorder="1">
      <alignment vertical="center"/>
    </xf>
    <xf numFmtId="0" fontId="17" fillId="0" borderId="151" xfId="136" applyFont="1" applyBorder="1">
      <alignment vertical="center"/>
    </xf>
    <xf numFmtId="0" fontId="22" fillId="0" borderId="197" xfId="136" applyFont="1" applyBorder="1">
      <alignment vertical="center"/>
    </xf>
    <xf numFmtId="0" fontId="22" fillId="5" borderId="197" xfId="136" applyFont="1" applyFill="1" applyBorder="1">
      <alignment vertical="center"/>
    </xf>
    <xf numFmtId="0" fontId="22" fillId="0" borderId="123" xfId="136" applyFont="1" applyBorder="1">
      <alignment vertical="center"/>
    </xf>
    <xf numFmtId="0" fontId="22" fillId="0" borderId="13" xfId="136" applyFont="1" applyBorder="1">
      <alignment vertical="center"/>
    </xf>
    <xf numFmtId="0" fontId="22" fillId="0" borderId="13" xfId="136" applyFont="1" applyBorder="1" applyAlignment="1">
      <alignment horizontal="center" vertical="center"/>
    </xf>
    <xf numFmtId="3" fontId="120" fillId="0" borderId="222" xfId="151" applyFont="1" applyBorder="1" applyAlignment="1">
      <alignment horizontal="centerContinuous" vertical="center"/>
    </xf>
    <xf numFmtId="3" fontId="32" fillId="0" borderId="220" xfId="151" applyFont="1" applyBorder="1">
      <alignment vertical="center"/>
    </xf>
    <xf numFmtId="186" fontId="32" fillId="0" borderId="220" xfId="151" applyNumberFormat="1" applyFont="1" applyBorder="1">
      <alignment vertical="center"/>
    </xf>
    <xf numFmtId="3" fontId="25" fillId="0" borderId="220" xfId="152" applyNumberFormat="1" applyFont="1" applyBorder="1" applyAlignment="1">
      <alignment vertical="center"/>
    </xf>
    <xf numFmtId="3" fontId="120" fillId="0" borderId="223" xfId="151" applyFont="1" applyBorder="1" applyAlignment="1">
      <alignment horizontal="center" vertical="center"/>
    </xf>
    <xf numFmtId="41" fontId="23" fillId="0" borderId="169" xfId="132" applyFont="1" applyFill="1" applyBorder="1" applyAlignment="1">
      <alignment vertical="center"/>
    </xf>
    <xf numFmtId="41" fontId="27" fillId="4" borderId="0" xfId="132" applyFont="1" applyFill="1">
      <alignment vertical="center"/>
    </xf>
    <xf numFmtId="41" fontId="27" fillId="9" borderId="0" xfId="132" applyFont="1" applyFill="1" applyAlignment="1">
      <alignment vertical="center"/>
    </xf>
    <xf numFmtId="41" fontId="23" fillId="3" borderId="25" xfId="132" quotePrefix="1" applyFont="1" applyFill="1" applyBorder="1" applyAlignment="1">
      <alignment horizontal="center" vertical="center"/>
    </xf>
    <xf numFmtId="41" fontId="23" fillId="0" borderId="169" xfId="132" applyFont="1" applyFill="1" applyBorder="1" applyAlignment="1">
      <alignment horizontal="right" vertical="center"/>
    </xf>
    <xf numFmtId="41" fontId="23" fillId="8" borderId="169" xfId="132" applyFont="1" applyFill="1" applyBorder="1" applyAlignment="1">
      <alignment horizontal="center" vertical="center"/>
    </xf>
    <xf numFmtId="41" fontId="40" fillId="0" borderId="169" xfId="132" applyFont="1" applyFill="1" applyBorder="1" applyAlignment="1">
      <alignment vertical="center"/>
    </xf>
    <xf numFmtId="41" fontId="23" fillId="0" borderId="169" xfId="132" applyFont="1" applyFill="1" applyBorder="1" applyAlignment="1">
      <alignment vertical="center" shrinkToFit="1"/>
    </xf>
    <xf numFmtId="41" fontId="23" fillId="4" borderId="169" xfId="132" applyFont="1" applyFill="1" applyBorder="1" applyAlignment="1">
      <alignment vertical="center"/>
    </xf>
    <xf numFmtId="41" fontId="23" fillId="0" borderId="169" xfId="132" applyFont="1" applyBorder="1" applyAlignment="1">
      <alignment horizontal="center" vertical="center"/>
    </xf>
    <xf numFmtId="41" fontId="23" fillId="0" borderId="169" xfId="132" applyFont="1" applyBorder="1" applyAlignment="1">
      <alignment vertical="center"/>
    </xf>
    <xf numFmtId="41" fontId="36" fillId="0" borderId="169" xfId="132" applyFont="1" applyBorder="1" applyAlignment="1">
      <alignment horizontal="right" vertical="center"/>
    </xf>
    <xf numFmtId="41" fontId="23" fillId="0" borderId="169" xfId="132" applyFont="1" applyBorder="1" applyAlignment="1">
      <alignment horizontal="right" vertical="center"/>
    </xf>
    <xf numFmtId="41" fontId="23" fillId="0" borderId="169" xfId="132" applyFont="1" applyFill="1" applyBorder="1">
      <alignment vertical="center"/>
    </xf>
    <xf numFmtId="41" fontId="23" fillId="0" borderId="174" xfId="132" applyFont="1" applyFill="1" applyBorder="1" applyAlignment="1">
      <alignment horizontal="right" vertical="center"/>
    </xf>
    <xf numFmtId="41" fontId="27" fillId="0" borderId="0" xfId="132" applyFont="1" applyFill="1">
      <alignment vertical="center"/>
    </xf>
    <xf numFmtId="41" fontId="36" fillId="10" borderId="169" xfId="132" applyFont="1" applyFill="1" applyBorder="1" applyAlignment="1">
      <alignment horizontal="right" vertical="center"/>
    </xf>
    <xf numFmtId="41" fontId="36" fillId="16" borderId="169" xfId="132" applyFont="1" applyFill="1" applyBorder="1" applyAlignment="1">
      <alignment horizontal="right" vertical="center"/>
    </xf>
    <xf numFmtId="41" fontId="36" fillId="8" borderId="169" xfId="132" applyFont="1" applyFill="1" applyBorder="1" applyAlignment="1">
      <alignment horizontal="right" vertical="center"/>
    </xf>
    <xf numFmtId="41" fontId="36" fillId="5" borderId="169" xfId="132" applyFont="1" applyFill="1" applyBorder="1" applyAlignment="1">
      <alignment vertical="center"/>
    </xf>
    <xf numFmtId="41" fontId="38" fillId="0" borderId="169" xfId="132" applyFont="1" applyBorder="1" applyAlignment="1">
      <alignment vertical="center"/>
    </xf>
    <xf numFmtId="41" fontId="36" fillId="5" borderId="169" xfId="132" applyFont="1" applyFill="1" applyBorder="1" applyAlignment="1">
      <alignment horizontal="center" vertical="center"/>
    </xf>
    <xf numFmtId="41" fontId="23" fillId="0" borderId="169" xfId="132" quotePrefix="1" applyFont="1" applyFill="1" applyBorder="1" applyAlignment="1">
      <alignment horizontal="right" vertical="center"/>
    </xf>
    <xf numFmtId="41" fontId="36" fillId="5" borderId="169" xfId="132" quotePrefix="1" applyFont="1" applyFill="1" applyBorder="1" applyAlignment="1">
      <alignment horizontal="right" vertical="center"/>
    </xf>
    <xf numFmtId="41" fontId="36" fillId="5" borderId="169" xfId="132" applyFont="1" applyFill="1" applyBorder="1" applyAlignment="1">
      <alignment horizontal="right" vertical="center"/>
    </xf>
    <xf numFmtId="41" fontId="36" fillId="0" borderId="169" xfId="132" applyFont="1" applyFill="1" applyBorder="1" applyAlignment="1">
      <alignment horizontal="right" vertical="center"/>
    </xf>
    <xf numFmtId="41" fontId="36" fillId="5" borderId="174" xfId="132" applyFont="1" applyFill="1" applyBorder="1" applyAlignment="1">
      <alignment horizontal="right" vertical="center"/>
    </xf>
    <xf numFmtId="0" fontId="26" fillId="0" borderId="224" xfId="0" applyFont="1" applyBorder="1" applyAlignment="1">
      <alignment horizontal="center" vertical="center"/>
    </xf>
    <xf numFmtId="3" fontId="26" fillId="0" borderId="225" xfId="0" applyNumberFormat="1" applyFont="1" applyBorder="1" applyAlignment="1">
      <alignment horizontal="left" vertical="center"/>
    </xf>
    <xf numFmtId="3" fontId="26" fillId="0" borderId="225" xfId="0" applyNumberFormat="1" applyFont="1" applyBorder="1" applyAlignment="1">
      <alignment horizontal="center" vertical="center"/>
    </xf>
    <xf numFmtId="41" fontId="26" fillId="0" borderId="225" xfId="0" applyNumberFormat="1" applyFont="1" applyBorder="1" applyAlignment="1">
      <alignment horizontal="right" vertical="center"/>
    </xf>
    <xf numFmtId="41" fontId="26" fillId="0" borderId="225" xfId="0" applyNumberFormat="1" applyFont="1" applyBorder="1" applyAlignment="1">
      <alignment horizontal="center" vertical="center" wrapText="1"/>
    </xf>
    <xf numFmtId="41" fontId="26" fillId="0" borderId="225" xfId="0" applyNumberFormat="1" applyFont="1" applyBorder="1">
      <alignment vertical="center"/>
    </xf>
    <xf numFmtId="41" fontId="26" fillId="0" borderId="237" xfId="0" applyNumberFormat="1" applyFont="1" applyBorder="1" applyAlignment="1">
      <alignment horizontal="left" vertical="center" shrinkToFit="1"/>
    </xf>
    <xf numFmtId="9" fontId="23" fillId="0" borderId="169" xfId="0" applyNumberFormat="1" applyFont="1" applyBorder="1" applyAlignment="1">
      <alignment horizontal="center" vertical="center"/>
    </xf>
    <xf numFmtId="9" fontId="23" fillId="0" borderId="169" xfId="146" applyFont="1" applyFill="1" applyBorder="1" applyAlignment="1">
      <alignment horizontal="center" vertical="center"/>
    </xf>
    <xf numFmtId="0" fontId="23" fillId="0" borderId="12" xfId="0" applyFont="1" applyBorder="1" applyAlignment="1">
      <alignment horizontal="center" vertical="center" wrapText="1"/>
    </xf>
    <xf numFmtId="0" fontId="27" fillId="9" borderId="0" xfId="0" applyFont="1" applyFill="1" applyAlignment="1">
      <alignment horizontal="left" vertical="center"/>
    </xf>
    <xf numFmtId="0" fontId="23" fillId="0" borderId="169" xfId="0" applyFont="1" applyBorder="1" applyAlignment="1">
      <alignment vertical="center" wrapText="1"/>
    </xf>
    <xf numFmtId="3" fontId="17" fillId="0" borderId="49" xfId="0" applyNumberFormat="1" applyFont="1" applyBorder="1" applyAlignment="1">
      <alignment horizontal="center" vertical="center"/>
    </xf>
    <xf numFmtId="3" fontId="23" fillId="0" borderId="129" xfId="0" applyNumberFormat="1" applyFont="1" applyBorder="1" applyAlignment="1">
      <alignment horizontal="left" vertical="center"/>
    </xf>
    <xf numFmtId="3" fontId="23" fillId="0" borderId="129" xfId="0" applyNumberFormat="1" applyFont="1" applyBorder="1" applyAlignment="1">
      <alignment horizontal="left" vertical="center" shrinkToFit="1"/>
    </xf>
    <xf numFmtId="41" fontId="23" fillId="0" borderId="129" xfId="0" applyNumberFormat="1" applyFont="1" applyBorder="1" applyAlignment="1">
      <alignment horizontal="center" vertical="center" shrinkToFit="1"/>
    </xf>
    <xf numFmtId="41" fontId="23" fillId="0" borderId="129" xfId="0" applyNumberFormat="1" applyFont="1" applyBorder="1" applyAlignment="1">
      <alignment horizontal="center" vertical="center"/>
    </xf>
    <xf numFmtId="0" fontId="23" fillId="0" borderId="238" xfId="0" applyFont="1" applyBorder="1" applyAlignment="1">
      <alignment horizontal="center" vertical="center"/>
    </xf>
    <xf numFmtId="3" fontId="17" fillId="0" borderId="53" xfId="0" applyNumberFormat="1" applyFont="1" applyBorder="1" applyAlignment="1">
      <alignment horizontal="center" vertical="center"/>
    </xf>
    <xf numFmtId="3" fontId="23" fillId="0" borderId="6" xfId="0" applyNumberFormat="1" applyFont="1" applyBorder="1" applyAlignment="1">
      <alignment horizontal="left" vertical="center"/>
    </xf>
    <xf numFmtId="3" fontId="23" fillId="0" borderId="6" xfId="0" applyNumberFormat="1" applyFont="1" applyBorder="1" applyAlignment="1">
      <alignment horizontal="left" vertical="center" shrinkToFit="1"/>
    </xf>
    <xf numFmtId="3" fontId="23" fillId="0" borderId="6" xfId="0" applyNumberFormat="1" applyFont="1" applyBorder="1" applyAlignment="1">
      <alignment horizontal="center" vertical="center" shrinkToFit="1"/>
    </xf>
    <xf numFmtId="41" fontId="23" fillId="0" borderId="6" xfId="0" applyNumberFormat="1" applyFont="1" applyBorder="1" applyAlignment="1">
      <alignment horizontal="center" vertical="center"/>
    </xf>
    <xf numFmtId="0" fontId="23" fillId="0" borderId="6" xfId="0" applyFont="1" applyBorder="1" applyAlignment="1">
      <alignment horizontal="center" vertical="center"/>
    </xf>
    <xf numFmtId="0" fontId="23" fillId="0" borderId="102" xfId="0" applyFont="1" applyBorder="1" applyAlignment="1">
      <alignment horizontal="center" vertical="center"/>
    </xf>
    <xf numFmtId="10" fontId="15" fillId="5" borderId="33" xfId="0" applyNumberFormat="1" applyFont="1" applyFill="1" applyBorder="1">
      <alignment vertical="center"/>
    </xf>
    <xf numFmtId="49" fontId="15" fillId="5" borderId="16" xfId="0" applyNumberFormat="1" applyFont="1" applyFill="1" applyBorder="1">
      <alignment vertical="center"/>
    </xf>
    <xf numFmtId="10" fontId="15" fillId="5" borderId="29" xfId="0" applyNumberFormat="1" applyFont="1" applyFill="1" applyBorder="1" applyAlignment="1">
      <alignment horizontal="center" vertical="center"/>
    </xf>
    <xf numFmtId="10" fontId="96" fillId="0" borderId="0" xfId="145" applyNumberFormat="1" applyFont="1" applyAlignment="1">
      <alignment horizontal="right" vertical="center"/>
    </xf>
    <xf numFmtId="10" fontId="96" fillId="0" borderId="0" xfId="145" applyNumberFormat="1" applyFont="1" applyAlignment="1">
      <alignment horizontal="left" vertical="center"/>
    </xf>
    <xf numFmtId="10" fontId="23" fillId="0" borderId="169" xfId="0" applyNumberFormat="1" applyFont="1" applyBorder="1" applyAlignment="1">
      <alignment horizontal="center" vertical="center"/>
    </xf>
    <xf numFmtId="49" fontId="96" fillId="0" borderId="0" xfId="145" applyNumberFormat="1" applyFont="1" applyAlignment="1">
      <alignment horizontal="right" vertical="center"/>
    </xf>
    <xf numFmtId="10" fontId="23" fillId="0" borderId="169" xfId="0" applyNumberFormat="1" applyFont="1" applyBorder="1" applyAlignment="1">
      <alignment horizontal="left" vertical="center"/>
    </xf>
    <xf numFmtId="41" fontId="31" fillId="0" borderId="24" xfId="0" applyNumberFormat="1" applyFont="1" applyBorder="1">
      <alignment vertical="center"/>
    </xf>
    <xf numFmtId="41" fontId="31" fillId="0" borderId="211" xfId="0" applyNumberFormat="1" applyFont="1" applyBorder="1">
      <alignment vertical="center"/>
    </xf>
    <xf numFmtId="0" fontId="2" fillId="4" borderId="214" xfId="154" applyFill="1" applyBorder="1">
      <alignment vertical="center"/>
    </xf>
    <xf numFmtId="0" fontId="2" fillId="4" borderId="0" xfId="154" applyFill="1">
      <alignment vertical="center"/>
    </xf>
    <xf numFmtId="0" fontId="104" fillId="4" borderId="0" xfId="155" applyFont="1" applyFill="1" applyAlignment="1">
      <alignment vertical="center"/>
    </xf>
    <xf numFmtId="0" fontId="105" fillId="4" borderId="0" xfId="154" applyFont="1" applyFill="1">
      <alignment vertical="center"/>
    </xf>
    <xf numFmtId="0" fontId="32" fillId="3" borderId="198" xfId="154" applyFont="1" applyFill="1" applyBorder="1" applyAlignment="1">
      <alignment horizontal="center" vertical="center"/>
    </xf>
    <xf numFmtId="0" fontId="32" fillId="3" borderId="212" xfId="154" applyFont="1" applyFill="1" applyBorder="1" applyAlignment="1">
      <alignment horizontal="center" vertical="center"/>
    </xf>
    <xf numFmtId="0" fontId="32" fillId="4" borderId="214" xfId="154" applyFont="1" applyFill="1" applyBorder="1">
      <alignment vertical="center"/>
    </xf>
    <xf numFmtId="0" fontId="32" fillId="4" borderId="213" xfId="154" applyFont="1" applyFill="1" applyBorder="1">
      <alignment vertical="center"/>
    </xf>
    <xf numFmtId="0" fontId="15" fillId="4" borderId="215" xfId="154" applyFont="1" applyFill="1" applyBorder="1">
      <alignment vertical="center"/>
    </xf>
    <xf numFmtId="0" fontId="23" fillId="4" borderId="213" xfId="154" applyFont="1" applyFill="1" applyBorder="1">
      <alignment vertical="center"/>
    </xf>
    <xf numFmtId="0" fontId="32" fillId="4" borderId="0" xfId="154" applyFont="1" applyFill="1">
      <alignment vertical="center"/>
    </xf>
    <xf numFmtId="0" fontId="32" fillId="4" borderId="44" xfId="154" applyFont="1" applyFill="1" applyBorder="1">
      <alignment vertical="center"/>
    </xf>
    <xf numFmtId="0" fontId="15" fillId="4" borderId="71" xfId="154" applyFont="1" applyFill="1" applyBorder="1">
      <alignment vertical="center"/>
    </xf>
    <xf numFmtId="0" fontId="23" fillId="4" borderId="44" xfId="154" applyFont="1" applyFill="1" applyBorder="1">
      <alignment vertical="center"/>
    </xf>
    <xf numFmtId="0" fontId="15" fillId="4" borderId="44" xfId="154" applyFont="1" applyFill="1" applyBorder="1">
      <alignment vertical="center"/>
    </xf>
    <xf numFmtId="0" fontId="32" fillId="4" borderId="72" xfId="154" applyFont="1" applyFill="1" applyBorder="1">
      <alignment vertical="center"/>
    </xf>
    <xf numFmtId="0" fontId="32" fillId="4" borderId="24" xfId="154" applyFont="1" applyFill="1" applyBorder="1">
      <alignment vertical="center"/>
    </xf>
    <xf numFmtId="0" fontId="40" fillId="4" borderId="72" xfId="154" applyFont="1" applyFill="1" applyBorder="1">
      <alignment vertical="center"/>
    </xf>
    <xf numFmtId="0" fontId="15" fillId="4" borderId="69" xfId="154" applyFont="1" applyFill="1" applyBorder="1">
      <alignment vertical="center"/>
    </xf>
    <xf numFmtId="0" fontId="23" fillId="4" borderId="72" xfId="154" applyFont="1" applyFill="1" applyBorder="1">
      <alignment vertical="center"/>
    </xf>
    <xf numFmtId="0" fontId="40" fillId="4" borderId="44" xfId="154" applyFont="1" applyFill="1" applyBorder="1">
      <alignment vertical="center"/>
    </xf>
    <xf numFmtId="0" fontId="40" fillId="4" borderId="71" xfId="154" applyFont="1" applyFill="1" applyBorder="1">
      <alignment vertical="center"/>
    </xf>
    <xf numFmtId="0" fontId="40" fillId="4" borderId="71" xfId="154" applyFont="1" applyFill="1" applyBorder="1" applyAlignment="1">
      <alignment horizontal="left" vertical="center" wrapText="1"/>
    </xf>
    <xf numFmtId="0" fontId="32" fillId="4" borderId="69" xfId="154" applyFont="1" applyFill="1" applyBorder="1">
      <alignment vertical="center"/>
    </xf>
    <xf numFmtId="0" fontId="32" fillId="4" borderId="71" xfId="154" applyFont="1" applyFill="1" applyBorder="1">
      <alignment vertical="center"/>
    </xf>
    <xf numFmtId="0" fontId="15" fillId="4" borderId="214" xfId="154" applyFont="1" applyFill="1" applyBorder="1">
      <alignment vertical="center"/>
    </xf>
    <xf numFmtId="0" fontId="169" fillId="4" borderId="44" xfId="154" applyFont="1" applyFill="1" applyBorder="1">
      <alignment vertical="center"/>
    </xf>
    <xf numFmtId="0" fontId="15" fillId="4" borderId="0" xfId="154" applyFont="1" applyFill="1">
      <alignment vertical="center"/>
    </xf>
    <xf numFmtId="0" fontId="15" fillId="4" borderId="24" xfId="154" applyFont="1" applyFill="1" applyBorder="1">
      <alignment vertical="center"/>
    </xf>
    <xf numFmtId="0" fontId="15" fillId="4" borderId="72" xfId="154" applyFont="1" applyFill="1" applyBorder="1">
      <alignment vertical="center"/>
    </xf>
    <xf numFmtId="0" fontId="2" fillId="4" borderId="214" xfId="154" applyFill="1" applyBorder="1" applyAlignment="1">
      <alignment horizontal="center" vertical="center"/>
    </xf>
    <xf numFmtId="0" fontId="2" fillId="4" borderId="0" xfId="154" applyFill="1" applyAlignment="1">
      <alignment horizontal="center" vertical="center"/>
    </xf>
    <xf numFmtId="0" fontId="65" fillId="0" borderId="229" xfId="0" applyFont="1" applyBorder="1" applyAlignment="1">
      <alignment horizontal="center" vertical="center"/>
    </xf>
    <xf numFmtId="0" fontId="161" fillId="2" borderId="0" xfId="0" applyFont="1" applyFill="1">
      <alignment vertical="center"/>
    </xf>
    <xf numFmtId="0" fontId="93" fillId="2" borderId="0" xfId="0" applyFont="1" applyFill="1">
      <alignment vertical="center"/>
    </xf>
    <xf numFmtId="0" fontId="93" fillId="0" borderId="0" xfId="0" applyFont="1">
      <alignment vertical="center"/>
    </xf>
    <xf numFmtId="0" fontId="93" fillId="2" borderId="0" xfId="0" quotePrefix="1" applyFont="1" applyFill="1">
      <alignment vertical="center"/>
    </xf>
    <xf numFmtId="0" fontId="37" fillId="2" borderId="0" xfId="0" applyFont="1" applyFill="1">
      <alignment vertical="center"/>
    </xf>
    <xf numFmtId="37" fontId="25" fillId="3" borderId="198" xfId="0" quotePrefix="1" applyNumberFormat="1" applyFont="1" applyFill="1" applyBorder="1" applyAlignment="1">
      <alignment horizontal="center" vertical="center"/>
    </xf>
    <xf numFmtId="0" fontId="40" fillId="2" borderId="206" xfId="156" applyFont="1" applyFill="1" applyBorder="1" applyAlignment="1">
      <alignment horizontal="center" vertical="center" shrinkToFit="1"/>
    </xf>
    <xf numFmtId="0" fontId="40" fillId="2" borderId="65" xfId="156" applyFont="1" applyFill="1" applyBorder="1" applyAlignment="1">
      <alignment horizontal="center" vertical="center" shrinkToFit="1"/>
    </xf>
    <xf numFmtId="0" fontId="40" fillId="2" borderId="60" xfId="156" applyFont="1" applyFill="1" applyBorder="1" applyAlignment="1">
      <alignment horizontal="center" vertical="center" shrinkToFit="1"/>
    </xf>
    <xf numFmtId="0" fontId="40" fillId="2" borderId="149" xfId="0" applyFont="1" applyFill="1" applyBorder="1" applyAlignment="1">
      <alignment horizontal="center" vertical="center" shrinkToFit="1"/>
    </xf>
    <xf numFmtId="0" fontId="40" fillId="0" borderId="221" xfId="0" applyFont="1" applyBorder="1">
      <alignment vertical="center"/>
    </xf>
    <xf numFmtId="0" fontId="40" fillId="0" borderId="203" xfId="0" applyFont="1" applyBorder="1">
      <alignment vertical="center"/>
    </xf>
    <xf numFmtId="0" fontId="40" fillId="0" borderId="124" xfId="0" applyFont="1" applyBorder="1">
      <alignment vertical="center"/>
    </xf>
    <xf numFmtId="0" fontId="40" fillId="0" borderId="225" xfId="0" applyFont="1" applyBorder="1">
      <alignment vertical="center"/>
    </xf>
    <xf numFmtId="0" fontId="40" fillId="0" borderId="222" xfId="0" applyFont="1" applyBorder="1">
      <alignment vertical="center"/>
    </xf>
    <xf numFmtId="0" fontId="40" fillId="0" borderId="220" xfId="0" applyFont="1" applyBorder="1">
      <alignment vertical="center"/>
    </xf>
    <xf numFmtId="0" fontId="40" fillId="19" borderId="220" xfId="0" applyFont="1" applyFill="1" applyBorder="1">
      <alignment vertical="center"/>
    </xf>
    <xf numFmtId="0" fontId="40" fillId="0" borderId="170" xfId="0" applyFont="1" applyBorder="1">
      <alignment vertical="center"/>
    </xf>
    <xf numFmtId="0" fontId="40" fillId="19" borderId="202" xfId="0" applyFont="1" applyFill="1" applyBorder="1" applyAlignment="1">
      <alignment horizontal="center" vertical="center"/>
    </xf>
    <xf numFmtId="0" fontId="40" fillId="19" borderId="225" xfId="0" applyFont="1" applyFill="1" applyBorder="1">
      <alignment vertical="center"/>
    </xf>
    <xf numFmtId="0" fontId="40" fillId="0" borderId="224" xfId="0" applyFont="1" applyBorder="1">
      <alignment vertical="center"/>
    </xf>
    <xf numFmtId="0" fontId="40" fillId="0" borderId="120" xfId="0" applyFont="1" applyBorder="1" applyAlignment="1">
      <alignment horizontal="center" vertical="center"/>
    </xf>
    <xf numFmtId="0" fontId="40" fillId="0" borderId="226" xfId="0" applyFont="1" applyBorder="1" applyAlignment="1">
      <alignment horizontal="center" vertical="center"/>
    </xf>
    <xf numFmtId="0" fontId="40" fillId="19" borderId="182" xfId="0" applyFont="1" applyFill="1" applyBorder="1" applyAlignment="1">
      <alignment horizontal="center" vertical="center"/>
    </xf>
    <xf numFmtId="0" fontId="40" fillId="2" borderId="216" xfId="0" applyFont="1" applyFill="1" applyBorder="1" applyAlignment="1">
      <alignment horizontal="center" vertical="center" shrinkToFit="1"/>
    </xf>
    <xf numFmtId="0" fontId="40" fillId="19" borderId="197" xfId="0" applyFont="1" applyFill="1" applyBorder="1" applyAlignment="1">
      <alignment horizontal="center" vertical="center"/>
    </xf>
    <xf numFmtId="0" fontId="40" fillId="22" borderId="225" xfId="0" applyFont="1" applyFill="1" applyBorder="1">
      <alignment vertical="center"/>
    </xf>
    <xf numFmtId="0" fontId="40" fillId="22" borderId="197" xfId="0" applyFont="1" applyFill="1" applyBorder="1" applyAlignment="1">
      <alignment horizontal="center" vertical="center"/>
    </xf>
    <xf numFmtId="0" fontId="40" fillId="22" borderId="152" xfId="0" applyFont="1" applyFill="1" applyBorder="1">
      <alignment vertical="center"/>
    </xf>
    <xf numFmtId="0" fontId="40" fillId="22" borderId="220" xfId="0" applyFont="1" applyFill="1" applyBorder="1">
      <alignment vertical="center"/>
    </xf>
    <xf numFmtId="0" fontId="40" fillId="22" borderId="121" xfId="0" applyFont="1" applyFill="1" applyBorder="1" applyAlignment="1">
      <alignment horizontal="center" vertical="center"/>
    </xf>
    <xf numFmtId="0" fontId="40" fillId="22" borderId="153" xfId="0" applyFont="1" applyFill="1" applyBorder="1" applyAlignment="1">
      <alignment horizontal="center" vertical="center"/>
    </xf>
    <xf numFmtId="0" fontId="31" fillId="0" borderId="240" xfId="0" applyFont="1" applyBorder="1" applyAlignment="1">
      <alignment horizontal="left" vertical="center"/>
    </xf>
    <xf numFmtId="0" fontId="107" fillId="0" borderId="215" xfId="0" applyFont="1" applyBorder="1" applyAlignment="1">
      <alignment horizontal="centerContinuous" vertical="center"/>
    </xf>
    <xf numFmtId="0" fontId="31" fillId="0" borderId="216" xfId="0" applyFont="1" applyBorder="1" applyAlignment="1">
      <alignment vertical="center" shrinkToFit="1"/>
    </xf>
    <xf numFmtId="41" fontId="107" fillId="0" borderId="216" xfId="0" applyNumberFormat="1" applyFont="1" applyBorder="1">
      <alignment vertical="center"/>
    </xf>
    <xf numFmtId="41" fontId="107" fillId="0" borderId="241" xfId="0" applyNumberFormat="1" applyFont="1" applyBorder="1">
      <alignment vertical="center"/>
    </xf>
    <xf numFmtId="0" fontId="164" fillId="0" borderId="9" xfId="147" applyFont="1" applyBorder="1">
      <alignment vertical="center"/>
    </xf>
    <xf numFmtId="0" fontId="164" fillId="0" borderId="10" xfId="147" applyFont="1" applyBorder="1" applyAlignment="1">
      <alignment horizontal="right" vertical="center"/>
    </xf>
    <xf numFmtId="0" fontId="164" fillId="0" borderId="10" xfId="147" applyFont="1" applyBorder="1" applyAlignment="1">
      <alignment horizontal="center" vertical="center"/>
    </xf>
    <xf numFmtId="0" fontId="164" fillId="0" borderId="10" xfId="147" applyFont="1" applyBorder="1">
      <alignment vertical="center"/>
    </xf>
    <xf numFmtId="41" fontId="164" fillId="0" borderId="10" xfId="149" applyFont="1" applyBorder="1" applyAlignment="1">
      <alignment vertical="center"/>
    </xf>
    <xf numFmtId="41" fontId="164" fillId="0" borderId="10" xfId="147" applyNumberFormat="1" applyFont="1" applyBorder="1">
      <alignment vertical="center"/>
    </xf>
    <xf numFmtId="0" fontId="164" fillId="0" borderId="11" xfId="147" applyFont="1" applyBorder="1">
      <alignment vertical="center"/>
    </xf>
    <xf numFmtId="0" fontId="2" fillId="0" borderId="24" xfId="147" applyBorder="1">
      <alignment vertical="center"/>
    </xf>
    <xf numFmtId="0" fontId="15" fillId="0" borderId="5" xfId="148" applyFont="1" applyBorder="1" applyAlignment="1">
      <alignment horizontal="center" vertical="center" shrinkToFit="1"/>
    </xf>
    <xf numFmtId="0" fontId="23" fillId="0" borderId="220" xfId="147" applyFont="1" applyBorder="1" applyAlignment="1">
      <alignment horizontal="left" vertical="center" wrapText="1" shrinkToFit="1"/>
    </xf>
    <xf numFmtId="192" fontId="15" fillId="0" borderId="34" xfId="0" applyNumberFormat="1" applyFont="1" applyBorder="1" applyAlignment="1">
      <alignment horizontal="center" vertical="center" shrinkToFit="1"/>
    </xf>
    <xf numFmtId="0" fontId="26" fillId="0" borderId="222" xfId="0" applyFont="1" applyBorder="1" applyAlignment="1">
      <alignment horizontal="center" vertical="center"/>
    </xf>
    <xf numFmtId="3" fontId="26" fillId="0" borderId="220" xfId="0" applyNumberFormat="1" applyFont="1" applyBorder="1" applyAlignment="1">
      <alignment horizontal="left" vertical="center"/>
    </xf>
    <xf numFmtId="3" fontId="26" fillId="0" borderId="220" xfId="0" applyNumberFormat="1" applyFont="1" applyBorder="1" applyAlignment="1">
      <alignment horizontal="center" vertical="center"/>
    </xf>
    <xf numFmtId="41" fontId="26" fillId="0" borderId="220" xfId="0" applyNumberFormat="1" applyFont="1" applyBorder="1" applyAlignment="1">
      <alignment horizontal="center" vertical="center" shrinkToFit="1"/>
    </xf>
    <xf numFmtId="41" fontId="26" fillId="0" borderId="220" xfId="138" applyNumberFormat="1" applyFont="1" applyFill="1" applyBorder="1" applyAlignment="1">
      <alignment horizontal="right" vertical="center"/>
    </xf>
    <xf numFmtId="41" fontId="26" fillId="0" borderId="220" xfId="132" applyFont="1" applyFill="1" applyBorder="1" applyAlignment="1">
      <alignment horizontal="center" vertical="center" wrapText="1"/>
    </xf>
    <xf numFmtId="41" fontId="26" fillId="0" borderId="220" xfId="132" applyFont="1" applyFill="1" applyBorder="1">
      <alignment vertical="center"/>
    </xf>
    <xf numFmtId="41" fontId="26" fillId="0" borderId="220" xfId="0" applyNumberFormat="1" applyFont="1" applyBorder="1">
      <alignment vertical="center"/>
    </xf>
    <xf numFmtId="41" fontId="26" fillId="0" borderId="223" xfId="0" applyNumberFormat="1" applyFont="1" applyBorder="1" applyAlignment="1">
      <alignment horizontal="left" vertical="center" shrinkToFit="1"/>
    </xf>
    <xf numFmtId="41" fontId="26" fillId="0" borderId="196" xfId="0" applyNumberFormat="1" applyFont="1" applyBorder="1" applyAlignment="1">
      <alignment horizontal="left" vertical="center" shrinkToFit="1"/>
    </xf>
    <xf numFmtId="0" fontId="171" fillId="23" borderId="0" xfId="157" applyAlignment="1">
      <alignment vertical="center"/>
    </xf>
    <xf numFmtId="3" fontId="23" fillId="24" borderId="12" xfId="0" applyNumberFormat="1" applyFont="1" applyFill="1" applyBorder="1" applyAlignment="1">
      <alignment horizontal="center" vertical="center" shrinkToFit="1"/>
    </xf>
    <xf numFmtId="0" fontId="23" fillId="24" borderId="169" xfId="0" applyFont="1" applyFill="1" applyBorder="1" applyAlignment="1">
      <alignment horizontal="center" vertical="center"/>
    </xf>
    <xf numFmtId="0" fontId="23" fillId="24" borderId="29" xfId="0" applyFont="1" applyFill="1" applyBorder="1" applyAlignment="1">
      <alignment horizontal="center" vertical="center"/>
    </xf>
    <xf numFmtId="0" fontId="15" fillId="24" borderId="173" xfId="0" applyFont="1" applyFill="1" applyBorder="1">
      <alignment vertical="center"/>
    </xf>
    <xf numFmtId="3" fontId="40" fillId="24" borderId="0" xfId="0" applyNumberFormat="1" applyFont="1" applyFill="1" applyAlignment="1">
      <alignment horizontal="center" vertical="center"/>
    </xf>
    <xf numFmtId="0" fontId="117" fillId="24" borderId="124" xfId="0" applyFont="1" applyFill="1" applyBorder="1" applyAlignment="1">
      <alignment horizontal="right" vertical="center"/>
    </xf>
    <xf numFmtId="0" fontId="23" fillId="24" borderId="169" xfId="0" applyFont="1" applyFill="1" applyBorder="1" applyAlignment="1">
      <alignment vertical="center" shrinkToFit="1"/>
    </xf>
    <xf numFmtId="0" fontId="23" fillId="24" borderId="169" xfId="0" applyFont="1" applyFill="1" applyBorder="1" applyAlignment="1">
      <alignment horizontal="center" vertical="center" shrinkToFit="1"/>
    </xf>
    <xf numFmtId="41" fontId="23" fillId="24" borderId="169" xfId="132" applyFont="1" applyFill="1" applyBorder="1" applyAlignment="1">
      <alignment vertical="center" shrinkToFit="1"/>
    </xf>
    <xf numFmtId="0" fontId="23" fillId="24" borderId="13" xfId="0" applyFont="1" applyFill="1" applyBorder="1" applyAlignment="1">
      <alignment horizontal="center" vertical="center" shrinkToFit="1"/>
    </xf>
    <xf numFmtId="0" fontId="23" fillId="24" borderId="0" xfId="0" applyFont="1" applyFill="1">
      <alignment vertical="center"/>
    </xf>
    <xf numFmtId="41" fontId="23" fillId="24" borderId="169" xfId="0" applyNumberFormat="1" applyFont="1" applyFill="1" applyBorder="1" applyAlignment="1">
      <alignment horizontal="center" vertical="center"/>
    </xf>
    <xf numFmtId="37" fontId="23" fillId="24" borderId="169" xfId="0" applyNumberFormat="1" applyFont="1" applyFill="1" applyBorder="1">
      <alignment vertical="center"/>
    </xf>
    <xf numFmtId="0" fontId="23" fillId="24" borderId="169" xfId="0" applyFont="1" applyFill="1" applyBorder="1">
      <alignment vertical="center"/>
    </xf>
    <xf numFmtId="37" fontId="23" fillId="24" borderId="13" xfId="0" applyNumberFormat="1" applyFont="1" applyFill="1" applyBorder="1" applyAlignment="1">
      <alignment horizontal="center" vertical="center"/>
    </xf>
    <xf numFmtId="0" fontId="17" fillId="3" borderId="198" xfId="0" applyFont="1" applyFill="1" applyBorder="1" applyAlignment="1">
      <alignment horizontal="center" vertical="center"/>
    </xf>
    <xf numFmtId="0" fontId="36" fillId="0" borderId="206" xfId="0" applyFont="1" applyBorder="1" applyAlignment="1">
      <alignment horizontal="center" vertical="center"/>
    </xf>
    <xf numFmtId="41" fontId="23" fillId="0" borderId="207" xfId="0" applyNumberFormat="1" applyFont="1" applyBorder="1" applyAlignment="1">
      <alignment vertical="center" wrapText="1"/>
    </xf>
    <xf numFmtId="41" fontId="23" fillId="0" borderId="29" xfId="0" applyNumberFormat="1" applyFont="1" applyBorder="1" applyAlignment="1">
      <alignment horizontal="center" vertical="center" shrinkToFit="1"/>
    </xf>
    <xf numFmtId="3" fontId="23" fillId="0" borderId="218" xfId="0" applyNumberFormat="1" applyFont="1" applyBorder="1" applyAlignment="1">
      <alignment horizontal="center" vertical="center"/>
    </xf>
    <xf numFmtId="3" fontId="23" fillId="0" borderId="218" xfId="0" applyNumberFormat="1" applyFont="1" applyBorder="1" applyAlignment="1">
      <alignment horizontal="center" vertical="center" shrinkToFit="1"/>
    </xf>
    <xf numFmtId="41" fontId="23" fillId="0" borderId="218" xfId="0" applyNumberFormat="1" applyFont="1" applyBorder="1" applyAlignment="1">
      <alignment horizontal="center" vertical="center" shrinkToFit="1"/>
    </xf>
    <xf numFmtId="41" fontId="23" fillId="0" borderId="218" xfId="0" applyNumberFormat="1" applyFont="1" applyBorder="1" applyAlignment="1">
      <alignment horizontal="center" vertical="center"/>
    </xf>
    <xf numFmtId="0" fontId="15" fillId="0" borderId="114" xfId="0" applyFont="1" applyBorder="1">
      <alignment vertical="center"/>
    </xf>
    <xf numFmtId="0" fontId="36" fillId="0" borderId="65" xfId="0" applyFont="1" applyBorder="1" applyAlignment="1">
      <alignment horizontal="center" vertical="center"/>
    </xf>
    <xf numFmtId="0" fontId="36" fillId="0" borderId="63" xfId="0" applyFont="1" applyBorder="1" applyAlignment="1">
      <alignment horizontal="center" vertical="center"/>
    </xf>
    <xf numFmtId="0" fontId="17" fillId="3" borderId="142" xfId="0" applyFont="1" applyFill="1" applyBorder="1" applyAlignment="1">
      <alignment horizontal="center" vertical="center"/>
    </xf>
    <xf numFmtId="0" fontId="36" fillId="24" borderId="206" xfId="0" applyFont="1" applyFill="1" applyBorder="1" applyAlignment="1">
      <alignment horizontal="center" vertical="center"/>
    </xf>
    <xf numFmtId="0" fontId="36" fillId="0" borderId="22" xfId="0" applyFont="1" applyBorder="1" applyAlignment="1">
      <alignment horizontal="center" vertical="center"/>
    </xf>
    <xf numFmtId="0" fontId="36" fillId="0" borderId="239" xfId="0" applyFont="1" applyBorder="1" applyAlignment="1">
      <alignment horizontal="center" vertical="center"/>
    </xf>
    <xf numFmtId="0" fontId="36" fillId="0" borderId="9" xfId="148" applyFont="1" applyBorder="1" applyAlignment="1">
      <alignment horizontal="center" vertical="center" shrinkToFit="1"/>
    </xf>
    <xf numFmtId="0" fontId="36" fillId="0" borderId="14" xfId="148" applyFont="1" applyBorder="1" applyAlignment="1">
      <alignment horizontal="center" vertical="center" shrinkToFit="1"/>
    </xf>
    <xf numFmtId="0" fontId="36" fillId="0" borderId="10" xfId="148" applyFont="1" applyBorder="1" applyAlignment="1">
      <alignment vertical="center" shrinkToFit="1"/>
    </xf>
    <xf numFmtId="0" fontId="36" fillId="0" borderId="10" xfId="147" applyFont="1" applyBorder="1" applyAlignment="1">
      <alignment horizontal="left" vertical="center" shrinkToFit="1"/>
    </xf>
    <xf numFmtId="0" fontId="36" fillId="0" borderId="27" xfId="147" applyFont="1" applyBorder="1" applyAlignment="1">
      <alignment horizontal="left" vertical="center" shrinkToFit="1"/>
    </xf>
    <xf numFmtId="3" fontId="36" fillId="0" borderId="11" xfId="147" applyNumberFormat="1" applyFont="1" applyBorder="1" applyAlignment="1">
      <alignment horizontal="center" vertical="center" shrinkToFit="1"/>
    </xf>
    <xf numFmtId="41" fontId="15" fillId="0" borderId="10" xfId="147" applyNumberFormat="1" applyFont="1" applyBorder="1">
      <alignment vertical="center"/>
    </xf>
    <xf numFmtId="41" fontId="15" fillId="0" borderId="27" xfId="147" applyNumberFormat="1" applyFont="1" applyBorder="1">
      <alignment vertical="center"/>
    </xf>
    <xf numFmtId="41" fontId="15" fillId="0" borderId="14" xfId="147" applyNumberFormat="1" applyFont="1" applyBorder="1">
      <alignment vertical="center"/>
    </xf>
    <xf numFmtId="41" fontId="15" fillId="0" borderId="65" xfId="147" applyNumberFormat="1" applyFont="1" applyBorder="1">
      <alignment vertical="center"/>
    </xf>
    <xf numFmtId="192" fontId="15" fillId="0" borderId="66" xfId="0" applyNumberFormat="1" applyFont="1" applyBorder="1" applyAlignment="1">
      <alignment horizontal="center" vertical="center" shrinkToFit="1"/>
    </xf>
    <xf numFmtId="0" fontId="163" fillId="0" borderId="169" xfId="147" applyFont="1" applyBorder="1" applyAlignment="1">
      <alignment horizontal="left" vertical="center" wrapText="1" shrinkToFit="1"/>
    </xf>
    <xf numFmtId="0" fontId="23" fillId="0" borderId="66" xfId="148" applyFont="1" applyBorder="1" applyAlignment="1">
      <alignment horizontal="center" vertical="center" shrinkToFit="1"/>
    </xf>
    <xf numFmtId="0" fontId="23" fillId="0" borderId="225" xfId="149" applyNumberFormat="1" applyFont="1" applyFill="1" applyBorder="1" applyAlignment="1">
      <alignment vertical="center" shrinkToFit="1"/>
    </xf>
    <xf numFmtId="0" fontId="23" fillId="0" borderId="225" xfId="149" applyNumberFormat="1" applyFont="1" applyFill="1" applyBorder="1" applyAlignment="1">
      <alignment horizontal="left" vertical="center" shrinkToFit="1"/>
    </xf>
    <xf numFmtId="0" fontId="23" fillId="0" borderId="36" xfId="149" applyNumberFormat="1" applyFont="1" applyFill="1" applyBorder="1" applyAlignment="1">
      <alignment horizontal="left" vertical="center" shrinkToFit="1"/>
    </xf>
    <xf numFmtId="0" fontId="23" fillId="0" borderId="224" xfId="148" applyFont="1" applyBorder="1" applyAlignment="1">
      <alignment horizontal="center" vertical="center" shrinkToFit="1"/>
    </xf>
    <xf numFmtId="41" fontId="15" fillId="0" borderId="66" xfId="147" applyNumberFormat="1" applyFont="1" applyBorder="1">
      <alignment vertical="center"/>
    </xf>
    <xf numFmtId="41" fontId="15" fillId="0" borderId="225" xfId="147" applyNumberFormat="1" applyFont="1" applyBorder="1">
      <alignment vertical="center"/>
    </xf>
    <xf numFmtId="41" fontId="15" fillId="0" borderId="36" xfId="147" applyNumberFormat="1" applyFont="1" applyBorder="1">
      <alignment vertical="center"/>
    </xf>
    <xf numFmtId="0" fontId="23" fillId="0" borderId="222" xfId="148" applyFont="1" applyBorder="1" applyAlignment="1">
      <alignment horizontal="center" vertical="center" shrinkToFit="1"/>
    </xf>
    <xf numFmtId="0" fontId="23" fillId="0" borderId="34" xfId="148" applyFont="1" applyBorder="1" applyAlignment="1">
      <alignment horizontal="center" vertical="center" shrinkToFit="1"/>
    </xf>
    <xf numFmtId="0" fontId="23" fillId="0" borderId="220" xfId="149" applyNumberFormat="1" applyFont="1" applyFill="1" applyBorder="1" applyAlignment="1">
      <alignment vertical="center" shrinkToFit="1"/>
    </xf>
    <xf numFmtId="0" fontId="23" fillId="0" borderId="220" xfId="149" applyNumberFormat="1" applyFont="1" applyFill="1" applyBorder="1" applyAlignment="1">
      <alignment horizontal="left" vertical="center" shrinkToFit="1"/>
    </xf>
    <xf numFmtId="0" fontId="23" fillId="0" borderId="31" xfId="149" applyNumberFormat="1" applyFont="1" applyFill="1" applyBorder="1" applyAlignment="1">
      <alignment horizontal="left" vertical="center" shrinkToFit="1"/>
    </xf>
    <xf numFmtId="192" fontId="15" fillId="0" borderId="63" xfId="147" applyNumberFormat="1" applyFont="1" applyBorder="1" applyAlignment="1">
      <alignment horizontal="center" vertical="center" shrinkToFit="1"/>
    </xf>
    <xf numFmtId="41" fontId="15" fillId="0" borderId="220" xfId="147" applyNumberFormat="1" applyFont="1" applyBorder="1">
      <alignment vertical="center"/>
    </xf>
    <xf numFmtId="41" fontId="15" fillId="0" borderId="31" xfId="147" applyNumberFormat="1" applyFont="1" applyBorder="1">
      <alignment vertical="center"/>
    </xf>
    <xf numFmtId="41" fontId="15" fillId="0" borderId="34" xfId="147" applyNumberFormat="1" applyFont="1" applyBorder="1">
      <alignment vertical="center"/>
    </xf>
    <xf numFmtId="192" fontId="109" fillId="0" borderId="29" xfId="0" applyNumberFormat="1" applyFont="1" applyBorder="1">
      <alignment vertical="center"/>
    </xf>
    <xf numFmtId="192" fontId="109" fillId="0" borderId="169" xfId="0" applyNumberFormat="1" applyFont="1" applyBorder="1">
      <alignment vertical="center"/>
    </xf>
    <xf numFmtId="192" fontId="109" fillId="0" borderId="33" xfId="0" applyNumberFormat="1" applyFont="1" applyBorder="1">
      <alignment vertical="center"/>
    </xf>
    <xf numFmtId="0" fontId="15" fillId="0" borderId="151" xfId="147" applyFont="1" applyBorder="1" applyAlignment="1">
      <alignment horizontal="center" vertical="center"/>
    </xf>
    <xf numFmtId="0" fontId="2" fillId="0" borderId="197" xfId="147" applyBorder="1" applyAlignment="1">
      <alignment horizontal="center" vertical="center"/>
    </xf>
    <xf numFmtId="41" fontId="15" fillId="0" borderId="123" xfId="147" applyNumberFormat="1" applyFont="1" applyBorder="1" applyAlignment="1">
      <alignment horizontal="center" vertical="center"/>
    </xf>
    <xf numFmtId="41" fontId="156" fillId="0" borderId="169" xfId="149" applyFont="1" applyFill="1" applyBorder="1" applyAlignment="1">
      <alignment vertical="center"/>
    </xf>
    <xf numFmtId="41" fontId="23" fillId="0" borderId="16" xfId="147" applyNumberFormat="1" applyFont="1" applyBorder="1" applyAlignment="1">
      <alignment horizontal="center" vertical="center" shrinkToFit="1"/>
    </xf>
    <xf numFmtId="0" fontId="2" fillId="3" borderId="0" xfId="147" applyFill="1">
      <alignment vertical="center"/>
    </xf>
    <xf numFmtId="0" fontId="25" fillId="3" borderId="210" xfId="147" applyFont="1" applyFill="1" applyBorder="1" applyAlignment="1">
      <alignment horizontal="center" vertical="center"/>
    </xf>
    <xf numFmtId="0" fontId="36" fillId="3" borderId="197" xfId="147" applyFont="1" applyFill="1" applyBorder="1" applyAlignment="1">
      <alignment horizontal="center" vertical="center"/>
    </xf>
    <xf numFmtId="0" fontId="36" fillId="3" borderId="194" xfId="147" applyFont="1" applyFill="1" applyBorder="1" applyAlignment="1">
      <alignment horizontal="center" vertical="center"/>
    </xf>
    <xf numFmtId="0" fontId="36" fillId="3" borderId="154" xfId="147" applyFont="1" applyFill="1" applyBorder="1" applyAlignment="1">
      <alignment horizontal="center" vertical="center"/>
    </xf>
    <xf numFmtId="0" fontId="36" fillId="3" borderId="193" xfId="147" applyFont="1" applyFill="1" applyBorder="1" applyAlignment="1">
      <alignment horizontal="center" vertical="center"/>
    </xf>
    <xf numFmtId="0" fontId="36" fillId="3" borderId="4" xfId="147" applyFont="1" applyFill="1" applyBorder="1" applyAlignment="1">
      <alignment horizontal="center" vertical="center"/>
    </xf>
    <xf numFmtId="0" fontId="36" fillId="3" borderId="55" xfId="147" applyFont="1" applyFill="1" applyBorder="1" applyAlignment="1">
      <alignment horizontal="center" vertical="center"/>
    </xf>
    <xf numFmtId="0" fontId="36" fillId="3" borderId="53" xfId="147" applyFont="1" applyFill="1" applyBorder="1" applyAlignment="1">
      <alignment horizontal="center" vertical="center"/>
    </xf>
    <xf numFmtId="3" fontId="17" fillId="3" borderId="153" xfId="0" applyNumberFormat="1" applyFont="1" applyFill="1" applyBorder="1" applyAlignment="1">
      <alignment horizontal="center" vertical="center"/>
    </xf>
    <xf numFmtId="3" fontId="17" fillId="0" borderId="27" xfId="0" applyNumberFormat="1" applyFont="1" applyBorder="1" applyAlignment="1">
      <alignment horizontal="center" vertical="center"/>
    </xf>
    <xf numFmtId="191" fontId="17" fillId="0" borderId="29" xfId="0" applyNumberFormat="1" applyFont="1" applyBorder="1" applyAlignment="1">
      <alignment horizontal="center" vertical="center"/>
    </xf>
    <xf numFmtId="0" fontId="17" fillId="0" borderId="36" xfId="0" applyFont="1" applyBorder="1" applyAlignment="1">
      <alignment horizontal="center" vertical="center"/>
    </xf>
    <xf numFmtId="41" fontId="26" fillId="0" borderId="12" xfId="0" applyNumberFormat="1" applyFont="1" applyBorder="1" applyAlignment="1">
      <alignment vertical="center" wrapText="1"/>
    </xf>
    <xf numFmtId="41" fontId="26" fillId="0" borderId="225" xfId="0" applyNumberFormat="1" applyFont="1" applyBorder="1" applyAlignment="1">
      <alignment vertical="center" wrapText="1"/>
    </xf>
    <xf numFmtId="0" fontId="143" fillId="0" borderId="124" xfId="0" applyFont="1" applyBorder="1" applyAlignment="1">
      <alignment horizontal="left" vertical="center"/>
    </xf>
    <xf numFmtId="41" fontId="26" fillId="0" borderId="169" xfId="132" applyFont="1" applyFill="1" applyBorder="1" applyAlignment="1">
      <alignment vertical="center" wrapText="1"/>
    </xf>
    <xf numFmtId="3" fontId="143" fillId="0" borderId="124" xfId="0" applyNumberFormat="1" applyFont="1" applyBorder="1" applyAlignment="1">
      <alignment horizontal="left" vertical="center"/>
    </xf>
    <xf numFmtId="3" fontId="23" fillId="24" borderId="169" xfId="0" applyNumberFormat="1" applyFont="1" applyFill="1" applyBorder="1" applyAlignment="1">
      <alignment vertical="center" wrapText="1"/>
    </xf>
    <xf numFmtId="41" fontId="23" fillId="24" borderId="169" xfId="132" applyFont="1" applyFill="1" applyBorder="1" applyAlignment="1">
      <alignment vertical="center"/>
    </xf>
    <xf numFmtId="3" fontId="23" fillId="24" borderId="169" xfId="0" applyNumberFormat="1" applyFont="1" applyFill="1" applyBorder="1" applyAlignment="1">
      <alignment horizontal="left" vertical="center"/>
    </xf>
    <xf numFmtId="0" fontId="37" fillId="0" borderId="0" xfId="158">
      <alignment vertical="center"/>
    </xf>
    <xf numFmtId="0" fontId="93" fillId="0" borderId="0" xfId="158" applyFont="1">
      <alignment vertical="center"/>
    </xf>
    <xf numFmtId="0" fontId="172" fillId="0" borderId="0" xfId="158" applyFont="1">
      <alignment vertical="center"/>
    </xf>
    <xf numFmtId="0" fontId="37" fillId="0" borderId="69" xfId="158" applyBorder="1">
      <alignment vertical="center"/>
    </xf>
    <xf numFmtId="0" fontId="37" fillId="0" borderId="24" xfId="158" applyBorder="1">
      <alignment vertical="center"/>
    </xf>
    <xf numFmtId="0" fontId="173" fillId="0" borderId="24" xfId="158" applyFont="1" applyBorder="1">
      <alignment vertical="center"/>
    </xf>
    <xf numFmtId="0" fontId="37" fillId="0" borderId="72" xfId="158" applyBorder="1">
      <alignment vertical="center"/>
    </xf>
    <xf numFmtId="0" fontId="37" fillId="0" borderId="71" xfId="158" applyBorder="1">
      <alignment vertical="center"/>
    </xf>
    <xf numFmtId="0" fontId="174" fillId="0" borderId="0" xfId="131" applyFont="1" applyAlignment="1">
      <alignment vertical="center"/>
    </xf>
    <xf numFmtId="0" fontId="174" fillId="0" borderId="0" xfId="131" applyFont="1" applyAlignment="1">
      <alignment horizontal="left" vertical="center"/>
    </xf>
    <xf numFmtId="0" fontId="37" fillId="0" borderId="44" xfId="158" applyBorder="1">
      <alignment vertical="center"/>
    </xf>
    <xf numFmtId="0" fontId="155" fillId="0" borderId="0" xfId="158" applyFont="1">
      <alignment vertical="center"/>
    </xf>
    <xf numFmtId="0" fontId="2" fillId="0" borderId="0" xfId="131"/>
    <xf numFmtId="0" fontId="2" fillId="0" borderId="71" xfId="131" applyBorder="1"/>
    <xf numFmtId="0" fontId="155" fillId="0" borderId="44" xfId="158" applyFont="1" applyBorder="1">
      <alignment vertical="center"/>
    </xf>
    <xf numFmtId="0" fontId="174" fillId="0" borderId="71" xfId="131" applyFont="1" applyBorder="1" applyAlignment="1">
      <alignment vertical="center"/>
    </xf>
    <xf numFmtId="0" fontId="174" fillId="0" borderId="44" xfId="131" applyFont="1" applyBorder="1" applyAlignment="1">
      <alignment vertical="center"/>
    </xf>
    <xf numFmtId="0" fontId="175" fillId="17" borderId="0" xfId="131" applyFont="1" applyFill="1" applyAlignment="1">
      <alignment vertical="center"/>
    </xf>
    <xf numFmtId="0" fontId="176" fillId="17" borderId="0" xfId="158" applyFont="1" applyFill="1">
      <alignment vertical="center"/>
    </xf>
    <xf numFmtId="0" fontId="177" fillId="17" borderId="0" xfId="158" applyFont="1" applyFill="1">
      <alignment vertical="center"/>
    </xf>
    <xf numFmtId="0" fontId="177" fillId="17" borderId="0" xfId="158" applyFont="1" applyFill="1" applyAlignment="1">
      <alignment horizontal="center" vertical="center"/>
    </xf>
    <xf numFmtId="0" fontId="172" fillId="0" borderId="44" xfId="158" applyFont="1" applyBorder="1">
      <alignment vertical="center"/>
    </xf>
    <xf numFmtId="0" fontId="180" fillId="0" borderId="71" xfId="131" applyFont="1" applyBorder="1" applyAlignment="1">
      <alignment vertical="center"/>
    </xf>
    <xf numFmtId="0" fontId="172" fillId="0" borderId="215" xfId="158" applyFont="1" applyBorder="1">
      <alignment vertical="center"/>
    </xf>
    <xf numFmtId="0" fontId="172" fillId="0" borderId="214" xfId="158" applyFont="1" applyBorder="1">
      <alignment vertical="center"/>
    </xf>
    <xf numFmtId="0" fontId="174" fillId="0" borderId="214" xfId="131" applyFont="1" applyBorder="1" applyAlignment="1">
      <alignment vertical="center"/>
    </xf>
    <xf numFmtId="0" fontId="172" fillId="0" borderId="213" xfId="158" applyFont="1" applyBorder="1">
      <alignment vertical="center"/>
    </xf>
    <xf numFmtId="0" fontId="176" fillId="0" borderId="0" xfId="158" applyFont="1">
      <alignment vertical="center"/>
    </xf>
    <xf numFmtId="0" fontId="181" fillId="0" borderId="0" xfId="158" applyFont="1">
      <alignment vertical="center"/>
    </xf>
    <xf numFmtId="0" fontId="182" fillId="0" borderId="0" xfId="158" applyFont="1" applyAlignment="1">
      <alignment horizontal="center" vertical="center"/>
    </xf>
    <xf numFmtId="0" fontId="172" fillId="0" borderId="69" xfId="158" applyFont="1" applyBorder="1">
      <alignment vertical="center"/>
    </xf>
    <xf numFmtId="0" fontId="172" fillId="0" borderId="24" xfId="158" applyFont="1" applyBorder="1">
      <alignment vertical="center"/>
    </xf>
    <xf numFmtId="0" fontId="93" fillId="0" borderId="24" xfId="158" applyFont="1" applyBorder="1">
      <alignment vertical="center"/>
    </xf>
    <xf numFmtId="0" fontId="93" fillId="0" borderId="72" xfId="158" applyFont="1" applyBorder="1">
      <alignment vertical="center"/>
    </xf>
    <xf numFmtId="0" fontId="2" fillId="17" borderId="0" xfId="131" applyFill="1"/>
    <xf numFmtId="0" fontId="183" fillId="17" borderId="0" xfId="158" applyFont="1" applyFill="1">
      <alignment vertical="center"/>
    </xf>
    <xf numFmtId="0" fontId="173" fillId="17" borderId="0" xfId="158" applyFont="1" applyFill="1">
      <alignment vertical="center"/>
    </xf>
    <xf numFmtId="0" fontId="2" fillId="0" borderId="44" xfId="131" applyBorder="1"/>
    <xf numFmtId="0" fontId="180" fillId="0" borderId="71" xfId="158" applyFont="1" applyBorder="1">
      <alignment vertical="center"/>
    </xf>
    <xf numFmtId="0" fontId="180" fillId="17" borderId="0" xfId="158" applyFont="1" applyFill="1">
      <alignment vertical="center"/>
    </xf>
    <xf numFmtId="0" fontId="180" fillId="0" borderId="0" xfId="158" applyFont="1">
      <alignment vertical="center"/>
    </xf>
    <xf numFmtId="0" fontId="172" fillId="0" borderId="71" xfId="158" applyFont="1" applyBorder="1">
      <alignment vertical="center"/>
    </xf>
    <xf numFmtId="0" fontId="185" fillId="0" borderId="0" xfId="158" applyFont="1">
      <alignment vertical="center"/>
    </xf>
    <xf numFmtId="0" fontId="172" fillId="0" borderId="0" xfId="158" applyFont="1" applyAlignment="1">
      <alignment horizontal="center" vertical="center"/>
    </xf>
    <xf numFmtId="0" fontId="172" fillId="0" borderId="0" xfId="158" applyFont="1" applyAlignment="1">
      <alignment horizontal="left" vertical="center"/>
    </xf>
    <xf numFmtId="0" fontId="187" fillId="0" borderId="0" xfId="158" applyFont="1" applyAlignment="1">
      <alignment horizontal="center" vertical="center"/>
    </xf>
    <xf numFmtId="0" fontId="172" fillId="0" borderId="0" xfId="131" applyFont="1" applyAlignment="1">
      <alignment vertical="center"/>
    </xf>
    <xf numFmtId="0" fontId="2" fillId="0" borderId="69" xfId="131" applyBorder="1"/>
    <xf numFmtId="0" fontId="2" fillId="0" borderId="24" xfId="131" applyBorder="1"/>
    <xf numFmtId="0" fontId="2" fillId="0" borderId="72" xfId="131" applyBorder="1"/>
    <xf numFmtId="0" fontId="172" fillId="0" borderId="72" xfId="158" applyFont="1" applyBorder="1">
      <alignment vertical="center"/>
    </xf>
    <xf numFmtId="0" fontId="172" fillId="17" borderId="0" xfId="158" applyFont="1" applyFill="1">
      <alignment vertical="center"/>
    </xf>
    <xf numFmtId="0" fontId="188" fillId="0" borderId="0" xfId="158" applyFont="1">
      <alignment vertical="center"/>
    </xf>
    <xf numFmtId="0" fontId="189" fillId="0" borderId="0" xfId="158" applyFont="1">
      <alignment vertical="center"/>
    </xf>
    <xf numFmtId="0" fontId="15" fillId="24" borderId="124" xfId="0" applyFont="1" applyFill="1" applyBorder="1" applyAlignment="1">
      <alignment horizontal="center" vertical="center"/>
    </xf>
    <xf numFmtId="0" fontId="15" fillId="24" borderId="169" xfId="0" applyFont="1" applyFill="1" applyBorder="1" applyAlignment="1">
      <alignment vertical="center" shrinkToFit="1"/>
    </xf>
    <xf numFmtId="0" fontId="15" fillId="24" borderId="29" xfId="0" applyFont="1" applyFill="1" applyBorder="1" applyAlignment="1">
      <alignment horizontal="center" vertical="center"/>
    </xf>
    <xf numFmtId="0" fontId="17" fillId="24" borderId="13" xfId="0" applyFont="1" applyFill="1" applyBorder="1" applyAlignment="1">
      <alignment horizontal="center" vertical="center"/>
    </xf>
    <xf numFmtId="177" fontId="15" fillId="24" borderId="33" xfId="0" applyNumberFormat="1" applyFont="1" applyFill="1" applyBorder="1" applyAlignment="1">
      <alignment horizontal="right" vertical="center"/>
    </xf>
    <xf numFmtId="3" fontId="15" fillId="24" borderId="13" xfId="0" applyNumberFormat="1" applyFont="1" applyFill="1" applyBorder="1" applyAlignment="1">
      <alignment horizontal="center" vertical="center" shrinkToFit="1"/>
    </xf>
    <xf numFmtId="0" fontId="15" fillId="24" borderId="0" xfId="0" applyFont="1" applyFill="1">
      <alignment vertical="center"/>
    </xf>
    <xf numFmtId="0" fontId="15" fillId="24" borderId="13" xfId="0" applyFont="1" applyFill="1" applyBorder="1" applyAlignment="1">
      <alignment horizontal="center" vertical="center" shrinkToFit="1"/>
    </xf>
    <xf numFmtId="41" fontId="15" fillId="24" borderId="0" xfId="0" applyNumberFormat="1" applyFont="1" applyFill="1">
      <alignment vertical="center"/>
    </xf>
    <xf numFmtId="0" fontId="15" fillId="24" borderId="13" xfId="0" applyFont="1" applyFill="1" applyBorder="1" applyAlignment="1">
      <alignment vertical="center" shrinkToFit="1"/>
    </xf>
    <xf numFmtId="3" fontId="15" fillId="24" borderId="0" xfId="0" applyNumberFormat="1" applyFont="1" applyFill="1">
      <alignment vertical="center"/>
    </xf>
    <xf numFmtId="0" fontId="0" fillId="24" borderId="0" xfId="0" applyFill="1">
      <alignment vertical="center"/>
    </xf>
    <xf numFmtId="0" fontId="90" fillId="24" borderId="13" xfId="0" applyFont="1" applyFill="1" applyBorder="1" applyAlignment="1">
      <alignment horizontal="left" vertical="center" shrinkToFit="1"/>
    </xf>
    <xf numFmtId="184" fontId="23" fillId="0" borderId="169" xfId="0" applyNumberFormat="1" applyFont="1" applyBorder="1">
      <alignment vertical="center"/>
    </xf>
    <xf numFmtId="0" fontId="25" fillId="0" borderId="0" xfId="0" applyFont="1">
      <alignment vertical="center"/>
    </xf>
    <xf numFmtId="0" fontId="23" fillId="24" borderId="10" xfId="0" applyFont="1" applyFill="1" applyBorder="1" applyAlignment="1">
      <alignment horizontal="center" vertical="center" wrapText="1"/>
    </xf>
    <xf numFmtId="3" fontId="23" fillId="24" borderId="10" xfId="0" applyNumberFormat="1" applyFont="1" applyFill="1" applyBorder="1" applyAlignment="1">
      <alignment horizontal="center" vertical="center" wrapText="1"/>
    </xf>
    <xf numFmtId="0" fontId="40" fillId="24" borderId="0" xfId="0" applyFont="1" applyFill="1" applyAlignment="1">
      <alignment horizontal="center" vertical="center"/>
    </xf>
    <xf numFmtId="41" fontId="23" fillId="24" borderId="173" xfId="0" applyNumberFormat="1" applyFont="1" applyFill="1" applyBorder="1" applyAlignment="1">
      <alignment horizontal="center" vertical="center" wrapText="1"/>
    </xf>
    <xf numFmtId="0" fontId="117" fillId="24" borderId="124" xfId="0" applyFont="1" applyFill="1" applyBorder="1" applyAlignment="1">
      <alignment horizontal="center" vertical="center" wrapText="1"/>
    </xf>
    <xf numFmtId="0" fontId="23" fillId="24" borderId="169" xfId="0" applyFont="1" applyFill="1" applyBorder="1" applyAlignment="1">
      <alignment vertical="center" wrapText="1"/>
    </xf>
    <xf numFmtId="3" fontId="17" fillId="3" borderId="202" xfId="0" applyNumberFormat="1" applyFont="1" applyFill="1" applyBorder="1" applyAlignment="1">
      <alignment horizontal="center" vertical="center"/>
    </xf>
    <xf numFmtId="0" fontId="17" fillId="3" borderId="193" xfId="0" applyFont="1" applyFill="1" applyBorder="1" applyAlignment="1">
      <alignment horizontal="center" vertical="center" wrapText="1"/>
    </xf>
    <xf numFmtId="0" fontId="17" fillId="3" borderId="16" xfId="0" applyFont="1" applyFill="1" applyBorder="1" applyAlignment="1">
      <alignment horizontal="center" vertical="center"/>
    </xf>
    <xf numFmtId="0" fontId="17" fillId="0" borderId="16" xfId="0" applyFont="1" applyBorder="1" applyAlignment="1">
      <alignment horizontal="center" vertical="center"/>
    </xf>
    <xf numFmtId="177" fontId="15" fillId="0" borderId="16" xfId="0" applyNumberFormat="1" applyFont="1" applyBorder="1" applyAlignment="1">
      <alignment horizontal="right" vertical="center"/>
    </xf>
    <xf numFmtId="177" fontId="15" fillId="0" borderId="40" xfId="0" applyNumberFormat="1" applyFont="1" applyBorder="1" applyAlignment="1">
      <alignment horizontal="right" vertical="center"/>
    </xf>
    <xf numFmtId="177" fontId="15" fillId="24" borderId="16" xfId="0" applyNumberFormat="1" applyFont="1" applyFill="1" applyBorder="1" applyAlignment="1">
      <alignment horizontal="right" vertical="center"/>
    </xf>
    <xf numFmtId="177" fontId="15" fillId="17" borderId="16" xfId="0" applyNumberFormat="1" applyFont="1" applyFill="1" applyBorder="1" applyAlignment="1">
      <alignment horizontal="right" vertical="center"/>
    </xf>
    <xf numFmtId="0" fontId="15" fillId="25" borderId="124" xfId="144" applyFont="1" applyFill="1" applyBorder="1" applyAlignment="1">
      <alignment horizontal="center" vertical="center"/>
    </xf>
    <xf numFmtId="0" fontId="15" fillId="25" borderId="169" xfId="0" applyFont="1" applyFill="1" applyBorder="1" applyAlignment="1">
      <alignment vertical="center" shrinkToFit="1"/>
    </xf>
    <xf numFmtId="0" fontId="15" fillId="25" borderId="169" xfId="0" applyFont="1" applyFill="1" applyBorder="1" applyAlignment="1">
      <alignment horizontal="center" vertical="center"/>
    </xf>
    <xf numFmtId="0" fontId="15" fillId="25" borderId="169" xfId="0" applyFont="1" applyFill="1" applyBorder="1">
      <alignment vertical="center"/>
    </xf>
    <xf numFmtId="9" fontId="15" fillId="25" borderId="169" xfId="140" applyNumberFormat="1" applyFont="1" applyFill="1" applyBorder="1" applyAlignment="1">
      <alignment vertical="center"/>
    </xf>
    <xf numFmtId="3" fontId="15" fillId="25" borderId="169" xfId="0" applyNumberFormat="1" applyFont="1" applyFill="1" applyBorder="1" applyAlignment="1">
      <alignment horizontal="right" vertical="center"/>
    </xf>
    <xf numFmtId="177" fontId="15" fillId="25" borderId="169" xfId="141" applyNumberFormat="1" applyFont="1" applyFill="1" applyBorder="1" applyAlignment="1">
      <alignment vertical="center"/>
    </xf>
    <xf numFmtId="178" fontId="17" fillId="25" borderId="169" xfId="142" applyFont="1" applyFill="1" applyBorder="1" applyAlignment="1">
      <alignment vertical="center"/>
    </xf>
    <xf numFmtId="0" fontId="15" fillId="25" borderId="13" xfId="0" applyFont="1" applyFill="1" applyBorder="1" applyAlignment="1">
      <alignment horizontal="center" vertical="center" shrinkToFit="1"/>
    </xf>
    <xf numFmtId="0" fontId="15" fillId="25" borderId="0" xfId="0" applyFont="1" applyFill="1">
      <alignment vertical="center"/>
    </xf>
    <xf numFmtId="0" fontId="15" fillId="25" borderId="124" xfId="0" applyFont="1" applyFill="1" applyBorder="1" applyAlignment="1">
      <alignment horizontal="center" vertical="center"/>
    </xf>
    <xf numFmtId="0" fontId="15" fillId="25" borderId="29" xfId="0" applyFont="1" applyFill="1" applyBorder="1" applyAlignment="1">
      <alignment horizontal="center" vertical="center"/>
    </xf>
    <xf numFmtId="0" fontId="17" fillId="25" borderId="13" xfId="0" applyFont="1" applyFill="1" applyBorder="1" applyAlignment="1">
      <alignment horizontal="center" vertical="center"/>
    </xf>
    <xf numFmtId="177" fontId="15" fillId="25" borderId="33" xfId="0" applyNumberFormat="1" applyFont="1" applyFill="1" applyBorder="1" applyAlignment="1">
      <alignment horizontal="right" vertical="center"/>
    </xf>
    <xf numFmtId="177" fontId="15" fillId="25" borderId="16" xfId="0" applyNumberFormat="1" applyFont="1" applyFill="1" applyBorder="1" applyAlignment="1">
      <alignment horizontal="right" vertical="center"/>
    </xf>
    <xf numFmtId="3" fontId="15" fillId="25" borderId="13" xfId="0" applyNumberFormat="1" applyFont="1" applyFill="1" applyBorder="1" applyAlignment="1">
      <alignment horizontal="center" vertical="center" shrinkToFit="1"/>
    </xf>
    <xf numFmtId="0" fontId="15" fillId="25" borderId="169" xfId="140" applyNumberFormat="1" applyFont="1" applyFill="1" applyBorder="1" applyAlignment="1">
      <alignment vertical="center"/>
    </xf>
    <xf numFmtId="178" fontId="17" fillId="26" borderId="169" xfId="142" applyFont="1" applyFill="1" applyBorder="1" applyAlignment="1">
      <alignment vertical="center"/>
    </xf>
    <xf numFmtId="41" fontId="15" fillId="25" borderId="0" xfId="0" applyNumberFormat="1" applyFont="1" applyFill="1">
      <alignment vertical="center"/>
    </xf>
    <xf numFmtId="0" fontId="0" fillId="25" borderId="0" xfId="0" applyFill="1">
      <alignment vertical="center"/>
    </xf>
    <xf numFmtId="0" fontId="12" fillId="25" borderId="124" xfId="0" applyFont="1" applyFill="1" applyBorder="1" applyAlignment="1">
      <alignment horizontal="center" vertical="center"/>
    </xf>
    <xf numFmtId="0" fontId="12" fillId="25" borderId="169" xfId="0" applyFont="1" applyFill="1" applyBorder="1">
      <alignment vertical="center"/>
    </xf>
    <xf numFmtId="0" fontId="12" fillId="25" borderId="169" xfId="0" applyFont="1" applyFill="1" applyBorder="1" applyAlignment="1">
      <alignment horizontal="center" vertical="center"/>
    </xf>
    <xf numFmtId="0" fontId="12" fillId="25" borderId="169" xfId="140" applyNumberFormat="1" applyFont="1" applyFill="1" applyBorder="1" applyAlignment="1">
      <alignment vertical="center"/>
    </xf>
    <xf numFmtId="0" fontId="12" fillId="25" borderId="13" xfId="0" applyFont="1" applyFill="1" applyBorder="1" applyAlignment="1">
      <alignment horizontal="center" vertical="center" shrinkToFit="1"/>
    </xf>
    <xf numFmtId="0" fontId="12" fillId="0" borderId="169" xfId="0" applyFont="1" applyBorder="1" applyAlignment="1">
      <alignment horizontal="center" vertical="center"/>
    </xf>
    <xf numFmtId="0" fontId="47" fillId="4" borderId="44" xfId="154" applyFont="1" applyFill="1" applyBorder="1">
      <alignment vertical="center"/>
    </xf>
    <xf numFmtId="0" fontId="47" fillId="4" borderId="71" xfId="154" applyFont="1" applyFill="1" applyBorder="1">
      <alignment vertical="center"/>
    </xf>
    <xf numFmtId="0" fontId="47" fillId="4" borderId="71" xfId="154" applyFont="1" applyFill="1" applyBorder="1" applyAlignment="1">
      <alignment vertical="center" wrapText="1"/>
    </xf>
    <xf numFmtId="0" fontId="47" fillId="4" borderId="44" xfId="154" applyFont="1" applyFill="1" applyBorder="1" applyAlignment="1">
      <alignment horizontal="left" vertical="center"/>
    </xf>
    <xf numFmtId="0" fontId="47" fillId="4" borderId="71" xfId="154" applyFont="1" applyFill="1" applyBorder="1" applyAlignment="1">
      <alignment horizontal="left" vertical="center"/>
    </xf>
    <xf numFmtId="0" fontId="47" fillId="4" borderId="72" xfId="154" applyFont="1" applyFill="1" applyBorder="1">
      <alignment vertical="center"/>
    </xf>
    <xf numFmtId="0" fontId="47" fillId="4" borderId="69" xfId="154" applyFont="1" applyFill="1" applyBorder="1">
      <alignment vertical="center"/>
    </xf>
    <xf numFmtId="0" fontId="32" fillId="3" borderId="71" xfId="154" applyFont="1" applyFill="1" applyBorder="1" applyAlignment="1">
      <alignment horizontal="center" vertical="center"/>
    </xf>
    <xf numFmtId="0" fontId="47" fillId="4" borderId="215" xfId="154" applyFont="1" applyFill="1" applyBorder="1">
      <alignment vertical="center"/>
    </xf>
    <xf numFmtId="41" fontId="15" fillId="17" borderId="169" xfId="147" applyNumberFormat="1" applyFont="1" applyFill="1" applyBorder="1">
      <alignment vertical="center"/>
    </xf>
    <xf numFmtId="192" fontId="15" fillId="17" borderId="33" xfId="0" applyNumberFormat="1" applyFont="1" applyFill="1" applyBorder="1" applyAlignment="1">
      <alignment horizontal="center" vertical="center" shrinkToFit="1"/>
    </xf>
    <xf numFmtId="192" fontId="15" fillId="17" borderId="34" xfId="0" applyNumberFormat="1" applyFont="1" applyFill="1" applyBorder="1" applyAlignment="1">
      <alignment horizontal="center" vertical="center" shrinkToFit="1"/>
    </xf>
    <xf numFmtId="0" fontId="185" fillId="0" borderId="0" xfId="158" applyFont="1" applyAlignment="1">
      <alignment horizontal="center" vertical="center"/>
    </xf>
    <xf numFmtId="0" fontId="192" fillId="0" borderId="0" xfId="158" applyFont="1">
      <alignment vertical="center"/>
    </xf>
    <xf numFmtId="0" fontId="193" fillId="0" borderId="0" xfId="158" applyFont="1">
      <alignment vertical="center"/>
    </xf>
    <xf numFmtId="3" fontId="23" fillId="0" borderId="129" xfId="0" applyNumberFormat="1" applyFont="1" applyBorder="1" applyAlignment="1">
      <alignment horizontal="center" vertical="center"/>
    </xf>
    <xf numFmtId="3" fontId="23" fillId="0" borderId="76" xfId="0" applyNumberFormat="1" applyFont="1" applyBorder="1" applyAlignment="1">
      <alignment horizontal="center" vertical="center"/>
    </xf>
    <xf numFmtId="3" fontId="23" fillId="0" borderId="93" xfId="0" applyNumberFormat="1" applyFont="1" applyBorder="1" applyAlignment="1">
      <alignment horizontal="center" vertical="center"/>
    </xf>
    <xf numFmtId="3" fontId="23" fillId="0" borderId="170" xfId="0" applyNumberFormat="1" applyFont="1" applyBorder="1" applyAlignment="1">
      <alignment horizontal="center" vertical="center"/>
    </xf>
    <xf numFmtId="3" fontId="23" fillId="0" borderId="220" xfId="0" applyNumberFormat="1" applyFont="1" applyBorder="1" applyAlignment="1">
      <alignment horizontal="center" vertical="center"/>
    </xf>
    <xf numFmtId="3" fontId="23" fillId="0" borderId="220" xfId="0" applyNumberFormat="1" applyFont="1" applyBorder="1" applyAlignment="1">
      <alignment horizontal="center" vertical="center" shrinkToFit="1"/>
    </xf>
    <xf numFmtId="3" fontId="23" fillId="0" borderId="64" xfId="0" applyNumberFormat="1" applyFont="1" applyBorder="1" applyAlignment="1">
      <alignment horizontal="center" vertical="center"/>
    </xf>
    <xf numFmtId="0" fontId="65" fillId="0" borderId="0" xfId="0" applyFont="1" applyAlignment="1">
      <alignment horizontal="center" vertical="center"/>
    </xf>
    <xf numFmtId="0" fontId="194" fillId="0" borderId="0" xfId="0" applyFont="1">
      <alignment vertical="center"/>
    </xf>
    <xf numFmtId="0" fontId="65" fillId="0" borderId="228" xfId="0" applyFont="1" applyBorder="1" applyAlignment="1">
      <alignment horizontal="center" vertical="center"/>
    </xf>
    <xf numFmtId="41" fontId="26" fillId="17" borderId="12" xfId="0" applyNumberFormat="1" applyFont="1" applyFill="1" applyBorder="1" applyAlignment="1">
      <alignment horizontal="center" vertical="center"/>
    </xf>
    <xf numFmtId="0" fontId="26" fillId="17" borderId="124" xfId="0" applyFont="1" applyFill="1" applyBorder="1" applyAlignment="1">
      <alignment horizontal="center" vertical="center"/>
    </xf>
    <xf numFmtId="3" fontId="26" fillId="17" borderId="12" xfId="0" applyNumberFormat="1" applyFont="1" applyFill="1" applyBorder="1" applyAlignment="1">
      <alignment horizontal="left" vertical="center"/>
    </xf>
    <xf numFmtId="0" fontId="142" fillId="0" borderId="124" xfId="147" applyFont="1" applyBorder="1">
      <alignment vertical="center"/>
    </xf>
    <xf numFmtId="0" fontId="142" fillId="0" borderId="13" xfId="147" applyFont="1" applyBorder="1">
      <alignment vertical="center"/>
    </xf>
    <xf numFmtId="0" fontId="142" fillId="0" borderId="0" xfId="147" applyFont="1">
      <alignment vertical="center"/>
    </xf>
    <xf numFmtId="192" fontId="164" fillId="0" borderId="169" xfId="149" applyNumberFormat="1" applyFont="1" applyBorder="1">
      <alignment vertical="center"/>
    </xf>
    <xf numFmtId="192" fontId="160" fillId="0" borderId="169" xfId="149" applyNumberFormat="1" applyFont="1" applyBorder="1">
      <alignment vertical="center"/>
    </xf>
    <xf numFmtId="192" fontId="142" fillId="0" borderId="169" xfId="149" applyNumberFormat="1" applyFont="1" applyBorder="1">
      <alignment vertical="center"/>
    </xf>
    <xf numFmtId="0" fontId="0" fillId="0" borderId="198" xfId="0" applyBorder="1" applyAlignment="1">
      <alignment horizontal="center" vertical="center"/>
    </xf>
    <xf numFmtId="0" fontId="37" fillId="0" borderId="0" xfId="0" applyFont="1" applyAlignment="1">
      <alignment horizontal="center" vertical="center"/>
    </xf>
    <xf numFmtId="0" fontId="37" fillId="0" borderId="74" xfId="0" applyFont="1" applyBorder="1" applyAlignment="1">
      <alignment horizontal="center" vertical="center"/>
    </xf>
    <xf numFmtId="0" fontId="37" fillId="0" borderId="104" xfId="0" applyFont="1" applyBorder="1" applyAlignment="1">
      <alignment horizontal="center" vertical="center"/>
    </xf>
    <xf numFmtId="0" fontId="23" fillId="0" borderId="210" xfId="0" applyFont="1" applyBorder="1" applyAlignment="1">
      <alignment horizontal="center" vertical="center" shrinkToFit="1"/>
    </xf>
    <xf numFmtId="0" fontId="23" fillId="0" borderId="91" xfId="0" applyFont="1" applyBorder="1" applyAlignment="1">
      <alignment horizontal="center" vertical="center" shrinkToFit="1"/>
    </xf>
    <xf numFmtId="0" fontId="23" fillId="0" borderId="72" xfId="0" applyFont="1" applyBorder="1" applyAlignment="1">
      <alignment horizontal="center" vertical="center" shrinkToFit="1"/>
    </xf>
    <xf numFmtId="0" fontId="23" fillId="0" borderId="0" xfId="0" applyFont="1" applyAlignment="1">
      <alignment horizontal="center" vertical="center" shrinkToFit="1"/>
    </xf>
    <xf numFmtId="0" fontId="23" fillId="0" borderId="210" xfId="0" applyFont="1" applyBorder="1" applyAlignment="1">
      <alignment horizontal="center" vertical="center"/>
    </xf>
    <xf numFmtId="41" fontId="23" fillId="0" borderId="69" xfId="0" applyNumberFormat="1" applyFont="1" applyBorder="1">
      <alignment vertical="center"/>
    </xf>
    <xf numFmtId="0" fontId="114" fillId="0" borderId="216" xfId="0" applyFont="1" applyBorder="1" applyAlignment="1">
      <alignment horizontal="center" vertical="center" readingOrder="1"/>
    </xf>
    <xf numFmtId="41" fontId="23" fillId="0" borderId="212" xfId="0" applyNumberFormat="1" applyFont="1" applyBorder="1">
      <alignment vertical="center"/>
    </xf>
    <xf numFmtId="0" fontId="23" fillId="0" borderId="212" xfId="0" applyFont="1" applyBorder="1">
      <alignment vertical="center"/>
    </xf>
    <xf numFmtId="0" fontId="25" fillId="0" borderId="22" xfId="0" applyFont="1" applyBorder="1" applyAlignment="1">
      <alignment horizontal="center" vertical="center" readingOrder="1"/>
    </xf>
    <xf numFmtId="43" fontId="23" fillId="0" borderId="212" xfId="0" applyNumberFormat="1" applyFont="1" applyBorder="1">
      <alignment vertical="center"/>
    </xf>
    <xf numFmtId="0" fontId="25" fillId="0" borderId="198" xfId="0" applyFont="1" applyBorder="1" applyAlignment="1">
      <alignment horizontal="center" vertical="center" readingOrder="1"/>
    </xf>
    <xf numFmtId="0" fontId="114" fillId="0" borderId="70" xfId="0" applyFont="1" applyBorder="1" applyAlignment="1">
      <alignment horizontal="center" vertical="center" readingOrder="1"/>
    </xf>
    <xf numFmtId="0" fontId="23" fillId="0" borderId="210" xfId="0" applyFont="1" applyBorder="1">
      <alignment vertical="center"/>
    </xf>
    <xf numFmtId="0" fontId="25" fillId="0" borderId="70" xfId="0" applyFont="1" applyBorder="1" applyAlignment="1">
      <alignment horizontal="center" vertical="center" readingOrder="1"/>
    </xf>
    <xf numFmtId="0" fontId="114" fillId="0" borderId="198" xfId="0" applyFont="1" applyBorder="1" applyAlignment="1">
      <alignment horizontal="center" vertical="center" readingOrder="1"/>
    </xf>
    <xf numFmtId="190" fontId="23" fillId="0" borderId="212" xfId="0" applyNumberFormat="1" applyFont="1" applyBorder="1">
      <alignment vertical="center"/>
    </xf>
    <xf numFmtId="0" fontId="25" fillId="0" borderId="216" xfId="0" applyFont="1" applyBorder="1" applyAlignment="1">
      <alignment horizontal="center" vertical="center" readingOrder="1"/>
    </xf>
    <xf numFmtId="0" fontId="23" fillId="0" borderId="213" xfId="0" applyFont="1" applyBorder="1" applyAlignment="1">
      <alignment vertical="center" shrinkToFit="1"/>
    </xf>
    <xf numFmtId="0" fontId="23" fillId="0" borderId="213" xfId="0" applyFont="1" applyBorder="1" applyAlignment="1">
      <alignment horizontal="center" vertical="center"/>
    </xf>
    <xf numFmtId="0" fontId="117" fillId="0" borderId="213" xfId="0" applyFont="1" applyBorder="1">
      <alignment vertical="center"/>
    </xf>
    <xf numFmtId="0" fontId="23" fillId="0" borderId="213" xfId="0" applyFont="1" applyBorder="1" applyAlignment="1">
      <alignment horizontal="center" vertical="center" shrinkToFit="1"/>
    </xf>
    <xf numFmtId="41" fontId="23" fillId="0" borderId="215" xfId="0" applyNumberFormat="1" applyFont="1" applyBorder="1">
      <alignment vertical="center"/>
    </xf>
    <xf numFmtId="0" fontId="23" fillId="0" borderId="198" xfId="0" applyFont="1" applyBorder="1" applyAlignment="1">
      <alignment vertical="center" shrinkToFit="1"/>
    </xf>
    <xf numFmtId="0" fontId="23" fillId="0" borderId="198" xfId="0" applyFont="1" applyBorder="1" applyAlignment="1">
      <alignment horizontal="center" vertical="center"/>
    </xf>
    <xf numFmtId="190" fontId="23" fillId="0" borderId="215" xfId="0" applyNumberFormat="1" applyFont="1" applyBorder="1">
      <alignment vertical="center"/>
    </xf>
    <xf numFmtId="0" fontId="36" fillId="0" borderId="198" xfId="0" applyFont="1" applyBorder="1" applyAlignment="1">
      <alignment horizontal="center" vertical="center" readingOrder="1"/>
    </xf>
    <xf numFmtId="0" fontId="23" fillId="0" borderId="198" xfId="0" applyFont="1" applyBorder="1" applyAlignment="1">
      <alignment horizontal="center" vertical="center" shrinkToFit="1"/>
    </xf>
    <xf numFmtId="41" fontId="23" fillId="0" borderId="198" xfId="0" applyNumberFormat="1" applyFont="1" applyBorder="1">
      <alignment vertical="center"/>
    </xf>
    <xf numFmtId="0" fontId="22" fillId="11" borderId="198" xfId="0" applyFont="1" applyFill="1" applyBorder="1" applyAlignment="1">
      <alignment horizontal="center" vertical="center" readingOrder="1"/>
    </xf>
    <xf numFmtId="0" fontId="23" fillId="11" borderId="198" xfId="0" applyFont="1" applyFill="1" applyBorder="1" applyAlignment="1">
      <alignment horizontal="center" vertical="center" readingOrder="1"/>
    </xf>
    <xf numFmtId="0" fontId="23" fillId="11" borderId="198" xfId="0" applyFont="1" applyFill="1" applyBorder="1" applyAlignment="1">
      <alignment horizontal="center" vertical="center" shrinkToFit="1" readingOrder="1"/>
    </xf>
    <xf numFmtId="0" fontId="114" fillId="0" borderId="22" xfId="0" applyFont="1" applyBorder="1" applyAlignment="1">
      <alignment horizontal="center" vertical="center" readingOrder="1"/>
    </xf>
    <xf numFmtId="0" fontId="23" fillId="0" borderId="72" xfId="0" applyFont="1" applyBorder="1" applyAlignment="1">
      <alignment horizontal="center" vertical="center"/>
    </xf>
    <xf numFmtId="0" fontId="117" fillId="0" borderId="72" xfId="0" applyFont="1" applyBorder="1">
      <alignment vertical="center"/>
    </xf>
    <xf numFmtId="0" fontId="23" fillId="0" borderId="70" xfId="0" applyFont="1" applyBorder="1" applyAlignment="1">
      <alignment horizontal="center" vertical="center" shrinkToFit="1"/>
    </xf>
    <xf numFmtId="0" fontId="70" fillId="0" borderId="72" xfId="0" applyFont="1" applyBorder="1" applyAlignment="1">
      <alignment horizontal="center" vertical="center"/>
    </xf>
    <xf numFmtId="194" fontId="117" fillId="0" borderId="210" xfId="0" applyNumberFormat="1" applyFont="1" applyBorder="1">
      <alignment vertical="center"/>
    </xf>
    <xf numFmtId="0" fontId="70" fillId="0" borderId="0" xfId="0" applyFont="1">
      <alignment vertical="center"/>
    </xf>
    <xf numFmtId="0" fontId="37" fillId="0" borderId="233" xfId="0" applyFont="1" applyBorder="1">
      <alignment vertical="center"/>
    </xf>
    <xf numFmtId="0" fontId="37" fillId="0" borderId="44" xfId="0" applyFont="1" applyBorder="1">
      <alignment vertical="center"/>
    </xf>
    <xf numFmtId="0" fontId="37" fillId="0" borderId="242" xfId="0" applyFont="1" applyBorder="1">
      <alignment vertical="center"/>
    </xf>
    <xf numFmtId="0" fontId="37" fillId="0" borderId="228" xfId="0" applyFont="1" applyBorder="1">
      <alignment vertical="center"/>
    </xf>
    <xf numFmtId="0" fontId="37" fillId="0" borderId="228" xfId="0" applyFont="1" applyBorder="1" applyAlignment="1">
      <alignment horizontal="center" vertical="center"/>
    </xf>
    <xf numFmtId="0" fontId="37" fillId="0" borderId="229" xfId="0" applyFont="1" applyBorder="1">
      <alignment vertical="center"/>
    </xf>
    <xf numFmtId="3" fontId="17" fillId="0" borderId="97" xfId="0" applyNumberFormat="1" applyFont="1" applyBorder="1" applyAlignment="1">
      <alignment horizontal="center" vertical="center"/>
    </xf>
    <xf numFmtId="41" fontId="26" fillId="0" borderId="10" xfId="0" applyNumberFormat="1" applyFont="1" applyBorder="1">
      <alignment vertical="center"/>
    </xf>
    <xf numFmtId="0" fontId="23" fillId="0" borderId="9" xfId="0" applyFont="1" applyBorder="1" applyAlignment="1">
      <alignment horizontal="center" vertical="center"/>
    </xf>
    <xf numFmtId="0" fontId="40" fillId="0" borderId="11" xfId="0" applyFont="1" applyBorder="1" applyAlignment="1">
      <alignment horizontal="center" vertical="center"/>
    </xf>
    <xf numFmtId="0" fontId="23" fillId="0" borderId="220" xfId="0" applyFont="1" applyBorder="1" applyAlignment="1">
      <alignment horizontal="center" vertical="center" wrapText="1"/>
    </xf>
    <xf numFmtId="3" fontId="23" fillId="0" borderId="220" xfId="0" applyNumberFormat="1" applyFont="1" applyBorder="1" applyAlignment="1">
      <alignment horizontal="center" vertical="center" wrapText="1"/>
    </xf>
    <xf numFmtId="41" fontId="23" fillId="0" borderId="220" xfId="0" applyNumberFormat="1" applyFont="1" applyBorder="1" applyAlignment="1">
      <alignment horizontal="center" vertical="center" shrinkToFit="1"/>
    </xf>
    <xf numFmtId="3" fontId="47" fillId="0" borderId="10" xfId="0" applyNumberFormat="1" applyFont="1" applyBorder="1" applyAlignment="1">
      <alignment horizontal="center" vertical="center" shrinkToFit="1"/>
    </xf>
    <xf numFmtId="41" fontId="23" fillId="0" borderId="13" xfId="0" applyNumberFormat="1" applyFont="1" applyBorder="1" applyAlignment="1">
      <alignment vertical="center" shrinkToFit="1"/>
    </xf>
    <xf numFmtId="41" fontId="26" fillId="0" borderId="10" xfId="0" applyNumberFormat="1" applyFont="1" applyBorder="1" applyAlignment="1">
      <alignment horizontal="center" vertical="center" shrinkToFit="1"/>
    </xf>
    <xf numFmtId="41" fontId="26" fillId="0" borderId="10" xfId="0" applyNumberFormat="1" applyFont="1" applyBorder="1" applyAlignment="1">
      <alignment horizontal="right" vertical="center"/>
    </xf>
    <xf numFmtId="41" fontId="26" fillId="0" borderId="10" xfId="0" applyNumberFormat="1" applyFont="1" applyBorder="1" applyAlignment="1">
      <alignment horizontal="center" vertical="center"/>
    </xf>
    <xf numFmtId="41" fontId="26" fillId="0" borderId="10" xfId="132" applyFont="1" applyFill="1" applyBorder="1" applyAlignment="1">
      <alignment vertical="center"/>
    </xf>
    <xf numFmtId="41" fontId="26" fillId="0" borderId="10" xfId="132" applyFont="1" applyFill="1" applyBorder="1" applyAlignment="1">
      <alignment horizontal="center" vertical="center" wrapText="1"/>
    </xf>
    <xf numFmtId="41" fontId="26" fillId="0" borderId="225" xfId="132" applyFont="1" applyFill="1" applyBorder="1" applyAlignment="1">
      <alignment vertical="center" wrapText="1"/>
    </xf>
    <xf numFmtId="3" fontId="149" fillId="0" borderId="169" xfId="0" applyNumberFormat="1" applyFont="1" applyBorder="1" applyAlignment="1">
      <alignment horizontal="left" vertical="center"/>
    </xf>
    <xf numFmtId="41" fontId="149" fillId="0" borderId="169" xfId="0" applyNumberFormat="1" applyFont="1" applyBorder="1" applyAlignment="1">
      <alignment horizontal="center" vertical="center"/>
    </xf>
    <xf numFmtId="41" fontId="149" fillId="0" borderId="169" xfId="0" applyNumberFormat="1" applyFont="1" applyBorder="1" applyAlignment="1">
      <alignment horizontal="center" vertical="center" shrinkToFit="1"/>
    </xf>
    <xf numFmtId="41" fontId="149" fillId="0" borderId="169" xfId="0" applyNumberFormat="1" applyFont="1" applyBorder="1">
      <alignment vertical="center"/>
    </xf>
    <xf numFmtId="41" fontId="149" fillId="0" borderId="12" xfId="0" applyNumberFormat="1" applyFont="1" applyBorder="1" applyAlignment="1">
      <alignment horizontal="center" vertical="center" shrinkToFit="1"/>
    </xf>
    <xf numFmtId="41" fontId="149" fillId="0" borderId="12" xfId="0" applyNumberFormat="1" applyFont="1" applyBorder="1">
      <alignment vertical="center"/>
    </xf>
    <xf numFmtId="41" fontId="149" fillId="0" borderId="12" xfId="0" applyNumberFormat="1" applyFont="1" applyBorder="1" applyAlignment="1">
      <alignment horizontal="center" vertical="center"/>
    </xf>
    <xf numFmtId="41" fontId="23" fillId="0" borderId="220" xfId="0" applyNumberFormat="1" applyFont="1" applyBorder="1" applyAlignment="1">
      <alignment horizontal="center" vertical="center"/>
    </xf>
    <xf numFmtId="41" fontId="15" fillId="0" borderId="222" xfId="147" applyNumberFormat="1" applyFont="1" applyBorder="1">
      <alignment vertical="center"/>
    </xf>
    <xf numFmtId="41" fontId="15" fillId="0" borderId="9" xfId="147" applyNumberFormat="1" applyFont="1" applyBorder="1">
      <alignment vertical="center"/>
    </xf>
    <xf numFmtId="41" fontId="15" fillId="0" borderId="124" xfId="147" applyNumberFormat="1" applyFont="1" applyBorder="1">
      <alignment vertical="center"/>
    </xf>
    <xf numFmtId="41" fontId="15" fillId="0" borderId="33" xfId="0" applyNumberFormat="1" applyFont="1" applyBorder="1" applyAlignment="1">
      <alignment horizontal="center" vertical="center"/>
    </xf>
    <xf numFmtId="0" fontId="109" fillId="0" borderId="124" xfId="0" applyFont="1" applyBorder="1">
      <alignment vertical="center"/>
    </xf>
    <xf numFmtId="41" fontId="15" fillId="0" borderId="124" xfId="0" applyNumberFormat="1" applyFont="1" applyBorder="1">
      <alignment vertical="center"/>
    </xf>
    <xf numFmtId="41" fontId="15" fillId="0" borderId="124" xfId="0" applyNumberFormat="1" applyFont="1" applyBorder="1" applyAlignment="1">
      <alignment horizontal="center" vertical="center" shrinkToFit="1"/>
    </xf>
    <xf numFmtId="192" fontId="15" fillId="0" borderId="224" xfId="0" applyNumberFormat="1" applyFont="1" applyBorder="1" applyAlignment="1">
      <alignment horizontal="center" vertical="center" shrinkToFit="1"/>
    </xf>
    <xf numFmtId="41" fontId="15" fillId="0" borderId="224" xfId="0" applyNumberFormat="1" applyFont="1" applyBorder="1">
      <alignment vertical="center"/>
    </xf>
    <xf numFmtId="41" fontId="15" fillId="0" borderId="222" xfId="0" applyNumberFormat="1" applyFont="1" applyBorder="1">
      <alignment vertical="center"/>
    </xf>
    <xf numFmtId="41" fontId="164" fillId="0" borderId="10" xfId="149" applyFont="1" applyFill="1" applyBorder="1" applyAlignment="1">
      <alignment vertical="center"/>
    </xf>
    <xf numFmtId="41" fontId="165" fillId="0" borderId="169" xfId="149" applyFont="1" applyFill="1" applyBorder="1" applyAlignment="1">
      <alignment vertical="center"/>
    </xf>
    <xf numFmtId="41" fontId="160" fillId="0" borderId="169" xfId="149" applyFont="1" applyFill="1" applyBorder="1" applyAlignment="1">
      <alignment vertical="center"/>
    </xf>
    <xf numFmtId="41" fontId="142" fillId="0" borderId="169" xfId="149" applyFont="1" applyFill="1" applyBorder="1" applyAlignment="1">
      <alignment vertical="center"/>
    </xf>
    <xf numFmtId="41" fontId="156" fillId="0" borderId="0" xfId="149" applyFont="1" applyFill="1" applyAlignment="1">
      <alignment vertical="center"/>
    </xf>
    <xf numFmtId="0" fontId="40" fillId="0" borderId="35" xfId="0" applyFont="1" applyBorder="1">
      <alignment vertical="center"/>
    </xf>
    <xf numFmtId="0" fontId="40" fillId="3" borderId="102" xfId="0" applyFont="1" applyFill="1" applyBorder="1" applyAlignment="1">
      <alignment horizontal="center" vertical="center"/>
    </xf>
    <xf numFmtId="0" fontId="40" fillId="0" borderId="31" xfId="0" applyFont="1" applyBorder="1">
      <alignment vertical="center"/>
    </xf>
    <xf numFmtId="0" fontId="23" fillId="0" borderId="15" xfId="0" applyFont="1" applyBorder="1" applyAlignment="1">
      <alignment horizontal="center" vertical="center"/>
    </xf>
    <xf numFmtId="0" fontId="40" fillId="2" borderId="178" xfId="0" applyFont="1" applyFill="1" applyBorder="1" applyAlignment="1">
      <alignment horizontal="center" vertical="center"/>
    </xf>
    <xf numFmtId="0" fontId="36" fillId="3" borderId="198" xfId="147" applyFont="1" applyFill="1" applyBorder="1" applyAlignment="1">
      <alignment horizontal="center" vertical="center"/>
    </xf>
    <xf numFmtId="0" fontId="110" fillId="0" borderId="152" xfId="0" applyFont="1" applyBorder="1">
      <alignment vertical="center"/>
    </xf>
    <xf numFmtId="0" fontId="110" fillId="0" borderId="203" xfId="0" applyFont="1" applyBorder="1">
      <alignment vertical="center"/>
    </xf>
    <xf numFmtId="0" fontId="110" fillId="22" borderId="225" xfId="0" applyFont="1" applyFill="1" applyBorder="1">
      <alignment vertical="center"/>
    </xf>
    <xf numFmtId="0" fontId="110" fillId="0" borderId="36" xfId="0" applyFont="1" applyBorder="1">
      <alignment vertical="center"/>
    </xf>
    <xf numFmtId="0" fontId="110" fillId="22" borderId="220" xfId="0" applyFont="1" applyFill="1" applyBorder="1">
      <alignment vertical="center"/>
    </xf>
    <xf numFmtId="0" fontId="110" fillId="0" borderId="31" xfId="0" applyFont="1" applyBorder="1">
      <alignment vertical="center"/>
    </xf>
    <xf numFmtId="0" fontId="110" fillId="0" borderId="35" xfId="0" applyFont="1" applyBorder="1">
      <alignment vertical="center"/>
    </xf>
    <xf numFmtId="0" fontId="110" fillId="0" borderId="225" xfId="0" applyFont="1" applyBorder="1">
      <alignment vertical="center"/>
    </xf>
    <xf numFmtId="0" fontId="110" fillId="0" borderId="220" xfId="0" applyFont="1" applyBorder="1">
      <alignment vertical="center"/>
    </xf>
    <xf numFmtId="184" fontId="15" fillId="21" borderId="169" xfId="0" applyNumberFormat="1" applyFont="1" applyFill="1" applyBorder="1" applyAlignment="1">
      <alignment horizontal="center" vertical="center"/>
    </xf>
    <xf numFmtId="184" fontId="17" fillId="21" borderId="169" xfId="0" applyNumberFormat="1" applyFont="1" applyFill="1" applyBorder="1" applyAlignment="1">
      <alignment horizontal="center" vertical="center"/>
    </xf>
    <xf numFmtId="41" fontId="15" fillId="0" borderId="225" xfId="0" applyNumberFormat="1" applyFont="1" applyBorder="1" applyAlignment="1">
      <alignment horizontal="center" vertical="center"/>
    </xf>
    <xf numFmtId="0" fontId="23" fillId="0" borderId="169" xfId="0" applyFont="1" applyBorder="1" applyAlignment="1">
      <alignment horizontal="left" vertical="center" wrapText="1"/>
    </xf>
    <xf numFmtId="0" fontId="15" fillId="24" borderId="124" xfId="0" applyFont="1" applyFill="1" applyBorder="1" applyAlignment="1">
      <alignment horizontal="right" vertical="center"/>
    </xf>
    <xf numFmtId="41" fontId="15" fillId="0" borderId="124" xfId="0" applyNumberFormat="1" applyFont="1" applyBorder="1" applyAlignment="1">
      <alignment horizontal="right" vertical="center"/>
    </xf>
    <xf numFmtId="41" fontId="15" fillId="24" borderId="124" xfId="0" applyNumberFormat="1" applyFont="1" applyFill="1" applyBorder="1" applyAlignment="1">
      <alignment horizontal="right" vertical="center"/>
    </xf>
    <xf numFmtId="0" fontId="17" fillId="0" borderId="13" xfId="0" applyFont="1" applyBorder="1" applyAlignment="1">
      <alignment horizontal="right" vertical="center"/>
    </xf>
    <xf numFmtId="41" fontId="15" fillId="0" borderId="124" xfId="132" applyFont="1" applyFill="1" applyBorder="1" applyAlignment="1">
      <alignment horizontal="right" vertical="center"/>
    </xf>
    <xf numFmtId="0" fontId="15" fillId="0" borderId="169" xfId="137" applyFont="1" applyBorder="1" applyAlignment="1">
      <alignment horizontal="right" vertical="center"/>
    </xf>
    <xf numFmtId="0" fontId="15" fillId="0" borderId="169" xfId="0" applyFont="1" applyBorder="1" applyAlignment="1">
      <alignment horizontal="right" vertical="center"/>
    </xf>
    <xf numFmtId="0" fontId="17" fillId="24" borderId="13" xfId="0" applyFont="1" applyFill="1" applyBorder="1" applyAlignment="1">
      <alignment horizontal="right" vertical="center"/>
    </xf>
    <xf numFmtId="184" fontId="15" fillId="0" borderId="0" xfId="0" applyNumberFormat="1" applyFont="1" applyAlignment="1"/>
    <xf numFmtId="0" fontId="23" fillId="0" borderId="169" xfId="132" applyNumberFormat="1" applyFont="1" applyFill="1" applyBorder="1" applyAlignment="1">
      <alignment horizontal="center" vertical="center"/>
    </xf>
    <xf numFmtId="41" fontId="23" fillId="0" borderId="169" xfId="0" applyNumberFormat="1" applyFont="1" applyBorder="1" applyAlignment="1">
      <alignment horizontal="right" vertical="center"/>
    </xf>
    <xf numFmtId="41" fontId="23" fillId="0" borderId="169" xfId="139" applyNumberFormat="1" applyFont="1" applyBorder="1" applyAlignment="1">
      <alignment horizontal="center" vertical="center" shrinkToFit="1"/>
    </xf>
    <xf numFmtId="41" fontId="23" fillId="0" borderId="10" xfId="132" applyFont="1" applyFill="1" applyBorder="1">
      <alignment vertical="center"/>
    </xf>
    <xf numFmtId="41" fontId="23" fillId="0" borderId="225" xfId="0" applyNumberFormat="1" applyFont="1" applyBorder="1" applyAlignment="1">
      <alignment horizontal="center" vertical="center" shrinkToFit="1"/>
    </xf>
    <xf numFmtId="41" fontId="23" fillId="0" borderId="225" xfId="138" applyNumberFormat="1" applyFont="1" applyFill="1" applyBorder="1" applyAlignment="1">
      <alignment horizontal="right" vertical="center"/>
    </xf>
    <xf numFmtId="0" fontId="23" fillId="0" borderId="225" xfId="132" applyNumberFormat="1" applyFont="1" applyFill="1" applyBorder="1" applyAlignment="1">
      <alignment horizontal="center" vertical="center" wrapText="1"/>
    </xf>
    <xf numFmtId="41" fontId="23" fillId="0" borderId="225" xfId="132" applyFont="1" applyFill="1" applyBorder="1">
      <alignment vertical="center"/>
    </xf>
    <xf numFmtId="41" fontId="23" fillId="0" borderId="225" xfId="132" applyFont="1" applyFill="1" applyBorder="1" applyAlignment="1">
      <alignment vertical="center" wrapText="1"/>
    </xf>
    <xf numFmtId="41" fontId="23" fillId="0" borderId="169" xfId="138" applyNumberFormat="1" applyFont="1" applyFill="1" applyBorder="1" applyAlignment="1">
      <alignment horizontal="right" vertical="center"/>
    </xf>
    <xf numFmtId="0" fontId="23" fillId="0" borderId="169" xfId="132" applyNumberFormat="1" applyFont="1" applyFill="1" applyBorder="1" applyAlignment="1">
      <alignment horizontal="center" vertical="center" wrapText="1"/>
    </xf>
    <xf numFmtId="0" fontId="117" fillId="17" borderId="198" xfId="0" applyFont="1" applyFill="1" applyBorder="1">
      <alignment vertical="center"/>
    </xf>
    <xf numFmtId="0" fontId="93" fillId="2" borderId="199" xfId="0" applyFont="1" applyFill="1" applyBorder="1">
      <alignment vertical="center"/>
    </xf>
    <xf numFmtId="41" fontId="117" fillId="0" borderId="10" xfId="0" applyNumberFormat="1" applyFont="1" applyBorder="1" applyAlignment="1">
      <alignment horizontal="center" vertical="center" shrinkToFit="1"/>
    </xf>
    <xf numFmtId="0" fontId="15" fillId="2" borderId="169" xfId="0" applyFont="1" applyFill="1" applyBorder="1" applyAlignment="1">
      <alignment horizontal="left" vertical="center"/>
    </xf>
    <xf numFmtId="9" fontId="15" fillId="2" borderId="169" xfId="146" applyFont="1" applyFill="1" applyBorder="1" applyAlignment="1">
      <alignment vertical="center"/>
    </xf>
    <xf numFmtId="0" fontId="17" fillId="0" borderId="10" xfId="0" applyFont="1" applyBorder="1" applyAlignment="1">
      <alignment horizontal="center" vertical="center"/>
    </xf>
    <xf numFmtId="0" fontId="36" fillId="24" borderId="169" xfId="0" applyFont="1" applyFill="1" applyBorder="1" applyAlignment="1">
      <alignment horizontal="center" vertical="center"/>
    </xf>
    <xf numFmtId="3" fontId="23" fillId="24" borderId="169" xfId="0" applyNumberFormat="1" applyFont="1" applyFill="1" applyBorder="1" applyAlignment="1">
      <alignment horizontal="center" vertical="center"/>
    </xf>
    <xf numFmtId="3" fontId="23" fillId="24" borderId="169" xfId="0" applyNumberFormat="1" applyFont="1" applyFill="1" applyBorder="1" applyAlignment="1">
      <alignment horizontal="center" vertical="center" shrinkToFit="1"/>
    </xf>
    <xf numFmtId="3" fontId="23" fillId="24" borderId="169" xfId="0" quotePrefix="1" applyNumberFormat="1" applyFont="1" applyFill="1" applyBorder="1" applyAlignment="1">
      <alignment horizontal="center" vertical="center" shrinkToFit="1"/>
    </xf>
    <xf numFmtId="41" fontId="23" fillId="24" borderId="169" xfId="0" applyNumberFormat="1" applyFont="1" applyFill="1" applyBorder="1" applyAlignment="1">
      <alignment horizontal="center" vertical="center" shrinkToFit="1"/>
    </xf>
    <xf numFmtId="0" fontId="36" fillId="24" borderId="65" xfId="0" applyFont="1" applyFill="1" applyBorder="1" applyAlignment="1">
      <alignment horizontal="center" vertical="center"/>
    </xf>
    <xf numFmtId="3" fontId="23" fillId="0" borderId="220" xfId="0" quotePrefix="1" applyNumberFormat="1" applyFont="1" applyBorder="1" applyAlignment="1">
      <alignment horizontal="center" vertical="center" shrinkToFit="1"/>
    </xf>
    <xf numFmtId="3" fontId="117" fillId="0" borderId="169" xfId="0" applyNumberFormat="1" applyFont="1" applyBorder="1" applyAlignment="1">
      <alignment vertical="center" wrapText="1"/>
    </xf>
    <xf numFmtId="41" fontId="117" fillId="0" borderId="169" xfId="0" applyNumberFormat="1" applyFont="1" applyBorder="1" applyAlignment="1">
      <alignment horizontal="center" vertical="center"/>
    </xf>
    <xf numFmtId="41" fontId="117" fillId="0" borderId="169" xfId="132" applyFont="1" applyFill="1" applyBorder="1" applyAlignment="1">
      <alignment vertical="center"/>
    </xf>
    <xf numFmtId="0" fontId="117" fillId="0" borderId="13" xfId="0" applyFont="1" applyBorder="1" applyAlignment="1">
      <alignment horizontal="center" vertical="center" shrinkToFit="1"/>
    </xf>
    <xf numFmtId="41" fontId="17" fillId="0" borderId="13" xfId="0" applyNumberFormat="1" applyFont="1" applyBorder="1" applyAlignment="1">
      <alignment horizontal="right" vertical="center"/>
    </xf>
    <xf numFmtId="0" fontId="23" fillId="0" borderId="169" xfId="149" quotePrefix="1" applyNumberFormat="1" applyFont="1" applyFill="1" applyBorder="1" applyAlignment="1">
      <alignment vertical="center" shrinkToFit="1"/>
    </xf>
    <xf numFmtId="3" fontId="128" fillId="0" borderId="207" xfId="0" applyNumberFormat="1" applyFont="1" applyBorder="1" applyAlignment="1">
      <alignment horizontal="center" vertical="center" shrinkToFit="1"/>
    </xf>
    <xf numFmtId="0" fontId="32" fillId="0" borderId="198" xfId="0" applyFont="1" applyBorder="1" applyAlignment="1">
      <alignment horizontal="center" vertical="center"/>
    </xf>
    <xf numFmtId="0" fontId="31" fillId="4" borderId="0" xfId="160" applyFill="1">
      <alignment vertical="center"/>
    </xf>
    <xf numFmtId="0" fontId="32" fillId="4" borderId="0" xfId="160" applyFont="1" applyFill="1">
      <alignment vertical="center"/>
    </xf>
    <xf numFmtId="4" fontId="197" fillId="0" borderId="35" xfId="0" applyNumberFormat="1" applyFont="1" applyBorder="1" applyAlignment="1">
      <alignment horizontal="left" vertical="center" indent="1"/>
    </xf>
    <xf numFmtId="0" fontId="197" fillId="2" borderId="35" xfId="0" applyFont="1" applyFill="1" applyBorder="1" applyAlignment="1">
      <alignment horizontal="left" vertical="center" indent="1"/>
    </xf>
    <xf numFmtId="0" fontId="197" fillId="0" borderId="35" xfId="0" applyFont="1" applyBorder="1" applyAlignment="1">
      <alignment horizontal="left" vertical="center" indent="1"/>
    </xf>
    <xf numFmtId="0" fontId="32" fillId="4" borderId="120" xfId="160" applyFont="1" applyFill="1" applyBorder="1" applyAlignment="1">
      <alignment horizontal="center" vertical="center"/>
    </xf>
    <xf numFmtId="0" fontId="32" fillId="4" borderId="121" xfId="160" applyFont="1" applyFill="1" applyBorder="1" applyAlignment="1">
      <alignment horizontal="center" vertical="center"/>
    </xf>
    <xf numFmtId="3" fontId="32" fillId="4" borderId="121" xfId="160" applyNumberFormat="1" applyFont="1" applyFill="1" applyBorder="1" applyAlignment="1">
      <alignment horizontal="center" vertical="center"/>
    </xf>
    <xf numFmtId="3" fontId="32" fillId="4" borderId="122" xfId="160" applyNumberFormat="1" applyFont="1" applyFill="1" applyBorder="1" applyAlignment="1">
      <alignment horizontal="center" vertical="center"/>
    </xf>
    <xf numFmtId="0" fontId="12" fillId="2" borderId="224" xfId="0" applyFont="1" applyFill="1" applyBorder="1" applyAlignment="1">
      <alignment horizontal="center" vertical="center"/>
    </xf>
    <xf numFmtId="0" fontId="12" fillId="2" borderId="225" xfId="0" applyFont="1" applyFill="1" applyBorder="1">
      <alignment vertical="center"/>
    </xf>
    <xf numFmtId="0" fontId="12" fillId="2" borderId="225" xfId="0" applyFont="1" applyFill="1" applyBorder="1" applyAlignment="1">
      <alignment horizontal="center" vertical="center"/>
    </xf>
    <xf numFmtId="0" fontId="12" fillId="2" borderId="225" xfId="140" applyNumberFormat="1" applyFont="1" applyFill="1" applyBorder="1" applyAlignment="1">
      <alignment vertical="center"/>
    </xf>
    <xf numFmtId="177" fontId="15" fillId="2" borderId="225" xfId="141" applyNumberFormat="1" applyFont="1" applyFill="1" applyBorder="1" applyAlignment="1">
      <alignment vertical="center"/>
    </xf>
    <xf numFmtId="178" fontId="17" fillId="18" borderId="225" xfId="142" applyFont="1" applyFill="1" applyBorder="1" applyAlignment="1">
      <alignment vertical="center"/>
    </xf>
    <xf numFmtId="0" fontId="12" fillId="2" borderId="165" xfId="0" applyFont="1" applyFill="1" applyBorder="1" applyAlignment="1">
      <alignment horizontal="center" vertical="center" shrinkToFit="1"/>
    </xf>
    <xf numFmtId="0" fontId="15" fillId="0" borderId="169" xfId="0" applyFont="1" applyBorder="1" applyAlignment="1">
      <alignment horizontal="center" vertical="center" shrinkToFit="1"/>
    </xf>
    <xf numFmtId="0" fontId="15" fillId="0" borderId="169" xfId="0" applyFont="1" applyBorder="1" applyAlignment="1">
      <alignment horizontal="right" vertical="center" shrinkToFit="1"/>
    </xf>
    <xf numFmtId="9" fontId="15" fillId="0" borderId="169" xfId="0" applyNumberFormat="1" applyFont="1" applyBorder="1">
      <alignment vertical="center"/>
    </xf>
    <xf numFmtId="177" fontId="15" fillId="0" borderId="169" xfId="0" applyNumberFormat="1" applyFont="1" applyBorder="1">
      <alignment vertical="center"/>
    </xf>
    <xf numFmtId="178" fontId="17" fillId="0" borderId="169" xfId="0" applyNumberFormat="1" applyFont="1" applyBorder="1">
      <alignment vertical="center"/>
    </xf>
    <xf numFmtId="0" fontId="37" fillId="0" borderId="169" xfId="0" applyFont="1" applyBorder="1" applyAlignment="1">
      <alignment vertical="center" shrinkToFit="1"/>
    </xf>
    <xf numFmtId="0" fontId="37" fillId="0" borderId="169" xfId="0" applyFont="1" applyBorder="1" applyAlignment="1">
      <alignment horizontal="center" vertical="center"/>
    </xf>
    <xf numFmtId="0" fontId="37" fillId="0" borderId="169" xfId="140" applyNumberFormat="1" applyFont="1" applyFill="1" applyBorder="1" applyAlignment="1">
      <alignment vertical="center"/>
    </xf>
    <xf numFmtId="9" fontId="37" fillId="0" borderId="169" xfId="140" applyNumberFormat="1" applyFont="1" applyFill="1" applyBorder="1" applyAlignment="1">
      <alignment vertical="center"/>
    </xf>
    <xf numFmtId="3" fontId="37" fillId="0" borderId="169" xfId="0" applyNumberFormat="1" applyFont="1" applyBorder="1" applyAlignment="1">
      <alignment horizontal="right" vertical="center"/>
    </xf>
    <xf numFmtId="177" fontId="37" fillId="0" borderId="169" xfId="141" applyNumberFormat="1" applyFont="1" applyBorder="1" applyAlignment="1">
      <alignment vertical="center"/>
    </xf>
    <xf numFmtId="178" fontId="128" fillId="0" borderId="169" xfId="142" applyFont="1" applyFill="1" applyBorder="1" applyAlignment="1">
      <alignment vertical="center"/>
    </xf>
    <xf numFmtId="0" fontId="37" fillId="0" borderId="13" xfId="0" applyFont="1" applyBorder="1" applyAlignment="1">
      <alignment horizontal="center" vertical="center" shrinkToFit="1"/>
    </xf>
    <xf numFmtId="178" fontId="37" fillId="0" borderId="169" xfId="142" applyFont="1" applyFill="1" applyBorder="1" applyAlignment="1">
      <alignment vertical="center"/>
    </xf>
    <xf numFmtId="0" fontId="117" fillId="0" borderId="169" xfId="0" applyFont="1" applyBorder="1" applyAlignment="1">
      <alignment vertical="center" shrinkToFit="1"/>
    </xf>
    <xf numFmtId="41" fontId="117" fillId="0" borderId="169" xfId="132" applyFont="1" applyFill="1" applyBorder="1" applyAlignment="1">
      <alignment vertical="center" shrinkToFit="1"/>
    </xf>
    <xf numFmtId="0" fontId="54" fillId="2" borderId="0" xfId="0" applyFont="1" applyFill="1" applyAlignment="1">
      <alignment horizontal="center"/>
    </xf>
    <xf numFmtId="0" fontId="51" fillId="2" borderId="0" xfId="0" applyFont="1" applyFill="1" applyAlignment="1">
      <alignment horizontal="center"/>
    </xf>
    <xf numFmtId="0" fontId="55" fillId="2" borderId="0" xfId="0" applyFont="1" applyFill="1" applyAlignment="1">
      <alignment horizontal="center"/>
    </xf>
    <xf numFmtId="0" fontId="57" fillId="2" borderId="0" xfId="0" applyFont="1" applyFill="1" applyAlignment="1">
      <alignment horizontal="center"/>
    </xf>
    <xf numFmtId="0" fontId="15" fillId="0" borderId="198" xfId="0" applyFont="1" applyBorder="1" applyAlignment="1">
      <alignment horizontal="center" vertical="center" wrapText="1"/>
    </xf>
    <xf numFmtId="0" fontId="15" fillId="0" borderId="198" xfId="0" applyFont="1" applyBorder="1" applyAlignment="1">
      <alignment horizontal="center" vertical="center"/>
    </xf>
    <xf numFmtId="0" fontId="196" fillId="0" borderId="198" xfId="0" applyFont="1" applyBorder="1" applyAlignment="1">
      <alignment horizontal="center" vertical="center"/>
    </xf>
    <xf numFmtId="0" fontId="106" fillId="2" borderId="0" xfId="0" applyFont="1" applyFill="1" applyAlignment="1">
      <alignment horizontal="center" vertical="center"/>
    </xf>
    <xf numFmtId="0" fontId="33" fillId="2" borderId="0" xfId="0" applyFont="1" applyFill="1" applyAlignment="1">
      <alignment horizontal="center"/>
    </xf>
    <xf numFmtId="0" fontId="10" fillId="2" borderId="0" xfId="0" applyFont="1" applyFill="1" applyAlignment="1">
      <alignment horizontal="center" vertical="center"/>
    </xf>
    <xf numFmtId="0" fontId="10" fillId="2" borderId="0" xfId="0" quotePrefix="1" applyFont="1" applyFill="1" applyAlignment="1">
      <alignment horizontal="center" vertical="center"/>
    </xf>
    <xf numFmtId="0" fontId="32" fillId="2" borderId="19" xfId="0" applyFont="1" applyFill="1" applyBorder="1" applyAlignment="1">
      <alignment horizontal="left" vertical="center" wrapText="1"/>
    </xf>
    <xf numFmtId="0" fontId="32" fillId="2" borderId="20" xfId="0" applyFont="1" applyFill="1" applyBorder="1" applyAlignment="1">
      <alignment horizontal="left" vertical="center" wrapText="1"/>
    </xf>
    <xf numFmtId="0" fontId="32" fillId="2" borderId="18" xfId="0" applyFont="1" applyFill="1" applyBorder="1" applyAlignment="1">
      <alignment horizontal="center" vertical="center"/>
    </xf>
    <xf numFmtId="0" fontId="32" fillId="2" borderId="19" xfId="0" applyFont="1" applyFill="1" applyBorder="1" applyAlignment="1">
      <alignment horizontal="center" vertical="center"/>
    </xf>
    <xf numFmtId="0" fontId="32" fillId="2" borderId="20" xfId="0" applyFont="1" applyFill="1" applyBorder="1" applyAlignment="1">
      <alignment horizontal="center" vertical="center"/>
    </xf>
    <xf numFmtId="0" fontId="32" fillId="3" borderId="17" xfId="0" applyFont="1" applyFill="1" applyBorder="1" applyAlignment="1">
      <alignment horizontal="center" vertical="center"/>
    </xf>
    <xf numFmtId="0" fontId="32" fillId="3" borderId="70" xfId="0" applyFont="1" applyFill="1" applyBorder="1" applyAlignment="1">
      <alignment horizontal="center" vertical="center"/>
    </xf>
    <xf numFmtId="0" fontId="32" fillId="3" borderId="22" xfId="0" applyFont="1" applyFill="1" applyBorder="1" applyAlignment="1">
      <alignment horizontal="center" vertical="center"/>
    </xf>
    <xf numFmtId="0" fontId="93" fillId="3" borderId="198" xfId="0" applyFont="1" applyFill="1" applyBorder="1" applyAlignment="1">
      <alignment horizontal="center" vertical="center"/>
    </xf>
    <xf numFmtId="0" fontId="32" fillId="2" borderId="44" xfId="0" applyFont="1" applyFill="1" applyBorder="1" applyAlignment="1">
      <alignment horizontal="left" vertical="center" wrapText="1"/>
    </xf>
    <xf numFmtId="0" fontId="32" fillId="2" borderId="0" xfId="0" applyFont="1" applyFill="1" applyAlignment="1">
      <alignment horizontal="left" vertical="center" wrapText="1"/>
    </xf>
    <xf numFmtId="0" fontId="32" fillId="2" borderId="71" xfId="0" applyFont="1" applyFill="1" applyBorder="1" applyAlignment="1">
      <alignment horizontal="left" vertical="center" wrapText="1"/>
    </xf>
    <xf numFmtId="0" fontId="32" fillId="3" borderId="216" xfId="0" applyFont="1" applyFill="1" applyBorder="1" applyAlignment="1">
      <alignment horizontal="center" vertical="center"/>
    </xf>
    <xf numFmtId="0" fontId="0" fillId="0" borderId="70" xfId="0" applyBorder="1" applyAlignment="1">
      <alignment horizontal="center" vertical="center"/>
    </xf>
    <xf numFmtId="0" fontId="0" fillId="0" borderId="22" xfId="0" applyBorder="1" applyAlignment="1">
      <alignment horizontal="center" vertical="center"/>
    </xf>
    <xf numFmtId="5" fontId="25" fillId="2" borderId="0" xfId="0" applyNumberFormat="1" applyFont="1" applyFill="1" applyAlignment="1">
      <alignment horizontal="left" vertical="center"/>
    </xf>
    <xf numFmtId="0" fontId="29" fillId="2" borderId="0" xfId="0" applyFont="1" applyFill="1" applyAlignment="1">
      <alignment horizontal="center" vertical="center"/>
    </xf>
    <xf numFmtId="0" fontId="103" fillId="4" borderId="0" xfId="154" applyFont="1" applyFill="1" applyAlignment="1">
      <alignment horizontal="center" vertical="center"/>
    </xf>
    <xf numFmtId="0" fontId="32" fillId="3" borderId="210" xfId="154" applyFont="1" applyFill="1" applyBorder="1" applyAlignment="1">
      <alignment horizontal="center" vertical="center"/>
    </xf>
    <xf numFmtId="0" fontId="32" fillId="3" borderId="211" xfId="154" applyFont="1" applyFill="1" applyBorder="1" applyAlignment="1">
      <alignment horizontal="center" vertical="center"/>
    </xf>
    <xf numFmtId="0" fontId="32" fillId="3" borderId="212" xfId="154" applyFont="1" applyFill="1" applyBorder="1" applyAlignment="1">
      <alignment horizontal="center" vertical="center"/>
    </xf>
    <xf numFmtId="0" fontId="32" fillId="3" borderId="198" xfId="154" applyFont="1" applyFill="1" applyBorder="1" applyAlignment="1">
      <alignment horizontal="center" vertical="center"/>
    </xf>
    <xf numFmtId="0" fontId="15" fillId="3" borderId="215" xfId="154" applyFont="1" applyFill="1" applyBorder="1" applyAlignment="1">
      <alignment horizontal="center" vertical="center"/>
    </xf>
    <xf numFmtId="0" fontId="15" fillId="3" borderId="71" xfId="154" applyFont="1" applyFill="1" applyBorder="1" applyAlignment="1">
      <alignment horizontal="center" vertical="center"/>
    </xf>
    <xf numFmtId="0" fontId="15" fillId="3" borderId="69" xfId="154" applyFont="1" applyFill="1" applyBorder="1" applyAlignment="1">
      <alignment horizontal="center" vertical="center"/>
    </xf>
    <xf numFmtId="0" fontId="15" fillId="3" borderId="216" xfId="154" applyFont="1" applyFill="1" applyBorder="1" applyAlignment="1">
      <alignment horizontal="center" vertical="center"/>
    </xf>
    <xf numFmtId="0" fontId="15" fillId="3" borderId="70" xfId="154" applyFont="1" applyFill="1" applyBorder="1" applyAlignment="1">
      <alignment horizontal="center" vertical="center"/>
    </xf>
    <xf numFmtId="0" fontId="15" fillId="3" borderId="22" xfId="154" applyFont="1" applyFill="1" applyBorder="1" applyAlignment="1">
      <alignment horizontal="center" vertical="center"/>
    </xf>
    <xf numFmtId="0" fontId="32" fillId="3" borderId="215" xfId="154" applyFont="1" applyFill="1" applyBorder="1" applyAlignment="1">
      <alignment horizontal="center" vertical="center"/>
    </xf>
    <xf numFmtId="0" fontId="32" fillId="3" borderId="71" xfId="154" applyFont="1" applyFill="1" applyBorder="1" applyAlignment="1">
      <alignment horizontal="center" vertical="center"/>
    </xf>
    <xf numFmtId="0" fontId="32" fillId="3" borderId="69" xfId="154" applyFont="1" applyFill="1" applyBorder="1" applyAlignment="1">
      <alignment horizontal="center" vertical="center"/>
    </xf>
    <xf numFmtId="0" fontId="32" fillId="3" borderId="216" xfId="154" applyFont="1" applyFill="1" applyBorder="1" applyAlignment="1">
      <alignment horizontal="center" vertical="center"/>
    </xf>
    <xf numFmtId="0" fontId="32" fillId="3" borderId="70" xfId="154" applyFont="1" applyFill="1" applyBorder="1" applyAlignment="1">
      <alignment horizontal="center" vertical="center"/>
    </xf>
    <xf numFmtId="0" fontId="32" fillId="3" borderId="22" xfId="154" applyFont="1" applyFill="1" applyBorder="1" applyAlignment="1">
      <alignment horizontal="center" vertical="center"/>
    </xf>
    <xf numFmtId="0" fontId="0" fillId="0" borderId="71" xfId="0" applyBorder="1" applyAlignment="1">
      <alignment horizontal="center" vertical="center"/>
    </xf>
    <xf numFmtId="0" fontId="0" fillId="0" borderId="69" xfId="0" applyBorder="1" applyAlignment="1">
      <alignment horizontal="center" vertical="center"/>
    </xf>
    <xf numFmtId="0" fontId="29" fillId="0" borderId="0" xfId="0" applyFont="1" applyAlignment="1">
      <alignment horizontal="center" vertical="center"/>
    </xf>
    <xf numFmtId="0" fontId="63" fillId="0" borderId="0" xfId="0" applyFont="1" applyAlignment="1">
      <alignment horizontal="center" vertical="center"/>
    </xf>
    <xf numFmtId="0" fontId="0" fillId="0" borderId="0" xfId="0" applyAlignment="1">
      <alignment horizontal="center"/>
    </xf>
    <xf numFmtId="0" fontId="65" fillId="0" borderId="228" xfId="0" applyFont="1" applyBorder="1" applyAlignment="1">
      <alignment horizontal="left" vertical="center" shrinkToFit="1"/>
    </xf>
    <xf numFmtId="0" fontId="32" fillId="2" borderId="17" xfId="0" applyFont="1" applyFill="1" applyBorder="1" applyAlignment="1">
      <alignment horizontal="center" vertical="center"/>
    </xf>
    <xf numFmtId="0" fontId="32" fillId="2" borderId="70" xfId="0" applyFont="1" applyFill="1" applyBorder="1" applyAlignment="1">
      <alignment horizontal="center" vertical="center"/>
    </xf>
    <xf numFmtId="0" fontId="32" fillId="2" borderId="22" xfId="0" applyFont="1" applyFill="1" applyBorder="1" applyAlignment="1">
      <alignment horizontal="center" vertical="center"/>
    </xf>
    <xf numFmtId="0" fontId="32" fillId="2" borderId="18" xfId="0" applyFont="1" applyFill="1" applyBorder="1" applyAlignment="1">
      <alignment horizontal="center" vertical="center" wrapText="1"/>
    </xf>
    <xf numFmtId="0" fontId="40" fillId="0" borderId="141" xfId="0" applyFont="1" applyBorder="1" applyAlignment="1">
      <alignment horizontal="center" vertical="center" wrapText="1"/>
    </xf>
    <xf numFmtId="0" fontId="40" fillId="0" borderId="59" xfId="0" applyFont="1" applyBorder="1" applyAlignment="1">
      <alignment horizontal="center" vertical="center" wrapText="1"/>
    </xf>
    <xf numFmtId="0" fontId="40" fillId="0" borderId="62" xfId="0" applyFont="1" applyBorder="1" applyAlignment="1">
      <alignment horizontal="center" vertical="center"/>
    </xf>
    <xf numFmtId="0" fontId="40" fillId="0" borderId="59" xfId="0" applyFont="1" applyBorder="1" applyAlignment="1">
      <alignment horizontal="center" vertical="center"/>
    </xf>
    <xf numFmtId="0" fontId="40" fillId="2" borderId="144" xfId="0" applyFont="1" applyFill="1" applyBorder="1" applyAlignment="1">
      <alignment horizontal="center" vertical="center"/>
    </xf>
    <xf numFmtId="0" fontId="40" fillId="2" borderId="212" xfId="0" applyFont="1" applyFill="1" applyBorder="1" applyAlignment="1">
      <alignment horizontal="center" vertical="center"/>
    </xf>
    <xf numFmtId="0" fontId="40" fillId="2" borderId="145" xfId="0" applyFont="1" applyFill="1" applyBorder="1" applyAlignment="1">
      <alignment horizontal="center" vertical="center"/>
    </xf>
    <xf numFmtId="0" fontId="40" fillId="2" borderId="146" xfId="0" applyFont="1" applyFill="1" applyBorder="1" applyAlignment="1">
      <alignment horizontal="center" vertical="center"/>
    </xf>
    <xf numFmtId="0" fontId="13" fillId="2" borderId="0" xfId="0" applyFont="1" applyFill="1" applyAlignment="1">
      <alignment horizontal="center"/>
    </xf>
    <xf numFmtId="0" fontId="44" fillId="2" borderId="0" xfId="0" applyFont="1" applyFill="1" applyAlignment="1">
      <alignment horizontal="center"/>
    </xf>
    <xf numFmtId="0" fontId="40" fillId="2" borderId="59" xfId="156" applyFont="1" applyFill="1" applyBorder="1" applyAlignment="1">
      <alignment horizontal="center" vertical="center" wrapText="1"/>
    </xf>
    <xf numFmtId="0" fontId="40" fillId="2" borderId="59" xfId="156" applyFont="1" applyFill="1" applyBorder="1" applyAlignment="1">
      <alignment horizontal="center" vertical="center"/>
    </xf>
    <xf numFmtId="0" fontId="40" fillId="3" borderId="45" xfId="0" applyFont="1" applyFill="1" applyBorder="1" applyAlignment="1">
      <alignment horizontal="left" vertical="center" wrapText="1"/>
    </xf>
    <xf numFmtId="0" fontId="40" fillId="3" borderId="46" xfId="0" applyFont="1" applyFill="1" applyBorder="1">
      <alignment vertical="center"/>
    </xf>
    <xf numFmtId="0" fontId="40" fillId="3" borderId="51" xfId="0" applyFont="1" applyFill="1" applyBorder="1">
      <alignment vertical="center"/>
    </xf>
    <xf numFmtId="0" fontId="40" fillId="3" borderId="52" xfId="0" applyFont="1" applyFill="1" applyBorder="1">
      <alignment vertical="center"/>
    </xf>
    <xf numFmtId="0" fontId="29" fillId="2" borderId="0" xfId="0" applyFont="1" applyFill="1" applyAlignment="1">
      <alignment horizontal="center"/>
    </xf>
    <xf numFmtId="0" fontId="31" fillId="0" borderId="141" xfId="0" applyFont="1" applyBorder="1" applyAlignment="1">
      <alignment horizontal="center" vertical="center"/>
    </xf>
    <xf numFmtId="0" fontId="31" fillId="0" borderId="59" xfId="0" applyFont="1" applyBorder="1" applyAlignment="1">
      <alignment horizontal="center" vertical="center"/>
    </xf>
    <xf numFmtId="0" fontId="31" fillId="0" borderId="62" xfId="0" applyFont="1" applyBorder="1" applyAlignment="1">
      <alignment horizontal="center" vertical="center"/>
    </xf>
    <xf numFmtId="0" fontId="31" fillId="14" borderId="73" xfId="0" applyFont="1" applyFill="1" applyBorder="1" applyAlignment="1">
      <alignment horizontal="center" vertical="center"/>
    </xf>
    <xf numFmtId="0" fontId="31" fillId="14" borderId="118" xfId="0" applyFont="1" applyFill="1" applyBorder="1" applyAlignment="1">
      <alignment horizontal="center" vertical="center"/>
    </xf>
    <xf numFmtId="0" fontId="31" fillId="14" borderId="77" xfId="0" applyFont="1" applyFill="1" applyBorder="1" applyAlignment="1">
      <alignment horizontal="center" vertical="center"/>
    </xf>
    <xf numFmtId="0" fontId="31" fillId="14" borderId="71" xfId="0" applyFont="1" applyFill="1" applyBorder="1" applyAlignment="1">
      <alignment horizontal="center" vertical="center"/>
    </xf>
    <xf numFmtId="0" fontId="31" fillId="14" borderId="117" xfId="0" applyFont="1" applyFill="1" applyBorder="1" applyAlignment="1">
      <alignment horizontal="center" vertical="center"/>
    </xf>
    <xf numFmtId="0" fontId="31" fillId="14" borderId="70" xfId="0" applyFont="1" applyFill="1" applyBorder="1" applyAlignment="1">
      <alignment horizontal="center" vertical="center"/>
    </xf>
    <xf numFmtId="0" fontId="31" fillId="14" borderId="157" xfId="0" applyFont="1" applyFill="1" applyBorder="1" applyAlignment="1">
      <alignment horizontal="center" vertical="center"/>
    </xf>
    <xf numFmtId="0" fontId="31" fillId="14" borderId="158" xfId="0" applyFont="1" applyFill="1" applyBorder="1" applyAlignment="1">
      <alignment horizontal="center" vertical="center"/>
    </xf>
    <xf numFmtId="0" fontId="31" fillId="14" borderId="79" xfId="0" applyFont="1" applyFill="1" applyBorder="1" applyAlignment="1">
      <alignment horizontal="center" vertical="center"/>
    </xf>
    <xf numFmtId="0" fontId="31" fillId="14" borderId="105" xfId="0" applyFont="1" applyFill="1" applyBorder="1" applyAlignment="1">
      <alignment horizontal="center" vertical="center"/>
    </xf>
    <xf numFmtId="0" fontId="107" fillId="14" borderId="78" xfId="0" applyFont="1" applyFill="1" applyBorder="1" applyAlignment="1">
      <alignment horizontal="center" vertical="center"/>
    </xf>
    <xf numFmtId="0" fontId="107" fillId="14" borderId="119" xfId="0" applyFont="1" applyFill="1" applyBorder="1" applyAlignment="1">
      <alignment horizontal="center" vertical="center"/>
    </xf>
    <xf numFmtId="0" fontId="31" fillId="0" borderId="86" xfId="0" applyFont="1" applyBorder="1" applyAlignment="1">
      <alignment horizontal="center" vertical="center"/>
    </xf>
    <xf numFmtId="0" fontId="31" fillId="0" borderId="137" xfId="0" applyFont="1" applyBorder="1" applyAlignment="1">
      <alignment horizontal="center" vertical="center"/>
    </xf>
    <xf numFmtId="0" fontId="31" fillId="14" borderId="117" xfId="0" applyFont="1" applyFill="1" applyBorder="1" applyAlignment="1">
      <alignment horizontal="center" vertical="center" shrinkToFit="1"/>
    </xf>
    <xf numFmtId="0" fontId="31" fillId="14" borderId="230" xfId="0" applyFont="1" applyFill="1" applyBorder="1" applyAlignment="1">
      <alignment horizontal="center" vertical="center" shrinkToFit="1"/>
    </xf>
    <xf numFmtId="0" fontId="31" fillId="14" borderId="116" xfId="0" applyFont="1" applyFill="1" applyBorder="1" applyAlignment="1">
      <alignment horizontal="center" vertical="center"/>
    </xf>
    <xf numFmtId="0" fontId="31" fillId="14" borderId="231" xfId="0" applyFont="1" applyFill="1" applyBorder="1" applyAlignment="1">
      <alignment horizontal="center" vertical="center"/>
    </xf>
    <xf numFmtId="0" fontId="31" fillId="14" borderId="232" xfId="0" applyFont="1" applyFill="1" applyBorder="1" applyAlignment="1">
      <alignment horizontal="center" vertical="center"/>
    </xf>
    <xf numFmtId="0" fontId="31" fillId="14" borderId="230" xfId="0" applyFont="1" applyFill="1" applyBorder="1" applyAlignment="1">
      <alignment horizontal="center" vertical="center"/>
    </xf>
    <xf numFmtId="0" fontId="31" fillId="14" borderId="78" xfId="0" applyFont="1" applyFill="1" applyBorder="1" applyAlignment="1">
      <alignment horizontal="center" vertical="center"/>
    </xf>
    <xf numFmtId="0" fontId="31" fillId="14" borderId="119" xfId="0" applyFont="1" applyFill="1" applyBorder="1" applyAlignment="1">
      <alignment horizontal="center" vertical="center"/>
    </xf>
    <xf numFmtId="0" fontId="33" fillId="0" borderId="0" xfId="0" applyFont="1" applyAlignment="1">
      <alignment horizontal="center" vertical="center"/>
    </xf>
    <xf numFmtId="0" fontId="23" fillId="0" borderId="29" xfId="0" applyFont="1" applyBorder="1" applyAlignment="1">
      <alignment horizontal="left" vertical="center" indent="1"/>
    </xf>
    <xf numFmtId="0" fontId="0" fillId="0" borderId="33" xfId="0" applyBorder="1" applyAlignment="1">
      <alignment horizontal="left" vertical="center" indent="1"/>
    </xf>
    <xf numFmtId="3" fontId="36" fillId="0" borderId="75" xfId="0" applyNumberFormat="1" applyFont="1" applyBorder="1" applyAlignment="1">
      <alignment horizontal="center" vertical="center"/>
    </xf>
    <xf numFmtId="0" fontId="0" fillId="0" borderId="97" xfId="0" applyBorder="1">
      <alignment vertical="center"/>
    </xf>
    <xf numFmtId="0" fontId="0" fillId="0" borderId="96" xfId="0" applyBorder="1">
      <alignment vertical="center"/>
    </xf>
    <xf numFmtId="3" fontId="17" fillId="0" borderId="0" xfId="0" applyNumberFormat="1" applyFont="1" applyAlignment="1">
      <alignment horizontal="center" vertical="center"/>
    </xf>
    <xf numFmtId="0" fontId="0" fillId="0" borderId="0" xfId="0" applyAlignment="1">
      <alignment horizontal="center" vertical="center"/>
    </xf>
    <xf numFmtId="0" fontId="0" fillId="0" borderId="228" xfId="0" applyBorder="1" applyAlignment="1">
      <alignment horizontal="center" vertical="center"/>
    </xf>
    <xf numFmtId="3" fontId="36" fillId="0" borderId="227" xfId="0" applyNumberFormat="1" applyFont="1" applyBorder="1" applyAlignment="1">
      <alignment horizontal="center" vertical="center"/>
    </xf>
    <xf numFmtId="0" fontId="0" fillId="0" borderId="98" xfId="0" applyBorder="1">
      <alignment vertical="center"/>
    </xf>
    <xf numFmtId="3" fontId="17" fillId="0" borderId="75" xfId="0" applyNumberFormat="1" applyFont="1" applyBorder="1" applyAlignment="1">
      <alignment horizontal="center" vertical="center"/>
    </xf>
    <xf numFmtId="3" fontId="17" fillId="0" borderId="97" xfId="0" applyNumberFormat="1" applyFont="1" applyBorder="1" applyAlignment="1">
      <alignment horizontal="center" vertical="center"/>
    </xf>
    <xf numFmtId="3" fontId="17" fillId="0" borderId="96" xfId="0" applyNumberFormat="1" applyFont="1" applyBorder="1" applyAlignment="1">
      <alignment horizontal="center" vertical="center"/>
    </xf>
    <xf numFmtId="3" fontId="17" fillId="3" borderId="128" xfId="0" applyNumberFormat="1" applyFont="1" applyFill="1" applyBorder="1" applyAlignment="1">
      <alignment horizontal="center" vertical="center"/>
    </xf>
    <xf numFmtId="3" fontId="17" fillId="3" borderId="171" xfId="0" applyNumberFormat="1" applyFont="1" applyFill="1" applyBorder="1" applyAlignment="1">
      <alignment horizontal="center" vertical="center"/>
    </xf>
    <xf numFmtId="3" fontId="36" fillId="0" borderId="97" xfId="0" applyNumberFormat="1" applyFont="1" applyBorder="1" applyAlignment="1">
      <alignment horizontal="center" vertical="center"/>
    </xf>
    <xf numFmtId="3" fontId="36" fillId="0" borderId="98" xfId="0" applyNumberFormat="1" applyFont="1" applyBorder="1" applyAlignment="1">
      <alignment horizontal="center" vertical="center"/>
    </xf>
    <xf numFmtId="3" fontId="17" fillId="3" borderId="75" xfId="0" applyNumberFormat="1" applyFont="1" applyFill="1" applyBorder="1" applyAlignment="1">
      <alignment horizontal="center" vertical="center"/>
    </xf>
    <xf numFmtId="3" fontId="17" fillId="3" borderId="98" xfId="0" applyNumberFormat="1" applyFont="1" applyFill="1" applyBorder="1" applyAlignment="1">
      <alignment horizontal="center" vertical="center"/>
    </xf>
    <xf numFmtId="0" fontId="0" fillId="0" borderId="97" xfId="0" applyBorder="1" applyAlignment="1">
      <alignment horizontal="center" vertical="center"/>
    </xf>
    <xf numFmtId="0" fontId="0" fillId="0" borderId="96" xfId="0" applyBorder="1" applyAlignment="1">
      <alignment horizontal="center" vertical="center"/>
    </xf>
    <xf numFmtId="3" fontId="5" fillId="0" borderId="0" xfId="0" applyNumberFormat="1" applyFont="1" applyAlignment="1">
      <alignment horizontal="center" vertical="center"/>
    </xf>
    <xf numFmtId="3" fontId="17" fillId="3" borderId="97" xfId="0" applyNumberFormat="1" applyFont="1" applyFill="1" applyBorder="1" applyAlignment="1">
      <alignment horizontal="center" vertical="center"/>
    </xf>
    <xf numFmtId="3" fontId="17" fillId="3" borderId="48" xfId="0" applyNumberFormat="1" applyFont="1" applyFill="1" applyBorder="1" applyAlignment="1">
      <alignment horizontal="center" vertical="center"/>
    </xf>
    <xf numFmtId="3" fontId="17" fillId="3" borderId="4" xfId="0" applyNumberFormat="1" applyFont="1" applyFill="1" applyBorder="1" applyAlignment="1">
      <alignment horizontal="center" vertical="center"/>
    </xf>
    <xf numFmtId="3" fontId="17" fillId="3" borderId="166" xfId="0" applyNumberFormat="1" applyFont="1" applyFill="1" applyBorder="1" applyAlignment="1">
      <alignment horizontal="center" vertical="center"/>
    </xf>
    <xf numFmtId="3" fontId="17" fillId="3" borderId="48" xfId="0" applyNumberFormat="1" applyFont="1" applyFill="1" applyBorder="1" applyAlignment="1">
      <alignment horizontal="center" vertical="center" shrinkToFit="1"/>
    </xf>
    <xf numFmtId="3" fontId="17" fillId="3" borderId="4" xfId="0" applyNumberFormat="1" applyFont="1" applyFill="1" applyBorder="1" applyAlignment="1">
      <alignment horizontal="center" vertical="center" shrinkToFit="1"/>
    </xf>
    <xf numFmtId="3" fontId="17" fillId="3" borderId="166" xfId="0" applyNumberFormat="1" applyFont="1" applyFill="1" applyBorder="1" applyAlignment="1">
      <alignment horizontal="center" vertical="center" shrinkToFit="1"/>
    </xf>
    <xf numFmtId="3" fontId="17" fillId="3" borderId="95" xfId="0" applyNumberFormat="1" applyFont="1" applyFill="1" applyBorder="1" applyAlignment="1">
      <alignment horizontal="center" vertical="center"/>
    </xf>
    <xf numFmtId="3" fontId="17" fillId="3" borderId="35" xfId="0" applyNumberFormat="1" applyFont="1" applyFill="1" applyBorder="1" applyAlignment="1">
      <alignment horizontal="center" vertical="center"/>
    </xf>
    <xf numFmtId="3" fontId="17" fillId="3" borderId="205" xfId="0" applyNumberFormat="1" applyFont="1" applyFill="1" applyBorder="1" applyAlignment="1">
      <alignment horizontal="center" vertical="center"/>
    </xf>
    <xf numFmtId="0" fontId="17" fillId="3" borderId="233" xfId="0" applyFont="1" applyFill="1" applyBorder="1" applyAlignment="1">
      <alignment horizontal="center" vertical="center"/>
    </xf>
    <xf numFmtId="0" fontId="17" fillId="3" borderId="74" xfId="0" applyFont="1" applyFill="1" applyBorder="1" applyAlignment="1">
      <alignment horizontal="center" vertical="center"/>
    </xf>
    <xf numFmtId="0" fontId="17" fillId="3" borderId="118" xfId="0" applyFont="1" applyFill="1" applyBorder="1" applyAlignment="1">
      <alignment horizontal="center" vertical="center"/>
    </xf>
    <xf numFmtId="0" fontId="17" fillId="3" borderId="72" xfId="0" applyFont="1" applyFill="1" applyBorder="1" applyAlignment="1">
      <alignment horizontal="center" vertical="center"/>
    </xf>
    <xf numFmtId="0" fontId="17" fillId="3" borderId="24" xfId="0" applyFont="1" applyFill="1" applyBorder="1" applyAlignment="1">
      <alignment horizontal="center" vertical="center"/>
    </xf>
    <xf numFmtId="0" fontId="17" fillId="3" borderId="69" xfId="0" applyFont="1" applyFill="1" applyBorder="1" applyAlignment="1">
      <alignment horizontal="center" vertical="center"/>
    </xf>
    <xf numFmtId="3" fontId="17" fillId="3" borderId="157" xfId="0" applyNumberFormat="1" applyFont="1" applyFill="1" applyBorder="1" applyAlignment="1">
      <alignment horizontal="center" vertical="center"/>
    </xf>
    <xf numFmtId="3" fontId="17" fillId="3" borderId="158" xfId="0" applyNumberFormat="1" applyFont="1" applyFill="1" applyBorder="1" applyAlignment="1">
      <alignment horizontal="center" vertical="center"/>
    </xf>
    <xf numFmtId="3" fontId="17" fillId="3" borderId="232" xfId="0" applyNumberFormat="1" applyFont="1" applyFill="1" applyBorder="1" applyAlignment="1">
      <alignment horizontal="center" vertical="center"/>
    </xf>
    <xf numFmtId="3" fontId="17" fillId="3" borderId="95" xfId="0" applyNumberFormat="1" applyFont="1" applyFill="1" applyBorder="1" applyAlignment="1">
      <alignment horizontal="center" vertical="center" shrinkToFit="1"/>
    </xf>
    <xf numFmtId="3" fontId="17" fillId="3" borderId="49" xfId="0" applyNumberFormat="1" applyFont="1" applyFill="1" applyBorder="1" applyAlignment="1">
      <alignment horizontal="center" vertical="center" shrinkToFit="1"/>
    </xf>
    <xf numFmtId="3" fontId="17" fillId="3" borderId="27" xfId="0" applyNumberFormat="1" applyFont="1" applyFill="1" applyBorder="1" applyAlignment="1">
      <alignment horizontal="center" vertical="center" shrinkToFit="1"/>
    </xf>
    <xf numFmtId="3" fontId="17" fillId="3" borderId="14" xfId="0" applyNumberFormat="1" applyFont="1" applyFill="1" applyBorder="1" applyAlignment="1">
      <alignment horizontal="center" vertical="center" shrinkToFit="1"/>
    </xf>
    <xf numFmtId="3" fontId="17" fillId="3" borderId="129" xfId="0" applyNumberFormat="1" applyFont="1" applyFill="1" applyBorder="1" applyAlignment="1">
      <alignment horizontal="center" vertical="center"/>
    </xf>
    <xf numFmtId="3" fontId="17" fillId="3" borderId="172" xfId="0" applyNumberFormat="1" applyFont="1" applyFill="1" applyBorder="1" applyAlignment="1">
      <alignment horizontal="center" vertical="center"/>
    </xf>
    <xf numFmtId="3" fontId="17" fillId="3" borderId="129" xfId="0" applyNumberFormat="1" applyFont="1" applyFill="1" applyBorder="1" applyAlignment="1">
      <alignment horizontal="center" vertical="center" shrinkToFit="1"/>
    </xf>
    <xf numFmtId="3" fontId="17" fillId="3" borderId="172" xfId="0" applyNumberFormat="1" applyFont="1" applyFill="1" applyBorder="1" applyAlignment="1">
      <alignment horizontal="center" vertical="center" shrinkToFit="1"/>
    </xf>
    <xf numFmtId="3" fontId="17" fillId="3" borderId="50" xfId="0" applyNumberFormat="1" applyFont="1" applyFill="1" applyBorder="1" applyAlignment="1">
      <alignment horizontal="center" vertical="center"/>
    </xf>
    <xf numFmtId="3" fontId="17" fillId="3" borderId="229" xfId="0" applyNumberFormat="1" applyFont="1" applyFill="1" applyBorder="1" applyAlignment="1">
      <alignment horizontal="center" vertical="center"/>
    </xf>
    <xf numFmtId="0" fontId="17" fillId="3" borderId="95" xfId="0" applyFont="1" applyFill="1" applyBorder="1" applyAlignment="1">
      <alignment horizontal="center" vertical="center"/>
    </xf>
    <xf numFmtId="0" fontId="17" fillId="3" borderId="49" xfId="0" applyFont="1" applyFill="1" applyBorder="1" applyAlignment="1">
      <alignment horizontal="center" vertical="center"/>
    </xf>
    <xf numFmtId="3" fontId="23" fillId="0" borderId="29" xfId="0" applyNumberFormat="1" applyFont="1" applyBorder="1" applyAlignment="1">
      <alignment horizontal="center" vertical="center" shrinkToFit="1"/>
    </xf>
    <xf numFmtId="3" fontId="23" fillId="0" borderId="33" xfId="0" applyNumberFormat="1" applyFont="1" applyBorder="1" applyAlignment="1">
      <alignment horizontal="center" vertical="center" shrinkToFit="1"/>
    </xf>
    <xf numFmtId="3" fontId="23" fillId="0" borderId="27" xfId="0" applyNumberFormat="1" applyFont="1" applyBorder="1" applyAlignment="1">
      <alignment horizontal="center" vertical="center" shrinkToFit="1"/>
    </xf>
    <xf numFmtId="3" fontId="23" fillId="0" borderId="14" xfId="0" applyNumberFormat="1" applyFont="1" applyBorder="1" applyAlignment="1">
      <alignment horizontal="center" vertical="center" shrinkToFit="1"/>
    </xf>
    <xf numFmtId="3" fontId="23" fillId="0" borderId="219" xfId="0" applyNumberFormat="1" applyFont="1" applyBorder="1" applyAlignment="1">
      <alignment horizontal="center" vertical="center" shrinkToFit="1"/>
    </xf>
    <xf numFmtId="3" fontId="23" fillId="0" borderId="80" xfId="0" applyNumberFormat="1" applyFont="1" applyBorder="1" applyAlignment="1">
      <alignment horizontal="center" vertical="center" shrinkToFit="1"/>
    </xf>
    <xf numFmtId="3" fontId="23" fillId="0" borderId="169" xfId="0" applyNumberFormat="1" applyFont="1" applyBorder="1" applyAlignment="1">
      <alignment horizontal="center" vertical="center" shrinkToFit="1"/>
    </xf>
    <xf numFmtId="3" fontId="23" fillId="0" borderId="75" xfId="0" applyNumberFormat="1" applyFont="1" applyBorder="1" applyAlignment="1">
      <alignment horizontal="center" vertical="center"/>
    </xf>
    <xf numFmtId="3" fontId="23" fillId="0" borderId="97" xfId="0" applyNumberFormat="1" applyFont="1" applyBorder="1" applyAlignment="1">
      <alignment horizontal="center" vertical="center"/>
    </xf>
    <xf numFmtId="3" fontId="23" fillId="0" borderId="96" xfId="0" applyNumberFormat="1" applyFont="1" applyBorder="1" applyAlignment="1">
      <alignment horizontal="center" vertical="center"/>
    </xf>
    <xf numFmtId="0" fontId="25" fillId="3" borderId="198" xfId="147" applyFont="1" applyFill="1" applyBorder="1" applyAlignment="1">
      <alignment horizontal="center" vertical="center"/>
    </xf>
    <xf numFmtId="0" fontId="25" fillId="3" borderId="210" xfId="147" quotePrefix="1" applyFont="1" applyFill="1" applyBorder="1" applyAlignment="1">
      <alignment horizontal="center" vertical="center"/>
    </xf>
    <xf numFmtId="0" fontId="25" fillId="3" borderId="211" xfId="147" quotePrefix="1" applyFont="1" applyFill="1" applyBorder="1" applyAlignment="1">
      <alignment horizontal="center" vertical="center"/>
    </xf>
    <xf numFmtId="0" fontId="25" fillId="3" borderId="212" xfId="147" quotePrefix="1" applyFont="1" applyFill="1" applyBorder="1" applyAlignment="1">
      <alignment horizontal="center" vertical="center"/>
    </xf>
    <xf numFmtId="0" fontId="25" fillId="3" borderId="216" xfId="147" applyFont="1" applyFill="1" applyBorder="1" applyAlignment="1">
      <alignment horizontal="center" vertical="center"/>
    </xf>
    <xf numFmtId="0" fontId="25" fillId="3" borderId="22" xfId="147" applyFont="1" applyFill="1" applyBorder="1" applyAlignment="1">
      <alignment horizontal="center" vertical="center"/>
    </xf>
    <xf numFmtId="0" fontId="36" fillId="3" borderId="210" xfId="147" applyFont="1" applyFill="1" applyBorder="1" applyAlignment="1">
      <alignment horizontal="center" vertical="center"/>
    </xf>
    <xf numFmtId="0" fontId="0" fillId="0" borderId="211" xfId="0" applyBorder="1">
      <alignment vertical="center"/>
    </xf>
    <xf numFmtId="0" fontId="0" fillId="0" borderId="212" xfId="0" applyBorder="1">
      <alignment vertical="center"/>
    </xf>
    <xf numFmtId="0" fontId="25" fillId="3" borderId="70" xfId="147" applyFont="1" applyFill="1" applyBorder="1" applyAlignment="1">
      <alignment horizontal="center" vertical="center"/>
    </xf>
    <xf numFmtId="0" fontId="25" fillId="3" borderId="198" xfId="147" applyFont="1" applyFill="1" applyBorder="1" applyAlignment="1">
      <alignment horizontal="center" vertical="center" wrapText="1"/>
    </xf>
    <xf numFmtId="0" fontId="36" fillId="3" borderId="198" xfId="147" applyFont="1" applyFill="1" applyBorder="1" applyAlignment="1">
      <alignment horizontal="center" vertical="center"/>
    </xf>
    <xf numFmtId="0" fontId="0" fillId="0" borderId="198" xfId="0" applyBorder="1" applyAlignment="1">
      <alignment horizontal="center" vertical="center"/>
    </xf>
    <xf numFmtId="0" fontId="36" fillId="3" borderId="194" xfId="147" applyFont="1" applyFill="1" applyBorder="1" applyAlignment="1">
      <alignment horizontal="center" vertical="center"/>
    </xf>
    <xf numFmtId="0" fontId="0" fillId="0" borderId="194" xfId="0" applyBorder="1" applyAlignment="1">
      <alignment horizontal="center" vertical="center"/>
    </xf>
    <xf numFmtId="0" fontId="0" fillId="0" borderId="154" xfId="0" applyBorder="1" applyAlignment="1">
      <alignment horizontal="center" vertical="center"/>
    </xf>
    <xf numFmtId="0" fontId="36" fillId="3" borderId="193" xfId="147" applyFont="1" applyFill="1" applyBorder="1" applyAlignment="1">
      <alignment horizontal="center" vertical="center"/>
    </xf>
    <xf numFmtId="0" fontId="0" fillId="0" borderId="198" xfId="0" applyBorder="1">
      <alignment vertical="center"/>
    </xf>
    <xf numFmtId="3" fontId="17" fillId="3" borderId="199" xfId="0" applyNumberFormat="1" applyFont="1" applyFill="1" applyBorder="1" applyAlignment="1">
      <alignment horizontal="center" vertical="center"/>
    </xf>
    <xf numFmtId="0" fontId="17" fillId="3" borderId="198" xfId="0" applyFont="1" applyFill="1" applyBorder="1" applyAlignment="1">
      <alignment horizontal="center" vertical="center" wrapText="1"/>
    </xf>
    <xf numFmtId="0" fontId="17" fillId="3" borderId="198" xfId="0" applyFont="1" applyFill="1" applyBorder="1" applyAlignment="1">
      <alignment horizontal="center" vertical="center"/>
    </xf>
    <xf numFmtId="0" fontId="17" fillId="3" borderId="26" xfId="0" applyFont="1" applyFill="1" applyBorder="1" applyAlignment="1">
      <alignment horizontal="center" vertical="center"/>
    </xf>
    <xf numFmtId="0" fontId="17" fillId="3" borderId="13" xfId="0" applyFont="1" applyFill="1" applyBorder="1" applyAlignment="1">
      <alignment horizontal="center" vertical="center"/>
    </xf>
    <xf numFmtId="0" fontId="17" fillId="3" borderId="25" xfId="0" applyFont="1" applyFill="1" applyBorder="1" applyAlignment="1">
      <alignment horizontal="center" vertical="center" wrapText="1"/>
    </xf>
    <xf numFmtId="0" fontId="17" fillId="3" borderId="33" xfId="0" applyFont="1" applyFill="1" applyBorder="1" applyAlignment="1">
      <alignment horizontal="center" vertical="center"/>
    </xf>
    <xf numFmtId="0" fontId="17" fillId="3" borderId="151" xfId="0" applyFont="1" applyFill="1" applyBorder="1" applyAlignment="1">
      <alignment horizontal="center" vertical="center"/>
    </xf>
    <xf numFmtId="0" fontId="17" fillId="3" borderId="124" xfId="0" applyFont="1" applyFill="1" applyBorder="1" applyAlignment="1">
      <alignment horizontal="center" vertical="center"/>
    </xf>
    <xf numFmtId="0" fontId="17" fillId="3" borderId="25" xfId="0" applyFont="1" applyFill="1" applyBorder="1" applyAlignment="1">
      <alignment horizontal="center" vertical="center"/>
    </xf>
    <xf numFmtId="0" fontId="17" fillId="3" borderId="169" xfId="0" applyFont="1" applyFill="1" applyBorder="1" applyAlignment="1">
      <alignment horizontal="center" vertical="center"/>
    </xf>
    <xf numFmtId="0" fontId="17" fillId="3" borderId="29" xfId="0" applyFont="1" applyFill="1" applyBorder="1" applyAlignment="1">
      <alignment horizontal="center" vertical="center"/>
    </xf>
    <xf numFmtId="3" fontId="17" fillId="5" borderId="216" xfId="136" applyNumberFormat="1" applyFont="1" applyFill="1" applyBorder="1" applyAlignment="1">
      <alignment horizontal="center" vertical="center" wrapText="1"/>
    </xf>
    <xf numFmtId="3" fontId="17" fillId="5" borderId="21" xfId="136" applyNumberFormat="1" applyFont="1" applyFill="1" applyBorder="1" applyAlignment="1">
      <alignment horizontal="center" vertical="center" wrapText="1"/>
    </xf>
    <xf numFmtId="0" fontId="15" fillId="3" borderId="216" xfId="136" applyFont="1" applyFill="1" applyBorder="1" applyAlignment="1">
      <alignment horizontal="center" vertical="center"/>
    </xf>
    <xf numFmtId="0" fontId="15" fillId="3" borderId="21" xfId="136" applyFont="1" applyFill="1" applyBorder="1" applyAlignment="1">
      <alignment horizontal="center" vertical="center"/>
    </xf>
    <xf numFmtId="0" fontId="18" fillId="4" borderId="0" xfId="136" applyFont="1" applyFill="1" applyAlignment="1">
      <alignment horizontal="center"/>
    </xf>
    <xf numFmtId="3" fontId="122" fillId="3" borderId="214" xfId="0" applyNumberFormat="1" applyFont="1" applyFill="1" applyBorder="1" applyAlignment="1">
      <alignment horizontal="center" vertical="center"/>
    </xf>
    <xf numFmtId="3" fontId="122" fillId="3" borderId="215" xfId="0" applyNumberFormat="1" applyFont="1" applyFill="1" applyBorder="1" applyAlignment="1">
      <alignment horizontal="center" vertical="center"/>
    </xf>
    <xf numFmtId="0" fontId="59" fillId="4" borderId="0" xfId="0" applyFont="1" applyFill="1" applyAlignment="1">
      <alignment horizontal="center" vertical="center"/>
    </xf>
    <xf numFmtId="0" fontId="26" fillId="3" borderId="151" xfId="0" applyFont="1" applyFill="1" applyBorder="1" applyAlignment="1">
      <alignment horizontal="center" vertical="center"/>
    </xf>
    <xf numFmtId="0" fontId="26" fillId="3" borderId="124" xfId="0" applyFont="1" applyFill="1" applyBorder="1" applyAlignment="1">
      <alignment horizontal="center" vertical="center"/>
    </xf>
    <xf numFmtId="0" fontId="26" fillId="3" borderId="25" xfId="0" applyFont="1" applyFill="1" applyBorder="1" applyAlignment="1">
      <alignment horizontal="center" vertical="center"/>
    </xf>
    <xf numFmtId="0" fontId="26" fillId="3" borderId="12" xfId="0" applyFont="1" applyFill="1" applyBorder="1" applyAlignment="1">
      <alignment horizontal="center" vertical="center"/>
    </xf>
    <xf numFmtId="0" fontId="26" fillId="3" borderId="25" xfId="0" applyFont="1" applyFill="1" applyBorder="1" applyAlignment="1">
      <alignment horizontal="center" vertical="center" wrapText="1"/>
    </xf>
    <xf numFmtId="0" fontId="149" fillId="3" borderId="12" xfId="0" applyFont="1" applyFill="1" applyBorder="1" applyAlignment="1">
      <alignment horizontal="center" vertical="center"/>
    </xf>
    <xf numFmtId="0" fontId="26" fillId="3" borderId="12" xfId="0" applyFont="1" applyFill="1" applyBorder="1" applyAlignment="1">
      <alignment horizontal="center" vertical="center" wrapText="1"/>
    </xf>
    <xf numFmtId="0" fontId="26" fillId="3" borderId="203" xfId="0" applyFont="1" applyFill="1" applyBorder="1" applyAlignment="1">
      <alignment horizontal="center" vertical="center"/>
    </xf>
    <xf numFmtId="0" fontId="26" fillId="3" borderId="215" xfId="0" applyFont="1" applyFill="1" applyBorder="1" applyAlignment="1">
      <alignment horizontal="center" vertical="center"/>
    </xf>
    <xf numFmtId="0" fontId="26" fillId="3" borderId="35" xfId="0" applyFont="1" applyFill="1" applyBorder="1" applyAlignment="1">
      <alignment horizontal="center" vertical="center"/>
    </xf>
    <xf numFmtId="0" fontId="26" fillId="3" borderId="71" xfId="0" applyFont="1" applyFill="1" applyBorder="1" applyAlignment="1">
      <alignment horizontal="center" vertical="center"/>
    </xf>
    <xf numFmtId="0" fontId="26" fillId="3" borderId="27" xfId="0" applyFont="1" applyFill="1" applyBorder="1" applyAlignment="1">
      <alignment horizontal="center" vertical="center"/>
    </xf>
    <xf numFmtId="0" fontId="26" fillId="3" borderId="177" xfId="0" applyFont="1" applyFill="1" applyBorder="1" applyAlignment="1">
      <alignment horizontal="center" vertical="center"/>
    </xf>
    <xf numFmtId="0" fontId="15" fillId="5" borderId="221" xfId="0" applyFont="1" applyFill="1" applyBorder="1" applyAlignment="1">
      <alignment horizontal="center" vertical="center"/>
    </xf>
    <xf numFmtId="0" fontId="15" fillId="5" borderId="28" xfId="0" applyFont="1" applyFill="1" applyBorder="1" applyAlignment="1">
      <alignment horizontal="center" vertical="center"/>
    </xf>
    <xf numFmtId="0" fontId="15" fillId="5" borderId="9" xfId="0" applyFont="1" applyFill="1" applyBorder="1" applyAlignment="1">
      <alignment horizontal="center" vertical="center"/>
    </xf>
    <xf numFmtId="0" fontId="15" fillId="5" borderId="193" xfId="0" applyFont="1" applyFill="1" applyBorder="1" applyAlignment="1">
      <alignment horizontal="center" vertical="center"/>
    </xf>
    <xf numFmtId="0" fontId="15" fillId="5" borderId="194" xfId="0" applyFont="1" applyFill="1" applyBorder="1" applyAlignment="1">
      <alignment horizontal="center" vertical="center"/>
    </xf>
    <xf numFmtId="0" fontId="15" fillId="5" borderId="154" xfId="0" applyFont="1" applyFill="1" applyBorder="1" applyAlignment="1">
      <alignment horizontal="center" vertical="center"/>
    </xf>
    <xf numFmtId="0" fontId="15" fillId="0" borderId="203" xfId="0" applyFont="1" applyBorder="1" applyAlignment="1">
      <alignment horizontal="center" vertical="center" wrapText="1"/>
    </xf>
    <xf numFmtId="0" fontId="15" fillId="0" borderId="214" xfId="0" applyFont="1" applyBorder="1" applyAlignment="1">
      <alignment horizontal="center" vertical="center" wrapText="1"/>
    </xf>
    <xf numFmtId="0" fontId="15" fillId="0" borderId="215" xfId="0" applyFont="1" applyBorder="1" applyAlignment="1">
      <alignment horizontal="center" vertical="center" wrapText="1"/>
    </xf>
    <xf numFmtId="0" fontId="15" fillId="0" borderId="35" xfId="0" applyFont="1" applyBorder="1" applyAlignment="1">
      <alignment horizontal="center" vertical="center" wrapText="1"/>
    </xf>
    <xf numFmtId="0" fontId="15" fillId="0" borderId="0" xfId="0" applyFont="1" applyAlignment="1">
      <alignment horizontal="center" vertical="center" wrapText="1"/>
    </xf>
    <xf numFmtId="0" fontId="15" fillId="0" borderId="71" xfId="0" applyFont="1" applyBorder="1" applyAlignment="1">
      <alignment horizontal="center" vertical="center" wrapText="1"/>
    </xf>
    <xf numFmtId="0" fontId="15" fillId="0" borderId="102" xfId="0" applyFont="1" applyBorder="1" applyAlignment="1">
      <alignment horizontal="center" vertical="center" wrapText="1"/>
    </xf>
    <xf numFmtId="0" fontId="15" fillId="0" borderId="24" xfId="0" applyFont="1" applyBorder="1" applyAlignment="1">
      <alignment horizontal="center" vertical="center" wrapText="1"/>
    </xf>
    <xf numFmtId="0" fontId="15" fillId="0" borderId="69" xfId="0" applyFont="1" applyBorder="1" applyAlignment="1">
      <alignment horizontal="center" vertical="center" wrapText="1"/>
    </xf>
    <xf numFmtId="0" fontId="15" fillId="0" borderId="29" xfId="0" applyFont="1" applyBorder="1" applyAlignment="1">
      <alignment horizontal="center" vertical="center"/>
    </xf>
    <xf numFmtId="0" fontId="15" fillId="0" borderId="16" xfId="0" applyFont="1" applyBorder="1" applyAlignment="1">
      <alignment horizontal="center" vertical="center"/>
    </xf>
    <xf numFmtId="0" fontId="15" fillId="0" borderId="33" xfId="0" applyFont="1" applyBorder="1" applyAlignment="1">
      <alignment horizontal="center" vertical="center"/>
    </xf>
    <xf numFmtId="0" fontId="15" fillId="0" borderId="224" xfId="0" applyFont="1" applyBorder="1" applyAlignment="1">
      <alignment horizontal="center" vertical="center"/>
    </xf>
    <xf numFmtId="0" fontId="15" fillId="0" borderId="5" xfId="0" applyFont="1" applyBorder="1" applyAlignment="1">
      <alignment horizontal="center" vertical="center"/>
    </xf>
    <xf numFmtId="0" fontId="15" fillId="0" borderId="31" xfId="0" applyFont="1" applyBorder="1" applyAlignment="1">
      <alignment horizontal="center" vertical="center"/>
    </xf>
    <xf numFmtId="0" fontId="15" fillId="0" borderId="101" xfId="0" applyFont="1" applyBorder="1" applyAlignment="1">
      <alignment horizontal="center" vertical="center"/>
    </xf>
    <xf numFmtId="0" fontId="15" fillId="0" borderId="34" xfId="0" applyFont="1" applyBorder="1" applyAlignment="1">
      <alignment horizontal="center" vertical="center"/>
    </xf>
    <xf numFmtId="0" fontId="15" fillId="3" borderId="153" xfId="0" applyFont="1" applyFill="1" applyBorder="1" applyAlignment="1">
      <alignment horizontal="center" vertical="center"/>
    </xf>
    <xf numFmtId="0" fontId="15" fillId="3" borderId="211" xfId="0" applyFont="1" applyFill="1" applyBorder="1" applyAlignment="1">
      <alignment horizontal="center" vertical="center"/>
    </xf>
    <xf numFmtId="0" fontId="15" fillId="3" borderId="212" xfId="0" applyFont="1" applyFill="1" applyBorder="1" applyAlignment="1">
      <alignment horizontal="center" vertical="center"/>
    </xf>
    <xf numFmtId="0" fontId="15" fillId="0" borderId="103" xfId="0" applyFont="1" applyBorder="1" applyAlignment="1">
      <alignment horizontal="center" vertical="center"/>
    </xf>
    <xf numFmtId="9" fontId="15" fillId="0" borderId="31" xfId="0" applyNumberFormat="1" applyFont="1" applyBorder="1" applyAlignment="1">
      <alignment horizontal="center" vertical="center"/>
    </xf>
    <xf numFmtId="9" fontId="15" fillId="0" borderId="196" xfId="0" applyNumberFormat="1" applyFont="1" applyBorder="1" applyAlignment="1">
      <alignment horizontal="center" vertical="center"/>
    </xf>
    <xf numFmtId="0" fontId="30" fillId="3" borderId="210" xfId="0" applyFont="1" applyFill="1" applyBorder="1" applyAlignment="1">
      <alignment horizontal="center" vertical="center"/>
    </xf>
    <xf numFmtId="0" fontId="30" fillId="3" borderId="202" xfId="0" applyFont="1" applyFill="1" applyBorder="1" applyAlignment="1">
      <alignment horizontal="center" vertical="center"/>
    </xf>
    <xf numFmtId="0" fontId="15" fillId="3" borderId="202" xfId="0" applyFont="1" applyFill="1" applyBorder="1" applyAlignment="1">
      <alignment horizontal="center" vertical="center"/>
    </xf>
    <xf numFmtId="0" fontId="37" fillId="3" borderId="153" xfId="0" applyFont="1" applyFill="1" applyBorder="1" applyAlignment="1">
      <alignment horizontal="center" vertical="center"/>
    </xf>
    <xf numFmtId="0" fontId="37" fillId="3" borderId="211" xfId="0" applyFont="1" applyFill="1" applyBorder="1" applyAlignment="1">
      <alignment horizontal="center" vertical="center"/>
    </xf>
    <xf numFmtId="0" fontId="37" fillId="3" borderId="212" xfId="0" applyFont="1" applyFill="1" applyBorder="1" applyAlignment="1">
      <alignment horizontal="center" vertical="center"/>
    </xf>
    <xf numFmtId="0" fontId="15" fillId="21" borderId="148" xfId="0" applyFont="1" applyFill="1" applyBorder="1" applyAlignment="1">
      <alignment horizontal="left" vertical="center" indent="1"/>
    </xf>
    <xf numFmtId="0" fontId="15" fillId="21" borderId="154" xfId="0" applyFont="1" applyFill="1" applyBorder="1" applyAlignment="1">
      <alignment horizontal="left" vertical="center" indent="1"/>
    </xf>
    <xf numFmtId="184" fontId="15" fillId="21" borderId="193" xfId="0" applyNumberFormat="1" applyFont="1" applyFill="1" applyBorder="1" applyAlignment="1">
      <alignment horizontal="center" vertical="center"/>
    </xf>
    <xf numFmtId="184" fontId="15" fillId="21" borderId="194" xfId="0" applyNumberFormat="1" applyFont="1" applyFill="1" applyBorder="1" applyAlignment="1">
      <alignment horizontal="center" vertical="center"/>
    </xf>
    <xf numFmtId="184" fontId="15" fillId="21" borderId="154" xfId="0" applyNumberFormat="1" applyFont="1" applyFill="1" applyBorder="1" applyAlignment="1">
      <alignment horizontal="center" vertical="center"/>
    </xf>
    <xf numFmtId="0" fontId="37" fillId="0" borderId="203" xfId="0" applyFont="1" applyBorder="1" applyAlignment="1">
      <alignment horizontal="center" vertical="center"/>
    </xf>
    <xf numFmtId="0" fontId="37" fillId="0" borderId="214" xfId="0" applyFont="1" applyBorder="1" applyAlignment="1">
      <alignment horizontal="center" vertical="center"/>
    </xf>
    <xf numFmtId="0" fontId="37" fillId="0" borderId="215" xfId="0" applyFont="1" applyBorder="1" applyAlignment="1">
      <alignment horizontal="center" vertical="center"/>
    </xf>
    <xf numFmtId="0" fontId="37" fillId="0" borderId="35" xfId="0" applyFont="1" applyBorder="1" applyAlignment="1">
      <alignment horizontal="center" vertical="center"/>
    </xf>
    <xf numFmtId="0" fontId="37" fillId="0" borderId="0" xfId="0" applyFont="1" applyAlignment="1">
      <alignment horizontal="center" vertical="center"/>
    </xf>
    <xf numFmtId="0" fontId="37" fillId="0" borderId="71" xfId="0" applyFont="1" applyBorder="1" applyAlignment="1">
      <alignment horizontal="center" vertical="center"/>
    </xf>
    <xf numFmtId="0" fontId="37" fillId="0" borderId="102" xfId="0" applyFont="1" applyBorder="1" applyAlignment="1">
      <alignment horizontal="center" vertical="center"/>
    </xf>
    <xf numFmtId="0" fontId="37" fillId="0" borderId="24" xfId="0" applyFont="1" applyBorder="1" applyAlignment="1">
      <alignment horizontal="center" vertical="center"/>
    </xf>
    <xf numFmtId="0" fontId="37" fillId="0" borderId="69" xfId="0" applyFont="1" applyBorder="1" applyAlignment="1">
      <alignment horizontal="center" vertical="center"/>
    </xf>
    <xf numFmtId="0" fontId="15" fillId="0" borderId="15" xfId="0" applyFont="1" applyBorder="1" applyAlignment="1">
      <alignment horizontal="left" vertical="center" indent="1"/>
    </xf>
    <xf numFmtId="0" fontId="15" fillId="0" borderId="33" xfId="0" applyFont="1" applyBorder="1" applyAlignment="1">
      <alignment horizontal="left" vertical="center" indent="1"/>
    </xf>
    <xf numFmtId="184" fontId="15" fillId="0" borderId="29" xfId="0" applyNumberFormat="1" applyFont="1" applyBorder="1" applyAlignment="1">
      <alignment horizontal="center" vertical="center"/>
    </xf>
    <xf numFmtId="184" fontId="15" fillId="0" borderId="16" xfId="0" applyNumberFormat="1" applyFont="1" applyBorder="1" applyAlignment="1">
      <alignment horizontal="center" vertical="center"/>
    </xf>
    <xf numFmtId="184" fontId="15" fillId="0" borderId="33" xfId="0" applyNumberFormat="1" applyFont="1" applyBorder="1" applyAlignment="1">
      <alignment horizontal="center" vertical="center"/>
    </xf>
    <xf numFmtId="0" fontId="15" fillId="0" borderId="103" xfId="0" applyFont="1" applyBorder="1" applyAlignment="1">
      <alignment horizontal="left" vertical="center" indent="1"/>
    </xf>
    <xf numFmtId="0" fontId="15" fillId="0" borderId="34" xfId="0" applyFont="1" applyBorder="1" applyAlignment="1">
      <alignment horizontal="left" vertical="center" indent="1"/>
    </xf>
    <xf numFmtId="184" fontId="15" fillId="0" borderId="31" xfId="0" applyNumberFormat="1" applyFont="1" applyBorder="1" applyAlignment="1">
      <alignment horizontal="center" vertical="center"/>
    </xf>
    <xf numFmtId="184" fontId="15" fillId="0" borderId="101" xfId="0" applyNumberFormat="1" applyFont="1" applyBorder="1" applyAlignment="1">
      <alignment horizontal="center" vertical="center"/>
    </xf>
    <xf numFmtId="184" fontId="15" fillId="0" borderId="34" xfId="0" applyNumberFormat="1" applyFont="1" applyBorder="1" applyAlignment="1">
      <alignment horizontal="center" vertical="center"/>
    </xf>
    <xf numFmtId="0" fontId="30" fillId="3" borderId="153" xfId="0" applyFont="1" applyFill="1" applyBorder="1" applyAlignment="1">
      <alignment horizontal="center" vertical="center"/>
    </xf>
    <xf numFmtId="0" fontId="30" fillId="3" borderId="211" xfId="0" applyFont="1" applyFill="1" applyBorder="1" applyAlignment="1">
      <alignment horizontal="center" vertical="center"/>
    </xf>
    <xf numFmtId="0" fontId="15" fillId="13" borderId="15" xfId="0" applyFont="1" applyFill="1" applyBorder="1" applyAlignment="1">
      <alignment horizontal="center" vertical="center"/>
    </xf>
    <xf numFmtId="0" fontId="15" fillId="13" borderId="16" xfId="0" applyFont="1" applyFill="1" applyBorder="1" applyAlignment="1">
      <alignment horizontal="center" vertical="center"/>
    </xf>
    <xf numFmtId="0" fontId="15" fillId="13" borderId="33" xfId="0" applyFont="1" applyFill="1" applyBorder="1" applyAlignment="1">
      <alignment horizontal="center" vertical="center"/>
    </xf>
    <xf numFmtId="0" fontId="15" fillId="13" borderId="29" xfId="0" applyFont="1" applyFill="1" applyBorder="1" applyAlignment="1">
      <alignment horizontal="center" vertical="center"/>
    </xf>
    <xf numFmtId="184" fontId="15" fillId="13" borderId="29" xfId="0" applyNumberFormat="1" applyFont="1" applyFill="1" applyBorder="1" applyAlignment="1">
      <alignment horizontal="center" vertical="center"/>
    </xf>
    <xf numFmtId="184" fontId="15" fillId="13" borderId="168" xfId="0" applyNumberFormat="1" applyFont="1" applyFill="1" applyBorder="1" applyAlignment="1">
      <alignment horizontal="center" vertical="center"/>
    </xf>
    <xf numFmtId="184" fontId="15" fillId="0" borderId="168" xfId="0" applyNumberFormat="1" applyFont="1" applyBorder="1" applyAlignment="1">
      <alignment horizontal="center" vertical="center"/>
    </xf>
    <xf numFmtId="0" fontId="15" fillId="3" borderId="210" xfId="0" applyFont="1" applyFill="1" applyBorder="1" applyAlignment="1">
      <alignment horizontal="center" vertical="center"/>
    </xf>
    <xf numFmtId="0" fontId="15" fillId="0" borderId="148" xfId="0" applyFont="1" applyBorder="1" applyAlignment="1">
      <alignment horizontal="center" vertical="center"/>
    </xf>
    <xf numFmtId="0" fontId="15" fillId="0" borderId="194" xfId="0" applyFont="1" applyBorder="1" applyAlignment="1">
      <alignment horizontal="center" vertical="center"/>
    </xf>
    <xf numFmtId="0" fontId="15" fillId="0" borderId="154" xfId="0" applyFont="1" applyBorder="1" applyAlignment="1">
      <alignment horizontal="center" vertical="center"/>
    </xf>
    <xf numFmtId="0" fontId="15" fillId="13" borderId="193" xfId="0" applyFont="1" applyFill="1" applyBorder="1" applyAlignment="1">
      <alignment horizontal="center" vertical="center"/>
    </xf>
    <xf numFmtId="0" fontId="15" fillId="13" borderId="154" xfId="0" applyFont="1" applyFill="1" applyBorder="1" applyAlignment="1">
      <alignment horizontal="center" vertical="center"/>
    </xf>
    <xf numFmtId="184" fontId="15" fillId="13" borderId="193" xfId="0" applyNumberFormat="1" applyFont="1" applyFill="1" applyBorder="1" applyAlignment="1">
      <alignment horizontal="center" vertical="center"/>
    </xf>
    <xf numFmtId="184" fontId="15" fillId="13" borderId="195" xfId="0" applyNumberFormat="1" applyFont="1" applyFill="1" applyBorder="1" applyAlignment="1">
      <alignment horizontal="center" vertical="center"/>
    </xf>
    <xf numFmtId="0" fontId="15" fillId="0" borderId="193" xfId="0" applyFont="1" applyBorder="1" applyAlignment="1">
      <alignment horizontal="center" vertical="center"/>
    </xf>
    <xf numFmtId="0" fontId="15" fillId="21" borderId="29" xfId="0" applyFont="1" applyFill="1" applyBorder="1" applyAlignment="1">
      <alignment horizontal="center" vertical="center"/>
    </xf>
    <xf numFmtId="0" fontId="15" fillId="21" borderId="33" xfId="0" applyFont="1" applyFill="1" applyBorder="1" applyAlignment="1">
      <alignment horizontal="center" vertical="center"/>
    </xf>
    <xf numFmtId="0" fontId="15" fillId="5" borderId="15" xfId="0" applyFont="1" applyFill="1" applyBorder="1" applyAlignment="1">
      <alignment horizontal="center" vertical="center"/>
    </xf>
    <xf numFmtId="0" fontId="15" fillId="5" borderId="33" xfId="0" applyFont="1" applyFill="1" applyBorder="1" applyAlignment="1">
      <alignment horizontal="center" vertical="center"/>
    </xf>
    <xf numFmtId="0" fontId="30" fillId="0" borderId="103" xfId="0" applyFont="1" applyBorder="1" applyAlignment="1">
      <alignment horizontal="center" vertical="center"/>
    </xf>
    <xf numFmtId="0" fontId="30" fillId="0" borderId="34" xfId="0" applyFont="1" applyBorder="1" applyAlignment="1">
      <alignment horizontal="center" vertical="center"/>
    </xf>
    <xf numFmtId="10" fontId="15" fillId="0" borderId="31" xfId="0" applyNumberFormat="1" applyFont="1" applyBorder="1" applyAlignment="1">
      <alignment horizontal="left" vertical="center" indent="1"/>
    </xf>
    <xf numFmtId="10" fontId="15" fillId="0" borderId="101" xfId="0" applyNumberFormat="1" applyFont="1" applyBorder="1" applyAlignment="1">
      <alignment horizontal="left" vertical="center" indent="1"/>
    </xf>
    <xf numFmtId="10" fontId="15" fillId="0" borderId="34" xfId="0" applyNumberFormat="1" applyFont="1" applyBorder="1" applyAlignment="1">
      <alignment horizontal="left" vertical="center" indent="1"/>
    </xf>
    <xf numFmtId="0" fontId="15" fillId="3" borderId="221" xfId="0" applyFont="1" applyFill="1" applyBorder="1" applyAlignment="1">
      <alignment horizontal="center" vertical="center"/>
    </xf>
    <xf numFmtId="0" fontId="15" fillId="3" borderId="5" xfId="0" applyFont="1" applyFill="1" applyBorder="1" applyAlignment="1">
      <alignment horizontal="center" vertical="center"/>
    </xf>
    <xf numFmtId="0" fontId="15" fillId="3" borderId="203" xfId="0" applyFont="1" applyFill="1" applyBorder="1" applyAlignment="1">
      <alignment horizontal="center" vertical="center"/>
    </xf>
    <xf numFmtId="0" fontId="15" fillId="3" borderId="180" xfId="0" applyFont="1" applyFill="1" applyBorder="1" applyAlignment="1">
      <alignment horizontal="center" vertical="center"/>
    </xf>
    <xf numFmtId="0" fontId="15" fillId="3" borderId="102" xfId="0" applyFont="1" applyFill="1" applyBorder="1" applyAlignment="1">
      <alignment horizontal="center" vertical="center"/>
    </xf>
    <xf numFmtId="0" fontId="15" fillId="3" borderId="53" xfId="0" applyFont="1" applyFill="1" applyBorder="1" applyAlignment="1">
      <alignment horizontal="center" vertical="center"/>
    </xf>
    <xf numFmtId="0" fontId="15" fillId="3" borderId="193" xfId="0" applyFont="1" applyFill="1" applyBorder="1" applyAlignment="1">
      <alignment horizontal="center" vertical="center"/>
    </xf>
    <xf numFmtId="0" fontId="15" fillId="3" borderId="154" xfId="0" applyFont="1" applyFill="1" applyBorder="1" applyAlignment="1">
      <alignment horizontal="center" vertical="center"/>
    </xf>
    <xf numFmtId="0" fontId="37" fillId="21" borderId="15" xfId="0" applyFont="1" applyFill="1" applyBorder="1" applyAlignment="1">
      <alignment horizontal="center" vertical="center"/>
    </xf>
    <xf numFmtId="0" fontId="37" fillId="21" borderId="33" xfId="0" applyFont="1" applyFill="1" applyBorder="1" applyAlignment="1">
      <alignment horizontal="center" vertical="center"/>
    </xf>
    <xf numFmtId="10" fontId="37" fillId="21" borderId="29" xfId="0" applyNumberFormat="1" applyFont="1" applyFill="1" applyBorder="1" applyAlignment="1">
      <alignment horizontal="left" vertical="center" indent="1"/>
    </xf>
    <xf numFmtId="10" fontId="37" fillId="21" borderId="16" xfId="0" applyNumberFormat="1" applyFont="1" applyFill="1" applyBorder="1" applyAlignment="1">
      <alignment horizontal="left" vertical="center" indent="1"/>
    </xf>
    <xf numFmtId="10" fontId="37" fillId="21" borderId="33" xfId="0" applyNumberFormat="1" applyFont="1" applyFill="1" applyBorder="1" applyAlignment="1">
      <alignment horizontal="left" vertical="center" indent="1"/>
    </xf>
    <xf numFmtId="0" fontId="37" fillId="21" borderId="29" xfId="0" applyFont="1" applyFill="1" applyBorder="1" applyAlignment="1">
      <alignment horizontal="center" vertical="center"/>
    </xf>
    <xf numFmtId="184" fontId="37" fillId="21" borderId="29" xfId="0" applyNumberFormat="1" applyFont="1" applyFill="1" applyBorder="1" applyAlignment="1">
      <alignment horizontal="center" vertical="center"/>
    </xf>
    <xf numFmtId="184" fontId="37" fillId="21" borderId="33" xfId="0" applyNumberFormat="1" applyFont="1" applyFill="1" applyBorder="1" applyAlignment="1">
      <alignment horizontal="center" vertical="center"/>
    </xf>
    <xf numFmtId="0" fontId="92" fillId="0" borderId="0" xfId="0" applyFont="1" applyAlignment="1">
      <alignment horizontal="center" vertical="center"/>
    </xf>
    <xf numFmtId="10" fontId="15" fillId="0" borderId="193" xfId="0" applyNumberFormat="1" applyFont="1" applyBorder="1" applyAlignment="1">
      <alignment horizontal="left" vertical="center" indent="1"/>
    </xf>
    <xf numFmtId="10" fontId="15" fillId="0" borderId="194" xfId="0" applyNumberFormat="1" applyFont="1" applyBorder="1" applyAlignment="1">
      <alignment horizontal="left" vertical="center" indent="1"/>
    </xf>
    <xf numFmtId="10" fontId="15" fillId="0" borderId="154" xfId="0" applyNumberFormat="1" applyFont="1" applyBorder="1" applyAlignment="1">
      <alignment horizontal="left" vertical="center" indent="1"/>
    </xf>
    <xf numFmtId="0" fontId="15" fillId="3" borderId="121" xfId="145" applyFont="1" applyFill="1" applyBorder="1" applyAlignment="1">
      <alignment horizontal="center" vertical="center" shrinkToFit="1"/>
    </xf>
    <xf numFmtId="184" fontId="15" fillId="0" borderId="193" xfId="0" applyNumberFormat="1" applyFont="1" applyBorder="1" applyAlignment="1">
      <alignment horizontal="center" vertical="center"/>
    </xf>
    <xf numFmtId="184" fontId="15" fillId="0" borderId="154" xfId="0" applyNumberFormat="1" applyFont="1" applyBorder="1" applyAlignment="1">
      <alignment horizontal="center" vertical="center"/>
    </xf>
    <xf numFmtId="0" fontId="15" fillId="0" borderId="203" xfId="0" applyFont="1" applyBorder="1" applyAlignment="1">
      <alignment horizontal="center" vertical="center"/>
    </xf>
    <xf numFmtId="0" fontId="15" fillId="0" borderId="214" xfId="0" applyFont="1" applyBorder="1" applyAlignment="1">
      <alignment horizontal="center" vertical="center"/>
    </xf>
    <xf numFmtId="0" fontId="15" fillId="0" borderId="215" xfId="0" applyFont="1" applyBorder="1" applyAlignment="1">
      <alignment horizontal="center" vertical="center"/>
    </xf>
    <xf numFmtId="0" fontId="15" fillId="0" borderId="35" xfId="0" applyFont="1" applyBorder="1" applyAlignment="1">
      <alignment horizontal="center" vertical="center"/>
    </xf>
    <xf numFmtId="0" fontId="15" fillId="0" borderId="0" xfId="0" applyFont="1" applyAlignment="1">
      <alignment horizontal="center" vertical="center"/>
    </xf>
    <xf numFmtId="0" fontId="15" fillId="0" borderId="71" xfId="0" applyFont="1" applyBorder="1" applyAlignment="1">
      <alignment horizontal="center" vertical="center"/>
    </xf>
    <xf numFmtId="0" fontId="15" fillId="0" borderId="102" xfId="0" applyFont="1" applyBorder="1" applyAlignment="1">
      <alignment horizontal="center" vertical="center"/>
    </xf>
    <xf numFmtId="0" fontId="15" fillId="0" borderId="24" xfId="0" applyFont="1" applyBorder="1" applyAlignment="1">
      <alignment horizontal="center" vertical="center"/>
    </xf>
    <xf numFmtId="0" fontId="15" fillId="0" borderId="69" xfId="0" applyFont="1" applyBorder="1" applyAlignment="1">
      <alignment horizontal="center" vertical="center"/>
    </xf>
    <xf numFmtId="41" fontId="37" fillId="0" borderId="214" xfId="0" applyNumberFormat="1" applyFont="1" applyBorder="1" applyAlignment="1">
      <alignment horizontal="center" vertical="center"/>
    </xf>
    <xf numFmtId="41" fontId="139" fillId="0" borderId="214" xfId="0" applyNumberFormat="1" applyFont="1" applyBorder="1" applyAlignment="1">
      <alignment horizontal="center" vertical="center"/>
    </xf>
    <xf numFmtId="41" fontId="15" fillId="0" borderId="0" xfId="0" applyNumberFormat="1" applyFont="1" applyAlignment="1">
      <alignment horizontal="center" vertical="center"/>
    </xf>
    <xf numFmtId="41" fontId="139" fillId="0" borderId="0" xfId="0" applyNumberFormat="1" applyFont="1" applyAlignment="1">
      <alignment horizontal="center" vertical="center"/>
    </xf>
    <xf numFmtId="0" fontId="15" fillId="3" borderId="214" xfId="0" applyFont="1" applyFill="1" applyBorder="1" applyAlignment="1">
      <alignment horizontal="center" vertical="center"/>
    </xf>
    <xf numFmtId="0" fontId="15" fillId="3" borderId="215" xfId="0" applyFont="1" applyFill="1" applyBorder="1" applyAlignment="1">
      <alignment horizontal="center" vertical="center"/>
    </xf>
    <xf numFmtId="0" fontId="15" fillId="3" borderId="24" xfId="0" applyFont="1" applyFill="1" applyBorder="1" applyAlignment="1">
      <alignment horizontal="center" vertical="center"/>
    </xf>
    <xf numFmtId="0" fontId="15" fillId="3" borderId="69" xfId="0" applyFont="1" applyFill="1" applyBorder="1" applyAlignment="1">
      <alignment horizontal="center" vertical="center"/>
    </xf>
    <xf numFmtId="0" fontId="17" fillId="3" borderId="210" xfId="0" applyFont="1" applyFill="1" applyBorder="1" applyAlignment="1">
      <alignment horizontal="center" vertical="center" wrapText="1"/>
    </xf>
    <xf numFmtId="0" fontId="17" fillId="3" borderId="212" xfId="0" applyFont="1" applyFill="1" applyBorder="1" applyAlignment="1">
      <alignment horizontal="center" vertical="center" wrapText="1"/>
    </xf>
    <xf numFmtId="0" fontId="15" fillId="0" borderId="15" xfId="0" applyFont="1" applyBorder="1" applyAlignment="1">
      <alignment horizontal="center" vertical="center"/>
    </xf>
    <xf numFmtId="0" fontId="17" fillId="3" borderId="216" xfId="0" applyFont="1" applyFill="1" applyBorder="1" applyAlignment="1">
      <alignment horizontal="center" vertical="center"/>
    </xf>
    <xf numFmtId="0" fontId="17" fillId="3" borderId="22" xfId="0" applyFont="1" applyFill="1" applyBorder="1" applyAlignment="1">
      <alignment horizontal="center" vertical="center"/>
    </xf>
    <xf numFmtId="0" fontId="5" fillId="2" borderId="0" xfId="0" applyFont="1" applyFill="1" applyAlignment="1">
      <alignment horizontal="center"/>
    </xf>
    <xf numFmtId="0" fontId="99" fillId="4" borderId="0" xfId="0" applyFont="1" applyFill="1" applyAlignment="1">
      <alignment horizontal="center" vertical="center"/>
    </xf>
    <xf numFmtId="0" fontId="135" fillId="0" borderId="191" xfId="0" applyFont="1" applyBorder="1" applyAlignment="1">
      <alignment horizontal="center" vertical="center" wrapText="1"/>
    </xf>
    <xf numFmtId="0" fontId="135" fillId="0" borderId="192" xfId="0" applyFont="1" applyBorder="1" applyAlignment="1">
      <alignment horizontal="center" vertical="center" wrapText="1"/>
    </xf>
    <xf numFmtId="0" fontId="65" fillId="0" borderId="0" xfId="0" applyFont="1" applyAlignment="1">
      <alignment horizontal="center" vertical="center"/>
    </xf>
    <xf numFmtId="0" fontId="65" fillId="0" borderId="105" xfId="0" applyFont="1" applyBorder="1" applyAlignment="1">
      <alignment horizontal="center" vertical="center"/>
    </xf>
    <xf numFmtId="0" fontId="65" fillId="0" borderId="0" xfId="0" applyFont="1" applyAlignment="1">
      <alignment horizontal="left" vertical="center" shrinkToFit="1"/>
    </xf>
    <xf numFmtId="0" fontId="65" fillId="0" borderId="0" xfId="0" applyFont="1" applyAlignment="1">
      <alignment horizontal="center" vertical="center" shrinkToFit="1"/>
    </xf>
    <xf numFmtId="0" fontId="135" fillId="0" borderId="187" xfId="0" applyFont="1" applyBorder="1" applyAlignment="1">
      <alignment horizontal="center" vertical="center" wrapText="1"/>
    </xf>
    <xf numFmtId="0" fontId="135" fillId="0" borderId="188" xfId="0" applyFont="1" applyBorder="1" applyAlignment="1">
      <alignment horizontal="center" vertical="center" wrapText="1"/>
    </xf>
    <xf numFmtId="0" fontId="135" fillId="0" borderId="189" xfId="0" applyFont="1" applyBorder="1" applyAlignment="1">
      <alignment horizontal="center" vertical="center" wrapText="1"/>
    </xf>
    <xf numFmtId="0" fontId="135" fillId="0" borderId="190" xfId="0" applyFont="1" applyBorder="1" applyAlignment="1">
      <alignment horizontal="center" vertical="center" wrapText="1"/>
    </xf>
    <xf numFmtId="0" fontId="65" fillId="0" borderId="105" xfId="0" applyFont="1" applyBorder="1" applyAlignment="1">
      <alignment horizontal="center" vertical="center" shrinkToFit="1"/>
    </xf>
    <xf numFmtId="0" fontId="136" fillId="0" borderId="0" xfId="0" applyFont="1" applyAlignment="1">
      <alignment horizontal="center" vertical="center" shrinkToFit="1"/>
    </xf>
    <xf numFmtId="0" fontId="65" fillId="0" borderId="104" xfId="0" applyFont="1" applyBorder="1" applyAlignment="1">
      <alignment horizontal="center" vertical="center"/>
    </xf>
    <xf numFmtId="0" fontId="65" fillId="0" borderId="107" xfId="0" applyFont="1" applyBorder="1" applyAlignment="1">
      <alignment horizontal="center" vertical="center"/>
    </xf>
    <xf numFmtId="0" fontId="65" fillId="0" borderId="104" xfId="0" applyFont="1" applyBorder="1" applyAlignment="1">
      <alignment horizontal="left" vertical="center" shrinkToFit="1"/>
    </xf>
    <xf numFmtId="0" fontId="65" fillId="0" borderId="104" xfId="0" applyFont="1" applyBorder="1" applyAlignment="1">
      <alignment horizontal="center" vertical="center" shrinkToFit="1"/>
    </xf>
    <xf numFmtId="0" fontId="108" fillId="0" borderId="0" xfId="0" applyFont="1" applyAlignment="1">
      <alignment horizontal="left" vertical="center" shrinkToFit="1"/>
    </xf>
    <xf numFmtId="0" fontId="65" fillId="0" borderId="228" xfId="0" applyFont="1" applyBorder="1" applyAlignment="1">
      <alignment horizontal="center" vertical="center" shrinkToFit="1"/>
    </xf>
    <xf numFmtId="0" fontId="65" fillId="0" borderId="228" xfId="0" applyFont="1" applyBorder="1" applyAlignment="1">
      <alignment horizontal="center" vertical="center"/>
    </xf>
    <xf numFmtId="0" fontId="65" fillId="0" borderId="229" xfId="0" applyFont="1" applyBorder="1" applyAlignment="1">
      <alignment horizontal="center" vertical="center"/>
    </xf>
    <xf numFmtId="0" fontId="23" fillId="11" borderId="83" xfId="0" applyFont="1" applyFill="1" applyBorder="1" applyAlignment="1">
      <alignment horizontal="center" vertical="center" readingOrder="1"/>
    </xf>
    <xf numFmtId="0" fontId="23" fillId="11" borderId="85" xfId="0" applyFont="1" applyFill="1" applyBorder="1" applyAlignment="1">
      <alignment horizontal="center" vertical="center" readingOrder="1"/>
    </xf>
    <xf numFmtId="0" fontId="44" fillId="0" borderId="0" xfId="0" applyFont="1" applyAlignment="1">
      <alignment horizontal="center" vertical="center"/>
    </xf>
    <xf numFmtId="0" fontId="153" fillId="0" borderId="0" xfId="0" applyFont="1" applyAlignment="1">
      <alignment horizontal="center" vertical="center" wrapText="1"/>
    </xf>
    <xf numFmtId="0" fontId="153" fillId="0" borderId="105" xfId="0" applyFont="1" applyBorder="1" applyAlignment="1">
      <alignment horizontal="center" vertical="center"/>
    </xf>
    <xf numFmtId="0" fontId="153" fillId="0" borderId="0" xfId="0" applyFont="1" applyAlignment="1">
      <alignment horizontal="center" vertical="center"/>
    </xf>
    <xf numFmtId="0" fontId="23" fillId="0" borderId="216" xfId="0" applyFont="1" applyBorder="1" applyAlignment="1">
      <alignment horizontal="center" vertical="center" shrinkToFit="1"/>
    </xf>
    <xf numFmtId="0" fontId="23" fillId="0" borderId="22" xfId="0" applyFont="1" applyBorder="1" applyAlignment="1">
      <alignment horizontal="center" vertical="center" shrinkToFit="1"/>
    </xf>
    <xf numFmtId="0" fontId="25" fillId="0" borderId="216" xfId="0" applyFont="1" applyBorder="1" applyAlignment="1">
      <alignment horizontal="center" vertical="center" readingOrder="1"/>
    </xf>
    <xf numFmtId="0" fontId="25" fillId="0" borderId="22" xfId="0" applyFont="1" applyBorder="1" applyAlignment="1">
      <alignment horizontal="center" vertical="center" readingOrder="1"/>
    </xf>
    <xf numFmtId="0" fontId="23" fillId="11" borderId="198" xfId="0" applyFont="1" applyFill="1" applyBorder="1" applyAlignment="1">
      <alignment horizontal="center" vertical="center" readingOrder="1"/>
    </xf>
    <xf numFmtId="0" fontId="114" fillId="0" borderId="216" xfId="0" applyFont="1" applyBorder="1" applyAlignment="1">
      <alignment horizontal="center" vertical="center" readingOrder="1"/>
    </xf>
    <xf numFmtId="0" fontId="114" fillId="0" borderId="22" xfId="0" applyFont="1" applyBorder="1" applyAlignment="1">
      <alignment horizontal="center" vertical="center" readingOrder="1"/>
    </xf>
    <xf numFmtId="0" fontId="117" fillId="0" borderId="2" xfId="0" applyFont="1" applyBorder="1" applyAlignment="1">
      <alignment horizontal="center" vertical="center" wrapText="1"/>
    </xf>
    <xf numFmtId="0" fontId="117" fillId="0" borderId="28" xfId="0" applyFont="1" applyBorder="1" applyAlignment="1">
      <alignment horizontal="center" vertical="center" wrapText="1"/>
    </xf>
    <xf numFmtId="0" fontId="117" fillId="0" borderId="9" xfId="0" applyFont="1" applyBorder="1" applyAlignment="1">
      <alignment horizontal="center" vertical="center" wrapText="1"/>
    </xf>
    <xf numFmtId="0" fontId="117" fillId="0" borderId="28" xfId="0" applyFont="1" applyBorder="1" applyAlignment="1">
      <alignment horizontal="center" vertical="center"/>
    </xf>
    <xf numFmtId="0" fontId="117" fillId="0" borderId="5" xfId="0" applyFont="1" applyBorder="1" applyAlignment="1">
      <alignment horizontal="center" vertical="center"/>
    </xf>
    <xf numFmtId="0" fontId="172" fillId="0" borderId="198" xfId="158" applyFont="1" applyBorder="1" applyAlignment="1">
      <alignment horizontal="center" vertical="center"/>
    </xf>
    <xf numFmtId="2" fontId="172" fillId="0" borderId="210" xfId="158" applyNumberFormat="1" applyFont="1" applyBorder="1" applyAlignment="1">
      <alignment horizontal="center" vertical="center"/>
    </xf>
    <xf numFmtId="2" fontId="172" fillId="0" borderId="211" xfId="158" applyNumberFormat="1" applyFont="1" applyBorder="1" applyAlignment="1">
      <alignment horizontal="center" vertical="center"/>
    </xf>
    <xf numFmtId="2" fontId="172" fillId="0" borderId="212" xfId="158" applyNumberFormat="1" applyFont="1" applyBorder="1" applyAlignment="1">
      <alignment horizontal="center" vertical="center"/>
    </xf>
    <xf numFmtId="0" fontId="155" fillId="0" borderId="210" xfId="158" applyFont="1" applyBorder="1" applyAlignment="1">
      <alignment horizontal="center" vertical="center"/>
    </xf>
    <xf numFmtId="0" fontId="155" fillId="0" borderId="211" xfId="158" applyFont="1" applyBorder="1" applyAlignment="1">
      <alignment horizontal="center" vertical="center"/>
    </xf>
    <xf numFmtId="0" fontId="155" fillId="0" borderId="212" xfId="158" applyFont="1" applyBorder="1" applyAlignment="1">
      <alignment horizontal="center" vertical="center"/>
    </xf>
    <xf numFmtId="0" fontId="172" fillId="0" borderId="213" xfId="158" applyFont="1" applyBorder="1" applyAlignment="1">
      <alignment horizontal="center" vertical="center"/>
    </xf>
    <xf numFmtId="0" fontId="172" fillId="0" borderId="215" xfId="158" applyFont="1" applyBorder="1" applyAlignment="1">
      <alignment horizontal="center" vertical="center"/>
    </xf>
    <xf numFmtId="0" fontId="172" fillId="0" borderId="72" xfId="158" applyFont="1" applyBorder="1" applyAlignment="1">
      <alignment horizontal="center" vertical="center"/>
    </xf>
    <xf numFmtId="0" fontId="172" fillId="0" borderId="69" xfId="158" applyFont="1" applyBorder="1" applyAlignment="1">
      <alignment horizontal="center" vertical="center"/>
    </xf>
    <xf numFmtId="0" fontId="172" fillId="0" borderId="214" xfId="158" applyFont="1" applyBorder="1" applyAlignment="1">
      <alignment horizontal="center" vertical="center"/>
    </xf>
    <xf numFmtId="0" fontId="172" fillId="0" borderId="24" xfId="158" applyFont="1" applyBorder="1" applyAlignment="1">
      <alignment horizontal="center" vertical="center"/>
    </xf>
    <xf numFmtId="0" fontId="172" fillId="5" borderId="210" xfId="158" applyFont="1" applyFill="1" applyBorder="1" applyAlignment="1">
      <alignment horizontal="center" vertical="center"/>
    </xf>
    <xf numFmtId="0" fontId="172" fillId="5" borderId="211" xfId="158" applyFont="1" applyFill="1" applyBorder="1" applyAlignment="1">
      <alignment horizontal="center" vertical="center"/>
    </xf>
    <xf numFmtId="0" fontId="172" fillId="5" borderId="212" xfId="158" applyFont="1" applyFill="1" applyBorder="1" applyAlignment="1">
      <alignment horizontal="center" vertical="center"/>
    </xf>
    <xf numFmtId="0" fontId="155" fillId="5" borderId="210" xfId="158" applyFont="1" applyFill="1" applyBorder="1" applyAlignment="1">
      <alignment horizontal="center" vertical="center"/>
    </xf>
    <xf numFmtId="0" fontId="155" fillId="5" borderId="211" xfId="158" applyFont="1" applyFill="1" applyBorder="1" applyAlignment="1">
      <alignment horizontal="center" vertical="center"/>
    </xf>
    <xf numFmtId="0" fontId="155" fillId="5" borderId="212" xfId="158" applyFont="1" applyFill="1" applyBorder="1" applyAlignment="1">
      <alignment horizontal="center" vertical="center"/>
    </xf>
    <xf numFmtId="0" fontId="172" fillId="0" borderId="44" xfId="158" applyFont="1" applyBorder="1" applyAlignment="1">
      <alignment horizontal="center" vertical="center"/>
    </xf>
    <xf numFmtId="0" fontId="172" fillId="0" borderId="71" xfId="158" applyFont="1" applyBorder="1" applyAlignment="1">
      <alignment horizontal="center" vertical="center"/>
    </xf>
    <xf numFmtId="0" fontId="172" fillId="0" borderId="0" xfId="158" applyFont="1" applyAlignment="1">
      <alignment horizontal="center" vertical="center"/>
    </xf>
    <xf numFmtId="0" fontId="172" fillId="21" borderId="210" xfId="158" applyFont="1" applyFill="1" applyBorder="1" applyAlignment="1">
      <alignment horizontal="center" vertical="center"/>
    </xf>
    <xf numFmtId="0" fontId="172" fillId="21" borderId="211" xfId="158" applyFont="1" applyFill="1" applyBorder="1" applyAlignment="1">
      <alignment horizontal="center" vertical="center"/>
    </xf>
    <xf numFmtId="0" fontId="172" fillId="21" borderId="212" xfId="158" applyFont="1" applyFill="1" applyBorder="1" applyAlignment="1">
      <alignment horizontal="center" vertical="center"/>
    </xf>
    <xf numFmtId="0" fontId="155" fillId="21" borderId="198" xfId="158" applyFont="1" applyFill="1" applyBorder="1" applyAlignment="1">
      <alignment horizontal="center" vertical="center"/>
    </xf>
    <xf numFmtId="195" fontId="179" fillId="0" borderId="0" xfId="158" applyNumberFormat="1" applyFont="1" applyAlignment="1">
      <alignment horizontal="center" vertical="center"/>
    </xf>
    <xf numFmtId="0" fontId="172" fillId="0" borderId="210" xfId="158" applyFont="1" applyBorder="1" applyAlignment="1">
      <alignment horizontal="center" vertical="center"/>
    </xf>
    <xf numFmtId="0" fontId="172" fillId="0" borderId="211" xfId="158" applyFont="1" applyBorder="1" applyAlignment="1">
      <alignment horizontal="center" vertical="center"/>
    </xf>
    <xf numFmtId="0" fontId="172" fillId="0" borderId="212" xfId="158" applyFont="1" applyBorder="1" applyAlignment="1">
      <alignment horizontal="center" vertical="center"/>
    </xf>
    <xf numFmtId="0" fontId="191" fillId="0" borderId="198" xfId="158" applyFont="1" applyBorder="1" applyAlignment="1">
      <alignment horizontal="center" vertical="center" shrinkToFit="1"/>
    </xf>
    <xf numFmtId="194" fontId="178" fillId="17" borderId="0" xfId="158" applyNumberFormat="1" applyFont="1" applyFill="1" applyAlignment="1">
      <alignment horizontal="center" vertical="center"/>
    </xf>
    <xf numFmtId="0" fontId="173" fillId="0" borderId="198" xfId="158" applyFont="1" applyBorder="1" applyAlignment="1">
      <alignment horizontal="center" vertical="center"/>
    </xf>
    <xf numFmtId="0" fontId="155" fillId="0" borderId="198" xfId="158" applyFont="1" applyBorder="1" applyAlignment="1">
      <alignment horizontal="center" vertical="center"/>
    </xf>
    <xf numFmtId="194" fontId="172" fillId="0" borderId="210" xfId="158" applyNumberFormat="1" applyFont="1" applyBorder="1" applyAlignment="1">
      <alignment horizontal="center" vertical="center"/>
    </xf>
    <xf numFmtId="194" fontId="172" fillId="0" borderId="211" xfId="158" applyNumberFormat="1" applyFont="1" applyBorder="1" applyAlignment="1">
      <alignment horizontal="center" vertical="center"/>
    </xf>
    <xf numFmtId="194" fontId="172" fillId="0" borderId="212" xfId="158" applyNumberFormat="1" applyFont="1" applyBorder="1" applyAlignment="1">
      <alignment horizontal="center" vertical="center"/>
    </xf>
    <xf numFmtId="195" fontId="186" fillId="0" borderId="0" xfId="158" applyNumberFormat="1" applyFont="1" applyAlignment="1">
      <alignment horizontal="center" vertical="center"/>
    </xf>
    <xf numFmtId="195" fontId="172" fillId="0" borderId="210" xfId="158" applyNumberFormat="1" applyFont="1" applyBorder="1" applyAlignment="1">
      <alignment horizontal="center" vertical="center"/>
    </xf>
    <xf numFmtId="0" fontId="185" fillId="0" borderId="0" xfId="158" applyFont="1" applyAlignment="1">
      <alignment horizontal="center" vertical="center"/>
    </xf>
    <xf numFmtId="0" fontId="93" fillId="5" borderId="210" xfId="158" applyFont="1" applyFill="1" applyBorder="1" applyAlignment="1">
      <alignment horizontal="center" vertical="center" shrinkToFit="1"/>
    </xf>
    <xf numFmtId="0" fontId="93" fillId="5" borderId="211" xfId="158" applyFont="1" applyFill="1" applyBorder="1" applyAlignment="1">
      <alignment horizontal="center" vertical="center" shrinkToFit="1"/>
    </xf>
    <xf numFmtId="0" fontId="93" fillId="5" borderId="212" xfId="158" applyFont="1" applyFill="1" applyBorder="1" applyAlignment="1">
      <alignment horizontal="center" vertical="center" shrinkToFit="1"/>
    </xf>
    <xf numFmtId="195" fontId="186" fillId="5" borderId="120" xfId="158" applyNumberFormat="1" applyFont="1" applyFill="1" applyBorder="1" applyAlignment="1">
      <alignment horizontal="center" vertical="center" shrinkToFit="1"/>
    </xf>
    <xf numFmtId="195" fontId="186" fillId="5" borderId="121" xfId="158" applyNumberFormat="1" applyFont="1" applyFill="1" applyBorder="1" applyAlignment="1">
      <alignment horizontal="center" vertical="center" shrinkToFit="1"/>
    </xf>
    <xf numFmtId="194" fontId="186" fillId="5" borderId="121" xfId="158" applyNumberFormat="1" applyFont="1" applyFill="1" applyBorder="1" applyAlignment="1">
      <alignment horizontal="center" vertical="center" shrinkToFit="1"/>
    </xf>
    <xf numFmtId="194" fontId="186" fillId="5" borderId="122" xfId="158" applyNumberFormat="1" applyFont="1" applyFill="1" applyBorder="1" applyAlignment="1">
      <alignment horizontal="center" vertical="center" shrinkToFit="1"/>
    </xf>
    <xf numFmtId="0" fontId="93" fillId="5" borderId="202" xfId="158" applyFont="1" applyFill="1" applyBorder="1" applyAlignment="1">
      <alignment horizontal="center" vertical="center" shrinkToFit="1"/>
    </xf>
    <xf numFmtId="0" fontId="93" fillId="5" borderId="121" xfId="158" applyFont="1" applyFill="1" applyBorder="1" applyAlignment="1">
      <alignment horizontal="center" vertical="center" shrinkToFit="1"/>
    </xf>
    <xf numFmtId="0" fontId="93" fillId="5" borderId="122" xfId="158" applyFont="1" applyFill="1" applyBorder="1" applyAlignment="1">
      <alignment horizontal="center" vertical="center" shrinkToFit="1"/>
    </xf>
    <xf numFmtId="0" fontId="93" fillId="0" borderId="33" xfId="158" applyFont="1" applyBorder="1" applyAlignment="1">
      <alignment horizontal="center" vertical="center" shrinkToFit="1"/>
    </xf>
    <xf numFmtId="0" fontId="93" fillId="0" borderId="29" xfId="158" applyFont="1" applyBorder="1" applyAlignment="1">
      <alignment horizontal="center" vertical="center" shrinkToFit="1"/>
    </xf>
    <xf numFmtId="196" fontId="174" fillId="0" borderId="124" xfId="158" applyNumberFormat="1" applyFont="1" applyBorder="1" applyAlignment="1">
      <alignment horizontal="center" vertical="center" shrinkToFit="1"/>
    </xf>
    <xf numFmtId="196" fontId="174" fillId="0" borderId="169" xfId="158" applyNumberFormat="1" applyFont="1" applyBorder="1" applyAlignment="1">
      <alignment horizontal="center" vertical="center" shrinkToFit="1"/>
    </xf>
    <xf numFmtId="0" fontId="32" fillId="0" borderId="169" xfId="158" applyFont="1" applyBorder="1" applyAlignment="1">
      <alignment horizontal="center" vertical="center" shrinkToFit="1"/>
    </xf>
    <xf numFmtId="0" fontId="32" fillId="0" borderId="13" xfId="158" applyFont="1" applyBorder="1" applyAlignment="1">
      <alignment horizontal="center" vertical="center" shrinkToFit="1"/>
    </xf>
    <xf numFmtId="0" fontId="93" fillId="0" borderId="169" xfId="158" applyFont="1" applyBorder="1" applyAlignment="1">
      <alignment horizontal="center" vertical="center" shrinkToFit="1"/>
    </xf>
    <xf numFmtId="0" fontId="93" fillId="0" borderId="13" xfId="158" applyFont="1" applyBorder="1" applyAlignment="1">
      <alignment horizontal="center" vertical="center" shrinkToFit="1"/>
    </xf>
    <xf numFmtId="0" fontId="93" fillId="0" borderId="224" xfId="158" applyFont="1" applyBorder="1" applyAlignment="1">
      <alignment horizontal="center" vertical="center" shrinkToFit="1"/>
    </xf>
    <xf numFmtId="0" fontId="93" fillId="0" borderId="225" xfId="158" applyFont="1" applyBorder="1" applyAlignment="1">
      <alignment horizontal="center" vertical="center" shrinkToFit="1"/>
    </xf>
    <xf numFmtId="0" fontId="93" fillId="0" borderId="36" xfId="158" applyFont="1" applyBorder="1" applyAlignment="1">
      <alignment horizontal="center" vertical="center" shrinkToFit="1"/>
    </xf>
    <xf numFmtId="196" fontId="93" fillId="0" borderId="225" xfId="158" applyNumberFormat="1" applyFont="1" applyBorder="1" applyAlignment="1">
      <alignment horizontal="center" vertical="center" shrinkToFit="1"/>
    </xf>
    <xf numFmtId="0" fontId="93" fillId="0" borderId="165" xfId="158" applyFont="1" applyBorder="1" applyAlignment="1">
      <alignment horizontal="center" vertical="center" shrinkToFit="1"/>
    </xf>
    <xf numFmtId="0" fontId="93" fillId="0" borderId="66" xfId="158" applyFont="1" applyBorder="1" applyAlignment="1">
      <alignment horizontal="center" vertical="center" shrinkToFit="1"/>
    </xf>
    <xf numFmtId="0" fontId="93" fillId="0" borderId="124" xfId="158" applyFont="1" applyBorder="1" applyAlignment="1">
      <alignment horizontal="center" vertical="center" shrinkToFit="1"/>
    </xf>
    <xf numFmtId="0" fontId="93" fillId="0" borderId="10" xfId="158" applyFont="1" applyBorder="1" applyAlignment="1">
      <alignment horizontal="center" vertical="center" shrinkToFit="1"/>
    </xf>
    <xf numFmtId="0" fontId="93" fillId="0" borderId="27" xfId="158" applyFont="1" applyBorder="1" applyAlignment="1">
      <alignment horizontal="center" vertical="center" shrinkToFit="1"/>
    </xf>
    <xf numFmtId="0" fontId="93" fillId="0" borderId="9" xfId="158" applyFont="1" applyBorder="1" applyAlignment="1">
      <alignment horizontal="center" vertical="center" shrinkToFit="1"/>
    </xf>
    <xf numFmtId="196" fontId="93" fillId="0" borderId="10" xfId="158" applyNumberFormat="1" applyFont="1" applyBorder="1" applyAlignment="1">
      <alignment horizontal="center" vertical="center" shrinkToFit="1"/>
    </xf>
    <xf numFmtId="196" fontId="174" fillId="0" borderId="224" xfId="158" applyNumberFormat="1" applyFont="1" applyBorder="1" applyAlignment="1">
      <alignment horizontal="center" vertical="center" shrinkToFit="1"/>
    </xf>
    <xf numFmtId="196" fontId="174" fillId="0" borderId="225" xfId="158" applyNumberFormat="1" applyFont="1" applyBorder="1" applyAlignment="1">
      <alignment horizontal="center" vertical="center" shrinkToFit="1"/>
    </xf>
    <xf numFmtId="0" fontId="32" fillId="0" borderId="225" xfId="158" applyFont="1" applyBorder="1" applyAlignment="1">
      <alignment horizontal="center" vertical="center" shrinkToFit="1"/>
    </xf>
    <xf numFmtId="0" fontId="32" fillId="0" borderId="165" xfId="158" applyFont="1" applyBorder="1" applyAlignment="1">
      <alignment horizontal="center" vertical="center" shrinkToFit="1"/>
    </xf>
    <xf numFmtId="196" fontId="93" fillId="0" borderId="169" xfId="158" applyNumberFormat="1" applyFont="1" applyBorder="1" applyAlignment="1">
      <alignment horizontal="center" vertical="center" shrinkToFit="1"/>
    </xf>
    <xf numFmtId="0" fontId="93" fillId="0" borderId="0" xfId="158" applyFont="1" applyAlignment="1">
      <alignment horizontal="center" vertical="center" shrinkToFit="1"/>
    </xf>
    <xf numFmtId="0" fontId="2" fillId="0" borderId="0" xfId="131" applyAlignment="1">
      <alignment vertical="center"/>
    </xf>
    <xf numFmtId="0" fontId="93" fillId="0" borderId="11" xfId="158" applyFont="1" applyBorder="1" applyAlignment="1">
      <alignment horizontal="center" vertical="center" shrinkToFit="1"/>
    </xf>
    <xf numFmtId="0" fontId="93" fillId="0" borderId="14" xfId="158" applyFont="1" applyBorder="1" applyAlignment="1">
      <alignment horizontal="center" vertical="center" shrinkToFit="1"/>
    </xf>
    <xf numFmtId="196" fontId="174" fillId="0" borderId="9" xfId="158" applyNumberFormat="1" applyFont="1" applyBorder="1" applyAlignment="1">
      <alignment horizontal="center" vertical="center" shrinkToFit="1"/>
    </xf>
    <xf numFmtId="196" fontId="174" fillId="0" borderId="10" xfId="158" applyNumberFormat="1" applyFont="1" applyBorder="1" applyAlignment="1">
      <alignment horizontal="center" vertical="center" shrinkToFit="1"/>
    </xf>
    <xf numFmtId="0" fontId="32" fillId="0" borderId="10" xfId="158" applyFont="1" applyBorder="1" applyAlignment="1">
      <alignment horizontal="center" vertical="center" shrinkToFit="1"/>
    </xf>
    <xf numFmtId="0" fontId="32" fillId="0" borderId="11" xfId="158" applyFont="1" applyBorder="1" applyAlignment="1">
      <alignment horizontal="center" vertical="center" shrinkToFit="1"/>
    </xf>
    <xf numFmtId="0" fontId="181" fillId="0" borderId="0" xfId="131" applyFont="1" applyAlignment="1">
      <alignment horizontal="center" vertical="center"/>
    </xf>
    <xf numFmtId="0" fontId="172" fillId="3" borderId="151" xfId="158" applyFont="1" applyFill="1" applyBorder="1" applyAlignment="1">
      <alignment horizontal="center" vertical="center" shrinkToFit="1"/>
    </xf>
    <xf numFmtId="0" fontId="172" fillId="3" borderId="197" xfId="158" applyFont="1" applyFill="1" applyBorder="1" applyAlignment="1">
      <alignment horizontal="center" vertical="center" shrinkToFit="1"/>
    </xf>
    <xf numFmtId="0" fontId="172" fillId="3" borderId="124" xfId="158" applyFont="1" applyFill="1" applyBorder="1" applyAlignment="1">
      <alignment horizontal="center" vertical="center" shrinkToFit="1"/>
    </xf>
    <xf numFmtId="0" fontId="172" fillId="3" borderId="169" xfId="158" applyFont="1" applyFill="1" applyBorder="1" applyAlignment="1">
      <alignment horizontal="center" vertical="center" shrinkToFit="1"/>
    </xf>
    <xf numFmtId="0" fontId="172" fillId="3" borderId="222" xfId="158" applyFont="1" applyFill="1" applyBorder="1" applyAlignment="1">
      <alignment horizontal="center" vertical="center" shrinkToFit="1"/>
    </xf>
    <xf numFmtId="0" fontId="172" fillId="3" borderId="220" xfId="158" applyFont="1" applyFill="1" applyBorder="1" applyAlignment="1">
      <alignment horizontal="center" vertical="center" shrinkToFit="1"/>
    </xf>
    <xf numFmtId="0" fontId="172" fillId="3" borderId="193" xfId="158" applyFont="1" applyFill="1" applyBorder="1" applyAlignment="1">
      <alignment horizontal="center" vertical="center" shrinkToFit="1"/>
    </xf>
    <xf numFmtId="0" fontId="172" fillId="3" borderId="29" xfId="158" applyFont="1" applyFill="1" applyBorder="1" applyAlignment="1">
      <alignment horizontal="center" vertical="center" shrinkToFit="1"/>
    </xf>
    <xf numFmtId="0" fontId="172" fillId="3" borderId="31" xfId="158" applyFont="1" applyFill="1" applyBorder="1" applyAlignment="1">
      <alignment horizontal="center" vertical="center" shrinkToFit="1"/>
    </xf>
    <xf numFmtId="0" fontId="172" fillId="3" borderId="123" xfId="158" applyFont="1" applyFill="1" applyBorder="1" applyAlignment="1">
      <alignment horizontal="center" vertical="center" shrinkToFit="1"/>
    </xf>
    <xf numFmtId="0" fontId="172" fillId="3" borderId="154" xfId="158" applyFont="1" applyFill="1" applyBorder="1" applyAlignment="1">
      <alignment horizontal="center" vertical="center" shrinkToFit="1"/>
    </xf>
    <xf numFmtId="0" fontId="172" fillId="3" borderId="33" xfId="158" applyFont="1" applyFill="1" applyBorder="1" applyAlignment="1">
      <alignment horizontal="center" vertical="center" shrinkToFit="1"/>
    </xf>
    <xf numFmtId="0" fontId="172" fillId="3" borderId="34" xfId="158" applyFont="1" applyFill="1" applyBorder="1" applyAlignment="1">
      <alignment horizontal="center" vertical="center" shrinkToFit="1"/>
    </xf>
    <xf numFmtId="0" fontId="172" fillId="3" borderId="13" xfId="158" applyFont="1" applyFill="1" applyBorder="1" applyAlignment="1">
      <alignment horizontal="center" vertical="center" shrinkToFit="1"/>
    </xf>
    <xf numFmtId="0" fontId="172" fillId="3" borderId="223" xfId="158" applyFont="1" applyFill="1" applyBorder="1" applyAlignment="1">
      <alignment horizontal="center" vertical="center" shrinkToFit="1"/>
    </xf>
    <xf numFmtId="0" fontId="155" fillId="3" borderId="124" xfId="158" applyFont="1" applyFill="1" applyBorder="1" applyAlignment="1">
      <alignment horizontal="center" vertical="center" shrinkToFit="1"/>
    </xf>
    <xf numFmtId="0" fontId="37" fillId="3" borderId="169" xfId="158" applyFill="1" applyBorder="1" applyAlignment="1">
      <alignment horizontal="center" vertical="center" shrinkToFit="1"/>
    </xf>
    <xf numFmtId="0" fontId="37" fillId="3" borderId="222" xfId="158" applyFill="1" applyBorder="1" applyAlignment="1">
      <alignment horizontal="center" vertical="center" shrinkToFit="1"/>
    </xf>
    <xf numFmtId="0" fontId="37" fillId="3" borderId="220" xfId="158" applyFill="1" applyBorder="1" applyAlignment="1">
      <alignment horizontal="center" vertical="center" shrinkToFit="1"/>
    </xf>
    <xf numFmtId="0" fontId="155" fillId="3" borderId="169" xfId="158" applyFont="1" applyFill="1" applyBorder="1" applyAlignment="1">
      <alignment horizontal="center" vertical="center" shrinkToFit="1"/>
    </xf>
    <xf numFmtId="0" fontId="155" fillId="3" borderId="169" xfId="158" applyFont="1" applyFill="1" applyBorder="1" applyAlignment="1">
      <alignment horizontal="center" vertical="center" wrapText="1" shrinkToFit="1"/>
    </xf>
    <xf numFmtId="0" fontId="37" fillId="3" borderId="13" xfId="158" applyFill="1" applyBorder="1" applyAlignment="1">
      <alignment horizontal="center" vertical="center" shrinkToFit="1"/>
    </xf>
    <xf numFmtId="0" fontId="37" fillId="3" borderId="223" xfId="158" applyFill="1" applyBorder="1" applyAlignment="1">
      <alignment horizontal="center" vertical="center" shrinkToFit="1"/>
    </xf>
    <xf numFmtId="0" fontId="155" fillId="3" borderId="124" xfId="158" applyFont="1" applyFill="1" applyBorder="1" applyAlignment="1">
      <alignment horizontal="center" vertical="center" wrapText="1" shrinkToFit="1"/>
    </xf>
    <xf numFmtId="0" fontId="155" fillId="3" borderId="222" xfId="158" applyFont="1" applyFill="1" applyBorder="1" applyAlignment="1">
      <alignment horizontal="center" vertical="center" shrinkToFit="1"/>
    </xf>
    <xf numFmtId="0" fontId="155" fillId="3" borderId="220" xfId="158" applyFont="1" applyFill="1" applyBorder="1" applyAlignment="1">
      <alignment horizontal="center" vertical="center" shrinkToFit="1"/>
    </xf>
    <xf numFmtId="0" fontId="155" fillId="3" borderId="13" xfId="158" applyFont="1" applyFill="1" applyBorder="1" applyAlignment="1">
      <alignment horizontal="center" vertical="center" shrinkToFit="1"/>
    </xf>
    <xf numFmtId="0" fontId="155" fillId="3" borderId="223" xfId="158" applyFont="1" applyFill="1" applyBorder="1" applyAlignment="1">
      <alignment horizontal="center" vertical="center" shrinkToFit="1"/>
    </xf>
    <xf numFmtId="197" fontId="172" fillId="0" borderId="210" xfId="158" applyNumberFormat="1" applyFont="1" applyBorder="1" applyAlignment="1">
      <alignment horizontal="center" vertical="center"/>
    </xf>
    <xf numFmtId="197" fontId="172" fillId="0" borderId="211" xfId="158" applyNumberFormat="1" applyFont="1" applyBorder="1" applyAlignment="1">
      <alignment horizontal="center" vertical="center"/>
    </xf>
    <xf numFmtId="197" fontId="172" fillId="0" borderId="212" xfId="158" applyNumberFormat="1" applyFont="1" applyBorder="1" applyAlignment="1">
      <alignment horizontal="center" vertical="center"/>
    </xf>
    <xf numFmtId="0" fontId="155" fillId="21" borderId="210" xfId="158" applyFont="1" applyFill="1" applyBorder="1" applyAlignment="1">
      <alignment horizontal="center" vertical="center"/>
    </xf>
    <xf numFmtId="0" fontId="155" fillId="21" borderId="211" xfId="158" applyFont="1" applyFill="1" applyBorder="1" applyAlignment="1">
      <alignment horizontal="center" vertical="center"/>
    </xf>
    <xf numFmtId="0" fontId="155" fillId="21" borderId="212" xfId="158" applyFont="1" applyFill="1" applyBorder="1" applyAlignment="1">
      <alignment horizontal="center" vertical="center"/>
    </xf>
    <xf numFmtId="196" fontId="178" fillId="17" borderId="0" xfId="158" applyNumberFormat="1" applyFont="1" applyFill="1" applyAlignment="1">
      <alignment horizontal="center" vertical="center"/>
    </xf>
    <xf numFmtId="9" fontId="172" fillId="0" borderId="198" xfId="158" quotePrefix="1" applyNumberFormat="1" applyFont="1" applyBorder="1" applyAlignment="1">
      <alignment horizontal="center" vertical="center"/>
    </xf>
    <xf numFmtId="0" fontId="172" fillId="3" borderId="202" xfId="158" applyFont="1" applyFill="1" applyBorder="1" applyAlignment="1">
      <alignment horizontal="center" vertical="center"/>
    </xf>
    <xf numFmtId="0" fontId="172" fillId="3" borderId="121" xfId="158" applyFont="1" applyFill="1" applyBorder="1" applyAlignment="1">
      <alignment horizontal="center" vertical="center"/>
    </xf>
    <xf numFmtId="0" fontId="172" fillId="3" borderId="122" xfId="158" applyFont="1" applyFill="1" applyBorder="1" applyAlignment="1">
      <alignment horizontal="center" vertical="center"/>
    </xf>
    <xf numFmtId="0" fontId="172" fillId="0" borderId="213" xfId="158" applyFont="1" applyBorder="1" applyAlignment="1">
      <alignment horizontal="center" vertical="center" wrapText="1"/>
    </xf>
    <xf numFmtId="0" fontId="172" fillId="3" borderId="210" xfId="158" applyFont="1" applyFill="1" applyBorder="1" applyAlignment="1">
      <alignment horizontal="center" vertical="center"/>
    </xf>
    <xf numFmtId="0" fontId="172" fillId="3" borderId="211" xfId="158" applyFont="1" applyFill="1" applyBorder="1" applyAlignment="1">
      <alignment horizontal="center" vertical="center"/>
    </xf>
    <xf numFmtId="0" fontId="172" fillId="3" borderId="212" xfId="158" applyFont="1" applyFill="1" applyBorder="1" applyAlignment="1">
      <alignment horizontal="center" vertical="center"/>
    </xf>
    <xf numFmtId="192" fontId="186" fillId="3" borderId="120" xfId="159" applyNumberFormat="1" applyFont="1" applyFill="1" applyBorder="1" applyAlignment="1">
      <alignment horizontal="center" vertical="center"/>
    </xf>
    <xf numFmtId="192" fontId="186" fillId="3" borderId="121" xfId="159" applyNumberFormat="1" applyFont="1" applyFill="1" applyBorder="1" applyAlignment="1">
      <alignment horizontal="center" vertical="center"/>
    </xf>
    <xf numFmtId="41" fontId="186" fillId="3" borderId="121" xfId="159" applyNumberFormat="1" applyFont="1" applyFill="1" applyBorder="1" applyAlignment="1">
      <alignment horizontal="center" vertical="center"/>
    </xf>
    <xf numFmtId="41" fontId="186" fillId="3" borderId="122" xfId="159" applyNumberFormat="1" applyFont="1" applyFill="1" applyBorder="1" applyAlignment="1">
      <alignment horizontal="center" vertical="center"/>
    </xf>
    <xf numFmtId="192" fontId="174" fillId="0" borderId="124" xfId="159" applyNumberFormat="1" applyFont="1" applyBorder="1" applyAlignment="1">
      <alignment horizontal="center" vertical="center"/>
    </xf>
    <xf numFmtId="192" fontId="174" fillId="0" borderId="169" xfId="159" applyNumberFormat="1" applyFont="1" applyBorder="1" applyAlignment="1">
      <alignment horizontal="center" vertical="center"/>
    </xf>
    <xf numFmtId="41" fontId="174" fillId="0" borderId="169" xfId="159" applyNumberFormat="1" applyFont="1" applyBorder="1" applyAlignment="1">
      <alignment horizontal="center" vertical="center"/>
    </xf>
    <xf numFmtId="41" fontId="174" fillId="0" borderId="13" xfId="159" applyNumberFormat="1" applyFont="1" applyBorder="1" applyAlignment="1">
      <alignment horizontal="center" vertical="center"/>
    </xf>
    <xf numFmtId="0" fontId="172" fillId="0" borderId="15" xfId="158" applyFont="1" applyBorder="1" applyAlignment="1">
      <alignment horizontal="center" vertical="center" shrinkToFit="1"/>
    </xf>
    <xf numFmtId="0" fontId="172" fillId="0" borderId="16" xfId="158" applyFont="1" applyBorder="1" applyAlignment="1">
      <alignment horizontal="center" vertical="center" shrinkToFit="1"/>
    </xf>
    <xf numFmtId="0" fontId="172" fillId="0" borderId="33" xfId="158" applyFont="1" applyBorder="1" applyAlignment="1">
      <alignment horizontal="center" vertical="center" shrinkToFit="1"/>
    </xf>
    <xf numFmtId="0" fontId="172" fillId="0" borderId="169" xfId="158" applyFont="1" applyBorder="1" applyAlignment="1">
      <alignment horizontal="center" vertical="center" shrinkToFit="1"/>
    </xf>
    <xf numFmtId="0" fontId="172" fillId="0" borderId="29" xfId="158" applyFont="1" applyBorder="1" applyAlignment="1">
      <alignment horizontal="center" vertical="center" shrinkToFit="1"/>
    </xf>
    <xf numFmtId="41" fontId="172" fillId="0" borderId="124" xfId="159" applyNumberFormat="1" applyFont="1" applyBorder="1" applyAlignment="1">
      <alignment horizontal="center" vertical="center"/>
    </xf>
    <xf numFmtId="41" fontId="172" fillId="0" borderId="169" xfId="159" applyNumberFormat="1" applyFont="1" applyBorder="1" applyAlignment="1">
      <alignment horizontal="center" vertical="center"/>
    </xf>
    <xf numFmtId="192" fontId="172" fillId="0" borderId="169" xfId="159" applyNumberFormat="1" applyFont="1" applyBorder="1" applyAlignment="1">
      <alignment horizontal="center" vertical="center"/>
    </xf>
    <xf numFmtId="41" fontId="172" fillId="0" borderId="13" xfId="159" applyNumberFormat="1" applyFont="1" applyBorder="1" applyAlignment="1">
      <alignment horizontal="center" vertical="center"/>
    </xf>
    <xf numFmtId="41" fontId="172" fillId="0" borderId="33" xfId="159" applyNumberFormat="1" applyFont="1" applyBorder="1" applyAlignment="1">
      <alignment horizontal="center" vertical="center"/>
    </xf>
    <xf numFmtId="41" fontId="172" fillId="0" borderId="29" xfId="159" applyNumberFormat="1" applyFont="1" applyBorder="1" applyAlignment="1">
      <alignment horizontal="center" vertical="center"/>
    </xf>
    <xf numFmtId="0" fontId="172" fillId="0" borderId="124" xfId="158" applyFont="1" applyBorder="1" applyAlignment="1">
      <alignment horizontal="center" vertical="center" shrinkToFit="1"/>
    </xf>
    <xf numFmtId="41" fontId="172" fillId="0" borderId="169" xfId="159" applyNumberFormat="1" applyFont="1" applyFill="1" applyBorder="1" applyAlignment="1">
      <alignment horizontal="center" vertical="center"/>
    </xf>
    <xf numFmtId="41" fontId="172" fillId="0" borderId="13" xfId="159" applyNumberFormat="1" applyFont="1" applyFill="1" applyBorder="1" applyAlignment="1">
      <alignment horizontal="center" vertical="center"/>
    </xf>
    <xf numFmtId="41" fontId="172" fillId="0" borderId="33" xfId="159" applyNumberFormat="1" applyFont="1" applyFill="1" applyBorder="1" applyAlignment="1">
      <alignment horizontal="center" vertical="center"/>
    </xf>
    <xf numFmtId="41" fontId="172" fillId="0" borderId="29" xfId="159" applyNumberFormat="1" applyFont="1" applyFill="1" applyBorder="1" applyAlignment="1">
      <alignment horizontal="center" vertical="center"/>
    </xf>
    <xf numFmtId="192" fontId="174" fillId="0" borderId="124" xfId="159" applyNumberFormat="1" applyFont="1" applyFill="1" applyBorder="1" applyAlignment="1">
      <alignment horizontal="center" vertical="center"/>
    </xf>
    <xf numFmtId="192" fontId="174" fillId="0" borderId="169" xfId="159" applyNumberFormat="1" applyFont="1" applyFill="1" applyBorder="1" applyAlignment="1">
      <alignment horizontal="center" vertical="center"/>
    </xf>
    <xf numFmtId="41" fontId="174" fillId="0" borderId="169" xfId="159" applyNumberFormat="1" applyFont="1" applyFill="1" applyBorder="1" applyAlignment="1">
      <alignment horizontal="center" vertical="center"/>
    </xf>
    <xf numFmtId="41" fontId="174" fillId="0" borderId="13" xfId="159" applyNumberFormat="1" applyFont="1" applyFill="1" applyBorder="1" applyAlignment="1">
      <alignment horizontal="center" vertical="center"/>
    </xf>
    <xf numFmtId="41" fontId="172" fillId="0" borderId="124" xfId="159" applyNumberFormat="1" applyFont="1" applyFill="1" applyBorder="1" applyAlignment="1">
      <alignment horizontal="center" vertical="center"/>
    </xf>
    <xf numFmtId="192" fontId="172" fillId="0" borderId="169" xfId="159" applyNumberFormat="1" applyFont="1" applyFill="1" applyBorder="1" applyAlignment="1">
      <alignment horizontal="center" vertical="center"/>
    </xf>
    <xf numFmtId="0" fontId="172" fillId="0" borderId="154" xfId="158" applyFont="1" applyBorder="1" applyAlignment="1">
      <alignment horizontal="center" vertical="center" wrapText="1" shrinkToFit="1"/>
    </xf>
    <xf numFmtId="0" fontId="172" fillId="0" borderId="197" xfId="158" applyFont="1" applyBorder="1" applyAlignment="1">
      <alignment horizontal="center" vertical="center" shrinkToFit="1"/>
    </xf>
    <xf numFmtId="0" fontId="172" fillId="0" borderId="123" xfId="158" applyFont="1" applyBorder="1" applyAlignment="1">
      <alignment horizontal="center" vertical="center" shrinkToFit="1"/>
    </xf>
    <xf numFmtId="0" fontId="172" fillId="0" borderId="13" xfId="158" applyFont="1" applyBorder="1" applyAlignment="1">
      <alignment horizontal="center" vertical="center" shrinkToFit="1"/>
    </xf>
    <xf numFmtId="0" fontId="172" fillId="0" borderId="34" xfId="158" applyFont="1" applyBorder="1" applyAlignment="1">
      <alignment horizontal="center" vertical="center" shrinkToFit="1"/>
    </xf>
    <xf numFmtId="0" fontId="172" fillId="0" borderId="220" xfId="158" applyFont="1" applyBorder="1" applyAlignment="1">
      <alignment horizontal="center" vertical="center" shrinkToFit="1"/>
    </xf>
    <xf numFmtId="0" fontId="172" fillId="0" borderId="223" xfId="158" applyFont="1" applyBorder="1" applyAlignment="1">
      <alignment horizontal="center" vertical="center" shrinkToFit="1"/>
    </xf>
    <xf numFmtId="0" fontId="172" fillId="5" borderId="103" xfId="158" applyFont="1" applyFill="1" applyBorder="1" applyAlignment="1">
      <alignment horizontal="center" vertical="center"/>
    </xf>
    <xf numFmtId="0" fontId="172" fillId="5" borderId="101" xfId="158" applyFont="1" applyFill="1" applyBorder="1" applyAlignment="1">
      <alignment horizontal="center" vertical="center"/>
    </xf>
    <xf numFmtId="0" fontId="172" fillId="5" borderId="196" xfId="158" applyFont="1" applyFill="1" applyBorder="1" applyAlignment="1">
      <alignment horizontal="center" vertical="center"/>
    </xf>
    <xf numFmtId="192" fontId="186" fillId="5" borderId="222" xfId="159" applyNumberFormat="1" applyFont="1" applyFill="1" applyBorder="1" applyAlignment="1">
      <alignment horizontal="center" vertical="center"/>
    </xf>
    <xf numFmtId="192" fontId="186" fillId="5" borderId="220" xfId="159" applyNumberFormat="1" applyFont="1" applyFill="1" applyBorder="1" applyAlignment="1">
      <alignment horizontal="center" vertical="center"/>
    </xf>
    <xf numFmtId="41" fontId="186" fillId="5" borderId="220" xfId="159" applyNumberFormat="1" applyFont="1" applyFill="1" applyBorder="1" applyAlignment="1">
      <alignment horizontal="center" vertical="center"/>
    </xf>
    <xf numFmtId="41" fontId="186" fillId="5" borderId="223" xfId="159" applyNumberFormat="1" applyFont="1" applyFill="1" applyBorder="1" applyAlignment="1">
      <alignment horizontal="center" vertical="center"/>
    </xf>
    <xf numFmtId="0" fontId="172" fillId="5" borderId="103" xfId="158" applyFont="1" applyFill="1" applyBorder="1" applyAlignment="1">
      <alignment horizontal="center" vertical="center" shrinkToFit="1"/>
    </xf>
    <xf numFmtId="0" fontId="172" fillId="5" borderId="101" xfId="158" applyFont="1" applyFill="1" applyBorder="1" applyAlignment="1">
      <alignment horizontal="center" vertical="center" shrinkToFit="1"/>
    </xf>
    <xf numFmtId="0" fontId="172" fillId="5" borderId="196" xfId="158" applyFont="1" applyFill="1" applyBorder="1" applyAlignment="1">
      <alignment horizontal="center" vertical="center" shrinkToFit="1"/>
    </xf>
    <xf numFmtId="0" fontId="172" fillId="0" borderId="151" xfId="158" applyFont="1" applyBorder="1" applyAlignment="1">
      <alignment horizontal="center" vertical="center" shrinkToFit="1"/>
    </xf>
    <xf numFmtId="0" fontId="172" fillId="0" borderId="193" xfId="158" applyFont="1" applyBorder="1" applyAlignment="1">
      <alignment horizontal="center" vertical="center" shrinkToFit="1"/>
    </xf>
    <xf numFmtId="41" fontId="172" fillId="0" borderId="151" xfId="159" applyNumberFormat="1" applyFont="1" applyBorder="1" applyAlignment="1">
      <alignment horizontal="center" vertical="center"/>
    </xf>
    <xf numFmtId="41" fontId="172" fillId="0" borderId="197" xfId="159" applyNumberFormat="1" applyFont="1" applyBorder="1" applyAlignment="1">
      <alignment horizontal="center" vertical="center"/>
    </xf>
    <xf numFmtId="192" fontId="172" fillId="0" borderId="197" xfId="159" applyNumberFormat="1" applyFont="1" applyBorder="1" applyAlignment="1">
      <alignment horizontal="center" vertical="center"/>
    </xf>
    <xf numFmtId="41" fontId="172" fillId="0" borderId="123" xfId="159" applyNumberFormat="1" applyFont="1" applyBorder="1" applyAlignment="1">
      <alignment horizontal="center" vertical="center"/>
    </xf>
    <xf numFmtId="41" fontId="172" fillId="0" borderId="154" xfId="159" applyNumberFormat="1" applyFont="1" applyBorder="1" applyAlignment="1">
      <alignment horizontal="center" vertical="center"/>
    </xf>
    <xf numFmtId="41" fontId="172" fillId="0" borderId="193" xfId="159" applyNumberFormat="1" applyFont="1" applyBorder="1" applyAlignment="1">
      <alignment horizontal="center" vertical="center"/>
    </xf>
    <xf numFmtId="192" fontId="174" fillId="0" borderId="151" xfId="159" applyNumberFormat="1" applyFont="1" applyBorder="1" applyAlignment="1">
      <alignment horizontal="center" vertical="center"/>
    </xf>
    <xf numFmtId="192" fontId="174" fillId="0" borderId="197" xfId="159" applyNumberFormat="1" applyFont="1" applyBorder="1" applyAlignment="1">
      <alignment horizontal="center" vertical="center"/>
    </xf>
    <xf numFmtId="41" fontId="174" fillId="0" borderId="197" xfId="159" applyNumberFormat="1" applyFont="1" applyBorder="1" applyAlignment="1">
      <alignment horizontal="center" vertical="center"/>
    </xf>
    <xf numFmtId="41" fontId="174" fillId="0" borderId="123" xfId="159" applyNumberFormat="1" applyFont="1" applyBorder="1" applyAlignment="1">
      <alignment horizontal="center" vertical="center"/>
    </xf>
    <xf numFmtId="0" fontId="172" fillId="0" borderId="14" xfId="158" applyFont="1" applyBorder="1" applyAlignment="1">
      <alignment horizontal="center" vertical="center" wrapText="1" shrinkToFit="1"/>
    </xf>
    <xf numFmtId="0" fontId="172" fillId="0" borderId="10" xfId="158" applyFont="1" applyBorder="1" applyAlignment="1">
      <alignment horizontal="center" vertical="center" shrinkToFit="1"/>
    </xf>
    <xf numFmtId="0" fontId="172" fillId="0" borderId="11" xfId="158" applyFont="1" applyBorder="1" applyAlignment="1">
      <alignment horizontal="center" vertical="center" shrinkToFit="1"/>
    </xf>
    <xf numFmtId="0" fontId="181" fillId="0" borderId="0" xfId="158" applyFont="1" applyAlignment="1">
      <alignment horizontal="center" vertical="center"/>
    </xf>
    <xf numFmtId="0" fontId="172" fillId="3" borderId="151" xfId="158" applyFont="1" applyFill="1" applyBorder="1" applyAlignment="1">
      <alignment horizontal="center" vertical="center"/>
    </xf>
    <xf numFmtId="0" fontId="172" fillId="3" borderId="197" xfId="158" applyFont="1" applyFill="1" applyBorder="1" applyAlignment="1">
      <alignment horizontal="center" vertical="center"/>
    </xf>
    <xf numFmtId="0" fontId="172" fillId="3" borderId="124" xfId="158" applyFont="1" applyFill="1" applyBorder="1" applyAlignment="1">
      <alignment horizontal="center" vertical="center"/>
    </xf>
    <xf numFmtId="0" fontId="172" fillId="3" borderId="169" xfId="158" applyFont="1" applyFill="1" applyBorder="1" applyAlignment="1">
      <alignment horizontal="center" vertical="center"/>
    </xf>
    <xf numFmtId="0" fontId="172" fillId="3" borderId="222" xfId="158" applyFont="1" applyFill="1" applyBorder="1" applyAlignment="1">
      <alignment horizontal="center" vertical="center"/>
    </xf>
    <xf numFmtId="0" fontId="172" fillId="3" borderId="220" xfId="158" applyFont="1" applyFill="1" applyBorder="1" applyAlignment="1">
      <alignment horizontal="center" vertical="center"/>
    </xf>
    <xf numFmtId="0" fontId="172" fillId="3" borderId="193" xfId="158" applyFont="1" applyFill="1" applyBorder="1" applyAlignment="1">
      <alignment horizontal="center" vertical="center"/>
    </xf>
    <xf numFmtId="0" fontId="172" fillId="3" borderId="29" xfId="158" applyFont="1" applyFill="1" applyBorder="1" applyAlignment="1">
      <alignment horizontal="center" vertical="center"/>
    </xf>
    <xf numFmtId="0" fontId="172" fillId="3" borderId="31" xfId="158" applyFont="1" applyFill="1" applyBorder="1" applyAlignment="1">
      <alignment horizontal="center" vertical="center"/>
    </xf>
    <xf numFmtId="0" fontId="172" fillId="3" borderId="151" xfId="158" applyFont="1" applyFill="1" applyBorder="1" applyAlignment="1">
      <alignment horizontal="center" vertical="center" wrapText="1"/>
    </xf>
    <xf numFmtId="0" fontId="172" fillId="3" borderId="197" xfId="158" applyFont="1" applyFill="1" applyBorder="1" applyAlignment="1">
      <alignment horizontal="center" vertical="center" wrapText="1"/>
    </xf>
    <xf numFmtId="0" fontId="172" fillId="3" borderId="123" xfId="158" applyFont="1" applyFill="1" applyBorder="1" applyAlignment="1">
      <alignment horizontal="center" vertical="center" wrapText="1"/>
    </xf>
    <xf numFmtId="0" fontId="172" fillId="3" borderId="154" xfId="158" applyFont="1" applyFill="1" applyBorder="1" applyAlignment="1">
      <alignment horizontal="center" vertical="center"/>
    </xf>
    <xf numFmtId="0" fontId="172" fillId="3" borderId="33" xfId="158" applyFont="1" applyFill="1" applyBorder="1" applyAlignment="1">
      <alignment horizontal="center" vertical="center"/>
    </xf>
    <xf numFmtId="0" fontId="172" fillId="3" borderId="34" xfId="158" applyFont="1" applyFill="1" applyBorder="1" applyAlignment="1">
      <alignment horizontal="center" vertical="center"/>
    </xf>
    <xf numFmtId="0" fontId="172" fillId="3" borderId="123" xfId="158" applyFont="1" applyFill="1" applyBorder="1" applyAlignment="1">
      <alignment horizontal="center" vertical="center"/>
    </xf>
    <xf numFmtId="0" fontId="172" fillId="3" borderId="13" xfId="158" applyFont="1" applyFill="1" applyBorder="1" applyAlignment="1">
      <alignment horizontal="center" vertical="center"/>
    </xf>
    <xf numFmtId="0" fontId="172" fillId="3" borderId="223" xfId="158" applyFont="1" applyFill="1" applyBorder="1" applyAlignment="1">
      <alignment horizontal="center" vertical="center"/>
    </xf>
    <xf numFmtId="0" fontId="155" fillId="3" borderId="124" xfId="158" applyFont="1" applyFill="1" applyBorder="1" applyAlignment="1">
      <alignment horizontal="center" vertical="center" wrapText="1"/>
    </xf>
    <xf numFmtId="0" fontId="37" fillId="3" borderId="169" xfId="158" applyFill="1" applyBorder="1" applyAlignment="1">
      <alignment horizontal="center" vertical="center"/>
    </xf>
    <xf numFmtId="0" fontId="37" fillId="3" borderId="222" xfId="158" applyFill="1" applyBorder="1" applyAlignment="1">
      <alignment horizontal="center" vertical="center"/>
    </xf>
    <xf numFmtId="0" fontId="37" fillId="3" borderId="220" xfId="158" applyFill="1" applyBorder="1" applyAlignment="1">
      <alignment horizontal="center" vertical="center"/>
    </xf>
    <xf numFmtId="0" fontId="155" fillId="3" borderId="169" xfId="158" applyFont="1" applyFill="1" applyBorder="1" applyAlignment="1">
      <alignment horizontal="center" vertical="center" wrapText="1"/>
    </xf>
    <xf numFmtId="0" fontId="37" fillId="3" borderId="13" xfId="158" applyFill="1" applyBorder="1" applyAlignment="1">
      <alignment horizontal="center" vertical="center"/>
    </xf>
    <xf numFmtId="0" fontId="37" fillId="3" borderId="223" xfId="158" applyFill="1" applyBorder="1" applyAlignment="1">
      <alignment horizontal="center" vertical="center"/>
    </xf>
    <xf numFmtId="0" fontId="155" fillId="3" borderId="222" xfId="158" applyFont="1" applyFill="1" applyBorder="1" applyAlignment="1">
      <alignment horizontal="center" vertical="center" wrapText="1"/>
    </xf>
    <xf numFmtId="0" fontId="155" fillId="3" borderId="220" xfId="158" applyFont="1" applyFill="1" applyBorder="1" applyAlignment="1">
      <alignment horizontal="center" vertical="center" wrapText="1"/>
    </xf>
    <xf numFmtId="0" fontId="155" fillId="3" borderId="13" xfId="158" applyFont="1" applyFill="1" applyBorder="1" applyAlignment="1">
      <alignment horizontal="center" vertical="center" wrapText="1"/>
    </xf>
    <xf numFmtId="0" fontId="155" fillId="3" borderId="223" xfId="158" applyFont="1" applyFill="1" applyBorder="1" applyAlignment="1">
      <alignment horizontal="center" vertical="center" wrapText="1"/>
    </xf>
    <xf numFmtId="2" fontId="172" fillId="17" borderId="210" xfId="158" applyNumberFormat="1" applyFont="1" applyFill="1" applyBorder="1" applyAlignment="1">
      <alignment horizontal="center" vertical="center"/>
    </xf>
    <xf numFmtId="2" fontId="172" fillId="17" borderId="211" xfId="158" applyNumberFormat="1" applyFont="1" applyFill="1" applyBorder="1" applyAlignment="1">
      <alignment horizontal="center" vertical="center"/>
    </xf>
    <xf numFmtId="2" fontId="172" fillId="17" borderId="212" xfId="158" applyNumberFormat="1" applyFont="1" applyFill="1" applyBorder="1" applyAlignment="1">
      <alignment horizontal="center" vertical="center"/>
    </xf>
    <xf numFmtId="0" fontId="155" fillId="17" borderId="210" xfId="158" applyFont="1" applyFill="1" applyBorder="1" applyAlignment="1">
      <alignment horizontal="center" vertical="center"/>
    </xf>
    <xf numFmtId="0" fontId="155" fillId="17" borderId="211" xfId="158" applyFont="1" applyFill="1" applyBorder="1" applyAlignment="1">
      <alignment horizontal="center" vertical="center"/>
    </xf>
    <xf numFmtId="0" fontId="155" fillId="17" borderId="212" xfId="158" applyFont="1" applyFill="1" applyBorder="1" applyAlignment="1">
      <alignment horizontal="center" vertical="center"/>
    </xf>
    <xf numFmtId="0" fontId="172" fillId="17" borderId="210" xfId="158" applyFont="1" applyFill="1" applyBorder="1" applyAlignment="1">
      <alignment horizontal="center" vertical="center"/>
    </xf>
    <xf numFmtId="0" fontId="172" fillId="17" borderId="211" xfId="158" applyFont="1" applyFill="1" applyBorder="1" applyAlignment="1">
      <alignment horizontal="center" vertical="center"/>
    </xf>
    <xf numFmtId="0" fontId="172" fillId="17" borderId="212" xfId="158" applyFont="1" applyFill="1" applyBorder="1" applyAlignment="1">
      <alignment horizontal="center" vertical="center"/>
    </xf>
    <xf numFmtId="0" fontId="191" fillId="17" borderId="198" xfId="158" applyFont="1" applyFill="1" applyBorder="1" applyAlignment="1">
      <alignment horizontal="center" vertical="center" shrinkToFit="1"/>
    </xf>
    <xf numFmtId="2" fontId="172" fillId="5" borderId="210" xfId="158" applyNumberFormat="1" applyFont="1" applyFill="1" applyBorder="1" applyAlignment="1">
      <alignment horizontal="center" vertical="center"/>
    </xf>
    <xf numFmtId="2" fontId="172" fillId="5" borderId="211" xfId="158" applyNumberFormat="1" applyFont="1" applyFill="1" applyBorder="1" applyAlignment="1">
      <alignment horizontal="center" vertical="center"/>
    </xf>
    <xf numFmtId="2" fontId="172" fillId="5" borderId="212" xfId="158" applyNumberFormat="1" applyFont="1" applyFill="1" applyBorder="1" applyAlignment="1">
      <alignment horizontal="center" vertical="center"/>
    </xf>
    <xf numFmtId="0" fontId="191" fillId="5" borderId="198" xfId="158" applyFont="1" applyFill="1" applyBorder="1" applyAlignment="1">
      <alignment horizontal="center" vertical="center" shrinkToFit="1"/>
    </xf>
    <xf numFmtId="0" fontId="32" fillId="4" borderId="153" xfId="160" applyFont="1" applyFill="1" applyBorder="1" applyAlignment="1">
      <alignment horizontal="center" vertical="center"/>
    </xf>
    <xf numFmtId="0" fontId="0" fillId="0" borderId="202" xfId="0" applyBorder="1" applyAlignment="1">
      <alignment horizontal="center" vertical="center"/>
    </xf>
    <xf numFmtId="3" fontId="32" fillId="4" borderId="216" xfId="160" applyNumberFormat="1" applyFont="1" applyFill="1" applyBorder="1" applyAlignment="1">
      <alignment horizontal="left" vertical="center" wrapText="1"/>
    </xf>
    <xf numFmtId="0" fontId="0" fillId="0" borderId="70" xfId="0" applyBorder="1" applyAlignment="1">
      <alignment horizontal="left" vertical="center" wrapText="1"/>
    </xf>
    <xf numFmtId="0" fontId="0" fillId="0" borderId="22" xfId="0" applyBorder="1" applyAlignment="1">
      <alignment horizontal="left" vertical="center" wrapText="1"/>
    </xf>
    <xf numFmtId="0" fontId="32" fillId="3" borderId="216" xfId="160" applyFont="1" applyFill="1" applyBorder="1" applyAlignment="1">
      <alignment horizontal="center" vertical="center"/>
    </xf>
    <xf numFmtId="0" fontId="32" fillId="3" borderId="22" xfId="160" applyFont="1" applyFill="1" applyBorder="1" applyAlignment="1">
      <alignment horizontal="center" vertical="center"/>
    </xf>
    <xf numFmtId="0" fontId="33" fillId="4" borderId="0" xfId="160" applyFont="1" applyFill="1" applyAlignment="1">
      <alignment horizontal="center" vertical="center"/>
    </xf>
    <xf numFmtId="0" fontId="32" fillId="3" borderId="151" xfId="160" applyFont="1" applyFill="1" applyBorder="1" applyAlignment="1">
      <alignment horizontal="center" vertical="center"/>
    </xf>
    <xf numFmtId="0" fontId="32" fillId="3" borderId="224" xfId="160" applyFont="1" applyFill="1" applyBorder="1" applyAlignment="1">
      <alignment horizontal="center" vertical="center"/>
    </xf>
    <xf numFmtId="0" fontId="32" fillId="3" borderId="197" xfId="160" applyFont="1" applyFill="1" applyBorder="1" applyAlignment="1">
      <alignment horizontal="center" vertical="center"/>
    </xf>
    <xf numFmtId="0" fontId="32" fillId="3" borderId="225" xfId="160" applyFont="1" applyFill="1" applyBorder="1" applyAlignment="1">
      <alignment horizontal="center" vertical="center"/>
    </xf>
    <xf numFmtId="0" fontId="32" fillId="3" borderId="197" xfId="160" applyFont="1" applyFill="1" applyBorder="1" applyAlignment="1">
      <alignment horizontal="center" vertical="center" wrapText="1"/>
    </xf>
    <xf numFmtId="0" fontId="32" fillId="3" borderId="243" xfId="160" applyFont="1" applyFill="1" applyBorder="1" applyAlignment="1">
      <alignment horizontal="center" vertical="center"/>
    </xf>
    <xf numFmtId="0" fontId="32" fillId="3" borderId="7" xfId="160" applyFont="1" applyFill="1" applyBorder="1" applyAlignment="1">
      <alignment horizontal="center" vertical="center"/>
    </xf>
    <xf numFmtId="0" fontId="32" fillId="3" borderId="152" xfId="160" applyFont="1" applyFill="1" applyBorder="1" applyAlignment="1">
      <alignment horizontal="center" vertical="center"/>
    </xf>
    <xf numFmtId="0" fontId="0" fillId="0" borderId="6" xfId="0" applyBorder="1" applyAlignment="1">
      <alignment horizontal="center" vertical="center"/>
    </xf>
    <xf numFmtId="10" fontId="24" fillId="4" borderId="0" xfId="0" applyNumberFormat="1" applyFont="1" applyFill="1">
      <alignment vertical="center"/>
    </xf>
    <xf numFmtId="10" fontId="22" fillId="0" borderId="0" xfId="0" applyNumberFormat="1" applyFont="1">
      <alignment vertical="center"/>
    </xf>
    <xf numFmtId="3" fontId="23" fillId="0" borderId="0" xfId="0" applyNumberFormat="1" applyFont="1">
      <alignment vertical="center"/>
    </xf>
    <xf numFmtId="43" fontId="23" fillId="0" borderId="0" xfId="0" applyNumberFormat="1" applyFont="1">
      <alignment vertical="center"/>
    </xf>
    <xf numFmtId="41" fontId="23" fillId="17" borderId="169" xfId="132" applyFont="1" applyFill="1" applyBorder="1" applyAlignment="1">
      <alignment vertical="center"/>
    </xf>
  </cellXfs>
  <cellStyles count="162">
    <cellStyle name="          _x000d__x000a_386grabber=vga.3gr_x000d__x000a_" xfId="4" xr:uid="{00000000-0005-0000-0000-000001000000}"/>
    <cellStyle name="          _x000d__x000a_386grabber=vga.3gr_x000d__x000a_ 2" xfId="117" xr:uid="{00000000-0005-0000-0000-000002000000}"/>
    <cellStyle name="          _x000d__x000a_386grabber=vga.3gr_x000d__x000a_ 3" xfId="118" xr:uid="{00000000-0005-0000-0000-000003000000}"/>
    <cellStyle name="          _x000d__x000a_386grabber=vga.3gr_x000d__x000a_ 4" xfId="119" xr:uid="{00000000-0005-0000-0000-000004000000}"/>
    <cellStyle name="          _x000d__x000a_386grabber=vga.3gr_x000d__x000a__Sheet1" xfId="120" xr:uid="{00000000-0005-0000-0000-000005000000}"/>
    <cellStyle name=" [0]_영업분석" xfId="5" xr:uid="{00000000-0005-0000-0000-000006000000}"/>
    <cellStyle name="#_2000설계서최종_속초변전소 cctv 교체공사 " xfId="69" xr:uid="{00000000-0005-0000-0000-00008D200000}"/>
    <cellStyle name="#_cost9702 (2)_계통도 (2)_계통도 " xfId="6" xr:uid="{00000000-0005-0000-0000-0000FF290000}"/>
    <cellStyle name="#_cost9702 (2)_공사비예산서 (2)_계통도 " xfId="7" xr:uid="{00000000-0005-0000-0000-0000F62B0000}"/>
    <cellStyle name="#_cost9702 (2)_공사비예산서_계통도 " xfId="8" xr:uid="{00000000-0005-0000-0000-0000E82D0000}"/>
    <cellStyle name="#_cost9702 (2)_예정공정표 (2)_계통도 " xfId="9" xr:uid="{00000000-0005-0000-0000-000082300000}"/>
    <cellStyle name="#_cost9702 (2)_주요자재_계통도 " xfId="10" xr:uid="{00000000-0005-0000-0000-00007A320000}"/>
    <cellStyle name="#_cost9702 (2)_품셈 " xfId="11" xr:uid="{00000000-0005-0000-0000-00002C340000}"/>
    <cellStyle name="#_목차 " xfId="12" xr:uid="{00000000-0005-0000-0000-00003D4D0000}"/>
    <cellStyle name="#_설계서결재_공사비산출내역_속초변전소 cctv 교체공사 " xfId="70" xr:uid="{00000000-0005-0000-0000-00003F590000}"/>
    <cellStyle name="#_설계서결재_속초변전소 cctv 교체공사 " xfId="71" xr:uid="{00000000-0005-0000-0000-0000E55C0000}"/>
    <cellStyle name="#_속초변전소 cctv 교체공사 " xfId="72" xr:uid="{00000000-0005-0000-0000-0000AD600000}"/>
    <cellStyle name="#_예정공정표_계통도 " xfId="13" xr:uid="{00000000-0005-0000-0000-00005B630000}"/>
    <cellStyle name="#_예정공정표_품셈 " xfId="14" xr:uid="{00000000-0005-0000-0000-000035640000}"/>
    <cellStyle name="#_품셈 " xfId="15" xr:uid="{00000000-0005-0000-0000-0000E1680000}"/>
    <cellStyle name="#_품셈_계통도 " xfId="16" xr:uid="{00000000-0005-0000-0000-0000286B0000}"/>
    <cellStyle name="???­ [0]_?¾???¶°?ºÐ " xfId="17" xr:uid="{00000000-0005-0000-0000-00007E6D0000}"/>
    <cellStyle name="???­_?¾???¶°?ºÐ " xfId="18" xr:uid="{00000000-0005-0000-0000-00007F6D0000}"/>
    <cellStyle name="???Ø_??°???(2¿?) " xfId="58" xr:uid="{00000000-0005-0000-0000-0000806D0000}"/>
    <cellStyle name="?Þ¸¶ [0]_?¾???¶°?ºÐ " xfId="19" xr:uid="{00000000-0005-0000-0000-0000846D0000}"/>
    <cellStyle name="?Þ¸¶_?¾???¶°?ºÐ " xfId="20" xr:uid="{00000000-0005-0000-0000-0000856D0000}"/>
    <cellStyle name="__ [0]_____ " xfId="73" xr:uid="{00000000-0005-0000-0000-0000886D0000}"/>
    <cellStyle name="__ [0]___BS('98) " xfId="74" xr:uid="{00000000-0005-0000-0000-00008A6D0000}"/>
    <cellStyle name="__ [0]_SP ___ __ " xfId="75" xr:uid="{00000000-0005-0000-0000-00008C6D0000}"/>
    <cellStyle name="_______ " xfId="76" xr:uid="{00000000-0005-0000-0000-00008E6D0000}"/>
    <cellStyle name="_______ __ " xfId="77" xr:uid="{00000000-0005-0000-0000-00008F6D0000}"/>
    <cellStyle name="_____BS('98) " xfId="78" xr:uid="{00000000-0005-0000-0000-0000916D0000}"/>
    <cellStyle name="___12_ " xfId="79" xr:uid="{00000000-0005-0000-0000-0000926D0000}"/>
    <cellStyle name="___CD-ROM " xfId="80" xr:uid="{00000000-0005-0000-0000-0000936D0000}"/>
    <cellStyle name="___SP ___ __ " xfId="81" xr:uid="{00000000-0005-0000-0000-0000946D0000}"/>
    <cellStyle name="¤@?e_TEST-1 " xfId="21" xr:uid="{00000000-0005-0000-0000-0000486F0000}"/>
    <cellStyle name="A " xfId="87" xr:uid="{00000000-0005-0000-0000-0000F9710000}"/>
    <cellStyle name="A¡ " xfId="88" xr:uid="{00000000-0005-0000-0000-0000FA710000}"/>
    <cellStyle name="A¨­￠￢￠O [0]_INQUIRY ￠?￥i¨u¡AAⓒ￢Aⓒª " xfId="22" xr:uid="{00000000-0005-0000-0000-0000FB710000}"/>
    <cellStyle name="A¨­￠￢￠O_INQUIRY ￠?￥i¨u¡AAⓒ￢Aⓒª " xfId="23" xr:uid="{00000000-0005-0000-0000-0000FC710000}"/>
    <cellStyle name="A¨i " xfId="89" xr:uid="{00000000-0005-0000-0000-0000FD710000}"/>
    <cellStyle name="A¨i¡ " xfId="90" xr:uid="{00000000-0005-0000-0000-0000FE710000}"/>
    <cellStyle name="A¨i¡ⓒ " xfId="91" xr:uid="{00000000-0005-0000-0000-0000FF710000}"/>
    <cellStyle name="A¨i¡ⓒ¡e¡ " xfId="92" xr:uid="{00000000-0005-0000-0000-000000720000}"/>
    <cellStyle name="Aⓒ­ " xfId="93" xr:uid="{00000000-0005-0000-0000-000001720000}"/>
    <cellStyle name="Aⓒ­￠￢ " xfId="94" xr:uid="{00000000-0005-0000-0000-000002720000}"/>
    <cellStyle name="Aⓒ­￠￢￠o " xfId="95" xr:uid="{00000000-0005-0000-0000-000003720000}"/>
    <cellStyle name="Aee " xfId="59" xr:uid="{00000000-0005-0000-0000-000004720000}"/>
    <cellStyle name="Aee­ [0]_ " xfId="96" xr:uid="{00000000-0005-0000-0000-000006720000}"/>
    <cellStyle name="ÅëÈ­ [0]_028-3 " xfId="121" xr:uid="{00000000-0005-0000-0000-000007720000}"/>
    <cellStyle name="AeE­ [0]_A¾CO½A¼³ " xfId="122" xr:uid="{00000000-0005-0000-0000-000008720000}"/>
    <cellStyle name="ÅëÈ­ [0]_Á¾ÇÕ½Å¼³ " xfId="24" xr:uid="{00000000-0005-0000-0000-000009720000}"/>
    <cellStyle name="AeE­ [0]_AMT " xfId="25" xr:uid="{00000000-0005-0000-0000-00000C720000}"/>
    <cellStyle name="ÅëÈ­ [0]_INQUIRY ¿µ¾÷ÃßÁø " xfId="26" xr:uid="{00000000-0005-0000-0000-00000D720000}"/>
    <cellStyle name="AeE­ [0]_INQUIRY ¿μ¾÷AßAø " xfId="27" xr:uid="{00000000-0005-0000-0000-00000E720000}"/>
    <cellStyle name="Aee­_ " xfId="97" xr:uid="{00000000-0005-0000-0000-000011720000}"/>
    <cellStyle name="ÅëÈ­_028-3 " xfId="123" xr:uid="{00000000-0005-0000-0000-000012720000}"/>
    <cellStyle name="AeE­_A¾CO½A¼³ " xfId="124" xr:uid="{00000000-0005-0000-0000-000013720000}"/>
    <cellStyle name="ÅëÈ­_Á¾ÇÕ½Å¼³ " xfId="28" xr:uid="{00000000-0005-0000-0000-000014720000}"/>
    <cellStyle name="AeE­_AMT " xfId="29" xr:uid="{00000000-0005-0000-0000-000017720000}"/>
    <cellStyle name="ÅëÈ­_INQUIRY ¿µ¾÷ÃßÁø " xfId="30" xr:uid="{00000000-0005-0000-0000-000018720000}"/>
    <cellStyle name="AeE­_INQUIRY ¿μ¾÷AßAø " xfId="31" xr:uid="{00000000-0005-0000-0000-000019720000}"/>
    <cellStyle name="Aee¡ " xfId="98" xr:uid="{00000000-0005-0000-0000-00001B720000}"/>
    <cellStyle name="AeE¡ⓒ [0]_INQUIRY ￠?￥i¨u¡AAⓒ￢Aⓒª " xfId="32" xr:uid="{00000000-0005-0000-0000-00001C720000}"/>
    <cellStyle name="Aee¡ⓒ_ⓒ " xfId="99" xr:uid="{00000000-0005-0000-0000-00001D720000}"/>
    <cellStyle name="Aee¡er " xfId="100" xr:uid="{00000000-0005-0000-0000-00001E720000}"/>
    <cellStyle name="Aee￠r " xfId="101" xr:uid="{00000000-0005-0000-0000-00001F720000}"/>
    <cellStyle name="Aee￠r¨i " xfId="102" xr:uid="{00000000-0005-0000-0000-000020720000}"/>
    <cellStyle name="Aee￠r¨i_ " xfId="103" xr:uid="{00000000-0005-0000-0000-000021720000}"/>
    <cellStyle name="Aþ¸ " xfId="104" xr:uid="{00000000-0005-0000-0000-000024720000}"/>
    <cellStyle name="ÄÞ¸_x001a__Á¾ÇÕ½Å¼³ " xfId="105" xr:uid="{00000000-0005-0000-0000-000025720000}"/>
    <cellStyle name="AÞ¸¶ [0]_ 2ÆAAþº° " xfId="60" xr:uid="{00000000-0005-0000-0000-000026720000}"/>
    <cellStyle name="ÄÞ¸¶ [0]_028-3 " xfId="125" xr:uid="{00000000-0005-0000-0000-000027720000}"/>
    <cellStyle name="AÞ¸¶ [0]_A¾CO½A¼³ " xfId="126" xr:uid="{00000000-0005-0000-0000-000028720000}"/>
    <cellStyle name="ÄÞ¸¶ [0]_Á¾ÇÕ½Å¼³ " xfId="33" xr:uid="{00000000-0005-0000-0000-000029720000}"/>
    <cellStyle name="AÞ¸¶ [0]_AN°y(1.25) " xfId="34" xr:uid="{00000000-0005-0000-0000-00002C720000}"/>
    <cellStyle name="ÄÞ¸¶ [0]_INQUIRY ¿µ¾÷ÃßÁø " xfId="35" xr:uid="{00000000-0005-0000-0000-00002D720000}"/>
    <cellStyle name="AÞ¸¶ [0]_INQUIRY ¿μ¾÷AßAø " xfId="36" xr:uid="{00000000-0005-0000-0000-00002E720000}"/>
    <cellStyle name="AÞ¸¶_ 2ÆAAþº° " xfId="61" xr:uid="{00000000-0005-0000-0000-000030720000}"/>
    <cellStyle name="ÄÞ¸¶_028-3 " xfId="127" xr:uid="{00000000-0005-0000-0000-000031720000}"/>
    <cellStyle name="AÞ¸¶_A¾CO½A¼³ " xfId="128" xr:uid="{00000000-0005-0000-0000-000032720000}"/>
    <cellStyle name="ÄÞ¸¶_Á¾ÇÕ½Å¼³ " xfId="37" xr:uid="{00000000-0005-0000-0000-000033720000}"/>
    <cellStyle name="AÞ¸¶_AN°y(1.25) " xfId="38" xr:uid="{00000000-0005-0000-0000-000036720000}"/>
    <cellStyle name="ÄÞ¸¶_INQUIRY ¿µ¾÷ÃßÁø " xfId="39" xr:uid="{00000000-0005-0000-0000-000037720000}"/>
    <cellStyle name="AÞ¸¶_INQUIRY ¿μ¾÷AßAø " xfId="40" xr:uid="{00000000-0005-0000-0000-000038720000}"/>
    <cellStyle name="C " xfId="106" xr:uid="{00000000-0005-0000-0000-00003D720000}"/>
    <cellStyle name="C¡ia " xfId="107" xr:uid="{00000000-0005-0000-0000-00003E720000}"/>
    <cellStyle name="C¡IA¨ª_¡ic¨u¡A¨￢I¨￢¡Æ AN¡Æe " xfId="41" xr:uid="{00000000-0005-0000-0000-00003F720000}"/>
    <cellStyle name="C¡iaⓒ " xfId="108" xr:uid="{00000000-0005-0000-0000-000040720000}"/>
    <cellStyle name="C¡iaⓒª_ " xfId="109" xr:uid="{00000000-0005-0000-0000-000041720000}"/>
    <cellStyle name="C￠ria " xfId="110" xr:uid="{00000000-0005-0000-0000-000042720000}"/>
    <cellStyle name="C￠ria¨i " xfId="111" xr:uid="{00000000-0005-0000-0000-000043720000}"/>
    <cellStyle name="C￠ria¨i¨ " xfId="112" xr:uid="{00000000-0005-0000-0000-000044720000}"/>
    <cellStyle name="C￥a " xfId="113" xr:uid="{00000000-0005-0000-0000-000045720000}"/>
    <cellStyle name="C￥aø_ " xfId="114" xr:uid="{00000000-0005-0000-0000-000046720000}"/>
    <cellStyle name="Ç¥ÁØ_»ç¾÷ºÎº° ÃÑ°è " xfId="42" xr:uid="{00000000-0005-0000-0000-000049720000}"/>
    <cellStyle name="C￥AØ_¾c½A " xfId="43" xr:uid="{00000000-0005-0000-0000-00004C720000}"/>
    <cellStyle name="Ç¥ÁØ_5-1±¤°í " xfId="44" xr:uid="{00000000-0005-0000-0000-00004D720000}"/>
    <cellStyle name="C￥AØ_A¾COA¶°AºÐ " xfId="45" xr:uid="{00000000-0005-0000-0000-000058720000}"/>
    <cellStyle name="Ç¥ÁØ_Á¾ÇÕÃ¶°ÅºÐ " xfId="46" xr:uid="{00000000-0005-0000-0000-000059720000}"/>
    <cellStyle name="C￥AØ_AN°y(1.25) " xfId="47" xr:uid="{00000000-0005-0000-0000-000064720000}"/>
    <cellStyle name="Ç¥ÁØ_Áý°èÇ¥(2¿ù) " xfId="48" xr:uid="{00000000-0005-0000-0000-000065720000}"/>
    <cellStyle name="C￥AØ_CoAo¹yAI °A¾×¿ⓒ½A " xfId="62" xr:uid="{00000000-0005-0000-0000-000066720000}"/>
    <cellStyle name="Ç¥ÁØ_laroux_1_Á¾ÇÕ½Å¼³ " xfId="115" xr:uid="{00000000-0005-0000-0000-000067720000}"/>
    <cellStyle name="C￥AØ_laroux_1_A¾COA¶°AºÐ " xfId="116" xr:uid="{00000000-0005-0000-0000-000068720000}"/>
    <cellStyle name="Ç¥ÁØ_laroux_1_Á¾ÇÕÃ¶°ÅºÐ " xfId="63" xr:uid="{00000000-0005-0000-0000-000069720000}"/>
    <cellStyle name="C￥AØ_laroux_A¾CO½A¼³ " xfId="64" xr:uid="{00000000-0005-0000-0000-00006C720000}"/>
    <cellStyle name="Ç¥ÁØ_laroux_Á¾ÇÕ½Å¼³ " xfId="65" xr:uid="{00000000-0005-0000-0000-00006D720000}"/>
    <cellStyle name="C￥AØ_laroux_A¾COA¶°AºÐ " xfId="66" xr:uid="{00000000-0005-0000-0000-000074720000}"/>
    <cellStyle name="Ç¥ÁØ_laroux_Á¾ÇÕÃ¶°ÅºÐ " xfId="67" xr:uid="{00000000-0005-0000-0000-000075720000}"/>
    <cellStyle name="C￥AØ_SOON1 " xfId="68" xr:uid="{00000000-0005-0000-0000-00007C720000}"/>
    <cellStyle name="Comma" xfId="49" xr:uid="{00000000-0005-0000-0000-000089720000}"/>
    <cellStyle name="Comma [0]" xfId="50" xr:uid="{00000000-0005-0000-0000-00008A720000}"/>
    <cellStyle name="Currency" xfId="51" xr:uid="{00000000-0005-0000-0000-0000A3720000}"/>
    <cellStyle name="Currency [0]" xfId="52" xr:uid="{00000000-0005-0000-0000-0000A4720000}"/>
    <cellStyle name="Currency_ SG&amp;A Bridge " xfId="53" xr:uid="{00000000-0005-0000-0000-0000B2720000}"/>
    <cellStyle name="Currency1" xfId="54" xr:uid="{00000000-0005-0000-0000-0000B4720000}"/>
    <cellStyle name="Hyperlink" xfId="55" xr:uid="{00000000-0005-0000-0000-0000FD720000}"/>
    <cellStyle name="Millares [0]_Asset Mgmt " xfId="129" xr:uid="{00000000-0005-0000-0000-000009730000}"/>
    <cellStyle name="Millares_Asset Mgmt " xfId="130" xr:uid="{00000000-0005-0000-0000-00000A730000}"/>
    <cellStyle name="normal" xfId="56" xr:uid="{00000000-0005-0000-0000-00001E730000}"/>
    <cellStyle name="Percent" xfId="57" xr:uid="{00000000-0005-0000-0000-00002E730000}"/>
    <cellStyle name="나쁨" xfId="157" builtinId="27"/>
    <cellStyle name="똿뗦먛귟 [0.00]_NT Server " xfId="82" xr:uid="{00000000-0005-0000-0000-00007E730000}"/>
    <cellStyle name="똿뗦먛귟_NT Server " xfId="83" xr:uid="{00000000-0005-0000-0000-00007F730000}"/>
    <cellStyle name="백 " xfId="84" xr:uid="{00000000-0005-0000-0000-000096730000}"/>
    <cellStyle name="백분율" xfId="3" builtinId="5" hidden="1"/>
    <cellStyle name="백분율" xfId="146" builtinId="5"/>
    <cellStyle name="쉼표" xfId="133" builtinId="3" hidden="1"/>
    <cellStyle name="쉼표 [0]" xfId="1" builtinId="6" hidden="1"/>
    <cellStyle name="쉼표 [0]" xfId="132" builtinId="6"/>
    <cellStyle name="쉼표 [0] 10" xfId="149" xr:uid="{3CB0F094-815E-4B75-91CE-58D65D7581E5}"/>
    <cellStyle name="쉼표 [0] 2" xfId="159" xr:uid="{A424C38E-D91E-4B30-8DAB-22F448F4C7A2}"/>
    <cellStyle name="쉼표 [0] 2 4" xfId="150" xr:uid="{5D48F061-AD49-4250-BB8B-8ED2E39EEEDF}"/>
    <cellStyle name="쉼표 [0] 3" xfId="161" xr:uid="{A036D916-A929-4761-A673-477DAE3DAC5E}"/>
    <cellStyle name="쉼표 [0]_공사설계서(서식통일)_2차이설(품의용)" xfId="138" xr:uid="{EA746DD8-5D34-4B44-8149-FC4CA0A630D9}"/>
    <cellStyle name="콤마 [0]_11월1주" xfId="140" xr:uid="{3CDC8338-5DEE-4EE0-A71C-7614D169213E}"/>
    <cellStyle name="콤마 [0]_11월3주" xfId="143" xr:uid="{3536DD47-7342-4724-B27B-88EDA683C447}"/>
    <cellStyle name="콤마_ " xfId="85" xr:uid="{00000000-0005-0000-0000-0000FC940000}"/>
    <cellStyle name="콤마쇔[0]_대총괄표 " xfId="86" xr:uid="{00000000-0005-0000-0000-0000FD940000}"/>
    <cellStyle name="통화" xfId="134" builtinId="4" hidden="1"/>
    <cellStyle name="통화 [0]" xfId="2" builtinId="7" hidden="1"/>
    <cellStyle name="통화 [0]_11월1주" xfId="142" xr:uid="{8CDFF62E-8AF6-4022-A82D-451B748F965F}"/>
    <cellStyle name="표준" xfId="0" builtinId="0"/>
    <cellStyle name="표준 10 2" xfId="139" xr:uid="{248650EE-886C-4FC7-9A29-5001A0082FB6}"/>
    <cellStyle name="표준 14" xfId="131" xr:uid="{2DA97442-18CE-442F-BE16-36555DBCC746}"/>
    <cellStyle name="표준 16" xfId="147" xr:uid="{7C0B0CA9-0720-4D6D-9833-A9864C32BDBD}"/>
    <cellStyle name="표준 2" xfId="158" xr:uid="{74AC492B-1026-48E1-B859-9FA922342B03}"/>
    <cellStyle name="표준 2 10" xfId="135" xr:uid="{27001971-24F5-4B0B-ABE7-07FDAE87648F}"/>
    <cellStyle name="표준 2 3" xfId="145" xr:uid="{FA53569A-4990-4DFF-923A-34453B7D422B}"/>
    <cellStyle name="표준 3" xfId="160" xr:uid="{01F64113-1DDA-43A8-89C0-B25BF2575C01}"/>
    <cellStyle name="표준 4" xfId="144" xr:uid="{C17E0669-AFA4-431E-B0BB-EE6E9F3EDA7C}"/>
    <cellStyle name="표준 4 3" xfId="153" xr:uid="{60F5E9DA-0944-4CE5-A934-A5998C0EF4FE}"/>
    <cellStyle name="표준_2005년 하반기 설계자료 요청내역(붙임)" xfId="154" xr:uid="{5D753150-11C4-4691-987C-8238C1BE77A3}"/>
    <cellStyle name="표준_2010하노임" xfId="136" xr:uid="{A3370754-201A-4D75-8B8F-93EDF61E8829}"/>
    <cellStyle name="표준_간이공사(태안안면)" xfId="137" xr:uid="{B693A9CD-CD56-4EE5-9232-52C236173FE8}"/>
    <cellStyle name="표준_북부산남부산설계" xfId="152" xr:uid="{7AD3714A-EBFF-4129-BA53-A08CA5F09335}"/>
    <cellStyle name="표준_설계서수정0302" xfId="148" xr:uid="{7B72BFBD-B6DC-4019-BF6D-7C970A3AE70B}"/>
    <cellStyle name="표준_설계자료요청양식" xfId="155" xr:uid="{FB53FD99-6A80-422E-9FB5-D75FDA4E1A24}"/>
    <cellStyle name="표준_신계룡설계" xfId="151" xr:uid="{BEFFBDF8-760B-4B72-BC6C-0A8AE4951206}"/>
    <cellStyle name="표준_예정공정표" xfId="156" xr:uid="{274103B5-FE6C-4A3E-90E7-E17938253CCF}"/>
    <cellStyle name="표준_휴전작업상황도(홍성)_기본설계서" xfId="141" xr:uid="{02F19F43-2EC7-4B4F-A636-A0D9CF6186F0}"/>
  </cellStyles>
  <dxfs count="1">
    <dxf>
      <font>
        <condense val="0"/>
        <extend val="0"/>
        <color indexed="9"/>
      </font>
    </dxf>
  </dxfs>
  <tableStyles count="0" defaultTableStyle="TableStyleMedium9" defaultPivotStyle="PivotStyleLight16"/>
  <colors>
    <mruColors>
      <color rgb="FFF2DCDB"/>
      <color rgb="FF0000FF"/>
      <color rgb="FFFABF8F"/>
      <color rgb="FF00FF00"/>
      <color rgb="FFFFCCCC"/>
      <color rgb="FFFFCCFF"/>
      <color rgb="FFCCFFCC"/>
      <color rgb="FFFF00FF"/>
      <color rgb="FFCC3300"/>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78.xml"/><Relationship Id="rId21" Type="http://schemas.openxmlformats.org/officeDocument/2006/relationships/worksheet" Target="worksheets/sheet21.xml"/><Relationship Id="rId42" Type="http://schemas.openxmlformats.org/officeDocument/2006/relationships/externalLink" Target="externalLinks/externalLink3.xml"/><Relationship Id="rId63" Type="http://schemas.openxmlformats.org/officeDocument/2006/relationships/externalLink" Target="externalLinks/externalLink24.xml"/><Relationship Id="rId84" Type="http://schemas.openxmlformats.org/officeDocument/2006/relationships/externalLink" Target="externalLinks/externalLink45.xml"/><Relationship Id="rId138" Type="http://schemas.openxmlformats.org/officeDocument/2006/relationships/externalLink" Target="externalLinks/externalLink99.xml"/><Relationship Id="rId159" Type="http://schemas.openxmlformats.org/officeDocument/2006/relationships/externalLink" Target="externalLinks/externalLink120.xml"/><Relationship Id="rId170" Type="http://schemas.openxmlformats.org/officeDocument/2006/relationships/externalLink" Target="externalLinks/externalLink131.xml"/><Relationship Id="rId191" Type="http://schemas.openxmlformats.org/officeDocument/2006/relationships/externalLink" Target="externalLinks/externalLink152.xml"/><Relationship Id="rId205" Type="http://schemas.openxmlformats.org/officeDocument/2006/relationships/externalLink" Target="externalLinks/externalLink166.xml"/><Relationship Id="rId226" Type="http://schemas.openxmlformats.org/officeDocument/2006/relationships/externalLink" Target="externalLinks/externalLink187.xml"/><Relationship Id="rId107" Type="http://schemas.openxmlformats.org/officeDocument/2006/relationships/externalLink" Target="externalLinks/externalLink68.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externalLink" Target="externalLinks/externalLink14.xml"/><Relationship Id="rId74" Type="http://schemas.openxmlformats.org/officeDocument/2006/relationships/externalLink" Target="externalLinks/externalLink35.xml"/><Relationship Id="rId128" Type="http://schemas.openxmlformats.org/officeDocument/2006/relationships/externalLink" Target="externalLinks/externalLink89.xml"/><Relationship Id="rId149" Type="http://schemas.openxmlformats.org/officeDocument/2006/relationships/externalLink" Target="externalLinks/externalLink110.xml"/><Relationship Id="rId5" Type="http://schemas.openxmlformats.org/officeDocument/2006/relationships/worksheet" Target="worksheets/sheet5.xml"/><Relationship Id="rId95" Type="http://schemas.openxmlformats.org/officeDocument/2006/relationships/externalLink" Target="externalLinks/externalLink56.xml"/><Relationship Id="rId160" Type="http://schemas.openxmlformats.org/officeDocument/2006/relationships/externalLink" Target="externalLinks/externalLink121.xml"/><Relationship Id="rId181" Type="http://schemas.openxmlformats.org/officeDocument/2006/relationships/externalLink" Target="externalLinks/externalLink142.xml"/><Relationship Id="rId216" Type="http://schemas.openxmlformats.org/officeDocument/2006/relationships/externalLink" Target="externalLinks/externalLink177.xml"/><Relationship Id="rId237" Type="http://schemas.openxmlformats.org/officeDocument/2006/relationships/externalLink" Target="externalLinks/externalLink198.xml"/><Relationship Id="rId22" Type="http://schemas.openxmlformats.org/officeDocument/2006/relationships/worksheet" Target="worksheets/sheet22.xml"/><Relationship Id="rId43" Type="http://schemas.openxmlformats.org/officeDocument/2006/relationships/externalLink" Target="externalLinks/externalLink4.xml"/><Relationship Id="rId64" Type="http://schemas.openxmlformats.org/officeDocument/2006/relationships/externalLink" Target="externalLinks/externalLink25.xml"/><Relationship Id="rId118" Type="http://schemas.openxmlformats.org/officeDocument/2006/relationships/externalLink" Target="externalLinks/externalLink79.xml"/><Relationship Id="rId139" Type="http://schemas.openxmlformats.org/officeDocument/2006/relationships/externalLink" Target="externalLinks/externalLink100.xml"/><Relationship Id="rId85" Type="http://schemas.openxmlformats.org/officeDocument/2006/relationships/externalLink" Target="externalLinks/externalLink46.xml"/><Relationship Id="rId150" Type="http://schemas.openxmlformats.org/officeDocument/2006/relationships/externalLink" Target="externalLinks/externalLink111.xml"/><Relationship Id="rId171" Type="http://schemas.openxmlformats.org/officeDocument/2006/relationships/externalLink" Target="externalLinks/externalLink132.xml"/><Relationship Id="rId192" Type="http://schemas.openxmlformats.org/officeDocument/2006/relationships/externalLink" Target="externalLinks/externalLink153.xml"/><Relationship Id="rId206" Type="http://schemas.openxmlformats.org/officeDocument/2006/relationships/externalLink" Target="externalLinks/externalLink167.xml"/><Relationship Id="rId227" Type="http://schemas.openxmlformats.org/officeDocument/2006/relationships/externalLink" Target="externalLinks/externalLink188.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externalLink" Target="externalLinks/externalLink69.xml"/><Relationship Id="rId129" Type="http://schemas.openxmlformats.org/officeDocument/2006/relationships/externalLink" Target="externalLinks/externalLink90.xml"/><Relationship Id="rId54" Type="http://schemas.openxmlformats.org/officeDocument/2006/relationships/externalLink" Target="externalLinks/externalLink15.xml"/><Relationship Id="rId75" Type="http://schemas.openxmlformats.org/officeDocument/2006/relationships/externalLink" Target="externalLinks/externalLink36.xml"/><Relationship Id="rId96" Type="http://schemas.openxmlformats.org/officeDocument/2006/relationships/externalLink" Target="externalLinks/externalLink57.xml"/><Relationship Id="rId140" Type="http://schemas.openxmlformats.org/officeDocument/2006/relationships/externalLink" Target="externalLinks/externalLink101.xml"/><Relationship Id="rId161" Type="http://schemas.openxmlformats.org/officeDocument/2006/relationships/externalLink" Target="externalLinks/externalLink122.xml"/><Relationship Id="rId182" Type="http://schemas.openxmlformats.org/officeDocument/2006/relationships/externalLink" Target="externalLinks/externalLink143.xml"/><Relationship Id="rId217" Type="http://schemas.openxmlformats.org/officeDocument/2006/relationships/externalLink" Target="externalLinks/externalLink178.xml"/><Relationship Id="rId6" Type="http://schemas.openxmlformats.org/officeDocument/2006/relationships/worksheet" Target="worksheets/sheet6.xml"/><Relationship Id="rId238" Type="http://schemas.openxmlformats.org/officeDocument/2006/relationships/externalLink" Target="externalLinks/externalLink199.xml"/><Relationship Id="rId23" Type="http://schemas.openxmlformats.org/officeDocument/2006/relationships/worksheet" Target="worksheets/sheet23.xml"/><Relationship Id="rId119" Type="http://schemas.openxmlformats.org/officeDocument/2006/relationships/externalLink" Target="externalLinks/externalLink80.xml"/><Relationship Id="rId44" Type="http://schemas.openxmlformats.org/officeDocument/2006/relationships/externalLink" Target="externalLinks/externalLink5.xml"/><Relationship Id="rId65" Type="http://schemas.openxmlformats.org/officeDocument/2006/relationships/externalLink" Target="externalLinks/externalLink26.xml"/><Relationship Id="rId86" Type="http://schemas.openxmlformats.org/officeDocument/2006/relationships/externalLink" Target="externalLinks/externalLink47.xml"/><Relationship Id="rId130" Type="http://schemas.openxmlformats.org/officeDocument/2006/relationships/externalLink" Target="externalLinks/externalLink91.xml"/><Relationship Id="rId151" Type="http://schemas.openxmlformats.org/officeDocument/2006/relationships/externalLink" Target="externalLinks/externalLink112.xml"/><Relationship Id="rId172" Type="http://schemas.openxmlformats.org/officeDocument/2006/relationships/externalLink" Target="externalLinks/externalLink133.xml"/><Relationship Id="rId193" Type="http://schemas.openxmlformats.org/officeDocument/2006/relationships/externalLink" Target="externalLinks/externalLink154.xml"/><Relationship Id="rId207" Type="http://schemas.openxmlformats.org/officeDocument/2006/relationships/externalLink" Target="externalLinks/externalLink168.xml"/><Relationship Id="rId228" Type="http://schemas.openxmlformats.org/officeDocument/2006/relationships/externalLink" Target="externalLinks/externalLink189.xml"/><Relationship Id="rId13" Type="http://schemas.openxmlformats.org/officeDocument/2006/relationships/worksheet" Target="worksheets/sheet13.xml"/><Relationship Id="rId109" Type="http://schemas.openxmlformats.org/officeDocument/2006/relationships/externalLink" Target="externalLinks/externalLink70.xml"/><Relationship Id="rId34" Type="http://schemas.openxmlformats.org/officeDocument/2006/relationships/worksheet" Target="worksheets/sheet34.xml"/><Relationship Id="rId55" Type="http://schemas.openxmlformats.org/officeDocument/2006/relationships/externalLink" Target="externalLinks/externalLink16.xml"/><Relationship Id="rId76" Type="http://schemas.openxmlformats.org/officeDocument/2006/relationships/externalLink" Target="externalLinks/externalLink37.xml"/><Relationship Id="rId97" Type="http://schemas.openxmlformats.org/officeDocument/2006/relationships/externalLink" Target="externalLinks/externalLink58.xml"/><Relationship Id="rId120" Type="http://schemas.openxmlformats.org/officeDocument/2006/relationships/externalLink" Target="externalLinks/externalLink81.xml"/><Relationship Id="rId141" Type="http://schemas.openxmlformats.org/officeDocument/2006/relationships/externalLink" Target="externalLinks/externalLink102.xml"/><Relationship Id="rId7" Type="http://schemas.openxmlformats.org/officeDocument/2006/relationships/worksheet" Target="worksheets/sheet7.xml"/><Relationship Id="rId162" Type="http://schemas.openxmlformats.org/officeDocument/2006/relationships/externalLink" Target="externalLinks/externalLink123.xml"/><Relationship Id="rId183" Type="http://schemas.openxmlformats.org/officeDocument/2006/relationships/externalLink" Target="externalLinks/externalLink144.xml"/><Relationship Id="rId218" Type="http://schemas.openxmlformats.org/officeDocument/2006/relationships/externalLink" Target="externalLinks/externalLink179.xml"/><Relationship Id="rId239" Type="http://schemas.openxmlformats.org/officeDocument/2006/relationships/externalLink" Target="externalLinks/externalLink200.xml"/><Relationship Id="rId24" Type="http://schemas.openxmlformats.org/officeDocument/2006/relationships/worksheet" Target="worksheets/sheet24.xml"/><Relationship Id="rId45" Type="http://schemas.openxmlformats.org/officeDocument/2006/relationships/externalLink" Target="externalLinks/externalLink6.xml"/><Relationship Id="rId66" Type="http://schemas.openxmlformats.org/officeDocument/2006/relationships/externalLink" Target="externalLinks/externalLink27.xml"/><Relationship Id="rId87" Type="http://schemas.openxmlformats.org/officeDocument/2006/relationships/externalLink" Target="externalLinks/externalLink48.xml"/><Relationship Id="rId110" Type="http://schemas.openxmlformats.org/officeDocument/2006/relationships/externalLink" Target="externalLinks/externalLink71.xml"/><Relationship Id="rId131" Type="http://schemas.openxmlformats.org/officeDocument/2006/relationships/externalLink" Target="externalLinks/externalLink92.xml"/><Relationship Id="rId152" Type="http://schemas.openxmlformats.org/officeDocument/2006/relationships/externalLink" Target="externalLinks/externalLink113.xml"/><Relationship Id="rId173" Type="http://schemas.openxmlformats.org/officeDocument/2006/relationships/externalLink" Target="externalLinks/externalLink134.xml"/><Relationship Id="rId194" Type="http://schemas.openxmlformats.org/officeDocument/2006/relationships/externalLink" Target="externalLinks/externalLink155.xml"/><Relationship Id="rId208" Type="http://schemas.openxmlformats.org/officeDocument/2006/relationships/externalLink" Target="externalLinks/externalLink169.xml"/><Relationship Id="rId229" Type="http://schemas.openxmlformats.org/officeDocument/2006/relationships/externalLink" Target="externalLinks/externalLink190.xml"/><Relationship Id="rId240" Type="http://schemas.openxmlformats.org/officeDocument/2006/relationships/theme" Target="theme/theme1.xml"/><Relationship Id="rId14" Type="http://schemas.openxmlformats.org/officeDocument/2006/relationships/worksheet" Target="worksheets/sheet14.xml"/><Relationship Id="rId35" Type="http://schemas.openxmlformats.org/officeDocument/2006/relationships/worksheet" Target="worksheets/sheet35.xml"/><Relationship Id="rId56" Type="http://schemas.openxmlformats.org/officeDocument/2006/relationships/externalLink" Target="externalLinks/externalLink17.xml"/><Relationship Id="rId77" Type="http://schemas.openxmlformats.org/officeDocument/2006/relationships/externalLink" Target="externalLinks/externalLink38.xml"/><Relationship Id="rId100" Type="http://schemas.openxmlformats.org/officeDocument/2006/relationships/externalLink" Target="externalLinks/externalLink61.xml"/><Relationship Id="rId8" Type="http://schemas.openxmlformats.org/officeDocument/2006/relationships/worksheet" Target="worksheets/sheet8.xml"/><Relationship Id="rId98" Type="http://schemas.openxmlformats.org/officeDocument/2006/relationships/externalLink" Target="externalLinks/externalLink59.xml"/><Relationship Id="rId121" Type="http://schemas.openxmlformats.org/officeDocument/2006/relationships/externalLink" Target="externalLinks/externalLink82.xml"/><Relationship Id="rId142" Type="http://schemas.openxmlformats.org/officeDocument/2006/relationships/externalLink" Target="externalLinks/externalLink103.xml"/><Relationship Id="rId163" Type="http://schemas.openxmlformats.org/officeDocument/2006/relationships/externalLink" Target="externalLinks/externalLink124.xml"/><Relationship Id="rId184" Type="http://schemas.openxmlformats.org/officeDocument/2006/relationships/externalLink" Target="externalLinks/externalLink145.xml"/><Relationship Id="rId219" Type="http://schemas.openxmlformats.org/officeDocument/2006/relationships/externalLink" Target="externalLinks/externalLink180.xml"/><Relationship Id="rId230" Type="http://schemas.openxmlformats.org/officeDocument/2006/relationships/externalLink" Target="externalLinks/externalLink191.xml"/><Relationship Id="rId25" Type="http://schemas.openxmlformats.org/officeDocument/2006/relationships/worksheet" Target="worksheets/sheet25.xml"/><Relationship Id="rId46" Type="http://schemas.openxmlformats.org/officeDocument/2006/relationships/externalLink" Target="externalLinks/externalLink7.xml"/><Relationship Id="rId67" Type="http://schemas.openxmlformats.org/officeDocument/2006/relationships/externalLink" Target="externalLinks/externalLink28.xml"/><Relationship Id="rId88" Type="http://schemas.openxmlformats.org/officeDocument/2006/relationships/externalLink" Target="externalLinks/externalLink49.xml"/><Relationship Id="rId111" Type="http://schemas.openxmlformats.org/officeDocument/2006/relationships/externalLink" Target="externalLinks/externalLink72.xml"/><Relationship Id="rId132" Type="http://schemas.openxmlformats.org/officeDocument/2006/relationships/externalLink" Target="externalLinks/externalLink93.xml"/><Relationship Id="rId153" Type="http://schemas.openxmlformats.org/officeDocument/2006/relationships/externalLink" Target="externalLinks/externalLink114.xml"/><Relationship Id="rId174" Type="http://schemas.openxmlformats.org/officeDocument/2006/relationships/externalLink" Target="externalLinks/externalLink135.xml"/><Relationship Id="rId195" Type="http://schemas.openxmlformats.org/officeDocument/2006/relationships/externalLink" Target="externalLinks/externalLink156.xml"/><Relationship Id="rId209" Type="http://schemas.openxmlformats.org/officeDocument/2006/relationships/externalLink" Target="externalLinks/externalLink170.xml"/><Relationship Id="rId220" Type="http://schemas.openxmlformats.org/officeDocument/2006/relationships/externalLink" Target="externalLinks/externalLink181.xml"/><Relationship Id="rId241" Type="http://schemas.openxmlformats.org/officeDocument/2006/relationships/styles" Target="styles.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externalLink" Target="externalLinks/externalLink18.xml"/><Relationship Id="rId106" Type="http://schemas.openxmlformats.org/officeDocument/2006/relationships/externalLink" Target="externalLinks/externalLink67.xml"/><Relationship Id="rId127" Type="http://schemas.openxmlformats.org/officeDocument/2006/relationships/externalLink" Target="externalLinks/externalLink88.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externalLink" Target="externalLinks/externalLink13.xml"/><Relationship Id="rId73" Type="http://schemas.openxmlformats.org/officeDocument/2006/relationships/externalLink" Target="externalLinks/externalLink34.xml"/><Relationship Id="rId78" Type="http://schemas.openxmlformats.org/officeDocument/2006/relationships/externalLink" Target="externalLinks/externalLink39.xml"/><Relationship Id="rId94" Type="http://schemas.openxmlformats.org/officeDocument/2006/relationships/externalLink" Target="externalLinks/externalLink55.xml"/><Relationship Id="rId99" Type="http://schemas.openxmlformats.org/officeDocument/2006/relationships/externalLink" Target="externalLinks/externalLink60.xml"/><Relationship Id="rId101" Type="http://schemas.openxmlformats.org/officeDocument/2006/relationships/externalLink" Target="externalLinks/externalLink62.xml"/><Relationship Id="rId122" Type="http://schemas.openxmlformats.org/officeDocument/2006/relationships/externalLink" Target="externalLinks/externalLink83.xml"/><Relationship Id="rId143" Type="http://schemas.openxmlformats.org/officeDocument/2006/relationships/externalLink" Target="externalLinks/externalLink104.xml"/><Relationship Id="rId148" Type="http://schemas.openxmlformats.org/officeDocument/2006/relationships/externalLink" Target="externalLinks/externalLink109.xml"/><Relationship Id="rId164" Type="http://schemas.openxmlformats.org/officeDocument/2006/relationships/externalLink" Target="externalLinks/externalLink125.xml"/><Relationship Id="rId169" Type="http://schemas.openxmlformats.org/officeDocument/2006/relationships/externalLink" Target="externalLinks/externalLink130.xml"/><Relationship Id="rId185" Type="http://schemas.openxmlformats.org/officeDocument/2006/relationships/externalLink" Target="externalLinks/externalLink146.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externalLink" Target="externalLinks/externalLink141.xml"/><Relationship Id="rId210" Type="http://schemas.openxmlformats.org/officeDocument/2006/relationships/externalLink" Target="externalLinks/externalLink171.xml"/><Relationship Id="rId215" Type="http://schemas.openxmlformats.org/officeDocument/2006/relationships/externalLink" Target="externalLinks/externalLink176.xml"/><Relationship Id="rId236" Type="http://schemas.openxmlformats.org/officeDocument/2006/relationships/externalLink" Target="externalLinks/externalLink197.xml"/><Relationship Id="rId26" Type="http://schemas.openxmlformats.org/officeDocument/2006/relationships/worksheet" Target="worksheets/sheet26.xml"/><Relationship Id="rId231" Type="http://schemas.openxmlformats.org/officeDocument/2006/relationships/externalLink" Target="externalLinks/externalLink192.xml"/><Relationship Id="rId47" Type="http://schemas.openxmlformats.org/officeDocument/2006/relationships/externalLink" Target="externalLinks/externalLink8.xml"/><Relationship Id="rId68" Type="http://schemas.openxmlformats.org/officeDocument/2006/relationships/externalLink" Target="externalLinks/externalLink29.xml"/><Relationship Id="rId89" Type="http://schemas.openxmlformats.org/officeDocument/2006/relationships/externalLink" Target="externalLinks/externalLink50.xml"/><Relationship Id="rId112" Type="http://schemas.openxmlformats.org/officeDocument/2006/relationships/externalLink" Target="externalLinks/externalLink73.xml"/><Relationship Id="rId133" Type="http://schemas.openxmlformats.org/officeDocument/2006/relationships/externalLink" Target="externalLinks/externalLink94.xml"/><Relationship Id="rId154" Type="http://schemas.openxmlformats.org/officeDocument/2006/relationships/externalLink" Target="externalLinks/externalLink115.xml"/><Relationship Id="rId175" Type="http://schemas.openxmlformats.org/officeDocument/2006/relationships/externalLink" Target="externalLinks/externalLink136.xml"/><Relationship Id="rId196" Type="http://schemas.openxmlformats.org/officeDocument/2006/relationships/externalLink" Target="externalLinks/externalLink157.xml"/><Relationship Id="rId200" Type="http://schemas.openxmlformats.org/officeDocument/2006/relationships/externalLink" Target="externalLinks/externalLink161.xml"/><Relationship Id="rId16" Type="http://schemas.openxmlformats.org/officeDocument/2006/relationships/worksheet" Target="worksheets/sheet16.xml"/><Relationship Id="rId221" Type="http://schemas.openxmlformats.org/officeDocument/2006/relationships/externalLink" Target="externalLinks/externalLink182.xml"/><Relationship Id="rId242" Type="http://schemas.openxmlformats.org/officeDocument/2006/relationships/sharedStrings" Target="sharedStrings.xml"/><Relationship Id="rId37" Type="http://schemas.openxmlformats.org/officeDocument/2006/relationships/worksheet" Target="worksheets/sheet37.xml"/><Relationship Id="rId58" Type="http://schemas.openxmlformats.org/officeDocument/2006/relationships/externalLink" Target="externalLinks/externalLink19.xml"/><Relationship Id="rId79" Type="http://schemas.openxmlformats.org/officeDocument/2006/relationships/externalLink" Target="externalLinks/externalLink40.xml"/><Relationship Id="rId102" Type="http://schemas.openxmlformats.org/officeDocument/2006/relationships/externalLink" Target="externalLinks/externalLink63.xml"/><Relationship Id="rId123" Type="http://schemas.openxmlformats.org/officeDocument/2006/relationships/externalLink" Target="externalLinks/externalLink84.xml"/><Relationship Id="rId144" Type="http://schemas.openxmlformats.org/officeDocument/2006/relationships/externalLink" Target="externalLinks/externalLink105.xml"/><Relationship Id="rId90" Type="http://schemas.openxmlformats.org/officeDocument/2006/relationships/externalLink" Target="externalLinks/externalLink51.xml"/><Relationship Id="rId165" Type="http://schemas.openxmlformats.org/officeDocument/2006/relationships/externalLink" Target="externalLinks/externalLink126.xml"/><Relationship Id="rId186" Type="http://schemas.openxmlformats.org/officeDocument/2006/relationships/externalLink" Target="externalLinks/externalLink147.xml"/><Relationship Id="rId211" Type="http://schemas.openxmlformats.org/officeDocument/2006/relationships/externalLink" Target="externalLinks/externalLink172.xml"/><Relationship Id="rId232" Type="http://schemas.openxmlformats.org/officeDocument/2006/relationships/externalLink" Target="externalLinks/externalLink193.xml"/><Relationship Id="rId27" Type="http://schemas.openxmlformats.org/officeDocument/2006/relationships/worksheet" Target="worksheets/sheet27.xml"/><Relationship Id="rId48" Type="http://schemas.openxmlformats.org/officeDocument/2006/relationships/externalLink" Target="externalLinks/externalLink9.xml"/><Relationship Id="rId69" Type="http://schemas.openxmlformats.org/officeDocument/2006/relationships/externalLink" Target="externalLinks/externalLink30.xml"/><Relationship Id="rId113" Type="http://schemas.openxmlformats.org/officeDocument/2006/relationships/externalLink" Target="externalLinks/externalLink74.xml"/><Relationship Id="rId134" Type="http://schemas.openxmlformats.org/officeDocument/2006/relationships/externalLink" Target="externalLinks/externalLink95.xml"/><Relationship Id="rId80" Type="http://schemas.openxmlformats.org/officeDocument/2006/relationships/externalLink" Target="externalLinks/externalLink41.xml"/><Relationship Id="rId155" Type="http://schemas.openxmlformats.org/officeDocument/2006/relationships/externalLink" Target="externalLinks/externalLink116.xml"/><Relationship Id="rId176" Type="http://schemas.openxmlformats.org/officeDocument/2006/relationships/externalLink" Target="externalLinks/externalLink137.xml"/><Relationship Id="rId197" Type="http://schemas.openxmlformats.org/officeDocument/2006/relationships/externalLink" Target="externalLinks/externalLink158.xml"/><Relationship Id="rId201" Type="http://schemas.openxmlformats.org/officeDocument/2006/relationships/externalLink" Target="externalLinks/externalLink162.xml"/><Relationship Id="rId222" Type="http://schemas.openxmlformats.org/officeDocument/2006/relationships/externalLink" Target="externalLinks/externalLink183.xml"/><Relationship Id="rId243" Type="http://schemas.openxmlformats.org/officeDocument/2006/relationships/calcChain" Target="calcChain.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externalLink" Target="externalLinks/externalLink20.xml"/><Relationship Id="rId103" Type="http://schemas.openxmlformats.org/officeDocument/2006/relationships/externalLink" Target="externalLinks/externalLink64.xml"/><Relationship Id="rId124" Type="http://schemas.openxmlformats.org/officeDocument/2006/relationships/externalLink" Target="externalLinks/externalLink85.xml"/><Relationship Id="rId70" Type="http://schemas.openxmlformats.org/officeDocument/2006/relationships/externalLink" Target="externalLinks/externalLink31.xml"/><Relationship Id="rId91" Type="http://schemas.openxmlformats.org/officeDocument/2006/relationships/externalLink" Target="externalLinks/externalLink52.xml"/><Relationship Id="rId145" Type="http://schemas.openxmlformats.org/officeDocument/2006/relationships/externalLink" Target="externalLinks/externalLink106.xml"/><Relationship Id="rId166" Type="http://schemas.openxmlformats.org/officeDocument/2006/relationships/externalLink" Target="externalLinks/externalLink127.xml"/><Relationship Id="rId187" Type="http://schemas.openxmlformats.org/officeDocument/2006/relationships/externalLink" Target="externalLinks/externalLink148.xml"/><Relationship Id="rId1" Type="http://schemas.openxmlformats.org/officeDocument/2006/relationships/worksheet" Target="worksheets/sheet1.xml"/><Relationship Id="rId212" Type="http://schemas.openxmlformats.org/officeDocument/2006/relationships/externalLink" Target="externalLinks/externalLink173.xml"/><Relationship Id="rId233" Type="http://schemas.openxmlformats.org/officeDocument/2006/relationships/externalLink" Target="externalLinks/externalLink194.xml"/><Relationship Id="rId28" Type="http://schemas.openxmlformats.org/officeDocument/2006/relationships/worksheet" Target="worksheets/sheet28.xml"/><Relationship Id="rId49" Type="http://schemas.openxmlformats.org/officeDocument/2006/relationships/externalLink" Target="externalLinks/externalLink10.xml"/><Relationship Id="rId114" Type="http://schemas.openxmlformats.org/officeDocument/2006/relationships/externalLink" Target="externalLinks/externalLink75.xml"/><Relationship Id="rId60" Type="http://schemas.openxmlformats.org/officeDocument/2006/relationships/externalLink" Target="externalLinks/externalLink21.xml"/><Relationship Id="rId81" Type="http://schemas.openxmlformats.org/officeDocument/2006/relationships/externalLink" Target="externalLinks/externalLink42.xml"/><Relationship Id="rId135" Type="http://schemas.openxmlformats.org/officeDocument/2006/relationships/externalLink" Target="externalLinks/externalLink96.xml"/><Relationship Id="rId156" Type="http://schemas.openxmlformats.org/officeDocument/2006/relationships/externalLink" Target="externalLinks/externalLink117.xml"/><Relationship Id="rId177" Type="http://schemas.openxmlformats.org/officeDocument/2006/relationships/externalLink" Target="externalLinks/externalLink138.xml"/><Relationship Id="rId198" Type="http://schemas.openxmlformats.org/officeDocument/2006/relationships/externalLink" Target="externalLinks/externalLink159.xml"/><Relationship Id="rId202" Type="http://schemas.openxmlformats.org/officeDocument/2006/relationships/externalLink" Target="externalLinks/externalLink163.xml"/><Relationship Id="rId223" Type="http://schemas.openxmlformats.org/officeDocument/2006/relationships/externalLink" Target="externalLinks/externalLink184.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externalLink" Target="externalLinks/externalLink11.xml"/><Relationship Id="rId104" Type="http://schemas.openxmlformats.org/officeDocument/2006/relationships/externalLink" Target="externalLinks/externalLink65.xml"/><Relationship Id="rId125" Type="http://schemas.openxmlformats.org/officeDocument/2006/relationships/externalLink" Target="externalLinks/externalLink86.xml"/><Relationship Id="rId146" Type="http://schemas.openxmlformats.org/officeDocument/2006/relationships/externalLink" Target="externalLinks/externalLink107.xml"/><Relationship Id="rId167" Type="http://schemas.openxmlformats.org/officeDocument/2006/relationships/externalLink" Target="externalLinks/externalLink128.xml"/><Relationship Id="rId188" Type="http://schemas.openxmlformats.org/officeDocument/2006/relationships/externalLink" Target="externalLinks/externalLink149.xml"/><Relationship Id="rId71" Type="http://schemas.openxmlformats.org/officeDocument/2006/relationships/externalLink" Target="externalLinks/externalLink32.xml"/><Relationship Id="rId92" Type="http://schemas.openxmlformats.org/officeDocument/2006/relationships/externalLink" Target="externalLinks/externalLink53.xml"/><Relationship Id="rId213" Type="http://schemas.openxmlformats.org/officeDocument/2006/relationships/externalLink" Target="externalLinks/externalLink174.xml"/><Relationship Id="rId234" Type="http://schemas.openxmlformats.org/officeDocument/2006/relationships/externalLink" Target="externalLinks/externalLink195.xml"/><Relationship Id="rId2" Type="http://schemas.openxmlformats.org/officeDocument/2006/relationships/worksheet" Target="worksheets/sheet2.xml"/><Relationship Id="rId29" Type="http://schemas.openxmlformats.org/officeDocument/2006/relationships/worksheet" Target="worksheets/sheet29.xml"/><Relationship Id="rId40" Type="http://schemas.openxmlformats.org/officeDocument/2006/relationships/externalLink" Target="externalLinks/externalLink1.xml"/><Relationship Id="rId115" Type="http://schemas.openxmlformats.org/officeDocument/2006/relationships/externalLink" Target="externalLinks/externalLink76.xml"/><Relationship Id="rId136" Type="http://schemas.openxmlformats.org/officeDocument/2006/relationships/externalLink" Target="externalLinks/externalLink97.xml"/><Relationship Id="rId157" Type="http://schemas.openxmlformats.org/officeDocument/2006/relationships/externalLink" Target="externalLinks/externalLink118.xml"/><Relationship Id="rId178" Type="http://schemas.openxmlformats.org/officeDocument/2006/relationships/externalLink" Target="externalLinks/externalLink139.xml"/><Relationship Id="rId61" Type="http://schemas.openxmlformats.org/officeDocument/2006/relationships/externalLink" Target="externalLinks/externalLink22.xml"/><Relationship Id="rId82" Type="http://schemas.openxmlformats.org/officeDocument/2006/relationships/externalLink" Target="externalLinks/externalLink43.xml"/><Relationship Id="rId199" Type="http://schemas.openxmlformats.org/officeDocument/2006/relationships/externalLink" Target="externalLinks/externalLink160.xml"/><Relationship Id="rId203" Type="http://schemas.openxmlformats.org/officeDocument/2006/relationships/externalLink" Target="externalLinks/externalLink164.xml"/><Relationship Id="rId19" Type="http://schemas.openxmlformats.org/officeDocument/2006/relationships/worksheet" Target="worksheets/sheet19.xml"/><Relationship Id="rId224" Type="http://schemas.openxmlformats.org/officeDocument/2006/relationships/externalLink" Target="externalLinks/externalLink185.xml"/><Relationship Id="rId30" Type="http://schemas.openxmlformats.org/officeDocument/2006/relationships/worksheet" Target="worksheets/sheet30.xml"/><Relationship Id="rId105" Type="http://schemas.openxmlformats.org/officeDocument/2006/relationships/externalLink" Target="externalLinks/externalLink66.xml"/><Relationship Id="rId126" Type="http://schemas.openxmlformats.org/officeDocument/2006/relationships/externalLink" Target="externalLinks/externalLink87.xml"/><Relationship Id="rId147" Type="http://schemas.openxmlformats.org/officeDocument/2006/relationships/externalLink" Target="externalLinks/externalLink108.xml"/><Relationship Id="rId168" Type="http://schemas.openxmlformats.org/officeDocument/2006/relationships/externalLink" Target="externalLinks/externalLink129.xml"/><Relationship Id="rId51" Type="http://schemas.openxmlformats.org/officeDocument/2006/relationships/externalLink" Target="externalLinks/externalLink12.xml"/><Relationship Id="rId72" Type="http://schemas.openxmlformats.org/officeDocument/2006/relationships/externalLink" Target="externalLinks/externalLink33.xml"/><Relationship Id="rId93" Type="http://schemas.openxmlformats.org/officeDocument/2006/relationships/externalLink" Target="externalLinks/externalLink54.xml"/><Relationship Id="rId189" Type="http://schemas.openxmlformats.org/officeDocument/2006/relationships/externalLink" Target="externalLinks/externalLink150.xml"/><Relationship Id="rId3" Type="http://schemas.openxmlformats.org/officeDocument/2006/relationships/worksheet" Target="worksheets/sheet3.xml"/><Relationship Id="rId214" Type="http://schemas.openxmlformats.org/officeDocument/2006/relationships/externalLink" Target="externalLinks/externalLink175.xml"/><Relationship Id="rId235" Type="http://schemas.openxmlformats.org/officeDocument/2006/relationships/externalLink" Target="externalLinks/externalLink196.xml"/><Relationship Id="rId116" Type="http://schemas.openxmlformats.org/officeDocument/2006/relationships/externalLink" Target="externalLinks/externalLink77.xml"/><Relationship Id="rId137" Type="http://schemas.openxmlformats.org/officeDocument/2006/relationships/externalLink" Target="externalLinks/externalLink98.xml"/><Relationship Id="rId158" Type="http://schemas.openxmlformats.org/officeDocument/2006/relationships/externalLink" Target="externalLinks/externalLink119.xml"/><Relationship Id="rId20" Type="http://schemas.openxmlformats.org/officeDocument/2006/relationships/worksheet" Target="worksheets/sheet20.xml"/><Relationship Id="rId41" Type="http://schemas.openxmlformats.org/officeDocument/2006/relationships/externalLink" Target="externalLinks/externalLink2.xml"/><Relationship Id="rId62" Type="http://schemas.openxmlformats.org/officeDocument/2006/relationships/externalLink" Target="externalLinks/externalLink23.xml"/><Relationship Id="rId83" Type="http://schemas.openxmlformats.org/officeDocument/2006/relationships/externalLink" Target="externalLinks/externalLink44.xml"/><Relationship Id="rId179" Type="http://schemas.openxmlformats.org/officeDocument/2006/relationships/externalLink" Target="externalLinks/externalLink140.xml"/><Relationship Id="rId190" Type="http://schemas.openxmlformats.org/officeDocument/2006/relationships/externalLink" Target="externalLinks/externalLink151.xml"/><Relationship Id="rId204" Type="http://schemas.openxmlformats.org/officeDocument/2006/relationships/externalLink" Target="externalLinks/externalLink165.xml"/><Relationship Id="rId225" Type="http://schemas.openxmlformats.org/officeDocument/2006/relationships/externalLink" Target="externalLinks/externalLink18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jpeg"/><Relationship Id="rId7" Type="http://schemas.openxmlformats.org/officeDocument/2006/relationships/image" Target="../media/image9.png"/><Relationship Id="rId2" Type="http://schemas.openxmlformats.org/officeDocument/2006/relationships/image" Target="../media/image4.jpeg"/><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image" Target="../media/image7.jpeg"/><Relationship Id="rId4" Type="http://schemas.openxmlformats.org/officeDocument/2006/relationships/image" Target="../media/image6.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4.png"/></Relationships>
</file>

<file path=xl/drawings/_rels/drawing8.xml.rels><?xml version="1.0" encoding="UTF-8" standalone="yes"?>
<Relationships xmlns="http://schemas.openxmlformats.org/package/2006/relationships"><Relationship Id="rId8" Type="http://schemas.openxmlformats.org/officeDocument/2006/relationships/image" Target="../media/image22.jpeg"/><Relationship Id="rId13" Type="http://schemas.openxmlformats.org/officeDocument/2006/relationships/image" Target="../media/image27.jpeg"/><Relationship Id="rId3" Type="http://schemas.openxmlformats.org/officeDocument/2006/relationships/image" Target="../media/image17.png"/><Relationship Id="rId7" Type="http://schemas.openxmlformats.org/officeDocument/2006/relationships/image" Target="../media/image21.jpeg"/><Relationship Id="rId12" Type="http://schemas.openxmlformats.org/officeDocument/2006/relationships/image" Target="../media/image26.jpeg"/><Relationship Id="rId2" Type="http://schemas.openxmlformats.org/officeDocument/2006/relationships/image" Target="../media/image16.png"/><Relationship Id="rId1" Type="http://schemas.openxmlformats.org/officeDocument/2006/relationships/image" Target="../media/image15.png"/><Relationship Id="rId6" Type="http://schemas.openxmlformats.org/officeDocument/2006/relationships/image" Target="../media/image20.jpeg"/><Relationship Id="rId11" Type="http://schemas.openxmlformats.org/officeDocument/2006/relationships/image" Target="../media/image25.jpeg"/><Relationship Id="rId5" Type="http://schemas.openxmlformats.org/officeDocument/2006/relationships/image" Target="../media/image19.jpeg"/><Relationship Id="rId15" Type="http://schemas.openxmlformats.org/officeDocument/2006/relationships/image" Target="../media/image29.JPG"/><Relationship Id="rId10" Type="http://schemas.openxmlformats.org/officeDocument/2006/relationships/image" Target="../media/image24.jpeg"/><Relationship Id="rId4" Type="http://schemas.openxmlformats.org/officeDocument/2006/relationships/image" Target="../media/image18.jpeg"/><Relationship Id="rId9" Type="http://schemas.openxmlformats.org/officeDocument/2006/relationships/image" Target="../media/image23.jpeg"/><Relationship Id="rId14" Type="http://schemas.openxmlformats.org/officeDocument/2006/relationships/image" Target="../media/image28.png"/></Relationships>
</file>

<file path=xl/drawings/_rels/drawing9.xml.rels><?xml version="1.0" encoding="UTF-8" standalone="yes"?>
<Relationships xmlns="http://schemas.openxmlformats.org/package/2006/relationships"><Relationship Id="rId2" Type="http://schemas.openxmlformats.org/officeDocument/2006/relationships/image" Target="../media/image31.JPG"/><Relationship Id="rId1" Type="http://schemas.openxmlformats.org/officeDocument/2006/relationships/image" Target="../media/image30.jpg"/></Relationships>
</file>

<file path=xl/drawings/_rels/drawing10.xml.rels><?xml version="1.0" encoding="UTF-8" standalone="yes"?>
<Relationships xmlns="http://schemas.openxmlformats.org/package/2006/relationships"><Relationship Id="rId2" Type="http://schemas.openxmlformats.org/officeDocument/2006/relationships/image" Target="../media/image33.JPG"/><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8" Type="http://schemas.openxmlformats.org/officeDocument/2006/relationships/image" Target="../media/image41.png"/><Relationship Id="rId13" Type="http://schemas.openxmlformats.org/officeDocument/2006/relationships/image" Target="../media/image44.png"/><Relationship Id="rId3" Type="http://schemas.openxmlformats.org/officeDocument/2006/relationships/image" Target="../media/image36.png"/><Relationship Id="rId7" Type="http://schemas.openxmlformats.org/officeDocument/2006/relationships/image" Target="../media/image40.png"/><Relationship Id="rId12" Type="http://schemas.microsoft.com/office/2007/relationships/hdphoto" Target="../media/hdphoto2.wdp"/><Relationship Id="rId17" Type="http://schemas.openxmlformats.org/officeDocument/2006/relationships/image" Target="../media/image48.jpeg"/><Relationship Id="rId2" Type="http://schemas.openxmlformats.org/officeDocument/2006/relationships/image" Target="../media/image35.png"/><Relationship Id="rId16" Type="http://schemas.openxmlformats.org/officeDocument/2006/relationships/image" Target="../media/image47.jpeg"/><Relationship Id="rId1" Type="http://schemas.openxmlformats.org/officeDocument/2006/relationships/image" Target="../media/image34.png"/><Relationship Id="rId6" Type="http://schemas.openxmlformats.org/officeDocument/2006/relationships/image" Target="../media/image39.png"/><Relationship Id="rId11" Type="http://schemas.openxmlformats.org/officeDocument/2006/relationships/image" Target="../media/image43.png"/><Relationship Id="rId5" Type="http://schemas.openxmlformats.org/officeDocument/2006/relationships/image" Target="../media/image38.png"/><Relationship Id="rId15" Type="http://schemas.openxmlformats.org/officeDocument/2006/relationships/image" Target="../media/image46.png"/><Relationship Id="rId10" Type="http://schemas.microsoft.com/office/2007/relationships/hdphoto" Target="../media/hdphoto1.wdp"/><Relationship Id="rId4" Type="http://schemas.openxmlformats.org/officeDocument/2006/relationships/image" Target="../media/image37.png"/><Relationship Id="rId9" Type="http://schemas.openxmlformats.org/officeDocument/2006/relationships/image" Target="../media/image42.png"/><Relationship Id="rId14" Type="http://schemas.openxmlformats.org/officeDocument/2006/relationships/image" Target="../media/image45.png"/></Relationships>
</file>

<file path=xl/drawings/_rels/drawing12.xml.rels><?xml version="1.0" encoding="UTF-8" standalone="yes"?>
<Relationships xmlns="http://schemas.openxmlformats.org/package/2006/relationships"><Relationship Id="rId8" Type="http://schemas.openxmlformats.org/officeDocument/2006/relationships/image" Target="../media/image58.png"/><Relationship Id="rId13" Type="http://schemas.openxmlformats.org/officeDocument/2006/relationships/image" Target="../media/image63.png"/><Relationship Id="rId3" Type="http://schemas.openxmlformats.org/officeDocument/2006/relationships/image" Target="../media/image53.jpeg"/><Relationship Id="rId7" Type="http://schemas.openxmlformats.org/officeDocument/2006/relationships/image" Target="../media/image57.png"/><Relationship Id="rId12" Type="http://schemas.openxmlformats.org/officeDocument/2006/relationships/image" Target="../media/image62.png"/><Relationship Id="rId2" Type="http://schemas.openxmlformats.org/officeDocument/2006/relationships/image" Target="../media/image52.jpeg"/><Relationship Id="rId1" Type="http://schemas.openxmlformats.org/officeDocument/2006/relationships/image" Target="../media/image51.png"/><Relationship Id="rId6" Type="http://schemas.openxmlformats.org/officeDocument/2006/relationships/image" Target="../media/image56.png"/><Relationship Id="rId11" Type="http://schemas.openxmlformats.org/officeDocument/2006/relationships/image" Target="../media/image61.jpeg"/><Relationship Id="rId5" Type="http://schemas.openxmlformats.org/officeDocument/2006/relationships/image" Target="../media/image55.png"/><Relationship Id="rId15" Type="http://schemas.openxmlformats.org/officeDocument/2006/relationships/image" Target="../media/image65.png"/><Relationship Id="rId10" Type="http://schemas.openxmlformats.org/officeDocument/2006/relationships/image" Target="../media/image60.jpeg"/><Relationship Id="rId4" Type="http://schemas.openxmlformats.org/officeDocument/2006/relationships/image" Target="../media/image54.png"/><Relationship Id="rId9" Type="http://schemas.openxmlformats.org/officeDocument/2006/relationships/image" Target="../media/image59.png"/><Relationship Id="rId14" Type="http://schemas.openxmlformats.org/officeDocument/2006/relationships/image" Target="../media/image64.png"/></Relationships>
</file>

<file path=xl/drawings/_rels/drawing13.xml.rels><?xml version="1.0" encoding="UTF-8" standalone="yes"?>
<Relationships xmlns="http://schemas.openxmlformats.org/package/2006/relationships"><Relationship Id="rId3" Type="http://schemas.openxmlformats.org/officeDocument/2006/relationships/image" Target="../media/image68.png"/><Relationship Id="rId2" Type="http://schemas.openxmlformats.org/officeDocument/2006/relationships/image" Target="../media/image67.png"/><Relationship Id="rId1" Type="http://schemas.openxmlformats.org/officeDocument/2006/relationships/image" Target="../media/image66.png"/><Relationship Id="rId5" Type="http://schemas.openxmlformats.org/officeDocument/2006/relationships/image" Target="../media/image69.png"/><Relationship Id="rId4" Type="http://schemas.openxmlformats.org/officeDocument/2006/relationships/image" Target="../media/image55.png"/></Relationships>
</file>

<file path=xl/drawings/_rels/drawing14.xml.rels><?xml version="1.0" encoding="UTF-8" standalone="yes"?>
<Relationships xmlns="http://schemas.openxmlformats.org/package/2006/relationships"><Relationship Id="rId3" Type="http://schemas.openxmlformats.org/officeDocument/2006/relationships/image" Target="../media/image68.png"/><Relationship Id="rId2" Type="http://schemas.openxmlformats.org/officeDocument/2006/relationships/image" Target="../media/image67.png"/><Relationship Id="rId1" Type="http://schemas.openxmlformats.org/officeDocument/2006/relationships/image" Target="../media/image66.png"/><Relationship Id="rId5" Type="http://schemas.openxmlformats.org/officeDocument/2006/relationships/image" Target="../media/image70.png"/><Relationship Id="rId4" Type="http://schemas.openxmlformats.org/officeDocument/2006/relationships/image" Target="../media/image55.png"/></Relationships>
</file>

<file path=xl/drawings/_rels/drawing15.xml.rels><?xml version="1.0" encoding="UTF-8" standalone="yes"?>
<Relationships xmlns="http://schemas.openxmlformats.org/package/2006/relationships"><Relationship Id="rId3" Type="http://schemas.openxmlformats.org/officeDocument/2006/relationships/image" Target="../media/image68.png"/><Relationship Id="rId2" Type="http://schemas.openxmlformats.org/officeDocument/2006/relationships/image" Target="../media/image67.png"/><Relationship Id="rId1" Type="http://schemas.openxmlformats.org/officeDocument/2006/relationships/image" Target="../media/image66.png"/><Relationship Id="rId6" Type="http://schemas.openxmlformats.org/officeDocument/2006/relationships/image" Target="../media/image72.png"/><Relationship Id="rId5" Type="http://schemas.openxmlformats.org/officeDocument/2006/relationships/image" Target="../media/image71.png"/><Relationship Id="rId4" Type="http://schemas.openxmlformats.org/officeDocument/2006/relationships/image" Target="../media/image55.png"/></Relationships>
</file>

<file path=xl/drawings/_rels/drawing16.xml.rels><?xml version="1.0" encoding="UTF-8" standalone="yes"?>
<Relationships xmlns="http://schemas.openxmlformats.org/package/2006/relationships"><Relationship Id="rId3" Type="http://schemas.openxmlformats.org/officeDocument/2006/relationships/image" Target="../media/image75.png"/><Relationship Id="rId2" Type="http://schemas.openxmlformats.org/officeDocument/2006/relationships/image" Target="../media/image74.png"/><Relationship Id="rId1" Type="http://schemas.openxmlformats.org/officeDocument/2006/relationships/image" Target="../media/image73.png"/></Relationships>
</file>

<file path=xl/drawings/_rels/drawing17.xml.rels><?xml version="1.0" encoding="UTF-8" standalone="yes"?>
<Relationships xmlns="http://schemas.openxmlformats.org/package/2006/relationships"><Relationship Id="rId3" Type="http://schemas.openxmlformats.org/officeDocument/2006/relationships/image" Target="../media/image75.png"/><Relationship Id="rId2" Type="http://schemas.openxmlformats.org/officeDocument/2006/relationships/image" Target="../media/image74.png"/><Relationship Id="rId1" Type="http://schemas.openxmlformats.org/officeDocument/2006/relationships/image" Target="../media/image7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76.png"/></Relationships>
</file>

<file path=xl/drawings/_rels/drawing19.xml.rels><?xml version="1.0" encoding="UTF-8" standalone="yes"?>
<Relationships xmlns="http://schemas.openxmlformats.org/package/2006/relationships"><Relationship Id="rId2" Type="http://schemas.openxmlformats.org/officeDocument/2006/relationships/image" Target="../media/image78.png"/><Relationship Id="rId1" Type="http://schemas.openxmlformats.org/officeDocument/2006/relationships/image" Target="../media/image77.png"/></Relationships>
</file>

<file path=xl/drawings/_rels/drawing20.xml.rels><?xml version="1.0" encoding="UTF-8" standalone="yes"?>
<Relationships xmlns="http://schemas.openxmlformats.org/package/2006/relationships"><Relationship Id="rId2" Type="http://schemas.openxmlformats.org/officeDocument/2006/relationships/image" Target="../media/image77.png"/><Relationship Id="rId1" Type="http://schemas.openxmlformats.org/officeDocument/2006/relationships/image" Target="../media/image79.png"/></Relationships>
</file>

<file path=xl/drawings/_rels/drawing21.xml.rels><?xml version="1.0" encoding="UTF-8" standalone="yes"?>
<Relationships xmlns="http://schemas.openxmlformats.org/package/2006/relationships"><Relationship Id="rId2" Type="http://schemas.openxmlformats.org/officeDocument/2006/relationships/image" Target="../media/image78.png"/><Relationship Id="rId1" Type="http://schemas.openxmlformats.org/officeDocument/2006/relationships/image" Target="../media/image77.png"/></Relationships>
</file>

<file path=xl/drawings/_rels/drawing22.xml.rels><?xml version="1.0" encoding="UTF-8" standalone="yes"?>
<Relationships xmlns="http://schemas.openxmlformats.org/package/2006/relationships"><Relationship Id="rId2" Type="http://schemas.openxmlformats.org/officeDocument/2006/relationships/image" Target="../media/image77.png"/><Relationship Id="rId1" Type="http://schemas.openxmlformats.org/officeDocument/2006/relationships/image" Target="../media/image79.png"/></Relationships>
</file>

<file path=xl/drawings/_rels/drawing23.xml.rels><?xml version="1.0" encoding="UTF-8" standalone="yes"?>
<Relationships xmlns="http://schemas.openxmlformats.org/package/2006/relationships"><Relationship Id="rId2" Type="http://schemas.openxmlformats.org/officeDocument/2006/relationships/image" Target="../media/image81.png"/><Relationship Id="rId1" Type="http://schemas.openxmlformats.org/officeDocument/2006/relationships/image" Target="../media/image80.png"/></Relationships>
</file>

<file path=xl/drawings/_rels/vmlDrawing4.vml.rels><?xml version="1.0" encoding="UTF-8" standalone="yes"?>
<Relationships xmlns="http://schemas.openxmlformats.org/package/2006/relationships"><Relationship Id="rId2" Type="http://schemas.openxmlformats.org/officeDocument/2006/relationships/image" Target="../media/image50.emf"/><Relationship Id="rId1" Type="http://schemas.openxmlformats.org/officeDocument/2006/relationships/image" Target="../media/image49.emf"/></Relationships>
</file>

<file path=xl/drawings/drawing1.xml><?xml version="1.0" encoding="utf-8"?>
<xdr:wsDr xmlns:xdr="http://schemas.openxmlformats.org/drawingml/2006/spreadsheetDrawing" xmlns:a="http://schemas.openxmlformats.org/drawingml/2006/main">
  <xdr:twoCellAnchor editAs="oneCell">
    <xdr:from>
      <xdr:col>2</xdr:col>
      <xdr:colOff>105895</xdr:colOff>
      <xdr:row>38</xdr:row>
      <xdr:rowOff>85725</xdr:rowOff>
    </xdr:from>
    <xdr:to>
      <xdr:col>5</xdr:col>
      <xdr:colOff>447674</xdr:colOff>
      <xdr:row>40</xdr:row>
      <xdr:rowOff>95250</xdr:rowOff>
    </xdr:to>
    <xdr:pic>
      <xdr:nvPicPr>
        <xdr:cNvPr id="2" name="그림 13" descr="SG_07_C.gif">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2068045" y="6838950"/>
          <a:ext cx="2103904" cy="523875"/>
        </a:xfrm>
        <a:prstGeom prst="rect">
          <a:avLst/>
        </a:prstGeom>
        <a:noFill/>
        <a:ln w="9525">
          <a:noFill/>
          <a:miter lim="800000"/>
          <a:headEnd/>
          <a:tailEnd/>
        </a:ln>
      </xdr:spPr>
    </xdr:pic>
    <xdr:clientData/>
  </xdr:twoCellAnchor>
  <xdr:twoCellAnchor>
    <xdr:from>
      <xdr:col>1</xdr:col>
      <xdr:colOff>112059</xdr:colOff>
      <xdr:row>3</xdr:row>
      <xdr:rowOff>11207</xdr:rowOff>
    </xdr:from>
    <xdr:to>
      <xdr:col>6</xdr:col>
      <xdr:colOff>896470</xdr:colOff>
      <xdr:row>5</xdr:row>
      <xdr:rowOff>33611</xdr:rowOff>
    </xdr:to>
    <xdr:sp macro="" textlink="">
      <xdr:nvSpPr>
        <xdr:cNvPr id="3" name="Text 39">
          <a:extLst>
            <a:ext uri="{FF2B5EF4-FFF2-40B4-BE49-F238E27FC236}">
              <a16:creationId xmlns:a16="http://schemas.microsoft.com/office/drawing/2014/main" id="{00000000-0008-0000-0000-000003000000}"/>
            </a:ext>
          </a:extLst>
        </xdr:cNvPr>
        <xdr:cNvSpPr>
          <a:spLocks noChangeArrowheads="1"/>
        </xdr:cNvSpPr>
      </xdr:nvSpPr>
      <xdr:spPr bwMode="auto">
        <a:xfrm>
          <a:off x="1030941" y="515472"/>
          <a:ext cx="4202205" cy="806815"/>
        </a:xfrm>
        <a:prstGeom prst="roundRect">
          <a:avLst>
            <a:gd name="adj" fmla="val 16667"/>
          </a:avLst>
        </a:prstGeom>
        <a:gradFill rotWithShape="0">
          <a:gsLst>
            <a:gs pos="0">
              <a:srgbClr val="FFFFFF">
                <a:gamma/>
                <a:shade val="85882"/>
                <a:invGamma/>
              </a:srgbClr>
            </a:gs>
            <a:gs pos="50000">
              <a:srgbClr val="FFFFFF"/>
            </a:gs>
            <a:gs pos="100000">
              <a:srgbClr val="FFFFFF">
                <a:gamma/>
                <a:shade val="85882"/>
                <a:invGamma/>
              </a:srgbClr>
            </a:gs>
          </a:gsLst>
          <a:lin ang="5400000" scaled="1"/>
        </a:gradFill>
        <a:ln w="9525">
          <a:round/>
          <a:headEnd/>
          <a:tailEnd/>
        </a:ln>
        <a:effectLst/>
        <a:scene3d>
          <a:camera prst="legacyPerspectiveBottom"/>
          <a:lightRig rig="legacyFlat3" dir="t"/>
        </a:scene3d>
        <a:sp3d extrusionH="887400" prstMaterial="legacyMatte">
          <a:bevelT w="13500" h="13500" prst="angle"/>
          <a:bevelB w="13500" h="13500" prst="angle"/>
          <a:extrusionClr>
            <a:srgbClr val="FFFFFF"/>
          </a:extrusionClr>
        </a:sp3d>
      </xdr:spPr>
      <xdr:txBody>
        <a:bodyPr vertOverflow="clip" wrap="square" lIns="73152" tIns="45720" rIns="73152" bIns="45720" anchor="ctr" upright="1"/>
        <a:lstStyle/>
        <a:p>
          <a:pPr algn="ctr" rtl="0">
            <a:defRPr sz="1000"/>
          </a:pPr>
          <a:r>
            <a:rPr lang="ko-KR" altLang="en-US" sz="2800" b="1" i="0" strike="noStrike">
              <a:solidFill>
                <a:srgbClr val="000000"/>
              </a:solidFill>
              <a:latin typeface="HY헤드라인M" pitchFamily="18" charset="-127"/>
              <a:ea typeface="HY헤드라인M" pitchFamily="18" charset="-127"/>
            </a:rPr>
            <a:t>공  사  설  계  서</a:t>
          </a:r>
        </a:p>
      </xdr:txBody>
    </xdr:sp>
    <xdr:clientData/>
  </xdr:twoCellAnchor>
  <xdr:twoCellAnchor editAs="oneCell">
    <xdr:from>
      <xdr:col>0</xdr:col>
      <xdr:colOff>0</xdr:colOff>
      <xdr:row>0</xdr:row>
      <xdr:rowOff>0</xdr:rowOff>
    </xdr:from>
    <xdr:to>
      <xdr:col>7</xdr:col>
      <xdr:colOff>885265</xdr:colOff>
      <xdr:row>42</xdr:row>
      <xdr:rowOff>145675</xdr:rowOff>
    </xdr:to>
    <xdr:pic>
      <xdr:nvPicPr>
        <xdr:cNvPr id="4" name="그림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6286500" cy="86509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309277</xdr:colOff>
      <xdr:row>2</xdr:row>
      <xdr:rowOff>44816</xdr:rowOff>
    </xdr:from>
    <xdr:to>
      <xdr:col>5</xdr:col>
      <xdr:colOff>275042</xdr:colOff>
      <xdr:row>3</xdr:row>
      <xdr:rowOff>309434</xdr:rowOff>
    </xdr:to>
    <xdr:sp macro="" textlink="">
      <xdr:nvSpPr>
        <xdr:cNvPr id="2" name="액자 1">
          <a:extLst>
            <a:ext uri="{FF2B5EF4-FFF2-40B4-BE49-F238E27FC236}">
              <a16:creationId xmlns:a16="http://schemas.microsoft.com/office/drawing/2014/main" id="{00000000-0008-0000-0100-000002000000}"/>
            </a:ext>
          </a:extLst>
        </xdr:cNvPr>
        <xdr:cNvSpPr/>
      </xdr:nvSpPr>
      <xdr:spPr>
        <a:xfrm>
          <a:off x="1878101" y="448228"/>
          <a:ext cx="2700000" cy="612000"/>
        </a:xfrm>
        <a:prstGeom prst="frame">
          <a:avLst/>
        </a:prstGeom>
        <a:solidFill>
          <a:schemeClr val="accent1">
            <a:lumMod val="40000"/>
            <a:lumOff val="60000"/>
          </a:schemeClr>
        </a:solidFill>
        <a:ln w="12700">
          <a:solidFill>
            <a:schemeClr val="tx1"/>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2800">
              <a:solidFill>
                <a:schemeClr val="tx1"/>
              </a:solidFill>
              <a:latin typeface="HY헤드라인M" pitchFamily="18" charset="-127"/>
              <a:ea typeface="HY헤드라인M" pitchFamily="18" charset="-127"/>
            </a:rPr>
            <a:t>목     차</a:t>
          </a:r>
          <a:endParaRPr lang="en-US" altLang="ko-KR" sz="2800">
            <a:solidFill>
              <a:schemeClr val="tx1"/>
            </a:solidFill>
            <a:latin typeface="HY헤드라인M" pitchFamily="18" charset="-127"/>
            <a:ea typeface="HY헤드라인M" pitchFamily="18" charset="-127"/>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125016</xdr:colOff>
      <xdr:row>16</xdr:row>
      <xdr:rowOff>45244</xdr:rowOff>
    </xdr:from>
    <xdr:to>
      <xdr:col>6</xdr:col>
      <xdr:colOff>196452</xdr:colOff>
      <xdr:row>17</xdr:row>
      <xdr:rowOff>307182</xdr:rowOff>
    </xdr:to>
    <xdr:sp macro="" textlink="">
      <xdr:nvSpPr>
        <xdr:cNvPr id="678" name="직사각형 677">
          <a:extLst>
            <a:ext uri="{FF2B5EF4-FFF2-40B4-BE49-F238E27FC236}">
              <a16:creationId xmlns:a16="http://schemas.microsoft.com/office/drawing/2014/main" id="{00000000-0008-0000-0400-0000A6020000}"/>
            </a:ext>
          </a:extLst>
        </xdr:cNvPr>
        <xdr:cNvSpPr/>
      </xdr:nvSpPr>
      <xdr:spPr>
        <a:xfrm>
          <a:off x="4327922" y="5599510"/>
          <a:ext cx="910827" cy="625078"/>
        </a:xfrm>
        <a:prstGeom prst="rect">
          <a:avLst/>
        </a:prstGeom>
        <a:solidFill>
          <a:schemeClr val="accent2">
            <a:lumMod val="40000"/>
            <a:lumOff val="60000"/>
            <a:alpha val="63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xdr:col>
      <xdr:colOff>720328</xdr:colOff>
      <xdr:row>17</xdr:row>
      <xdr:rowOff>141458</xdr:rowOff>
    </xdr:from>
    <xdr:to>
      <xdr:col>6</xdr:col>
      <xdr:colOff>311305</xdr:colOff>
      <xdr:row>17</xdr:row>
      <xdr:rowOff>148683</xdr:rowOff>
    </xdr:to>
    <xdr:cxnSp macro="">
      <xdr:nvCxnSpPr>
        <xdr:cNvPr id="673" name="직선 연결선 672">
          <a:extLst>
            <a:ext uri="{FF2B5EF4-FFF2-40B4-BE49-F238E27FC236}">
              <a16:creationId xmlns:a16="http://schemas.microsoft.com/office/drawing/2014/main" id="{00000000-0008-0000-0400-0000A1020000}"/>
            </a:ext>
          </a:extLst>
        </xdr:cNvPr>
        <xdr:cNvCxnSpPr/>
      </xdr:nvCxnSpPr>
      <xdr:spPr>
        <a:xfrm>
          <a:off x="4074987" y="6046958"/>
          <a:ext cx="1263659" cy="7225"/>
        </a:xfrm>
        <a:prstGeom prst="line">
          <a:avLst/>
        </a:prstGeom>
        <a:ln w="25400">
          <a:solidFill>
            <a:srgbClr val="0000FF"/>
          </a:solidFill>
          <a:prstDash val="soli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702469</xdr:colOff>
      <xdr:row>17</xdr:row>
      <xdr:rowOff>136922</xdr:rowOff>
    </xdr:from>
    <xdr:to>
      <xdr:col>4</xdr:col>
      <xdr:colOff>729820</xdr:colOff>
      <xdr:row>23</xdr:row>
      <xdr:rowOff>200875</xdr:rowOff>
    </xdr:to>
    <xdr:cxnSp macro="">
      <xdr:nvCxnSpPr>
        <xdr:cNvPr id="672" name="직선 연결선 671">
          <a:extLst>
            <a:ext uri="{FF2B5EF4-FFF2-40B4-BE49-F238E27FC236}">
              <a16:creationId xmlns:a16="http://schemas.microsoft.com/office/drawing/2014/main" id="{00000000-0008-0000-0400-0000A0020000}"/>
            </a:ext>
          </a:extLst>
        </xdr:cNvPr>
        <xdr:cNvCxnSpPr/>
      </xdr:nvCxnSpPr>
      <xdr:spPr>
        <a:xfrm flipV="1">
          <a:off x="4065985" y="6054328"/>
          <a:ext cx="27351" cy="2242797"/>
        </a:xfrm>
        <a:prstGeom prst="line">
          <a:avLst/>
        </a:prstGeom>
        <a:ln w="25400">
          <a:solidFill>
            <a:srgbClr val="0000FF"/>
          </a:solidFill>
          <a:prstDash val="soli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16466</xdr:colOff>
      <xdr:row>20</xdr:row>
      <xdr:rowOff>249115</xdr:rowOff>
    </xdr:from>
    <xdr:to>
      <xdr:col>5</xdr:col>
      <xdr:colOff>250032</xdr:colOff>
      <xdr:row>22</xdr:row>
      <xdr:rowOff>125185</xdr:rowOff>
    </xdr:to>
    <xdr:sp macro="" textlink="">
      <xdr:nvSpPr>
        <xdr:cNvPr id="619" name="직사각형 618">
          <a:extLst>
            <a:ext uri="{FF2B5EF4-FFF2-40B4-BE49-F238E27FC236}">
              <a16:creationId xmlns:a16="http://schemas.microsoft.com/office/drawing/2014/main" id="{00000000-0008-0000-0400-00006B020000}"/>
            </a:ext>
          </a:extLst>
        </xdr:cNvPr>
        <xdr:cNvSpPr/>
      </xdr:nvSpPr>
      <xdr:spPr>
        <a:xfrm>
          <a:off x="3380152" y="7281286"/>
          <a:ext cx="1071766" cy="605413"/>
        </a:xfrm>
        <a:prstGeom prst="rect">
          <a:avLst/>
        </a:prstGeom>
        <a:solidFill>
          <a:schemeClr val="accent2">
            <a:lumMod val="40000"/>
            <a:lumOff val="60000"/>
            <a:alpha val="63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102577</xdr:colOff>
      <xdr:row>22</xdr:row>
      <xdr:rowOff>345282</xdr:rowOff>
    </xdr:from>
    <xdr:to>
      <xdr:col>6</xdr:col>
      <xdr:colOff>41672</xdr:colOff>
      <xdr:row>24</xdr:row>
      <xdr:rowOff>244078</xdr:rowOff>
    </xdr:to>
    <xdr:sp macro="" textlink="">
      <xdr:nvSpPr>
        <xdr:cNvPr id="618" name="직사각형 617">
          <a:extLst>
            <a:ext uri="{FF2B5EF4-FFF2-40B4-BE49-F238E27FC236}">
              <a16:creationId xmlns:a16="http://schemas.microsoft.com/office/drawing/2014/main" id="{00000000-0008-0000-0400-00006A020000}"/>
            </a:ext>
          </a:extLst>
        </xdr:cNvPr>
        <xdr:cNvSpPr/>
      </xdr:nvSpPr>
      <xdr:spPr>
        <a:xfrm>
          <a:off x="4305483" y="8078391"/>
          <a:ext cx="778486" cy="625078"/>
        </a:xfrm>
        <a:prstGeom prst="rect">
          <a:avLst/>
        </a:prstGeom>
        <a:solidFill>
          <a:schemeClr val="accent2">
            <a:lumMod val="40000"/>
            <a:lumOff val="60000"/>
            <a:alpha val="63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523875</xdr:colOff>
      <xdr:row>18</xdr:row>
      <xdr:rowOff>215783</xdr:rowOff>
    </xdr:from>
    <xdr:to>
      <xdr:col>14</xdr:col>
      <xdr:colOff>297656</xdr:colOff>
      <xdr:row>18</xdr:row>
      <xdr:rowOff>238125</xdr:rowOff>
    </xdr:to>
    <xdr:cxnSp macro="">
      <xdr:nvCxnSpPr>
        <xdr:cNvPr id="2" name="직선 연결선 1">
          <a:extLst>
            <a:ext uri="{FF2B5EF4-FFF2-40B4-BE49-F238E27FC236}">
              <a16:creationId xmlns:a16="http://schemas.microsoft.com/office/drawing/2014/main" id="{00000000-0008-0000-0400-000002000000}"/>
            </a:ext>
          </a:extLst>
        </xdr:cNvPr>
        <xdr:cNvCxnSpPr/>
      </xdr:nvCxnSpPr>
      <xdr:spPr>
        <a:xfrm flipV="1">
          <a:off x="16497300" y="6111758"/>
          <a:ext cx="3126581" cy="2234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600075</xdr:colOff>
      <xdr:row>20</xdr:row>
      <xdr:rowOff>91958</xdr:rowOff>
    </xdr:from>
    <xdr:to>
      <xdr:col>14</xdr:col>
      <xdr:colOff>373856</xdr:colOff>
      <xdr:row>20</xdr:row>
      <xdr:rowOff>114300</xdr:rowOff>
    </xdr:to>
    <xdr:cxnSp macro="">
      <xdr:nvCxnSpPr>
        <xdr:cNvPr id="3" name="직선 연결선 2">
          <a:extLst>
            <a:ext uri="{FF2B5EF4-FFF2-40B4-BE49-F238E27FC236}">
              <a16:creationId xmlns:a16="http://schemas.microsoft.com/office/drawing/2014/main" id="{00000000-0008-0000-0400-000003000000}"/>
            </a:ext>
          </a:extLst>
        </xdr:cNvPr>
        <xdr:cNvCxnSpPr/>
      </xdr:nvCxnSpPr>
      <xdr:spPr>
        <a:xfrm flipV="1">
          <a:off x="16573500" y="6711833"/>
          <a:ext cx="3126581" cy="2234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764877</xdr:colOff>
      <xdr:row>0</xdr:row>
      <xdr:rowOff>81643</xdr:rowOff>
    </xdr:from>
    <xdr:to>
      <xdr:col>15</xdr:col>
      <xdr:colOff>586703</xdr:colOff>
      <xdr:row>2</xdr:row>
      <xdr:rowOff>185699</xdr:rowOff>
    </xdr:to>
    <xdr:sp macro="" textlink="">
      <xdr:nvSpPr>
        <xdr:cNvPr id="4" name="Text 2">
          <a:extLst>
            <a:ext uri="{FF2B5EF4-FFF2-40B4-BE49-F238E27FC236}">
              <a16:creationId xmlns:a16="http://schemas.microsoft.com/office/drawing/2014/main" id="{00000000-0008-0000-0400-000004000000}"/>
            </a:ext>
          </a:extLst>
        </xdr:cNvPr>
        <xdr:cNvSpPr>
          <a:spLocks noChangeArrowheads="1"/>
        </xdr:cNvSpPr>
      </xdr:nvSpPr>
      <xdr:spPr bwMode="auto">
        <a:xfrm>
          <a:off x="16738302" y="81643"/>
          <a:ext cx="4012826" cy="542206"/>
        </a:xfrm>
        <a:prstGeom prst="roundRect">
          <a:avLst>
            <a:gd name="adj" fmla="val 16667"/>
          </a:avLst>
        </a:prstGeom>
        <a:solidFill>
          <a:srgbClr val="FFFFFF"/>
        </a:solidFill>
        <a:ln w="0">
          <a:solidFill>
            <a:srgbClr val="000000"/>
          </a:solidFill>
          <a:round/>
          <a:headEnd/>
          <a:tailEnd/>
        </a:ln>
        <a:effectLst>
          <a:outerShdw dist="35921" dir="2700000" algn="ctr" rotWithShape="0">
            <a:srgbClr val="000000"/>
          </a:outerShdw>
        </a:effectLst>
      </xdr:spPr>
      <xdr:txBody>
        <a:bodyPr vertOverflow="clip" wrap="square" lIns="36576" tIns="27432" rIns="36576" bIns="27432" anchor="ctr" upright="1"/>
        <a:lstStyle/>
        <a:p>
          <a:pPr algn="ctr" rtl="0">
            <a:defRPr sz="1000"/>
          </a:pPr>
          <a:r>
            <a:rPr lang="ko-KR" altLang="en-US" sz="2000" b="1" i="0" strike="noStrike">
              <a:solidFill>
                <a:srgbClr val="000000"/>
              </a:solidFill>
              <a:latin typeface="HY견고딕" pitchFamily="18" charset="-127"/>
              <a:ea typeface="HY견고딕" pitchFamily="18" charset="-127"/>
            </a:rPr>
            <a:t>시 설  계 통 도</a:t>
          </a:r>
        </a:p>
      </xdr:txBody>
    </xdr:sp>
    <xdr:clientData/>
  </xdr:twoCellAnchor>
  <xdr:twoCellAnchor>
    <xdr:from>
      <xdr:col>9</xdr:col>
      <xdr:colOff>168403</xdr:colOff>
      <xdr:row>31</xdr:row>
      <xdr:rowOff>305699</xdr:rowOff>
    </xdr:from>
    <xdr:to>
      <xdr:col>17</xdr:col>
      <xdr:colOff>544863</xdr:colOff>
      <xdr:row>34</xdr:row>
      <xdr:rowOff>132867</xdr:rowOff>
    </xdr:to>
    <xdr:grpSp>
      <xdr:nvGrpSpPr>
        <xdr:cNvPr id="5" name="그룹 4">
          <a:extLst>
            <a:ext uri="{FF2B5EF4-FFF2-40B4-BE49-F238E27FC236}">
              <a16:creationId xmlns:a16="http://schemas.microsoft.com/office/drawing/2014/main" id="{00000000-0008-0000-0400-000005000000}"/>
            </a:ext>
          </a:extLst>
        </xdr:cNvPr>
        <xdr:cNvGrpSpPr/>
      </xdr:nvGrpSpPr>
      <xdr:grpSpPr>
        <a:xfrm>
          <a:off x="6925235" y="11164199"/>
          <a:ext cx="0" cy="589168"/>
          <a:chOff x="1173996" y="2108128"/>
          <a:chExt cx="7132670" cy="4005409"/>
        </a:xfrm>
      </xdr:grpSpPr>
      <xdr:sp macro="" textlink="">
        <xdr:nvSpPr>
          <xdr:cNvPr id="6" name="직사각형 5">
            <a:extLst>
              <a:ext uri="{FF2B5EF4-FFF2-40B4-BE49-F238E27FC236}">
                <a16:creationId xmlns:a16="http://schemas.microsoft.com/office/drawing/2014/main" id="{00000000-0008-0000-0400-000006000000}"/>
              </a:ext>
            </a:extLst>
          </xdr:cNvPr>
          <xdr:cNvSpPr/>
        </xdr:nvSpPr>
        <xdr:spPr>
          <a:xfrm>
            <a:off x="1173997" y="3209909"/>
            <a:ext cx="1392810" cy="359997"/>
          </a:xfrm>
          <a:prstGeom prst="rect">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1100">
                <a:solidFill>
                  <a:sysClr val="windowText" lastClr="000000"/>
                </a:solidFill>
                <a:latin typeface="맑은 고딕" panose="020B0503020000020004" pitchFamily="50" charset="-127"/>
              </a:rPr>
              <a:t>ECU </a:t>
            </a:r>
            <a:r>
              <a:rPr lang="ko-KR" altLang="en-US" sz="1100">
                <a:solidFill>
                  <a:sysClr val="windowText" lastClr="000000"/>
                </a:solidFill>
                <a:latin typeface="맑은 고딕" panose="020B0503020000020004" pitchFamily="50" charset="-127"/>
              </a:rPr>
              <a:t>이중화</a:t>
            </a:r>
            <a:endParaRPr lang="en-US" altLang="ko-KR" sz="1100">
              <a:solidFill>
                <a:sysClr val="windowText" lastClr="000000"/>
              </a:solidFill>
              <a:latin typeface="맑은 고딕" panose="020B0503020000020004" pitchFamily="50" charset="-127"/>
            </a:endParaRPr>
          </a:p>
        </xdr:txBody>
      </xdr:sp>
      <xdr:grpSp>
        <xdr:nvGrpSpPr>
          <xdr:cNvPr id="7" name="그룹 6">
            <a:extLst>
              <a:ext uri="{FF2B5EF4-FFF2-40B4-BE49-F238E27FC236}">
                <a16:creationId xmlns:a16="http://schemas.microsoft.com/office/drawing/2014/main" id="{00000000-0008-0000-0400-000007000000}"/>
              </a:ext>
            </a:extLst>
          </xdr:cNvPr>
          <xdr:cNvGrpSpPr/>
        </xdr:nvGrpSpPr>
        <xdr:grpSpPr>
          <a:xfrm>
            <a:off x="1181100" y="2108128"/>
            <a:ext cx="5263160" cy="4005409"/>
            <a:chOff x="924018" y="1714444"/>
            <a:chExt cx="6638832" cy="5052378"/>
          </a:xfrm>
        </xdr:grpSpPr>
        <xdr:grpSp>
          <xdr:nvGrpSpPr>
            <xdr:cNvPr id="15" name="그룹 14">
              <a:extLst>
                <a:ext uri="{FF2B5EF4-FFF2-40B4-BE49-F238E27FC236}">
                  <a16:creationId xmlns:a16="http://schemas.microsoft.com/office/drawing/2014/main" id="{00000000-0008-0000-0400-00000F000000}"/>
                </a:ext>
              </a:extLst>
            </xdr:cNvPr>
            <xdr:cNvGrpSpPr/>
          </xdr:nvGrpSpPr>
          <xdr:grpSpPr>
            <a:xfrm>
              <a:off x="2752726" y="1714501"/>
              <a:ext cx="4810124" cy="5052321"/>
              <a:chOff x="1939863" y="2566652"/>
              <a:chExt cx="4225848" cy="4662619"/>
            </a:xfrm>
          </xdr:grpSpPr>
          <xdr:pic>
            <xdr:nvPicPr>
              <xdr:cNvPr id="24" name="그림 23">
                <a:extLst>
                  <a:ext uri="{FF2B5EF4-FFF2-40B4-BE49-F238E27FC236}">
                    <a16:creationId xmlns:a16="http://schemas.microsoft.com/office/drawing/2014/main" id="{00000000-0008-0000-0400-00001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39863" y="2567559"/>
                <a:ext cx="4213288" cy="4657217"/>
              </a:xfrm>
              <a:prstGeom prst="rect">
                <a:avLst/>
              </a:prstGeom>
              <a:ln w="12700">
                <a:solidFill>
                  <a:schemeClr val="tx1"/>
                </a:solidFill>
              </a:ln>
            </xdr:spPr>
          </xdr:pic>
          <xdr:grpSp>
            <xdr:nvGrpSpPr>
              <xdr:cNvPr id="25" name="그룹 24">
                <a:extLst>
                  <a:ext uri="{FF2B5EF4-FFF2-40B4-BE49-F238E27FC236}">
                    <a16:creationId xmlns:a16="http://schemas.microsoft.com/office/drawing/2014/main" id="{00000000-0008-0000-0400-000019000000}"/>
                  </a:ext>
                </a:extLst>
              </xdr:cNvPr>
              <xdr:cNvGrpSpPr/>
            </xdr:nvGrpSpPr>
            <xdr:grpSpPr>
              <a:xfrm>
                <a:off x="2578101" y="3037757"/>
                <a:ext cx="224786" cy="1781893"/>
                <a:chOff x="3200400" y="2705100"/>
                <a:chExt cx="677689" cy="5372100"/>
              </a:xfrm>
            </xdr:grpSpPr>
            <xdr:grpSp>
              <xdr:nvGrpSpPr>
                <xdr:cNvPr id="352" name="그룹 351">
                  <a:extLst>
                    <a:ext uri="{FF2B5EF4-FFF2-40B4-BE49-F238E27FC236}">
                      <a16:creationId xmlns:a16="http://schemas.microsoft.com/office/drawing/2014/main" id="{00000000-0008-0000-0400-000060010000}"/>
                    </a:ext>
                  </a:extLst>
                </xdr:cNvPr>
                <xdr:cNvGrpSpPr/>
              </xdr:nvGrpSpPr>
              <xdr:grpSpPr>
                <a:xfrm>
                  <a:off x="3200400" y="2705100"/>
                  <a:ext cx="677689" cy="5372100"/>
                  <a:chOff x="1524000" y="-4029877"/>
                  <a:chExt cx="3454400" cy="27383317"/>
                </a:xfrm>
              </xdr:grpSpPr>
              <xdr:pic>
                <xdr:nvPicPr>
                  <xdr:cNvPr id="357" name="그림 356">
                    <a:extLst>
                      <a:ext uri="{FF2B5EF4-FFF2-40B4-BE49-F238E27FC236}">
                        <a16:creationId xmlns:a16="http://schemas.microsoft.com/office/drawing/2014/main" id="{00000000-0008-0000-0400-00006501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589" t="770" r="3589" b="1667"/>
                  <a:stretch/>
                </xdr:blipFill>
                <xdr:spPr>
                  <a:xfrm>
                    <a:off x="1524000" y="-4029877"/>
                    <a:ext cx="3454400" cy="27383317"/>
                  </a:xfrm>
                  <a:prstGeom prst="rect">
                    <a:avLst/>
                  </a:prstGeom>
                </xdr:spPr>
              </xdr:pic>
              <xdr:sp macro="" textlink="">
                <xdr:nvSpPr>
                  <xdr:cNvPr id="358" name="타원 357">
                    <a:extLst>
                      <a:ext uri="{FF2B5EF4-FFF2-40B4-BE49-F238E27FC236}">
                        <a16:creationId xmlns:a16="http://schemas.microsoft.com/office/drawing/2014/main" id="{00000000-0008-0000-0400-000066010000}"/>
                      </a:ext>
                    </a:extLst>
                  </xdr:cNvPr>
                  <xdr:cNvSpPr/>
                </xdr:nvSpPr>
                <xdr:spPr>
                  <a:xfrm>
                    <a:off x="2260600" y="2197097"/>
                    <a:ext cx="381005" cy="381005"/>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59" name="타원 358">
                    <a:extLst>
                      <a:ext uri="{FF2B5EF4-FFF2-40B4-BE49-F238E27FC236}">
                        <a16:creationId xmlns:a16="http://schemas.microsoft.com/office/drawing/2014/main" id="{00000000-0008-0000-0400-000067010000}"/>
                      </a:ext>
                    </a:extLst>
                  </xdr:cNvPr>
                  <xdr:cNvSpPr/>
                </xdr:nvSpPr>
                <xdr:spPr>
                  <a:xfrm>
                    <a:off x="2260600" y="2882904"/>
                    <a:ext cx="381005" cy="381005"/>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60" name="타원 359">
                    <a:extLst>
                      <a:ext uri="{FF2B5EF4-FFF2-40B4-BE49-F238E27FC236}">
                        <a16:creationId xmlns:a16="http://schemas.microsoft.com/office/drawing/2014/main" id="{00000000-0008-0000-0400-000068010000}"/>
                      </a:ext>
                    </a:extLst>
                  </xdr:cNvPr>
                  <xdr:cNvSpPr/>
                </xdr:nvSpPr>
                <xdr:spPr>
                  <a:xfrm>
                    <a:off x="2260600" y="3543302"/>
                    <a:ext cx="381005" cy="381005"/>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61" name="타원 360">
                    <a:extLst>
                      <a:ext uri="{FF2B5EF4-FFF2-40B4-BE49-F238E27FC236}">
                        <a16:creationId xmlns:a16="http://schemas.microsoft.com/office/drawing/2014/main" id="{00000000-0008-0000-0400-000069010000}"/>
                      </a:ext>
                    </a:extLst>
                  </xdr:cNvPr>
                  <xdr:cNvSpPr/>
                </xdr:nvSpPr>
                <xdr:spPr>
                  <a:xfrm>
                    <a:off x="2260600" y="4203699"/>
                    <a:ext cx="381005" cy="381005"/>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62" name="타원 361">
                    <a:extLst>
                      <a:ext uri="{FF2B5EF4-FFF2-40B4-BE49-F238E27FC236}">
                        <a16:creationId xmlns:a16="http://schemas.microsoft.com/office/drawing/2014/main" id="{00000000-0008-0000-0400-00006A010000}"/>
                      </a:ext>
                    </a:extLst>
                  </xdr:cNvPr>
                  <xdr:cNvSpPr/>
                </xdr:nvSpPr>
                <xdr:spPr>
                  <a:xfrm>
                    <a:off x="2247901" y="5549904"/>
                    <a:ext cx="381005" cy="381005"/>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63" name="타원 362">
                    <a:extLst>
                      <a:ext uri="{FF2B5EF4-FFF2-40B4-BE49-F238E27FC236}">
                        <a16:creationId xmlns:a16="http://schemas.microsoft.com/office/drawing/2014/main" id="{00000000-0008-0000-0400-00006B010000}"/>
                      </a:ext>
                    </a:extLst>
                  </xdr:cNvPr>
                  <xdr:cNvSpPr/>
                </xdr:nvSpPr>
                <xdr:spPr>
                  <a:xfrm>
                    <a:off x="2260600" y="6223000"/>
                    <a:ext cx="381005" cy="381005"/>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64" name="타원 363">
                    <a:extLst>
                      <a:ext uri="{FF2B5EF4-FFF2-40B4-BE49-F238E27FC236}">
                        <a16:creationId xmlns:a16="http://schemas.microsoft.com/office/drawing/2014/main" id="{00000000-0008-0000-0400-00006C010000}"/>
                      </a:ext>
                    </a:extLst>
                  </xdr:cNvPr>
                  <xdr:cNvSpPr/>
                </xdr:nvSpPr>
                <xdr:spPr>
                  <a:xfrm>
                    <a:off x="2260600" y="6896096"/>
                    <a:ext cx="381005" cy="381005"/>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65" name="타원 364">
                    <a:extLst>
                      <a:ext uri="{FF2B5EF4-FFF2-40B4-BE49-F238E27FC236}">
                        <a16:creationId xmlns:a16="http://schemas.microsoft.com/office/drawing/2014/main" id="{00000000-0008-0000-0400-00006D010000}"/>
                      </a:ext>
                    </a:extLst>
                  </xdr:cNvPr>
                  <xdr:cNvSpPr/>
                </xdr:nvSpPr>
                <xdr:spPr>
                  <a:xfrm>
                    <a:off x="2260600" y="7569205"/>
                    <a:ext cx="381005" cy="381005"/>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353" name="그룹 352">
                  <a:extLst>
                    <a:ext uri="{FF2B5EF4-FFF2-40B4-BE49-F238E27FC236}">
                      <a16:creationId xmlns:a16="http://schemas.microsoft.com/office/drawing/2014/main" id="{00000000-0008-0000-0400-000061010000}"/>
                    </a:ext>
                  </a:extLst>
                </xdr:cNvPr>
                <xdr:cNvGrpSpPr/>
              </xdr:nvGrpSpPr>
              <xdr:grpSpPr>
                <a:xfrm>
                  <a:off x="3201178" y="6964179"/>
                  <a:ext cx="541029" cy="1112421"/>
                  <a:chOff x="3935130" y="5943813"/>
                  <a:chExt cx="357219" cy="734485"/>
                </a:xfrm>
              </xdr:grpSpPr>
              <xdr:sp macro="" textlink="">
                <xdr:nvSpPr>
                  <xdr:cNvPr id="354" name="직사각형 353">
                    <a:extLst>
                      <a:ext uri="{FF2B5EF4-FFF2-40B4-BE49-F238E27FC236}">
                        <a16:creationId xmlns:a16="http://schemas.microsoft.com/office/drawing/2014/main" id="{00000000-0008-0000-0400-000062010000}"/>
                      </a:ext>
                    </a:extLst>
                  </xdr:cNvPr>
                  <xdr:cNvSpPr/>
                </xdr:nvSpPr>
                <xdr:spPr>
                  <a:xfrm>
                    <a:off x="3935130" y="5943813"/>
                    <a:ext cx="357219" cy="734485"/>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55" name="직사각형 354">
                    <a:extLst>
                      <a:ext uri="{FF2B5EF4-FFF2-40B4-BE49-F238E27FC236}">
                        <a16:creationId xmlns:a16="http://schemas.microsoft.com/office/drawing/2014/main" id="{00000000-0008-0000-0400-000063010000}"/>
                      </a:ext>
                    </a:extLst>
                  </xdr:cNvPr>
                  <xdr:cNvSpPr/>
                </xdr:nvSpPr>
                <xdr:spPr>
                  <a:xfrm>
                    <a:off x="4000695" y="6311453"/>
                    <a:ext cx="226089" cy="288035"/>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56" name="직사각형 355">
                    <a:extLst>
                      <a:ext uri="{FF2B5EF4-FFF2-40B4-BE49-F238E27FC236}">
                        <a16:creationId xmlns:a16="http://schemas.microsoft.com/office/drawing/2014/main" id="{00000000-0008-0000-0400-000064010000}"/>
                      </a:ext>
                    </a:extLst>
                  </xdr:cNvPr>
                  <xdr:cNvSpPr/>
                </xdr:nvSpPr>
                <xdr:spPr>
                  <a:xfrm>
                    <a:off x="4011555" y="6311453"/>
                    <a:ext cx="204364" cy="100812"/>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grpSp>
            <xdr:nvGrpSpPr>
              <xdr:cNvPr id="26" name="그룹 25">
                <a:extLst>
                  <a:ext uri="{FF2B5EF4-FFF2-40B4-BE49-F238E27FC236}">
                    <a16:creationId xmlns:a16="http://schemas.microsoft.com/office/drawing/2014/main" id="{00000000-0008-0000-0400-00001A000000}"/>
                  </a:ext>
                </a:extLst>
              </xdr:cNvPr>
              <xdr:cNvGrpSpPr/>
            </xdr:nvGrpSpPr>
            <xdr:grpSpPr>
              <a:xfrm>
                <a:off x="2799062" y="3037756"/>
                <a:ext cx="223538" cy="1782340"/>
                <a:chOff x="3765549" y="2260600"/>
                <a:chExt cx="661016" cy="5270500"/>
              </a:xfrm>
            </xdr:grpSpPr>
            <xdr:pic>
              <xdr:nvPicPr>
                <xdr:cNvPr id="340" name="그림 339">
                  <a:extLst>
                    <a:ext uri="{FF2B5EF4-FFF2-40B4-BE49-F238E27FC236}">
                      <a16:creationId xmlns:a16="http://schemas.microsoft.com/office/drawing/2014/main" id="{00000000-0008-0000-0400-00005401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2144" t="705" r="3621" b="1647"/>
                <a:stretch/>
              </xdr:blipFill>
              <xdr:spPr>
                <a:xfrm>
                  <a:off x="3765549" y="2260600"/>
                  <a:ext cx="661016" cy="5270500"/>
                </a:xfrm>
                <a:prstGeom prst="rect">
                  <a:avLst/>
                </a:prstGeom>
              </xdr:spPr>
            </xdr:pic>
            <xdr:sp macro="" textlink="">
              <xdr:nvSpPr>
                <xdr:cNvPr id="341" name="타원 340">
                  <a:extLst>
                    <a:ext uri="{FF2B5EF4-FFF2-40B4-BE49-F238E27FC236}">
                      <a16:creationId xmlns:a16="http://schemas.microsoft.com/office/drawing/2014/main" id="{00000000-0008-0000-0400-000055010000}"/>
                    </a:ext>
                  </a:extLst>
                </xdr:cNvPr>
                <xdr:cNvSpPr/>
              </xdr:nvSpPr>
              <xdr:spPr>
                <a:xfrm>
                  <a:off x="3910251" y="3455621"/>
                  <a:ext cx="70583" cy="70583"/>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42" name="타원 341">
                  <a:extLst>
                    <a:ext uri="{FF2B5EF4-FFF2-40B4-BE49-F238E27FC236}">
                      <a16:creationId xmlns:a16="http://schemas.microsoft.com/office/drawing/2014/main" id="{00000000-0008-0000-0400-000056010000}"/>
                    </a:ext>
                  </a:extLst>
                </xdr:cNvPr>
                <xdr:cNvSpPr/>
              </xdr:nvSpPr>
              <xdr:spPr>
                <a:xfrm>
                  <a:off x="3910251" y="3584331"/>
                  <a:ext cx="70583" cy="70583"/>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43" name="타원 342">
                  <a:extLst>
                    <a:ext uri="{FF2B5EF4-FFF2-40B4-BE49-F238E27FC236}">
                      <a16:creationId xmlns:a16="http://schemas.microsoft.com/office/drawing/2014/main" id="{00000000-0008-0000-0400-000057010000}"/>
                    </a:ext>
                  </a:extLst>
                </xdr:cNvPr>
                <xdr:cNvSpPr/>
              </xdr:nvSpPr>
              <xdr:spPr>
                <a:xfrm>
                  <a:off x="3910251" y="3717192"/>
                  <a:ext cx="70583" cy="70583"/>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44" name="타원 343">
                  <a:extLst>
                    <a:ext uri="{FF2B5EF4-FFF2-40B4-BE49-F238E27FC236}">
                      <a16:creationId xmlns:a16="http://schemas.microsoft.com/office/drawing/2014/main" id="{00000000-0008-0000-0400-000058010000}"/>
                    </a:ext>
                  </a:extLst>
                </xdr:cNvPr>
                <xdr:cNvSpPr/>
              </xdr:nvSpPr>
              <xdr:spPr>
                <a:xfrm>
                  <a:off x="3910251" y="3841750"/>
                  <a:ext cx="70583" cy="70583"/>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45" name="타원 344">
                  <a:extLst>
                    <a:ext uri="{FF2B5EF4-FFF2-40B4-BE49-F238E27FC236}">
                      <a16:creationId xmlns:a16="http://schemas.microsoft.com/office/drawing/2014/main" id="{00000000-0008-0000-0400-000059010000}"/>
                    </a:ext>
                  </a:extLst>
                </xdr:cNvPr>
                <xdr:cNvSpPr/>
              </xdr:nvSpPr>
              <xdr:spPr>
                <a:xfrm>
                  <a:off x="3908175" y="4232031"/>
                  <a:ext cx="70583" cy="70583"/>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46" name="타원 345">
                  <a:extLst>
                    <a:ext uri="{FF2B5EF4-FFF2-40B4-BE49-F238E27FC236}">
                      <a16:creationId xmlns:a16="http://schemas.microsoft.com/office/drawing/2014/main" id="{00000000-0008-0000-0400-00005A010000}"/>
                    </a:ext>
                  </a:extLst>
                </xdr:cNvPr>
                <xdr:cNvSpPr/>
              </xdr:nvSpPr>
              <xdr:spPr>
                <a:xfrm>
                  <a:off x="3910251" y="4099169"/>
                  <a:ext cx="70583" cy="70583"/>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47" name="타원 346">
                  <a:extLst>
                    <a:ext uri="{FF2B5EF4-FFF2-40B4-BE49-F238E27FC236}">
                      <a16:creationId xmlns:a16="http://schemas.microsoft.com/office/drawing/2014/main" id="{00000000-0008-0000-0400-00005B010000}"/>
                    </a:ext>
                  </a:extLst>
                </xdr:cNvPr>
                <xdr:cNvSpPr/>
              </xdr:nvSpPr>
              <xdr:spPr>
                <a:xfrm>
                  <a:off x="3910251" y="4356588"/>
                  <a:ext cx="70583" cy="70583"/>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nvGrpSpPr>
                <xdr:cNvPr id="348" name="그룹 347">
                  <a:extLst>
                    <a:ext uri="{FF2B5EF4-FFF2-40B4-BE49-F238E27FC236}">
                      <a16:creationId xmlns:a16="http://schemas.microsoft.com/office/drawing/2014/main" id="{00000000-0008-0000-0400-00005C010000}"/>
                    </a:ext>
                  </a:extLst>
                </xdr:cNvPr>
                <xdr:cNvGrpSpPr/>
              </xdr:nvGrpSpPr>
              <xdr:grpSpPr>
                <a:xfrm>
                  <a:off x="3774106" y="6438084"/>
                  <a:ext cx="522274" cy="1091107"/>
                  <a:chOff x="3675525" y="2895600"/>
                  <a:chExt cx="246057" cy="514049"/>
                </a:xfrm>
              </xdr:grpSpPr>
              <xdr:sp macro="" textlink="">
                <xdr:nvSpPr>
                  <xdr:cNvPr id="349" name="직사각형 348">
                    <a:extLst>
                      <a:ext uri="{FF2B5EF4-FFF2-40B4-BE49-F238E27FC236}">
                        <a16:creationId xmlns:a16="http://schemas.microsoft.com/office/drawing/2014/main" id="{00000000-0008-0000-0400-00005D010000}"/>
                      </a:ext>
                    </a:extLst>
                  </xdr:cNvPr>
                  <xdr:cNvSpPr/>
                </xdr:nvSpPr>
                <xdr:spPr>
                  <a:xfrm>
                    <a:off x="3675525" y="2895600"/>
                    <a:ext cx="246057" cy="514049"/>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50" name="직사각형 349">
                    <a:extLst>
                      <a:ext uri="{FF2B5EF4-FFF2-40B4-BE49-F238E27FC236}">
                        <a16:creationId xmlns:a16="http://schemas.microsoft.com/office/drawing/2014/main" id="{00000000-0008-0000-0400-00005E010000}"/>
                      </a:ext>
                    </a:extLst>
                  </xdr:cNvPr>
                  <xdr:cNvSpPr/>
                </xdr:nvSpPr>
                <xdr:spPr>
                  <a:xfrm>
                    <a:off x="3720687" y="3152902"/>
                    <a:ext cx="155733" cy="212570"/>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51" name="직사각형 350">
                    <a:extLst>
                      <a:ext uri="{FF2B5EF4-FFF2-40B4-BE49-F238E27FC236}">
                        <a16:creationId xmlns:a16="http://schemas.microsoft.com/office/drawing/2014/main" id="{00000000-0008-0000-0400-00005F010000}"/>
                      </a:ext>
                    </a:extLst>
                  </xdr:cNvPr>
                  <xdr:cNvSpPr/>
                </xdr:nvSpPr>
                <xdr:spPr>
                  <a:xfrm>
                    <a:off x="3728168" y="3152902"/>
                    <a:ext cx="140770" cy="74400"/>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grpSp>
            <xdr:nvGrpSpPr>
              <xdr:cNvPr id="27" name="그룹 26">
                <a:extLst>
                  <a:ext uri="{FF2B5EF4-FFF2-40B4-BE49-F238E27FC236}">
                    <a16:creationId xmlns:a16="http://schemas.microsoft.com/office/drawing/2014/main" id="{00000000-0008-0000-0400-00001B000000}"/>
                  </a:ext>
                </a:extLst>
              </xdr:cNvPr>
              <xdr:cNvGrpSpPr/>
            </xdr:nvGrpSpPr>
            <xdr:grpSpPr>
              <a:xfrm>
                <a:off x="3022600" y="3037756"/>
                <a:ext cx="223538" cy="1782340"/>
                <a:chOff x="3765549" y="2260600"/>
                <a:chExt cx="661016" cy="5270500"/>
              </a:xfrm>
            </xdr:grpSpPr>
            <xdr:pic>
              <xdr:nvPicPr>
                <xdr:cNvPr id="328" name="그림 327">
                  <a:extLst>
                    <a:ext uri="{FF2B5EF4-FFF2-40B4-BE49-F238E27FC236}">
                      <a16:creationId xmlns:a16="http://schemas.microsoft.com/office/drawing/2014/main" id="{00000000-0008-0000-0400-00004801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2144" t="705" r="3621" b="1647"/>
                <a:stretch/>
              </xdr:blipFill>
              <xdr:spPr>
                <a:xfrm>
                  <a:off x="3765549" y="2260600"/>
                  <a:ext cx="661016" cy="5270500"/>
                </a:xfrm>
                <a:prstGeom prst="rect">
                  <a:avLst/>
                </a:prstGeom>
              </xdr:spPr>
            </xdr:pic>
            <xdr:sp macro="" textlink="">
              <xdr:nvSpPr>
                <xdr:cNvPr id="329" name="타원 328">
                  <a:extLst>
                    <a:ext uri="{FF2B5EF4-FFF2-40B4-BE49-F238E27FC236}">
                      <a16:creationId xmlns:a16="http://schemas.microsoft.com/office/drawing/2014/main" id="{00000000-0008-0000-0400-000049010000}"/>
                    </a:ext>
                  </a:extLst>
                </xdr:cNvPr>
                <xdr:cNvSpPr/>
              </xdr:nvSpPr>
              <xdr:spPr>
                <a:xfrm>
                  <a:off x="3910251" y="3455621"/>
                  <a:ext cx="70583" cy="70583"/>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30" name="타원 329">
                  <a:extLst>
                    <a:ext uri="{FF2B5EF4-FFF2-40B4-BE49-F238E27FC236}">
                      <a16:creationId xmlns:a16="http://schemas.microsoft.com/office/drawing/2014/main" id="{00000000-0008-0000-0400-00004A010000}"/>
                    </a:ext>
                  </a:extLst>
                </xdr:cNvPr>
                <xdr:cNvSpPr/>
              </xdr:nvSpPr>
              <xdr:spPr>
                <a:xfrm>
                  <a:off x="3910251" y="3584331"/>
                  <a:ext cx="70583" cy="70583"/>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31" name="타원 330">
                  <a:extLst>
                    <a:ext uri="{FF2B5EF4-FFF2-40B4-BE49-F238E27FC236}">
                      <a16:creationId xmlns:a16="http://schemas.microsoft.com/office/drawing/2014/main" id="{00000000-0008-0000-0400-00004B010000}"/>
                    </a:ext>
                  </a:extLst>
                </xdr:cNvPr>
                <xdr:cNvSpPr/>
              </xdr:nvSpPr>
              <xdr:spPr>
                <a:xfrm>
                  <a:off x="3910251" y="3717192"/>
                  <a:ext cx="70583" cy="70583"/>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32" name="타원 331">
                  <a:extLst>
                    <a:ext uri="{FF2B5EF4-FFF2-40B4-BE49-F238E27FC236}">
                      <a16:creationId xmlns:a16="http://schemas.microsoft.com/office/drawing/2014/main" id="{00000000-0008-0000-0400-00004C010000}"/>
                    </a:ext>
                  </a:extLst>
                </xdr:cNvPr>
                <xdr:cNvSpPr/>
              </xdr:nvSpPr>
              <xdr:spPr>
                <a:xfrm>
                  <a:off x="3910251" y="3841750"/>
                  <a:ext cx="70583" cy="70583"/>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33" name="타원 332">
                  <a:extLst>
                    <a:ext uri="{FF2B5EF4-FFF2-40B4-BE49-F238E27FC236}">
                      <a16:creationId xmlns:a16="http://schemas.microsoft.com/office/drawing/2014/main" id="{00000000-0008-0000-0400-00004D010000}"/>
                    </a:ext>
                  </a:extLst>
                </xdr:cNvPr>
                <xdr:cNvSpPr/>
              </xdr:nvSpPr>
              <xdr:spPr>
                <a:xfrm>
                  <a:off x="3908175" y="4232031"/>
                  <a:ext cx="70583" cy="70583"/>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34" name="타원 333">
                  <a:extLst>
                    <a:ext uri="{FF2B5EF4-FFF2-40B4-BE49-F238E27FC236}">
                      <a16:creationId xmlns:a16="http://schemas.microsoft.com/office/drawing/2014/main" id="{00000000-0008-0000-0400-00004E010000}"/>
                    </a:ext>
                  </a:extLst>
                </xdr:cNvPr>
                <xdr:cNvSpPr/>
              </xdr:nvSpPr>
              <xdr:spPr>
                <a:xfrm>
                  <a:off x="3910251" y="4099169"/>
                  <a:ext cx="70583" cy="70583"/>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35" name="타원 334">
                  <a:extLst>
                    <a:ext uri="{FF2B5EF4-FFF2-40B4-BE49-F238E27FC236}">
                      <a16:creationId xmlns:a16="http://schemas.microsoft.com/office/drawing/2014/main" id="{00000000-0008-0000-0400-00004F010000}"/>
                    </a:ext>
                  </a:extLst>
                </xdr:cNvPr>
                <xdr:cNvSpPr/>
              </xdr:nvSpPr>
              <xdr:spPr>
                <a:xfrm>
                  <a:off x="3910251" y="4356588"/>
                  <a:ext cx="70583" cy="70583"/>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nvGrpSpPr>
                <xdr:cNvPr id="336" name="그룹 335">
                  <a:extLst>
                    <a:ext uri="{FF2B5EF4-FFF2-40B4-BE49-F238E27FC236}">
                      <a16:creationId xmlns:a16="http://schemas.microsoft.com/office/drawing/2014/main" id="{00000000-0008-0000-0400-000050010000}"/>
                    </a:ext>
                  </a:extLst>
                </xdr:cNvPr>
                <xdr:cNvGrpSpPr/>
              </xdr:nvGrpSpPr>
              <xdr:grpSpPr>
                <a:xfrm>
                  <a:off x="3774106" y="6438084"/>
                  <a:ext cx="522274" cy="1091107"/>
                  <a:chOff x="3675525" y="2895600"/>
                  <a:chExt cx="246057" cy="514049"/>
                </a:xfrm>
              </xdr:grpSpPr>
              <xdr:sp macro="" textlink="">
                <xdr:nvSpPr>
                  <xdr:cNvPr id="337" name="직사각형 336">
                    <a:extLst>
                      <a:ext uri="{FF2B5EF4-FFF2-40B4-BE49-F238E27FC236}">
                        <a16:creationId xmlns:a16="http://schemas.microsoft.com/office/drawing/2014/main" id="{00000000-0008-0000-0400-000051010000}"/>
                      </a:ext>
                    </a:extLst>
                  </xdr:cNvPr>
                  <xdr:cNvSpPr/>
                </xdr:nvSpPr>
                <xdr:spPr>
                  <a:xfrm>
                    <a:off x="3675525" y="2895600"/>
                    <a:ext cx="246057" cy="514049"/>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38" name="직사각형 337">
                    <a:extLst>
                      <a:ext uri="{FF2B5EF4-FFF2-40B4-BE49-F238E27FC236}">
                        <a16:creationId xmlns:a16="http://schemas.microsoft.com/office/drawing/2014/main" id="{00000000-0008-0000-0400-000052010000}"/>
                      </a:ext>
                    </a:extLst>
                  </xdr:cNvPr>
                  <xdr:cNvSpPr/>
                </xdr:nvSpPr>
                <xdr:spPr>
                  <a:xfrm>
                    <a:off x="3720687" y="3152902"/>
                    <a:ext cx="155733" cy="212570"/>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39" name="직사각형 338">
                    <a:extLst>
                      <a:ext uri="{FF2B5EF4-FFF2-40B4-BE49-F238E27FC236}">
                        <a16:creationId xmlns:a16="http://schemas.microsoft.com/office/drawing/2014/main" id="{00000000-0008-0000-0400-000053010000}"/>
                      </a:ext>
                    </a:extLst>
                  </xdr:cNvPr>
                  <xdr:cNvSpPr/>
                </xdr:nvSpPr>
                <xdr:spPr>
                  <a:xfrm>
                    <a:off x="3728168" y="3152902"/>
                    <a:ext cx="140770" cy="74400"/>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grpSp>
            <xdr:nvGrpSpPr>
              <xdr:cNvPr id="28" name="그룹 27">
                <a:extLst>
                  <a:ext uri="{FF2B5EF4-FFF2-40B4-BE49-F238E27FC236}">
                    <a16:creationId xmlns:a16="http://schemas.microsoft.com/office/drawing/2014/main" id="{00000000-0008-0000-0400-00001C000000}"/>
                  </a:ext>
                </a:extLst>
              </xdr:cNvPr>
              <xdr:cNvGrpSpPr/>
            </xdr:nvGrpSpPr>
            <xdr:grpSpPr>
              <a:xfrm>
                <a:off x="2581883" y="4974402"/>
                <a:ext cx="444499" cy="1782340"/>
                <a:chOff x="2581883" y="4974402"/>
                <a:chExt cx="444499" cy="1782340"/>
              </a:xfrm>
            </xdr:grpSpPr>
            <xdr:grpSp>
              <xdr:nvGrpSpPr>
                <xdr:cNvPr id="309" name="그룹 308">
                  <a:extLst>
                    <a:ext uri="{FF2B5EF4-FFF2-40B4-BE49-F238E27FC236}">
                      <a16:creationId xmlns:a16="http://schemas.microsoft.com/office/drawing/2014/main" id="{00000000-0008-0000-0400-000035010000}"/>
                    </a:ext>
                  </a:extLst>
                </xdr:cNvPr>
                <xdr:cNvGrpSpPr/>
              </xdr:nvGrpSpPr>
              <xdr:grpSpPr>
                <a:xfrm>
                  <a:off x="2581883" y="4974403"/>
                  <a:ext cx="224786" cy="1781893"/>
                  <a:chOff x="3200400" y="2705100"/>
                  <a:chExt cx="677689" cy="5372100"/>
                </a:xfrm>
              </xdr:grpSpPr>
              <xdr:pic>
                <xdr:nvPicPr>
                  <xdr:cNvPr id="323" name="그림 322">
                    <a:extLst>
                      <a:ext uri="{FF2B5EF4-FFF2-40B4-BE49-F238E27FC236}">
                        <a16:creationId xmlns:a16="http://schemas.microsoft.com/office/drawing/2014/main" id="{00000000-0008-0000-0400-00004301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589" t="770" r="3589" b="1667"/>
                  <a:stretch/>
                </xdr:blipFill>
                <xdr:spPr>
                  <a:xfrm>
                    <a:off x="3200400" y="2705100"/>
                    <a:ext cx="677689" cy="5372100"/>
                  </a:xfrm>
                  <a:prstGeom prst="rect">
                    <a:avLst/>
                  </a:prstGeom>
                </xdr:spPr>
              </xdr:pic>
              <xdr:grpSp>
                <xdr:nvGrpSpPr>
                  <xdr:cNvPr id="324" name="그룹 323">
                    <a:extLst>
                      <a:ext uri="{FF2B5EF4-FFF2-40B4-BE49-F238E27FC236}">
                        <a16:creationId xmlns:a16="http://schemas.microsoft.com/office/drawing/2014/main" id="{00000000-0008-0000-0400-000044010000}"/>
                      </a:ext>
                    </a:extLst>
                  </xdr:cNvPr>
                  <xdr:cNvGrpSpPr/>
                </xdr:nvGrpSpPr>
                <xdr:grpSpPr>
                  <a:xfrm>
                    <a:off x="3201178" y="6964179"/>
                    <a:ext cx="541029" cy="1112421"/>
                    <a:chOff x="3935130" y="5943813"/>
                    <a:chExt cx="357219" cy="734485"/>
                  </a:xfrm>
                </xdr:grpSpPr>
                <xdr:sp macro="" textlink="">
                  <xdr:nvSpPr>
                    <xdr:cNvPr id="325" name="직사각형 324">
                      <a:extLst>
                        <a:ext uri="{FF2B5EF4-FFF2-40B4-BE49-F238E27FC236}">
                          <a16:creationId xmlns:a16="http://schemas.microsoft.com/office/drawing/2014/main" id="{00000000-0008-0000-0400-000045010000}"/>
                        </a:ext>
                      </a:extLst>
                    </xdr:cNvPr>
                    <xdr:cNvSpPr/>
                  </xdr:nvSpPr>
                  <xdr:spPr>
                    <a:xfrm>
                      <a:off x="3935130" y="5943813"/>
                      <a:ext cx="357219" cy="734485"/>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26" name="직사각형 325">
                      <a:extLst>
                        <a:ext uri="{FF2B5EF4-FFF2-40B4-BE49-F238E27FC236}">
                          <a16:creationId xmlns:a16="http://schemas.microsoft.com/office/drawing/2014/main" id="{00000000-0008-0000-0400-000046010000}"/>
                        </a:ext>
                      </a:extLst>
                    </xdr:cNvPr>
                    <xdr:cNvSpPr/>
                  </xdr:nvSpPr>
                  <xdr:spPr>
                    <a:xfrm>
                      <a:off x="4000695" y="6311453"/>
                      <a:ext cx="226089" cy="288035"/>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27" name="직사각형 326">
                      <a:extLst>
                        <a:ext uri="{FF2B5EF4-FFF2-40B4-BE49-F238E27FC236}">
                          <a16:creationId xmlns:a16="http://schemas.microsoft.com/office/drawing/2014/main" id="{00000000-0008-0000-0400-000047010000}"/>
                        </a:ext>
                      </a:extLst>
                    </xdr:cNvPr>
                    <xdr:cNvSpPr/>
                  </xdr:nvSpPr>
                  <xdr:spPr>
                    <a:xfrm>
                      <a:off x="4011555" y="6311453"/>
                      <a:ext cx="204364" cy="100812"/>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grpSp>
              <xdr:nvGrpSpPr>
                <xdr:cNvPr id="310" name="그룹 309">
                  <a:extLst>
                    <a:ext uri="{FF2B5EF4-FFF2-40B4-BE49-F238E27FC236}">
                      <a16:creationId xmlns:a16="http://schemas.microsoft.com/office/drawing/2014/main" id="{00000000-0008-0000-0400-000036010000}"/>
                    </a:ext>
                  </a:extLst>
                </xdr:cNvPr>
                <xdr:cNvGrpSpPr/>
              </xdr:nvGrpSpPr>
              <xdr:grpSpPr>
                <a:xfrm>
                  <a:off x="2802844" y="4974402"/>
                  <a:ext cx="223538" cy="1782340"/>
                  <a:chOff x="3765549" y="2260600"/>
                  <a:chExt cx="661016" cy="5270500"/>
                </a:xfrm>
              </xdr:grpSpPr>
              <xdr:pic>
                <xdr:nvPicPr>
                  <xdr:cNvPr id="311" name="그림 310">
                    <a:extLst>
                      <a:ext uri="{FF2B5EF4-FFF2-40B4-BE49-F238E27FC236}">
                        <a16:creationId xmlns:a16="http://schemas.microsoft.com/office/drawing/2014/main" id="{00000000-0008-0000-0400-00003701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2144" t="705" r="3621" b="1647"/>
                  <a:stretch/>
                </xdr:blipFill>
                <xdr:spPr>
                  <a:xfrm>
                    <a:off x="3765549" y="2260600"/>
                    <a:ext cx="661016" cy="5270500"/>
                  </a:xfrm>
                  <a:prstGeom prst="rect">
                    <a:avLst/>
                  </a:prstGeom>
                </xdr:spPr>
              </xdr:pic>
              <xdr:sp macro="" textlink="">
                <xdr:nvSpPr>
                  <xdr:cNvPr id="312" name="타원 311">
                    <a:extLst>
                      <a:ext uri="{FF2B5EF4-FFF2-40B4-BE49-F238E27FC236}">
                        <a16:creationId xmlns:a16="http://schemas.microsoft.com/office/drawing/2014/main" id="{00000000-0008-0000-0400-000038010000}"/>
                      </a:ext>
                    </a:extLst>
                  </xdr:cNvPr>
                  <xdr:cNvSpPr/>
                </xdr:nvSpPr>
                <xdr:spPr>
                  <a:xfrm>
                    <a:off x="3910251" y="3455621"/>
                    <a:ext cx="70583" cy="70583"/>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13" name="타원 312">
                    <a:extLst>
                      <a:ext uri="{FF2B5EF4-FFF2-40B4-BE49-F238E27FC236}">
                        <a16:creationId xmlns:a16="http://schemas.microsoft.com/office/drawing/2014/main" id="{00000000-0008-0000-0400-000039010000}"/>
                      </a:ext>
                    </a:extLst>
                  </xdr:cNvPr>
                  <xdr:cNvSpPr/>
                </xdr:nvSpPr>
                <xdr:spPr>
                  <a:xfrm>
                    <a:off x="3910251" y="3584331"/>
                    <a:ext cx="70583" cy="70583"/>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14" name="타원 313">
                    <a:extLst>
                      <a:ext uri="{FF2B5EF4-FFF2-40B4-BE49-F238E27FC236}">
                        <a16:creationId xmlns:a16="http://schemas.microsoft.com/office/drawing/2014/main" id="{00000000-0008-0000-0400-00003A010000}"/>
                      </a:ext>
                    </a:extLst>
                  </xdr:cNvPr>
                  <xdr:cNvSpPr/>
                </xdr:nvSpPr>
                <xdr:spPr>
                  <a:xfrm>
                    <a:off x="3910251" y="3717192"/>
                    <a:ext cx="70583" cy="70583"/>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15" name="타원 314">
                    <a:extLst>
                      <a:ext uri="{FF2B5EF4-FFF2-40B4-BE49-F238E27FC236}">
                        <a16:creationId xmlns:a16="http://schemas.microsoft.com/office/drawing/2014/main" id="{00000000-0008-0000-0400-00003B010000}"/>
                      </a:ext>
                    </a:extLst>
                  </xdr:cNvPr>
                  <xdr:cNvSpPr/>
                </xdr:nvSpPr>
                <xdr:spPr>
                  <a:xfrm>
                    <a:off x="3910251" y="3841750"/>
                    <a:ext cx="70583" cy="70583"/>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16" name="타원 315">
                    <a:extLst>
                      <a:ext uri="{FF2B5EF4-FFF2-40B4-BE49-F238E27FC236}">
                        <a16:creationId xmlns:a16="http://schemas.microsoft.com/office/drawing/2014/main" id="{00000000-0008-0000-0400-00003C010000}"/>
                      </a:ext>
                    </a:extLst>
                  </xdr:cNvPr>
                  <xdr:cNvSpPr/>
                </xdr:nvSpPr>
                <xdr:spPr>
                  <a:xfrm>
                    <a:off x="3908175" y="4232031"/>
                    <a:ext cx="70583" cy="70583"/>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17" name="타원 316">
                    <a:extLst>
                      <a:ext uri="{FF2B5EF4-FFF2-40B4-BE49-F238E27FC236}">
                        <a16:creationId xmlns:a16="http://schemas.microsoft.com/office/drawing/2014/main" id="{00000000-0008-0000-0400-00003D010000}"/>
                      </a:ext>
                    </a:extLst>
                  </xdr:cNvPr>
                  <xdr:cNvSpPr/>
                </xdr:nvSpPr>
                <xdr:spPr>
                  <a:xfrm>
                    <a:off x="3910251" y="4099169"/>
                    <a:ext cx="70583" cy="70583"/>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18" name="타원 317">
                    <a:extLst>
                      <a:ext uri="{FF2B5EF4-FFF2-40B4-BE49-F238E27FC236}">
                        <a16:creationId xmlns:a16="http://schemas.microsoft.com/office/drawing/2014/main" id="{00000000-0008-0000-0400-00003E010000}"/>
                      </a:ext>
                    </a:extLst>
                  </xdr:cNvPr>
                  <xdr:cNvSpPr/>
                </xdr:nvSpPr>
                <xdr:spPr>
                  <a:xfrm>
                    <a:off x="3910251" y="4356588"/>
                    <a:ext cx="70583" cy="70583"/>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nvGrpSpPr>
                  <xdr:cNvPr id="319" name="그룹 318">
                    <a:extLst>
                      <a:ext uri="{FF2B5EF4-FFF2-40B4-BE49-F238E27FC236}">
                        <a16:creationId xmlns:a16="http://schemas.microsoft.com/office/drawing/2014/main" id="{00000000-0008-0000-0400-00003F010000}"/>
                      </a:ext>
                    </a:extLst>
                  </xdr:cNvPr>
                  <xdr:cNvGrpSpPr/>
                </xdr:nvGrpSpPr>
                <xdr:grpSpPr>
                  <a:xfrm>
                    <a:off x="3774106" y="6438084"/>
                    <a:ext cx="522274" cy="1091107"/>
                    <a:chOff x="3675525" y="2895600"/>
                    <a:chExt cx="246057" cy="514049"/>
                  </a:xfrm>
                </xdr:grpSpPr>
                <xdr:sp macro="" textlink="">
                  <xdr:nvSpPr>
                    <xdr:cNvPr id="320" name="직사각형 319">
                      <a:extLst>
                        <a:ext uri="{FF2B5EF4-FFF2-40B4-BE49-F238E27FC236}">
                          <a16:creationId xmlns:a16="http://schemas.microsoft.com/office/drawing/2014/main" id="{00000000-0008-0000-0400-000040010000}"/>
                        </a:ext>
                      </a:extLst>
                    </xdr:cNvPr>
                    <xdr:cNvSpPr/>
                  </xdr:nvSpPr>
                  <xdr:spPr>
                    <a:xfrm>
                      <a:off x="3675525" y="2895600"/>
                      <a:ext cx="246057" cy="514049"/>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21" name="직사각형 320">
                      <a:extLst>
                        <a:ext uri="{FF2B5EF4-FFF2-40B4-BE49-F238E27FC236}">
                          <a16:creationId xmlns:a16="http://schemas.microsoft.com/office/drawing/2014/main" id="{00000000-0008-0000-0400-000041010000}"/>
                        </a:ext>
                      </a:extLst>
                    </xdr:cNvPr>
                    <xdr:cNvSpPr/>
                  </xdr:nvSpPr>
                  <xdr:spPr>
                    <a:xfrm>
                      <a:off x="3720687" y="3152902"/>
                      <a:ext cx="155733" cy="212570"/>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22" name="직사각형 321">
                      <a:extLst>
                        <a:ext uri="{FF2B5EF4-FFF2-40B4-BE49-F238E27FC236}">
                          <a16:creationId xmlns:a16="http://schemas.microsoft.com/office/drawing/2014/main" id="{00000000-0008-0000-0400-000042010000}"/>
                        </a:ext>
                      </a:extLst>
                    </xdr:cNvPr>
                    <xdr:cNvSpPr/>
                  </xdr:nvSpPr>
                  <xdr:spPr>
                    <a:xfrm>
                      <a:off x="3728168" y="3152902"/>
                      <a:ext cx="140770" cy="74400"/>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grpSp>
          <xdr:grpSp>
            <xdr:nvGrpSpPr>
              <xdr:cNvPr id="29" name="그룹 28">
                <a:extLst>
                  <a:ext uri="{FF2B5EF4-FFF2-40B4-BE49-F238E27FC236}">
                    <a16:creationId xmlns:a16="http://schemas.microsoft.com/office/drawing/2014/main" id="{00000000-0008-0000-0400-00001D000000}"/>
                  </a:ext>
                </a:extLst>
              </xdr:cNvPr>
              <xdr:cNvGrpSpPr/>
            </xdr:nvGrpSpPr>
            <xdr:grpSpPr>
              <a:xfrm>
                <a:off x="3029275" y="6387116"/>
                <a:ext cx="176619" cy="389085"/>
                <a:chOff x="3675525" y="2895600"/>
                <a:chExt cx="246057" cy="542054"/>
              </a:xfrm>
            </xdr:grpSpPr>
            <xdr:sp macro="" textlink="">
              <xdr:nvSpPr>
                <xdr:cNvPr id="306" name="직사각형 305">
                  <a:extLst>
                    <a:ext uri="{FF2B5EF4-FFF2-40B4-BE49-F238E27FC236}">
                      <a16:creationId xmlns:a16="http://schemas.microsoft.com/office/drawing/2014/main" id="{00000000-0008-0000-0400-000032010000}"/>
                    </a:ext>
                  </a:extLst>
                </xdr:cNvPr>
                <xdr:cNvSpPr/>
              </xdr:nvSpPr>
              <xdr:spPr>
                <a:xfrm>
                  <a:off x="3675525" y="2895600"/>
                  <a:ext cx="246057" cy="542054"/>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07" name="직사각형 306">
                  <a:extLst>
                    <a:ext uri="{FF2B5EF4-FFF2-40B4-BE49-F238E27FC236}">
                      <a16:creationId xmlns:a16="http://schemas.microsoft.com/office/drawing/2014/main" id="{00000000-0008-0000-0400-000033010000}"/>
                    </a:ext>
                  </a:extLst>
                </xdr:cNvPr>
                <xdr:cNvSpPr/>
              </xdr:nvSpPr>
              <xdr:spPr>
                <a:xfrm>
                  <a:off x="3720687" y="3152902"/>
                  <a:ext cx="155733" cy="212570"/>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08" name="직사각형 307">
                  <a:extLst>
                    <a:ext uri="{FF2B5EF4-FFF2-40B4-BE49-F238E27FC236}">
                      <a16:creationId xmlns:a16="http://schemas.microsoft.com/office/drawing/2014/main" id="{00000000-0008-0000-0400-000034010000}"/>
                    </a:ext>
                  </a:extLst>
                </xdr:cNvPr>
                <xdr:cNvSpPr/>
              </xdr:nvSpPr>
              <xdr:spPr>
                <a:xfrm>
                  <a:off x="3728168" y="3152902"/>
                  <a:ext cx="140770" cy="74400"/>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30" name="그룹 29">
                <a:extLst>
                  <a:ext uri="{FF2B5EF4-FFF2-40B4-BE49-F238E27FC236}">
                    <a16:creationId xmlns:a16="http://schemas.microsoft.com/office/drawing/2014/main" id="{00000000-0008-0000-0400-00001E000000}"/>
                  </a:ext>
                </a:extLst>
              </xdr:cNvPr>
              <xdr:cNvGrpSpPr/>
            </xdr:nvGrpSpPr>
            <xdr:grpSpPr>
              <a:xfrm>
                <a:off x="3249033" y="3039863"/>
                <a:ext cx="2671093" cy="1779587"/>
                <a:chOff x="2000251" y="3076576"/>
                <a:chExt cx="5518983" cy="3609974"/>
              </a:xfrm>
            </xdr:grpSpPr>
            <xdr:grpSp>
              <xdr:nvGrpSpPr>
                <xdr:cNvPr id="192" name="그룹 191">
                  <a:extLst>
                    <a:ext uri="{FF2B5EF4-FFF2-40B4-BE49-F238E27FC236}">
                      <a16:creationId xmlns:a16="http://schemas.microsoft.com/office/drawing/2014/main" id="{00000000-0008-0000-0400-0000C0000000}"/>
                    </a:ext>
                  </a:extLst>
                </xdr:cNvPr>
                <xdr:cNvGrpSpPr/>
              </xdr:nvGrpSpPr>
              <xdr:grpSpPr>
                <a:xfrm>
                  <a:off x="2000251" y="3076576"/>
                  <a:ext cx="914400" cy="3609974"/>
                  <a:chOff x="3262313" y="3209926"/>
                  <a:chExt cx="914400" cy="3609974"/>
                </a:xfrm>
              </xdr:grpSpPr>
              <xdr:grpSp>
                <xdr:nvGrpSpPr>
                  <xdr:cNvPr id="288" name="그룹 287">
                    <a:extLst>
                      <a:ext uri="{FF2B5EF4-FFF2-40B4-BE49-F238E27FC236}">
                        <a16:creationId xmlns:a16="http://schemas.microsoft.com/office/drawing/2014/main" id="{00000000-0008-0000-0400-000020010000}"/>
                      </a:ext>
                    </a:extLst>
                  </xdr:cNvPr>
                  <xdr:cNvGrpSpPr/>
                </xdr:nvGrpSpPr>
                <xdr:grpSpPr>
                  <a:xfrm>
                    <a:off x="3262313" y="3209926"/>
                    <a:ext cx="914400" cy="3609974"/>
                    <a:chOff x="2228850" y="3190876"/>
                    <a:chExt cx="914400" cy="3609974"/>
                  </a:xfrm>
                </xdr:grpSpPr>
                <xdr:pic>
                  <xdr:nvPicPr>
                    <xdr:cNvPr id="293" name="그림 292">
                      <a:extLst>
                        <a:ext uri="{FF2B5EF4-FFF2-40B4-BE49-F238E27FC236}">
                          <a16:creationId xmlns:a16="http://schemas.microsoft.com/office/drawing/2014/main" id="{00000000-0008-0000-0400-00002501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4872" t="1762" r="2934" b="2889"/>
                    <a:stretch/>
                  </xdr:blipFill>
                  <xdr:spPr>
                    <a:xfrm>
                      <a:off x="2228850" y="3190876"/>
                      <a:ext cx="914400" cy="3609974"/>
                    </a:xfrm>
                    <a:prstGeom prst="rect">
                      <a:avLst/>
                    </a:prstGeom>
                  </xdr:spPr>
                </xdr:pic>
                <xdr:sp macro="" textlink="">
                  <xdr:nvSpPr>
                    <xdr:cNvPr id="294" name="타원 293">
                      <a:extLst>
                        <a:ext uri="{FF2B5EF4-FFF2-40B4-BE49-F238E27FC236}">
                          <a16:creationId xmlns:a16="http://schemas.microsoft.com/office/drawing/2014/main" id="{00000000-0008-0000-0400-000026010000}"/>
                        </a:ext>
                      </a:extLst>
                    </xdr:cNvPr>
                    <xdr:cNvSpPr/>
                  </xdr:nvSpPr>
                  <xdr:spPr>
                    <a:xfrm>
                      <a:off x="2415382" y="4009766"/>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95" name="타원 294">
                      <a:extLst>
                        <a:ext uri="{FF2B5EF4-FFF2-40B4-BE49-F238E27FC236}">
                          <a16:creationId xmlns:a16="http://schemas.microsoft.com/office/drawing/2014/main" id="{00000000-0008-0000-0400-000027010000}"/>
                        </a:ext>
                      </a:extLst>
                    </xdr:cNvPr>
                    <xdr:cNvSpPr/>
                  </xdr:nvSpPr>
                  <xdr:spPr>
                    <a:xfrm>
                      <a:off x="2418557" y="4364832"/>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96" name="타원 295">
                      <a:extLst>
                        <a:ext uri="{FF2B5EF4-FFF2-40B4-BE49-F238E27FC236}">
                          <a16:creationId xmlns:a16="http://schemas.microsoft.com/office/drawing/2014/main" id="{00000000-0008-0000-0400-000028010000}"/>
                        </a:ext>
                      </a:extLst>
                    </xdr:cNvPr>
                    <xdr:cNvSpPr/>
                  </xdr:nvSpPr>
                  <xdr:spPr>
                    <a:xfrm>
                      <a:off x="2509139" y="4364832"/>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97" name="타원 296">
                      <a:extLst>
                        <a:ext uri="{FF2B5EF4-FFF2-40B4-BE49-F238E27FC236}">
                          <a16:creationId xmlns:a16="http://schemas.microsoft.com/office/drawing/2014/main" id="{00000000-0008-0000-0400-000029010000}"/>
                        </a:ext>
                      </a:extLst>
                    </xdr:cNvPr>
                    <xdr:cNvSpPr/>
                  </xdr:nvSpPr>
                  <xdr:spPr>
                    <a:xfrm>
                      <a:off x="2509139" y="40065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98" name="타원 297">
                      <a:extLst>
                        <a:ext uri="{FF2B5EF4-FFF2-40B4-BE49-F238E27FC236}">
                          <a16:creationId xmlns:a16="http://schemas.microsoft.com/office/drawing/2014/main" id="{00000000-0008-0000-0400-00002A010000}"/>
                        </a:ext>
                      </a:extLst>
                    </xdr:cNvPr>
                    <xdr:cNvSpPr/>
                  </xdr:nvSpPr>
                  <xdr:spPr>
                    <a:xfrm>
                      <a:off x="2509139" y="40954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99" name="타원 298">
                      <a:extLst>
                        <a:ext uri="{FF2B5EF4-FFF2-40B4-BE49-F238E27FC236}">
                          <a16:creationId xmlns:a16="http://schemas.microsoft.com/office/drawing/2014/main" id="{00000000-0008-0000-0400-00002B010000}"/>
                        </a:ext>
                      </a:extLst>
                    </xdr:cNvPr>
                    <xdr:cNvSpPr/>
                  </xdr:nvSpPr>
                  <xdr:spPr>
                    <a:xfrm>
                      <a:off x="2471738" y="5346341"/>
                      <a:ext cx="50006" cy="50006"/>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00" name="타원 299">
                      <a:extLst>
                        <a:ext uri="{FF2B5EF4-FFF2-40B4-BE49-F238E27FC236}">
                          <a16:creationId xmlns:a16="http://schemas.microsoft.com/office/drawing/2014/main" id="{00000000-0008-0000-0400-00002C010000}"/>
                        </a:ext>
                      </a:extLst>
                    </xdr:cNvPr>
                    <xdr:cNvSpPr/>
                  </xdr:nvSpPr>
                  <xdr:spPr>
                    <a:xfrm>
                      <a:off x="2434838" y="4626460"/>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01" name="타원 300">
                      <a:extLst>
                        <a:ext uri="{FF2B5EF4-FFF2-40B4-BE49-F238E27FC236}">
                          <a16:creationId xmlns:a16="http://schemas.microsoft.com/office/drawing/2014/main" id="{00000000-0008-0000-0400-00002D010000}"/>
                        </a:ext>
                      </a:extLst>
                    </xdr:cNvPr>
                    <xdr:cNvSpPr/>
                  </xdr:nvSpPr>
                  <xdr:spPr>
                    <a:xfrm>
                      <a:off x="2527702" y="4634173"/>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02" name="타원 301">
                      <a:extLst>
                        <a:ext uri="{FF2B5EF4-FFF2-40B4-BE49-F238E27FC236}">
                          <a16:creationId xmlns:a16="http://schemas.microsoft.com/office/drawing/2014/main" id="{00000000-0008-0000-0400-00002E010000}"/>
                        </a:ext>
                      </a:extLst>
                    </xdr:cNvPr>
                    <xdr:cNvSpPr/>
                  </xdr:nvSpPr>
                  <xdr:spPr>
                    <a:xfrm>
                      <a:off x="2418557" y="4103204"/>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03" name="타원 302">
                      <a:extLst>
                        <a:ext uri="{FF2B5EF4-FFF2-40B4-BE49-F238E27FC236}">
                          <a16:creationId xmlns:a16="http://schemas.microsoft.com/office/drawing/2014/main" id="{00000000-0008-0000-0400-00002F010000}"/>
                        </a:ext>
                      </a:extLst>
                    </xdr:cNvPr>
                    <xdr:cNvSpPr/>
                  </xdr:nvSpPr>
                  <xdr:spPr>
                    <a:xfrm>
                      <a:off x="2418557" y="418729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04" name="타원 303">
                      <a:extLst>
                        <a:ext uri="{FF2B5EF4-FFF2-40B4-BE49-F238E27FC236}">
                          <a16:creationId xmlns:a16="http://schemas.microsoft.com/office/drawing/2014/main" id="{00000000-0008-0000-0400-000030010000}"/>
                        </a:ext>
                      </a:extLst>
                    </xdr:cNvPr>
                    <xdr:cNvSpPr/>
                  </xdr:nvSpPr>
                  <xdr:spPr>
                    <a:xfrm>
                      <a:off x="2415382" y="4449393"/>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05" name="타원 304">
                      <a:extLst>
                        <a:ext uri="{FF2B5EF4-FFF2-40B4-BE49-F238E27FC236}">
                          <a16:creationId xmlns:a16="http://schemas.microsoft.com/office/drawing/2014/main" id="{00000000-0008-0000-0400-000031010000}"/>
                        </a:ext>
                      </a:extLst>
                    </xdr:cNvPr>
                    <xdr:cNvSpPr/>
                  </xdr:nvSpPr>
                  <xdr:spPr>
                    <a:xfrm>
                      <a:off x="2434838" y="472353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289" name="그룹 288">
                    <a:extLst>
                      <a:ext uri="{FF2B5EF4-FFF2-40B4-BE49-F238E27FC236}">
                        <a16:creationId xmlns:a16="http://schemas.microsoft.com/office/drawing/2014/main" id="{00000000-0008-0000-0400-000021010000}"/>
                      </a:ext>
                    </a:extLst>
                  </xdr:cNvPr>
                  <xdr:cNvGrpSpPr/>
                </xdr:nvGrpSpPr>
                <xdr:grpSpPr>
                  <a:xfrm>
                    <a:off x="3357531" y="6077559"/>
                    <a:ext cx="357219" cy="734485"/>
                    <a:chOff x="5023743" y="4906381"/>
                    <a:chExt cx="172673" cy="380393"/>
                  </a:xfrm>
                </xdr:grpSpPr>
                <xdr:sp macro="" textlink="">
                  <xdr:nvSpPr>
                    <xdr:cNvPr id="290" name="직사각형 289">
                      <a:extLst>
                        <a:ext uri="{FF2B5EF4-FFF2-40B4-BE49-F238E27FC236}">
                          <a16:creationId xmlns:a16="http://schemas.microsoft.com/office/drawing/2014/main" id="{00000000-0008-0000-0400-000022010000}"/>
                        </a:ext>
                      </a:extLst>
                    </xdr:cNvPr>
                    <xdr:cNvSpPr/>
                  </xdr:nvSpPr>
                  <xdr:spPr>
                    <a:xfrm>
                      <a:off x="5023743" y="4906381"/>
                      <a:ext cx="172673" cy="380393"/>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91" name="직사각형 290">
                      <a:extLst>
                        <a:ext uri="{FF2B5EF4-FFF2-40B4-BE49-F238E27FC236}">
                          <a16:creationId xmlns:a16="http://schemas.microsoft.com/office/drawing/2014/main" id="{00000000-0008-0000-0400-000023010000}"/>
                        </a:ext>
                      </a:extLst>
                    </xdr:cNvPr>
                    <xdr:cNvSpPr/>
                  </xdr:nvSpPr>
                  <xdr:spPr>
                    <a:xfrm>
                      <a:off x="5055436" y="5096578"/>
                      <a:ext cx="109287" cy="149174"/>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92" name="직사각형 291">
                      <a:extLst>
                        <a:ext uri="{FF2B5EF4-FFF2-40B4-BE49-F238E27FC236}">
                          <a16:creationId xmlns:a16="http://schemas.microsoft.com/office/drawing/2014/main" id="{00000000-0008-0000-0400-000024010000}"/>
                        </a:ext>
                      </a:extLst>
                    </xdr:cNvPr>
                    <xdr:cNvSpPr/>
                  </xdr:nvSpPr>
                  <xdr:spPr>
                    <a:xfrm>
                      <a:off x="5060686" y="5096578"/>
                      <a:ext cx="98786" cy="52211"/>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grpSp>
              <xdr:nvGrpSpPr>
                <xdr:cNvPr id="193" name="그룹 192">
                  <a:extLst>
                    <a:ext uri="{FF2B5EF4-FFF2-40B4-BE49-F238E27FC236}">
                      <a16:creationId xmlns:a16="http://schemas.microsoft.com/office/drawing/2014/main" id="{00000000-0008-0000-0400-0000C1000000}"/>
                    </a:ext>
                  </a:extLst>
                </xdr:cNvPr>
                <xdr:cNvGrpSpPr/>
              </xdr:nvGrpSpPr>
              <xdr:grpSpPr>
                <a:xfrm>
                  <a:off x="2921168" y="3076576"/>
                  <a:ext cx="914400" cy="3609974"/>
                  <a:chOff x="3262313" y="3209926"/>
                  <a:chExt cx="914400" cy="3609974"/>
                </a:xfrm>
              </xdr:grpSpPr>
              <xdr:grpSp>
                <xdr:nvGrpSpPr>
                  <xdr:cNvPr id="270" name="그룹 269">
                    <a:extLst>
                      <a:ext uri="{FF2B5EF4-FFF2-40B4-BE49-F238E27FC236}">
                        <a16:creationId xmlns:a16="http://schemas.microsoft.com/office/drawing/2014/main" id="{00000000-0008-0000-0400-00000E010000}"/>
                      </a:ext>
                    </a:extLst>
                  </xdr:cNvPr>
                  <xdr:cNvGrpSpPr/>
                </xdr:nvGrpSpPr>
                <xdr:grpSpPr>
                  <a:xfrm>
                    <a:off x="3262313" y="3209926"/>
                    <a:ext cx="914400" cy="3609974"/>
                    <a:chOff x="2228850" y="3190876"/>
                    <a:chExt cx="914400" cy="3609974"/>
                  </a:xfrm>
                </xdr:grpSpPr>
                <xdr:pic>
                  <xdr:nvPicPr>
                    <xdr:cNvPr id="275" name="그림 274">
                      <a:extLst>
                        <a:ext uri="{FF2B5EF4-FFF2-40B4-BE49-F238E27FC236}">
                          <a16:creationId xmlns:a16="http://schemas.microsoft.com/office/drawing/2014/main" id="{00000000-0008-0000-0400-00001301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4872" t="1762" r="2934" b="2889"/>
                    <a:stretch/>
                  </xdr:blipFill>
                  <xdr:spPr>
                    <a:xfrm>
                      <a:off x="2228850" y="3190876"/>
                      <a:ext cx="914400" cy="3609974"/>
                    </a:xfrm>
                    <a:prstGeom prst="rect">
                      <a:avLst/>
                    </a:prstGeom>
                  </xdr:spPr>
                </xdr:pic>
                <xdr:sp macro="" textlink="">
                  <xdr:nvSpPr>
                    <xdr:cNvPr id="276" name="타원 275">
                      <a:extLst>
                        <a:ext uri="{FF2B5EF4-FFF2-40B4-BE49-F238E27FC236}">
                          <a16:creationId xmlns:a16="http://schemas.microsoft.com/office/drawing/2014/main" id="{00000000-0008-0000-0400-000014010000}"/>
                        </a:ext>
                      </a:extLst>
                    </xdr:cNvPr>
                    <xdr:cNvSpPr/>
                  </xdr:nvSpPr>
                  <xdr:spPr>
                    <a:xfrm>
                      <a:off x="2415382" y="4009766"/>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77" name="타원 276">
                      <a:extLst>
                        <a:ext uri="{FF2B5EF4-FFF2-40B4-BE49-F238E27FC236}">
                          <a16:creationId xmlns:a16="http://schemas.microsoft.com/office/drawing/2014/main" id="{00000000-0008-0000-0400-000015010000}"/>
                        </a:ext>
                      </a:extLst>
                    </xdr:cNvPr>
                    <xdr:cNvSpPr/>
                  </xdr:nvSpPr>
                  <xdr:spPr>
                    <a:xfrm>
                      <a:off x="2418557" y="4364832"/>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78" name="타원 277">
                      <a:extLst>
                        <a:ext uri="{FF2B5EF4-FFF2-40B4-BE49-F238E27FC236}">
                          <a16:creationId xmlns:a16="http://schemas.microsoft.com/office/drawing/2014/main" id="{00000000-0008-0000-0400-000016010000}"/>
                        </a:ext>
                      </a:extLst>
                    </xdr:cNvPr>
                    <xdr:cNvSpPr/>
                  </xdr:nvSpPr>
                  <xdr:spPr>
                    <a:xfrm>
                      <a:off x="2509139" y="4364832"/>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79" name="타원 278">
                      <a:extLst>
                        <a:ext uri="{FF2B5EF4-FFF2-40B4-BE49-F238E27FC236}">
                          <a16:creationId xmlns:a16="http://schemas.microsoft.com/office/drawing/2014/main" id="{00000000-0008-0000-0400-000017010000}"/>
                        </a:ext>
                      </a:extLst>
                    </xdr:cNvPr>
                    <xdr:cNvSpPr/>
                  </xdr:nvSpPr>
                  <xdr:spPr>
                    <a:xfrm>
                      <a:off x="2509139" y="40065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80" name="타원 279">
                      <a:extLst>
                        <a:ext uri="{FF2B5EF4-FFF2-40B4-BE49-F238E27FC236}">
                          <a16:creationId xmlns:a16="http://schemas.microsoft.com/office/drawing/2014/main" id="{00000000-0008-0000-0400-000018010000}"/>
                        </a:ext>
                      </a:extLst>
                    </xdr:cNvPr>
                    <xdr:cNvSpPr/>
                  </xdr:nvSpPr>
                  <xdr:spPr>
                    <a:xfrm>
                      <a:off x="2509139" y="40954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81" name="타원 280">
                      <a:extLst>
                        <a:ext uri="{FF2B5EF4-FFF2-40B4-BE49-F238E27FC236}">
                          <a16:creationId xmlns:a16="http://schemas.microsoft.com/office/drawing/2014/main" id="{00000000-0008-0000-0400-000019010000}"/>
                        </a:ext>
                      </a:extLst>
                    </xdr:cNvPr>
                    <xdr:cNvSpPr/>
                  </xdr:nvSpPr>
                  <xdr:spPr>
                    <a:xfrm>
                      <a:off x="2471738" y="5346341"/>
                      <a:ext cx="50006" cy="50006"/>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82" name="타원 281">
                      <a:extLst>
                        <a:ext uri="{FF2B5EF4-FFF2-40B4-BE49-F238E27FC236}">
                          <a16:creationId xmlns:a16="http://schemas.microsoft.com/office/drawing/2014/main" id="{00000000-0008-0000-0400-00001A010000}"/>
                        </a:ext>
                      </a:extLst>
                    </xdr:cNvPr>
                    <xdr:cNvSpPr/>
                  </xdr:nvSpPr>
                  <xdr:spPr>
                    <a:xfrm>
                      <a:off x="2434838" y="4626460"/>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83" name="타원 282">
                      <a:extLst>
                        <a:ext uri="{FF2B5EF4-FFF2-40B4-BE49-F238E27FC236}">
                          <a16:creationId xmlns:a16="http://schemas.microsoft.com/office/drawing/2014/main" id="{00000000-0008-0000-0400-00001B010000}"/>
                        </a:ext>
                      </a:extLst>
                    </xdr:cNvPr>
                    <xdr:cNvSpPr/>
                  </xdr:nvSpPr>
                  <xdr:spPr>
                    <a:xfrm>
                      <a:off x="2527702" y="4634173"/>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84" name="타원 283">
                      <a:extLst>
                        <a:ext uri="{FF2B5EF4-FFF2-40B4-BE49-F238E27FC236}">
                          <a16:creationId xmlns:a16="http://schemas.microsoft.com/office/drawing/2014/main" id="{00000000-0008-0000-0400-00001C010000}"/>
                        </a:ext>
                      </a:extLst>
                    </xdr:cNvPr>
                    <xdr:cNvSpPr/>
                  </xdr:nvSpPr>
                  <xdr:spPr>
                    <a:xfrm>
                      <a:off x="2418557" y="4103204"/>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85" name="타원 284">
                      <a:extLst>
                        <a:ext uri="{FF2B5EF4-FFF2-40B4-BE49-F238E27FC236}">
                          <a16:creationId xmlns:a16="http://schemas.microsoft.com/office/drawing/2014/main" id="{00000000-0008-0000-0400-00001D010000}"/>
                        </a:ext>
                      </a:extLst>
                    </xdr:cNvPr>
                    <xdr:cNvSpPr/>
                  </xdr:nvSpPr>
                  <xdr:spPr>
                    <a:xfrm>
                      <a:off x="2418557" y="418729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86" name="타원 285">
                      <a:extLst>
                        <a:ext uri="{FF2B5EF4-FFF2-40B4-BE49-F238E27FC236}">
                          <a16:creationId xmlns:a16="http://schemas.microsoft.com/office/drawing/2014/main" id="{00000000-0008-0000-0400-00001E010000}"/>
                        </a:ext>
                      </a:extLst>
                    </xdr:cNvPr>
                    <xdr:cNvSpPr/>
                  </xdr:nvSpPr>
                  <xdr:spPr>
                    <a:xfrm>
                      <a:off x="2415382" y="4449393"/>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87" name="타원 286">
                      <a:extLst>
                        <a:ext uri="{FF2B5EF4-FFF2-40B4-BE49-F238E27FC236}">
                          <a16:creationId xmlns:a16="http://schemas.microsoft.com/office/drawing/2014/main" id="{00000000-0008-0000-0400-00001F010000}"/>
                        </a:ext>
                      </a:extLst>
                    </xdr:cNvPr>
                    <xdr:cNvSpPr/>
                  </xdr:nvSpPr>
                  <xdr:spPr>
                    <a:xfrm>
                      <a:off x="2434838" y="472353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271" name="그룹 270">
                    <a:extLst>
                      <a:ext uri="{FF2B5EF4-FFF2-40B4-BE49-F238E27FC236}">
                        <a16:creationId xmlns:a16="http://schemas.microsoft.com/office/drawing/2014/main" id="{00000000-0008-0000-0400-00000F010000}"/>
                      </a:ext>
                    </a:extLst>
                  </xdr:cNvPr>
                  <xdr:cNvGrpSpPr/>
                </xdr:nvGrpSpPr>
                <xdr:grpSpPr>
                  <a:xfrm>
                    <a:off x="3357531" y="6077559"/>
                    <a:ext cx="357219" cy="734485"/>
                    <a:chOff x="5023743" y="4906381"/>
                    <a:chExt cx="172673" cy="380393"/>
                  </a:xfrm>
                </xdr:grpSpPr>
                <xdr:sp macro="" textlink="">
                  <xdr:nvSpPr>
                    <xdr:cNvPr id="272" name="직사각형 271">
                      <a:extLst>
                        <a:ext uri="{FF2B5EF4-FFF2-40B4-BE49-F238E27FC236}">
                          <a16:creationId xmlns:a16="http://schemas.microsoft.com/office/drawing/2014/main" id="{00000000-0008-0000-0400-000010010000}"/>
                        </a:ext>
                      </a:extLst>
                    </xdr:cNvPr>
                    <xdr:cNvSpPr/>
                  </xdr:nvSpPr>
                  <xdr:spPr>
                    <a:xfrm>
                      <a:off x="5023743" y="4906381"/>
                      <a:ext cx="172673" cy="380393"/>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73" name="직사각형 272">
                      <a:extLst>
                        <a:ext uri="{FF2B5EF4-FFF2-40B4-BE49-F238E27FC236}">
                          <a16:creationId xmlns:a16="http://schemas.microsoft.com/office/drawing/2014/main" id="{00000000-0008-0000-0400-000011010000}"/>
                        </a:ext>
                      </a:extLst>
                    </xdr:cNvPr>
                    <xdr:cNvSpPr/>
                  </xdr:nvSpPr>
                  <xdr:spPr>
                    <a:xfrm>
                      <a:off x="5055436" y="5096578"/>
                      <a:ext cx="109287" cy="149174"/>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74" name="직사각형 273">
                      <a:extLst>
                        <a:ext uri="{FF2B5EF4-FFF2-40B4-BE49-F238E27FC236}">
                          <a16:creationId xmlns:a16="http://schemas.microsoft.com/office/drawing/2014/main" id="{00000000-0008-0000-0400-000012010000}"/>
                        </a:ext>
                      </a:extLst>
                    </xdr:cNvPr>
                    <xdr:cNvSpPr/>
                  </xdr:nvSpPr>
                  <xdr:spPr>
                    <a:xfrm>
                      <a:off x="5060686" y="5096578"/>
                      <a:ext cx="98786" cy="52211"/>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grpSp>
              <xdr:nvGrpSpPr>
                <xdr:cNvPr id="194" name="그룹 193">
                  <a:extLst>
                    <a:ext uri="{FF2B5EF4-FFF2-40B4-BE49-F238E27FC236}">
                      <a16:creationId xmlns:a16="http://schemas.microsoft.com/office/drawing/2014/main" id="{00000000-0008-0000-0400-0000C2000000}"/>
                    </a:ext>
                  </a:extLst>
                </xdr:cNvPr>
                <xdr:cNvGrpSpPr/>
              </xdr:nvGrpSpPr>
              <xdr:grpSpPr>
                <a:xfrm>
                  <a:off x="3842085" y="3076576"/>
                  <a:ext cx="914400" cy="3609974"/>
                  <a:chOff x="3262313" y="3209926"/>
                  <a:chExt cx="914400" cy="3609974"/>
                </a:xfrm>
              </xdr:grpSpPr>
              <xdr:grpSp>
                <xdr:nvGrpSpPr>
                  <xdr:cNvPr id="252" name="그룹 251">
                    <a:extLst>
                      <a:ext uri="{FF2B5EF4-FFF2-40B4-BE49-F238E27FC236}">
                        <a16:creationId xmlns:a16="http://schemas.microsoft.com/office/drawing/2014/main" id="{00000000-0008-0000-0400-0000FC000000}"/>
                      </a:ext>
                    </a:extLst>
                  </xdr:cNvPr>
                  <xdr:cNvGrpSpPr/>
                </xdr:nvGrpSpPr>
                <xdr:grpSpPr>
                  <a:xfrm>
                    <a:off x="3262313" y="3209926"/>
                    <a:ext cx="914400" cy="3609974"/>
                    <a:chOff x="2228850" y="3190876"/>
                    <a:chExt cx="914400" cy="3609974"/>
                  </a:xfrm>
                </xdr:grpSpPr>
                <xdr:pic>
                  <xdr:nvPicPr>
                    <xdr:cNvPr id="257" name="그림 256">
                      <a:extLst>
                        <a:ext uri="{FF2B5EF4-FFF2-40B4-BE49-F238E27FC236}">
                          <a16:creationId xmlns:a16="http://schemas.microsoft.com/office/drawing/2014/main" id="{00000000-0008-0000-0400-00000101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4872" t="1762" r="2934" b="2889"/>
                    <a:stretch/>
                  </xdr:blipFill>
                  <xdr:spPr>
                    <a:xfrm>
                      <a:off x="2228850" y="3190876"/>
                      <a:ext cx="914400" cy="3609974"/>
                    </a:xfrm>
                    <a:prstGeom prst="rect">
                      <a:avLst/>
                    </a:prstGeom>
                  </xdr:spPr>
                </xdr:pic>
                <xdr:sp macro="" textlink="">
                  <xdr:nvSpPr>
                    <xdr:cNvPr id="258" name="타원 257">
                      <a:extLst>
                        <a:ext uri="{FF2B5EF4-FFF2-40B4-BE49-F238E27FC236}">
                          <a16:creationId xmlns:a16="http://schemas.microsoft.com/office/drawing/2014/main" id="{00000000-0008-0000-0400-000002010000}"/>
                        </a:ext>
                      </a:extLst>
                    </xdr:cNvPr>
                    <xdr:cNvSpPr/>
                  </xdr:nvSpPr>
                  <xdr:spPr>
                    <a:xfrm>
                      <a:off x="2415382" y="4009766"/>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59" name="타원 258">
                      <a:extLst>
                        <a:ext uri="{FF2B5EF4-FFF2-40B4-BE49-F238E27FC236}">
                          <a16:creationId xmlns:a16="http://schemas.microsoft.com/office/drawing/2014/main" id="{00000000-0008-0000-0400-000003010000}"/>
                        </a:ext>
                      </a:extLst>
                    </xdr:cNvPr>
                    <xdr:cNvSpPr/>
                  </xdr:nvSpPr>
                  <xdr:spPr>
                    <a:xfrm>
                      <a:off x="2418557" y="4364832"/>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60" name="타원 259">
                      <a:extLst>
                        <a:ext uri="{FF2B5EF4-FFF2-40B4-BE49-F238E27FC236}">
                          <a16:creationId xmlns:a16="http://schemas.microsoft.com/office/drawing/2014/main" id="{00000000-0008-0000-0400-000004010000}"/>
                        </a:ext>
                      </a:extLst>
                    </xdr:cNvPr>
                    <xdr:cNvSpPr/>
                  </xdr:nvSpPr>
                  <xdr:spPr>
                    <a:xfrm>
                      <a:off x="2509139" y="4364832"/>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61" name="타원 260">
                      <a:extLst>
                        <a:ext uri="{FF2B5EF4-FFF2-40B4-BE49-F238E27FC236}">
                          <a16:creationId xmlns:a16="http://schemas.microsoft.com/office/drawing/2014/main" id="{00000000-0008-0000-0400-000005010000}"/>
                        </a:ext>
                      </a:extLst>
                    </xdr:cNvPr>
                    <xdr:cNvSpPr/>
                  </xdr:nvSpPr>
                  <xdr:spPr>
                    <a:xfrm>
                      <a:off x="2509139" y="40065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62" name="타원 261">
                      <a:extLst>
                        <a:ext uri="{FF2B5EF4-FFF2-40B4-BE49-F238E27FC236}">
                          <a16:creationId xmlns:a16="http://schemas.microsoft.com/office/drawing/2014/main" id="{00000000-0008-0000-0400-000006010000}"/>
                        </a:ext>
                      </a:extLst>
                    </xdr:cNvPr>
                    <xdr:cNvSpPr/>
                  </xdr:nvSpPr>
                  <xdr:spPr>
                    <a:xfrm>
                      <a:off x="2509139" y="40954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63" name="타원 262">
                      <a:extLst>
                        <a:ext uri="{FF2B5EF4-FFF2-40B4-BE49-F238E27FC236}">
                          <a16:creationId xmlns:a16="http://schemas.microsoft.com/office/drawing/2014/main" id="{00000000-0008-0000-0400-000007010000}"/>
                        </a:ext>
                      </a:extLst>
                    </xdr:cNvPr>
                    <xdr:cNvSpPr/>
                  </xdr:nvSpPr>
                  <xdr:spPr>
                    <a:xfrm>
                      <a:off x="2471738" y="5346341"/>
                      <a:ext cx="50006" cy="50006"/>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64" name="타원 263">
                      <a:extLst>
                        <a:ext uri="{FF2B5EF4-FFF2-40B4-BE49-F238E27FC236}">
                          <a16:creationId xmlns:a16="http://schemas.microsoft.com/office/drawing/2014/main" id="{00000000-0008-0000-0400-000008010000}"/>
                        </a:ext>
                      </a:extLst>
                    </xdr:cNvPr>
                    <xdr:cNvSpPr/>
                  </xdr:nvSpPr>
                  <xdr:spPr>
                    <a:xfrm>
                      <a:off x="2434838" y="4626460"/>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65" name="타원 264">
                      <a:extLst>
                        <a:ext uri="{FF2B5EF4-FFF2-40B4-BE49-F238E27FC236}">
                          <a16:creationId xmlns:a16="http://schemas.microsoft.com/office/drawing/2014/main" id="{00000000-0008-0000-0400-000009010000}"/>
                        </a:ext>
                      </a:extLst>
                    </xdr:cNvPr>
                    <xdr:cNvSpPr/>
                  </xdr:nvSpPr>
                  <xdr:spPr>
                    <a:xfrm>
                      <a:off x="2527702" y="4634173"/>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66" name="타원 265">
                      <a:extLst>
                        <a:ext uri="{FF2B5EF4-FFF2-40B4-BE49-F238E27FC236}">
                          <a16:creationId xmlns:a16="http://schemas.microsoft.com/office/drawing/2014/main" id="{00000000-0008-0000-0400-00000A010000}"/>
                        </a:ext>
                      </a:extLst>
                    </xdr:cNvPr>
                    <xdr:cNvSpPr/>
                  </xdr:nvSpPr>
                  <xdr:spPr>
                    <a:xfrm>
                      <a:off x="2418557" y="4103204"/>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67" name="타원 266">
                      <a:extLst>
                        <a:ext uri="{FF2B5EF4-FFF2-40B4-BE49-F238E27FC236}">
                          <a16:creationId xmlns:a16="http://schemas.microsoft.com/office/drawing/2014/main" id="{00000000-0008-0000-0400-00000B010000}"/>
                        </a:ext>
                      </a:extLst>
                    </xdr:cNvPr>
                    <xdr:cNvSpPr/>
                  </xdr:nvSpPr>
                  <xdr:spPr>
                    <a:xfrm>
                      <a:off x="2418557" y="418729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68" name="타원 267">
                      <a:extLst>
                        <a:ext uri="{FF2B5EF4-FFF2-40B4-BE49-F238E27FC236}">
                          <a16:creationId xmlns:a16="http://schemas.microsoft.com/office/drawing/2014/main" id="{00000000-0008-0000-0400-00000C010000}"/>
                        </a:ext>
                      </a:extLst>
                    </xdr:cNvPr>
                    <xdr:cNvSpPr/>
                  </xdr:nvSpPr>
                  <xdr:spPr>
                    <a:xfrm>
                      <a:off x="2415382" y="4449393"/>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69" name="타원 268">
                      <a:extLst>
                        <a:ext uri="{FF2B5EF4-FFF2-40B4-BE49-F238E27FC236}">
                          <a16:creationId xmlns:a16="http://schemas.microsoft.com/office/drawing/2014/main" id="{00000000-0008-0000-0400-00000D010000}"/>
                        </a:ext>
                      </a:extLst>
                    </xdr:cNvPr>
                    <xdr:cNvSpPr/>
                  </xdr:nvSpPr>
                  <xdr:spPr>
                    <a:xfrm>
                      <a:off x="2434838" y="472353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253" name="그룹 252">
                    <a:extLst>
                      <a:ext uri="{FF2B5EF4-FFF2-40B4-BE49-F238E27FC236}">
                        <a16:creationId xmlns:a16="http://schemas.microsoft.com/office/drawing/2014/main" id="{00000000-0008-0000-0400-0000FD000000}"/>
                      </a:ext>
                    </a:extLst>
                  </xdr:cNvPr>
                  <xdr:cNvGrpSpPr/>
                </xdr:nvGrpSpPr>
                <xdr:grpSpPr>
                  <a:xfrm>
                    <a:off x="3357531" y="6077559"/>
                    <a:ext cx="357219" cy="734485"/>
                    <a:chOff x="5023743" y="4906381"/>
                    <a:chExt cx="172673" cy="380393"/>
                  </a:xfrm>
                </xdr:grpSpPr>
                <xdr:sp macro="" textlink="">
                  <xdr:nvSpPr>
                    <xdr:cNvPr id="254" name="직사각형 253">
                      <a:extLst>
                        <a:ext uri="{FF2B5EF4-FFF2-40B4-BE49-F238E27FC236}">
                          <a16:creationId xmlns:a16="http://schemas.microsoft.com/office/drawing/2014/main" id="{00000000-0008-0000-0400-0000FE000000}"/>
                        </a:ext>
                      </a:extLst>
                    </xdr:cNvPr>
                    <xdr:cNvSpPr/>
                  </xdr:nvSpPr>
                  <xdr:spPr>
                    <a:xfrm>
                      <a:off x="5023743" y="4906381"/>
                      <a:ext cx="172673" cy="380393"/>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55" name="직사각형 254">
                      <a:extLst>
                        <a:ext uri="{FF2B5EF4-FFF2-40B4-BE49-F238E27FC236}">
                          <a16:creationId xmlns:a16="http://schemas.microsoft.com/office/drawing/2014/main" id="{00000000-0008-0000-0400-0000FF000000}"/>
                        </a:ext>
                      </a:extLst>
                    </xdr:cNvPr>
                    <xdr:cNvSpPr/>
                  </xdr:nvSpPr>
                  <xdr:spPr>
                    <a:xfrm>
                      <a:off x="5055436" y="5096578"/>
                      <a:ext cx="109287" cy="149174"/>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56" name="직사각형 255">
                      <a:extLst>
                        <a:ext uri="{FF2B5EF4-FFF2-40B4-BE49-F238E27FC236}">
                          <a16:creationId xmlns:a16="http://schemas.microsoft.com/office/drawing/2014/main" id="{00000000-0008-0000-0400-000000010000}"/>
                        </a:ext>
                      </a:extLst>
                    </xdr:cNvPr>
                    <xdr:cNvSpPr/>
                  </xdr:nvSpPr>
                  <xdr:spPr>
                    <a:xfrm>
                      <a:off x="5060686" y="5096578"/>
                      <a:ext cx="98786" cy="52211"/>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grpSp>
              <xdr:nvGrpSpPr>
                <xdr:cNvPr id="195" name="그룹 194">
                  <a:extLst>
                    <a:ext uri="{FF2B5EF4-FFF2-40B4-BE49-F238E27FC236}">
                      <a16:creationId xmlns:a16="http://schemas.microsoft.com/office/drawing/2014/main" id="{00000000-0008-0000-0400-0000C3000000}"/>
                    </a:ext>
                  </a:extLst>
                </xdr:cNvPr>
                <xdr:cNvGrpSpPr/>
              </xdr:nvGrpSpPr>
              <xdr:grpSpPr>
                <a:xfrm>
                  <a:off x="4763002" y="3076576"/>
                  <a:ext cx="914400" cy="3609974"/>
                  <a:chOff x="3262313" y="3209926"/>
                  <a:chExt cx="914400" cy="3609974"/>
                </a:xfrm>
              </xdr:grpSpPr>
              <xdr:grpSp>
                <xdr:nvGrpSpPr>
                  <xdr:cNvPr id="234" name="그룹 233">
                    <a:extLst>
                      <a:ext uri="{FF2B5EF4-FFF2-40B4-BE49-F238E27FC236}">
                        <a16:creationId xmlns:a16="http://schemas.microsoft.com/office/drawing/2014/main" id="{00000000-0008-0000-0400-0000EA000000}"/>
                      </a:ext>
                    </a:extLst>
                  </xdr:cNvPr>
                  <xdr:cNvGrpSpPr/>
                </xdr:nvGrpSpPr>
                <xdr:grpSpPr>
                  <a:xfrm>
                    <a:off x="3262313" y="3209926"/>
                    <a:ext cx="914400" cy="3609974"/>
                    <a:chOff x="2228850" y="3190876"/>
                    <a:chExt cx="914400" cy="3609974"/>
                  </a:xfrm>
                </xdr:grpSpPr>
                <xdr:pic>
                  <xdr:nvPicPr>
                    <xdr:cNvPr id="239" name="그림 238">
                      <a:extLst>
                        <a:ext uri="{FF2B5EF4-FFF2-40B4-BE49-F238E27FC236}">
                          <a16:creationId xmlns:a16="http://schemas.microsoft.com/office/drawing/2014/main" id="{00000000-0008-0000-0400-0000EF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4872" t="1762" r="2934" b="2889"/>
                    <a:stretch/>
                  </xdr:blipFill>
                  <xdr:spPr>
                    <a:xfrm>
                      <a:off x="2228850" y="3190876"/>
                      <a:ext cx="914400" cy="3609974"/>
                    </a:xfrm>
                    <a:prstGeom prst="rect">
                      <a:avLst/>
                    </a:prstGeom>
                  </xdr:spPr>
                </xdr:pic>
                <xdr:sp macro="" textlink="">
                  <xdr:nvSpPr>
                    <xdr:cNvPr id="240" name="타원 239">
                      <a:extLst>
                        <a:ext uri="{FF2B5EF4-FFF2-40B4-BE49-F238E27FC236}">
                          <a16:creationId xmlns:a16="http://schemas.microsoft.com/office/drawing/2014/main" id="{00000000-0008-0000-0400-0000F0000000}"/>
                        </a:ext>
                      </a:extLst>
                    </xdr:cNvPr>
                    <xdr:cNvSpPr/>
                  </xdr:nvSpPr>
                  <xdr:spPr>
                    <a:xfrm>
                      <a:off x="2415382" y="4009766"/>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41" name="타원 240">
                      <a:extLst>
                        <a:ext uri="{FF2B5EF4-FFF2-40B4-BE49-F238E27FC236}">
                          <a16:creationId xmlns:a16="http://schemas.microsoft.com/office/drawing/2014/main" id="{00000000-0008-0000-0400-0000F1000000}"/>
                        </a:ext>
                      </a:extLst>
                    </xdr:cNvPr>
                    <xdr:cNvSpPr/>
                  </xdr:nvSpPr>
                  <xdr:spPr>
                    <a:xfrm>
                      <a:off x="2418557" y="4364832"/>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42" name="타원 241">
                      <a:extLst>
                        <a:ext uri="{FF2B5EF4-FFF2-40B4-BE49-F238E27FC236}">
                          <a16:creationId xmlns:a16="http://schemas.microsoft.com/office/drawing/2014/main" id="{00000000-0008-0000-0400-0000F2000000}"/>
                        </a:ext>
                      </a:extLst>
                    </xdr:cNvPr>
                    <xdr:cNvSpPr/>
                  </xdr:nvSpPr>
                  <xdr:spPr>
                    <a:xfrm>
                      <a:off x="2509139" y="4364832"/>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43" name="타원 242">
                      <a:extLst>
                        <a:ext uri="{FF2B5EF4-FFF2-40B4-BE49-F238E27FC236}">
                          <a16:creationId xmlns:a16="http://schemas.microsoft.com/office/drawing/2014/main" id="{00000000-0008-0000-0400-0000F3000000}"/>
                        </a:ext>
                      </a:extLst>
                    </xdr:cNvPr>
                    <xdr:cNvSpPr/>
                  </xdr:nvSpPr>
                  <xdr:spPr>
                    <a:xfrm>
                      <a:off x="2509139" y="40065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44" name="타원 243">
                      <a:extLst>
                        <a:ext uri="{FF2B5EF4-FFF2-40B4-BE49-F238E27FC236}">
                          <a16:creationId xmlns:a16="http://schemas.microsoft.com/office/drawing/2014/main" id="{00000000-0008-0000-0400-0000F4000000}"/>
                        </a:ext>
                      </a:extLst>
                    </xdr:cNvPr>
                    <xdr:cNvSpPr/>
                  </xdr:nvSpPr>
                  <xdr:spPr>
                    <a:xfrm>
                      <a:off x="2509139" y="40954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45" name="타원 244">
                      <a:extLst>
                        <a:ext uri="{FF2B5EF4-FFF2-40B4-BE49-F238E27FC236}">
                          <a16:creationId xmlns:a16="http://schemas.microsoft.com/office/drawing/2014/main" id="{00000000-0008-0000-0400-0000F5000000}"/>
                        </a:ext>
                      </a:extLst>
                    </xdr:cNvPr>
                    <xdr:cNvSpPr/>
                  </xdr:nvSpPr>
                  <xdr:spPr>
                    <a:xfrm>
                      <a:off x="2471738" y="5346341"/>
                      <a:ext cx="50006" cy="50006"/>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46" name="타원 245">
                      <a:extLst>
                        <a:ext uri="{FF2B5EF4-FFF2-40B4-BE49-F238E27FC236}">
                          <a16:creationId xmlns:a16="http://schemas.microsoft.com/office/drawing/2014/main" id="{00000000-0008-0000-0400-0000F6000000}"/>
                        </a:ext>
                      </a:extLst>
                    </xdr:cNvPr>
                    <xdr:cNvSpPr/>
                  </xdr:nvSpPr>
                  <xdr:spPr>
                    <a:xfrm>
                      <a:off x="2434838" y="4626460"/>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47" name="타원 246">
                      <a:extLst>
                        <a:ext uri="{FF2B5EF4-FFF2-40B4-BE49-F238E27FC236}">
                          <a16:creationId xmlns:a16="http://schemas.microsoft.com/office/drawing/2014/main" id="{00000000-0008-0000-0400-0000F7000000}"/>
                        </a:ext>
                      </a:extLst>
                    </xdr:cNvPr>
                    <xdr:cNvSpPr/>
                  </xdr:nvSpPr>
                  <xdr:spPr>
                    <a:xfrm>
                      <a:off x="2527702" y="4634173"/>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48" name="타원 247">
                      <a:extLst>
                        <a:ext uri="{FF2B5EF4-FFF2-40B4-BE49-F238E27FC236}">
                          <a16:creationId xmlns:a16="http://schemas.microsoft.com/office/drawing/2014/main" id="{00000000-0008-0000-0400-0000F8000000}"/>
                        </a:ext>
                      </a:extLst>
                    </xdr:cNvPr>
                    <xdr:cNvSpPr/>
                  </xdr:nvSpPr>
                  <xdr:spPr>
                    <a:xfrm>
                      <a:off x="2418557" y="4103204"/>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49" name="타원 248">
                      <a:extLst>
                        <a:ext uri="{FF2B5EF4-FFF2-40B4-BE49-F238E27FC236}">
                          <a16:creationId xmlns:a16="http://schemas.microsoft.com/office/drawing/2014/main" id="{00000000-0008-0000-0400-0000F9000000}"/>
                        </a:ext>
                      </a:extLst>
                    </xdr:cNvPr>
                    <xdr:cNvSpPr/>
                  </xdr:nvSpPr>
                  <xdr:spPr>
                    <a:xfrm>
                      <a:off x="2418557" y="418729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50" name="타원 249">
                      <a:extLst>
                        <a:ext uri="{FF2B5EF4-FFF2-40B4-BE49-F238E27FC236}">
                          <a16:creationId xmlns:a16="http://schemas.microsoft.com/office/drawing/2014/main" id="{00000000-0008-0000-0400-0000FA000000}"/>
                        </a:ext>
                      </a:extLst>
                    </xdr:cNvPr>
                    <xdr:cNvSpPr/>
                  </xdr:nvSpPr>
                  <xdr:spPr>
                    <a:xfrm>
                      <a:off x="2415382" y="4449393"/>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51" name="타원 250">
                      <a:extLst>
                        <a:ext uri="{FF2B5EF4-FFF2-40B4-BE49-F238E27FC236}">
                          <a16:creationId xmlns:a16="http://schemas.microsoft.com/office/drawing/2014/main" id="{00000000-0008-0000-0400-0000FB000000}"/>
                        </a:ext>
                      </a:extLst>
                    </xdr:cNvPr>
                    <xdr:cNvSpPr/>
                  </xdr:nvSpPr>
                  <xdr:spPr>
                    <a:xfrm>
                      <a:off x="2434838" y="472353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235" name="그룹 234">
                    <a:extLst>
                      <a:ext uri="{FF2B5EF4-FFF2-40B4-BE49-F238E27FC236}">
                        <a16:creationId xmlns:a16="http://schemas.microsoft.com/office/drawing/2014/main" id="{00000000-0008-0000-0400-0000EB000000}"/>
                      </a:ext>
                    </a:extLst>
                  </xdr:cNvPr>
                  <xdr:cNvGrpSpPr/>
                </xdr:nvGrpSpPr>
                <xdr:grpSpPr>
                  <a:xfrm>
                    <a:off x="3357531" y="6077559"/>
                    <a:ext cx="357219" cy="734485"/>
                    <a:chOff x="5023743" y="4906381"/>
                    <a:chExt cx="172673" cy="380393"/>
                  </a:xfrm>
                </xdr:grpSpPr>
                <xdr:sp macro="" textlink="">
                  <xdr:nvSpPr>
                    <xdr:cNvPr id="236" name="직사각형 235">
                      <a:extLst>
                        <a:ext uri="{FF2B5EF4-FFF2-40B4-BE49-F238E27FC236}">
                          <a16:creationId xmlns:a16="http://schemas.microsoft.com/office/drawing/2014/main" id="{00000000-0008-0000-0400-0000EC000000}"/>
                        </a:ext>
                      </a:extLst>
                    </xdr:cNvPr>
                    <xdr:cNvSpPr/>
                  </xdr:nvSpPr>
                  <xdr:spPr>
                    <a:xfrm>
                      <a:off x="5023743" y="4906381"/>
                      <a:ext cx="172673" cy="380393"/>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37" name="직사각형 236">
                      <a:extLst>
                        <a:ext uri="{FF2B5EF4-FFF2-40B4-BE49-F238E27FC236}">
                          <a16:creationId xmlns:a16="http://schemas.microsoft.com/office/drawing/2014/main" id="{00000000-0008-0000-0400-0000ED000000}"/>
                        </a:ext>
                      </a:extLst>
                    </xdr:cNvPr>
                    <xdr:cNvSpPr/>
                  </xdr:nvSpPr>
                  <xdr:spPr>
                    <a:xfrm>
                      <a:off x="5055436" y="5096578"/>
                      <a:ext cx="109287" cy="149174"/>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38" name="직사각형 237">
                      <a:extLst>
                        <a:ext uri="{FF2B5EF4-FFF2-40B4-BE49-F238E27FC236}">
                          <a16:creationId xmlns:a16="http://schemas.microsoft.com/office/drawing/2014/main" id="{00000000-0008-0000-0400-0000EE000000}"/>
                        </a:ext>
                      </a:extLst>
                    </xdr:cNvPr>
                    <xdr:cNvSpPr/>
                  </xdr:nvSpPr>
                  <xdr:spPr>
                    <a:xfrm>
                      <a:off x="5060686" y="5096578"/>
                      <a:ext cx="98786" cy="52211"/>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grpSp>
              <xdr:nvGrpSpPr>
                <xdr:cNvPr id="196" name="그룹 195">
                  <a:extLst>
                    <a:ext uri="{FF2B5EF4-FFF2-40B4-BE49-F238E27FC236}">
                      <a16:creationId xmlns:a16="http://schemas.microsoft.com/office/drawing/2014/main" id="{00000000-0008-0000-0400-0000C4000000}"/>
                    </a:ext>
                  </a:extLst>
                </xdr:cNvPr>
                <xdr:cNvGrpSpPr/>
              </xdr:nvGrpSpPr>
              <xdr:grpSpPr>
                <a:xfrm>
                  <a:off x="5683919" y="3076576"/>
                  <a:ext cx="914400" cy="3609974"/>
                  <a:chOff x="3262313" y="3209926"/>
                  <a:chExt cx="914400" cy="3609974"/>
                </a:xfrm>
              </xdr:grpSpPr>
              <xdr:grpSp>
                <xdr:nvGrpSpPr>
                  <xdr:cNvPr id="216" name="그룹 215">
                    <a:extLst>
                      <a:ext uri="{FF2B5EF4-FFF2-40B4-BE49-F238E27FC236}">
                        <a16:creationId xmlns:a16="http://schemas.microsoft.com/office/drawing/2014/main" id="{00000000-0008-0000-0400-0000D8000000}"/>
                      </a:ext>
                    </a:extLst>
                  </xdr:cNvPr>
                  <xdr:cNvGrpSpPr/>
                </xdr:nvGrpSpPr>
                <xdr:grpSpPr>
                  <a:xfrm>
                    <a:off x="3262313" y="3209926"/>
                    <a:ext cx="914400" cy="3609974"/>
                    <a:chOff x="2228850" y="3190876"/>
                    <a:chExt cx="914400" cy="3609974"/>
                  </a:xfrm>
                </xdr:grpSpPr>
                <xdr:pic>
                  <xdr:nvPicPr>
                    <xdr:cNvPr id="221" name="그림 220">
                      <a:extLst>
                        <a:ext uri="{FF2B5EF4-FFF2-40B4-BE49-F238E27FC236}">
                          <a16:creationId xmlns:a16="http://schemas.microsoft.com/office/drawing/2014/main" id="{00000000-0008-0000-0400-0000DD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4872" t="1762" r="2934" b="2889"/>
                    <a:stretch/>
                  </xdr:blipFill>
                  <xdr:spPr>
                    <a:xfrm>
                      <a:off x="2228850" y="3190876"/>
                      <a:ext cx="914400" cy="3609974"/>
                    </a:xfrm>
                    <a:prstGeom prst="rect">
                      <a:avLst/>
                    </a:prstGeom>
                  </xdr:spPr>
                </xdr:pic>
                <xdr:sp macro="" textlink="">
                  <xdr:nvSpPr>
                    <xdr:cNvPr id="222" name="타원 221">
                      <a:extLst>
                        <a:ext uri="{FF2B5EF4-FFF2-40B4-BE49-F238E27FC236}">
                          <a16:creationId xmlns:a16="http://schemas.microsoft.com/office/drawing/2014/main" id="{00000000-0008-0000-0400-0000DE000000}"/>
                        </a:ext>
                      </a:extLst>
                    </xdr:cNvPr>
                    <xdr:cNvSpPr/>
                  </xdr:nvSpPr>
                  <xdr:spPr>
                    <a:xfrm>
                      <a:off x="2415382" y="4009766"/>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23" name="타원 222">
                      <a:extLst>
                        <a:ext uri="{FF2B5EF4-FFF2-40B4-BE49-F238E27FC236}">
                          <a16:creationId xmlns:a16="http://schemas.microsoft.com/office/drawing/2014/main" id="{00000000-0008-0000-0400-0000DF000000}"/>
                        </a:ext>
                      </a:extLst>
                    </xdr:cNvPr>
                    <xdr:cNvSpPr/>
                  </xdr:nvSpPr>
                  <xdr:spPr>
                    <a:xfrm>
                      <a:off x="2418557" y="4364832"/>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24" name="타원 223">
                      <a:extLst>
                        <a:ext uri="{FF2B5EF4-FFF2-40B4-BE49-F238E27FC236}">
                          <a16:creationId xmlns:a16="http://schemas.microsoft.com/office/drawing/2014/main" id="{00000000-0008-0000-0400-0000E0000000}"/>
                        </a:ext>
                      </a:extLst>
                    </xdr:cNvPr>
                    <xdr:cNvSpPr/>
                  </xdr:nvSpPr>
                  <xdr:spPr>
                    <a:xfrm>
                      <a:off x="2509139" y="4364832"/>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25" name="타원 224">
                      <a:extLst>
                        <a:ext uri="{FF2B5EF4-FFF2-40B4-BE49-F238E27FC236}">
                          <a16:creationId xmlns:a16="http://schemas.microsoft.com/office/drawing/2014/main" id="{00000000-0008-0000-0400-0000E1000000}"/>
                        </a:ext>
                      </a:extLst>
                    </xdr:cNvPr>
                    <xdr:cNvSpPr/>
                  </xdr:nvSpPr>
                  <xdr:spPr>
                    <a:xfrm>
                      <a:off x="2509139" y="40065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26" name="타원 225">
                      <a:extLst>
                        <a:ext uri="{FF2B5EF4-FFF2-40B4-BE49-F238E27FC236}">
                          <a16:creationId xmlns:a16="http://schemas.microsoft.com/office/drawing/2014/main" id="{00000000-0008-0000-0400-0000E2000000}"/>
                        </a:ext>
                      </a:extLst>
                    </xdr:cNvPr>
                    <xdr:cNvSpPr/>
                  </xdr:nvSpPr>
                  <xdr:spPr>
                    <a:xfrm>
                      <a:off x="2509139" y="40954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27" name="타원 226">
                      <a:extLst>
                        <a:ext uri="{FF2B5EF4-FFF2-40B4-BE49-F238E27FC236}">
                          <a16:creationId xmlns:a16="http://schemas.microsoft.com/office/drawing/2014/main" id="{00000000-0008-0000-0400-0000E3000000}"/>
                        </a:ext>
                      </a:extLst>
                    </xdr:cNvPr>
                    <xdr:cNvSpPr/>
                  </xdr:nvSpPr>
                  <xdr:spPr>
                    <a:xfrm>
                      <a:off x="2471738" y="5346341"/>
                      <a:ext cx="50006" cy="50006"/>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28" name="타원 227">
                      <a:extLst>
                        <a:ext uri="{FF2B5EF4-FFF2-40B4-BE49-F238E27FC236}">
                          <a16:creationId xmlns:a16="http://schemas.microsoft.com/office/drawing/2014/main" id="{00000000-0008-0000-0400-0000E4000000}"/>
                        </a:ext>
                      </a:extLst>
                    </xdr:cNvPr>
                    <xdr:cNvSpPr/>
                  </xdr:nvSpPr>
                  <xdr:spPr>
                    <a:xfrm>
                      <a:off x="2434838" y="4626460"/>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29" name="타원 228">
                      <a:extLst>
                        <a:ext uri="{FF2B5EF4-FFF2-40B4-BE49-F238E27FC236}">
                          <a16:creationId xmlns:a16="http://schemas.microsoft.com/office/drawing/2014/main" id="{00000000-0008-0000-0400-0000E5000000}"/>
                        </a:ext>
                      </a:extLst>
                    </xdr:cNvPr>
                    <xdr:cNvSpPr/>
                  </xdr:nvSpPr>
                  <xdr:spPr>
                    <a:xfrm>
                      <a:off x="2527702" y="4634173"/>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30" name="타원 229">
                      <a:extLst>
                        <a:ext uri="{FF2B5EF4-FFF2-40B4-BE49-F238E27FC236}">
                          <a16:creationId xmlns:a16="http://schemas.microsoft.com/office/drawing/2014/main" id="{00000000-0008-0000-0400-0000E6000000}"/>
                        </a:ext>
                      </a:extLst>
                    </xdr:cNvPr>
                    <xdr:cNvSpPr/>
                  </xdr:nvSpPr>
                  <xdr:spPr>
                    <a:xfrm>
                      <a:off x="2418557" y="4103204"/>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31" name="타원 230">
                      <a:extLst>
                        <a:ext uri="{FF2B5EF4-FFF2-40B4-BE49-F238E27FC236}">
                          <a16:creationId xmlns:a16="http://schemas.microsoft.com/office/drawing/2014/main" id="{00000000-0008-0000-0400-0000E7000000}"/>
                        </a:ext>
                      </a:extLst>
                    </xdr:cNvPr>
                    <xdr:cNvSpPr/>
                  </xdr:nvSpPr>
                  <xdr:spPr>
                    <a:xfrm>
                      <a:off x="2418557" y="418729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32" name="타원 231">
                      <a:extLst>
                        <a:ext uri="{FF2B5EF4-FFF2-40B4-BE49-F238E27FC236}">
                          <a16:creationId xmlns:a16="http://schemas.microsoft.com/office/drawing/2014/main" id="{00000000-0008-0000-0400-0000E8000000}"/>
                        </a:ext>
                      </a:extLst>
                    </xdr:cNvPr>
                    <xdr:cNvSpPr/>
                  </xdr:nvSpPr>
                  <xdr:spPr>
                    <a:xfrm>
                      <a:off x="2415382" y="4449393"/>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33" name="타원 232">
                      <a:extLst>
                        <a:ext uri="{FF2B5EF4-FFF2-40B4-BE49-F238E27FC236}">
                          <a16:creationId xmlns:a16="http://schemas.microsoft.com/office/drawing/2014/main" id="{00000000-0008-0000-0400-0000E9000000}"/>
                        </a:ext>
                      </a:extLst>
                    </xdr:cNvPr>
                    <xdr:cNvSpPr/>
                  </xdr:nvSpPr>
                  <xdr:spPr>
                    <a:xfrm>
                      <a:off x="2434838" y="472353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217" name="그룹 216">
                    <a:extLst>
                      <a:ext uri="{FF2B5EF4-FFF2-40B4-BE49-F238E27FC236}">
                        <a16:creationId xmlns:a16="http://schemas.microsoft.com/office/drawing/2014/main" id="{00000000-0008-0000-0400-0000D9000000}"/>
                      </a:ext>
                    </a:extLst>
                  </xdr:cNvPr>
                  <xdr:cNvGrpSpPr/>
                </xdr:nvGrpSpPr>
                <xdr:grpSpPr>
                  <a:xfrm>
                    <a:off x="3357531" y="6077559"/>
                    <a:ext cx="357219" cy="734485"/>
                    <a:chOff x="5023743" y="4906381"/>
                    <a:chExt cx="172673" cy="380393"/>
                  </a:xfrm>
                </xdr:grpSpPr>
                <xdr:sp macro="" textlink="">
                  <xdr:nvSpPr>
                    <xdr:cNvPr id="218" name="직사각형 217">
                      <a:extLst>
                        <a:ext uri="{FF2B5EF4-FFF2-40B4-BE49-F238E27FC236}">
                          <a16:creationId xmlns:a16="http://schemas.microsoft.com/office/drawing/2014/main" id="{00000000-0008-0000-0400-0000DA000000}"/>
                        </a:ext>
                      </a:extLst>
                    </xdr:cNvPr>
                    <xdr:cNvSpPr/>
                  </xdr:nvSpPr>
                  <xdr:spPr>
                    <a:xfrm>
                      <a:off x="5023743" y="4906381"/>
                      <a:ext cx="172673" cy="380393"/>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19" name="직사각형 218">
                      <a:extLst>
                        <a:ext uri="{FF2B5EF4-FFF2-40B4-BE49-F238E27FC236}">
                          <a16:creationId xmlns:a16="http://schemas.microsoft.com/office/drawing/2014/main" id="{00000000-0008-0000-0400-0000DB000000}"/>
                        </a:ext>
                      </a:extLst>
                    </xdr:cNvPr>
                    <xdr:cNvSpPr/>
                  </xdr:nvSpPr>
                  <xdr:spPr>
                    <a:xfrm>
                      <a:off x="5055436" y="5096578"/>
                      <a:ext cx="109287" cy="149174"/>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20" name="직사각형 219">
                      <a:extLst>
                        <a:ext uri="{FF2B5EF4-FFF2-40B4-BE49-F238E27FC236}">
                          <a16:creationId xmlns:a16="http://schemas.microsoft.com/office/drawing/2014/main" id="{00000000-0008-0000-0400-0000DC000000}"/>
                        </a:ext>
                      </a:extLst>
                    </xdr:cNvPr>
                    <xdr:cNvSpPr/>
                  </xdr:nvSpPr>
                  <xdr:spPr>
                    <a:xfrm>
                      <a:off x="5060686" y="5096578"/>
                      <a:ext cx="98786" cy="52211"/>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grpSp>
              <xdr:nvGrpSpPr>
                <xdr:cNvPr id="197" name="그룹 196">
                  <a:extLst>
                    <a:ext uri="{FF2B5EF4-FFF2-40B4-BE49-F238E27FC236}">
                      <a16:creationId xmlns:a16="http://schemas.microsoft.com/office/drawing/2014/main" id="{00000000-0008-0000-0400-0000C5000000}"/>
                    </a:ext>
                  </a:extLst>
                </xdr:cNvPr>
                <xdr:cNvGrpSpPr/>
              </xdr:nvGrpSpPr>
              <xdr:grpSpPr>
                <a:xfrm>
                  <a:off x="6604834" y="3076576"/>
                  <a:ext cx="914400" cy="3609974"/>
                  <a:chOff x="3262313" y="3209926"/>
                  <a:chExt cx="914400" cy="3609974"/>
                </a:xfrm>
              </xdr:grpSpPr>
              <xdr:grpSp>
                <xdr:nvGrpSpPr>
                  <xdr:cNvPr id="198" name="그룹 197">
                    <a:extLst>
                      <a:ext uri="{FF2B5EF4-FFF2-40B4-BE49-F238E27FC236}">
                        <a16:creationId xmlns:a16="http://schemas.microsoft.com/office/drawing/2014/main" id="{00000000-0008-0000-0400-0000C6000000}"/>
                      </a:ext>
                    </a:extLst>
                  </xdr:cNvPr>
                  <xdr:cNvGrpSpPr/>
                </xdr:nvGrpSpPr>
                <xdr:grpSpPr>
                  <a:xfrm>
                    <a:off x="3262313" y="3209926"/>
                    <a:ext cx="914400" cy="3609974"/>
                    <a:chOff x="2228850" y="3190876"/>
                    <a:chExt cx="914400" cy="3609974"/>
                  </a:xfrm>
                </xdr:grpSpPr>
                <xdr:pic>
                  <xdr:nvPicPr>
                    <xdr:cNvPr id="203" name="그림 202">
                      <a:extLst>
                        <a:ext uri="{FF2B5EF4-FFF2-40B4-BE49-F238E27FC236}">
                          <a16:creationId xmlns:a16="http://schemas.microsoft.com/office/drawing/2014/main" id="{00000000-0008-0000-0400-0000CB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4872" t="1762" r="2934" b="2889"/>
                    <a:stretch/>
                  </xdr:blipFill>
                  <xdr:spPr>
                    <a:xfrm>
                      <a:off x="2228850" y="3190876"/>
                      <a:ext cx="914400" cy="3609974"/>
                    </a:xfrm>
                    <a:prstGeom prst="rect">
                      <a:avLst/>
                    </a:prstGeom>
                  </xdr:spPr>
                </xdr:pic>
                <xdr:sp macro="" textlink="">
                  <xdr:nvSpPr>
                    <xdr:cNvPr id="204" name="타원 203">
                      <a:extLst>
                        <a:ext uri="{FF2B5EF4-FFF2-40B4-BE49-F238E27FC236}">
                          <a16:creationId xmlns:a16="http://schemas.microsoft.com/office/drawing/2014/main" id="{00000000-0008-0000-0400-0000CC000000}"/>
                        </a:ext>
                      </a:extLst>
                    </xdr:cNvPr>
                    <xdr:cNvSpPr/>
                  </xdr:nvSpPr>
                  <xdr:spPr>
                    <a:xfrm>
                      <a:off x="2415382" y="4009766"/>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05" name="타원 204">
                      <a:extLst>
                        <a:ext uri="{FF2B5EF4-FFF2-40B4-BE49-F238E27FC236}">
                          <a16:creationId xmlns:a16="http://schemas.microsoft.com/office/drawing/2014/main" id="{00000000-0008-0000-0400-0000CD000000}"/>
                        </a:ext>
                      </a:extLst>
                    </xdr:cNvPr>
                    <xdr:cNvSpPr/>
                  </xdr:nvSpPr>
                  <xdr:spPr>
                    <a:xfrm>
                      <a:off x="2418557" y="4364832"/>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06" name="타원 205">
                      <a:extLst>
                        <a:ext uri="{FF2B5EF4-FFF2-40B4-BE49-F238E27FC236}">
                          <a16:creationId xmlns:a16="http://schemas.microsoft.com/office/drawing/2014/main" id="{00000000-0008-0000-0400-0000CE000000}"/>
                        </a:ext>
                      </a:extLst>
                    </xdr:cNvPr>
                    <xdr:cNvSpPr/>
                  </xdr:nvSpPr>
                  <xdr:spPr>
                    <a:xfrm>
                      <a:off x="2509139" y="4364832"/>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07" name="타원 206">
                      <a:extLst>
                        <a:ext uri="{FF2B5EF4-FFF2-40B4-BE49-F238E27FC236}">
                          <a16:creationId xmlns:a16="http://schemas.microsoft.com/office/drawing/2014/main" id="{00000000-0008-0000-0400-0000CF000000}"/>
                        </a:ext>
                      </a:extLst>
                    </xdr:cNvPr>
                    <xdr:cNvSpPr/>
                  </xdr:nvSpPr>
                  <xdr:spPr>
                    <a:xfrm>
                      <a:off x="2509139" y="40065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08" name="타원 207">
                      <a:extLst>
                        <a:ext uri="{FF2B5EF4-FFF2-40B4-BE49-F238E27FC236}">
                          <a16:creationId xmlns:a16="http://schemas.microsoft.com/office/drawing/2014/main" id="{00000000-0008-0000-0400-0000D0000000}"/>
                        </a:ext>
                      </a:extLst>
                    </xdr:cNvPr>
                    <xdr:cNvSpPr/>
                  </xdr:nvSpPr>
                  <xdr:spPr>
                    <a:xfrm>
                      <a:off x="2509139" y="40954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09" name="타원 208">
                      <a:extLst>
                        <a:ext uri="{FF2B5EF4-FFF2-40B4-BE49-F238E27FC236}">
                          <a16:creationId xmlns:a16="http://schemas.microsoft.com/office/drawing/2014/main" id="{00000000-0008-0000-0400-0000D1000000}"/>
                        </a:ext>
                      </a:extLst>
                    </xdr:cNvPr>
                    <xdr:cNvSpPr/>
                  </xdr:nvSpPr>
                  <xdr:spPr>
                    <a:xfrm>
                      <a:off x="2471738" y="5346341"/>
                      <a:ext cx="50006" cy="50006"/>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10" name="타원 209">
                      <a:extLst>
                        <a:ext uri="{FF2B5EF4-FFF2-40B4-BE49-F238E27FC236}">
                          <a16:creationId xmlns:a16="http://schemas.microsoft.com/office/drawing/2014/main" id="{00000000-0008-0000-0400-0000D2000000}"/>
                        </a:ext>
                      </a:extLst>
                    </xdr:cNvPr>
                    <xdr:cNvSpPr/>
                  </xdr:nvSpPr>
                  <xdr:spPr>
                    <a:xfrm>
                      <a:off x="2434838" y="4626460"/>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11" name="타원 210">
                      <a:extLst>
                        <a:ext uri="{FF2B5EF4-FFF2-40B4-BE49-F238E27FC236}">
                          <a16:creationId xmlns:a16="http://schemas.microsoft.com/office/drawing/2014/main" id="{00000000-0008-0000-0400-0000D3000000}"/>
                        </a:ext>
                      </a:extLst>
                    </xdr:cNvPr>
                    <xdr:cNvSpPr/>
                  </xdr:nvSpPr>
                  <xdr:spPr>
                    <a:xfrm>
                      <a:off x="2527702" y="4634173"/>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12" name="타원 211">
                      <a:extLst>
                        <a:ext uri="{FF2B5EF4-FFF2-40B4-BE49-F238E27FC236}">
                          <a16:creationId xmlns:a16="http://schemas.microsoft.com/office/drawing/2014/main" id="{00000000-0008-0000-0400-0000D4000000}"/>
                        </a:ext>
                      </a:extLst>
                    </xdr:cNvPr>
                    <xdr:cNvSpPr/>
                  </xdr:nvSpPr>
                  <xdr:spPr>
                    <a:xfrm>
                      <a:off x="2418557" y="4103204"/>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13" name="타원 212">
                      <a:extLst>
                        <a:ext uri="{FF2B5EF4-FFF2-40B4-BE49-F238E27FC236}">
                          <a16:creationId xmlns:a16="http://schemas.microsoft.com/office/drawing/2014/main" id="{00000000-0008-0000-0400-0000D5000000}"/>
                        </a:ext>
                      </a:extLst>
                    </xdr:cNvPr>
                    <xdr:cNvSpPr/>
                  </xdr:nvSpPr>
                  <xdr:spPr>
                    <a:xfrm>
                      <a:off x="2418557" y="418729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14" name="타원 213">
                      <a:extLst>
                        <a:ext uri="{FF2B5EF4-FFF2-40B4-BE49-F238E27FC236}">
                          <a16:creationId xmlns:a16="http://schemas.microsoft.com/office/drawing/2014/main" id="{00000000-0008-0000-0400-0000D6000000}"/>
                        </a:ext>
                      </a:extLst>
                    </xdr:cNvPr>
                    <xdr:cNvSpPr/>
                  </xdr:nvSpPr>
                  <xdr:spPr>
                    <a:xfrm>
                      <a:off x="2415382" y="4449393"/>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15" name="타원 214">
                      <a:extLst>
                        <a:ext uri="{FF2B5EF4-FFF2-40B4-BE49-F238E27FC236}">
                          <a16:creationId xmlns:a16="http://schemas.microsoft.com/office/drawing/2014/main" id="{00000000-0008-0000-0400-0000D7000000}"/>
                        </a:ext>
                      </a:extLst>
                    </xdr:cNvPr>
                    <xdr:cNvSpPr/>
                  </xdr:nvSpPr>
                  <xdr:spPr>
                    <a:xfrm>
                      <a:off x="2434838" y="472353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199" name="그룹 198">
                    <a:extLst>
                      <a:ext uri="{FF2B5EF4-FFF2-40B4-BE49-F238E27FC236}">
                        <a16:creationId xmlns:a16="http://schemas.microsoft.com/office/drawing/2014/main" id="{00000000-0008-0000-0400-0000C7000000}"/>
                      </a:ext>
                    </a:extLst>
                  </xdr:cNvPr>
                  <xdr:cNvGrpSpPr/>
                </xdr:nvGrpSpPr>
                <xdr:grpSpPr>
                  <a:xfrm>
                    <a:off x="3357531" y="6077559"/>
                    <a:ext cx="357219" cy="734485"/>
                    <a:chOff x="5023743" y="4906381"/>
                    <a:chExt cx="172673" cy="380393"/>
                  </a:xfrm>
                </xdr:grpSpPr>
                <xdr:sp macro="" textlink="">
                  <xdr:nvSpPr>
                    <xdr:cNvPr id="200" name="직사각형 199">
                      <a:extLst>
                        <a:ext uri="{FF2B5EF4-FFF2-40B4-BE49-F238E27FC236}">
                          <a16:creationId xmlns:a16="http://schemas.microsoft.com/office/drawing/2014/main" id="{00000000-0008-0000-0400-0000C8000000}"/>
                        </a:ext>
                      </a:extLst>
                    </xdr:cNvPr>
                    <xdr:cNvSpPr/>
                  </xdr:nvSpPr>
                  <xdr:spPr>
                    <a:xfrm>
                      <a:off x="5023743" y="4906381"/>
                      <a:ext cx="172673" cy="380393"/>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01" name="직사각형 200">
                      <a:extLst>
                        <a:ext uri="{FF2B5EF4-FFF2-40B4-BE49-F238E27FC236}">
                          <a16:creationId xmlns:a16="http://schemas.microsoft.com/office/drawing/2014/main" id="{00000000-0008-0000-0400-0000C9000000}"/>
                        </a:ext>
                      </a:extLst>
                    </xdr:cNvPr>
                    <xdr:cNvSpPr/>
                  </xdr:nvSpPr>
                  <xdr:spPr>
                    <a:xfrm>
                      <a:off x="5055436" y="5096578"/>
                      <a:ext cx="109287" cy="149174"/>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02" name="직사각형 201">
                      <a:extLst>
                        <a:ext uri="{FF2B5EF4-FFF2-40B4-BE49-F238E27FC236}">
                          <a16:creationId xmlns:a16="http://schemas.microsoft.com/office/drawing/2014/main" id="{00000000-0008-0000-0400-0000CA000000}"/>
                        </a:ext>
                      </a:extLst>
                    </xdr:cNvPr>
                    <xdr:cNvSpPr/>
                  </xdr:nvSpPr>
                  <xdr:spPr>
                    <a:xfrm>
                      <a:off x="5060686" y="5096578"/>
                      <a:ext cx="98786" cy="52211"/>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grpSp>
          <xdr:grpSp>
            <xdr:nvGrpSpPr>
              <xdr:cNvPr id="31" name="그룹 30">
                <a:extLst>
                  <a:ext uri="{FF2B5EF4-FFF2-40B4-BE49-F238E27FC236}">
                    <a16:creationId xmlns:a16="http://schemas.microsoft.com/office/drawing/2014/main" id="{00000000-0008-0000-0400-00001F000000}"/>
                  </a:ext>
                </a:extLst>
              </xdr:cNvPr>
              <xdr:cNvGrpSpPr/>
            </xdr:nvGrpSpPr>
            <xdr:grpSpPr>
              <a:xfrm>
                <a:off x="3252814" y="4974167"/>
                <a:ext cx="2652683" cy="1781929"/>
                <a:chOff x="2000251" y="3076576"/>
                <a:chExt cx="5518983" cy="3609974"/>
              </a:xfrm>
            </xdr:grpSpPr>
            <xdr:grpSp>
              <xdr:nvGrpSpPr>
                <xdr:cNvPr id="78" name="그룹 77">
                  <a:extLst>
                    <a:ext uri="{FF2B5EF4-FFF2-40B4-BE49-F238E27FC236}">
                      <a16:creationId xmlns:a16="http://schemas.microsoft.com/office/drawing/2014/main" id="{00000000-0008-0000-0400-00004E000000}"/>
                    </a:ext>
                  </a:extLst>
                </xdr:cNvPr>
                <xdr:cNvGrpSpPr/>
              </xdr:nvGrpSpPr>
              <xdr:grpSpPr>
                <a:xfrm>
                  <a:off x="2000251" y="3076576"/>
                  <a:ext cx="914400" cy="3609974"/>
                  <a:chOff x="3262313" y="3209926"/>
                  <a:chExt cx="914400" cy="3609974"/>
                </a:xfrm>
              </xdr:grpSpPr>
              <xdr:grpSp>
                <xdr:nvGrpSpPr>
                  <xdr:cNvPr id="174" name="그룹 173">
                    <a:extLst>
                      <a:ext uri="{FF2B5EF4-FFF2-40B4-BE49-F238E27FC236}">
                        <a16:creationId xmlns:a16="http://schemas.microsoft.com/office/drawing/2014/main" id="{00000000-0008-0000-0400-0000AE000000}"/>
                      </a:ext>
                    </a:extLst>
                  </xdr:cNvPr>
                  <xdr:cNvGrpSpPr/>
                </xdr:nvGrpSpPr>
                <xdr:grpSpPr>
                  <a:xfrm>
                    <a:off x="3262313" y="3209926"/>
                    <a:ext cx="914400" cy="3609974"/>
                    <a:chOff x="2228850" y="3190876"/>
                    <a:chExt cx="914400" cy="3609974"/>
                  </a:xfrm>
                </xdr:grpSpPr>
                <xdr:pic>
                  <xdr:nvPicPr>
                    <xdr:cNvPr id="179" name="그림 178">
                      <a:extLst>
                        <a:ext uri="{FF2B5EF4-FFF2-40B4-BE49-F238E27FC236}">
                          <a16:creationId xmlns:a16="http://schemas.microsoft.com/office/drawing/2014/main" id="{00000000-0008-0000-0400-0000B300000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4872" t="1762" r="2934" b="2889"/>
                    <a:stretch/>
                  </xdr:blipFill>
                  <xdr:spPr>
                    <a:xfrm>
                      <a:off x="2228850" y="3190876"/>
                      <a:ext cx="914400" cy="3609974"/>
                    </a:xfrm>
                    <a:prstGeom prst="rect">
                      <a:avLst/>
                    </a:prstGeom>
                  </xdr:spPr>
                </xdr:pic>
                <xdr:sp macro="" textlink="">
                  <xdr:nvSpPr>
                    <xdr:cNvPr id="180" name="타원 179">
                      <a:extLst>
                        <a:ext uri="{FF2B5EF4-FFF2-40B4-BE49-F238E27FC236}">
                          <a16:creationId xmlns:a16="http://schemas.microsoft.com/office/drawing/2014/main" id="{00000000-0008-0000-0400-0000B4000000}"/>
                        </a:ext>
                      </a:extLst>
                    </xdr:cNvPr>
                    <xdr:cNvSpPr/>
                  </xdr:nvSpPr>
                  <xdr:spPr>
                    <a:xfrm>
                      <a:off x="2415382" y="4009766"/>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81" name="타원 180">
                      <a:extLst>
                        <a:ext uri="{FF2B5EF4-FFF2-40B4-BE49-F238E27FC236}">
                          <a16:creationId xmlns:a16="http://schemas.microsoft.com/office/drawing/2014/main" id="{00000000-0008-0000-0400-0000B5000000}"/>
                        </a:ext>
                      </a:extLst>
                    </xdr:cNvPr>
                    <xdr:cNvSpPr/>
                  </xdr:nvSpPr>
                  <xdr:spPr>
                    <a:xfrm>
                      <a:off x="2418557" y="4364832"/>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82" name="타원 181">
                      <a:extLst>
                        <a:ext uri="{FF2B5EF4-FFF2-40B4-BE49-F238E27FC236}">
                          <a16:creationId xmlns:a16="http://schemas.microsoft.com/office/drawing/2014/main" id="{00000000-0008-0000-0400-0000B6000000}"/>
                        </a:ext>
                      </a:extLst>
                    </xdr:cNvPr>
                    <xdr:cNvSpPr/>
                  </xdr:nvSpPr>
                  <xdr:spPr>
                    <a:xfrm>
                      <a:off x="2509139" y="4364832"/>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83" name="타원 182">
                      <a:extLst>
                        <a:ext uri="{FF2B5EF4-FFF2-40B4-BE49-F238E27FC236}">
                          <a16:creationId xmlns:a16="http://schemas.microsoft.com/office/drawing/2014/main" id="{00000000-0008-0000-0400-0000B7000000}"/>
                        </a:ext>
                      </a:extLst>
                    </xdr:cNvPr>
                    <xdr:cNvSpPr/>
                  </xdr:nvSpPr>
                  <xdr:spPr>
                    <a:xfrm>
                      <a:off x="2509139" y="40065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84" name="타원 183">
                      <a:extLst>
                        <a:ext uri="{FF2B5EF4-FFF2-40B4-BE49-F238E27FC236}">
                          <a16:creationId xmlns:a16="http://schemas.microsoft.com/office/drawing/2014/main" id="{00000000-0008-0000-0400-0000B8000000}"/>
                        </a:ext>
                      </a:extLst>
                    </xdr:cNvPr>
                    <xdr:cNvSpPr/>
                  </xdr:nvSpPr>
                  <xdr:spPr>
                    <a:xfrm>
                      <a:off x="2509139" y="40954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85" name="타원 184">
                      <a:extLst>
                        <a:ext uri="{FF2B5EF4-FFF2-40B4-BE49-F238E27FC236}">
                          <a16:creationId xmlns:a16="http://schemas.microsoft.com/office/drawing/2014/main" id="{00000000-0008-0000-0400-0000B9000000}"/>
                        </a:ext>
                      </a:extLst>
                    </xdr:cNvPr>
                    <xdr:cNvSpPr/>
                  </xdr:nvSpPr>
                  <xdr:spPr>
                    <a:xfrm>
                      <a:off x="2471738" y="5346341"/>
                      <a:ext cx="50006" cy="50006"/>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86" name="타원 185">
                      <a:extLst>
                        <a:ext uri="{FF2B5EF4-FFF2-40B4-BE49-F238E27FC236}">
                          <a16:creationId xmlns:a16="http://schemas.microsoft.com/office/drawing/2014/main" id="{00000000-0008-0000-0400-0000BA000000}"/>
                        </a:ext>
                      </a:extLst>
                    </xdr:cNvPr>
                    <xdr:cNvSpPr/>
                  </xdr:nvSpPr>
                  <xdr:spPr>
                    <a:xfrm>
                      <a:off x="2434838" y="4626460"/>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87" name="타원 186">
                      <a:extLst>
                        <a:ext uri="{FF2B5EF4-FFF2-40B4-BE49-F238E27FC236}">
                          <a16:creationId xmlns:a16="http://schemas.microsoft.com/office/drawing/2014/main" id="{00000000-0008-0000-0400-0000BB000000}"/>
                        </a:ext>
                      </a:extLst>
                    </xdr:cNvPr>
                    <xdr:cNvSpPr/>
                  </xdr:nvSpPr>
                  <xdr:spPr>
                    <a:xfrm>
                      <a:off x="2527702" y="4634173"/>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88" name="타원 187">
                      <a:extLst>
                        <a:ext uri="{FF2B5EF4-FFF2-40B4-BE49-F238E27FC236}">
                          <a16:creationId xmlns:a16="http://schemas.microsoft.com/office/drawing/2014/main" id="{00000000-0008-0000-0400-0000BC000000}"/>
                        </a:ext>
                      </a:extLst>
                    </xdr:cNvPr>
                    <xdr:cNvSpPr/>
                  </xdr:nvSpPr>
                  <xdr:spPr>
                    <a:xfrm>
                      <a:off x="2418557" y="4103204"/>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89" name="타원 188">
                      <a:extLst>
                        <a:ext uri="{FF2B5EF4-FFF2-40B4-BE49-F238E27FC236}">
                          <a16:creationId xmlns:a16="http://schemas.microsoft.com/office/drawing/2014/main" id="{00000000-0008-0000-0400-0000BD000000}"/>
                        </a:ext>
                      </a:extLst>
                    </xdr:cNvPr>
                    <xdr:cNvSpPr/>
                  </xdr:nvSpPr>
                  <xdr:spPr>
                    <a:xfrm>
                      <a:off x="2418557" y="418729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90" name="타원 189">
                      <a:extLst>
                        <a:ext uri="{FF2B5EF4-FFF2-40B4-BE49-F238E27FC236}">
                          <a16:creationId xmlns:a16="http://schemas.microsoft.com/office/drawing/2014/main" id="{00000000-0008-0000-0400-0000BE000000}"/>
                        </a:ext>
                      </a:extLst>
                    </xdr:cNvPr>
                    <xdr:cNvSpPr/>
                  </xdr:nvSpPr>
                  <xdr:spPr>
                    <a:xfrm>
                      <a:off x="2415382" y="4449393"/>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91" name="타원 190">
                      <a:extLst>
                        <a:ext uri="{FF2B5EF4-FFF2-40B4-BE49-F238E27FC236}">
                          <a16:creationId xmlns:a16="http://schemas.microsoft.com/office/drawing/2014/main" id="{00000000-0008-0000-0400-0000BF000000}"/>
                        </a:ext>
                      </a:extLst>
                    </xdr:cNvPr>
                    <xdr:cNvSpPr/>
                  </xdr:nvSpPr>
                  <xdr:spPr>
                    <a:xfrm>
                      <a:off x="2434838" y="472353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175" name="그룹 174">
                    <a:extLst>
                      <a:ext uri="{FF2B5EF4-FFF2-40B4-BE49-F238E27FC236}">
                        <a16:creationId xmlns:a16="http://schemas.microsoft.com/office/drawing/2014/main" id="{00000000-0008-0000-0400-0000AF000000}"/>
                      </a:ext>
                    </a:extLst>
                  </xdr:cNvPr>
                  <xdr:cNvGrpSpPr/>
                </xdr:nvGrpSpPr>
                <xdr:grpSpPr>
                  <a:xfrm>
                    <a:off x="3357531" y="6077559"/>
                    <a:ext cx="357219" cy="734485"/>
                    <a:chOff x="5023743" y="4906381"/>
                    <a:chExt cx="172673" cy="380393"/>
                  </a:xfrm>
                </xdr:grpSpPr>
                <xdr:sp macro="" textlink="">
                  <xdr:nvSpPr>
                    <xdr:cNvPr id="176" name="직사각형 175">
                      <a:extLst>
                        <a:ext uri="{FF2B5EF4-FFF2-40B4-BE49-F238E27FC236}">
                          <a16:creationId xmlns:a16="http://schemas.microsoft.com/office/drawing/2014/main" id="{00000000-0008-0000-0400-0000B0000000}"/>
                        </a:ext>
                      </a:extLst>
                    </xdr:cNvPr>
                    <xdr:cNvSpPr/>
                  </xdr:nvSpPr>
                  <xdr:spPr>
                    <a:xfrm>
                      <a:off x="5023743" y="4906381"/>
                      <a:ext cx="172673" cy="380393"/>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77" name="직사각형 176">
                      <a:extLst>
                        <a:ext uri="{FF2B5EF4-FFF2-40B4-BE49-F238E27FC236}">
                          <a16:creationId xmlns:a16="http://schemas.microsoft.com/office/drawing/2014/main" id="{00000000-0008-0000-0400-0000B1000000}"/>
                        </a:ext>
                      </a:extLst>
                    </xdr:cNvPr>
                    <xdr:cNvSpPr/>
                  </xdr:nvSpPr>
                  <xdr:spPr>
                    <a:xfrm>
                      <a:off x="5055436" y="5096578"/>
                      <a:ext cx="109287" cy="149174"/>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78" name="직사각형 177">
                      <a:extLst>
                        <a:ext uri="{FF2B5EF4-FFF2-40B4-BE49-F238E27FC236}">
                          <a16:creationId xmlns:a16="http://schemas.microsoft.com/office/drawing/2014/main" id="{00000000-0008-0000-0400-0000B2000000}"/>
                        </a:ext>
                      </a:extLst>
                    </xdr:cNvPr>
                    <xdr:cNvSpPr/>
                  </xdr:nvSpPr>
                  <xdr:spPr>
                    <a:xfrm>
                      <a:off x="5060686" y="5096578"/>
                      <a:ext cx="98786" cy="52211"/>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grpSp>
              <xdr:nvGrpSpPr>
                <xdr:cNvPr id="79" name="그룹 78">
                  <a:extLst>
                    <a:ext uri="{FF2B5EF4-FFF2-40B4-BE49-F238E27FC236}">
                      <a16:creationId xmlns:a16="http://schemas.microsoft.com/office/drawing/2014/main" id="{00000000-0008-0000-0400-00004F000000}"/>
                    </a:ext>
                  </a:extLst>
                </xdr:cNvPr>
                <xdr:cNvGrpSpPr/>
              </xdr:nvGrpSpPr>
              <xdr:grpSpPr>
                <a:xfrm>
                  <a:off x="2921168" y="3076576"/>
                  <a:ext cx="914400" cy="3609974"/>
                  <a:chOff x="3262313" y="3209926"/>
                  <a:chExt cx="914400" cy="3609974"/>
                </a:xfrm>
              </xdr:grpSpPr>
              <xdr:grpSp>
                <xdr:nvGrpSpPr>
                  <xdr:cNvPr id="156" name="그룹 155">
                    <a:extLst>
                      <a:ext uri="{FF2B5EF4-FFF2-40B4-BE49-F238E27FC236}">
                        <a16:creationId xmlns:a16="http://schemas.microsoft.com/office/drawing/2014/main" id="{00000000-0008-0000-0400-00009C000000}"/>
                      </a:ext>
                    </a:extLst>
                  </xdr:cNvPr>
                  <xdr:cNvGrpSpPr/>
                </xdr:nvGrpSpPr>
                <xdr:grpSpPr>
                  <a:xfrm>
                    <a:off x="3262313" y="3209926"/>
                    <a:ext cx="914400" cy="3609974"/>
                    <a:chOff x="2228850" y="3190876"/>
                    <a:chExt cx="914400" cy="3609974"/>
                  </a:xfrm>
                </xdr:grpSpPr>
                <xdr:pic>
                  <xdr:nvPicPr>
                    <xdr:cNvPr id="161" name="그림 160">
                      <a:extLst>
                        <a:ext uri="{FF2B5EF4-FFF2-40B4-BE49-F238E27FC236}">
                          <a16:creationId xmlns:a16="http://schemas.microsoft.com/office/drawing/2014/main" id="{00000000-0008-0000-0400-0000A100000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4872" t="1762" r="2934" b="2889"/>
                    <a:stretch/>
                  </xdr:blipFill>
                  <xdr:spPr>
                    <a:xfrm>
                      <a:off x="2228850" y="3190876"/>
                      <a:ext cx="914400" cy="3609974"/>
                    </a:xfrm>
                    <a:prstGeom prst="rect">
                      <a:avLst/>
                    </a:prstGeom>
                  </xdr:spPr>
                </xdr:pic>
                <xdr:sp macro="" textlink="">
                  <xdr:nvSpPr>
                    <xdr:cNvPr id="162" name="타원 161">
                      <a:extLst>
                        <a:ext uri="{FF2B5EF4-FFF2-40B4-BE49-F238E27FC236}">
                          <a16:creationId xmlns:a16="http://schemas.microsoft.com/office/drawing/2014/main" id="{00000000-0008-0000-0400-0000A2000000}"/>
                        </a:ext>
                      </a:extLst>
                    </xdr:cNvPr>
                    <xdr:cNvSpPr/>
                  </xdr:nvSpPr>
                  <xdr:spPr>
                    <a:xfrm>
                      <a:off x="2415382" y="4009766"/>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3" name="타원 162">
                      <a:extLst>
                        <a:ext uri="{FF2B5EF4-FFF2-40B4-BE49-F238E27FC236}">
                          <a16:creationId xmlns:a16="http://schemas.microsoft.com/office/drawing/2014/main" id="{00000000-0008-0000-0400-0000A3000000}"/>
                        </a:ext>
                      </a:extLst>
                    </xdr:cNvPr>
                    <xdr:cNvSpPr/>
                  </xdr:nvSpPr>
                  <xdr:spPr>
                    <a:xfrm>
                      <a:off x="2418557" y="4364832"/>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4" name="타원 163">
                      <a:extLst>
                        <a:ext uri="{FF2B5EF4-FFF2-40B4-BE49-F238E27FC236}">
                          <a16:creationId xmlns:a16="http://schemas.microsoft.com/office/drawing/2014/main" id="{00000000-0008-0000-0400-0000A4000000}"/>
                        </a:ext>
                      </a:extLst>
                    </xdr:cNvPr>
                    <xdr:cNvSpPr/>
                  </xdr:nvSpPr>
                  <xdr:spPr>
                    <a:xfrm>
                      <a:off x="2509139" y="4364832"/>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5" name="타원 164">
                      <a:extLst>
                        <a:ext uri="{FF2B5EF4-FFF2-40B4-BE49-F238E27FC236}">
                          <a16:creationId xmlns:a16="http://schemas.microsoft.com/office/drawing/2014/main" id="{00000000-0008-0000-0400-0000A5000000}"/>
                        </a:ext>
                      </a:extLst>
                    </xdr:cNvPr>
                    <xdr:cNvSpPr/>
                  </xdr:nvSpPr>
                  <xdr:spPr>
                    <a:xfrm>
                      <a:off x="2509139" y="40065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6" name="타원 165">
                      <a:extLst>
                        <a:ext uri="{FF2B5EF4-FFF2-40B4-BE49-F238E27FC236}">
                          <a16:creationId xmlns:a16="http://schemas.microsoft.com/office/drawing/2014/main" id="{00000000-0008-0000-0400-0000A6000000}"/>
                        </a:ext>
                      </a:extLst>
                    </xdr:cNvPr>
                    <xdr:cNvSpPr/>
                  </xdr:nvSpPr>
                  <xdr:spPr>
                    <a:xfrm>
                      <a:off x="2509139" y="40954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7" name="타원 166">
                      <a:extLst>
                        <a:ext uri="{FF2B5EF4-FFF2-40B4-BE49-F238E27FC236}">
                          <a16:creationId xmlns:a16="http://schemas.microsoft.com/office/drawing/2014/main" id="{00000000-0008-0000-0400-0000A7000000}"/>
                        </a:ext>
                      </a:extLst>
                    </xdr:cNvPr>
                    <xdr:cNvSpPr/>
                  </xdr:nvSpPr>
                  <xdr:spPr>
                    <a:xfrm>
                      <a:off x="2471738" y="5346341"/>
                      <a:ext cx="50006" cy="50006"/>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8" name="타원 167">
                      <a:extLst>
                        <a:ext uri="{FF2B5EF4-FFF2-40B4-BE49-F238E27FC236}">
                          <a16:creationId xmlns:a16="http://schemas.microsoft.com/office/drawing/2014/main" id="{00000000-0008-0000-0400-0000A8000000}"/>
                        </a:ext>
                      </a:extLst>
                    </xdr:cNvPr>
                    <xdr:cNvSpPr/>
                  </xdr:nvSpPr>
                  <xdr:spPr>
                    <a:xfrm>
                      <a:off x="2434838" y="4626460"/>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9" name="타원 168">
                      <a:extLst>
                        <a:ext uri="{FF2B5EF4-FFF2-40B4-BE49-F238E27FC236}">
                          <a16:creationId xmlns:a16="http://schemas.microsoft.com/office/drawing/2014/main" id="{00000000-0008-0000-0400-0000A9000000}"/>
                        </a:ext>
                      </a:extLst>
                    </xdr:cNvPr>
                    <xdr:cNvSpPr/>
                  </xdr:nvSpPr>
                  <xdr:spPr>
                    <a:xfrm>
                      <a:off x="2527702" y="4634173"/>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70" name="타원 169">
                      <a:extLst>
                        <a:ext uri="{FF2B5EF4-FFF2-40B4-BE49-F238E27FC236}">
                          <a16:creationId xmlns:a16="http://schemas.microsoft.com/office/drawing/2014/main" id="{00000000-0008-0000-0400-0000AA000000}"/>
                        </a:ext>
                      </a:extLst>
                    </xdr:cNvPr>
                    <xdr:cNvSpPr/>
                  </xdr:nvSpPr>
                  <xdr:spPr>
                    <a:xfrm>
                      <a:off x="2418557" y="4103204"/>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71" name="타원 170">
                      <a:extLst>
                        <a:ext uri="{FF2B5EF4-FFF2-40B4-BE49-F238E27FC236}">
                          <a16:creationId xmlns:a16="http://schemas.microsoft.com/office/drawing/2014/main" id="{00000000-0008-0000-0400-0000AB000000}"/>
                        </a:ext>
                      </a:extLst>
                    </xdr:cNvPr>
                    <xdr:cNvSpPr/>
                  </xdr:nvSpPr>
                  <xdr:spPr>
                    <a:xfrm>
                      <a:off x="2418557" y="418729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72" name="타원 171">
                      <a:extLst>
                        <a:ext uri="{FF2B5EF4-FFF2-40B4-BE49-F238E27FC236}">
                          <a16:creationId xmlns:a16="http://schemas.microsoft.com/office/drawing/2014/main" id="{00000000-0008-0000-0400-0000AC000000}"/>
                        </a:ext>
                      </a:extLst>
                    </xdr:cNvPr>
                    <xdr:cNvSpPr/>
                  </xdr:nvSpPr>
                  <xdr:spPr>
                    <a:xfrm>
                      <a:off x="2415382" y="4449393"/>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73" name="타원 172">
                      <a:extLst>
                        <a:ext uri="{FF2B5EF4-FFF2-40B4-BE49-F238E27FC236}">
                          <a16:creationId xmlns:a16="http://schemas.microsoft.com/office/drawing/2014/main" id="{00000000-0008-0000-0400-0000AD000000}"/>
                        </a:ext>
                      </a:extLst>
                    </xdr:cNvPr>
                    <xdr:cNvSpPr/>
                  </xdr:nvSpPr>
                  <xdr:spPr>
                    <a:xfrm>
                      <a:off x="2434838" y="472353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157" name="그룹 156">
                    <a:extLst>
                      <a:ext uri="{FF2B5EF4-FFF2-40B4-BE49-F238E27FC236}">
                        <a16:creationId xmlns:a16="http://schemas.microsoft.com/office/drawing/2014/main" id="{00000000-0008-0000-0400-00009D000000}"/>
                      </a:ext>
                    </a:extLst>
                  </xdr:cNvPr>
                  <xdr:cNvGrpSpPr/>
                </xdr:nvGrpSpPr>
                <xdr:grpSpPr>
                  <a:xfrm>
                    <a:off x="3357531" y="6077559"/>
                    <a:ext cx="357219" cy="734485"/>
                    <a:chOff x="5023743" y="4906381"/>
                    <a:chExt cx="172673" cy="380393"/>
                  </a:xfrm>
                </xdr:grpSpPr>
                <xdr:sp macro="" textlink="">
                  <xdr:nvSpPr>
                    <xdr:cNvPr id="158" name="직사각형 157">
                      <a:extLst>
                        <a:ext uri="{FF2B5EF4-FFF2-40B4-BE49-F238E27FC236}">
                          <a16:creationId xmlns:a16="http://schemas.microsoft.com/office/drawing/2014/main" id="{00000000-0008-0000-0400-00009E000000}"/>
                        </a:ext>
                      </a:extLst>
                    </xdr:cNvPr>
                    <xdr:cNvSpPr/>
                  </xdr:nvSpPr>
                  <xdr:spPr>
                    <a:xfrm>
                      <a:off x="5023743" y="4906381"/>
                      <a:ext cx="172673" cy="380393"/>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59" name="직사각형 158">
                      <a:extLst>
                        <a:ext uri="{FF2B5EF4-FFF2-40B4-BE49-F238E27FC236}">
                          <a16:creationId xmlns:a16="http://schemas.microsoft.com/office/drawing/2014/main" id="{00000000-0008-0000-0400-00009F000000}"/>
                        </a:ext>
                      </a:extLst>
                    </xdr:cNvPr>
                    <xdr:cNvSpPr/>
                  </xdr:nvSpPr>
                  <xdr:spPr>
                    <a:xfrm>
                      <a:off x="5055436" y="5096578"/>
                      <a:ext cx="109287" cy="149174"/>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0" name="직사각형 159">
                      <a:extLst>
                        <a:ext uri="{FF2B5EF4-FFF2-40B4-BE49-F238E27FC236}">
                          <a16:creationId xmlns:a16="http://schemas.microsoft.com/office/drawing/2014/main" id="{00000000-0008-0000-0400-0000A0000000}"/>
                        </a:ext>
                      </a:extLst>
                    </xdr:cNvPr>
                    <xdr:cNvSpPr/>
                  </xdr:nvSpPr>
                  <xdr:spPr>
                    <a:xfrm>
                      <a:off x="5060686" y="5096578"/>
                      <a:ext cx="98786" cy="52211"/>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grpSp>
              <xdr:nvGrpSpPr>
                <xdr:cNvPr id="80" name="그룹 79">
                  <a:extLst>
                    <a:ext uri="{FF2B5EF4-FFF2-40B4-BE49-F238E27FC236}">
                      <a16:creationId xmlns:a16="http://schemas.microsoft.com/office/drawing/2014/main" id="{00000000-0008-0000-0400-000050000000}"/>
                    </a:ext>
                  </a:extLst>
                </xdr:cNvPr>
                <xdr:cNvGrpSpPr/>
              </xdr:nvGrpSpPr>
              <xdr:grpSpPr>
                <a:xfrm>
                  <a:off x="3842085" y="3076576"/>
                  <a:ext cx="914400" cy="3609974"/>
                  <a:chOff x="3262313" y="3209926"/>
                  <a:chExt cx="914400" cy="3609974"/>
                </a:xfrm>
              </xdr:grpSpPr>
              <xdr:grpSp>
                <xdr:nvGrpSpPr>
                  <xdr:cNvPr id="138" name="그룹 137">
                    <a:extLst>
                      <a:ext uri="{FF2B5EF4-FFF2-40B4-BE49-F238E27FC236}">
                        <a16:creationId xmlns:a16="http://schemas.microsoft.com/office/drawing/2014/main" id="{00000000-0008-0000-0400-00008A000000}"/>
                      </a:ext>
                    </a:extLst>
                  </xdr:cNvPr>
                  <xdr:cNvGrpSpPr/>
                </xdr:nvGrpSpPr>
                <xdr:grpSpPr>
                  <a:xfrm>
                    <a:off x="3262313" y="3209926"/>
                    <a:ext cx="914400" cy="3609974"/>
                    <a:chOff x="2228850" y="3190876"/>
                    <a:chExt cx="914400" cy="3609974"/>
                  </a:xfrm>
                </xdr:grpSpPr>
                <xdr:pic>
                  <xdr:nvPicPr>
                    <xdr:cNvPr id="143" name="그림 142">
                      <a:extLst>
                        <a:ext uri="{FF2B5EF4-FFF2-40B4-BE49-F238E27FC236}">
                          <a16:creationId xmlns:a16="http://schemas.microsoft.com/office/drawing/2014/main" id="{00000000-0008-0000-0400-00008F00000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4872" t="1762" r="2934" b="2889"/>
                    <a:stretch/>
                  </xdr:blipFill>
                  <xdr:spPr>
                    <a:xfrm>
                      <a:off x="2228850" y="3190876"/>
                      <a:ext cx="914400" cy="3609974"/>
                    </a:xfrm>
                    <a:prstGeom prst="rect">
                      <a:avLst/>
                    </a:prstGeom>
                  </xdr:spPr>
                </xdr:pic>
                <xdr:sp macro="" textlink="">
                  <xdr:nvSpPr>
                    <xdr:cNvPr id="144" name="타원 143">
                      <a:extLst>
                        <a:ext uri="{FF2B5EF4-FFF2-40B4-BE49-F238E27FC236}">
                          <a16:creationId xmlns:a16="http://schemas.microsoft.com/office/drawing/2014/main" id="{00000000-0008-0000-0400-000090000000}"/>
                        </a:ext>
                      </a:extLst>
                    </xdr:cNvPr>
                    <xdr:cNvSpPr/>
                  </xdr:nvSpPr>
                  <xdr:spPr>
                    <a:xfrm>
                      <a:off x="2415382" y="4009766"/>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5" name="타원 144">
                      <a:extLst>
                        <a:ext uri="{FF2B5EF4-FFF2-40B4-BE49-F238E27FC236}">
                          <a16:creationId xmlns:a16="http://schemas.microsoft.com/office/drawing/2014/main" id="{00000000-0008-0000-0400-000091000000}"/>
                        </a:ext>
                      </a:extLst>
                    </xdr:cNvPr>
                    <xdr:cNvSpPr/>
                  </xdr:nvSpPr>
                  <xdr:spPr>
                    <a:xfrm>
                      <a:off x="2418557" y="4364832"/>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6" name="타원 145">
                      <a:extLst>
                        <a:ext uri="{FF2B5EF4-FFF2-40B4-BE49-F238E27FC236}">
                          <a16:creationId xmlns:a16="http://schemas.microsoft.com/office/drawing/2014/main" id="{00000000-0008-0000-0400-000092000000}"/>
                        </a:ext>
                      </a:extLst>
                    </xdr:cNvPr>
                    <xdr:cNvSpPr/>
                  </xdr:nvSpPr>
                  <xdr:spPr>
                    <a:xfrm>
                      <a:off x="2509139" y="4364832"/>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7" name="타원 146">
                      <a:extLst>
                        <a:ext uri="{FF2B5EF4-FFF2-40B4-BE49-F238E27FC236}">
                          <a16:creationId xmlns:a16="http://schemas.microsoft.com/office/drawing/2014/main" id="{00000000-0008-0000-0400-000093000000}"/>
                        </a:ext>
                      </a:extLst>
                    </xdr:cNvPr>
                    <xdr:cNvSpPr/>
                  </xdr:nvSpPr>
                  <xdr:spPr>
                    <a:xfrm>
                      <a:off x="2509139" y="40065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8" name="타원 147">
                      <a:extLst>
                        <a:ext uri="{FF2B5EF4-FFF2-40B4-BE49-F238E27FC236}">
                          <a16:creationId xmlns:a16="http://schemas.microsoft.com/office/drawing/2014/main" id="{00000000-0008-0000-0400-000094000000}"/>
                        </a:ext>
                      </a:extLst>
                    </xdr:cNvPr>
                    <xdr:cNvSpPr/>
                  </xdr:nvSpPr>
                  <xdr:spPr>
                    <a:xfrm>
                      <a:off x="2509139" y="40954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9" name="타원 148">
                      <a:extLst>
                        <a:ext uri="{FF2B5EF4-FFF2-40B4-BE49-F238E27FC236}">
                          <a16:creationId xmlns:a16="http://schemas.microsoft.com/office/drawing/2014/main" id="{00000000-0008-0000-0400-000095000000}"/>
                        </a:ext>
                      </a:extLst>
                    </xdr:cNvPr>
                    <xdr:cNvSpPr/>
                  </xdr:nvSpPr>
                  <xdr:spPr>
                    <a:xfrm>
                      <a:off x="2471738" y="5346341"/>
                      <a:ext cx="50006" cy="50006"/>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50" name="타원 149">
                      <a:extLst>
                        <a:ext uri="{FF2B5EF4-FFF2-40B4-BE49-F238E27FC236}">
                          <a16:creationId xmlns:a16="http://schemas.microsoft.com/office/drawing/2014/main" id="{00000000-0008-0000-0400-000096000000}"/>
                        </a:ext>
                      </a:extLst>
                    </xdr:cNvPr>
                    <xdr:cNvSpPr/>
                  </xdr:nvSpPr>
                  <xdr:spPr>
                    <a:xfrm>
                      <a:off x="2434838" y="4626460"/>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51" name="타원 150">
                      <a:extLst>
                        <a:ext uri="{FF2B5EF4-FFF2-40B4-BE49-F238E27FC236}">
                          <a16:creationId xmlns:a16="http://schemas.microsoft.com/office/drawing/2014/main" id="{00000000-0008-0000-0400-000097000000}"/>
                        </a:ext>
                      </a:extLst>
                    </xdr:cNvPr>
                    <xdr:cNvSpPr/>
                  </xdr:nvSpPr>
                  <xdr:spPr>
                    <a:xfrm>
                      <a:off x="2527702" y="4634173"/>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52" name="타원 151">
                      <a:extLst>
                        <a:ext uri="{FF2B5EF4-FFF2-40B4-BE49-F238E27FC236}">
                          <a16:creationId xmlns:a16="http://schemas.microsoft.com/office/drawing/2014/main" id="{00000000-0008-0000-0400-000098000000}"/>
                        </a:ext>
                      </a:extLst>
                    </xdr:cNvPr>
                    <xdr:cNvSpPr/>
                  </xdr:nvSpPr>
                  <xdr:spPr>
                    <a:xfrm>
                      <a:off x="2418557" y="4103204"/>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53" name="타원 152">
                      <a:extLst>
                        <a:ext uri="{FF2B5EF4-FFF2-40B4-BE49-F238E27FC236}">
                          <a16:creationId xmlns:a16="http://schemas.microsoft.com/office/drawing/2014/main" id="{00000000-0008-0000-0400-000099000000}"/>
                        </a:ext>
                      </a:extLst>
                    </xdr:cNvPr>
                    <xdr:cNvSpPr/>
                  </xdr:nvSpPr>
                  <xdr:spPr>
                    <a:xfrm>
                      <a:off x="2418557" y="418729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54" name="타원 153">
                      <a:extLst>
                        <a:ext uri="{FF2B5EF4-FFF2-40B4-BE49-F238E27FC236}">
                          <a16:creationId xmlns:a16="http://schemas.microsoft.com/office/drawing/2014/main" id="{00000000-0008-0000-0400-00009A000000}"/>
                        </a:ext>
                      </a:extLst>
                    </xdr:cNvPr>
                    <xdr:cNvSpPr/>
                  </xdr:nvSpPr>
                  <xdr:spPr>
                    <a:xfrm>
                      <a:off x="2415382" y="4449393"/>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55" name="타원 154">
                      <a:extLst>
                        <a:ext uri="{FF2B5EF4-FFF2-40B4-BE49-F238E27FC236}">
                          <a16:creationId xmlns:a16="http://schemas.microsoft.com/office/drawing/2014/main" id="{00000000-0008-0000-0400-00009B000000}"/>
                        </a:ext>
                      </a:extLst>
                    </xdr:cNvPr>
                    <xdr:cNvSpPr/>
                  </xdr:nvSpPr>
                  <xdr:spPr>
                    <a:xfrm>
                      <a:off x="2434838" y="472353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139" name="그룹 138">
                    <a:extLst>
                      <a:ext uri="{FF2B5EF4-FFF2-40B4-BE49-F238E27FC236}">
                        <a16:creationId xmlns:a16="http://schemas.microsoft.com/office/drawing/2014/main" id="{00000000-0008-0000-0400-00008B000000}"/>
                      </a:ext>
                    </a:extLst>
                  </xdr:cNvPr>
                  <xdr:cNvGrpSpPr/>
                </xdr:nvGrpSpPr>
                <xdr:grpSpPr>
                  <a:xfrm>
                    <a:off x="3357531" y="6077559"/>
                    <a:ext cx="357219" cy="734485"/>
                    <a:chOff x="5023743" y="4906381"/>
                    <a:chExt cx="172673" cy="380393"/>
                  </a:xfrm>
                </xdr:grpSpPr>
                <xdr:sp macro="" textlink="">
                  <xdr:nvSpPr>
                    <xdr:cNvPr id="140" name="직사각형 139">
                      <a:extLst>
                        <a:ext uri="{FF2B5EF4-FFF2-40B4-BE49-F238E27FC236}">
                          <a16:creationId xmlns:a16="http://schemas.microsoft.com/office/drawing/2014/main" id="{00000000-0008-0000-0400-00008C000000}"/>
                        </a:ext>
                      </a:extLst>
                    </xdr:cNvPr>
                    <xdr:cNvSpPr/>
                  </xdr:nvSpPr>
                  <xdr:spPr>
                    <a:xfrm>
                      <a:off x="5023743" y="4906381"/>
                      <a:ext cx="172673" cy="380393"/>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1" name="직사각형 140">
                      <a:extLst>
                        <a:ext uri="{FF2B5EF4-FFF2-40B4-BE49-F238E27FC236}">
                          <a16:creationId xmlns:a16="http://schemas.microsoft.com/office/drawing/2014/main" id="{00000000-0008-0000-0400-00008D000000}"/>
                        </a:ext>
                      </a:extLst>
                    </xdr:cNvPr>
                    <xdr:cNvSpPr/>
                  </xdr:nvSpPr>
                  <xdr:spPr>
                    <a:xfrm>
                      <a:off x="5055436" y="5096578"/>
                      <a:ext cx="109287" cy="149174"/>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2" name="직사각형 141">
                      <a:extLst>
                        <a:ext uri="{FF2B5EF4-FFF2-40B4-BE49-F238E27FC236}">
                          <a16:creationId xmlns:a16="http://schemas.microsoft.com/office/drawing/2014/main" id="{00000000-0008-0000-0400-00008E000000}"/>
                        </a:ext>
                      </a:extLst>
                    </xdr:cNvPr>
                    <xdr:cNvSpPr/>
                  </xdr:nvSpPr>
                  <xdr:spPr>
                    <a:xfrm>
                      <a:off x="5060686" y="5096578"/>
                      <a:ext cx="98786" cy="52211"/>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grpSp>
              <xdr:nvGrpSpPr>
                <xdr:cNvPr id="81" name="그룹 80">
                  <a:extLst>
                    <a:ext uri="{FF2B5EF4-FFF2-40B4-BE49-F238E27FC236}">
                      <a16:creationId xmlns:a16="http://schemas.microsoft.com/office/drawing/2014/main" id="{00000000-0008-0000-0400-000051000000}"/>
                    </a:ext>
                  </a:extLst>
                </xdr:cNvPr>
                <xdr:cNvGrpSpPr/>
              </xdr:nvGrpSpPr>
              <xdr:grpSpPr>
                <a:xfrm>
                  <a:off x="4763002" y="3076576"/>
                  <a:ext cx="914400" cy="3609974"/>
                  <a:chOff x="3262313" y="3209926"/>
                  <a:chExt cx="914400" cy="3609974"/>
                </a:xfrm>
              </xdr:grpSpPr>
              <xdr:grpSp>
                <xdr:nvGrpSpPr>
                  <xdr:cNvPr id="120" name="그룹 119">
                    <a:extLst>
                      <a:ext uri="{FF2B5EF4-FFF2-40B4-BE49-F238E27FC236}">
                        <a16:creationId xmlns:a16="http://schemas.microsoft.com/office/drawing/2014/main" id="{00000000-0008-0000-0400-000078000000}"/>
                      </a:ext>
                    </a:extLst>
                  </xdr:cNvPr>
                  <xdr:cNvGrpSpPr/>
                </xdr:nvGrpSpPr>
                <xdr:grpSpPr>
                  <a:xfrm>
                    <a:off x="3262313" y="3209926"/>
                    <a:ext cx="914400" cy="3609974"/>
                    <a:chOff x="2228850" y="3190876"/>
                    <a:chExt cx="914400" cy="3609974"/>
                  </a:xfrm>
                </xdr:grpSpPr>
                <xdr:pic>
                  <xdr:nvPicPr>
                    <xdr:cNvPr id="125" name="그림 124">
                      <a:extLst>
                        <a:ext uri="{FF2B5EF4-FFF2-40B4-BE49-F238E27FC236}">
                          <a16:creationId xmlns:a16="http://schemas.microsoft.com/office/drawing/2014/main" id="{00000000-0008-0000-0400-00007D00000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4872" t="1762" r="2934" b="2889"/>
                    <a:stretch/>
                  </xdr:blipFill>
                  <xdr:spPr>
                    <a:xfrm>
                      <a:off x="2228850" y="3190876"/>
                      <a:ext cx="914400" cy="3609974"/>
                    </a:xfrm>
                    <a:prstGeom prst="rect">
                      <a:avLst/>
                    </a:prstGeom>
                  </xdr:spPr>
                </xdr:pic>
                <xdr:sp macro="" textlink="">
                  <xdr:nvSpPr>
                    <xdr:cNvPr id="126" name="타원 125">
                      <a:extLst>
                        <a:ext uri="{FF2B5EF4-FFF2-40B4-BE49-F238E27FC236}">
                          <a16:creationId xmlns:a16="http://schemas.microsoft.com/office/drawing/2014/main" id="{00000000-0008-0000-0400-00007E000000}"/>
                        </a:ext>
                      </a:extLst>
                    </xdr:cNvPr>
                    <xdr:cNvSpPr/>
                  </xdr:nvSpPr>
                  <xdr:spPr>
                    <a:xfrm>
                      <a:off x="2415382" y="4009766"/>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27" name="타원 126">
                      <a:extLst>
                        <a:ext uri="{FF2B5EF4-FFF2-40B4-BE49-F238E27FC236}">
                          <a16:creationId xmlns:a16="http://schemas.microsoft.com/office/drawing/2014/main" id="{00000000-0008-0000-0400-00007F000000}"/>
                        </a:ext>
                      </a:extLst>
                    </xdr:cNvPr>
                    <xdr:cNvSpPr/>
                  </xdr:nvSpPr>
                  <xdr:spPr>
                    <a:xfrm>
                      <a:off x="2418557" y="4364832"/>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28" name="타원 127">
                      <a:extLst>
                        <a:ext uri="{FF2B5EF4-FFF2-40B4-BE49-F238E27FC236}">
                          <a16:creationId xmlns:a16="http://schemas.microsoft.com/office/drawing/2014/main" id="{00000000-0008-0000-0400-000080000000}"/>
                        </a:ext>
                      </a:extLst>
                    </xdr:cNvPr>
                    <xdr:cNvSpPr/>
                  </xdr:nvSpPr>
                  <xdr:spPr>
                    <a:xfrm>
                      <a:off x="2509139" y="4364832"/>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29" name="타원 128">
                      <a:extLst>
                        <a:ext uri="{FF2B5EF4-FFF2-40B4-BE49-F238E27FC236}">
                          <a16:creationId xmlns:a16="http://schemas.microsoft.com/office/drawing/2014/main" id="{00000000-0008-0000-0400-000081000000}"/>
                        </a:ext>
                      </a:extLst>
                    </xdr:cNvPr>
                    <xdr:cNvSpPr/>
                  </xdr:nvSpPr>
                  <xdr:spPr>
                    <a:xfrm>
                      <a:off x="2509139" y="40065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30" name="타원 129">
                      <a:extLst>
                        <a:ext uri="{FF2B5EF4-FFF2-40B4-BE49-F238E27FC236}">
                          <a16:creationId xmlns:a16="http://schemas.microsoft.com/office/drawing/2014/main" id="{00000000-0008-0000-0400-000082000000}"/>
                        </a:ext>
                      </a:extLst>
                    </xdr:cNvPr>
                    <xdr:cNvSpPr/>
                  </xdr:nvSpPr>
                  <xdr:spPr>
                    <a:xfrm>
                      <a:off x="2509139" y="40954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31" name="타원 130">
                      <a:extLst>
                        <a:ext uri="{FF2B5EF4-FFF2-40B4-BE49-F238E27FC236}">
                          <a16:creationId xmlns:a16="http://schemas.microsoft.com/office/drawing/2014/main" id="{00000000-0008-0000-0400-000083000000}"/>
                        </a:ext>
                      </a:extLst>
                    </xdr:cNvPr>
                    <xdr:cNvSpPr/>
                  </xdr:nvSpPr>
                  <xdr:spPr>
                    <a:xfrm>
                      <a:off x="2471738" y="5346341"/>
                      <a:ext cx="50006" cy="50006"/>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32" name="타원 131">
                      <a:extLst>
                        <a:ext uri="{FF2B5EF4-FFF2-40B4-BE49-F238E27FC236}">
                          <a16:creationId xmlns:a16="http://schemas.microsoft.com/office/drawing/2014/main" id="{00000000-0008-0000-0400-000084000000}"/>
                        </a:ext>
                      </a:extLst>
                    </xdr:cNvPr>
                    <xdr:cNvSpPr/>
                  </xdr:nvSpPr>
                  <xdr:spPr>
                    <a:xfrm>
                      <a:off x="2434838" y="4626460"/>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33" name="타원 132">
                      <a:extLst>
                        <a:ext uri="{FF2B5EF4-FFF2-40B4-BE49-F238E27FC236}">
                          <a16:creationId xmlns:a16="http://schemas.microsoft.com/office/drawing/2014/main" id="{00000000-0008-0000-0400-000085000000}"/>
                        </a:ext>
                      </a:extLst>
                    </xdr:cNvPr>
                    <xdr:cNvSpPr/>
                  </xdr:nvSpPr>
                  <xdr:spPr>
                    <a:xfrm>
                      <a:off x="2527702" y="4634173"/>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34" name="타원 133">
                      <a:extLst>
                        <a:ext uri="{FF2B5EF4-FFF2-40B4-BE49-F238E27FC236}">
                          <a16:creationId xmlns:a16="http://schemas.microsoft.com/office/drawing/2014/main" id="{00000000-0008-0000-0400-000086000000}"/>
                        </a:ext>
                      </a:extLst>
                    </xdr:cNvPr>
                    <xdr:cNvSpPr/>
                  </xdr:nvSpPr>
                  <xdr:spPr>
                    <a:xfrm>
                      <a:off x="2418557" y="4103204"/>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35" name="타원 134">
                      <a:extLst>
                        <a:ext uri="{FF2B5EF4-FFF2-40B4-BE49-F238E27FC236}">
                          <a16:creationId xmlns:a16="http://schemas.microsoft.com/office/drawing/2014/main" id="{00000000-0008-0000-0400-000087000000}"/>
                        </a:ext>
                      </a:extLst>
                    </xdr:cNvPr>
                    <xdr:cNvSpPr/>
                  </xdr:nvSpPr>
                  <xdr:spPr>
                    <a:xfrm>
                      <a:off x="2418557" y="418729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36" name="타원 135">
                      <a:extLst>
                        <a:ext uri="{FF2B5EF4-FFF2-40B4-BE49-F238E27FC236}">
                          <a16:creationId xmlns:a16="http://schemas.microsoft.com/office/drawing/2014/main" id="{00000000-0008-0000-0400-000088000000}"/>
                        </a:ext>
                      </a:extLst>
                    </xdr:cNvPr>
                    <xdr:cNvSpPr/>
                  </xdr:nvSpPr>
                  <xdr:spPr>
                    <a:xfrm>
                      <a:off x="2415382" y="4449393"/>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37" name="타원 136">
                      <a:extLst>
                        <a:ext uri="{FF2B5EF4-FFF2-40B4-BE49-F238E27FC236}">
                          <a16:creationId xmlns:a16="http://schemas.microsoft.com/office/drawing/2014/main" id="{00000000-0008-0000-0400-000089000000}"/>
                        </a:ext>
                      </a:extLst>
                    </xdr:cNvPr>
                    <xdr:cNvSpPr/>
                  </xdr:nvSpPr>
                  <xdr:spPr>
                    <a:xfrm>
                      <a:off x="2434838" y="472353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121" name="그룹 120">
                    <a:extLst>
                      <a:ext uri="{FF2B5EF4-FFF2-40B4-BE49-F238E27FC236}">
                        <a16:creationId xmlns:a16="http://schemas.microsoft.com/office/drawing/2014/main" id="{00000000-0008-0000-0400-000079000000}"/>
                      </a:ext>
                    </a:extLst>
                  </xdr:cNvPr>
                  <xdr:cNvGrpSpPr/>
                </xdr:nvGrpSpPr>
                <xdr:grpSpPr>
                  <a:xfrm>
                    <a:off x="3357531" y="6077559"/>
                    <a:ext cx="357219" cy="734485"/>
                    <a:chOff x="5023743" y="4906381"/>
                    <a:chExt cx="172673" cy="380393"/>
                  </a:xfrm>
                </xdr:grpSpPr>
                <xdr:sp macro="" textlink="">
                  <xdr:nvSpPr>
                    <xdr:cNvPr id="122" name="직사각형 121">
                      <a:extLst>
                        <a:ext uri="{FF2B5EF4-FFF2-40B4-BE49-F238E27FC236}">
                          <a16:creationId xmlns:a16="http://schemas.microsoft.com/office/drawing/2014/main" id="{00000000-0008-0000-0400-00007A000000}"/>
                        </a:ext>
                      </a:extLst>
                    </xdr:cNvPr>
                    <xdr:cNvSpPr/>
                  </xdr:nvSpPr>
                  <xdr:spPr>
                    <a:xfrm>
                      <a:off x="5023743" y="4906381"/>
                      <a:ext cx="172673" cy="380393"/>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23" name="직사각형 122">
                      <a:extLst>
                        <a:ext uri="{FF2B5EF4-FFF2-40B4-BE49-F238E27FC236}">
                          <a16:creationId xmlns:a16="http://schemas.microsoft.com/office/drawing/2014/main" id="{00000000-0008-0000-0400-00007B000000}"/>
                        </a:ext>
                      </a:extLst>
                    </xdr:cNvPr>
                    <xdr:cNvSpPr/>
                  </xdr:nvSpPr>
                  <xdr:spPr>
                    <a:xfrm>
                      <a:off x="5055436" y="5096578"/>
                      <a:ext cx="109287" cy="149174"/>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24" name="직사각형 123">
                      <a:extLst>
                        <a:ext uri="{FF2B5EF4-FFF2-40B4-BE49-F238E27FC236}">
                          <a16:creationId xmlns:a16="http://schemas.microsoft.com/office/drawing/2014/main" id="{00000000-0008-0000-0400-00007C000000}"/>
                        </a:ext>
                      </a:extLst>
                    </xdr:cNvPr>
                    <xdr:cNvSpPr/>
                  </xdr:nvSpPr>
                  <xdr:spPr>
                    <a:xfrm>
                      <a:off x="5060686" y="5096578"/>
                      <a:ext cx="98786" cy="52211"/>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grpSp>
              <xdr:nvGrpSpPr>
                <xdr:cNvPr id="82" name="그룹 81">
                  <a:extLst>
                    <a:ext uri="{FF2B5EF4-FFF2-40B4-BE49-F238E27FC236}">
                      <a16:creationId xmlns:a16="http://schemas.microsoft.com/office/drawing/2014/main" id="{00000000-0008-0000-0400-000052000000}"/>
                    </a:ext>
                  </a:extLst>
                </xdr:cNvPr>
                <xdr:cNvGrpSpPr/>
              </xdr:nvGrpSpPr>
              <xdr:grpSpPr>
                <a:xfrm>
                  <a:off x="5683919" y="3076576"/>
                  <a:ext cx="914400" cy="3609974"/>
                  <a:chOff x="3262313" y="3209926"/>
                  <a:chExt cx="914400" cy="3609974"/>
                </a:xfrm>
              </xdr:grpSpPr>
              <xdr:grpSp>
                <xdr:nvGrpSpPr>
                  <xdr:cNvPr id="102" name="그룹 101">
                    <a:extLst>
                      <a:ext uri="{FF2B5EF4-FFF2-40B4-BE49-F238E27FC236}">
                        <a16:creationId xmlns:a16="http://schemas.microsoft.com/office/drawing/2014/main" id="{00000000-0008-0000-0400-000066000000}"/>
                      </a:ext>
                    </a:extLst>
                  </xdr:cNvPr>
                  <xdr:cNvGrpSpPr/>
                </xdr:nvGrpSpPr>
                <xdr:grpSpPr>
                  <a:xfrm>
                    <a:off x="3262313" y="3209926"/>
                    <a:ext cx="914400" cy="3609974"/>
                    <a:chOff x="2228850" y="3190876"/>
                    <a:chExt cx="914400" cy="3609974"/>
                  </a:xfrm>
                </xdr:grpSpPr>
                <xdr:pic>
                  <xdr:nvPicPr>
                    <xdr:cNvPr id="107" name="그림 106">
                      <a:extLst>
                        <a:ext uri="{FF2B5EF4-FFF2-40B4-BE49-F238E27FC236}">
                          <a16:creationId xmlns:a16="http://schemas.microsoft.com/office/drawing/2014/main" id="{00000000-0008-0000-0400-00006B00000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4872" t="1762" r="2934" b="2889"/>
                    <a:stretch/>
                  </xdr:blipFill>
                  <xdr:spPr>
                    <a:xfrm>
                      <a:off x="2228850" y="3190876"/>
                      <a:ext cx="914400" cy="3609974"/>
                    </a:xfrm>
                    <a:prstGeom prst="rect">
                      <a:avLst/>
                    </a:prstGeom>
                  </xdr:spPr>
                </xdr:pic>
                <xdr:sp macro="" textlink="">
                  <xdr:nvSpPr>
                    <xdr:cNvPr id="108" name="타원 107">
                      <a:extLst>
                        <a:ext uri="{FF2B5EF4-FFF2-40B4-BE49-F238E27FC236}">
                          <a16:creationId xmlns:a16="http://schemas.microsoft.com/office/drawing/2014/main" id="{00000000-0008-0000-0400-00006C000000}"/>
                        </a:ext>
                      </a:extLst>
                    </xdr:cNvPr>
                    <xdr:cNvSpPr/>
                  </xdr:nvSpPr>
                  <xdr:spPr>
                    <a:xfrm>
                      <a:off x="2415382" y="4009766"/>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9" name="타원 108">
                      <a:extLst>
                        <a:ext uri="{FF2B5EF4-FFF2-40B4-BE49-F238E27FC236}">
                          <a16:creationId xmlns:a16="http://schemas.microsoft.com/office/drawing/2014/main" id="{00000000-0008-0000-0400-00006D000000}"/>
                        </a:ext>
                      </a:extLst>
                    </xdr:cNvPr>
                    <xdr:cNvSpPr/>
                  </xdr:nvSpPr>
                  <xdr:spPr>
                    <a:xfrm>
                      <a:off x="2418557" y="4364832"/>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10" name="타원 109">
                      <a:extLst>
                        <a:ext uri="{FF2B5EF4-FFF2-40B4-BE49-F238E27FC236}">
                          <a16:creationId xmlns:a16="http://schemas.microsoft.com/office/drawing/2014/main" id="{00000000-0008-0000-0400-00006E000000}"/>
                        </a:ext>
                      </a:extLst>
                    </xdr:cNvPr>
                    <xdr:cNvSpPr/>
                  </xdr:nvSpPr>
                  <xdr:spPr>
                    <a:xfrm>
                      <a:off x="2509139" y="4364832"/>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11" name="타원 110">
                      <a:extLst>
                        <a:ext uri="{FF2B5EF4-FFF2-40B4-BE49-F238E27FC236}">
                          <a16:creationId xmlns:a16="http://schemas.microsoft.com/office/drawing/2014/main" id="{00000000-0008-0000-0400-00006F000000}"/>
                        </a:ext>
                      </a:extLst>
                    </xdr:cNvPr>
                    <xdr:cNvSpPr/>
                  </xdr:nvSpPr>
                  <xdr:spPr>
                    <a:xfrm>
                      <a:off x="2509139" y="40065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12" name="타원 111">
                      <a:extLst>
                        <a:ext uri="{FF2B5EF4-FFF2-40B4-BE49-F238E27FC236}">
                          <a16:creationId xmlns:a16="http://schemas.microsoft.com/office/drawing/2014/main" id="{00000000-0008-0000-0400-000070000000}"/>
                        </a:ext>
                      </a:extLst>
                    </xdr:cNvPr>
                    <xdr:cNvSpPr/>
                  </xdr:nvSpPr>
                  <xdr:spPr>
                    <a:xfrm>
                      <a:off x="2509139" y="40954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13" name="타원 112">
                      <a:extLst>
                        <a:ext uri="{FF2B5EF4-FFF2-40B4-BE49-F238E27FC236}">
                          <a16:creationId xmlns:a16="http://schemas.microsoft.com/office/drawing/2014/main" id="{00000000-0008-0000-0400-000071000000}"/>
                        </a:ext>
                      </a:extLst>
                    </xdr:cNvPr>
                    <xdr:cNvSpPr/>
                  </xdr:nvSpPr>
                  <xdr:spPr>
                    <a:xfrm>
                      <a:off x="2471738" y="5346341"/>
                      <a:ext cx="50006" cy="50006"/>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14" name="타원 113">
                      <a:extLst>
                        <a:ext uri="{FF2B5EF4-FFF2-40B4-BE49-F238E27FC236}">
                          <a16:creationId xmlns:a16="http://schemas.microsoft.com/office/drawing/2014/main" id="{00000000-0008-0000-0400-000072000000}"/>
                        </a:ext>
                      </a:extLst>
                    </xdr:cNvPr>
                    <xdr:cNvSpPr/>
                  </xdr:nvSpPr>
                  <xdr:spPr>
                    <a:xfrm>
                      <a:off x="2434838" y="4626460"/>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15" name="타원 114">
                      <a:extLst>
                        <a:ext uri="{FF2B5EF4-FFF2-40B4-BE49-F238E27FC236}">
                          <a16:creationId xmlns:a16="http://schemas.microsoft.com/office/drawing/2014/main" id="{00000000-0008-0000-0400-000073000000}"/>
                        </a:ext>
                      </a:extLst>
                    </xdr:cNvPr>
                    <xdr:cNvSpPr/>
                  </xdr:nvSpPr>
                  <xdr:spPr>
                    <a:xfrm>
                      <a:off x="2527702" y="4634173"/>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16" name="타원 115">
                      <a:extLst>
                        <a:ext uri="{FF2B5EF4-FFF2-40B4-BE49-F238E27FC236}">
                          <a16:creationId xmlns:a16="http://schemas.microsoft.com/office/drawing/2014/main" id="{00000000-0008-0000-0400-000074000000}"/>
                        </a:ext>
                      </a:extLst>
                    </xdr:cNvPr>
                    <xdr:cNvSpPr/>
                  </xdr:nvSpPr>
                  <xdr:spPr>
                    <a:xfrm>
                      <a:off x="2418557" y="4103204"/>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17" name="타원 116">
                      <a:extLst>
                        <a:ext uri="{FF2B5EF4-FFF2-40B4-BE49-F238E27FC236}">
                          <a16:creationId xmlns:a16="http://schemas.microsoft.com/office/drawing/2014/main" id="{00000000-0008-0000-0400-000075000000}"/>
                        </a:ext>
                      </a:extLst>
                    </xdr:cNvPr>
                    <xdr:cNvSpPr/>
                  </xdr:nvSpPr>
                  <xdr:spPr>
                    <a:xfrm>
                      <a:off x="2418557" y="418729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18" name="타원 117">
                      <a:extLst>
                        <a:ext uri="{FF2B5EF4-FFF2-40B4-BE49-F238E27FC236}">
                          <a16:creationId xmlns:a16="http://schemas.microsoft.com/office/drawing/2014/main" id="{00000000-0008-0000-0400-000076000000}"/>
                        </a:ext>
                      </a:extLst>
                    </xdr:cNvPr>
                    <xdr:cNvSpPr/>
                  </xdr:nvSpPr>
                  <xdr:spPr>
                    <a:xfrm>
                      <a:off x="2415382" y="4449393"/>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19" name="타원 118">
                      <a:extLst>
                        <a:ext uri="{FF2B5EF4-FFF2-40B4-BE49-F238E27FC236}">
                          <a16:creationId xmlns:a16="http://schemas.microsoft.com/office/drawing/2014/main" id="{00000000-0008-0000-0400-000077000000}"/>
                        </a:ext>
                      </a:extLst>
                    </xdr:cNvPr>
                    <xdr:cNvSpPr/>
                  </xdr:nvSpPr>
                  <xdr:spPr>
                    <a:xfrm>
                      <a:off x="2434838" y="472353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103" name="그룹 102">
                    <a:extLst>
                      <a:ext uri="{FF2B5EF4-FFF2-40B4-BE49-F238E27FC236}">
                        <a16:creationId xmlns:a16="http://schemas.microsoft.com/office/drawing/2014/main" id="{00000000-0008-0000-0400-000067000000}"/>
                      </a:ext>
                    </a:extLst>
                  </xdr:cNvPr>
                  <xdr:cNvGrpSpPr/>
                </xdr:nvGrpSpPr>
                <xdr:grpSpPr>
                  <a:xfrm>
                    <a:off x="3357531" y="6077559"/>
                    <a:ext cx="357219" cy="734485"/>
                    <a:chOff x="5023743" y="4906381"/>
                    <a:chExt cx="172673" cy="380393"/>
                  </a:xfrm>
                </xdr:grpSpPr>
                <xdr:sp macro="" textlink="">
                  <xdr:nvSpPr>
                    <xdr:cNvPr id="104" name="직사각형 103">
                      <a:extLst>
                        <a:ext uri="{FF2B5EF4-FFF2-40B4-BE49-F238E27FC236}">
                          <a16:creationId xmlns:a16="http://schemas.microsoft.com/office/drawing/2014/main" id="{00000000-0008-0000-0400-000068000000}"/>
                        </a:ext>
                      </a:extLst>
                    </xdr:cNvPr>
                    <xdr:cNvSpPr/>
                  </xdr:nvSpPr>
                  <xdr:spPr>
                    <a:xfrm>
                      <a:off x="5023743" y="4906381"/>
                      <a:ext cx="172673" cy="380393"/>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5" name="직사각형 104">
                      <a:extLst>
                        <a:ext uri="{FF2B5EF4-FFF2-40B4-BE49-F238E27FC236}">
                          <a16:creationId xmlns:a16="http://schemas.microsoft.com/office/drawing/2014/main" id="{00000000-0008-0000-0400-000069000000}"/>
                        </a:ext>
                      </a:extLst>
                    </xdr:cNvPr>
                    <xdr:cNvSpPr/>
                  </xdr:nvSpPr>
                  <xdr:spPr>
                    <a:xfrm>
                      <a:off x="5055436" y="5096578"/>
                      <a:ext cx="109287" cy="149174"/>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6" name="직사각형 105">
                      <a:extLst>
                        <a:ext uri="{FF2B5EF4-FFF2-40B4-BE49-F238E27FC236}">
                          <a16:creationId xmlns:a16="http://schemas.microsoft.com/office/drawing/2014/main" id="{00000000-0008-0000-0400-00006A000000}"/>
                        </a:ext>
                      </a:extLst>
                    </xdr:cNvPr>
                    <xdr:cNvSpPr/>
                  </xdr:nvSpPr>
                  <xdr:spPr>
                    <a:xfrm>
                      <a:off x="5060686" y="5096578"/>
                      <a:ext cx="98786" cy="52211"/>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grpSp>
              <xdr:nvGrpSpPr>
                <xdr:cNvPr id="83" name="그룹 82">
                  <a:extLst>
                    <a:ext uri="{FF2B5EF4-FFF2-40B4-BE49-F238E27FC236}">
                      <a16:creationId xmlns:a16="http://schemas.microsoft.com/office/drawing/2014/main" id="{00000000-0008-0000-0400-000053000000}"/>
                    </a:ext>
                  </a:extLst>
                </xdr:cNvPr>
                <xdr:cNvGrpSpPr/>
              </xdr:nvGrpSpPr>
              <xdr:grpSpPr>
                <a:xfrm>
                  <a:off x="6604834" y="3076576"/>
                  <a:ext cx="914400" cy="3609974"/>
                  <a:chOff x="3262313" y="3209926"/>
                  <a:chExt cx="914400" cy="3609974"/>
                </a:xfrm>
              </xdr:grpSpPr>
              <xdr:grpSp>
                <xdr:nvGrpSpPr>
                  <xdr:cNvPr id="84" name="그룹 83">
                    <a:extLst>
                      <a:ext uri="{FF2B5EF4-FFF2-40B4-BE49-F238E27FC236}">
                        <a16:creationId xmlns:a16="http://schemas.microsoft.com/office/drawing/2014/main" id="{00000000-0008-0000-0400-000054000000}"/>
                      </a:ext>
                    </a:extLst>
                  </xdr:cNvPr>
                  <xdr:cNvGrpSpPr/>
                </xdr:nvGrpSpPr>
                <xdr:grpSpPr>
                  <a:xfrm>
                    <a:off x="3262313" y="3209926"/>
                    <a:ext cx="914400" cy="3609974"/>
                    <a:chOff x="2228850" y="3190876"/>
                    <a:chExt cx="914400" cy="3609974"/>
                  </a:xfrm>
                </xdr:grpSpPr>
                <xdr:pic>
                  <xdr:nvPicPr>
                    <xdr:cNvPr id="89" name="그림 88">
                      <a:extLst>
                        <a:ext uri="{FF2B5EF4-FFF2-40B4-BE49-F238E27FC236}">
                          <a16:creationId xmlns:a16="http://schemas.microsoft.com/office/drawing/2014/main" id="{00000000-0008-0000-0400-00005900000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4872" t="1762" r="2934" b="2889"/>
                    <a:stretch/>
                  </xdr:blipFill>
                  <xdr:spPr>
                    <a:xfrm>
                      <a:off x="2228850" y="3190876"/>
                      <a:ext cx="914400" cy="3609974"/>
                    </a:xfrm>
                    <a:prstGeom prst="rect">
                      <a:avLst/>
                    </a:prstGeom>
                  </xdr:spPr>
                </xdr:pic>
                <xdr:sp macro="" textlink="">
                  <xdr:nvSpPr>
                    <xdr:cNvPr id="90" name="타원 89">
                      <a:extLst>
                        <a:ext uri="{FF2B5EF4-FFF2-40B4-BE49-F238E27FC236}">
                          <a16:creationId xmlns:a16="http://schemas.microsoft.com/office/drawing/2014/main" id="{00000000-0008-0000-0400-00005A000000}"/>
                        </a:ext>
                      </a:extLst>
                    </xdr:cNvPr>
                    <xdr:cNvSpPr/>
                  </xdr:nvSpPr>
                  <xdr:spPr>
                    <a:xfrm>
                      <a:off x="2415382" y="4009766"/>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1" name="타원 90">
                      <a:extLst>
                        <a:ext uri="{FF2B5EF4-FFF2-40B4-BE49-F238E27FC236}">
                          <a16:creationId xmlns:a16="http://schemas.microsoft.com/office/drawing/2014/main" id="{00000000-0008-0000-0400-00005B000000}"/>
                        </a:ext>
                      </a:extLst>
                    </xdr:cNvPr>
                    <xdr:cNvSpPr/>
                  </xdr:nvSpPr>
                  <xdr:spPr>
                    <a:xfrm>
                      <a:off x="2418557" y="4364832"/>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2" name="타원 91">
                      <a:extLst>
                        <a:ext uri="{FF2B5EF4-FFF2-40B4-BE49-F238E27FC236}">
                          <a16:creationId xmlns:a16="http://schemas.microsoft.com/office/drawing/2014/main" id="{00000000-0008-0000-0400-00005C000000}"/>
                        </a:ext>
                      </a:extLst>
                    </xdr:cNvPr>
                    <xdr:cNvSpPr/>
                  </xdr:nvSpPr>
                  <xdr:spPr>
                    <a:xfrm>
                      <a:off x="2509139" y="4364832"/>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3" name="타원 92">
                      <a:extLst>
                        <a:ext uri="{FF2B5EF4-FFF2-40B4-BE49-F238E27FC236}">
                          <a16:creationId xmlns:a16="http://schemas.microsoft.com/office/drawing/2014/main" id="{00000000-0008-0000-0400-00005D000000}"/>
                        </a:ext>
                      </a:extLst>
                    </xdr:cNvPr>
                    <xdr:cNvSpPr/>
                  </xdr:nvSpPr>
                  <xdr:spPr>
                    <a:xfrm>
                      <a:off x="2509139" y="40065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4" name="타원 93">
                      <a:extLst>
                        <a:ext uri="{FF2B5EF4-FFF2-40B4-BE49-F238E27FC236}">
                          <a16:creationId xmlns:a16="http://schemas.microsoft.com/office/drawing/2014/main" id="{00000000-0008-0000-0400-00005E000000}"/>
                        </a:ext>
                      </a:extLst>
                    </xdr:cNvPr>
                    <xdr:cNvSpPr/>
                  </xdr:nvSpPr>
                  <xdr:spPr>
                    <a:xfrm>
                      <a:off x="2509139" y="40954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5" name="타원 94">
                      <a:extLst>
                        <a:ext uri="{FF2B5EF4-FFF2-40B4-BE49-F238E27FC236}">
                          <a16:creationId xmlns:a16="http://schemas.microsoft.com/office/drawing/2014/main" id="{00000000-0008-0000-0400-00005F000000}"/>
                        </a:ext>
                      </a:extLst>
                    </xdr:cNvPr>
                    <xdr:cNvSpPr/>
                  </xdr:nvSpPr>
                  <xdr:spPr>
                    <a:xfrm>
                      <a:off x="2471738" y="5346341"/>
                      <a:ext cx="50006" cy="50006"/>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6" name="타원 95">
                      <a:extLst>
                        <a:ext uri="{FF2B5EF4-FFF2-40B4-BE49-F238E27FC236}">
                          <a16:creationId xmlns:a16="http://schemas.microsoft.com/office/drawing/2014/main" id="{00000000-0008-0000-0400-000060000000}"/>
                        </a:ext>
                      </a:extLst>
                    </xdr:cNvPr>
                    <xdr:cNvSpPr/>
                  </xdr:nvSpPr>
                  <xdr:spPr>
                    <a:xfrm>
                      <a:off x="2434838" y="4626460"/>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7" name="타원 96">
                      <a:extLst>
                        <a:ext uri="{FF2B5EF4-FFF2-40B4-BE49-F238E27FC236}">
                          <a16:creationId xmlns:a16="http://schemas.microsoft.com/office/drawing/2014/main" id="{00000000-0008-0000-0400-000061000000}"/>
                        </a:ext>
                      </a:extLst>
                    </xdr:cNvPr>
                    <xdr:cNvSpPr/>
                  </xdr:nvSpPr>
                  <xdr:spPr>
                    <a:xfrm>
                      <a:off x="2527702" y="4634173"/>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8" name="타원 97">
                      <a:extLst>
                        <a:ext uri="{FF2B5EF4-FFF2-40B4-BE49-F238E27FC236}">
                          <a16:creationId xmlns:a16="http://schemas.microsoft.com/office/drawing/2014/main" id="{00000000-0008-0000-0400-000062000000}"/>
                        </a:ext>
                      </a:extLst>
                    </xdr:cNvPr>
                    <xdr:cNvSpPr/>
                  </xdr:nvSpPr>
                  <xdr:spPr>
                    <a:xfrm>
                      <a:off x="2418557" y="4103204"/>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9" name="타원 98">
                      <a:extLst>
                        <a:ext uri="{FF2B5EF4-FFF2-40B4-BE49-F238E27FC236}">
                          <a16:creationId xmlns:a16="http://schemas.microsoft.com/office/drawing/2014/main" id="{00000000-0008-0000-0400-000063000000}"/>
                        </a:ext>
                      </a:extLst>
                    </xdr:cNvPr>
                    <xdr:cNvSpPr/>
                  </xdr:nvSpPr>
                  <xdr:spPr>
                    <a:xfrm>
                      <a:off x="2418557" y="418729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0" name="타원 99">
                      <a:extLst>
                        <a:ext uri="{FF2B5EF4-FFF2-40B4-BE49-F238E27FC236}">
                          <a16:creationId xmlns:a16="http://schemas.microsoft.com/office/drawing/2014/main" id="{00000000-0008-0000-0400-000064000000}"/>
                        </a:ext>
                      </a:extLst>
                    </xdr:cNvPr>
                    <xdr:cNvSpPr/>
                  </xdr:nvSpPr>
                  <xdr:spPr>
                    <a:xfrm>
                      <a:off x="2415382" y="4449393"/>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1" name="타원 100">
                      <a:extLst>
                        <a:ext uri="{FF2B5EF4-FFF2-40B4-BE49-F238E27FC236}">
                          <a16:creationId xmlns:a16="http://schemas.microsoft.com/office/drawing/2014/main" id="{00000000-0008-0000-0400-000065000000}"/>
                        </a:ext>
                      </a:extLst>
                    </xdr:cNvPr>
                    <xdr:cNvSpPr/>
                  </xdr:nvSpPr>
                  <xdr:spPr>
                    <a:xfrm>
                      <a:off x="2434838" y="472353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85" name="그룹 84">
                    <a:extLst>
                      <a:ext uri="{FF2B5EF4-FFF2-40B4-BE49-F238E27FC236}">
                        <a16:creationId xmlns:a16="http://schemas.microsoft.com/office/drawing/2014/main" id="{00000000-0008-0000-0400-000055000000}"/>
                      </a:ext>
                    </a:extLst>
                  </xdr:cNvPr>
                  <xdr:cNvGrpSpPr/>
                </xdr:nvGrpSpPr>
                <xdr:grpSpPr>
                  <a:xfrm>
                    <a:off x="3357531" y="6077559"/>
                    <a:ext cx="357219" cy="734485"/>
                    <a:chOff x="5023743" y="4906381"/>
                    <a:chExt cx="172673" cy="380393"/>
                  </a:xfrm>
                </xdr:grpSpPr>
                <xdr:sp macro="" textlink="">
                  <xdr:nvSpPr>
                    <xdr:cNvPr id="86" name="직사각형 85">
                      <a:extLst>
                        <a:ext uri="{FF2B5EF4-FFF2-40B4-BE49-F238E27FC236}">
                          <a16:creationId xmlns:a16="http://schemas.microsoft.com/office/drawing/2014/main" id="{00000000-0008-0000-0400-000056000000}"/>
                        </a:ext>
                      </a:extLst>
                    </xdr:cNvPr>
                    <xdr:cNvSpPr/>
                  </xdr:nvSpPr>
                  <xdr:spPr>
                    <a:xfrm>
                      <a:off x="5023743" y="4906381"/>
                      <a:ext cx="172673" cy="380393"/>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7" name="직사각형 86">
                      <a:extLst>
                        <a:ext uri="{FF2B5EF4-FFF2-40B4-BE49-F238E27FC236}">
                          <a16:creationId xmlns:a16="http://schemas.microsoft.com/office/drawing/2014/main" id="{00000000-0008-0000-0400-000057000000}"/>
                        </a:ext>
                      </a:extLst>
                    </xdr:cNvPr>
                    <xdr:cNvSpPr/>
                  </xdr:nvSpPr>
                  <xdr:spPr>
                    <a:xfrm>
                      <a:off x="5055436" y="5096578"/>
                      <a:ext cx="109287" cy="149174"/>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8" name="직사각형 87">
                      <a:extLst>
                        <a:ext uri="{FF2B5EF4-FFF2-40B4-BE49-F238E27FC236}">
                          <a16:creationId xmlns:a16="http://schemas.microsoft.com/office/drawing/2014/main" id="{00000000-0008-0000-0400-000058000000}"/>
                        </a:ext>
                      </a:extLst>
                    </xdr:cNvPr>
                    <xdr:cNvSpPr/>
                  </xdr:nvSpPr>
                  <xdr:spPr>
                    <a:xfrm>
                      <a:off x="5060686" y="5096578"/>
                      <a:ext cx="98786" cy="52211"/>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grpSp>
          <xdr:sp macro="" textlink="">
            <xdr:nvSpPr>
              <xdr:cNvPr id="32" name="타원 31">
                <a:extLst>
                  <a:ext uri="{FF2B5EF4-FFF2-40B4-BE49-F238E27FC236}">
                    <a16:creationId xmlns:a16="http://schemas.microsoft.com/office/drawing/2014/main" id="{00000000-0008-0000-0400-000020000000}"/>
                  </a:ext>
                </a:extLst>
              </xdr:cNvPr>
              <xdr:cNvSpPr/>
            </xdr:nvSpPr>
            <xdr:spPr>
              <a:xfrm>
                <a:off x="2628011" y="5379195"/>
                <a:ext cx="24035" cy="24684"/>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3" name="타원 32">
                <a:extLst>
                  <a:ext uri="{FF2B5EF4-FFF2-40B4-BE49-F238E27FC236}">
                    <a16:creationId xmlns:a16="http://schemas.microsoft.com/office/drawing/2014/main" id="{00000000-0008-0000-0400-000021000000}"/>
                  </a:ext>
                </a:extLst>
              </xdr:cNvPr>
              <xdr:cNvSpPr/>
            </xdr:nvSpPr>
            <xdr:spPr>
              <a:xfrm>
                <a:off x="2629537" y="5423145"/>
                <a:ext cx="24035" cy="24684"/>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4" name="타원 33">
                <a:extLst>
                  <a:ext uri="{FF2B5EF4-FFF2-40B4-BE49-F238E27FC236}">
                    <a16:creationId xmlns:a16="http://schemas.microsoft.com/office/drawing/2014/main" id="{00000000-0008-0000-0400-000022000000}"/>
                  </a:ext>
                </a:extLst>
              </xdr:cNvPr>
              <xdr:cNvSpPr/>
            </xdr:nvSpPr>
            <xdr:spPr>
              <a:xfrm>
                <a:off x="2629438" y="5466014"/>
                <a:ext cx="24035" cy="24684"/>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5" name="타원 34">
                <a:extLst>
                  <a:ext uri="{FF2B5EF4-FFF2-40B4-BE49-F238E27FC236}">
                    <a16:creationId xmlns:a16="http://schemas.microsoft.com/office/drawing/2014/main" id="{00000000-0008-0000-0400-000023000000}"/>
                  </a:ext>
                </a:extLst>
              </xdr:cNvPr>
              <xdr:cNvSpPr/>
            </xdr:nvSpPr>
            <xdr:spPr>
              <a:xfrm>
                <a:off x="2628078" y="5597373"/>
                <a:ext cx="24035" cy="24684"/>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6" name="타원 35">
                <a:extLst>
                  <a:ext uri="{FF2B5EF4-FFF2-40B4-BE49-F238E27FC236}">
                    <a16:creationId xmlns:a16="http://schemas.microsoft.com/office/drawing/2014/main" id="{00000000-0008-0000-0400-000024000000}"/>
                  </a:ext>
                </a:extLst>
              </xdr:cNvPr>
              <xdr:cNvSpPr/>
            </xdr:nvSpPr>
            <xdr:spPr>
              <a:xfrm>
                <a:off x="2629438" y="5510419"/>
                <a:ext cx="24035" cy="24684"/>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7" name="타원 36">
                <a:extLst>
                  <a:ext uri="{FF2B5EF4-FFF2-40B4-BE49-F238E27FC236}">
                    <a16:creationId xmlns:a16="http://schemas.microsoft.com/office/drawing/2014/main" id="{00000000-0008-0000-0400-000025000000}"/>
                  </a:ext>
                </a:extLst>
              </xdr:cNvPr>
              <xdr:cNvSpPr/>
            </xdr:nvSpPr>
            <xdr:spPr>
              <a:xfrm>
                <a:off x="2629537" y="5640963"/>
                <a:ext cx="24035" cy="24684"/>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8" name="타원 37">
                <a:extLst>
                  <a:ext uri="{FF2B5EF4-FFF2-40B4-BE49-F238E27FC236}">
                    <a16:creationId xmlns:a16="http://schemas.microsoft.com/office/drawing/2014/main" id="{00000000-0008-0000-0400-000026000000}"/>
                  </a:ext>
                </a:extLst>
              </xdr:cNvPr>
              <xdr:cNvSpPr/>
            </xdr:nvSpPr>
            <xdr:spPr>
              <a:xfrm>
                <a:off x="2629537" y="5684067"/>
                <a:ext cx="24035" cy="24684"/>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39" name="타원 38">
                <a:extLst>
                  <a:ext uri="{FF2B5EF4-FFF2-40B4-BE49-F238E27FC236}">
                    <a16:creationId xmlns:a16="http://schemas.microsoft.com/office/drawing/2014/main" id="{00000000-0008-0000-0400-000027000000}"/>
                  </a:ext>
                </a:extLst>
              </xdr:cNvPr>
              <xdr:cNvSpPr/>
            </xdr:nvSpPr>
            <xdr:spPr>
              <a:xfrm>
                <a:off x="2629705" y="5728328"/>
                <a:ext cx="24035" cy="24684"/>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nvGrpSpPr>
              <xdr:cNvPr id="40" name="그룹 39">
                <a:extLst>
                  <a:ext uri="{FF2B5EF4-FFF2-40B4-BE49-F238E27FC236}">
                    <a16:creationId xmlns:a16="http://schemas.microsoft.com/office/drawing/2014/main" id="{00000000-0008-0000-0400-000028000000}"/>
                  </a:ext>
                </a:extLst>
              </xdr:cNvPr>
              <xdr:cNvGrpSpPr/>
            </xdr:nvGrpSpPr>
            <xdr:grpSpPr>
              <a:xfrm>
                <a:off x="2808576" y="4973957"/>
                <a:ext cx="441857" cy="1782340"/>
                <a:chOff x="2582144" y="4974402"/>
                <a:chExt cx="441857" cy="1782340"/>
              </a:xfrm>
            </xdr:grpSpPr>
            <xdr:grpSp>
              <xdr:nvGrpSpPr>
                <xdr:cNvPr id="61" name="그룹 60">
                  <a:extLst>
                    <a:ext uri="{FF2B5EF4-FFF2-40B4-BE49-F238E27FC236}">
                      <a16:creationId xmlns:a16="http://schemas.microsoft.com/office/drawing/2014/main" id="{00000000-0008-0000-0400-00003D000000}"/>
                    </a:ext>
                  </a:extLst>
                </xdr:cNvPr>
                <xdr:cNvGrpSpPr/>
              </xdr:nvGrpSpPr>
              <xdr:grpSpPr>
                <a:xfrm>
                  <a:off x="2582144" y="6387112"/>
                  <a:ext cx="179457" cy="368983"/>
                  <a:chOff x="3935130" y="5943813"/>
                  <a:chExt cx="357219" cy="734485"/>
                </a:xfrm>
              </xdr:grpSpPr>
              <xdr:sp macro="" textlink="">
                <xdr:nvSpPr>
                  <xdr:cNvPr id="75" name="직사각형 74">
                    <a:extLst>
                      <a:ext uri="{FF2B5EF4-FFF2-40B4-BE49-F238E27FC236}">
                        <a16:creationId xmlns:a16="http://schemas.microsoft.com/office/drawing/2014/main" id="{00000000-0008-0000-0400-00004B000000}"/>
                      </a:ext>
                    </a:extLst>
                  </xdr:cNvPr>
                  <xdr:cNvSpPr/>
                </xdr:nvSpPr>
                <xdr:spPr>
                  <a:xfrm>
                    <a:off x="3935130" y="5943813"/>
                    <a:ext cx="357219" cy="734485"/>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76" name="직사각형 75">
                    <a:extLst>
                      <a:ext uri="{FF2B5EF4-FFF2-40B4-BE49-F238E27FC236}">
                        <a16:creationId xmlns:a16="http://schemas.microsoft.com/office/drawing/2014/main" id="{00000000-0008-0000-0400-00004C000000}"/>
                      </a:ext>
                    </a:extLst>
                  </xdr:cNvPr>
                  <xdr:cNvSpPr/>
                </xdr:nvSpPr>
                <xdr:spPr>
                  <a:xfrm>
                    <a:off x="4000695" y="6311453"/>
                    <a:ext cx="226089" cy="288035"/>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77" name="직사각형 76">
                    <a:extLst>
                      <a:ext uri="{FF2B5EF4-FFF2-40B4-BE49-F238E27FC236}">
                        <a16:creationId xmlns:a16="http://schemas.microsoft.com/office/drawing/2014/main" id="{00000000-0008-0000-0400-00004D000000}"/>
                      </a:ext>
                    </a:extLst>
                  </xdr:cNvPr>
                  <xdr:cNvSpPr/>
                </xdr:nvSpPr>
                <xdr:spPr>
                  <a:xfrm>
                    <a:off x="4011555" y="6311453"/>
                    <a:ext cx="204364" cy="100812"/>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62" name="그룹 61">
                  <a:extLst>
                    <a:ext uri="{FF2B5EF4-FFF2-40B4-BE49-F238E27FC236}">
                      <a16:creationId xmlns:a16="http://schemas.microsoft.com/office/drawing/2014/main" id="{00000000-0008-0000-0400-00003E000000}"/>
                    </a:ext>
                  </a:extLst>
                </xdr:cNvPr>
                <xdr:cNvGrpSpPr/>
              </xdr:nvGrpSpPr>
              <xdr:grpSpPr>
                <a:xfrm>
                  <a:off x="2800463" y="4974402"/>
                  <a:ext cx="223538" cy="1782340"/>
                  <a:chOff x="3758508" y="2260600"/>
                  <a:chExt cx="661016" cy="5270500"/>
                </a:xfrm>
              </xdr:grpSpPr>
              <xdr:pic>
                <xdr:nvPicPr>
                  <xdr:cNvPr id="63" name="그림 62">
                    <a:extLst>
                      <a:ext uri="{FF2B5EF4-FFF2-40B4-BE49-F238E27FC236}">
                        <a16:creationId xmlns:a16="http://schemas.microsoft.com/office/drawing/2014/main" id="{00000000-0008-0000-0400-00003F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2144" t="705" r="3621" b="1647"/>
                  <a:stretch/>
                </xdr:blipFill>
                <xdr:spPr>
                  <a:xfrm>
                    <a:off x="3758508" y="2260600"/>
                    <a:ext cx="661016" cy="5270500"/>
                  </a:xfrm>
                  <a:prstGeom prst="rect">
                    <a:avLst/>
                  </a:prstGeom>
                </xdr:spPr>
              </xdr:pic>
              <xdr:sp macro="" textlink="">
                <xdr:nvSpPr>
                  <xdr:cNvPr id="64" name="타원 63">
                    <a:extLst>
                      <a:ext uri="{FF2B5EF4-FFF2-40B4-BE49-F238E27FC236}">
                        <a16:creationId xmlns:a16="http://schemas.microsoft.com/office/drawing/2014/main" id="{00000000-0008-0000-0400-000040000000}"/>
                      </a:ext>
                    </a:extLst>
                  </xdr:cNvPr>
                  <xdr:cNvSpPr/>
                </xdr:nvSpPr>
                <xdr:spPr>
                  <a:xfrm>
                    <a:off x="3910251" y="3455621"/>
                    <a:ext cx="70583" cy="70583"/>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5" name="타원 64">
                    <a:extLst>
                      <a:ext uri="{FF2B5EF4-FFF2-40B4-BE49-F238E27FC236}">
                        <a16:creationId xmlns:a16="http://schemas.microsoft.com/office/drawing/2014/main" id="{00000000-0008-0000-0400-000041000000}"/>
                      </a:ext>
                    </a:extLst>
                  </xdr:cNvPr>
                  <xdr:cNvSpPr/>
                </xdr:nvSpPr>
                <xdr:spPr>
                  <a:xfrm>
                    <a:off x="3910251" y="3584331"/>
                    <a:ext cx="70583" cy="70583"/>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6" name="타원 65">
                    <a:extLst>
                      <a:ext uri="{FF2B5EF4-FFF2-40B4-BE49-F238E27FC236}">
                        <a16:creationId xmlns:a16="http://schemas.microsoft.com/office/drawing/2014/main" id="{00000000-0008-0000-0400-000042000000}"/>
                      </a:ext>
                    </a:extLst>
                  </xdr:cNvPr>
                  <xdr:cNvSpPr/>
                </xdr:nvSpPr>
                <xdr:spPr>
                  <a:xfrm>
                    <a:off x="3910251" y="3717192"/>
                    <a:ext cx="70583" cy="70583"/>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7" name="타원 66">
                    <a:extLst>
                      <a:ext uri="{FF2B5EF4-FFF2-40B4-BE49-F238E27FC236}">
                        <a16:creationId xmlns:a16="http://schemas.microsoft.com/office/drawing/2014/main" id="{00000000-0008-0000-0400-000043000000}"/>
                      </a:ext>
                    </a:extLst>
                  </xdr:cNvPr>
                  <xdr:cNvSpPr/>
                </xdr:nvSpPr>
                <xdr:spPr>
                  <a:xfrm>
                    <a:off x="3910251" y="3841750"/>
                    <a:ext cx="70583" cy="70583"/>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8" name="타원 67">
                    <a:extLst>
                      <a:ext uri="{FF2B5EF4-FFF2-40B4-BE49-F238E27FC236}">
                        <a16:creationId xmlns:a16="http://schemas.microsoft.com/office/drawing/2014/main" id="{00000000-0008-0000-0400-000044000000}"/>
                      </a:ext>
                    </a:extLst>
                  </xdr:cNvPr>
                  <xdr:cNvSpPr/>
                </xdr:nvSpPr>
                <xdr:spPr>
                  <a:xfrm>
                    <a:off x="3908175" y="4232031"/>
                    <a:ext cx="70583" cy="70583"/>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9" name="타원 68">
                    <a:extLst>
                      <a:ext uri="{FF2B5EF4-FFF2-40B4-BE49-F238E27FC236}">
                        <a16:creationId xmlns:a16="http://schemas.microsoft.com/office/drawing/2014/main" id="{00000000-0008-0000-0400-000045000000}"/>
                      </a:ext>
                    </a:extLst>
                  </xdr:cNvPr>
                  <xdr:cNvSpPr/>
                </xdr:nvSpPr>
                <xdr:spPr>
                  <a:xfrm>
                    <a:off x="3910251" y="4099169"/>
                    <a:ext cx="70583" cy="70583"/>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70" name="타원 69">
                    <a:extLst>
                      <a:ext uri="{FF2B5EF4-FFF2-40B4-BE49-F238E27FC236}">
                        <a16:creationId xmlns:a16="http://schemas.microsoft.com/office/drawing/2014/main" id="{00000000-0008-0000-0400-000046000000}"/>
                      </a:ext>
                    </a:extLst>
                  </xdr:cNvPr>
                  <xdr:cNvSpPr/>
                </xdr:nvSpPr>
                <xdr:spPr>
                  <a:xfrm>
                    <a:off x="3910251" y="4356588"/>
                    <a:ext cx="70583" cy="70583"/>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nvGrpSpPr>
                  <xdr:cNvPr id="71" name="그룹 70">
                    <a:extLst>
                      <a:ext uri="{FF2B5EF4-FFF2-40B4-BE49-F238E27FC236}">
                        <a16:creationId xmlns:a16="http://schemas.microsoft.com/office/drawing/2014/main" id="{00000000-0008-0000-0400-000047000000}"/>
                      </a:ext>
                    </a:extLst>
                  </xdr:cNvPr>
                  <xdr:cNvGrpSpPr/>
                </xdr:nvGrpSpPr>
                <xdr:grpSpPr>
                  <a:xfrm>
                    <a:off x="3774106" y="6438084"/>
                    <a:ext cx="522274" cy="1091107"/>
                    <a:chOff x="3675525" y="2895600"/>
                    <a:chExt cx="246057" cy="514049"/>
                  </a:xfrm>
                </xdr:grpSpPr>
                <xdr:sp macro="" textlink="">
                  <xdr:nvSpPr>
                    <xdr:cNvPr id="72" name="직사각형 71">
                      <a:extLst>
                        <a:ext uri="{FF2B5EF4-FFF2-40B4-BE49-F238E27FC236}">
                          <a16:creationId xmlns:a16="http://schemas.microsoft.com/office/drawing/2014/main" id="{00000000-0008-0000-0400-000048000000}"/>
                        </a:ext>
                      </a:extLst>
                    </xdr:cNvPr>
                    <xdr:cNvSpPr/>
                  </xdr:nvSpPr>
                  <xdr:spPr>
                    <a:xfrm>
                      <a:off x="3675525" y="2895600"/>
                      <a:ext cx="246057" cy="514049"/>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73" name="직사각형 72">
                      <a:extLst>
                        <a:ext uri="{FF2B5EF4-FFF2-40B4-BE49-F238E27FC236}">
                          <a16:creationId xmlns:a16="http://schemas.microsoft.com/office/drawing/2014/main" id="{00000000-0008-0000-0400-000049000000}"/>
                        </a:ext>
                      </a:extLst>
                    </xdr:cNvPr>
                    <xdr:cNvSpPr/>
                  </xdr:nvSpPr>
                  <xdr:spPr>
                    <a:xfrm>
                      <a:off x="3720687" y="3152902"/>
                      <a:ext cx="155733" cy="212570"/>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74" name="직사각형 73">
                      <a:extLst>
                        <a:ext uri="{FF2B5EF4-FFF2-40B4-BE49-F238E27FC236}">
                          <a16:creationId xmlns:a16="http://schemas.microsoft.com/office/drawing/2014/main" id="{00000000-0008-0000-0400-00004A000000}"/>
                        </a:ext>
                      </a:extLst>
                    </xdr:cNvPr>
                    <xdr:cNvSpPr/>
                  </xdr:nvSpPr>
                  <xdr:spPr>
                    <a:xfrm>
                      <a:off x="3728168" y="3152902"/>
                      <a:ext cx="140770" cy="74400"/>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grpSp>
          <xdr:sp macro="" textlink="">
            <xdr:nvSpPr>
              <xdr:cNvPr id="41" name="모서리가 둥근 직사각형 336">
                <a:extLst>
                  <a:ext uri="{FF2B5EF4-FFF2-40B4-BE49-F238E27FC236}">
                    <a16:creationId xmlns:a16="http://schemas.microsoft.com/office/drawing/2014/main" id="{00000000-0008-0000-0400-000029000000}"/>
                  </a:ext>
                </a:extLst>
              </xdr:cNvPr>
              <xdr:cNvSpPr/>
            </xdr:nvSpPr>
            <xdr:spPr>
              <a:xfrm>
                <a:off x="1939863" y="2566652"/>
                <a:ext cx="4225848" cy="388310"/>
              </a:xfrm>
              <a:prstGeom prst="roundRect">
                <a:avLst>
                  <a:gd name="adj" fmla="val 8835"/>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nvGrpSpPr>
              <xdr:cNvPr id="42" name="그룹 41">
                <a:extLst>
                  <a:ext uri="{FF2B5EF4-FFF2-40B4-BE49-F238E27FC236}">
                    <a16:creationId xmlns:a16="http://schemas.microsoft.com/office/drawing/2014/main" id="{00000000-0008-0000-0400-00002A000000}"/>
                  </a:ext>
                </a:extLst>
              </xdr:cNvPr>
              <xdr:cNvGrpSpPr/>
            </xdr:nvGrpSpPr>
            <xdr:grpSpPr>
              <a:xfrm>
                <a:off x="2176840" y="2954962"/>
                <a:ext cx="263585" cy="3821239"/>
                <a:chOff x="4306275" y="-3335524"/>
                <a:chExt cx="903240" cy="15184198"/>
              </a:xfrm>
            </xdr:grpSpPr>
            <xdr:pic>
              <xdr:nvPicPr>
                <xdr:cNvPr id="44" name="그림 43">
                  <a:extLst>
                    <a:ext uri="{FF2B5EF4-FFF2-40B4-BE49-F238E27FC236}">
                      <a16:creationId xmlns:a16="http://schemas.microsoft.com/office/drawing/2014/main" id="{00000000-0008-0000-0400-00002C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306275" y="-3306683"/>
                  <a:ext cx="903240" cy="15155357"/>
                </a:xfrm>
                <a:prstGeom prst="rect">
                  <a:avLst/>
                </a:prstGeom>
              </xdr:spPr>
            </xdr:pic>
            <xdr:sp macro="" textlink="">
              <xdr:nvSpPr>
                <xdr:cNvPr id="45" name="타원 44">
                  <a:extLst>
                    <a:ext uri="{FF2B5EF4-FFF2-40B4-BE49-F238E27FC236}">
                      <a16:creationId xmlns:a16="http://schemas.microsoft.com/office/drawing/2014/main" id="{00000000-0008-0000-0400-00002D000000}"/>
                    </a:ext>
                  </a:extLst>
                </xdr:cNvPr>
                <xdr:cNvSpPr/>
              </xdr:nvSpPr>
              <xdr:spPr>
                <a:xfrm>
                  <a:off x="4503125" y="-1266365"/>
                  <a:ext cx="78400" cy="784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6" name="타원 45">
                  <a:extLst>
                    <a:ext uri="{FF2B5EF4-FFF2-40B4-BE49-F238E27FC236}">
                      <a16:creationId xmlns:a16="http://schemas.microsoft.com/office/drawing/2014/main" id="{00000000-0008-0000-0400-00002E000000}"/>
                    </a:ext>
                  </a:extLst>
                </xdr:cNvPr>
                <xdr:cNvSpPr/>
              </xdr:nvSpPr>
              <xdr:spPr>
                <a:xfrm>
                  <a:off x="4503125" y="-1088565"/>
                  <a:ext cx="78400" cy="78400"/>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7" name="타원 46">
                  <a:extLst>
                    <a:ext uri="{FF2B5EF4-FFF2-40B4-BE49-F238E27FC236}">
                      <a16:creationId xmlns:a16="http://schemas.microsoft.com/office/drawing/2014/main" id="{00000000-0008-0000-0400-00002F000000}"/>
                    </a:ext>
                  </a:extLst>
                </xdr:cNvPr>
                <xdr:cNvSpPr/>
              </xdr:nvSpPr>
              <xdr:spPr>
                <a:xfrm>
                  <a:off x="4503125" y="-910765"/>
                  <a:ext cx="78400" cy="78400"/>
                </a:xfrm>
                <a:prstGeom prst="ellipse">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8" name="타원 47">
                  <a:extLst>
                    <a:ext uri="{FF2B5EF4-FFF2-40B4-BE49-F238E27FC236}">
                      <a16:creationId xmlns:a16="http://schemas.microsoft.com/office/drawing/2014/main" id="{00000000-0008-0000-0400-000030000000}"/>
                    </a:ext>
                  </a:extLst>
                </xdr:cNvPr>
                <xdr:cNvSpPr/>
              </xdr:nvSpPr>
              <xdr:spPr>
                <a:xfrm>
                  <a:off x="4503125" y="-732965"/>
                  <a:ext cx="78400" cy="784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9" name="타원 48">
                  <a:extLst>
                    <a:ext uri="{FF2B5EF4-FFF2-40B4-BE49-F238E27FC236}">
                      <a16:creationId xmlns:a16="http://schemas.microsoft.com/office/drawing/2014/main" id="{00000000-0008-0000-0400-000031000000}"/>
                    </a:ext>
                  </a:extLst>
                </xdr:cNvPr>
                <xdr:cNvSpPr/>
              </xdr:nvSpPr>
              <xdr:spPr>
                <a:xfrm>
                  <a:off x="4503125" y="-555165"/>
                  <a:ext cx="78400" cy="784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0" name="타원 49">
                  <a:extLst>
                    <a:ext uri="{FF2B5EF4-FFF2-40B4-BE49-F238E27FC236}">
                      <a16:creationId xmlns:a16="http://schemas.microsoft.com/office/drawing/2014/main" id="{00000000-0008-0000-0400-000032000000}"/>
                    </a:ext>
                  </a:extLst>
                </xdr:cNvPr>
                <xdr:cNvSpPr/>
              </xdr:nvSpPr>
              <xdr:spPr>
                <a:xfrm>
                  <a:off x="4567237" y="5829298"/>
                  <a:ext cx="152402" cy="152402"/>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1" name="타원 50">
                  <a:extLst>
                    <a:ext uri="{FF2B5EF4-FFF2-40B4-BE49-F238E27FC236}">
                      <a16:creationId xmlns:a16="http://schemas.microsoft.com/office/drawing/2014/main" id="{00000000-0008-0000-0400-000033000000}"/>
                    </a:ext>
                  </a:extLst>
                </xdr:cNvPr>
                <xdr:cNvSpPr/>
              </xdr:nvSpPr>
              <xdr:spPr>
                <a:xfrm>
                  <a:off x="4562474" y="6388097"/>
                  <a:ext cx="161928" cy="161928"/>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2" name="타원 51">
                  <a:extLst>
                    <a:ext uri="{FF2B5EF4-FFF2-40B4-BE49-F238E27FC236}">
                      <a16:creationId xmlns:a16="http://schemas.microsoft.com/office/drawing/2014/main" id="{00000000-0008-0000-0400-000034000000}"/>
                    </a:ext>
                  </a:extLst>
                </xdr:cNvPr>
                <xdr:cNvSpPr/>
              </xdr:nvSpPr>
              <xdr:spPr>
                <a:xfrm>
                  <a:off x="4562474" y="6808783"/>
                  <a:ext cx="161928" cy="161928"/>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nvGrpSpPr>
                <xdr:cNvPr id="53" name="그룹 52">
                  <a:extLst>
                    <a:ext uri="{FF2B5EF4-FFF2-40B4-BE49-F238E27FC236}">
                      <a16:creationId xmlns:a16="http://schemas.microsoft.com/office/drawing/2014/main" id="{00000000-0008-0000-0400-000035000000}"/>
                    </a:ext>
                  </a:extLst>
                </xdr:cNvPr>
                <xdr:cNvGrpSpPr/>
              </xdr:nvGrpSpPr>
              <xdr:grpSpPr>
                <a:xfrm>
                  <a:off x="4382552" y="-3335524"/>
                  <a:ext cx="650777" cy="1583176"/>
                  <a:chOff x="4679502" y="1931426"/>
                  <a:chExt cx="352531" cy="657614"/>
                </a:xfrm>
              </xdr:grpSpPr>
              <xdr:sp macro="" textlink="">
                <xdr:nvSpPr>
                  <xdr:cNvPr id="58" name="직사각형 57">
                    <a:extLst>
                      <a:ext uri="{FF2B5EF4-FFF2-40B4-BE49-F238E27FC236}">
                        <a16:creationId xmlns:a16="http://schemas.microsoft.com/office/drawing/2014/main" id="{00000000-0008-0000-0400-00003A000000}"/>
                      </a:ext>
                    </a:extLst>
                  </xdr:cNvPr>
                  <xdr:cNvSpPr/>
                </xdr:nvSpPr>
                <xdr:spPr>
                  <a:xfrm>
                    <a:off x="4679502" y="1931426"/>
                    <a:ext cx="352531" cy="657614"/>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9" name="직사각형 58">
                    <a:extLst>
                      <a:ext uri="{FF2B5EF4-FFF2-40B4-BE49-F238E27FC236}">
                        <a16:creationId xmlns:a16="http://schemas.microsoft.com/office/drawing/2014/main" id="{00000000-0008-0000-0400-00003B000000}"/>
                      </a:ext>
                    </a:extLst>
                  </xdr:cNvPr>
                  <xdr:cNvSpPr/>
                </xdr:nvSpPr>
                <xdr:spPr>
                  <a:xfrm>
                    <a:off x="4706650" y="2260235"/>
                    <a:ext cx="252237" cy="257888"/>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0" name="직사각형 59">
                    <a:extLst>
                      <a:ext uri="{FF2B5EF4-FFF2-40B4-BE49-F238E27FC236}">
                        <a16:creationId xmlns:a16="http://schemas.microsoft.com/office/drawing/2014/main" id="{00000000-0008-0000-0400-00003C000000}"/>
                      </a:ext>
                    </a:extLst>
                  </xdr:cNvPr>
                  <xdr:cNvSpPr/>
                </xdr:nvSpPr>
                <xdr:spPr>
                  <a:xfrm>
                    <a:off x="4718768" y="2260235"/>
                    <a:ext cx="228000" cy="90261"/>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54" name="그룹 53">
                  <a:extLst>
                    <a:ext uri="{FF2B5EF4-FFF2-40B4-BE49-F238E27FC236}">
                      <a16:creationId xmlns:a16="http://schemas.microsoft.com/office/drawing/2014/main" id="{00000000-0008-0000-0400-000036000000}"/>
                    </a:ext>
                  </a:extLst>
                </xdr:cNvPr>
                <xdr:cNvGrpSpPr/>
              </xdr:nvGrpSpPr>
              <xdr:grpSpPr>
                <a:xfrm rot="10800000">
                  <a:off x="4382549" y="10294333"/>
                  <a:ext cx="644075" cy="1554336"/>
                  <a:chOff x="4633505" y="1931430"/>
                  <a:chExt cx="355374" cy="657614"/>
                </a:xfrm>
              </xdr:grpSpPr>
              <xdr:sp macro="" textlink="">
                <xdr:nvSpPr>
                  <xdr:cNvPr id="55" name="직사각형 54">
                    <a:extLst>
                      <a:ext uri="{FF2B5EF4-FFF2-40B4-BE49-F238E27FC236}">
                        <a16:creationId xmlns:a16="http://schemas.microsoft.com/office/drawing/2014/main" id="{00000000-0008-0000-0400-000037000000}"/>
                      </a:ext>
                    </a:extLst>
                  </xdr:cNvPr>
                  <xdr:cNvSpPr/>
                </xdr:nvSpPr>
                <xdr:spPr>
                  <a:xfrm>
                    <a:off x="4633505" y="1931430"/>
                    <a:ext cx="355374" cy="657614"/>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6" name="직사각형 55">
                    <a:extLst>
                      <a:ext uri="{FF2B5EF4-FFF2-40B4-BE49-F238E27FC236}">
                        <a16:creationId xmlns:a16="http://schemas.microsoft.com/office/drawing/2014/main" id="{00000000-0008-0000-0400-000038000000}"/>
                      </a:ext>
                    </a:extLst>
                  </xdr:cNvPr>
                  <xdr:cNvSpPr/>
                </xdr:nvSpPr>
                <xdr:spPr>
                  <a:xfrm>
                    <a:off x="4706650" y="2260235"/>
                    <a:ext cx="252237" cy="257888"/>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7" name="직사각형 56">
                    <a:extLst>
                      <a:ext uri="{FF2B5EF4-FFF2-40B4-BE49-F238E27FC236}">
                        <a16:creationId xmlns:a16="http://schemas.microsoft.com/office/drawing/2014/main" id="{00000000-0008-0000-0400-000039000000}"/>
                      </a:ext>
                    </a:extLst>
                  </xdr:cNvPr>
                  <xdr:cNvSpPr/>
                </xdr:nvSpPr>
                <xdr:spPr>
                  <a:xfrm>
                    <a:off x="4718768" y="2260235"/>
                    <a:ext cx="228000" cy="90261"/>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sp macro="" textlink="">
            <xdr:nvSpPr>
              <xdr:cNvPr id="43" name="모서리가 둥근 직사각형 338">
                <a:extLst>
                  <a:ext uri="{FF2B5EF4-FFF2-40B4-BE49-F238E27FC236}">
                    <a16:creationId xmlns:a16="http://schemas.microsoft.com/office/drawing/2014/main" id="{00000000-0008-0000-0400-00002B000000}"/>
                  </a:ext>
                </a:extLst>
              </xdr:cNvPr>
              <xdr:cNvSpPr/>
            </xdr:nvSpPr>
            <xdr:spPr>
              <a:xfrm>
                <a:off x="1939863" y="6840961"/>
                <a:ext cx="4225848" cy="388310"/>
              </a:xfrm>
              <a:prstGeom prst="roundRect">
                <a:avLst>
                  <a:gd name="adj" fmla="val 8835"/>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sp macro="" textlink="">
          <xdr:nvSpPr>
            <xdr:cNvPr id="16" name="TextBox 59">
              <a:extLst>
                <a:ext uri="{FF2B5EF4-FFF2-40B4-BE49-F238E27FC236}">
                  <a16:creationId xmlns:a16="http://schemas.microsoft.com/office/drawing/2014/main" id="{00000000-0008-0000-0400-000010000000}"/>
                </a:ext>
              </a:extLst>
            </xdr:cNvPr>
            <xdr:cNvSpPr txBox="1"/>
          </xdr:nvSpPr>
          <xdr:spPr>
            <a:xfrm>
              <a:off x="1346387" y="1747281"/>
              <a:ext cx="1552575" cy="329989"/>
            </a:xfrm>
            <a:prstGeom prst="rect">
              <a:avLst/>
            </a:prstGeom>
            <a:noFill/>
          </xdr:spPr>
          <xdr:txBody>
            <a:bodyPr wrap="square" rtlCol="0">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en-US" altLang="ko-KR" sz="1100">
                  <a:latin typeface="맑은 고딕" panose="020B0503020000020004" pitchFamily="50" charset="-127"/>
                  <a:ea typeface="맑은 고딕" panose="020B0503020000020004" pitchFamily="50" charset="-127"/>
                </a:rPr>
                <a:t>FAN </a:t>
              </a:r>
              <a:r>
                <a:rPr lang="ko-KR" altLang="en-US" sz="1100">
                  <a:latin typeface="맑은 고딕" panose="020B0503020000020004" pitchFamily="50" charset="-127"/>
                  <a:ea typeface="맑은 고딕" panose="020B0503020000020004" pitchFamily="50" charset="-127"/>
                </a:rPr>
                <a:t>반</a:t>
              </a:r>
            </a:p>
          </xdr:txBody>
        </xdr:sp>
        <xdr:cxnSp macro="">
          <xdr:nvCxnSpPr>
            <xdr:cNvPr id="17" name="직선 연결선 16">
              <a:extLst>
                <a:ext uri="{FF2B5EF4-FFF2-40B4-BE49-F238E27FC236}">
                  <a16:creationId xmlns:a16="http://schemas.microsoft.com/office/drawing/2014/main" id="{00000000-0008-0000-0400-000011000000}"/>
                </a:ext>
              </a:extLst>
            </xdr:cNvPr>
            <xdr:cNvCxnSpPr/>
          </xdr:nvCxnSpPr>
          <xdr:spPr>
            <a:xfrm>
              <a:off x="2190750" y="1714444"/>
              <a:ext cx="458405" cy="0"/>
            </a:xfrm>
            <a:prstGeom prst="line">
              <a:avLst/>
            </a:prstGeom>
            <a:ln w="12700"/>
          </xdr:spPr>
          <xdr:style>
            <a:lnRef idx="1">
              <a:schemeClr val="accent1"/>
            </a:lnRef>
            <a:fillRef idx="0">
              <a:schemeClr val="accent1"/>
            </a:fillRef>
            <a:effectRef idx="0">
              <a:schemeClr val="accent1"/>
            </a:effectRef>
            <a:fontRef idx="minor">
              <a:schemeClr val="tx1"/>
            </a:fontRef>
          </xdr:style>
        </xdr:cxnSp>
        <xdr:cxnSp macro="">
          <xdr:nvCxnSpPr>
            <xdr:cNvPr id="18" name="직선 연결선 17">
              <a:extLst>
                <a:ext uri="{FF2B5EF4-FFF2-40B4-BE49-F238E27FC236}">
                  <a16:creationId xmlns:a16="http://schemas.microsoft.com/office/drawing/2014/main" id="{00000000-0008-0000-0400-000012000000}"/>
                </a:ext>
              </a:extLst>
            </xdr:cNvPr>
            <xdr:cNvCxnSpPr/>
          </xdr:nvCxnSpPr>
          <xdr:spPr>
            <a:xfrm>
              <a:off x="2208399" y="2085836"/>
              <a:ext cx="458405" cy="0"/>
            </a:xfrm>
            <a:prstGeom prst="line">
              <a:avLst/>
            </a:prstGeom>
            <a:ln w="12700"/>
          </xdr:spPr>
          <xdr:style>
            <a:lnRef idx="1">
              <a:schemeClr val="accent1"/>
            </a:lnRef>
            <a:fillRef idx="0">
              <a:schemeClr val="accent1"/>
            </a:fillRef>
            <a:effectRef idx="0">
              <a:schemeClr val="accent1"/>
            </a:effectRef>
            <a:fontRef idx="minor">
              <a:schemeClr val="tx1"/>
            </a:fontRef>
          </xdr:style>
        </xdr:cxnSp>
        <xdr:cxnSp macro="">
          <xdr:nvCxnSpPr>
            <xdr:cNvPr id="19" name="직선 연결선 18">
              <a:extLst>
                <a:ext uri="{FF2B5EF4-FFF2-40B4-BE49-F238E27FC236}">
                  <a16:creationId xmlns:a16="http://schemas.microsoft.com/office/drawing/2014/main" id="{00000000-0008-0000-0400-000013000000}"/>
                </a:ext>
              </a:extLst>
            </xdr:cNvPr>
            <xdr:cNvCxnSpPr/>
          </xdr:nvCxnSpPr>
          <xdr:spPr>
            <a:xfrm>
              <a:off x="2437601" y="1765391"/>
              <a:ext cx="0" cy="288040"/>
            </a:xfrm>
            <a:prstGeom prst="line">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sp macro="" textlink="">
          <xdr:nvSpPr>
            <xdr:cNvPr id="20" name="TextBox 63">
              <a:extLst>
                <a:ext uri="{FF2B5EF4-FFF2-40B4-BE49-F238E27FC236}">
                  <a16:creationId xmlns:a16="http://schemas.microsoft.com/office/drawing/2014/main" id="{00000000-0008-0000-0400-000014000000}"/>
                </a:ext>
              </a:extLst>
            </xdr:cNvPr>
            <xdr:cNvSpPr txBox="1"/>
          </xdr:nvSpPr>
          <xdr:spPr>
            <a:xfrm>
              <a:off x="924018" y="6378585"/>
              <a:ext cx="1619686" cy="329989"/>
            </a:xfrm>
            <a:prstGeom prst="rect">
              <a:avLst/>
            </a:prstGeom>
            <a:noFill/>
          </xdr:spPr>
          <xdr:txBody>
            <a:bodyPr wrap="square" rtlCol="0">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ko-KR" altLang="en-US" sz="1100">
                  <a:latin typeface="맑은 고딕" panose="020B0503020000020004" pitchFamily="50" charset="-127"/>
                  <a:ea typeface="맑은 고딕" panose="020B0503020000020004" pitchFamily="50" charset="-127"/>
                </a:rPr>
                <a:t>광코어 저장함</a:t>
              </a:r>
            </a:p>
          </xdr:txBody>
        </xdr:sp>
        <xdr:cxnSp macro="">
          <xdr:nvCxnSpPr>
            <xdr:cNvPr id="21" name="직선 연결선 20">
              <a:extLst>
                <a:ext uri="{FF2B5EF4-FFF2-40B4-BE49-F238E27FC236}">
                  <a16:creationId xmlns:a16="http://schemas.microsoft.com/office/drawing/2014/main" id="{00000000-0008-0000-0400-000015000000}"/>
                </a:ext>
              </a:extLst>
            </xdr:cNvPr>
            <xdr:cNvCxnSpPr/>
          </xdr:nvCxnSpPr>
          <xdr:spPr>
            <a:xfrm>
              <a:off x="2149289" y="6342108"/>
              <a:ext cx="458405" cy="0"/>
            </a:xfrm>
            <a:prstGeom prst="line">
              <a:avLst/>
            </a:prstGeom>
            <a:ln w="12700"/>
          </xdr:spPr>
          <xdr:style>
            <a:lnRef idx="1">
              <a:schemeClr val="accent1"/>
            </a:lnRef>
            <a:fillRef idx="0">
              <a:schemeClr val="accent1"/>
            </a:fillRef>
            <a:effectRef idx="0">
              <a:schemeClr val="accent1"/>
            </a:effectRef>
            <a:fontRef idx="minor">
              <a:schemeClr val="tx1"/>
            </a:fontRef>
          </xdr:style>
        </xdr:cxnSp>
        <xdr:cxnSp macro="">
          <xdr:nvCxnSpPr>
            <xdr:cNvPr id="22" name="직선 연결선 21">
              <a:extLst>
                <a:ext uri="{FF2B5EF4-FFF2-40B4-BE49-F238E27FC236}">
                  <a16:creationId xmlns:a16="http://schemas.microsoft.com/office/drawing/2014/main" id="{00000000-0008-0000-0400-000016000000}"/>
                </a:ext>
              </a:extLst>
            </xdr:cNvPr>
            <xdr:cNvCxnSpPr/>
          </xdr:nvCxnSpPr>
          <xdr:spPr>
            <a:xfrm>
              <a:off x="2166938" y="6713500"/>
              <a:ext cx="458405" cy="0"/>
            </a:xfrm>
            <a:prstGeom prst="line">
              <a:avLst/>
            </a:prstGeom>
            <a:ln w="12700"/>
          </xdr:spPr>
          <xdr:style>
            <a:lnRef idx="1">
              <a:schemeClr val="accent1"/>
            </a:lnRef>
            <a:fillRef idx="0">
              <a:schemeClr val="accent1"/>
            </a:fillRef>
            <a:effectRef idx="0">
              <a:schemeClr val="accent1"/>
            </a:effectRef>
            <a:fontRef idx="minor">
              <a:schemeClr val="tx1"/>
            </a:fontRef>
          </xdr:style>
        </xdr:cxnSp>
        <xdr:cxnSp macro="">
          <xdr:nvCxnSpPr>
            <xdr:cNvPr id="23" name="직선 연결선 22">
              <a:extLst>
                <a:ext uri="{FF2B5EF4-FFF2-40B4-BE49-F238E27FC236}">
                  <a16:creationId xmlns:a16="http://schemas.microsoft.com/office/drawing/2014/main" id="{00000000-0008-0000-0400-000017000000}"/>
                </a:ext>
              </a:extLst>
            </xdr:cNvPr>
            <xdr:cNvCxnSpPr/>
          </xdr:nvCxnSpPr>
          <xdr:spPr>
            <a:xfrm>
              <a:off x="2396141" y="6393055"/>
              <a:ext cx="0" cy="288040"/>
            </a:xfrm>
            <a:prstGeom prst="line">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grpSp>
      <xdr:cxnSp macro="">
        <xdr:nvCxnSpPr>
          <xdr:cNvPr id="8" name="직선 연결선 7">
            <a:extLst>
              <a:ext uri="{FF2B5EF4-FFF2-40B4-BE49-F238E27FC236}">
                <a16:creationId xmlns:a16="http://schemas.microsoft.com/office/drawing/2014/main" id="{00000000-0008-0000-0400-000008000000}"/>
              </a:ext>
            </a:extLst>
          </xdr:cNvPr>
          <xdr:cNvCxnSpPr>
            <a:stCxn id="6" idx="3"/>
          </xdr:cNvCxnSpPr>
        </xdr:nvCxnSpPr>
        <xdr:spPr>
          <a:xfrm>
            <a:off x="2566807" y="3389906"/>
            <a:ext cx="633594" cy="965"/>
          </a:xfrm>
          <a:prstGeom prst="line">
            <a:avLst/>
          </a:prstGeom>
          <a:ln w="25400">
            <a:solidFill>
              <a:srgbClr val="0070C0"/>
            </a:solidFill>
          </a:ln>
        </xdr:spPr>
        <xdr:style>
          <a:lnRef idx="1">
            <a:schemeClr val="accent1"/>
          </a:lnRef>
          <a:fillRef idx="0">
            <a:schemeClr val="accent1"/>
          </a:fillRef>
          <a:effectRef idx="0">
            <a:schemeClr val="accent1"/>
          </a:effectRef>
          <a:fontRef idx="minor">
            <a:schemeClr val="tx1"/>
          </a:fontRef>
        </xdr:style>
      </xdr:cxnSp>
      <xdr:sp macro="" textlink="">
        <xdr:nvSpPr>
          <xdr:cNvPr id="9" name="직사각형 8">
            <a:extLst>
              <a:ext uri="{FF2B5EF4-FFF2-40B4-BE49-F238E27FC236}">
                <a16:creationId xmlns:a16="http://schemas.microsoft.com/office/drawing/2014/main" id="{00000000-0008-0000-0400-000009000000}"/>
              </a:ext>
            </a:extLst>
          </xdr:cNvPr>
          <xdr:cNvSpPr/>
        </xdr:nvSpPr>
        <xdr:spPr>
          <a:xfrm>
            <a:off x="1173996" y="3986749"/>
            <a:ext cx="1392811" cy="359997"/>
          </a:xfrm>
          <a:prstGeom prst="rect">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1100">
                <a:solidFill>
                  <a:sysClr val="windowText" lastClr="000000"/>
                </a:solidFill>
                <a:latin typeface="맑은 고딕" panose="020B0503020000020004" pitchFamily="50" charset="-127"/>
              </a:rPr>
              <a:t>LIU </a:t>
            </a:r>
            <a:r>
              <a:rPr lang="ko-KR" altLang="en-US" sz="1100">
                <a:solidFill>
                  <a:sysClr val="windowText" lastClr="000000"/>
                </a:solidFill>
                <a:latin typeface="맑은 고딕" panose="020B0503020000020004" pitchFamily="50" charset="-127"/>
              </a:rPr>
              <a:t>이중화</a:t>
            </a:r>
            <a:endParaRPr lang="en-US" altLang="ko-KR" sz="1100">
              <a:solidFill>
                <a:sysClr val="windowText" lastClr="000000"/>
              </a:solidFill>
              <a:latin typeface="맑은 고딕" panose="020B0503020000020004" pitchFamily="50" charset="-127"/>
            </a:endParaRPr>
          </a:p>
        </xdr:txBody>
      </xdr:sp>
      <xdr:cxnSp macro="">
        <xdr:nvCxnSpPr>
          <xdr:cNvPr id="10" name="직선 연결선 9">
            <a:extLst>
              <a:ext uri="{FF2B5EF4-FFF2-40B4-BE49-F238E27FC236}">
                <a16:creationId xmlns:a16="http://schemas.microsoft.com/office/drawing/2014/main" id="{00000000-0008-0000-0400-00000A000000}"/>
              </a:ext>
            </a:extLst>
          </xdr:cNvPr>
          <xdr:cNvCxnSpPr>
            <a:stCxn id="9" idx="3"/>
          </xdr:cNvCxnSpPr>
        </xdr:nvCxnSpPr>
        <xdr:spPr>
          <a:xfrm>
            <a:off x="2566807" y="4166747"/>
            <a:ext cx="1014595" cy="8977"/>
          </a:xfrm>
          <a:prstGeom prst="line">
            <a:avLst/>
          </a:prstGeom>
          <a:ln w="25400">
            <a:solidFill>
              <a:srgbClr val="0070C0"/>
            </a:solidFill>
          </a:ln>
        </xdr:spPr>
        <xdr:style>
          <a:lnRef idx="1">
            <a:schemeClr val="accent1"/>
          </a:lnRef>
          <a:fillRef idx="0">
            <a:schemeClr val="accent1"/>
          </a:fillRef>
          <a:effectRef idx="0">
            <a:schemeClr val="accent1"/>
          </a:effectRef>
          <a:fontRef idx="minor">
            <a:schemeClr val="tx1"/>
          </a:fontRef>
        </xdr:style>
      </xdr:cxnSp>
      <xdr:sp macro="" textlink="">
        <xdr:nvSpPr>
          <xdr:cNvPr id="11" name="직사각형 10">
            <a:extLst>
              <a:ext uri="{FF2B5EF4-FFF2-40B4-BE49-F238E27FC236}">
                <a16:creationId xmlns:a16="http://schemas.microsoft.com/office/drawing/2014/main" id="{00000000-0008-0000-0400-00000B000000}"/>
              </a:ext>
            </a:extLst>
          </xdr:cNvPr>
          <xdr:cNvSpPr/>
        </xdr:nvSpPr>
        <xdr:spPr>
          <a:xfrm>
            <a:off x="6913856" y="2820891"/>
            <a:ext cx="1392810" cy="323997"/>
          </a:xfrm>
          <a:prstGeom prst="rect">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100">
                <a:solidFill>
                  <a:sysClr val="windowText" lastClr="000000"/>
                </a:solidFill>
                <a:latin typeface="맑은 고딕" panose="020B0503020000020004" pitchFamily="50" charset="-127"/>
              </a:rPr>
              <a:t>계통보호 </a:t>
            </a:r>
            <a:r>
              <a:rPr lang="en-US" altLang="ko-KR" sz="1100">
                <a:solidFill>
                  <a:sysClr val="windowText" lastClr="000000"/>
                </a:solidFill>
                <a:latin typeface="맑은 고딕" panose="020B0503020000020004" pitchFamily="50" charset="-127"/>
              </a:rPr>
              <a:t>COM 1</a:t>
            </a:r>
          </a:p>
        </xdr:txBody>
      </xdr:sp>
      <xdr:cxnSp macro="">
        <xdr:nvCxnSpPr>
          <xdr:cNvPr id="12" name="직선 연결선 427">
            <a:extLst>
              <a:ext uri="{FF2B5EF4-FFF2-40B4-BE49-F238E27FC236}">
                <a16:creationId xmlns:a16="http://schemas.microsoft.com/office/drawing/2014/main" id="{00000000-0008-0000-0400-00000C000000}"/>
              </a:ext>
            </a:extLst>
          </xdr:cNvPr>
          <xdr:cNvCxnSpPr/>
        </xdr:nvCxnSpPr>
        <xdr:spPr>
          <a:xfrm flipV="1">
            <a:off x="6051796" y="2989221"/>
            <a:ext cx="847687" cy="274913"/>
          </a:xfrm>
          <a:prstGeom prst="bentConnector3">
            <a:avLst>
              <a:gd name="adj1" fmla="val 50000"/>
            </a:avLst>
          </a:prstGeom>
          <a:ln w="25400">
            <a:solidFill>
              <a:srgbClr val="0070C0"/>
            </a:solidFill>
          </a:ln>
        </xdr:spPr>
        <xdr:style>
          <a:lnRef idx="1">
            <a:schemeClr val="accent1"/>
          </a:lnRef>
          <a:fillRef idx="0">
            <a:schemeClr val="accent1"/>
          </a:fillRef>
          <a:effectRef idx="0">
            <a:schemeClr val="accent1"/>
          </a:effectRef>
          <a:fontRef idx="minor">
            <a:schemeClr val="tx1"/>
          </a:fontRef>
        </xdr:style>
      </xdr:cxnSp>
      <xdr:sp macro="" textlink="">
        <xdr:nvSpPr>
          <xdr:cNvPr id="13" name="직사각형 12">
            <a:extLst>
              <a:ext uri="{FF2B5EF4-FFF2-40B4-BE49-F238E27FC236}">
                <a16:creationId xmlns:a16="http://schemas.microsoft.com/office/drawing/2014/main" id="{00000000-0008-0000-0400-00000D000000}"/>
              </a:ext>
            </a:extLst>
          </xdr:cNvPr>
          <xdr:cNvSpPr/>
        </xdr:nvSpPr>
        <xdr:spPr>
          <a:xfrm>
            <a:off x="6913856" y="4209855"/>
            <a:ext cx="1392810" cy="323997"/>
          </a:xfrm>
          <a:prstGeom prst="rect">
            <a:avLst/>
          </a:prstGeom>
          <a:solidFill>
            <a:schemeClr val="bg1"/>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100">
                <a:solidFill>
                  <a:sysClr val="windowText" lastClr="000000"/>
                </a:solidFill>
                <a:latin typeface="맑은 고딕" panose="020B0503020000020004" pitchFamily="50" charset="-127"/>
              </a:rPr>
              <a:t>계통보호 </a:t>
            </a:r>
            <a:r>
              <a:rPr lang="en-US" altLang="ko-KR" sz="1100">
                <a:solidFill>
                  <a:sysClr val="windowText" lastClr="000000"/>
                </a:solidFill>
                <a:latin typeface="맑은 고딕" panose="020B0503020000020004" pitchFamily="50" charset="-127"/>
              </a:rPr>
              <a:t>COM 2</a:t>
            </a:r>
          </a:p>
        </xdr:txBody>
      </xdr:sp>
      <xdr:cxnSp macro="">
        <xdr:nvCxnSpPr>
          <xdr:cNvPr id="14" name="직선 연결선 427">
            <a:extLst>
              <a:ext uri="{FF2B5EF4-FFF2-40B4-BE49-F238E27FC236}">
                <a16:creationId xmlns:a16="http://schemas.microsoft.com/office/drawing/2014/main" id="{00000000-0008-0000-0400-00000E000000}"/>
              </a:ext>
            </a:extLst>
          </xdr:cNvPr>
          <xdr:cNvCxnSpPr/>
        </xdr:nvCxnSpPr>
        <xdr:spPr>
          <a:xfrm flipV="1">
            <a:off x="6105917" y="4378223"/>
            <a:ext cx="825938" cy="4912"/>
          </a:xfrm>
          <a:prstGeom prst="straightConnector1">
            <a:avLst/>
          </a:prstGeom>
          <a:ln w="25400">
            <a:solidFill>
              <a:srgbClr val="0070C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764877</xdr:colOff>
      <xdr:row>0</xdr:row>
      <xdr:rowOff>81643</xdr:rowOff>
    </xdr:from>
    <xdr:to>
      <xdr:col>6</xdr:col>
      <xdr:colOff>586703</xdr:colOff>
      <xdr:row>2</xdr:row>
      <xdr:rowOff>185699</xdr:rowOff>
    </xdr:to>
    <xdr:sp macro="" textlink="">
      <xdr:nvSpPr>
        <xdr:cNvPr id="367" name="Text 2">
          <a:extLst>
            <a:ext uri="{FF2B5EF4-FFF2-40B4-BE49-F238E27FC236}">
              <a16:creationId xmlns:a16="http://schemas.microsoft.com/office/drawing/2014/main" id="{00000000-0008-0000-0400-00006F010000}"/>
            </a:ext>
          </a:extLst>
        </xdr:cNvPr>
        <xdr:cNvSpPr>
          <a:spLocks noChangeArrowheads="1"/>
        </xdr:cNvSpPr>
      </xdr:nvSpPr>
      <xdr:spPr bwMode="auto">
        <a:xfrm>
          <a:off x="9175452" y="81643"/>
          <a:ext cx="4012826" cy="542206"/>
        </a:xfrm>
        <a:prstGeom prst="roundRect">
          <a:avLst>
            <a:gd name="adj" fmla="val 16667"/>
          </a:avLst>
        </a:prstGeom>
        <a:solidFill>
          <a:srgbClr val="FFFFFF"/>
        </a:solidFill>
        <a:ln w="0">
          <a:solidFill>
            <a:srgbClr val="000000"/>
          </a:solidFill>
          <a:round/>
          <a:headEnd/>
          <a:tailEnd/>
        </a:ln>
        <a:effectLst>
          <a:outerShdw dist="35921" dir="2700000" algn="ctr" rotWithShape="0">
            <a:srgbClr val="000000"/>
          </a:outerShdw>
        </a:effectLst>
      </xdr:spPr>
      <xdr:txBody>
        <a:bodyPr vertOverflow="clip" wrap="square" lIns="36576" tIns="27432" rIns="36576" bIns="27432" anchor="ctr" upright="1"/>
        <a:lstStyle/>
        <a:p>
          <a:pPr algn="ctr" rtl="0">
            <a:defRPr sz="1000"/>
          </a:pPr>
          <a:r>
            <a:rPr lang="en-US" altLang="ko-KR" sz="2000" b="1" i="0" strike="noStrike">
              <a:solidFill>
                <a:srgbClr val="000000"/>
              </a:solidFill>
              <a:latin typeface="HY견고딕" pitchFamily="18" charset="-127"/>
              <a:ea typeface="HY견고딕" pitchFamily="18" charset="-127"/>
            </a:rPr>
            <a:t>2-1.</a:t>
          </a:r>
          <a:r>
            <a:rPr lang="en-US" altLang="ko-KR" sz="2000" b="1" i="0" strike="noStrike" baseline="0">
              <a:solidFill>
                <a:srgbClr val="000000"/>
              </a:solidFill>
              <a:latin typeface="HY견고딕" pitchFamily="18" charset="-127"/>
              <a:ea typeface="HY견고딕" pitchFamily="18" charset="-127"/>
            </a:rPr>
            <a:t> </a:t>
          </a:r>
          <a:r>
            <a:rPr lang="ko-KR" altLang="en-US" sz="2000" b="1" i="0" strike="noStrike">
              <a:solidFill>
                <a:srgbClr val="000000"/>
              </a:solidFill>
              <a:latin typeface="HY견고딕" pitchFamily="18" charset="-127"/>
              <a:ea typeface="HY견고딕" pitchFamily="18" charset="-127"/>
            </a:rPr>
            <a:t>시 설  계 통 도</a:t>
          </a:r>
        </a:p>
      </xdr:txBody>
    </xdr:sp>
    <xdr:clientData/>
  </xdr:twoCellAnchor>
  <xdr:twoCellAnchor>
    <xdr:from>
      <xdr:col>1</xdr:col>
      <xdr:colOff>121226</xdr:colOff>
      <xdr:row>5</xdr:row>
      <xdr:rowOff>259879</xdr:rowOff>
    </xdr:from>
    <xdr:to>
      <xdr:col>6</xdr:col>
      <xdr:colOff>722241</xdr:colOff>
      <xdr:row>8</xdr:row>
      <xdr:rowOff>168850</xdr:rowOff>
    </xdr:to>
    <xdr:sp macro="" textlink="">
      <xdr:nvSpPr>
        <xdr:cNvPr id="425" name="직사각형 424">
          <a:extLst>
            <a:ext uri="{FF2B5EF4-FFF2-40B4-BE49-F238E27FC236}">
              <a16:creationId xmlns:a16="http://schemas.microsoft.com/office/drawing/2014/main" id="{00000000-0008-0000-0400-0000A9010000}"/>
            </a:ext>
          </a:extLst>
        </xdr:cNvPr>
        <xdr:cNvSpPr/>
      </xdr:nvSpPr>
      <xdr:spPr>
        <a:xfrm>
          <a:off x="8531801" y="1812454"/>
          <a:ext cx="4792015" cy="994821"/>
        </a:xfrm>
        <a:prstGeom prst="rect">
          <a:avLst/>
        </a:prstGeom>
        <a:noFill/>
        <a:ln w="9525"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600">
            <a:solidFill>
              <a:sysClr val="windowText" lastClr="000000"/>
            </a:solidFill>
            <a:latin typeface="+mn-lt"/>
            <a:ea typeface="+mn-ea"/>
            <a:cs typeface="+mn-cs"/>
          </a:endParaRPr>
        </a:p>
      </xdr:txBody>
    </xdr:sp>
    <xdr:clientData/>
  </xdr:twoCellAnchor>
  <xdr:twoCellAnchor>
    <xdr:from>
      <xdr:col>3</xdr:col>
      <xdr:colOff>55984</xdr:colOff>
      <xdr:row>5</xdr:row>
      <xdr:rowOff>69272</xdr:rowOff>
    </xdr:from>
    <xdr:to>
      <xdr:col>5</xdr:col>
      <xdr:colOff>23255</xdr:colOff>
      <xdr:row>5</xdr:row>
      <xdr:rowOff>344124</xdr:rowOff>
    </xdr:to>
    <xdr:sp macro="" textlink="">
      <xdr:nvSpPr>
        <xdr:cNvPr id="426" name="Text Box 58">
          <a:extLst>
            <a:ext uri="{FF2B5EF4-FFF2-40B4-BE49-F238E27FC236}">
              <a16:creationId xmlns:a16="http://schemas.microsoft.com/office/drawing/2014/main" id="{00000000-0008-0000-0400-0000AA010000}"/>
            </a:ext>
          </a:extLst>
        </xdr:cNvPr>
        <xdr:cNvSpPr txBox="1">
          <a:spLocks noChangeArrowheads="1"/>
        </xdr:cNvSpPr>
      </xdr:nvSpPr>
      <xdr:spPr bwMode="auto">
        <a:xfrm>
          <a:off x="10142959" y="1621847"/>
          <a:ext cx="1643671" cy="274852"/>
        </a:xfrm>
        <a:prstGeom prst="rect">
          <a:avLst/>
        </a:prstGeom>
        <a:solidFill>
          <a:schemeClr val="accent4">
            <a:lumMod val="20000"/>
            <a:lumOff val="80000"/>
          </a:schemeClr>
        </a:solidFill>
        <a:ln w="9525">
          <a:solidFill>
            <a:srgbClr val="000000"/>
          </a:solidFill>
          <a:miter lim="800000"/>
          <a:headEnd/>
          <a:tailEnd/>
        </a:ln>
        <a:effectLst/>
      </xdr:spPr>
      <xdr:txBody>
        <a:bodyPr vertOverflow="clip" wrap="square" lIns="36576" tIns="18288" rIns="36576" bIns="18288" anchor="ctr" upright="1"/>
        <a:lstStyle/>
        <a:p>
          <a:pPr algn="ctr" rtl="0">
            <a:defRPr sz="1000"/>
          </a:pPr>
          <a:r>
            <a:rPr lang="ko-KR" altLang="en-US" sz="1100" b="0" i="0" strike="noStrike">
              <a:solidFill>
                <a:srgbClr val="000000"/>
              </a:solidFill>
              <a:latin typeface="맑은 고딕" pitchFamily="50" charset="-127"/>
              <a:ea typeface="맑은 고딕" pitchFamily="50" charset="-127"/>
            </a:rPr>
            <a:t>범  례</a:t>
          </a:r>
        </a:p>
      </xdr:txBody>
    </xdr:sp>
    <xdr:clientData/>
  </xdr:twoCellAnchor>
  <xdr:twoCellAnchor>
    <xdr:from>
      <xdr:col>2</xdr:col>
      <xdr:colOff>5353</xdr:colOff>
      <xdr:row>6</xdr:row>
      <xdr:rowOff>83932</xdr:rowOff>
    </xdr:from>
    <xdr:to>
      <xdr:col>3</xdr:col>
      <xdr:colOff>54389</xdr:colOff>
      <xdr:row>7</xdr:row>
      <xdr:rowOff>17564</xdr:rowOff>
    </xdr:to>
    <xdr:sp macro="" textlink="">
      <xdr:nvSpPr>
        <xdr:cNvPr id="427" name="AutoShape 198">
          <a:extLst>
            <a:ext uri="{FF2B5EF4-FFF2-40B4-BE49-F238E27FC236}">
              <a16:creationId xmlns:a16="http://schemas.microsoft.com/office/drawing/2014/main" id="{00000000-0008-0000-0400-0000AB010000}"/>
            </a:ext>
          </a:extLst>
        </xdr:cNvPr>
        <xdr:cNvSpPr>
          <a:spLocks noChangeArrowheads="1"/>
        </xdr:cNvSpPr>
      </xdr:nvSpPr>
      <xdr:spPr bwMode="auto">
        <a:xfrm>
          <a:off x="9254128" y="1998457"/>
          <a:ext cx="887236" cy="295582"/>
        </a:xfrm>
        <a:prstGeom prst="roundRect">
          <a:avLst>
            <a:gd name="adj" fmla="val 45454"/>
          </a:avLst>
        </a:prstGeom>
        <a:noFill/>
        <a:ln w="9525">
          <a:noFill/>
          <a:round/>
          <a:headEnd/>
          <a:tailEnd/>
        </a:ln>
        <a:effectLst/>
      </xdr:spPr>
      <xdr:txBody>
        <a:bodyPr vertOverflow="clip" wrap="square" lIns="27432" tIns="18288" rIns="27432" bIns="18288" anchor="ctr" upright="1"/>
        <a:lstStyle/>
        <a:p>
          <a:pPr algn="ctr" rtl="0">
            <a:defRPr sz="1000"/>
          </a:pPr>
          <a:r>
            <a:rPr lang="ko-KR" altLang="en-US" sz="1000" b="0" i="0" strike="noStrike">
              <a:solidFill>
                <a:srgbClr val="000000"/>
              </a:solidFill>
              <a:latin typeface="맑은 고딕" pitchFamily="50" charset="-127"/>
              <a:ea typeface="맑은 고딕" pitchFamily="50" charset="-127"/>
            </a:rPr>
            <a:t>기설</a:t>
          </a:r>
          <a:endParaRPr lang="en-US" altLang="ko-KR" sz="1000" b="0" i="0" strike="noStrike">
            <a:solidFill>
              <a:srgbClr val="000000"/>
            </a:solidFill>
            <a:latin typeface="맑은 고딕" pitchFamily="50" charset="-127"/>
            <a:ea typeface="맑은 고딕" pitchFamily="50" charset="-127"/>
          </a:endParaRPr>
        </a:p>
      </xdr:txBody>
    </xdr:sp>
    <xdr:clientData/>
  </xdr:twoCellAnchor>
  <xdr:twoCellAnchor>
    <xdr:from>
      <xdr:col>2</xdr:col>
      <xdr:colOff>28724</xdr:colOff>
      <xdr:row>7</xdr:row>
      <xdr:rowOff>119304</xdr:rowOff>
    </xdr:from>
    <xdr:to>
      <xdr:col>3</xdr:col>
      <xdr:colOff>100804</xdr:colOff>
      <xdr:row>8</xdr:row>
      <xdr:rowOff>140942</xdr:rowOff>
    </xdr:to>
    <xdr:sp macro="" textlink="">
      <xdr:nvSpPr>
        <xdr:cNvPr id="428" name="AutoShape 198">
          <a:extLst>
            <a:ext uri="{FF2B5EF4-FFF2-40B4-BE49-F238E27FC236}">
              <a16:creationId xmlns:a16="http://schemas.microsoft.com/office/drawing/2014/main" id="{00000000-0008-0000-0400-0000AC010000}"/>
            </a:ext>
          </a:extLst>
        </xdr:cNvPr>
        <xdr:cNvSpPr>
          <a:spLocks noChangeArrowheads="1"/>
        </xdr:cNvSpPr>
      </xdr:nvSpPr>
      <xdr:spPr bwMode="auto">
        <a:xfrm>
          <a:off x="9277499" y="2395779"/>
          <a:ext cx="910280" cy="383588"/>
        </a:xfrm>
        <a:prstGeom prst="roundRect">
          <a:avLst>
            <a:gd name="adj" fmla="val 45454"/>
          </a:avLst>
        </a:prstGeom>
        <a:noFill/>
        <a:ln w="9525">
          <a:noFill/>
          <a:round/>
          <a:headEnd/>
          <a:tailEnd/>
        </a:ln>
        <a:effectLst/>
      </xdr:spPr>
      <xdr:txBody>
        <a:bodyPr vertOverflow="clip" wrap="square" lIns="27432" tIns="18288" rIns="27432" bIns="18288" anchor="ctr" upright="1"/>
        <a:lstStyle/>
        <a:p>
          <a:pPr algn="ctr" rtl="0">
            <a:defRPr sz="1000"/>
          </a:pPr>
          <a:r>
            <a:rPr lang="ko-KR" altLang="en-US" sz="1000" b="0" i="0" strike="noStrike" baseline="0">
              <a:solidFill>
                <a:srgbClr val="000000"/>
              </a:solidFill>
              <a:latin typeface="맑은 고딕" pitchFamily="50" charset="-127"/>
              <a:ea typeface="맑은 고딕" pitchFamily="50" charset="-127"/>
            </a:rPr>
            <a:t>패치구간</a:t>
          </a:r>
          <a:endParaRPr lang="en-US" altLang="ko-KR" sz="1000" b="0" i="0" strike="noStrike">
            <a:solidFill>
              <a:srgbClr val="000000"/>
            </a:solidFill>
            <a:latin typeface="맑은 고딕" pitchFamily="50" charset="-127"/>
            <a:ea typeface="맑은 고딕" pitchFamily="50" charset="-127"/>
          </a:endParaRPr>
        </a:p>
      </xdr:txBody>
    </xdr:sp>
    <xdr:clientData/>
  </xdr:twoCellAnchor>
  <xdr:twoCellAnchor>
    <xdr:from>
      <xdr:col>1</xdr:col>
      <xdr:colOff>342768</xdr:colOff>
      <xdr:row>6</xdr:row>
      <xdr:rowOff>86239</xdr:rowOff>
    </xdr:from>
    <xdr:to>
      <xdr:col>2</xdr:col>
      <xdr:colOff>76987</xdr:colOff>
      <xdr:row>6</xdr:row>
      <xdr:rowOff>362297</xdr:rowOff>
    </xdr:to>
    <xdr:sp macro="" textlink="">
      <xdr:nvSpPr>
        <xdr:cNvPr id="429" name="직사각형 428">
          <a:extLst>
            <a:ext uri="{FF2B5EF4-FFF2-40B4-BE49-F238E27FC236}">
              <a16:creationId xmlns:a16="http://schemas.microsoft.com/office/drawing/2014/main" id="{00000000-0008-0000-0400-0000AD010000}"/>
            </a:ext>
          </a:extLst>
        </xdr:cNvPr>
        <xdr:cNvSpPr/>
      </xdr:nvSpPr>
      <xdr:spPr>
        <a:xfrm>
          <a:off x="8753343" y="2000764"/>
          <a:ext cx="572419" cy="276058"/>
        </a:xfrm>
        <a:prstGeom prst="rect">
          <a:avLst/>
        </a:prstGeom>
        <a:solidFill>
          <a:schemeClr val="tx2">
            <a:lumMod val="40000"/>
            <a:lumOff val="60000"/>
          </a:schemeClr>
        </a:solidFill>
        <a:ln w="25400" cmpd="sng"/>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altLang="ko-KR" sz="1300">
            <a:solidFill>
              <a:sysClr val="windowText" lastClr="000000"/>
            </a:solidFill>
            <a:latin typeface="+mn-lt"/>
            <a:ea typeface="+mn-ea"/>
            <a:cs typeface="+mn-cs"/>
          </a:endParaRPr>
        </a:p>
      </xdr:txBody>
    </xdr:sp>
    <xdr:clientData/>
  </xdr:twoCellAnchor>
  <xdr:twoCellAnchor>
    <xdr:from>
      <xdr:col>4</xdr:col>
      <xdr:colOff>9708</xdr:colOff>
      <xdr:row>7</xdr:row>
      <xdr:rowOff>130130</xdr:rowOff>
    </xdr:from>
    <xdr:to>
      <xdr:col>4</xdr:col>
      <xdr:colOff>579730</xdr:colOff>
      <xdr:row>8</xdr:row>
      <xdr:rowOff>55711</xdr:rowOff>
    </xdr:to>
    <xdr:sp macro="" textlink="">
      <xdr:nvSpPr>
        <xdr:cNvPr id="430" name="AutoShape 198">
          <a:extLst>
            <a:ext uri="{FF2B5EF4-FFF2-40B4-BE49-F238E27FC236}">
              <a16:creationId xmlns:a16="http://schemas.microsoft.com/office/drawing/2014/main" id="{00000000-0008-0000-0400-0000AE010000}"/>
            </a:ext>
          </a:extLst>
        </xdr:cNvPr>
        <xdr:cNvSpPr>
          <a:spLocks noChangeArrowheads="1"/>
        </xdr:cNvSpPr>
      </xdr:nvSpPr>
      <xdr:spPr bwMode="auto">
        <a:xfrm>
          <a:off x="10934883" y="2406605"/>
          <a:ext cx="570022" cy="287531"/>
        </a:xfrm>
        <a:prstGeom prst="roundRect">
          <a:avLst>
            <a:gd name="adj" fmla="val 45454"/>
          </a:avLst>
        </a:prstGeom>
        <a:noFill/>
        <a:ln w="9525">
          <a:noFill/>
          <a:round/>
          <a:headEnd/>
          <a:tailEnd/>
        </a:ln>
        <a:effectLst/>
      </xdr:spPr>
      <xdr:txBody>
        <a:bodyPr vertOverflow="clip" wrap="square" lIns="27432" tIns="18288" rIns="27432" bIns="18288" anchor="ctr" upright="1"/>
        <a:lstStyle/>
        <a:p>
          <a:pPr algn="ctr" rtl="0">
            <a:defRPr sz="1000"/>
          </a:pPr>
          <a:r>
            <a:rPr lang="ko-KR" altLang="en-US" sz="1000" b="0" i="0" strike="noStrike">
              <a:solidFill>
                <a:srgbClr val="000000"/>
              </a:solidFill>
              <a:latin typeface="맑은 고딕" pitchFamily="50" charset="-127"/>
              <a:ea typeface="맑은 고딕" pitchFamily="50" charset="-127"/>
            </a:rPr>
            <a:t>신설</a:t>
          </a:r>
          <a:endParaRPr lang="en-US" altLang="ko-KR" sz="1000" b="0" i="0" strike="noStrike">
            <a:solidFill>
              <a:srgbClr val="000000"/>
            </a:solidFill>
            <a:latin typeface="맑은 고딕" pitchFamily="50" charset="-127"/>
            <a:ea typeface="맑은 고딕" pitchFamily="50" charset="-127"/>
          </a:endParaRPr>
        </a:p>
      </xdr:txBody>
    </xdr:sp>
    <xdr:clientData/>
  </xdr:twoCellAnchor>
  <xdr:twoCellAnchor>
    <xdr:from>
      <xdr:col>3</xdr:col>
      <xdr:colOff>723414</xdr:colOff>
      <xdr:row>6</xdr:row>
      <xdr:rowOff>83648</xdr:rowOff>
    </xdr:from>
    <xdr:to>
      <xdr:col>4</xdr:col>
      <xdr:colOff>677574</xdr:colOff>
      <xdr:row>7</xdr:row>
      <xdr:rowOff>60730</xdr:rowOff>
    </xdr:to>
    <xdr:sp macro="" textlink="">
      <xdr:nvSpPr>
        <xdr:cNvPr id="431" name="AutoShape 198">
          <a:extLst>
            <a:ext uri="{FF2B5EF4-FFF2-40B4-BE49-F238E27FC236}">
              <a16:creationId xmlns:a16="http://schemas.microsoft.com/office/drawing/2014/main" id="{00000000-0008-0000-0400-0000AF010000}"/>
            </a:ext>
          </a:extLst>
        </xdr:cNvPr>
        <xdr:cNvSpPr>
          <a:spLocks noChangeArrowheads="1"/>
        </xdr:cNvSpPr>
      </xdr:nvSpPr>
      <xdr:spPr bwMode="auto">
        <a:xfrm>
          <a:off x="10810389" y="1998173"/>
          <a:ext cx="792360" cy="339032"/>
        </a:xfrm>
        <a:prstGeom prst="roundRect">
          <a:avLst>
            <a:gd name="adj" fmla="val 45454"/>
          </a:avLst>
        </a:prstGeom>
        <a:noFill/>
        <a:ln w="9525">
          <a:noFill/>
          <a:round/>
          <a:headEnd/>
          <a:tailEnd/>
        </a:ln>
        <a:effectLst/>
      </xdr:spPr>
      <xdr:txBody>
        <a:bodyPr vertOverflow="clip" wrap="square" lIns="27432" tIns="18288" rIns="27432" bIns="18288" anchor="ctr" upright="1"/>
        <a:lstStyle/>
        <a:p>
          <a:pPr algn="ctr" rtl="0">
            <a:defRPr sz="1000"/>
          </a:pPr>
          <a:r>
            <a:rPr lang="ko-KR" altLang="en-US" sz="1000" b="0" i="0" strike="noStrike" baseline="0">
              <a:solidFill>
                <a:srgbClr val="000000"/>
              </a:solidFill>
              <a:latin typeface="맑은 고딕" pitchFamily="50" charset="-127"/>
              <a:ea typeface="맑은 고딕" pitchFamily="50" charset="-127"/>
            </a:rPr>
            <a:t>신설</a:t>
          </a:r>
          <a:endParaRPr lang="en-US" altLang="ko-KR" sz="1000" b="0" i="0" strike="noStrike">
            <a:solidFill>
              <a:srgbClr val="000000"/>
            </a:solidFill>
            <a:latin typeface="맑은 고딕" pitchFamily="50" charset="-127"/>
            <a:ea typeface="맑은 고딕" pitchFamily="50" charset="-127"/>
          </a:endParaRPr>
        </a:p>
      </xdr:txBody>
    </xdr:sp>
    <xdr:clientData/>
  </xdr:twoCellAnchor>
  <xdr:twoCellAnchor>
    <xdr:from>
      <xdr:col>3</xdr:col>
      <xdr:colOff>304891</xdr:colOff>
      <xdr:row>6</xdr:row>
      <xdr:rowOff>114377</xdr:rowOff>
    </xdr:from>
    <xdr:to>
      <xdr:col>3</xdr:col>
      <xdr:colOff>811716</xdr:colOff>
      <xdr:row>7</xdr:row>
      <xdr:rowOff>26755</xdr:rowOff>
    </xdr:to>
    <xdr:sp macro="" textlink="">
      <xdr:nvSpPr>
        <xdr:cNvPr id="432" name="직사각형 431">
          <a:extLst>
            <a:ext uri="{FF2B5EF4-FFF2-40B4-BE49-F238E27FC236}">
              <a16:creationId xmlns:a16="http://schemas.microsoft.com/office/drawing/2014/main" id="{00000000-0008-0000-0400-0000B0010000}"/>
            </a:ext>
          </a:extLst>
        </xdr:cNvPr>
        <xdr:cNvSpPr/>
      </xdr:nvSpPr>
      <xdr:spPr>
        <a:xfrm>
          <a:off x="10391866" y="2028902"/>
          <a:ext cx="506825" cy="274328"/>
        </a:xfrm>
        <a:prstGeom prst="rect">
          <a:avLst/>
        </a:prstGeom>
        <a:solidFill>
          <a:schemeClr val="accent6">
            <a:lumMod val="60000"/>
            <a:lumOff val="40000"/>
          </a:schemeClr>
        </a:solidFill>
        <a:ln w="25400" cmpd="sng"/>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altLang="ko-KR" sz="1400">
              <a:solidFill>
                <a:sysClr val="windowText" lastClr="000000"/>
              </a:solidFill>
              <a:latin typeface="+mn-lt"/>
              <a:ea typeface="+mn-ea"/>
              <a:cs typeface="+mn-cs"/>
            </a:rPr>
            <a:t>HSR</a:t>
          </a:r>
        </a:p>
      </xdr:txBody>
    </xdr:sp>
    <xdr:clientData/>
  </xdr:twoCellAnchor>
  <xdr:twoCellAnchor>
    <xdr:from>
      <xdr:col>3</xdr:col>
      <xdr:colOff>272069</xdr:colOff>
      <xdr:row>7</xdr:row>
      <xdr:rowOff>97657</xdr:rowOff>
    </xdr:from>
    <xdr:to>
      <xdr:col>4</xdr:col>
      <xdr:colOff>13263</xdr:colOff>
      <xdr:row>8</xdr:row>
      <xdr:rowOff>27903</xdr:rowOff>
    </xdr:to>
    <xdr:sp macro="" textlink="">
      <xdr:nvSpPr>
        <xdr:cNvPr id="433" name="타원 432">
          <a:extLst>
            <a:ext uri="{FF2B5EF4-FFF2-40B4-BE49-F238E27FC236}">
              <a16:creationId xmlns:a16="http://schemas.microsoft.com/office/drawing/2014/main" id="{00000000-0008-0000-0400-0000B1010000}"/>
            </a:ext>
          </a:extLst>
        </xdr:cNvPr>
        <xdr:cNvSpPr/>
      </xdr:nvSpPr>
      <xdr:spPr>
        <a:xfrm>
          <a:off x="10359044" y="2374132"/>
          <a:ext cx="579394" cy="292196"/>
        </a:xfrm>
        <a:prstGeom prst="ellipse">
          <a:avLst/>
        </a:prstGeom>
        <a:solidFill>
          <a:schemeClr val="accent6">
            <a:lumMod val="60000"/>
            <a:lumOff val="40000"/>
          </a:schemeClr>
        </a:solidFill>
        <a:ln w="25400" cmpd="sng"/>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600">
            <a:solidFill>
              <a:sysClr val="windowText" lastClr="000000"/>
            </a:solidFill>
            <a:latin typeface="+mn-lt"/>
            <a:ea typeface="+mn-ea"/>
            <a:cs typeface="+mn-cs"/>
          </a:endParaRPr>
        </a:p>
      </xdr:txBody>
    </xdr:sp>
    <xdr:clientData/>
  </xdr:twoCellAnchor>
  <xdr:twoCellAnchor>
    <xdr:from>
      <xdr:col>3</xdr:col>
      <xdr:colOff>290924</xdr:colOff>
      <xdr:row>7</xdr:row>
      <xdr:rowOff>142370</xdr:rowOff>
    </xdr:from>
    <xdr:to>
      <xdr:col>4</xdr:col>
      <xdr:colOff>4523</xdr:colOff>
      <xdr:row>8</xdr:row>
      <xdr:rowOff>17062</xdr:rowOff>
    </xdr:to>
    <xdr:sp macro="" textlink="">
      <xdr:nvSpPr>
        <xdr:cNvPr id="434" name="직사각형 433">
          <a:extLst>
            <a:ext uri="{FF2B5EF4-FFF2-40B4-BE49-F238E27FC236}">
              <a16:creationId xmlns:a16="http://schemas.microsoft.com/office/drawing/2014/main" id="{00000000-0008-0000-0400-0000B2010000}"/>
            </a:ext>
          </a:extLst>
        </xdr:cNvPr>
        <xdr:cNvSpPr/>
      </xdr:nvSpPr>
      <xdr:spPr>
        <a:xfrm>
          <a:off x="10377899" y="2418845"/>
          <a:ext cx="551799" cy="236642"/>
        </a:xfrm>
        <a:prstGeom prst="rect">
          <a:avLst/>
        </a:prstGeom>
        <a:noFill/>
        <a:ln w="25400" cmpd="sng">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altLang="ko-KR" sz="1600">
              <a:solidFill>
                <a:sysClr val="windowText" lastClr="000000"/>
              </a:solidFill>
              <a:latin typeface="+mn-lt"/>
              <a:ea typeface="+mn-ea"/>
              <a:cs typeface="+mn-cs"/>
            </a:rPr>
            <a:t>PTP</a:t>
          </a:r>
        </a:p>
      </xdr:txBody>
    </xdr:sp>
    <xdr:clientData/>
  </xdr:twoCellAnchor>
  <xdr:twoCellAnchor>
    <xdr:from>
      <xdr:col>4</xdr:col>
      <xdr:colOff>808549</xdr:colOff>
      <xdr:row>7</xdr:row>
      <xdr:rowOff>126081</xdr:rowOff>
    </xdr:from>
    <xdr:to>
      <xdr:col>5</xdr:col>
      <xdr:colOff>545385</xdr:colOff>
      <xdr:row>8</xdr:row>
      <xdr:rowOff>56327</xdr:rowOff>
    </xdr:to>
    <xdr:sp macro="" textlink="">
      <xdr:nvSpPr>
        <xdr:cNvPr id="435" name="타원 434">
          <a:extLst>
            <a:ext uri="{FF2B5EF4-FFF2-40B4-BE49-F238E27FC236}">
              <a16:creationId xmlns:a16="http://schemas.microsoft.com/office/drawing/2014/main" id="{00000000-0008-0000-0400-0000B3010000}"/>
            </a:ext>
          </a:extLst>
        </xdr:cNvPr>
        <xdr:cNvSpPr/>
      </xdr:nvSpPr>
      <xdr:spPr>
        <a:xfrm>
          <a:off x="11733724" y="2402556"/>
          <a:ext cx="575036" cy="292196"/>
        </a:xfrm>
        <a:prstGeom prst="ellipse">
          <a:avLst/>
        </a:prstGeom>
        <a:solidFill>
          <a:schemeClr val="accent2">
            <a:lumMod val="20000"/>
            <a:lumOff val="80000"/>
          </a:schemeClr>
        </a:solidFill>
        <a:ln w="25400" cmpd="sng"/>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marL="0" indent="0" algn="ctr"/>
          <a:endParaRPr lang="ko-KR" altLang="en-US" sz="1300">
            <a:solidFill>
              <a:sysClr val="windowText" lastClr="000000"/>
            </a:solidFill>
            <a:latin typeface="+mn-lt"/>
            <a:ea typeface="+mn-ea"/>
            <a:cs typeface="+mn-cs"/>
          </a:endParaRPr>
        </a:p>
      </xdr:txBody>
    </xdr:sp>
    <xdr:clientData/>
  </xdr:twoCellAnchor>
  <xdr:twoCellAnchor>
    <xdr:from>
      <xdr:col>4</xdr:col>
      <xdr:colOff>827404</xdr:colOff>
      <xdr:row>7</xdr:row>
      <xdr:rowOff>170794</xdr:rowOff>
    </xdr:from>
    <xdr:to>
      <xdr:col>5</xdr:col>
      <xdr:colOff>536645</xdr:colOff>
      <xdr:row>8</xdr:row>
      <xdr:rowOff>45486</xdr:rowOff>
    </xdr:to>
    <xdr:sp macro="" textlink="">
      <xdr:nvSpPr>
        <xdr:cNvPr id="436" name="직사각형 435">
          <a:extLst>
            <a:ext uri="{FF2B5EF4-FFF2-40B4-BE49-F238E27FC236}">
              <a16:creationId xmlns:a16="http://schemas.microsoft.com/office/drawing/2014/main" id="{00000000-0008-0000-0400-0000B4010000}"/>
            </a:ext>
          </a:extLst>
        </xdr:cNvPr>
        <xdr:cNvSpPr/>
      </xdr:nvSpPr>
      <xdr:spPr>
        <a:xfrm>
          <a:off x="11752579" y="2447269"/>
          <a:ext cx="547441" cy="236642"/>
        </a:xfrm>
        <a:prstGeom prst="rect">
          <a:avLst/>
        </a:prstGeom>
        <a:noFill/>
        <a:ln w="25400" cmpd="sng">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altLang="ko-KR" sz="1600">
              <a:solidFill>
                <a:sysClr val="windowText" lastClr="000000"/>
              </a:solidFill>
              <a:latin typeface="+mn-lt"/>
              <a:ea typeface="+mn-ea"/>
              <a:cs typeface="+mn-cs"/>
            </a:rPr>
            <a:t>PTP</a:t>
          </a:r>
        </a:p>
      </xdr:txBody>
    </xdr:sp>
    <xdr:clientData/>
  </xdr:twoCellAnchor>
  <xdr:twoCellAnchor>
    <xdr:from>
      <xdr:col>1</xdr:col>
      <xdr:colOff>550886</xdr:colOff>
      <xdr:row>7</xdr:row>
      <xdr:rowOff>165782</xdr:rowOff>
    </xdr:from>
    <xdr:to>
      <xdr:col>1</xdr:col>
      <xdr:colOff>733691</xdr:colOff>
      <xdr:row>8</xdr:row>
      <xdr:rowOff>1132</xdr:rowOff>
    </xdr:to>
    <xdr:sp macro="" textlink="">
      <xdr:nvSpPr>
        <xdr:cNvPr id="437" name="Oval 34">
          <a:extLst>
            <a:ext uri="{FF2B5EF4-FFF2-40B4-BE49-F238E27FC236}">
              <a16:creationId xmlns:a16="http://schemas.microsoft.com/office/drawing/2014/main" id="{00000000-0008-0000-0400-0000B5010000}"/>
            </a:ext>
          </a:extLst>
        </xdr:cNvPr>
        <xdr:cNvSpPr>
          <a:spLocks noChangeArrowheads="1"/>
        </xdr:cNvSpPr>
      </xdr:nvSpPr>
      <xdr:spPr bwMode="auto">
        <a:xfrm>
          <a:off x="8961461" y="2442257"/>
          <a:ext cx="182805" cy="197300"/>
        </a:xfrm>
        <a:prstGeom prst="ellipse">
          <a:avLst/>
        </a:prstGeom>
        <a:solidFill>
          <a:srgbClr val="969696"/>
        </a:solidFill>
        <a:ln w="9525" algn="ctr">
          <a:solidFill>
            <a:srgbClr val="000000"/>
          </a:solidFill>
          <a:round/>
          <a:headEnd/>
          <a:tailEnd/>
        </a:ln>
      </xdr:spPr>
    </xdr:sp>
    <xdr:clientData/>
  </xdr:twoCellAnchor>
  <xdr:twoCellAnchor>
    <xdr:from>
      <xdr:col>5</xdr:col>
      <xdr:colOff>491182</xdr:colOff>
      <xdr:row>6</xdr:row>
      <xdr:rowOff>107916</xdr:rowOff>
    </xdr:from>
    <xdr:to>
      <xdr:col>6</xdr:col>
      <xdr:colOff>510445</xdr:colOff>
      <xdr:row>7</xdr:row>
      <xdr:rowOff>41548</xdr:rowOff>
    </xdr:to>
    <xdr:sp macro="" textlink="">
      <xdr:nvSpPr>
        <xdr:cNvPr id="438" name="AutoShape 198">
          <a:extLst>
            <a:ext uri="{FF2B5EF4-FFF2-40B4-BE49-F238E27FC236}">
              <a16:creationId xmlns:a16="http://schemas.microsoft.com/office/drawing/2014/main" id="{00000000-0008-0000-0400-0000B6010000}"/>
            </a:ext>
          </a:extLst>
        </xdr:cNvPr>
        <xdr:cNvSpPr>
          <a:spLocks noChangeArrowheads="1"/>
        </xdr:cNvSpPr>
      </xdr:nvSpPr>
      <xdr:spPr bwMode="auto">
        <a:xfrm>
          <a:off x="12254557" y="2022441"/>
          <a:ext cx="857463" cy="295582"/>
        </a:xfrm>
        <a:prstGeom prst="roundRect">
          <a:avLst>
            <a:gd name="adj" fmla="val 45454"/>
          </a:avLst>
        </a:prstGeom>
        <a:noFill/>
        <a:ln w="9525">
          <a:noFill/>
          <a:round/>
          <a:headEnd/>
          <a:tailEnd/>
        </a:ln>
        <a:effectLst/>
      </xdr:spPr>
      <xdr:txBody>
        <a:bodyPr vertOverflow="clip" wrap="square" lIns="27432" tIns="18288" rIns="27432" bIns="18288" anchor="ctr" upright="1"/>
        <a:lstStyle/>
        <a:p>
          <a:pPr algn="ctr" rtl="0">
            <a:defRPr sz="1000"/>
          </a:pPr>
          <a:r>
            <a:rPr lang="ko-KR" altLang="en-US" sz="1000" b="0" i="0" strike="noStrike">
              <a:solidFill>
                <a:srgbClr val="000000"/>
              </a:solidFill>
              <a:latin typeface="맑은 고딕" pitchFamily="50" charset="-127"/>
              <a:ea typeface="맑은 고딕" pitchFamily="50" charset="-127"/>
            </a:rPr>
            <a:t>기설</a:t>
          </a:r>
          <a:endParaRPr lang="en-US" altLang="ko-KR" sz="1000" b="0" i="0" strike="noStrike">
            <a:solidFill>
              <a:srgbClr val="000000"/>
            </a:solidFill>
            <a:latin typeface="맑은 고딕" pitchFamily="50" charset="-127"/>
            <a:ea typeface="맑은 고딕" pitchFamily="50" charset="-127"/>
          </a:endParaRPr>
        </a:p>
      </xdr:txBody>
    </xdr:sp>
    <xdr:clientData/>
  </xdr:twoCellAnchor>
  <xdr:twoCellAnchor>
    <xdr:from>
      <xdr:col>5</xdr:col>
      <xdr:colOff>617860</xdr:colOff>
      <xdr:row>7</xdr:row>
      <xdr:rowOff>139605</xdr:rowOff>
    </xdr:from>
    <xdr:to>
      <xdr:col>6</xdr:col>
      <xdr:colOff>360969</xdr:colOff>
      <xdr:row>8</xdr:row>
      <xdr:rowOff>65186</xdr:rowOff>
    </xdr:to>
    <xdr:sp macro="" textlink="">
      <xdr:nvSpPr>
        <xdr:cNvPr id="439" name="AutoShape 198">
          <a:extLst>
            <a:ext uri="{FF2B5EF4-FFF2-40B4-BE49-F238E27FC236}">
              <a16:creationId xmlns:a16="http://schemas.microsoft.com/office/drawing/2014/main" id="{00000000-0008-0000-0400-0000B7010000}"/>
            </a:ext>
          </a:extLst>
        </xdr:cNvPr>
        <xdr:cNvSpPr>
          <a:spLocks noChangeArrowheads="1"/>
        </xdr:cNvSpPr>
      </xdr:nvSpPr>
      <xdr:spPr bwMode="auto">
        <a:xfrm>
          <a:off x="12381235" y="2416080"/>
          <a:ext cx="581309" cy="287531"/>
        </a:xfrm>
        <a:prstGeom prst="roundRect">
          <a:avLst>
            <a:gd name="adj" fmla="val 45454"/>
          </a:avLst>
        </a:prstGeom>
        <a:noFill/>
        <a:ln w="9525">
          <a:noFill/>
          <a:round/>
          <a:headEnd/>
          <a:tailEnd/>
        </a:ln>
        <a:effectLst/>
      </xdr:spPr>
      <xdr:txBody>
        <a:bodyPr vertOverflow="clip" wrap="square" lIns="27432" tIns="18288" rIns="27432" bIns="18288" anchor="ctr" upright="1"/>
        <a:lstStyle/>
        <a:p>
          <a:pPr algn="ctr" rtl="0">
            <a:defRPr sz="1000"/>
          </a:pPr>
          <a:r>
            <a:rPr lang="ko-KR" altLang="en-US" sz="1000" b="0" i="0" strike="noStrike">
              <a:solidFill>
                <a:srgbClr val="000000"/>
              </a:solidFill>
              <a:latin typeface="맑은 고딕" pitchFamily="50" charset="-127"/>
              <a:ea typeface="맑은 고딕" pitchFamily="50" charset="-127"/>
            </a:rPr>
            <a:t>이설</a:t>
          </a:r>
          <a:endParaRPr lang="en-US" altLang="ko-KR" sz="1000" b="0" i="0" strike="noStrike">
            <a:solidFill>
              <a:srgbClr val="000000"/>
            </a:solidFill>
            <a:latin typeface="맑은 고딕" pitchFamily="50" charset="-127"/>
            <a:ea typeface="맑은 고딕" pitchFamily="50" charset="-127"/>
          </a:endParaRPr>
        </a:p>
      </xdr:txBody>
    </xdr:sp>
    <xdr:clientData/>
  </xdr:twoCellAnchor>
  <xdr:twoCellAnchor>
    <xdr:from>
      <xdr:col>4</xdr:col>
      <xdr:colOff>812782</xdr:colOff>
      <xdr:row>6</xdr:row>
      <xdr:rowOff>103659</xdr:rowOff>
    </xdr:from>
    <xdr:to>
      <xdr:col>5</xdr:col>
      <xdr:colOff>549618</xdr:colOff>
      <xdr:row>7</xdr:row>
      <xdr:rowOff>33904</xdr:rowOff>
    </xdr:to>
    <xdr:sp macro="" textlink="">
      <xdr:nvSpPr>
        <xdr:cNvPr id="440" name="타원 439">
          <a:extLst>
            <a:ext uri="{FF2B5EF4-FFF2-40B4-BE49-F238E27FC236}">
              <a16:creationId xmlns:a16="http://schemas.microsoft.com/office/drawing/2014/main" id="{00000000-0008-0000-0400-0000B8010000}"/>
            </a:ext>
          </a:extLst>
        </xdr:cNvPr>
        <xdr:cNvSpPr/>
      </xdr:nvSpPr>
      <xdr:spPr>
        <a:xfrm>
          <a:off x="11737957" y="2018184"/>
          <a:ext cx="575036" cy="292195"/>
        </a:xfrm>
        <a:prstGeom prst="ellipse">
          <a:avLst/>
        </a:prstGeom>
        <a:solidFill>
          <a:schemeClr val="tx2">
            <a:lumMod val="40000"/>
            <a:lumOff val="60000"/>
          </a:schemeClr>
        </a:solidFill>
        <a:ln w="25400" cmpd="sng"/>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marL="0" indent="0" algn="ctr"/>
          <a:endParaRPr lang="ko-KR" altLang="en-US" sz="1300">
            <a:solidFill>
              <a:sysClr val="windowText" lastClr="000000"/>
            </a:solidFill>
            <a:latin typeface="+mn-lt"/>
            <a:ea typeface="+mn-ea"/>
            <a:cs typeface="+mn-cs"/>
          </a:endParaRPr>
        </a:p>
      </xdr:txBody>
    </xdr:sp>
    <xdr:clientData/>
  </xdr:twoCellAnchor>
  <xdr:twoCellAnchor>
    <xdr:from>
      <xdr:col>5</xdr:col>
      <xdr:colOff>364</xdr:colOff>
      <xdr:row>6</xdr:row>
      <xdr:rowOff>148372</xdr:rowOff>
    </xdr:from>
    <xdr:to>
      <xdr:col>5</xdr:col>
      <xdr:colOff>540878</xdr:colOff>
      <xdr:row>7</xdr:row>
      <xdr:rowOff>23063</xdr:rowOff>
    </xdr:to>
    <xdr:sp macro="" textlink="">
      <xdr:nvSpPr>
        <xdr:cNvPr id="441" name="직사각형 440">
          <a:extLst>
            <a:ext uri="{FF2B5EF4-FFF2-40B4-BE49-F238E27FC236}">
              <a16:creationId xmlns:a16="http://schemas.microsoft.com/office/drawing/2014/main" id="{00000000-0008-0000-0400-0000B9010000}"/>
            </a:ext>
          </a:extLst>
        </xdr:cNvPr>
        <xdr:cNvSpPr/>
      </xdr:nvSpPr>
      <xdr:spPr>
        <a:xfrm>
          <a:off x="4213776" y="2053372"/>
          <a:ext cx="540514" cy="233279"/>
        </a:xfrm>
        <a:prstGeom prst="rect">
          <a:avLst/>
        </a:prstGeom>
        <a:noFill/>
        <a:ln w="25400" cmpd="sng">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altLang="ko-KR" sz="1600">
              <a:solidFill>
                <a:sysClr val="windowText" lastClr="000000"/>
              </a:solidFill>
              <a:latin typeface="+mn-lt"/>
              <a:ea typeface="+mn-ea"/>
              <a:cs typeface="+mn-cs"/>
            </a:rPr>
            <a:t>PTP</a:t>
          </a:r>
        </a:p>
      </xdr:txBody>
    </xdr:sp>
    <xdr:clientData/>
  </xdr:twoCellAnchor>
  <xdr:twoCellAnchor>
    <xdr:from>
      <xdr:col>1</xdr:col>
      <xdr:colOff>620516</xdr:colOff>
      <xdr:row>9</xdr:row>
      <xdr:rowOff>53159</xdr:rowOff>
    </xdr:from>
    <xdr:to>
      <xdr:col>2</xdr:col>
      <xdr:colOff>594038</xdr:colOff>
      <xdr:row>9</xdr:row>
      <xdr:rowOff>53159</xdr:rowOff>
    </xdr:to>
    <xdr:cxnSp macro="">
      <xdr:nvCxnSpPr>
        <xdr:cNvPr id="493" name="직선 연결선 492">
          <a:extLst>
            <a:ext uri="{FF2B5EF4-FFF2-40B4-BE49-F238E27FC236}">
              <a16:creationId xmlns:a16="http://schemas.microsoft.com/office/drawing/2014/main" id="{00000000-0008-0000-0400-0000ED010000}"/>
            </a:ext>
          </a:extLst>
        </xdr:cNvPr>
        <xdr:cNvCxnSpPr/>
      </xdr:nvCxnSpPr>
      <xdr:spPr>
        <a:xfrm>
          <a:off x="9031091" y="3053534"/>
          <a:ext cx="811722" cy="0"/>
        </a:xfrm>
        <a:prstGeom prst="line">
          <a:avLst/>
        </a:prstGeom>
        <a:ln w="25400">
          <a:solidFill>
            <a:srgbClr val="0000FF"/>
          </a:solidFill>
          <a:prstDash val="soli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556230</xdr:colOff>
      <xdr:row>8</xdr:row>
      <xdr:rowOff>303271</xdr:rowOff>
    </xdr:from>
    <xdr:to>
      <xdr:col>6</xdr:col>
      <xdr:colOff>253345</xdr:colOff>
      <xdr:row>9</xdr:row>
      <xdr:rowOff>161635</xdr:rowOff>
    </xdr:to>
    <xdr:sp macro="" textlink="">
      <xdr:nvSpPr>
        <xdr:cNvPr id="496" name="직사각형 495">
          <a:extLst>
            <a:ext uri="{FF2B5EF4-FFF2-40B4-BE49-F238E27FC236}">
              <a16:creationId xmlns:a16="http://schemas.microsoft.com/office/drawing/2014/main" id="{00000000-0008-0000-0400-0000F0010000}"/>
            </a:ext>
          </a:extLst>
        </xdr:cNvPr>
        <xdr:cNvSpPr/>
      </xdr:nvSpPr>
      <xdr:spPr>
        <a:xfrm>
          <a:off x="12319605" y="2941696"/>
          <a:ext cx="535315" cy="220314"/>
        </a:xfrm>
        <a:prstGeom prst="rect">
          <a:avLst/>
        </a:prstGeom>
        <a:solidFill>
          <a:schemeClr val="accent1">
            <a:lumMod val="60000"/>
            <a:lumOff val="40000"/>
          </a:schemeClr>
        </a:solidFill>
        <a:ln w="25400" cmpd="sng">
          <a:prstDash val="solid"/>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marL="0" indent="0" algn="ctr"/>
          <a:r>
            <a:rPr lang="en-US" altLang="ko-KR" sz="1400">
              <a:solidFill>
                <a:sysClr val="windowText" lastClr="000000"/>
              </a:solidFill>
              <a:latin typeface="+mn-lt"/>
              <a:ea typeface="+mn-ea"/>
              <a:cs typeface="+mn-cs"/>
            </a:rPr>
            <a:t>HSR</a:t>
          </a:r>
        </a:p>
      </xdr:txBody>
    </xdr:sp>
    <xdr:clientData/>
  </xdr:twoCellAnchor>
  <xdr:twoCellAnchor>
    <xdr:from>
      <xdr:col>2</xdr:col>
      <xdr:colOff>555172</xdr:colOff>
      <xdr:row>9</xdr:row>
      <xdr:rowOff>53159</xdr:rowOff>
    </xdr:from>
    <xdr:to>
      <xdr:col>5</xdr:col>
      <xdr:colOff>304800</xdr:colOff>
      <xdr:row>9</xdr:row>
      <xdr:rowOff>53159</xdr:rowOff>
    </xdr:to>
    <xdr:cxnSp macro="">
      <xdr:nvCxnSpPr>
        <xdr:cNvPr id="505" name="직선 연결선 504">
          <a:extLst>
            <a:ext uri="{FF2B5EF4-FFF2-40B4-BE49-F238E27FC236}">
              <a16:creationId xmlns:a16="http://schemas.microsoft.com/office/drawing/2014/main" id="{00000000-0008-0000-0400-0000F9010000}"/>
            </a:ext>
          </a:extLst>
        </xdr:cNvPr>
        <xdr:cNvCxnSpPr/>
      </xdr:nvCxnSpPr>
      <xdr:spPr>
        <a:xfrm>
          <a:off x="9808029" y="3073945"/>
          <a:ext cx="2264228" cy="0"/>
        </a:xfrm>
        <a:prstGeom prst="line">
          <a:avLst/>
        </a:prstGeom>
        <a:ln w="25400">
          <a:solidFill>
            <a:srgbClr val="0000FF"/>
          </a:solidFill>
          <a:prstDash val="soli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269663</xdr:colOff>
      <xdr:row>9</xdr:row>
      <xdr:rowOff>53159</xdr:rowOff>
    </xdr:from>
    <xdr:to>
      <xdr:col>5</xdr:col>
      <xdr:colOff>556230</xdr:colOff>
      <xdr:row>9</xdr:row>
      <xdr:rowOff>53159</xdr:rowOff>
    </xdr:to>
    <xdr:cxnSp macro="">
      <xdr:nvCxnSpPr>
        <xdr:cNvPr id="512" name="직선 연결선 511">
          <a:extLst>
            <a:ext uri="{FF2B5EF4-FFF2-40B4-BE49-F238E27FC236}">
              <a16:creationId xmlns:a16="http://schemas.microsoft.com/office/drawing/2014/main" id="{00000000-0008-0000-0400-000000020000}"/>
            </a:ext>
          </a:extLst>
        </xdr:cNvPr>
        <xdr:cNvCxnSpPr>
          <a:endCxn id="496" idx="1"/>
        </xdr:cNvCxnSpPr>
      </xdr:nvCxnSpPr>
      <xdr:spPr>
        <a:xfrm>
          <a:off x="12033038" y="3053534"/>
          <a:ext cx="286567" cy="0"/>
        </a:xfrm>
        <a:prstGeom prst="line">
          <a:avLst/>
        </a:prstGeom>
        <a:ln w="25400">
          <a:solidFill>
            <a:srgbClr val="0000FF"/>
          </a:solidFill>
          <a:prstDash val="soli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519848</xdr:colOff>
      <xdr:row>14</xdr:row>
      <xdr:rowOff>92101</xdr:rowOff>
    </xdr:from>
    <xdr:to>
      <xdr:col>2</xdr:col>
      <xdr:colOff>339775</xdr:colOff>
      <xdr:row>14</xdr:row>
      <xdr:rowOff>312870</xdr:rowOff>
    </xdr:to>
    <xdr:sp macro="" textlink="">
      <xdr:nvSpPr>
        <xdr:cNvPr id="515" name="Text Box 52">
          <a:extLst>
            <a:ext uri="{FF2B5EF4-FFF2-40B4-BE49-F238E27FC236}">
              <a16:creationId xmlns:a16="http://schemas.microsoft.com/office/drawing/2014/main" id="{00000000-0008-0000-0400-000003020000}"/>
            </a:ext>
          </a:extLst>
        </xdr:cNvPr>
        <xdr:cNvSpPr txBox="1">
          <a:spLocks noChangeArrowheads="1"/>
        </xdr:cNvSpPr>
      </xdr:nvSpPr>
      <xdr:spPr bwMode="auto">
        <a:xfrm flipH="1" flipV="1">
          <a:off x="1367573" y="4902226"/>
          <a:ext cx="658127" cy="220769"/>
        </a:xfrm>
        <a:prstGeom prst="rect">
          <a:avLst/>
        </a:prstGeom>
        <a:noFill/>
        <a:ln w="9525">
          <a:noFill/>
          <a:miter lim="800000"/>
          <a:headEnd/>
          <a:tailEnd/>
        </a:ln>
      </xdr:spPr>
      <xdr:txBody>
        <a:bodyPr vertOverflow="clip" wrap="square" lIns="36576" tIns="22860" rIns="36576" bIns="22860" anchor="ctr" upright="1">
          <a:noAutofit/>
        </a:bodyPr>
        <a:lstStyle/>
        <a:p>
          <a:pPr marL="0" indent="0" algn="ctr" rtl="0">
            <a:defRPr sz="1000"/>
          </a:pPr>
          <a:r>
            <a:rPr lang="ko-KR" altLang="en-US" sz="1100" b="1" i="0" strike="noStrike">
              <a:solidFill>
                <a:sysClr val="windowText" lastClr="000000"/>
              </a:solidFill>
              <a:latin typeface="맑은 고딕" pitchFamily="50" charset="-127"/>
              <a:ea typeface="맑은 고딕" pitchFamily="50" charset="-127"/>
              <a:cs typeface="+mn-cs"/>
            </a:rPr>
            <a:t>영주</a:t>
          </a:r>
          <a:r>
            <a:rPr lang="en-US" altLang="ko-KR" sz="1100" b="1" i="0" strike="noStrike">
              <a:solidFill>
                <a:sysClr val="windowText" lastClr="000000"/>
              </a:solidFill>
              <a:latin typeface="맑은 고딕" pitchFamily="50" charset="-127"/>
              <a:ea typeface="맑은 고딕" pitchFamily="50" charset="-127"/>
              <a:cs typeface="+mn-cs"/>
            </a:rPr>
            <a:t>S/S</a:t>
          </a:r>
        </a:p>
      </xdr:txBody>
    </xdr:sp>
    <xdr:clientData/>
  </xdr:twoCellAnchor>
  <xdr:twoCellAnchor>
    <xdr:from>
      <xdr:col>1</xdr:col>
      <xdr:colOff>529343</xdr:colOff>
      <xdr:row>13</xdr:row>
      <xdr:rowOff>176025</xdr:rowOff>
    </xdr:from>
    <xdr:to>
      <xdr:col>2</xdr:col>
      <xdr:colOff>217889</xdr:colOff>
      <xdr:row>14</xdr:row>
      <xdr:rowOff>28383</xdr:rowOff>
    </xdr:to>
    <xdr:sp macro="" textlink="">
      <xdr:nvSpPr>
        <xdr:cNvPr id="517" name="직사각형 516">
          <a:extLst>
            <a:ext uri="{FF2B5EF4-FFF2-40B4-BE49-F238E27FC236}">
              <a16:creationId xmlns:a16="http://schemas.microsoft.com/office/drawing/2014/main" id="{00000000-0008-0000-0400-000005020000}"/>
            </a:ext>
          </a:extLst>
        </xdr:cNvPr>
        <xdr:cNvSpPr/>
      </xdr:nvSpPr>
      <xdr:spPr>
        <a:xfrm flipH="1">
          <a:off x="1376335" y="4636656"/>
          <a:ext cx="526746" cy="215773"/>
        </a:xfrm>
        <a:prstGeom prst="rect">
          <a:avLst/>
        </a:prstGeom>
        <a:solidFill>
          <a:schemeClr val="accent1">
            <a:lumMod val="60000"/>
            <a:lumOff val="40000"/>
          </a:schemeClr>
        </a:solidFill>
        <a:ln w="25400" cmpd="sng"/>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marL="0" indent="0" algn="ctr"/>
          <a:r>
            <a:rPr lang="en-US" altLang="ko-KR" sz="1400">
              <a:solidFill>
                <a:sysClr val="windowText" lastClr="000000"/>
              </a:solidFill>
              <a:latin typeface="+mn-lt"/>
              <a:ea typeface="+mn-ea"/>
              <a:cs typeface="+mn-cs"/>
            </a:rPr>
            <a:t>HSR</a:t>
          </a:r>
        </a:p>
      </xdr:txBody>
    </xdr:sp>
    <xdr:clientData/>
  </xdr:twoCellAnchor>
  <xdr:twoCellAnchor>
    <xdr:from>
      <xdr:col>14</xdr:col>
      <xdr:colOff>780450</xdr:colOff>
      <xdr:row>16</xdr:row>
      <xdr:rowOff>150230</xdr:rowOff>
    </xdr:from>
    <xdr:to>
      <xdr:col>15</xdr:col>
      <xdr:colOff>720703</xdr:colOff>
      <xdr:row>24</xdr:row>
      <xdr:rowOff>303743</xdr:rowOff>
    </xdr:to>
    <xdr:sp macro="" textlink="">
      <xdr:nvSpPr>
        <xdr:cNvPr id="523" name="Rectangle 99">
          <a:extLst>
            <a:ext uri="{FF2B5EF4-FFF2-40B4-BE49-F238E27FC236}">
              <a16:creationId xmlns:a16="http://schemas.microsoft.com/office/drawing/2014/main" id="{00000000-0008-0000-0400-00000B020000}"/>
            </a:ext>
          </a:extLst>
        </xdr:cNvPr>
        <xdr:cNvSpPr>
          <a:spLocks noChangeArrowheads="1"/>
        </xdr:cNvSpPr>
      </xdr:nvSpPr>
      <xdr:spPr bwMode="auto">
        <a:xfrm>
          <a:off x="20106675" y="5322305"/>
          <a:ext cx="778453" cy="3049113"/>
        </a:xfrm>
        <a:prstGeom prst="rect">
          <a:avLst/>
        </a:prstGeom>
        <a:noFill/>
        <a:ln w="9525">
          <a:solidFill>
            <a:srgbClr val="000000"/>
          </a:solidFill>
          <a:miter lim="800000"/>
          <a:headEnd/>
          <a:tailEnd/>
        </a:ln>
      </xdr:spPr>
    </xdr:sp>
    <xdr:clientData/>
  </xdr:twoCellAnchor>
  <xdr:twoCellAnchor>
    <xdr:from>
      <xdr:col>15</xdr:col>
      <xdr:colOff>53953</xdr:colOff>
      <xdr:row>19</xdr:row>
      <xdr:rowOff>170887</xdr:rowOff>
    </xdr:from>
    <xdr:to>
      <xdr:col>15</xdr:col>
      <xdr:colOff>625453</xdr:colOff>
      <xdr:row>20</xdr:row>
      <xdr:rowOff>126973</xdr:rowOff>
    </xdr:to>
    <xdr:sp macro="" textlink="">
      <xdr:nvSpPr>
        <xdr:cNvPr id="524" name="Rectangle 21">
          <a:extLst>
            <a:ext uri="{FF2B5EF4-FFF2-40B4-BE49-F238E27FC236}">
              <a16:creationId xmlns:a16="http://schemas.microsoft.com/office/drawing/2014/main" id="{00000000-0008-0000-0400-00000C020000}"/>
            </a:ext>
          </a:extLst>
        </xdr:cNvPr>
        <xdr:cNvSpPr>
          <a:spLocks noChangeArrowheads="1"/>
        </xdr:cNvSpPr>
      </xdr:nvSpPr>
      <xdr:spPr bwMode="auto">
        <a:xfrm>
          <a:off x="20218378" y="6428812"/>
          <a:ext cx="571500" cy="318036"/>
        </a:xfrm>
        <a:prstGeom prst="rect">
          <a:avLst/>
        </a:prstGeom>
        <a:solidFill>
          <a:srgbClr val="CCFFCC"/>
        </a:solidFill>
        <a:ln w="9525">
          <a:solidFill>
            <a:srgbClr val="000000"/>
          </a:solidFill>
          <a:miter lim="800000"/>
          <a:headEnd/>
          <a:tailEnd/>
        </a:ln>
      </xdr:spPr>
    </xdr:sp>
    <xdr:clientData/>
  </xdr:twoCellAnchor>
  <xdr:twoCellAnchor>
    <xdr:from>
      <xdr:col>15</xdr:col>
      <xdr:colOff>73003</xdr:colOff>
      <xdr:row>20</xdr:row>
      <xdr:rowOff>117448</xdr:rowOff>
    </xdr:from>
    <xdr:to>
      <xdr:col>15</xdr:col>
      <xdr:colOff>644503</xdr:colOff>
      <xdr:row>21</xdr:row>
      <xdr:rowOff>64010</xdr:rowOff>
    </xdr:to>
    <xdr:sp macro="" textlink="">
      <xdr:nvSpPr>
        <xdr:cNvPr id="525" name="Rectangle 22">
          <a:extLst>
            <a:ext uri="{FF2B5EF4-FFF2-40B4-BE49-F238E27FC236}">
              <a16:creationId xmlns:a16="http://schemas.microsoft.com/office/drawing/2014/main" id="{00000000-0008-0000-0400-00000D020000}"/>
            </a:ext>
          </a:extLst>
        </xdr:cNvPr>
        <xdr:cNvSpPr>
          <a:spLocks noChangeArrowheads="1"/>
        </xdr:cNvSpPr>
      </xdr:nvSpPr>
      <xdr:spPr bwMode="auto">
        <a:xfrm>
          <a:off x="20237428" y="6737323"/>
          <a:ext cx="571500" cy="308512"/>
        </a:xfrm>
        <a:prstGeom prst="rect">
          <a:avLst/>
        </a:prstGeom>
        <a:noFill/>
        <a:ln w="9525">
          <a:noFill/>
          <a:miter lim="800000"/>
          <a:headEnd/>
          <a:tailEnd/>
        </a:ln>
      </xdr:spPr>
      <xdr:txBody>
        <a:bodyPr vertOverflow="clip" wrap="square" lIns="36576" tIns="18288" rIns="36576" bIns="18288" anchor="ctr" upright="1"/>
        <a:lstStyle/>
        <a:p>
          <a:pPr algn="ctr" rtl="0">
            <a:defRPr sz="1000"/>
          </a:pPr>
          <a:r>
            <a:rPr lang="en-US" altLang="ko-KR" sz="1100" b="0" i="0" u="none" strike="noStrike" baseline="0">
              <a:solidFill>
                <a:srgbClr val="000000"/>
              </a:solidFill>
              <a:latin typeface="돋움"/>
              <a:ea typeface="돋움"/>
            </a:rPr>
            <a:t>(</a:t>
          </a:r>
          <a:r>
            <a:rPr lang="ko-KR" altLang="en-US" sz="1100" b="0" i="0" u="none" strike="noStrike" baseline="0">
              <a:solidFill>
                <a:srgbClr val="000000"/>
              </a:solidFill>
              <a:latin typeface="돋움"/>
              <a:ea typeface="돋움"/>
            </a:rPr>
            <a:t>신설</a:t>
          </a:r>
          <a:r>
            <a:rPr lang="en-US" altLang="ko-KR" sz="1100" b="0" i="0" u="none" strike="noStrike" baseline="0">
              <a:solidFill>
                <a:srgbClr val="000000"/>
              </a:solidFill>
              <a:latin typeface="돋움"/>
              <a:ea typeface="돋움"/>
            </a:rPr>
            <a:t>)</a:t>
          </a:r>
        </a:p>
      </xdr:txBody>
    </xdr:sp>
    <xdr:clientData/>
  </xdr:twoCellAnchor>
  <xdr:twoCellAnchor>
    <xdr:from>
      <xdr:col>15</xdr:col>
      <xdr:colOff>53953</xdr:colOff>
      <xdr:row>21</xdr:row>
      <xdr:rowOff>159260</xdr:rowOff>
    </xdr:from>
    <xdr:to>
      <xdr:col>15</xdr:col>
      <xdr:colOff>625453</xdr:colOff>
      <xdr:row>22</xdr:row>
      <xdr:rowOff>143921</xdr:rowOff>
    </xdr:to>
    <xdr:sp macro="" textlink="">
      <xdr:nvSpPr>
        <xdr:cNvPr id="526" name="Rectangle 23">
          <a:extLst>
            <a:ext uri="{FF2B5EF4-FFF2-40B4-BE49-F238E27FC236}">
              <a16:creationId xmlns:a16="http://schemas.microsoft.com/office/drawing/2014/main" id="{00000000-0008-0000-0400-00000E020000}"/>
            </a:ext>
          </a:extLst>
        </xdr:cNvPr>
        <xdr:cNvSpPr>
          <a:spLocks noChangeArrowheads="1"/>
        </xdr:cNvSpPr>
      </xdr:nvSpPr>
      <xdr:spPr bwMode="auto">
        <a:xfrm>
          <a:off x="20218378" y="7141085"/>
          <a:ext cx="571500" cy="346611"/>
        </a:xfrm>
        <a:prstGeom prst="rect">
          <a:avLst/>
        </a:prstGeom>
        <a:solidFill>
          <a:srgbClr val="C0C0C0"/>
        </a:solidFill>
        <a:ln w="9525">
          <a:solidFill>
            <a:srgbClr val="000000"/>
          </a:solidFill>
          <a:miter lim="800000"/>
          <a:headEnd/>
          <a:tailEnd/>
        </a:ln>
      </xdr:spPr>
    </xdr:sp>
    <xdr:clientData/>
  </xdr:twoCellAnchor>
  <xdr:twoCellAnchor>
    <xdr:from>
      <xdr:col>15</xdr:col>
      <xdr:colOff>53953</xdr:colOff>
      <xdr:row>23</xdr:row>
      <xdr:rowOff>109532</xdr:rowOff>
    </xdr:from>
    <xdr:to>
      <xdr:col>15</xdr:col>
      <xdr:colOff>625453</xdr:colOff>
      <xdr:row>24</xdr:row>
      <xdr:rowOff>75143</xdr:rowOff>
    </xdr:to>
    <xdr:sp macro="" textlink="">
      <xdr:nvSpPr>
        <xdr:cNvPr id="527" name="Oval 64">
          <a:extLst>
            <a:ext uri="{FF2B5EF4-FFF2-40B4-BE49-F238E27FC236}">
              <a16:creationId xmlns:a16="http://schemas.microsoft.com/office/drawing/2014/main" id="{00000000-0008-0000-0400-00000F020000}"/>
            </a:ext>
          </a:extLst>
        </xdr:cNvPr>
        <xdr:cNvSpPr>
          <a:spLocks noChangeArrowheads="1"/>
        </xdr:cNvSpPr>
      </xdr:nvSpPr>
      <xdr:spPr bwMode="auto">
        <a:xfrm>
          <a:off x="20218378" y="7815257"/>
          <a:ext cx="571500" cy="327561"/>
        </a:xfrm>
        <a:prstGeom prst="ellipse">
          <a:avLst/>
        </a:prstGeom>
        <a:noFill/>
        <a:ln w="9525">
          <a:solidFill>
            <a:srgbClr val="000000"/>
          </a:solidFill>
          <a:round/>
          <a:headEnd/>
          <a:tailEnd/>
        </a:ln>
      </xdr:spPr>
    </xdr:sp>
    <xdr:clientData/>
  </xdr:twoCellAnchor>
  <xdr:twoCellAnchor>
    <xdr:from>
      <xdr:col>15</xdr:col>
      <xdr:colOff>53953</xdr:colOff>
      <xdr:row>22</xdr:row>
      <xdr:rowOff>153446</xdr:rowOff>
    </xdr:from>
    <xdr:to>
      <xdr:col>15</xdr:col>
      <xdr:colOff>625453</xdr:colOff>
      <xdr:row>23</xdr:row>
      <xdr:rowOff>42857</xdr:rowOff>
    </xdr:to>
    <xdr:sp macro="" textlink="">
      <xdr:nvSpPr>
        <xdr:cNvPr id="528" name="Rectangle 69">
          <a:extLst>
            <a:ext uri="{FF2B5EF4-FFF2-40B4-BE49-F238E27FC236}">
              <a16:creationId xmlns:a16="http://schemas.microsoft.com/office/drawing/2014/main" id="{00000000-0008-0000-0400-000010020000}"/>
            </a:ext>
          </a:extLst>
        </xdr:cNvPr>
        <xdr:cNvSpPr>
          <a:spLocks noChangeArrowheads="1"/>
        </xdr:cNvSpPr>
      </xdr:nvSpPr>
      <xdr:spPr bwMode="auto">
        <a:xfrm>
          <a:off x="20218378" y="7497221"/>
          <a:ext cx="571500" cy="251361"/>
        </a:xfrm>
        <a:prstGeom prst="rect">
          <a:avLst/>
        </a:prstGeom>
        <a:noFill/>
        <a:ln w="9525">
          <a:noFill/>
          <a:miter lim="800000"/>
          <a:headEnd/>
          <a:tailEnd/>
        </a:ln>
      </xdr:spPr>
      <xdr:txBody>
        <a:bodyPr vertOverflow="clip" wrap="square" lIns="36576" tIns="18288" rIns="36576" bIns="18288" anchor="ctr" upright="1"/>
        <a:lstStyle/>
        <a:p>
          <a:pPr algn="ctr" rtl="0">
            <a:defRPr sz="1000"/>
          </a:pPr>
          <a:r>
            <a:rPr lang="en-US" altLang="ko-KR" sz="1100" b="0" i="0" u="none" strike="noStrike" baseline="0">
              <a:solidFill>
                <a:srgbClr val="000000"/>
              </a:solidFill>
              <a:latin typeface="돋움"/>
              <a:ea typeface="돋움"/>
            </a:rPr>
            <a:t>(</a:t>
          </a:r>
          <a:r>
            <a:rPr lang="ko-KR" altLang="en-US" sz="1100" b="0" i="0" u="none" strike="noStrike" baseline="0">
              <a:solidFill>
                <a:srgbClr val="000000"/>
              </a:solidFill>
              <a:latin typeface="돋움"/>
              <a:ea typeface="돋움"/>
            </a:rPr>
            <a:t>철거</a:t>
          </a:r>
          <a:r>
            <a:rPr lang="en-US" altLang="ko-KR" sz="1100" b="0" i="0" u="none" strike="noStrike" baseline="0">
              <a:solidFill>
                <a:srgbClr val="000000"/>
              </a:solidFill>
              <a:latin typeface="돋움"/>
              <a:ea typeface="돋움"/>
            </a:rPr>
            <a:t>)</a:t>
          </a:r>
        </a:p>
      </xdr:txBody>
    </xdr:sp>
    <xdr:clientData/>
  </xdr:twoCellAnchor>
  <xdr:twoCellAnchor>
    <xdr:from>
      <xdr:col>15</xdr:col>
      <xdr:colOff>25378</xdr:colOff>
      <xdr:row>24</xdr:row>
      <xdr:rowOff>94193</xdr:rowOff>
    </xdr:from>
    <xdr:to>
      <xdr:col>15</xdr:col>
      <xdr:colOff>634978</xdr:colOff>
      <xdr:row>24</xdr:row>
      <xdr:rowOff>303743</xdr:rowOff>
    </xdr:to>
    <xdr:sp macro="" textlink="">
      <xdr:nvSpPr>
        <xdr:cNvPr id="529" name="Rectangle 70">
          <a:extLst>
            <a:ext uri="{FF2B5EF4-FFF2-40B4-BE49-F238E27FC236}">
              <a16:creationId xmlns:a16="http://schemas.microsoft.com/office/drawing/2014/main" id="{00000000-0008-0000-0400-000011020000}"/>
            </a:ext>
          </a:extLst>
        </xdr:cNvPr>
        <xdr:cNvSpPr>
          <a:spLocks noChangeArrowheads="1"/>
        </xdr:cNvSpPr>
      </xdr:nvSpPr>
      <xdr:spPr bwMode="auto">
        <a:xfrm>
          <a:off x="20189803" y="8161868"/>
          <a:ext cx="609600" cy="209550"/>
        </a:xfrm>
        <a:prstGeom prst="rect">
          <a:avLst/>
        </a:prstGeom>
        <a:noFill/>
        <a:ln w="9525">
          <a:noFill/>
          <a:miter lim="800000"/>
          <a:headEnd/>
          <a:tailEnd/>
        </a:ln>
      </xdr:spPr>
      <xdr:txBody>
        <a:bodyPr vertOverflow="clip" wrap="square" lIns="36576" tIns="18288" rIns="36576" bIns="18288" anchor="ctr" upright="1"/>
        <a:lstStyle/>
        <a:p>
          <a:pPr algn="ctr" rtl="0">
            <a:defRPr sz="1000"/>
          </a:pPr>
          <a:r>
            <a:rPr lang="en-US" altLang="ko-KR" sz="1100" b="0" i="0" u="none" strike="noStrike" baseline="0">
              <a:solidFill>
                <a:srgbClr val="000000"/>
              </a:solidFill>
              <a:latin typeface="돋움"/>
              <a:ea typeface="돋움"/>
            </a:rPr>
            <a:t>(</a:t>
          </a:r>
          <a:r>
            <a:rPr lang="ko-KR" altLang="en-US" sz="1100" b="0" i="0" u="none" strike="noStrike" baseline="0">
              <a:solidFill>
                <a:srgbClr val="000000"/>
              </a:solidFill>
              <a:latin typeface="돋움"/>
              <a:ea typeface="돋움"/>
            </a:rPr>
            <a:t>이설</a:t>
          </a:r>
          <a:r>
            <a:rPr lang="en-US" altLang="ko-KR" sz="1100" b="0" i="0" u="none" strike="noStrike" baseline="0">
              <a:solidFill>
                <a:srgbClr val="000000"/>
              </a:solidFill>
              <a:latin typeface="돋움"/>
              <a:ea typeface="돋움"/>
            </a:rPr>
            <a:t>)</a:t>
          </a:r>
        </a:p>
      </xdr:txBody>
    </xdr:sp>
    <xdr:clientData/>
  </xdr:twoCellAnchor>
  <xdr:twoCellAnchor>
    <xdr:from>
      <xdr:col>15</xdr:col>
      <xdr:colOff>53953</xdr:colOff>
      <xdr:row>16</xdr:row>
      <xdr:rowOff>178805</xdr:rowOff>
    </xdr:from>
    <xdr:to>
      <xdr:col>15</xdr:col>
      <xdr:colOff>625453</xdr:colOff>
      <xdr:row>17</xdr:row>
      <xdr:rowOff>134891</xdr:rowOff>
    </xdr:to>
    <xdr:sp macro="" textlink="">
      <xdr:nvSpPr>
        <xdr:cNvPr id="530" name="Rectangle 98">
          <a:extLst>
            <a:ext uri="{FF2B5EF4-FFF2-40B4-BE49-F238E27FC236}">
              <a16:creationId xmlns:a16="http://schemas.microsoft.com/office/drawing/2014/main" id="{00000000-0008-0000-0400-000012020000}"/>
            </a:ext>
          </a:extLst>
        </xdr:cNvPr>
        <xdr:cNvSpPr>
          <a:spLocks noChangeArrowheads="1"/>
        </xdr:cNvSpPr>
      </xdr:nvSpPr>
      <xdr:spPr bwMode="auto">
        <a:xfrm>
          <a:off x="20218378" y="5350880"/>
          <a:ext cx="571500" cy="318036"/>
        </a:xfrm>
        <a:prstGeom prst="rect">
          <a:avLst/>
        </a:prstGeom>
        <a:noFill/>
        <a:ln w="9525">
          <a:noFill/>
          <a:miter lim="800000"/>
          <a:headEnd/>
          <a:tailEnd/>
        </a:ln>
      </xdr:spPr>
      <xdr:txBody>
        <a:bodyPr vertOverflow="clip" wrap="square" lIns="36576" tIns="18288" rIns="36576" bIns="18288" anchor="ctr" upright="1"/>
        <a:lstStyle/>
        <a:p>
          <a:pPr algn="ctr" rtl="0">
            <a:defRPr sz="1000"/>
          </a:pPr>
          <a:r>
            <a:rPr lang="en-US" altLang="ko-KR" sz="1100" b="0" i="0" u="none" strike="noStrike" baseline="0">
              <a:solidFill>
                <a:srgbClr val="000000"/>
              </a:solidFill>
              <a:latin typeface="돋움"/>
              <a:ea typeface="돋움"/>
            </a:rPr>
            <a:t>[</a:t>
          </a:r>
          <a:r>
            <a:rPr lang="ko-KR" altLang="en-US" sz="1100" b="0" i="0" u="none" strike="noStrike" baseline="0">
              <a:solidFill>
                <a:srgbClr val="000000"/>
              </a:solidFill>
              <a:latin typeface="돋움"/>
              <a:ea typeface="돋움"/>
            </a:rPr>
            <a:t>범례</a:t>
          </a:r>
          <a:r>
            <a:rPr lang="en-US" altLang="ko-KR" sz="1100" b="0" i="0" u="none" strike="noStrike" baseline="0">
              <a:solidFill>
                <a:srgbClr val="000000"/>
              </a:solidFill>
              <a:latin typeface="돋움"/>
              <a:ea typeface="돋움"/>
            </a:rPr>
            <a:t>]</a:t>
          </a:r>
        </a:p>
      </xdr:txBody>
    </xdr:sp>
    <xdr:clientData/>
  </xdr:twoCellAnchor>
  <xdr:twoCellAnchor>
    <xdr:from>
      <xdr:col>15</xdr:col>
      <xdr:colOff>53953</xdr:colOff>
      <xdr:row>17</xdr:row>
      <xdr:rowOff>192041</xdr:rowOff>
    </xdr:from>
    <xdr:to>
      <xdr:col>15</xdr:col>
      <xdr:colOff>625453</xdr:colOff>
      <xdr:row>18</xdr:row>
      <xdr:rowOff>148126</xdr:rowOff>
    </xdr:to>
    <xdr:sp macro="" textlink="">
      <xdr:nvSpPr>
        <xdr:cNvPr id="531" name="Rectangle 237">
          <a:extLst>
            <a:ext uri="{FF2B5EF4-FFF2-40B4-BE49-F238E27FC236}">
              <a16:creationId xmlns:a16="http://schemas.microsoft.com/office/drawing/2014/main" id="{00000000-0008-0000-0400-000013020000}"/>
            </a:ext>
          </a:extLst>
        </xdr:cNvPr>
        <xdr:cNvSpPr>
          <a:spLocks noChangeArrowheads="1"/>
        </xdr:cNvSpPr>
      </xdr:nvSpPr>
      <xdr:spPr bwMode="auto">
        <a:xfrm>
          <a:off x="20218378" y="5726066"/>
          <a:ext cx="571500" cy="318035"/>
        </a:xfrm>
        <a:prstGeom prst="rect">
          <a:avLst/>
        </a:prstGeom>
        <a:noFill/>
        <a:ln w="9525">
          <a:solidFill>
            <a:srgbClr val="000000"/>
          </a:solidFill>
          <a:miter lim="800000"/>
          <a:headEnd/>
          <a:tailEnd/>
        </a:ln>
      </xdr:spPr>
    </xdr:sp>
    <xdr:clientData/>
  </xdr:twoCellAnchor>
  <xdr:twoCellAnchor>
    <xdr:from>
      <xdr:col>15</xdr:col>
      <xdr:colOff>73003</xdr:colOff>
      <xdr:row>18</xdr:row>
      <xdr:rowOff>138601</xdr:rowOff>
    </xdr:from>
    <xdr:to>
      <xdr:col>15</xdr:col>
      <xdr:colOff>644503</xdr:colOff>
      <xdr:row>19</xdr:row>
      <xdr:rowOff>85162</xdr:rowOff>
    </xdr:to>
    <xdr:sp macro="" textlink="">
      <xdr:nvSpPr>
        <xdr:cNvPr id="532" name="Rectangle 238">
          <a:extLst>
            <a:ext uri="{FF2B5EF4-FFF2-40B4-BE49-F238E27FC236}">
              <a16:creationId xmlns:a16="http://schemas.microsoft.com/office/drawing/2014/main" id="{00000000-0008-0000-0400-000014020000}"/>
            </a:ext>
          </a:extLst>
        </xdr:cNvPr>
        <xdr:cNvSpPr>
          <a:spLocks noChangeArrowheads="1"/>
        </xdr:cNvSpPr>
      </xdr:nvSpPr>
      <xdr:spPr bwMode="auto">
        <a:xfrm>
          <a:off x="20237428" y="6034576"/>
          <a:ext cx="571500" cy="308511"/>
        </a:xfrm>
        <a:prstGeom prst="rect">
          <a:avLst/>
        </a:prstGeom>
        <a:noFill/>
        <a:ln w="9525">
          <a:noFill/>
          <a:miter lim="800000"/>
          <a:headEnd/>
          <a:tailEnd/>
        </a:ln>
      </xdr:spPr>
      <xdr:txBody>
        <a:bodyPr vertOverflow="clip" wrap="square" lIns="36576" tIns="18288" rIns="36576" bIns="18288" anchor="ctr" upright="1"/>
        <a:lstStyle/>
        <a:p>
          <a:pPr algn="ctr" rtl="0">
            <a:defRPr sz="1000"/>
          </a:pPr>
          <a:r>
            <a:rPr lang="en-US" altLang="ko-KR" sz="1100" b="0" i="0" u="none" strike="noStrike" baseline="0">
              <a:solidFill>
                <a:srgbClr val="000000"/>
              </a:solidFill>
              <a:latin typeface="돋움"/>
              <a:ea typeface="돋움"/>
            </a:rPr>
            <a:t>(</a:t>
          </a:r>
          <a:r>
            <a:rPr lang="ko-KR" altLang="en-US" sz="1100" b="0" i="0" u="none" strike="noStrike" baseline="0">
              <a:solidFill>
                <a:srgbClr val="000000"/>
              </a:solidFill>
              <a:latin typeface="돋움"/>
              <a:ea typeface="돋움"/>
            </a:rPr>
            <a:t>기설</a:t>
          </a:r>
          <a:r>
            <a:rPr lang="en-US" altLang="ko-KR" sz="1100" b="0" i="0" u="none" strike="noStrike" baseline="0">
              <a:solidFill>
                <a:srgbClr val="000000"/>
              </a:solidFill>
              <a:latin typeface="돋움"/>
              <a:ea typeface="돋움"/>
            </a:rPr>
            <a:t>)</a:t>
          </a:r>
        </a:p>
      </xdr:txBody>
    </xdr:sp>
    <xdr:clientData/>
  </xdr:twoCellAnchor>
  <xdr:twoCellAnchor>
    <xdr:from>
      <xdr:col>14</xdr:col>
      <xdr:colOff>61762</xdr:colOff>
      <xdr:row>21</xdr:row>
      <xdr:rowOff>162475</xdr:rowOff>
    </xdr:from>
    <xdr:to>
      <xdr:col>14</xdr:col>
      <xdr:colOff>690798</xdr:colOff>
      <xdr:row>22</xdr:row>
      <xdr:rowOff>61820</xdr:rowOff>
    </xdr:to>
    <xdr:sp macro="" textlink="">
      <xdr:nvSpPr>
        <xdr:cNvPr id="533" name="Rectangle 101">
          <a:extLst>
            <a:ext uri="{FF2B5EF4-FFF2-40B4-BE49-F238E27FC236}">
              <a16:creationId xmlns:a16="http://schemas.microsoft.com/office/drawing/2014/main" id="{00000000-0008-0000-0400-000015020000}"/>
            </a:ext>
          </a:extLst>
        </xdr:cNvPr>
        <xdr:cNvSpPr>
          <a:spLocks noChangeArrowheads="1"/>
        </xdr:cNvSpPr>
      </xdr:nvSpPr>
      <xdr:spPr bwMode="auto">
        <a:xfrm flipH="1">
          <a:off x="19387987" y="7144300"/>
          <a:ext cx="629036" cy="261295"/>
        </a:xfrm>
        <a:prstGeom prst="rect">
          <a:avLst/>
        </a:prstGeom>
        <a:solidFill>
          <a:sysClr val="window" lastClr="FFFFFF"/>
        </a:solidFill>
        <a:ln w="9525">
          <a:solidFill>
            <a:schemeClr val="tx1"/>
          </a:solidFill>
          <a:miter lim="800000"/>
          <a:headEnd/>
          <a:tailEnd/>
        </a:ln>
      </xdr:spPr>
      <xdr:txBody>
        <a:bodyPr vertOverflow="clip" wrap="square" lIns="36576" tIns="18288" rIns="36576" bIns="18288" anchor="ctr" upright="1"/>
        <a:lstStyle/>
        <a:p>
          <a:pPr algn="ctr" rtl="0">
            <a:defRPr sz="1000"/>
          </a:pPr>
          <a:r>
            <a:rPr lang="ko-KR" altLang="en-US" sz="1100" b="1" i="0" u="none" strike="noStrike" baseline="0">
              <a:solidFill>
                <a:srgbClr val="FF0000"/>
              </a:solidFill>
              <a:latin typeface="돋움"/>
              <a:ea typeface="돋움"/>
            </a:rPr>
            <a:t>금암</a:t>
          </a:r>
        </a:p>
      </xdr:txBody>
    </xdr:sp>
    <xdr:clientData/>
  </xdr:twoCellAnchor>
  <xdr:twoCellAnchor>
    <xdr:from>
      <xdr:col>10</xdr:col>
      <xdr:colOff>86591</xdr:colOff>
      <xdr:row>21</xdr:row>
      <xdr:rowOff>162475</xdr:rowOff>
    </xdr:from>
    <xdr:to>
      <xdr:col>10</xdr:col>
      <xdr:colOff>715628</xdr:colOff>
      <xdr:row>22</xdr:row>
      <xdr:rowOff>61820</xdr:rowOff>
    </xdr:to>
    <xdr:sp macro="" textlink="">
      <xdr:nvSpPr>
        <xdr:cNvPr id="534" name="Rectangle 101">
          <a:extLst>
            <a:ext uri="{FF2B5EF4-FFF2-40B4-BE49-F238E27FC236}">
              <a16:creationId xmlns:a16="http://schemas.microsoft.com/office/drawing/2014/main" id="{00000000-0008-0000-0400-000016020000}"/>
            </a:ext>
          </a:extLst>
        </xdr:cNvPr>
        <xdr:cNvSpPr>
          <a:spLocks noChangeArrowheads="1"/>
        </xdr:cNvSpPr>
      </xdr:nvSpPr>
      <xdr:spPr bwMode="auto">
        <a:xfrm flipH="1">
          <a:off x="16060016" y="7144300"/>
          <a:ext cx="629037" cy="261295"/>
        </a:xfrm>
        <a:prstGeom prst="rect">
          <a:avLst/>
        </a:prstGeom>
        <a:solidFill>
          <a:sysClr val="window" lastClr="FFFFFF"/>
        </a:solidFill>
        <a:ln w="9525">
          <a:solidFill>
            <a:schemeClr val="tx1"/>
          </a:solidFill>
          <a:miter lim="800000"/>
          <a:headEnd/>
          <a:tailEnd/>
        </a:ln>
      </xdr:spPr>
      <xdr:txBody>
        <a:bodyPr vertOverflow="clip" wrap="square" lIns="36576" tIns="18288" rIns="36576" bIns="18288" anchor="ctr" upright="1"/>
        <a:lstStyle/>
        <a:p>
          <a:pPr algn="ctr" rtl="0">
            <a:defRPr sz="1000"/>
          </a:pPr>
          <a:r>
            <a:rPr lang="ko-KR" altLang="en-US" sz="1100" b="1" i="0" u="none" strike="noStrike" baseline="0">
              <a:solidFill>
                <a:sysClr val="windowText" lastClr="000000"/>
              </a:solidFill>
              <a:latin typeface="돋움"/>
              <a:ea typeface="돋움"/>
            </a:rPr>
            <a:t>세교</a:t>
          </a:r>
        </a:p>
      </xdr:txBody>
    </xdr:sp>
    <xdr:clientData/>
  </xdr:twoCellAnchor>
  <xdr:twoCellAnchor>
    <xdr:from>
      <xdr:col>10</xdr:col>
      <xdr:colOff>97061</xdr:colOff>
      <xdr:row>18</xdr:row>
      <xdr:rowOff>247649</xdr:rowOff>
    </xdr:from>
    <xdr:to>
      <xdr:col>10</xdr:col>
      <xdr:colOff>395861</xdr:colOff>
      <xdr:row>19</xdr:row>
      <xdr:rowOff>130592</xdr:rowOff>
    </xdr:to>
    <xdr:sp macro="" textlink="">
      <xdr:nvSpPr>
        <xdr:cNvPr id="535" name="Rectangle 107">
          <a:extLst>
            <a:ext uri="{FF2B5EF4-FFF2-40B4-BE49-F238E27FC236}">
              <a16:creationId xmlns:a16="http://schemas.microsoft.com/office/drawing/2014/main" id="{00000000-0008-0000-0400-000017020000}"/>
            </a:ext>
          </a:extLst>
        </xdr:cNvPr>
        <xdr:cNvSpPr>
          <a:spLocks noChangeArrowheads="1"/>
        </xdr:cNvSpPr>
      </xdr:nvSpPr>
      <xdr:spPr bwMode="auto">
        <a:xfrm flipH="1">
          <a:off x="16070486" y="6143624"/>
          <a:ext cx="298800" cy="244893"/>
        </a:xfrm>
        <a:prstGeom prst="rect">
          <a:avLst/>
        </a:prstGeom>
        <a:solidFill>
          <a:srgbClr val="CCFFCC"/>
        </a:solidFill>
        <a:ln w="9525">
          <a:solidFill>
            <a:srgbClr val="000000"/>
          </a:solidFill>
          <a:miter lim="800000"/>
          <a:headEnd/>
          <a:tailEnd/>
        </a:ln>
      </xdr:spPr>
      <xdr:txBody>
        <a:bodyPr vertOverflow="clip" wrap="square" lIns="36576" tIns="18288" rIns="36576" bIns="18288" anchor="ctr" upright="1"/>
        <a:lstStyle/>
        <a:p>
          <a:pPr marL="0" indent="0" algn="ctr" rtl="0">
            <a:defRPr sz="1000"/>
          </a:pPr>
          <a:r>
            <a:rPr lang="en-US" altLang="ko-KR" sz="1000" b="0" i="0" u="none" strike="noStrike" baseline="0">
              <a:solidFill>
                <a:srgbClr val="000000"/>
              </a:solidFill>
              <a:latin typeface="돋움"/>
              <a:ea typeface="돋움"/>
              <a:cs typeface="+mn-cs"/>
            </a:rPr>
            <a:t>PIU</a:t>
          </a:r>
        </a:p>
      </xdr:txBody>
    </xdr:sp>
    <xdr:clientData/>
  </xdr:twoCellAnchor>
  <xdr:twoCellAnchor>
    <xdr:from>
      <xdr:col>10</xdr:col>
      <xdr:colOff>399747</xdr:colOff>
      <xdr:row>18</xdr:row>
      <xdr:rowOff>244659</xdr:rowOff>
    </xdr:from>
    <xdr:to>
      <xdr:col>10</xdr:col>
      <xdr:colOff>703292</xdr:colOff>
      <xdr:row>19</xdr:row>
      <xdr:rowOff>130593</xdr:rowOff>
    </xdr:to>
    <xdr:sp macro="" textlink="">
      <xdr:nvSpPr>
        <xdr:cNvPr id="536" name="Rectangle 107">
          <a:extLst>
            <a:ext uri="{FF2B5EF4-FFF2-40B4-BE49-F238E27FC236}">
              <a16:creationId xmlns:a16="http://schemas.microsoft.com/office/drawing/2014/main" id="{00000000-0008-0000-0400-000018020000}"/>
            </a:ext>
          </a:extLst>
        </xdr:cNvPr>
        <xdr:cNvSpPr>
          <a:spLocks noChangeArrowheads="1"/>
        </xdr:cNvSpPr>
      </xdr:nvSpPr>
      <xdr:spPr bwMode="auto">
        <a:xfrm flipH="1">
          <a:off x="16373172" y="6140634"/>
          <a:ext cx="303545" cy="247884"/>
        </a:xfrm>
        <a:prstGeom prst="rect">
          <a:avLst/>
        </a:prstGeom>
        <a:solidFill>
          <a:srgbClr val="CCFFCC"/>
        </a:solidFill>
        <a:ln w="9525">
          <a:solidFill>
            <a:srgbClr val="000000"/>
          </a:solidFill>
          <a:miter lim="800000"/>
          <a:headEnd/>
          <a:tailEnd/>
        </a:ln>
      </xdr:spPr>
      <xdr:txBody>
        <a:bodyPr vertOverflow="clip" wrap="square" lIns="36576" tIns="18288" rIns="36576" bIns="18288" anchor="ctr" upright="1"/>
        <a:lstStyle/>
        <a:p>
          <a:pPr marL="0" indent="0" algn="ctr" rtl="0">
            <a:defRPr sz="1000"/>
          </a:pPr>
          <a:r>
            <a:rPr lang="en-US" altLang="ko-KR" sz="1000" b="0" i="0" u="none" strike="noStrike" baseline="0">
              <a:solidFill>
                <a:srgbClr val="000000"/>
              </a:solidFill>
              <a:latin typeface="돋움"/>
              <a:ea typeface="돋움"/>
              <a:cs typeface="+mn-cs"/>
            </a:rPr>
            <a:t>PIU</a:t>
          </a:r>
        </a:p>
      </xdr:txBody>
    </xdr:sp>
    <xdr:clientData/>
  </xdr:twoCellAnchor>
  <xdr:twoCellAnchor>
    <xdr:from>
      <xdr:col>10</xdr:col>
      <xdr:colOff>99177</xdr:colOff>
      <xdr:row>17</xdr:row>
      <xdr:rowOff>327844</xdr:rowOff>
    </xdr:from>
    <xdr:to>
      <xdr:col>10</xdr:col>
      <xdr:colOff>397977</xdr:colOff>
      <xdr:row>18</xdr:row>
      <xdr:rowOff>222133</xdr:rowOff>
    </xdr:to>
    <xdr:sp macro="" textlink="">
      <xdr:nvSpPr>
        <xdr:cNvPr id="537" name="Rectangle 107">
          <a:extLst>
            <a:ext uri="{FF2B5EF4-FFF2-40B4-BE49-F238E27FC236}">
              <a16:creationId xmlns:a16="http://schemas.microsoft.com/office/drawing/2014/main" id="{00000000-0008-0000-0400-000019020000}"/>
            </a:ext>
          </a:extLst>
        </xdr:cNvPr>
        <xdr:cNvSpPr>
          <a:spLocks noChangeAspect="1" noChangeArrowheads="1"/>
        </xdr:cNvSpPr>
      </xdr:nvSpPr>
      <xdr:spPr bwMode="auto">
        <a:xfrm flipH="1">
          <a:off x="16072602" y="5861869"/>
          <a:ext cx="298800" cy="256239"/>
        </a:xfrm>
        <a:prstGeom prst="rect">
          <a:avLst/>
        </a:prstGeom>
        <a:solidFill>
          <a:srgbClr val="CCFFCC"/>
        </a:solidFill>
        <a:ln w="9525">
          <a:solidFill>
            <a:srgbClr val="000000"/>
          </a:solidFill>
          <a:miter lim="800000"/>
          <a:headEnd/>
          <a:tailEnd/>
        </a:ln>
      </xdr:spPr>
      <xdr:txBody>
        <a:bodyPr vertOverflow="clip" wrap="square" lIns="36576" tIns="18288" rIns="36576" bIns="18288" anchor="ctr" upright="1"/>
        <a:lstStyle/>
        <a:p>
          <a:pPr marL="0" indent="0" algn="ctr" rtl="0">
            <a:defRPr sz="1000"/>
          </a:pPr>
          <a:r>
            <a:rPr lang="en-US" altLang="ko-KR" sz="1000" b="0" i="0" u="none" strike="noStrike" baseline="0">
              <a:solidFill>
                <a:srgbClr val="000000"/>
              </a:solidFill>
              <a:latin typeface="돋움"/>
              <a:ea typeface="돋움"/>
              <a:cs typeface="+mn-cs"/>
            </a:rPr>
            <a:t>PIU</a:t>
          </a:r>
        </a:p>
      </xdr:txBody>
    </xdr:sp>
    <xdr:clientData/>
  </xdr:twoCellAnchor>
  <xdr:twoCellAnchor>
    <xdr:from>
      <xdr:col>10</xdr:col>
      <xdr:colOff>401863</xdr:colOff>
      <xdr:row>17</xdr:row>
      <xdr:rowOff>327843</xdr:rowOff>
    </xdr:from>
    <xdr:to>
      <xdr:col>10</xdr:col>
      <xdr:colOff>705408</xdr:colOff>
      <xdr:row>18</xdr:row>
      <xdr:rowOff>222133</xdr:rowOff>
    </xdr:to>
    <xdr:sp macro="" textlink="">
      <xdr:nvSpPr>
        <xdr:cNvPr id="538" name="Rectangle 107">
          <a:extLst>
            <a:ext uri="{FF2B5EF4-FFF2-40B4-BE49-F238E27FC236}">
              <a16:creationId xmlns:a16="http://schemas.microsoft.com/office/drawing/2014/main" id="{00000000-0008-0000-0400-00001A020000}"/>
            </a:ext>
          </a:extLst>
        </xdr:cNvPr>
        <xdr:cNvSpPr>
          <a:spLocks noChangeAspect="1" noChangeArrowheads="1"/>
        </xdr:cNvSpPr>
      </xdr:nvSpPr>
      <xdr:spPr bwMode="auto">
        <a:xfrm flipH="1">
          <a:off x="16375288" y="5861868"/>
          <a:ext cx="303545" cy="256240"/>
        </a:xfrm>
        <a:prstGeom prst="rect">
          <a:avLst/>
        </a:prstGeom>
        <a:solidFill>
          <a:srgbClr val="CCFFCC"/>
        </a:solidFill>
        <a:ln w="9525">
          <a:solidFill>
            <a:srgbClr val="000000"/>
          </a:solidFill>
          <a:miter lim="800000"/>
          <a:headEnd/>
          <a:tailEnd/>
        </a:ln>
      </xdr:spPr>
      <xdr:txBody>
        <a:bodyPr vertOverflow="clip" wrap="square" lIns="36576" tIns="18288" rIns="36576" bIns="18288" anchor="ctr" upright="1"/>
        <a:lstStyle/>
        <a:p>
          <a:pPr marL="0" indent="0" algn="ctr" rtl="0">
            <a:defRPr sz="1000"/>
          </a:pPr>
          <a:r>
            <a:rPr lang="en-US" altLang="ko-KR" sz="1000" b="0" i="0" u="none" strike="noStrike" baseline="0">
              <a:solidFill>
                <a:srgbClr val="000000"/>
              </a:solidFill>
              <a:latin typeface="돋움"/>
              <a:ea typeface="돋움"/>
              <a:cs typeface="+mn-cs"/>
            </a:rPr>
            <a:t>PIU</a:t>
          </a:r>
        </a:p>
      </xdr:txBody>
    </xdr:sp>
    <xdr:clientData/>
  </xdr:twoCellAnchor>
  <xdr:twoCellAnchor>
    <xdr:from>
      <xdr:col>14</xdr:col>
      <xdr:colOff>61336</xdr:colOff>
      <xdr:row>18</xdr:row>
      <xdr:rowOff>241183</xdr:rowOff>
    </xdr:from>
    <xdr:to>
      <xdr:col>14</xdr:col>
      <xdr:colOff>364881</xdr:colOff>
      <xdr:row>19</xdr:row>
      <xdr:rowOff>124243</xdr:rowOff>
    </xdr:to>
    <xdr:sp macro="" textlink="">
      <xdr:nvSpPr>
        <xdr:cNvPr id="539" name="Rectangle 107">
          <a:extLst>
            <a:ext uri="{FF2B5EF4-FFF2-40B4-BE49-F238E27FC236}">
              <a16:creationId xmlns:a16="http://schemas.microsoft.com/office/drawing/2014/main" id="{00000000-0008-0000-0400-00001B020000}"/>
            </a:ext>
          </a:extLst>
        </xdr:cNvPr>
        <xdr:cNvSpPr>
          <a:spLocks noChangeArrowheads="1"/>
        </xdr:cNvSpPr>
      </xdr:nvSpPr>
      <xdr:spPr bwMode="auto">
        <a:xfrm flipH="1">
          <a:off x="19387561" y="6137158"/>
          <a:ext cx="303545" cy="245010"/>
        </a:xfrm>
        <a:prstGeom prst="rect">
          <a:avLst/>
        </a:prstGeom>
        <a:solidFill>
          <a:srgbClr val="CCFFCC"/>
        </a:solidFill>
        <a:ln w="9525">
          <a:solidFill>
            <a:srgbClr val="000000"/>
          </a:solidFill>
          <a:miter lim="800000"/>
          <a:headEnd/>
          <a:tailEnd/>
        </a:ln>
      </xdr:spPr>
      <xdr:txBody>
        <a:bodyPr vertOverflow="clip" wrap="square" lIns="36576" tIns="18288" rIns="36576" bIns="18288" anchor="ctr" upright="1"/>
        <a:lstStyle/>
        <a:p>
          <a:pPr marL="0" indent="0" algn="ctr" rtl="0">
            <a:defRPr sz="1000"/>
          </a:pPr>
          <a:r>
            <a:rPr lang="en-US" altLang="ko-KR" sz="1000" b="0" i="0" u="none" strike="noStrike" baseline="0">
              <a:solidFill>
                <a:srgbClr val="000000"/>
              </a:solidFill>
              <a:latin typeface="돋움"/>
              <a:ea typeface="돋움"/>
              <a:cs typeface="+mn-cs"/>
            </a:rPr>
            <a:t>PIU</a:t>
          </a:r>
        </a:p>
      </xdr:txBody>
    </xdr:sp>
    <xdr:clientData/>
  </xdr:twoCellAnchor>
  <xdr:twoCellAnchor>
    <xdr:from>
      <xdr:col>14</xdr:col>
      <xdr:colOff>368767</xdr:colOff>
      <xdr:row>18</xdr:row>
      <xdr:rowOff>238309</xdr:rowOff>
    </xdr:from>
    <xdr:to>
      <xdr:col>14</xdr:col>
      <xdr:colOff>667567</xdr:colOff>
      <xdr:row>19</xdr:row>
      <xdr:rowOff>124243</xdr:rowOff>
    </xdr:to>
    <xdr:sp macro="" textlink="">
      <xdr:nvSpPr>
        <xdr:cNvPr id="540" name="Rectangle 107">
          <a:extLst>
            <a:ext uri="{FF2B5EF4-FFF2-40B4-BE49-F238E27FC236}">
              <a16:creationId xmlns:a16="http://schemas.microsoft.com/office/drawing/2014/main" id="{00000000-0008-0000-0400-00001C020000}"/>
            </a:ext>
          </a:extLst>
        </xdr:cNvPr>
        <xdr:cNvSpPr>
          <a:spLocks noChangeArrowheads="1"/>
        </xdr:cNvSpPr>
      </xdr:nvSpPr>
      <xdr:spPr bwMode="auto">
        <a:xfrm flipH="1">
          <a:off x="19694992" y="6134284"/>
          <a:ext cx="298800" cy="247884"/>
        </a:xfrm>
        <a:prstGeom prst="rect">
          <a:avLst/>
        </a:prstGeom>
        <a:solidFill>
          <a:srgbClr val="CCFFCC"/>
        </a:solidFill>
        <a:ln w="9525">
          <a:solidFill>
            <a:srgbClr val="000000"/>
          </a:solidFill>
          <a:miter lim="800000"/>
          <a:headEnd/>
          <a:tailEnd/>
        </a:ln>
      </xdr:spPr>
      <xdr:txBody>
        <a:bodyPr vertOverflow="clip" wrap="square" lIns="36576" tIns="18288" rIns="36576" bIns="18288" anchor="ctr" upright="1"/>
        <a:lstStyle/>
        <a:p>
          <a:pPr marL="0" indent="0" algn="ctr" rtl="0">
            <a:defRPr sz="1000"/>
          </a:pPr>
          <a:r>
            <a:rPr lang="en-US" altLang="ko-KR" sz="1000" b="0" i="0" u="none" strike="noStrike" baseline="0">
              <a:solidFill>
                <a:srgbClr val="000000"/>
              </a:solidFill>
              <a:latin typeface="돋움"/>
              <a:ea typeface="돋움"/>
              <a:cs typeface="+mn-cs"/>
            </a:rPr>
            <a:t>PIU</a:t>
          </a:r>
        </a:p>
      </xdr:txBody>
    </xdr:sp>
    <xdr:clientData/>
  </xdr:twoCellAnchor>
  <xdr:twoCellAnchor>
    <xdr:from>
      <xdr:col>14</xdr:col>
      <xdr:colOff>63452</xdr:colOff>
      <xdr:row>17</xdr:row>
      <xdr:rowOff>321494</xdr:rowOff>
    </xdr:from>
    <xdr:to>
      <xdr:col>14</xdr:col>
      <xdr:colOff>366997</xdr:colOff>
      <xdr:row>18</xdr:row>
      <xdr:rowOff>215783</xdr:rowOff>
    </xdr:to>
    <xdr:sp macro="" textlink="">
      <xdr:nvSpPr>
        <xdr:cNvPr id="541" name="Rectangle 107">
          <a:extLst>
            <a:ext uri="{FF2B5EF4-FFF2-40B4-BE49-F238E27FC236}">
              <a16:creationId xmlns:a16="http://schemas.microsoft.com/office/drawing/2014/main" id="{00000000-0008-0000-0400-00001D020000}"/>
            </a:ext>
          </a:extLst>
        </xdr:cNvPr>
        <xdr:cNvSpPr>
          <a:spLocks noChangeAspect="1" noChangeArrowheads="1"/>
        </xdr:cNvSpPr>
      </xdr:nvSpPr>
      <xdr:spPr bwMode="auto">
        <a:xfrm flipH="1">
          <a:off x="19389677" y="5855519"/>
          <a:ext cx="303545" cy="256239"/>
        </a:xfrm>
        <a:prstGeom prst="rect">
          <a:avLst/>
        </a:prstGeom>
        <a:solidFill>
          <a:srgbClr val="CCFFCC"/>
        </a:solidFill>
        <a:ln w="9525">
          <a:solidFill>
            <a:srgbClr val="000000"/>
          </a:solidFill>
          <a:miter lim="800000"/>
          <a:headEnd/>
          <a:tailEnd/>
        </a:ln>
      </xdr:spPr>
      <xdr:txBody>
        <a:bodyPr vertOverflow="clip" wrap="square" lIns="36576" tIns="18288" rIns="36576" bIns="18288" anchor="ctr" upright="1"/>
        <a:lstStyle/>
        <a:p>
          <a:pPr marL="0" indent="0" algn="ctr" rtl="0">
            <a:defRPr sz="1000"/>
          </a:pPr>
          <a:r>
            <a:rPr lang="en-US" altLang="ko-KR" sz="1000" b="0" i="0" u="none" strike="noStrike" baseline="0">
              <a:solidFill>
                <a:srgbClr val="000000"/>
              </a:solidFill>
              <a:latin typeface="돋움"/>
              <a:ea typeface="돋움"/>
              <a:cs typeface="+mn-cs"/>
            </a:rPr>
            <a:t>PIU</a:t>
          </a:r>
        </a:p>
      </xdr:txBody>
    </xdr:sp>
    <xdr:clientData/>
  </xdr:twoCellAnchor>
  <xdr:twoCellAnchor>
    <xdr:from>
      <xdr:col>14</xdr:col>
      <xdr:colOff>363779</xdr:colOff>
      <xdr:row>17</xdr:row>
      <xdr:rowOff>322138</xdr:rowOff>
    </xdr:from>
    <xdr:to>
      <xdr:col>14</xdr:col>
      <xdr:colOff>669684</xdr:colOff>
      <xdr:row>18</xdr:row>
      <xdr:rowOff>215783</xdr:rowOff>
    </xdr:to>
    <xdr:sp macro="" textlink="">
      <xdr:nvSpPr>
        <xdr:cNvPr id="542" name="Rectangle 107">
          <a:extLst>
            <a:ext uri="{FF2B5EF4-FFF2-40B4-BE49-F238E27FC236}">
              <a16:creationId xmlns:a16="http://schemas.microsoft.com/office/drawing/2014/main" id="{00000000-0008-0000-0400-00001E020000}"/>
            </a:ext>
          </a:extLst>
        </xdr:cNvPr>
        <xdr:cNvSpPr>
          <a:spLocks noChangeAspect="1" noChangeArrowheads="1"/>
        </xdr:cNvSpPr>
      </xdr:nvSpPr>
      <xdr:spPr bwMode="auto">
        <a:xfrm flipH="1">
          <a:off x="19690004" y="5856163"/>
          <a:ext cx="305905" cy="255595"/>
        </a:xfrm>
        <a:prstGeom prst="rect">
          <a:avLst/>
        </a:prstGeom>
        <a:solidFill>
          <a:srgbClr val="CCFFCC"/>
        </a:solidFill>
        <a:ln w="9525">
          <a:solidFill>
            <a:srgbClr val="000000"/>
          </a:solidFill>
          <a:miter lim="800000"/>
          <a:headEnd/>
          <a:tailEnd/>
        </a:ln>
      </xdr:spPr>
      <xdr:txBody>
        <a:bodyPr vertOverflow="clip" wrap="square" lIns="36576" tIns="18288" rIns="36576" bIns="18288" anchor="ctr" upright="1"/>
        <a:lstStyle/>
        <a:p>
          <a:pPr marL="0" indent="0" algn="ctr" rtl="0">
            <a:defRPr sz="1000"/>
          </a:pPr>
          <a:r>
            <a:rPr lang="en-US" altLang="ko-KR" sz="1000" b="0" i="0" u="none" strike="noStrike" baseline="0">
              <a:solidFill>
                <a:srgbClr val="000000"/>
              </a:solidFill>
              <a:latin typeface="돋움"/>
              <a:ea typeface="돋움"/>
              <a:cs typeface="+mn-cs"/>
            </a:rPr>
            <a:t>PIU</a:t>
          </a:r>
        </a:p>
      </xdr:txBody>
    </xdr:sp>
    <xdr:clientData/>
  </xdr:twoCellAnchor>
  <xdr:twoCellAnchor>
    <xdr:from>
      <xdr:col>13</xdr:col>
      <xdr:colOff>149582</xdr:colOff>
      <xdr:row>0</xdr:row>
      <xdr:rowOff>-3331867</xdr:rowOff>
    </xdr:from>
    <xdr:to>
      <xdr:col>14</xdr:col>
      <xdr:colOff>78899</xdr:colOff>
      <xdr:row>0</xdr:row>
      <xdr:rowOff>-3331867</xdr:rowOff>
    </xdr:to>
    <xdr:sp macro="" textlink="">
      <xdr:nvSpPr>
        <xdr:cNvPr id="543" name="Line 103">
          <a:extLst>
            <a:ext uri="{FF2B5EF4-FFF2-40B4-BE49-F238E27FC236}">
              <a16:creationId xmlns:a16="http://schemas.microsoft.com/office/drawing/2014/main" id="{00000000-0008-0000-0400-00001F020000}"/>
            </a:ext>
          </a:extLst>
        </xdr:cNvPr>
        <xdr:cNvSpPr>
          <a:spLocks noChangeShapeType="1"/>
        </xdr:cNvSpPr>
      </xdr:nvSpPr>
      <xdr:spPr bwMode="auto">
        <a:xfrm flipV="1">
          <a:off x="18637607" y="-3331867"/>
          <a:ext cx="767517" cy="0"/>
        </a:xfrm>
        <a:prstGeom prst="line">
          <a:avLst/>
        </a:prstGeom>
        <a:noFill/>
        <a:ln w="9525">
          <a:solidFill>
            <a:srgbClr val="000000"/>
          </a:solidFill>
          <a:round/>
          <a:headEnd/>
          <a:tailEnd/>
        </a:ln>
      </xdr:spPr>
    </xdr:sp>
    <xdr:clientData/>
  </xdr:twoCellAnchor>
  <xdr:twoCellAnchor>
    <xdr:from>
      <xdr:col>11</xdr:col>
      <xdr:colOff>717211</xdr:colOff>
      <xdr:row>18</xdr:row>
      <xdr:rowOff>12577</xdr:rowOff>
    </xdr:from>
    <xdr:to>
      <xdr:col>13</xdr:col>
      <xdr:colOff>103894</xdr:colOff>
      <xdr:row>19</xdr:row>
      <xdr:rowOff>123981</xdr:rowOff>
    </xdr:to>
    <xdr:sp macro="" textlink="">
      <xdr:nvSpPr>
        <xdr:cNvPr id="544" name="Rectangle 101">
          <a:extLst>
            <a:ext uri="{FF2B5EF4-FFF2-40B4-BE49-F238E27FC236}">
              <a16:creationId xmlns:a16="http://schemas.microsoft.com/office/drawing/2014/main" id="{00000000-0008-0000-0400-000020020000}"/>
            </a:ext>
          </a:extLst>
        </xdr:cNvPr>
        <xdr:cNvSpPr>
          <a:spLocks noChangeArrowheads="1"/>
        </xdr:cNvSpPr>
      </xdr:nvSpPr>
      <xdr:spPr bwMode="auto">
        <a:xfrm flipH="1">
          <a:off x="17528836" y="5908552"/>
          <a:ext cx="1063083" cy="473354"/>
        </a:xfrm>
        <a:prstGeom prst="rect">
          <a:avLst/>
        </a:prstGeom>
        <a:noFill/>
        <a:ln w="9525">
          <a:noFill/>
          <a:miter lim="800000"/>
          <a:headEnd/>
          <a:tailEnd/>
        </a:ln>
      </xdr:spPr>
      <xdr:txBody>
        <a:bodyPr vertOverflow="clip" wrap="square" lIns="36576" tIns="18288" rIns="36576"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ko-KR" altLang="en-US" sz="900" b="0" i="0" baseline="0">
              <a:effectLst/>
              <a:latin typeface="+mn-ea"/>
              <a:ea typeface="+mn-ea"/>
              <a:cs typeface="+mn-cs"/>
            </a:rPr>
            <a:t>세교금암</a:t>
          </a:r>
          <a:r>
            <a:rPr lang="en-US" altLang="ko-KR" sz="900" b="0" i="0" baseline="0">
              <a:effectLst/>
              <a:latin typeface="+mn-ea"/>
              <a:ea typeface="+mn-ea"/>
              <a:cs typeface="+mn-cs"/>
            </a:rPr>
            <a:t>#1T/L</a:t>
          </a:r>
        </a:p>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altLang="ko-KR" sz="900" b="0" i="0" baseline="0">
              <a:effectLst/>
              <a:latin typeface="+mn-ea"/>
              <a:ea typeface="+mn-ea"/>
              <a:cs typeface="+mn-cs"/>
            </a:rPr>
            <a:t>(1,2</a:t>
          </a:r>
          <a:r>
            <a:rPr lang="ko-KR" altLang="en-US" sz="900" b="0" i="0" baseline="0">
              <a:effectLst/>
              <a:latin typeface="+mn-ea"/>
              <a:ea typeface="+mn-ea"/>
              <a:cs typeface="+mn-cs"/>
            </a:rPr>
            <a:t>계열</a:t>
          </a:r>
          <a:r>
            <a:rPr lang="en-US" altLang="ko-KR" sz="900" b="0" i="0" baseline="0">
              <a:effectLst/>
              <a:latin typeface="+mn-ea"/>
              <a:ea typeface="+mn-ea"/>
              <a:cs typeface="+mn-cs"/>
            </a:rPr>
            <a:t>)</a:t>
          </a:r>
        </a:p>
      </xdr:txBody>
    </xdr:sp>
    <xdr:clientData/>
  </xdr:twoCellAnchor>
  <xdr:twoCellAnchor>
    <xdr:from>
      <xdr:col>10</xdr:col>
      <xdr:colOff>94680</xdr:colOff>
      <xdr:row>20</xdr:row>
      <xdr:rowOff>114496</xdr:rowOff>
    </xdr:from>
    <xdr:to>
      <xdr:col>10</xdr:col>
      <xdr:colOff>393480</xdr:colOff>
      <xdr:row>20</xdr:row>
      <xdr:rowOff>358142</xdr:rowOff>
    </xdr:to>
    <xdr:sp macro="" textlink="">
      <xdr:nvSpPr>
        <xdr:cNvPr id="545" name="Rectangle 107">
          <a:extLst>
            <a:ext uri="{FF2B5EF4-FFF2-40B4-BE49-F238E27FC236}">
              <a16:creationId xmlns:a16="http://schemas.microsoft.com/office/drawing/2014/main" id="{00000000-0008-0000-0400-000021020000}"/>
            </a:ext>
          </a:extLst>
        </xdr:cNvPr>
        <xdr:cNvSpPr>
          <a:spLocks noChangeArrowheads="1"/>
        </xdr:cNvSpPr>
      </xdr:nvSpPr>
      <xdr:spPr bwMode="auto">
        <a:xfrm flipH="1">
          <a:off x="16068105" y="6734371"/>
          <a:ext cx="298800" cy="243646"/>
        </a:xfrm>
        <a:prstGeom prst="rect">
          <a:avLst/>
        </a:prstGeom>
        <a:solidFill>
          <a:srgbClr val="CCFFCC"/>
        </a:solidFill>
        <a:ln w="9525">
          <a:solidFill>
            <a:srgbClr val="000000"/>
          </a:solidFill>
          <a:miter lim="800000"/>
          <a:headEnd/>
          <a:tailEnd/>
        </a:ln>
      </xdr:spPr>
      <xdr:txBody>
        <a:bodyPr vertOverflow="clip" wrap="square" lIns="36576" tIns="18288" rIns="36576" bIns="18288" anchor="ctr" upright="1"/>
        <a:lstStyle/>
        <a:p>
          <a:pPr marL="0" indent="0" algn="ctr" rtl="0">
            <a:defRPr sz="1000"/>
          </a:pPr>
          <a:r>
            <a:rPr lang="en-US" altLang="ko-KR" sz="1000" b="0" i="0" u="none" strike="noStrike" baseline="0">
              <a:solidFill>
                <a:srgbClr val="000000"/>
              </a:solidFill>
              <a:latin typeface="돋움"/>
              <a:ea typeface="돋움"/>
              <a:cs typeface="+mn-cs"/>
            </a:rPr>
            <a:t>PIU</a:t>
          </a:r>
        </a:p>
      </xdr:txBody>
    </xdr:sp>
    <xdr:clientData/>
  </xdr:twoCellAnchor>
  <xdr:twoCellAnchor>
    <xdr:from>
      <xdr:col>10</xdr:col>
      <xdr:colOff>397366</xdr:colOff>
      <xdr:row>20</xdr:row>
      <xdr:rowOff>118730</xdr:rowOff>
    </xdr:from>
    <xdr:to>
      <xdr:col>10</xdr:col>
      <xdr:colOff>700911</xdr:colOff>
      <xdr:row>20</xdr:row>
      <xdr:rowOff>358142</xdr:rowOff>
    </xdr:to>
    <xdr:sp macro="" textlink="">
      <xdr:nvSpPr>
        <xdr:cNvPr id="546" name="Rectangle 107">
          <a:extLst>
            <a:ext uri="{FF2B5EF4-FFF2-40B4-BE49-F238E27FC236}">
              <a16:creationId xmlns:a16="http://schemas.microsoft.com/office/drawing/2014/main" id="{00000000-0008-0000-0400-000022020000}"/>
            </a:ext>
          </a:extLst>
        </xdr:cNvPr>
        <xdr:cNvSpPr>
          <a:spLocks noChangeArrowheads="1"/>
        </xdr:cNvSpPr>
      </xdr:nvSpPr>
      <xdr:spPr bwMode="auto">
        <a:xfrm flipH="1">
          <a:off x="16370791" y="6738605"/>
          <a:ext cx="303545" cy="239412"/>
        </a:xfrm>
        <a:prstGeom prst="rect">
          <a:avLst/>
        </a:prstGeom>
        <a:solidFill>
          <a:srgbClr val="CCFFCC"/>
        </a:solidFill>
        <a:ln w="9525">
          <a:solidFill>
            <a:srgbClr val="000000"/>
          </a:solidFill>
          <a:miter lim="800000"/>
          <a:headEnd/>
          <a:tailEnd/>
        </a:ln>
      </xdr:spPr>
      <xdr:txBody>
        <a:bodyPr vertOverflow="clip" wrap="square" lIns="36576" tIns="18288" rIns="36576" bIns="18288" anchor="ctr" upright="1"/>
        <a:lstStyle/>
        <a:p>
          <a:pPr marL="0" indent="0" algn="ctr" rtl="0">
            <a:defRPr sz="1000"/>
          </a:pPr>
          <a:r>
            <a:rPr lang="en-US" altLang="ko-KR" sz="1000" b="0" i="0" u="none" strike="noStrike" baseline="0">
              <a:solidFill>
                <a:srgbClr val="000000"/>
              </a:solidFill>
              <a:latin typeface="돋움"/>
              <a:ea typeface="돋움"/>
              <a:cs typeface="+mn-cs"/>
            </a:rPr>
            <a:t>PIU</a:t>
          </a:r>
        </a:p>
      </xdr:txBody>
    </xdr:sp>
    <xdr:clientData/>
  </xdr:twoCellAnchor>
  <xdr:twoCellAnchor>
    <xdr:from>
      <xdr:col>10</xdr:col>
      <xdr:colOff>96796</xdr:colOff>
      <xdr:row>19</xdr:row>
      <xdr:rowOff>201915</xdr:rowOff>
    </xdr:from>
    <xdr:to>
      <xdr:col>10</xdr:col>
      <xdr:colOff>395596</xdr:colOff>
      <xdr:row>20</xdr:row>
      <xdr:rowOff>96204</xdr:rowOff>
    </xdr:to>
    <xdr:sp macro="" textlink="">
      <xdr:nvSpPr>
        <xdr:cNvPr id="547" name="Rectangle 107">
          <a:extLst>
            <a:ext uri="{FF2B5EF4-FFF2-40B4-BE49-F238E27FC236}">
              <a16:creationId xmlns:a16="http://schemas.microsoft.com/office/drawing/2014/main" id="{00000000-0008-0000-0400-000023020000}"/>
            </a:ext>
          </a:extLst>
        </xdr:cNvPr>
        <xdr:cNvSpPr>
          <a:spLocks noChangeAspect="1" noChangeArrowheads="1"/>
        </xdr:cNvSpPr>
      </xdr:nvSpPr>
      <xdr:spPr bwMode="auto">
        <a:xfrm flipH="1">
          <a:off x="16070221" y="6459840"/>
          <a:ext cx="298800" cy="256239"/>
        </a:xfrm>
        <a:prstGeom prst="rect">
          <a:avLst/>
        </a:prstGeom>
        <a:solidFill>
          <a:srgbClr val="CCFFCC"/>
        </a:solidFill>
        <a:ln w="9525">
          <a:solidFill>
            <a:srgbClr val="000000"/>
          </a:solidFill>
          <a:miter lim="800000"/>
          <a:headEnd/>
          <a:tailEnd/>
        </a:ln>
      </xdr:spPr>
      <xdr:txBody>
        <a:bodyPr vertOverflow="clip" wrap="square" lIns="36576" tIns="18288" rIns="36576" bIns="18288" anchor="ctr" upright="1"/>
        <a:lstStyle/>
        <a:p>
          <a:pPr marL="0" indent="0" algn="ctr" rtl="0">
            <a:defRPr sz="1000"/>
          </a:pPr>
          <a:r>
            <a:rPr lang="en-US" altLang="ko-KR" sz="1000" b="0" i="0" u="none" strike="noStrike" baseline="0">
              <a:solidFill>
                <a:srgbClr val="000000"/>
              </a:solidFill>
              <a:latin typeface="돋움"/>
              <a:ea typeface="돋움"/>
              <a:cs typeface="+mn-cs"/>
            </a:rPr>
            <a:t>PIU</a:t>
          </a:r>
        </a:p>
      </xdr:txBody>
    </xdr:sp>
    <xdr:clientData/>
  </xdr:twoCellAnchor>
  <xdr:twoCellAnchor>
    <xdr:from>
      <xdr:col>10</xdr:col>
      <xdr:colOff>399482</xdr:colOff>
      <xdr:row>19</xdr:row>
      <xdr:rowOff>201914</xdr:rowOff>
    </xdr:from>
    <xdr:to>
      <xdr:col>10</xdr:col>
      <xdr:colOff>703027</xdr:colOff>
      <xdr:row>20</xdr:row>
      <xdr:rowOff>96204</xdr:rowOff>
    </xdr:to>
    <xdr:sp macro="" textlink="">
      <xdr:nvSpPr>
        <xdr:cNvPr id="548" name="Rectangle 107">
          <a:extLst>
            <a:ext uri="{FF2B5EF4-FFF2-40B4-BE49-F238E27FC236}">
              <a16:creationId xmlns:a16="http://schemas.microsoft.com/office/drawing/2014/main" id="{00000000-0008-0000-0400-000024020000}"/>
            </a:ext>
          </a:extLst>
        </xdr:cNvPr>
        <xdr:cNvSpPr>
          <a:spLocks noChangeAspect="1" noChangeArrowheads="1"/>
        </xdr:cNvSpPr>
      </xdr:nvSpPr>
      <xdr:spPr bwMode="auto">
        <a:xfrm flipH="1">
          <a:off x="16372907" y="6459839"/>
          <a:ext cx="303545" cy="256240"/>
        </a:xfrm>
        <a:prstGeom prst="rect">
          <a:avLst/>
        </a:prstGeom>
        <a:solidFill>
          <a:srgbClr val="CCFFCC"/>
        </a:solidFill>
        <a:ln w="9525">
          <a:solidFill>
            <a:srgbClr val="000000"/>
          </a:solidFill>
          <a:miter lim="800000"/>
          <a:headEnd/>
          <a:tailEnd/>
        </a:ln>
      </xdr:spPr>
      <xdr:txBody>
        <a:bodyPr vertOverflow="clip" wrap="square" lIns="36576" tIns="18288" rIns="36576" bIns="18288" anchor="ctr" upright="1"/>
        <a:lstStyle/>
        <a:p>
          <a:pPr marL="0" indent="0" algn="ctr" rtl="0">
            <a:defRPr sz="1000"/>
          </a:pPr>
          <a:r>
            <a:rPr lang="en-US" altLang="ko-KR" sz="1000" b="0" i="0" u="none" strike="noStrike" baseline="0">
              <a:solidFill>
                <a:srgbClr val="000000"/>
              </a:solidFill>
              <a:latin typeface="돋움"/>
              <a:ea typeface="돋움"/>
              <a:cs typeface="+mn-cs"/>
            </a:rPr>
            <a:t>PIU</a:t>
          </a:r>
        </a:p>
      </xdr:txBody>
    </xdr:sp>
    <xdr:clientData/>
  </xdr:twoCellAnchor>
  <xdr:twoCellAnchor>
    <xdr:from>
      <xdr:col>14</xdr:col>
      <xdr:colOff>58955</xdr:colOff>
      <xdr:row>20</xdr:row>
      <xdr:rowOff>115254</xdr:rowOff>
    </xdr:from>
    <xdr:to>
      <xdr:col>14</xdr:col>
      <xdr:colOff>362500</xdr:colOff>
      <xdr:row>20</xdr:row>
      <xdr:rowOff>351792</xdr:rowOff>
    </xdr:to>
    <xdr:sp macro="" textlink="">
      <xdr:nvSpPr>
        <xdr:cNvPr id="549" name="Rectangle 107">
          <a:extLst>
            <a:ext uri="{FF2B5EF4-FFF2-40B4-BE49-F238E27FC236}">
              <a16:creationId xmlns:a16="http://schemas.microsoft.com/office/drawing/2014/main" id="{00000000-0008-0000-0400-000025020000}"/>
            </a:ext>
          </a:extLst>
        </xdr:cNvPr>
        <xdr:cNvSpPr>
          <a:spLocks noChangeArrowheads="1"/>
        </xdr:cNvSpPr>
      </xdr:nvSpPr>
      <xdr:spPr bwMode="auto">
        <a:xfrm flipH="1">
          <a:off x="19385180" y="6735129"/>
          <a:ext cx="303545" cy="236538"/>
        </a:xfrm>
        <a:prstGeom prst="rect">
          <a:avLst/>
        </a:prstGeom>
        <a:solidFill>
          <a:srgbClr val="CCFFCC"/>
        </a:solidFill>
        <a:ln w="9525">
          <a:solidFill>
            <a:srgbClr val="000000"/>
          </a:solidFill>
          <a:miter lim="800000"/>
          <a:headEnd/>
          <a:tailEnd/>
        </a:ln>
      </xdr:spPr>
      <xdr:txBody>
        <a:bodyPr vertOverflow="clip" wrap="square" lIns="36576" tIns="18288" rIns="36576" bIns="18288" anchor="ctr" upright="1"/>
        <a:lstStyle/>
        <a:p>
          <a:pPr marL="0" indent="0" algn="ctr" rtl="0">
            <a:defRPr sz="1000"/>
          </a:pPr>
          <a:r>
            <a:rPr lang="en-US" altLang="ko-KR" sz="1000" b="0" i="0" u="none" strike="noStrike" baseline="0">
              <a:solidFill>
                <a:srgbClr val="000000"/>
              </a:solidFill>
              <a:latin typeface="돋움"/>
              <a:ea typeface="돋움"/>
              <a:cs typeface="+mn-cs"/>
            </a:rPr>
            <a:t>PIU</a:t>
          </a:r>
        </a:p>
      </xdr:txBody>
    </xdr:sp>
    <xdr:clientData/>
  </xdr:twoCellAnchor>
  <xdr:twoCellAnchor>
    <xdr:from>
      <xdr:col>14</xdr:col>
      <xdr:colOff>366386</xdr:colOff>
      <xdr:row>20</xdr:row>
      <xdr:rowOff>112380</xdr:rowOff>
    </xdr:from>
    <xdr:to>
      <xdr:col>14</xdr:col>
      <xdr:colOff>665186</xdr:colOff>
      <xdr:row>20</xdr:row>
      <xdr:rowOff>351792</xdr:rowOff>
    </xdr:to>
    <xdr:sp macro="" textlink="">
      <xdr:nvSpPr>
        <xdr:cNvPr id="550" name="Rectangle 107">
          <a:extLst>
            <a:ext uri="{FF2B5EF4-FFF2-40B4-BE49-F238E27FC236}">
              <a16:creationId xmlns:a16="http://schemas.microsoft.com/office/drawing/2014/main" id="{00000000-0008-0000-0400-000026020000}"/>
            </a:ext>
          </a:extLst>
        </xdr:cNvPr>
        <xdr:cNvSpPr>
          <a:spLocks noChangeArrowheads="1"/>
        </xdr:cNvSpPr>
      </xdr:nvSpPr>
      <xdr:spPr bwMode="auto">
        <a:xfrm flipH="1">
          <a:off x="19692611" y="6732255"/>
          <a:ext cx="298800" cy="239412"/>
        </a:xfrm>
        <a:prstGeom prst="rect">
          <a:avLst/>
        </a:prstGeom>
        <a:solidFill>
          <a:srgbClr val="CCFFCC"/>
        </a:solidFill>
        <a:ln w="9525">
          <a:solidFill>
            <a:srgbClr val="000000"/>
          </a:solidFill>
          <a:miter lim="800000"/>
          <a:headEnd/>
          <a:tailEnd/>
        </a:ln>
      </xdr:spPr>
      <xdr:txBody>
        <a:bodyPr vertOverflow="clip" wrap="square" lIns="36576" tIns="18288" rIns="36576" bIns="18288" anchor="ctr" upright="1"/>
        <a:lstStyle/>
        <a:p>
          <a:pPr marL="0" indent="0" algn="ctr" rtl="0">
            <a:defRPr sz="1000"/>
          </a:pPr>
          <a:r>
            <a:rPr lang="en-US" altLang="ko-KR" sz="1000" b="0" i="0" u="none" strike="noStrike" baseline="0">
              <a:solidFill>
                <a:srgbClr val="000000"/>
              </a:solidFill>
              <a:latin typeface="돋움"/>
              <a:ea typeface="돋움"/>
              <a:cs typeface="+mn-cs"/>
            </a:rPr>
            <a:t>PIU</a:t>
          </a:r>
        </a:p>
      </xdr:txBody>
    </xdr:sp>
    <xdr:clientData/>
  </xdr:twoCellAnchor>
  <xdr:twoCellAnchor>
    <xdr:from>
      <xdr:col>14</xdr:col>
      <xdr:colOff>61071</xdr:colOff>
      <xdr:row>19</xdr:row>
      <xdr:rowOff>195565</xdr:rowOff>
    </xdr:from>
    <xdr:to>
      <xdr:col>14</xdr:col>
      <xdr:colOff>364616</xdr:colOff>
      <xdr:row>20</xdr:row>
      <xdr:rowOff>89854</xdr:rowOff>
    </xdr:to>
    <xdr:sp macro="" textlink="">
      <xdr:nvSpPr>
        <xdr:cNvPr id="551" name="Rectangle 107">
          <a:extLst>
            <a:ext uri="{FF2B5EF4-FFF2-40B4-BE49-F238E27FC236}">
              <a16:creationId xmlns:a16="http://schemas.microsoft.com/office/drawing/2014/main" id="{00000000-0008-0000-0400-000027020000}"/>
            </a:ext>
          </a:extLst>
        </xdr:cNvPr>
        <xdr:cNvSpPr>
          <a:spLocks noChangeAspect="1" noChangeArrowheads="1"/>
        </xdr:cNvSpPr>
      </xdr:nvSpPr>
      <xdr:spPr bwMode="auto">
        <a:xfrm flipH="1">
          <a:off x="19387296" y="6453490"/>
          <a:ext cx="303545" cy="256239"/>
        </a:xfrm>
        <a:prstGeom prst="rect">
          <a:avLst/>
        </a:prstGeom>
        <a:solidFill>
          <a:srgbClr val="CCFFCC"/>
        </a:solidFill>
        <a:ln w="9525">
          <a:solidFill>
            <a:srgbClr val="000000"/>
          </a:solidFill>
          <a:miter lim="800000"/>
          <a:headEnd/>
          <a:tailEnd/>
        </a:ln>
      </xdr:spPr>
      <xdr:txBody>
        <a:bodyPr vertOverflow="clip" wrap="square" lIns="36576" tIns="18288" rIns="36576" bIns="18288" anchor="ctr" upright="1"/>
        <a:lstStyle/>
        <a:p>
          <a:pPr marL="0" indent="0" algn="ctr" rtl="0">
            <a:defRPr sz="1000"/>
          </a:pPr>
          <a:r>
            <a:rPr lang="en-US" altLang="ko-KR" sz="1000" b="0" i="0" u="none" strike="noStrike" baseline="0">
              <a:solidFill>
                <a:srgbClr val="000000"/>
              </a:solidFill>
              <a:latin typeface="돋움"/>
              <a:ea typeface="돋움"/>
              <a:cs typeface="+mn-cs"/>
            </a:rPr>
            <a:t>PIU</a:t>
          </a:r>
        </a:p>
      </xdr:txBody>
    </xdr:sp>
    <xdr:clientData/>
  </xdr:twoCellAnchor>
  <xdr:twoCellAnchor>
    <xdr:from>
      <xdr:col>14</xdr:col>
      <xdr:colOff>361398</xdr:colOff>
      <xdr:row>19</xdr:row>
      <xdr:rowOff>196209</xdr:rowOff>
    </xdr:from>
    <xdr:to>
      <xdr:col>14</xdr:col>
      <xdr:colOff>667303</xdr:colOff>
      <xdr:row>20</xdr:row>
      <xdr:rowOff>89854</xdr:rowOff>
    </xdr:to>
    <xdr:sp macro="" textlink="">
      <xdr:nvSpPr>
        <xdr:cNvPr id="552" name="Rectangle 107">
          <a:extLst>
            <a:ext uri="{FF2B5EF4-FFF2-40B4-BE49-F238E27FC236}">
              <a16:creationId xmlns:a16="http://schemas.microsoft.com/office/drawing/2014/main" id="{00000000-0008-0000-0400-000028020000}"/>
            </a:ext>
          </a:extLst>
        </xdr:cNvPr>
        <xdr:cNvSpPr>
          <a:spLocks noChangeAspect="1" noChangeArrowheads="1"/>
        </xdr:cNvSpPr>
      </xdr:nvSpPr>
      <xdr:spPr bwMode="auto">
        <a:xfrm flipH="1">
          <a:off x="19687623" y="6454134"/>
          <a:ext cx="305905" cy="255595"/>
        </a:xfrm>
        <a:prstGeom prst="rect">
          <a:avLst/>
        </a:prstGeom>
        <a:solidFill>
          <a:srgbClr val="CCFFCC"/>
        </a:solidFill>
        <a:ln w="9525">
          <a:solidFill>
            <a:srgbClr val="000000"/>
          </a:solidFill>
          <a:miter lim="800000"/>
          <a:headEnd/>
          <a:tailEnd/>
        </a:ln>
      </xdr:spPr>
      <xdr:txBody>
        <a:bodyPr vertOverflow="clip" wrap="square" lIns="36576" tIns="18288" rIns="36576" bIns="18288" anchor="ctr" upright="1"/>
        <a:lstStyle/>
        <a:p>
          <a:pPr marL="0" indent="0" algn="ctr" rtl="0">
            <a:defRPr sz="1000"/>
          </a:pPr>
          <a:r>
            <a:rPr lang="en-US" altLang="ko-KR" sz="1000" b="0" i="0" u="none" strike="noStrike" baseline="0">
              <a:solidFill>
                <a:srgbClr val="000000"/>
              </a:solidFill>
              <a:latin typeface="돋움"/>
              <a:ea typeface="돋움"/>
              <a:cs typeface="+mn-cs"/>
            </a:rPr>
            <a:t>PIU</a:t>
          </a:r>
        </a:p>
      </xdr:txBody>
    </xdr:sp>
    <xdr:clientData/>
  </xdr:twoCellAnchor>
  <xdr:twoCellAnchor>
    <xdr:from>
      <xdr:col>11</xdr:col>
      <xdr:colOff>685955</xdr:colOff>
      <xdr:row>19</xdr:row>
      <xdr:rowOff>199915</xdr:rowOff>
    </xdr:from>
    <xdr:to>
      <xdr:col>13</xdr:col>
      <xdr:colOff>82381</xdr:colOff>
      <xdr:row>21</xdr:row>
      <xdr:rowOff>389</xdr:rowOff>
    </xdr:to>
    <xdr:sp macro="" textlink="">
      <xdr:nvSpPr>
        <xdr:cNvPr id="553" name="Rectangle 101">
          <a:extLst>
            <a:ext uri="{FF2B5EF4-FFF2-40B4-BE49-F238E27FC236}">
              <a16:creationId xmlns:a16="http://schemas.microsoft.com/office/drawing/2014/main" id="{00000000-0008-0000-0400-000029020000}"/>
            </a:ext>
          </a:extLst>
        </xdr:cNvPr>
        <xdr:cNvSpPr>
          <a:spLocks noChangeArrowheads="1"/>
        </xdr:cNvSpPr>
      </xdr:nvSpPr>
      <xdr:spPr bwMode="auto">
        <a:xfrm flipH="1">
          <a:off x="17497580" y="6457840"/>
          <a:ext cx="1072826" cy="524374"/>
        </a:xfrm>
        <a:prstGeom prst="rect">
          <a:avLst/>
        </a:prstGeom>
        <a:noFill/>
        <a:ln w="9525">
          <a:noFill/>
          <a:miter lim="800000"/>
          <a:headEnd/>
          <a:tailEnd/>
        </a:ln>
      </xdr:spPr>
      <xdr:txBody>
        <a:bodyPr vertOverflow="clip" wrap="square" lIns="36576" tIns="18288" rIns="36576"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ko-KR" altLang="en-US" sz="900" b="0" i="0" baseline="0">
              <a:effectLst/>
              <a:latin typeface="+mn-ea"/>
              <a:ea typeface="+mn-ea"/>
              <a:cs typeface="+mn-cs"/>
            </a:rPr>
            <a:t>세교금암</a:t>
          </a:r>
          <a:r>
            <a:rPr lang="en-US" altLang="ko-KR" sz="900" b="0" i="0" baseline="0">
              <a:effectLst/>
              <a:latin typeface="+mn-ea"/>
              <a:ea typeface="+mn-ea"/>
              <a:cs typeface="+mn-cs"/>
            </a:rPr>
            <a:t>#2T/L</a:t>
          </a:r>
        </a:p>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altLang="ko-KR" sz="900" b="0" i="0" baseline="0">
              <a:effectLst/>
              <a:latin typeface="+mn-ea"/>
              <a:ea typeface="+mn-ea"/>
              <a:cs typeface="+mn-cs"/>
            </a:rPr>
            <a:t>   (1,2</a:t>
          </a:r>
          <a:r>
            <a:rPr lang="ko-KR" altLang="en-US" sz="900" b="0" i="0" baseline="0">
              <a:effectLst/>
              <a:latin typeface="+mn-ea"/>
              <a:ea typeface="+mn-ea"/>
              <a:cs typeface="+mn-cs"/>
            </a:rPr>
            <a:t>계열</a:t>
          </a:r>
          <a:r>
            <a:rPr lang="en-US" altLang="ko-KR" sz="900" b="0" i="0" baseline="0">
              <a:effectLst/>
              <a:latin typeface="+mn-ea"/>
              <a:ea typeface="+mn-ea"/>
              <a:cs typeface="+mn-cs"/>
            </a:rPr>
            <a:t>)</a:t>
          </a:r>
        </a:p>
      </xdr:txBody>
    </xdr:sp>
    <xdr:clientData/>
  </xdr:twoCellAnchor>
  <xdr:twoCellAnchor>
    <xdr:from>
      <xdr:col>14</xdr:col>
      <xdr:colOff>386419</xdr:colOff>
      <xdr:row>10</xdr:row>
      <xdr:rowOff>111723</xdr:rowOff>
    </xdr:from>
    <xdr:to>
      <xdr:col>15</xdr:col>
      <xdr:colOff>186998</xdr:colOff>
      <xdr:row>11</xdr:row>
      <xdr:rowOff>11067</xdr:rowOff>
    </xdr:to>
    <xdr:sp macro="" textlink="">
      <xdr:nvSpPr>
        <xdr:cNvPr id="554" name="Rectangle 101">
          <a:extLst>
            <a:ext uri="{FF2B5EF4-FFF2-40B4-BE49-F238E27FC236}">
              <a16:creationId xmlns:a16="http://schemas.microsoft.com/office/drawing/2014/main" id="{00000000-0008-0000-0400-00002A020000}"/>
            </a:ext>
          </a:extLst>
        </xdr:cNvPr>
        <xdr:cNvSpPr>
          <a:spLocks noChangeArrowheads="1"/>
        </xdr:cNvSpPr>
      </xdr:nvSpPr>
      <xdr:spPr bwMode="auto">
        <a:xfrm flipH="1">
          <a:off x="19712644" y="3474048"/>
          <a:ext cx="638779" cy="261294"/>
        </a:xfrm>
        <a:prstGeom prst="rect">
          <a:avLst/>
        </a:prstGeom>
        <a:solidFill>
          <a:sysClr val="window" lastClr="FFFFFF"/>
        </a:solidFill>
        <a:ln w="9525">
          <a:solidFill>
            <a:schemeClr val="tx1"/>
          </a:solidFill>
          <a:miter lim="800000"/>
          <a:headEnd/>
          <a:tailEnd/>
        </a:ln>
      </xdr:spPr>
      <xdr:txBody>
        <a:bodyPr vertOverflow="clip" wrap="square" lIns="36576" tIns="18288" rIns="36576" bIns="18288" anchor="ctr" upright="1"/>
        <a:lstStyle/>
        <a:p>
          <a:pPr algn="ctr" rtl="0">
            <a:defRPr sz="1000"/>
          </a:pPr>
          <a:r>
            <a:rPr lang="ko-KR" altLang="en-US" sz="1100" b="1" i="0" u="none" strike="noStrike" baseline="0">
              <a:solidFill>
                <a:srgbClr val="FF0000"/>
              </a:solidFill>
              <a:latin typeface="돋움"/>
              <a:ea typeface="돋움"/>
            </a:rPr>
            <a:t>금암</a:t>
          </a:r>
        </a:p>
      </xdr:txBody>
    </xdr:sp>
    <xdr:clientData/>
  </xdr:twoCellAnchor>
  <xdr:twoCellAnchor>
    <xdr:from>
      <xdr:col>10</xdr:col>
      <xdr:colOff>241113</xdr:colOff>
      <xdr:row>10</xdr:row>
      <xdr:rowOff>111723</xdr:rowOff>
    </xdr:from>
    <xdr:to>
      <xdr:col>11</xdr:col>
      <xdr:colOff>41693</xdr:colOff>
      <xdr:row>11</xdr:row>
      <xdr:rowOff>11067</xdr:rowOff>
    </xdr:to>
    <xdr:sp macro="" textlink="">
      <xdr:nvSpPr>
        <xdr:cNvPr id="555" name="Rectangle 101">
          <a:extLst>
            <a:ext uri="{FF2B5EF4-FFF2-40B4-BE49-F238E27FC236}">
              <a16:creationId xmlns:a16="http://schemas.microsoft.com/office/drawing/2014/main" id="{00000000-0008-0000-0400-00002B020000}"/>
            </a:ext>
          </a:extLst>
        </xdr:cNvPr>
        <xdr:cNvSpPr>
          <a:spLocks noChangeArrowheads="1"/>
        </xdr:cNvSpPr>
      </xdr:nvSpPr>
      <xdr:spPr bwMode="auto">
        <a:xfrm flipH="1">
          <a:off x="16214538" y="3474048"/>
          <a:ext cx="638780" cy="261294"/>
        </a:xfrm>
        <a:prstGeom prst="rect">
          <a:avLst/>
        </a:prstGeom>
        <a:solidFill>
          <a:sysClr val="window" lastClr="FFFFFF"/>
        </a:solidFill>
        <a:ln w="9525">
          <a:solidFill>
            <a:schemeClr val="tx1"/>
          </a:solidFill>
          <a:miter lim="800000"/>
          <a:headEnd/>
          <a:tailEnd/>
        </a:ln>
      </xdr:spPr>
      <xdr:txBody>
        <a:bodyPr vertOverflow="clip" wrap="square" lIns="36576" tIns="18288" rIns="36576" bIns="18288" anchor="ctr" upright="1"/>
        <a:lstStyle/>
        <a:p>
          <a:pPr algn="ctr" rtl="0">
            <a:defRPr sz="1000"/>
          </a:pPr>
          <a:r>
            <a:rPr lang="ko-KR" altLang="en-US" sz="1100" b="1" i="0" u="none" strike="noStrike" baseline="0">
              <a:solidFill>
                <a:sysClr val="windowText" lastClr="000000"/>
              </a:solidFill>
              <a:latin typeface="돋움"/>
              <a:ea typeface="돋움"/>
            </a:rPr>
            <a:t>세교</a:t>
          </a:r>
        </a:p>
      </xdr:txBody>
    </xdr:sp>
    <xdr:clientData/>
  </xdr:twoCellAnchor>
  <xdr:twoCellAnchor>
    <xdr:from>
      <xdr:col>1</xdr:col>
      <xdr:colOff>530282</xdr:colOff>
      <xdr:row>8</xdr:row>
      <xdr:rowOff>314227</xdr:rowOff>
    </xdr:from>
    <xdr:to>
      <xdr:col>2</xdr:col>
      <xdr:colOff>215583</xdr:colOff>
      <xdr:row>9</xdr:row>
      <xdr:rowOff>161489</xdr:rowOff>
    </xdr:to>
    <xdr:sp macro="" textlink="">
      <xdr:nvSpPr>
        <xdr:cNvPr id="573" name="직사각형 572">
          <a:extLst>
            <a:ext uri="{FF2B5EF4-FFF2-40B4-BE49-F238E27FC236}">
              <a16:creationId xmlns:a16="http://schemas.microsoft.com/office/drawing/2014/main" id="{00000000-0008-0000-0400-00003D020000}"/>
            </a:ext>
          </a:extLst>
        </xdr:cNvPr>
        <xdr:cNvSpPr/>
      </xdr:nvSpPr>
      <xdr:spPr>
        <a:xfrm flipH="1">
          <a:off x="8940857" y="2952652"/>
          <a:ext cx="523501" cy="209212"/>
        </a:xfrm>
        <a:prstGeom prst="rect">
          <a:avLst/>
        </a:prstGeom>
        <a:solidFill>
          <a:schemeClr val="accent1">
            <a:lumMod val="60000"/>
            <a:lumOff val="40000"/>
          </a:schemeClr>
        </a:solidFill>
        <a:ln w="25400" cmpd="sng"/>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marL="0" indent="0" algn="ctr"/>
          <a:r>
            <a:rPr lang="en-US" altLang="ko-KR" sz="1400">
              <a:solidFill>
                <a:sysClr val="windowText" lastClr="000000"/>
              </a:solidFill>
              <a:latin typeface="+mn-lt"/>
              <a:ea typeface="+mn-ea"/>
              <a:cs typeface="+mn-cs"/>
            </a:rPr>
            <a:t>HSR</a:t>
          </a:r>
        </a:p>
      </xdr:txBody>
    </xdr:sp>
    <xdr:clientData/>
  </xdr:twoCellAnchor>
  <xdr:twoCellAnchor>
    <xdr:from>
      <xdr:col>3</xdr:col>
      <xdr:colOff>440173</xdr:colOff>
      <xdr:row>14</xdr:row>
      <xdr:rowOff>54908</xdr:rowOff>
    </xdr:from>
    <xdr:to>
      <xdr:col>4</xdr:col>
      <xdr:colOff>323003</xdr:colOff>
      <xdr:row>14</xdr:row>
      <xdr:rowOff>297784</xdr:rowOff>
    </xdr:to>
    <xdr:sp macro="" textlink="">
      <xdr:nvSpPr>
        <xdr:cNvPr id="574" name="Text Box 52">
          <a:extLst>
            <a:ext uri="{FF2B5EF4-FFF2-40B4-BE49-F238E27FC236}">
              <a16:creationId xmlns:a16="http://schemas.microsoft.com/office/drawing/2014/main" id="{00000000-0008-0000-0400-00003E020000}"/>
            </a:ext>
          </a:extLst>
        </xdr:cNvPr>
        <xdr:cNvSpPr txBox="1">
          <a:spLocks noChangeArrowheads="1"/>
        </xdr:cNvSpPr>
      </xdr:nvSpPr>
      <xdr:spPr bwMode="auto">
        <a:xfrm flipH="1" flipV="1">
          <a:off x="2964298" y="4865033"/>
          <a:ext cx="721030" cy="242876"/>
        </a:xfrm>
        <a:prstGeom prst="rect">
          <a:avLst/>
        </a:prstGeom>
        <a:noFill/>
        <a:ln w="9525">
          <a:noFill/>
          <a:miter lim="800000"/>
          <a:headEnd/>
          <a:tailEnd/>
        </a:ln>
      </xdr:spPr>
      <xdr:txBody>
        <a:bodyPr vertOverflow="clip" wrap="square" lIns="36576" tIns="22860" rIns="36576" bIns="22860" anchor="ctr" upright="1">
          <a:noAutofit/>
        </a:bodyPr>
        <a:lstStyle/>
        <a:p>
          <a:pPr marL="0" indent="0" algn="ctr" rtl="0">
            <a:defRPr sz="1000"/>
          </a:pPr>
          <a:r>
            <a:rPr lang="ko-KR" altLang="en-US" sz="1100" b="1" i="0" strike="noStrike">
              <a:solidFill>
                <a:schemeClr val="tx1"/>
              </a:solidFill>
              <a:latin typeface="맑은 고딕" pitchFamily="50" charset="-127"/>
              <a:ea typeface="맑은 고딕" pitchFamily="50" charset="-127"/>
              <a:cs typeface="+mn-cs"/>
            </a:rPr>
            <a:t>신영주</a:t>
          </a:r>
          <a:r>
            <a:rPr lang="en-US" altLang="ko-KR" sz="1100" b="1" i="0" strike="noStrike">
              <a:solidFill>
                <a:schemeClr val="tx1"/>
              </a:solidFill>
              <a:latin typeface="맑은 고딕" pitchFamily="50" charset="-127"/>
              <a:ea typeface="맑은 고딕" pitchFamily="50" charset="-127"/>
              <a:cs typeface="+mn-cs"/>
            </a:rPr>
            <a:t>S/S</a:t>
          </a:r>
        </a:p>
      </xdr:txBody>
    </xdr:sp>
    <xdr:clientData/>
  </xdr:twoCellAnchor>
  <xdr:twoCellAnchor>
    <xdr:from>
      <xdr:col>5</xdr:col>
      <xdr:colOff>566649</xdr:colOff>
      <xdr:row>13</xdr:row>
      <xdr:rowOff>165695</xdr:rowOff>
    </xdr:from>
    <xdr:to>
      <xdr:col>6</xdr:col>
      <xdr:colOff>251951</xdr:colOff>
      <xdr:row>14</xdr:row>
      <xdr:rowOff>10599</xdr:rowOff>
    </xdr:to>
    <xdr:sp macro="" textlink="">
      <xdr:nvSpPr>
        <xdr:cNvPr id="579" name="직사각형 578">
          <a:extLst>
            <a:ext uri="{FF2B5EF4-FFF2-40B4-BE49-F238E27FC236}">
              <a16:creationId xmlns:a16="http://schemas.microsoft.com/office/drawing/2014/main" id="{00000000-0008-0000-0400-000043020000}"/>
            </a:ext>
          </a:extLst>
        </xdr:cNvPr>
        <xdr:cNvSpPr/>
      </xdr:nvSpPr>
      <xdr:spPr>
        <a:xfrm flipH="1">
          <a:off x="4767174" y="4613870"/>
          <a:ext cx="523502" cy="206854"/>
        </a:xfrm>
        <a:prstGeom prst="rect">
          <a:avLst/>
        </a:prstGeom>
        <a:solidFill>
          <a:schemeClr val="accent1">
            <a:lumMod val="60000"/>
            <a:lumOff val="40000"/>
          </a:schemeClr>
        </a:solidFill>
        <a:ln w="25400" cmpd="sng"/>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marL="0" indent="0" algn="ctr"/>
          <a:r>
            <a:rPr lang="en-US" altLang="ko-KR" sz="1400">
              <a:solidFill>
                <a:sysClr val="windowText" lastClr="000000"/>
              </a:solidFill>
              <a:latin typeface="+mn-lt"/>
              <a:ea typeface="+mn-ea"/>
              <a:cs typeface="+mn-cs"/>
            </a:rPr>
            <a:t>HSR</a:t>
          </a:r>
        </a:p>
      </xdr:txBody>
    </xdr:sp>
    <xdr:clientData/>
  </xdr:twoCellAnchor>
  <xdr:twoCellAnchor>
    <xdr:from>
      <xdr:col>1</xdr:col>
      <xdr:colOff>792993</xdr:colOff>
      <xdr:row>11</xdr:row>
      <xdr:rowOff>345234</xdr:rowOff>
    </xdr:from>
    <xdr:to>
      <xdr:col>2</xdr:col>
      <xdr:colOff>647351</xdr:colOff>
      <xdr:row>12</xdr:row>
      <xdr:rowOff>198083</xdr:rowOff>
    </xdr:to>
    <xdr:sp macro="" textlink="">
      <xdr:nvSpPr>
        <xdr:cNvPr id="581" name="Text Box 52">
          <a:extLst>
            <a:ext uri="{FF2B5EF4-FFF2-40B4-BE49-F238E27FC236}">
              <a16:creationId xmlns:a16="http://schemas.microsoft.com/office/drawing/2014/main" id="{00000000-0008-0000-0400-000045020000}"/>
            </a:ext>
          </a:extLst>
        </xdr:cNvPr>
        <xdr:cNvSpPr txBox="1">
          <a:spLocks noChangeArrowheads="1"/>
        </xdr:cNvSpPr>
      </xdr:nvSpPr>
      <xdr:spPr bwMode="auto">
        <a:xfrm flipH="1" flipV="1">
          <a:off x="1640718" y="4069509"/>
          <a:ext cx="692558" cy="214799"/>
        </a:xfrm>
        <a:prstGeom prst="rect">
          <a:avLst/>
        </a:prstGeom>
        <a:noFill/>
        <a:ln w="9525">
          <a:noFill/>
          <a:miter lim="800000"/>
          <a:headEnd/>
          <a:tailEnd/>
        </a:ln>
      </xdr:spPr>
      <xdr:txBody>
        <a:bodyPr vertOverflow="clip" wrap="square" lIns="36576" tIns="22860" rIns="36576" bIns="22860" anchor="ctr" upright="1">
          <a:noAutofit/>
        </a:bodyPr>
        <a:lstStyle/>
        <a:p>
          <a:pPr marL="0" indent="0" algn="ctr" rtl="0">
            <a:defRPr sz="1000"/>
          </a:pPr>
          <a:r>
            <a:rPr lang="ko-KR" altLang="en-US" sz="1100" b="1" i="0" strike="noStrike">
              <a:solidFill>
                <a:sysClr val="windowText" lastClr="000000"/>
              </a:solidFill>
              <a:latin typeface="맑은 고딕" pitchFamily="50" charset="-127"/>
              <a:ea typeface="맑은 고딕" pitchFamily="50" charset="-127"/>
              <a:cs typeface="+mn-cs"/>
            </a:rPr>
            <a:t>영주</a:t>
          </a:r>
          <a:r>
            <a:rPr lang="en-US" altLang="ko-KR" sz="1100" b="1" i="0" strike="noStrike">
              <a:solidFill>
                <a:sysClr val="windowText" lastClr="000000"/>
              </a:solidFill>
              <a:latin typeface="맑은 고딕" pitchFamily="50" charset="-127"/>
              <a:ea typeface="맑은 고딕" pitchFamily="50" charset="-127"/>
              <a:cs typeface="+mn-cs"/>
            </a:rPr>
            <a:t>ESS</a:t>
          </a:r>
        </a:p>
      </xdr:txBody>
    </xdr:sp>
    <xdr:clientData/>
  </xdr:twoCellAnchor>
  <xdr:twoCellAnchor>
    <xdr:from>
      <xdr:col>3</xdr:col>
      <xdr:colOff>200724</xdr:colOff>
      <xdr:row>10</xdr:row>
      <xdr:rowOff>359938</xdr:rowOff>
    </xdr:from>
    <xdr:to>
      <xdr:col>4</xdr:col>
      <xdr:colOff>598713</xdr:colOff>
      <xdr:row>12</xdr:row>
      <xdr:rowOff>122465</xdr:rowOff>
    </xdr:to>
    <xdr:sp macro="" textlink="">
      <xdr:nvSpPr>
        <xdr:cNvPr id="846" name="Text Box 52">
          <a:extLst>
            <a:ext uri="{FF2B5EF4-FFF2-40B4-BE49-F238E27FC236}">
              <a16:creationId xmlns:a16="http://schemas.microsoft.com/office/drawing/2014/main" id="{00000000-0008-0000-0400-00004E030000}"/>
            </a:ext>
          </a:extLst>
        </xdr:cNvPr>
        <xdr:cNvSpPr txBox="1">
          <a:spLocks noChangeArrowheads="1"/>
        </xdr:cNvSpPr>
      </xdr:nvSpPr>
      <xdr:spPr bwMode="auto">
        <a:xfrm flipH="1" flipV="1">
          <a:off x="10324438" y="3748117"/>
          <a:ext cx="1241632" cy="497312"/>
        </a:xfrm>
        <a:prstGeom prst="rect">
          <a:avLst/>
        </a:prstGeom>
        <a:noFill/>
        <a:ln w="9525">
          <a:noFill/>
          <a:miter lim="800000"/>
          <a:headEnd/>
          <a:tailEnd/>
        </a:ln>
      </xdr:spPr>
      <xdr:txBody>
        <a:bodyPr vertOverflow="clip" wrap="square" lIns="36576" tIns="22860" rIns="36576" bIns="22860" anchor="ctr" upright="1">
          <a:noAutofit/>
        </a:bodyPr>
        <a:lstStyle/>
        <a:p>
          <a:pPr marL="0" indent="0" algn="ctr" rtl="0">
            <a:defRPr sz="1000"/>
          </a:pPr>
          <a:r>
            <a:rPr lang="ko-KR" altLang="en-US" sz="2000" b="1" i="0" strike="noStrike">
              <a:solidFill>
                <a:sysClr val="windowText" lastClr="000000"/>
              </a:solidFill>
              <a:latin typeface="맑은 고딕" pitchFamily="50" charset="-127"/>
              <a:ea typeface="맑은 고딕" pitchFamily="50" charset="-127"/>
              <a:cs typeface="+mn-cs"/>
            </a:rPr>
            <a:t>영주</a:t>
          </a:r>
          <a:r>
            <a:rPr lang="en-US" altLang="ko-KR" sz="2000" b="1" i="0" strike="noStrike">
              <a:solidFill>
                <a:sysClr val="windowText" lastClr="000000"/>
              </a:solidFill>
              <a:latin typeface="맑은 고딕" pitchFamily="50" charset="-127"/>
              <a:ea typeface="맑은 고딕" pitchFamily="50" charset="-127"/>
              <a:cs typeface="+mn-cs"/>
            </a:rPr>
            <a:t>#2</a:t>
          </a:r>
          <a:r>
            <a:rPr lang="ko-KR" altLang="en-US" sz="2000" b="1" i="0" strike="noStrike">
              <a:solidFill>
                <a:sysClr val="windowText" lastClr="000000"/>
              </a:solidFill>
              <a:latin typeface="맑은 고딕" pitchFamily="50" charset="-127"/>
              <a:ea typeface="맑은 고딕" pitchFamily="50" charset="-127"/>
              <a:cs typeface="+mn-cs"/>
            </a:rPr>
            <a:t>링</a:t>
          </a:r>
          <a:endParaRPr lang="en-US" altLang="ko-KR" sz="2000" b="1" i="0" strike="noStrike">
            <a:solidFill>
              <a:sysClr val="windowText" lastClr="000000"/>
            </a:solidFill>
            <a:latin typeface="맑은 고딕" pitchFamily="50" charset="-127"/>
            <a:ea typeface="맑은 고딕" pitchFamily="50" charset="-127"/>
            <a:cs typeface="+mn-cs"/>
          </a:endParaRPr>
        </a:p>
      </xdr:txBody>
    </xdr:sp>
    <xdr:clientData/>
  </xdr:twoCellAnchor>
  <xdr:twoCellAnchor>
    <xdr:from>
      <xdr:col>1</xdr:col>
      <xdr:colOff>778328</xdr:colOff>
      <xdr:row>17</xdr:row>
      <xdr:rowOff>130629</xdr:rowOff>
    </xdr:from>
    <xdr:to>
      <xdr:col>4</xdr:col>
      <xdr:colOff>421532</xdr:colOff>
      <xdr:row>17</xdr:row>
      <xdr:rowOff>137809</xdr:rowOff>
    </xdr:to>
    <xdr:cxnSp macro="">
      <xdr:nvCxnSpPr>
        <xdr:cNvPr id="860" name="직선 연결선 859">
          <a:extLst>
            <a:ext uri="{FF2B5EF4-FFF2-40B4-BE49-F238E27FC236}">
              <a16:creationId xmlns:a16="http://schemas.microsoft.com/office/drawing/2014/main" id="{00000000-0008-0000-0400-00005C030000}"/>
            </a:ext>
          </a:extLst>
        </xdr:cNvPr>
        <xdr:cNvCxnSpPr/>
      </xdr:nvCxnSpPr>
      <xdr:spPr>
        <a:xfrm>
          <a:off x="1627414" y="6068786"/>
          <a:ext cx="2157804" cy="7180"/>
        </a:xfrm>
        <a:prstGeom prst="line">
          <a:avLst/>
        </a:prstGeom>
        <a:ln w="25400">
          <a:solidFill>
            <a:srgbClr val="0000FF"/>
          </a:solidFill>
          <a:prstDash val="soli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772749</xdr:colOff>
      <xdr:row>17</xdr:row>
      <xdr:rowOff>141862</xdr:rowOff>
    </xdr:from>
    <xdr:to>
      <xdr:col>1</xdr:col>
      <xdr:colOff>778213</xdr:colOff>
      <xdr:row>23</xdr:row>
      <xdr:rowOff>136151</xdr:rowOff>
    </xdr:to>
    <xdr:cxnSp macro="">
      <xdr:nvCxnSpPr>
        <xdr:cNvPr id="863" name="직선 연결선 862">
          <a:extLst>
            <a:ext uri="{FF2B5EF4-FFF2-40B4-BE49-F238E27FC236}">
              <a16:creationId xmlns:a16="http://schemas.microsoft.com/office/drawing/2014/main" id="{00000000-0008-0000-0400-00005F030000}"/>
            </a:ext>
          </a:extLst>
        </xdr:cNvPr>
        <xdr:cNvCxnSpPr/>
      </xdr:nvCxnSpPr>
      <xdr:spPr>
        <a:xfrm flipV="1">
          <a:off x="1619866" y="6027096"/>
          <a:ext cx="5464" cy="2158693"/>
        </a:xfrm>
        <a:prstGeom prst="line">
          <a:avLst/>
        </a:prstGeom>
        <a:ln w="25400">
          <a:solidFill>
            <a:srgbClr val="0000FF"/>
          </a:solidFill>
          <a:prstDash val="soli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408075</xdr:colOff>
      <xdr:row>21</xdr:row>
      <xdr:rowOff>284470</xdr:rowOff>
    </xdr:from>
    <xdr:to>
      <xdr:col>3</xdr:col>
      <xdr:colOff>806064</xdr:colOff>
      <xdr:row>23</xdr:row>
      <xdr:rowOff>49928</xdr:rowOff>
    </xdr:to>
    <xdr:sp macro="" textlink="">
      <xdr:nvSpPr>
        <xdr:cNvPr id="879" name="Text Box 52">
          <a:extLst>
            <a:ext uri="{FF2B5EF4-FFF2-40B4-BE49-F238E27FC236}">
              <a16:creationId xmlns:a16="http://schemas.microsoft.com/office/drawing/2014/main" id="{00000000-0008-0000-0400-00006F030000}"/>
            </a:ext>
          </a:extLst>
        </xdr:cNvPr>
        <xdr:cNvSpPr txBox="1">
          <a:spLocks noChangeArrowheads="1"/>
        </xdr:cNvSpPr>
      </xdr:nvSpPr>
      <xdr:spPr bwMode="auto">
        <a:xfrm flipH="1" flipV="1">
          <a:off x="2093267" y="7582085"/>
          <a:ext cx="1233259" cy="483497"/>
        </a:xfrm>
        <a:prstGeom prst="rect">
          <a:avLst/>
        </a:prstGeom>
        <a:noFill/>
        <a:ln w="9525">
          <a:noFill/>
          <a:miter lim="800000"/>
          <a:headEnd/>
          <a:tailEnd/>
        </a:ln>
      </xdr:spPr>
      <xdr:txBody>
        <a:bodyPr vertOverflow="clip" wrap="square" lIns="36576" tIns="22860" rIns="36576" bIns="22860" anchor="ctr" upright="1">
          <a:noAutofit/>
        </a:bodyPr>
        <a:lstStyle/>
        <a:p>
          <a:pPr marL="0" indent="0" algn="ctr" rtl="0">
            <a:defRPr sz="1000"/>
          </a:pPr>
          <a:r>
            <a:rPr lang="ko-KR" altLang="en-US" sz="2000" b="1" i="0" strike="noStrike">
              <a:solidFill>
                <a:sysClr val="windowText" lastClr="000000"/>
              </a:solidFill>
              <a:latin typeface="맑은 고딕" pitchFamily="50" charset="-127"/>
              <a:ea typeface="맑은 고딕" pitchFamily="50" charset="-127"/>
              <a:cs typeface="+mn-cs"/>
            </a:rPr>
            <a:t>영주</a:t>
          </a:r>
          <a:r>
            <a:rPr lang="en-US" altLang="ko-KR" sz="2000" b="1" i="0" strike="noStrike">
              <a:solidFill>
                <a:sysClr val="windowText" lastClr="000000"/>
              </a:solidFill>
              <a:latin typeface="맑은 고딕" pitchFamily="50" charset="-127"/>
              <a:ea typeface="맑은 고딕" pitchFamily="50" charset="-127"/>
              <a:cs typeface="+mn-cs"/>
            </a:rPr>
            <a:t>#2</a:t>
          </a:r>
          <a:r>
            <a:rPr lang="ko-KR" altLang="en-US" sz="2000" b="1" i="0" strike="noStrike">
              <a:solidFill>
                <a:sysClr val="windowText" lastClr="000000"/>
              </a:solidFill>
              <a:latin typeface="맑은 고딕" pitchFamily="50" charset="-127"/>
              <a:ea typeface="맑은 고딕" pitchFamily="50" charset="-127"/>
              <a:cs typeface="+mn-cs"/>
            </a:rPr>
            <a:t>링</a:t>
          </a:r>
          <a:endParaRPr lang="en-US" altLang="ko-KR" sz="2000" b="1" i="0" strike="noStrike">
            <a:solidFill>
              <a:sysClr val="windowText" lastClr="000000"/>
            </a:solidFill>
            <a:latin typeface="맑은 고딕" pitchFamily="50" charset="-127"/>
            <a:ea typeface="맑은 고딕" pitchFamily="50" charset="-127"/>
            <a:cs typeface="+mn-cs"/>
          </a:endParaRPr>
        </a:p>
      </xdr:txBody>
    </xdr:sp>
    <xdr:clientData/>
  </xdr:twoCellAnchor>
  <xdr:twoCellAnchor>
    <xdr:from>
      <xdr:col>1</xdr:col>
      <xdr:colOff>772783</xdr:colOff>
      <xdr:row>23</xdr:row>
      <xdr:rowOff>171450</xdr:rowOff>
    </xdr:from>
    <xdr:to>
      <xdr:col>4</xdr:col>
      <xdr:colOff>407670</xdr:colOff>
      <xdr:row>23</xdr:row>
      <xdr:rowOff>176122</xdr:rowOff>
    </xdr:to>
    <xdr:cxnSp macro="">
      <xdr:nvCxnSpPr>
        <xdr:cNvPr id="900" name="직선 연결선 899">
          <a:extLst>
            <a:ext uri="{FF2B5EF4-FFF2-40B4-BE49-F238E27FC236}">
              <a16:creationId xmlns:a16="http://schemas.microsoft.com/office/drawing/2014/main" id="{00000000-0008-0000-0400-000084030000}"/>
            </a:ext>
          </a:extLst>
        </xdr:cNvPr>
        <xdr:cNvCxnSpPr/>
      </xdr:nvCxnSpPr>
      <xdr:spPr>
        <a:xfrm flipV="1">
          <a:off x="1622413" y="7882890"/>
          <a:ext cx="2149487" cy="4672"/>
        </a:xfrm>
        <a:prstGeom prst="line">
          <a:avLst/>
        </a:prstGeom>
        <a:ln w="25400">
          <a:solidFill>
            <a:srgbClr val="0000FF"/>
          </a:solidFill>
          <a:prstDash val="soli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391749</xdr:colOff>
      <xdr:row>17</xdr:row>
      <xdr:rowOff>136072</xdr:rowOff>
    </xdr:from>
    <xdr:to>
      <xdr:col>4</xdr:col>
      <xdr:colOff>419100</xdr:colOff>
      <xdr:row>23</xdr:row>
      <xdr:rowOff>200025</xdr:rowOff>
    </xdr:to>
    <xdr:cxnSp macro="">
      <xdr:nvCxnSpPr>
        <xdr:cNvPr id="903" name="직선 연결선 902">
          <a:extLst>
            <a:ext uri="{FF2B5EF4-FFF2-40B4-BE49-F238E27FC236}">
              <a16:creationId xmlns:a16="http://schemas.microsoft.com/office/drawing/2014/main" id="{00000000-0008-0000-0400-000087030000}"/>
            </a:ext>
          </a:extLst>
        </xdr:cNvPr>
        <xdr:cNvCxnSpPr/>
      </xdr:nvCxnSpPr>
      <xdr:spPr>
        <a:xfrm flipV="1">
          <a:off x="3755435" y="6074229"/>
          <a:ext cx="27351" cy="2251982"/>
        </a:xfrm>
        <a:prstGeom prst="line">
          <a:avLst/>
        </a:prstGeom>
        <a:ln w="25400">
          <a:solidFill>
            <a:srgbClr val="0000FF"/>
          </a:solidFill>
          <a:prstDash val="soli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703755</xdr:colOff>
      <xdr:row>23</xdr:row>
      <xdr:rowOff>190500</xdr:rowOff>
    </xdr:from>
    <xdr:to>
      <xdr:col>6</xdr:col>
      <xdr:colOff>280906</xdr:colOff>
      <xdr:row>23</xdr:row>
      <xdr:rowOff>195036</xdr:rowOff>
    </xdr:to>
    <xdr:cxnSp macro="">
      <xdr:nvCxnSpPr>
        <xdr:cNvPr id="915" name="직선 연결선 914">
          <a:extLst>
            <a:ext uri="{FF2B5EF4-FFF2-40B4-BE49-F238E27FC236}">
              <a16:creationId xmlns:a16="http://schemas.microsoft.com/office/drawing/2014/main" id="{00000000-0008-0000-0400-000093030000}"/>
            </a:ext>
          </a:extLst>
        </xdr:cNvPr>
        <xdr:cNvCxnSpPr/>
      </xdr:nvCxnSpPr>
      <xdr:spPr>
        <a:xfrm flipV="1">
          <a:off x="4071408" y="7887992"/>
          <a:ext cx="1256134" cy="4536"/>
        </a:xfrm>
        <a:prstGeom prst="line">
          <a:avLst/>
        </a:prstGeom>
        <a:ln w="25400">
          <a:solidFill>
            <a:srgbClr val="0000FF"/>
          </a:solidFill>
          <a:prstDash val="soli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268742</xdr:colOff>
      <xdr:row>17</xdr:row>
      <xdr:rowOff>144037</xdr:rowOff>
    </xdr:from>
    <xdr:to>
      <xdr:col>6</xdr:col>
      <xdr:colOff>302013</xdr:colOff>
      <xdr:row>23</xdr:row>
      <xdr:rowOff>197306</xdr:rowOff>
    </xdr:to>
    <xdr:cxnSp macro="">
      <xdr:nvCxnSpPr>
        <xdr:cNvPr id="916" name="직선 연결선 915">
          <a:extLst>
            <a:ext uri="{FF2B5EF4-FFF2-40B4-BE49-F238E27FC236}">
              <a16:creationId xmlns:a16="http://schemas.microsoft.com/office/drawing/2014/main" id="{00000000-0008-0000-0400-000094030000}"/>
            </a:ext>
          </a:extLst>
        </xdr:cNvPr>
        <xdr:cNvCxnSpPr/>
      </xdr:nvCxnSpPr>
      <xdr:spPr>
        <a:xfrm flipV="1">
          <a:off x="5296083" y="6049537"/>
          <a:ext cx="33271" cy="2227757"/>
        </a:xfrm>
        <a:prstGeom prst="line">
          <a:avLst/>
        </a:prstGeom>
        <a:ln w="25400">
          <a:solidFill>
            <a:srgbClr val="0000FF"/>
          </a:solidFill>
          <a:prstDash val="soli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664423</xdr:colOff>
      <xdr:row>19</xdr:row>
      <xdr:rowOff>135294</xdr:rowOff>
    </xdr:from>
    <xdr:to>
      <xdr:col>6</xdr:col>
      <xdr:colOff>753509</xdr:colOff>
      <xdr:row>20</xdr:row>
      <xdr:rowOff>13973</xdr:rowOff>
    </xdr:to>
    <xdr:sp macro="" textlink="">
      <xdr:nvSpPr>
        <xdr:cNvPr id="918" name="Text Box 52">
          <a:extLst>
            <a:ext uri="{FF2B5EF4-FFF2-40B4-BE49-F238E27FC236}">
              <a16:creationId xmlns:a16="http://schemas.microsoft.com/office/drawing/2014/main" id="{00000000-0008-0000-0400-000096030000}"/>
            </a:ext>
          </a:extLst>
        </xdr:cNvPr>
        <xdr:cNvSpPr txBox="1">
          <a:spLocks noChangeArrowheads="1"/>
        </xdr:cNvSpPr>
      </xdr:nvSpPr>
      <xdr:spPr bwMode="auto">
        <a:xfrm flipH="1" flipV="1">
          <a:off x="4855423" y="6794511"/>
          <a:ext cx="925629" cy="243114"/>
        </a:xfrm>
        <a:prstGeom prst="rect">
          <a:avLst/>
        </a:prstGeom>
        <a:noFill/>
        <a:ln w="9525">
          <a:noFill/>
          <a:miter lim="800000"/>
          <a:headEnd/>
          <a:tailEnd/>
        </a:ln>
      </xdr:spPr>
      <xdr:txBody>
        <a:bodyPr vertOverflow="clip" wrap="square" lIns="36576" tIns="22860" rIns="36576" bIns="22860" anchor="ctr" upright="1">
          <a:noAutofit/>
        </a:bodyPr>
        <a:lstStyle/>
        <a:p>
          <a:pPr marL="0" indent="0" algn="ctr" rtl="0">
            <a:defRPr sz="1000"/>
          </a:pPr>
          <a:r>
            <a:rPr lang="ko-KR" altLang="en-US" sz="1100" b="1" i="0" strike="noStrike">
              <a:solidFill>
                <a:schemeClr val="tx1"/>
              </a:solidFill>
              <a:latin typeface="맑은 고딕" pitchFamily="50" charset="-127"/>
              <a:ea typeface="맑은 고딕" pitchFamily="50" charset="-127"/>
              <a:cs typeface="+mn-cs"/>
            </a:rPr>
            <a:t>신가평변환소</a:t>
          </a:r>
          <a:endParaRPr lang="en-US" altLang="ko-KR" sz="1100" b="1" i="0" strike="noStrike">
            <a:solidFill>
              <a:schemeClr val="tx1"/>
            </a:solidFill>
            <a:latin typeface="맑은 고딕" pitchFamily="50" charset="-127"/>
            <a:ea typeface="맑은 고딕" pitchFamily="50" charset="-127"/>
            <a:cs typeface="+mn-cs"/>
          </a:endParaRPr>
        </a:p>
      </xdr:txBody>
    </xdr:sp>
    <xdr:clientData/>
  </xdr:twoCellAnchor>
  <xdr:twoCellAnchor>
    <xdr:from>
      <xdr:col>4</xdr:col>
      <xdr:colOff>721878</xdr:colOff>
      <xdr:row>21</xdr:row>
      <xdr:rowOff>257884</xdr:rowOff>
    </xdr:from>
    <xdr:to>
      <xdr:col>6</xdr:col>
      <xdr:colOff>281667</xdr:colOff>
      <xdr:row>23</xdr:row>
      <xdr:rowOff>17689</xdr:rowOff>
    </xdr:to>
    <xdr:sp macro="" textlink="">
      <xdr:nvSpPr>
        <xdr:cNvPr id="919" name="Text Box 52">
          <a:extLst>
            <a:ext uri="{FF2B5EF4-FFF2-40B4-BE49-F238E27FC236}">
              <a16:creationId xmlns:a16="http://schemas.microsoft.com/office/drawing/2014/main" id="{00000000-0008-0000-0400-000097030000}"/>
            </a:ext>
          </a:extLst>
        </xdr:cNvPr>
        <xdr:cNvSpPr txBox="1">
          <a:spLocks noChangeArrowheads="1"/>
        </xdr:cNvSpPr>
      </xdr:nvSpPr>
      <xdr:spPr bwMode="auto">
        <a:xfrm flipH="1" flipV="1">
          <a:off x="4085564" y="7654727"/>
          <a:ext cx="1236189" cy="489148"/>
        </a:xfrm>
        <a:prstGeom prst="rect">
          <a:avLst/>
        </a:prstGeom>
        <a:noFill/>
        <a:ln w="9525">
          <a:noFill/>
          <a:miter lim="800000"/>
          <a:headEnd/>
          <a:tailEnd/>
        </a:ln>
      </xdr:spPr>
      <xdr:txBody>
        <a:bodyPr vertOverflow="clip" wrap="square" lIns="36576" tIns="22860" rIns="36576" bIns="22860" anchor="ctr" upright="1">
          <a:noAutofit/>
        </a:bodyPr>
        <a:lstStyle/>
        <a:p>
          <a:pPr marL="0" indent="0" algn="ctr" rtl="0">
            <a:defRPr sz="1000"/>
          </a:pPr>
          <a:r>
            <a:rPr lang="en-US" altLang="ko-KR" sz="2000" b="1" i="0" strike="noStrike">
              <a:solidFill>
                <a:sysClr val="windowText" lastClr="000000"/>
              </a:solidFill>
              <a:latin typeface="맑은 고딕" pitchFamily="50" charset="-127"/>
              <a:ea typeface="맑은 고딕" pitchFamily="50" charset="-127"/>
              <a:cs typeface="+mn-cs"/>
            </a:rPr>
            <a:t>HVDC </a:t>
          </a:r>
          <a:r>
            <a:rPr lang="ko-KR" altLang="en-US" sz="2000" b="1" i="0" strike="noStrike">
              <a:solidFill>
                <a:sysClr val="windowText" lastClr="000000"/>
              </a:solidFill>
              <a:latin typeface="맑은 고딕" pitchFamily="50" charset="-127"/>
              <a:ea typeface="맑은 고딕" pitchFamily="50" charset="-127"/>
              <a:cs typeface="+mn-cs"/>
            </a:rPr>
            <a:t>링</a:t>
          </a:r>
          <a:endParaRPr lang="en-US" altLang="ko-KR" sz="2000" b="1" i="0" strike="noStrike">
            <a:solidFill>
              <a:sysClr val="windowText" lastClr="000000"/>
            </a:solidFill>
            <a:latin typeface="맑은 고딕" pitchFamily="50" charset="-127"/>
            <a:ea typeface="맑은 고딕" pitchFamily="50" charset="-127"/>
            <a:cs typeface="+mn-cs"/>
          </a:endParaRPr>
        </a:p>
      </xdr:txBody>
    </xdr:sp>
    <xdr:clientData/>
  </xdr:twoCellAnchor>
  <xdr:twoCellAnchor>
    <xdr:from>
      <xdr:col>5</xdr:col>
      <xdr:colOff>240537</xdr:colOff>
      <xdr:row>23</xdr:row>
      <xdr:rowOff>61549</xdr:rowOff>
    </xdr:from>
    <xdr:to>
      <xdr:col>5</xdr:col>
      <xdr:colOff>747362</xdr:colOff>
      <xdr:row>23</xdr:row>
      <xdr:rowOff>332515</xdr:rowOff>
    </xdr:to>
    <xdr:sp macro="" textlink="">
      <xdr:nvSpPr>
        <xdr:cNvPr id="977" name="직사각형 976">
          <a:extLst>
            <a:ext uri="{FF2B5EF4-FFF2-40B4-BE49-F238E27FC236}">
              <a16:creationId xmlns:a16="http://schemas.microsoft.com/office/drawing/2014/main" id="{00000000-0008-0000-0400-0000D1030000}"/>
            </a:ext>
          </a:extLst>
        </xdr:cNvPr>
        <xdr:cNvSpPr/>
      </xdr:nvSpPr>
      <xdr:spPr>
        <a:xfrm>
          <a:off x="4442423" y="7823063"/>
          <a:ext cx="506825" cy="270966"/>
        </a:xfrm>
        <a:prstGeom prst="rect">
          <a:avLst/>
        </a:prstGeom>
        <a:solidFill>
          <a:schemeClr val="accent6">
            <a:lumMod val="60000"/>
            <a:lumOff val="40000"/>
          </a:schemeClr>
        </a:solidFill>
        <a:ln w="25400" cmpd="sng"/>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altLang="ko-KR" sz="1400">
              <a:solidFill>
                <a:sysClr val="windowText" lastClr="000000"/>
              </a:solidFill>
              <a:latin typeface="+mn-lt"/>
              <a:ea typeface="+mn-ea"/>
              <a:cs typeface="+mn-cs"/>
            </a:rPr>
            <a:t>HSR</a:t>
          </a:r>
        </a:p>
      </xdr:txBody>
    </xdr:sp>
    <xdr:clientData/>
  </xdr:twoCellAnchor>
  <xdr:twoCellAnchor>
    <xdr:from>
      <xdr:col>5</xdr:col>
      <xdr:colOff>44024</xdr:colOff>
      <xdr:row>24</xdr:row>
      <xdr:rowOff>54</xdr:rowOff>
    </xdr:from>
    <xdr:to>
      <xdr:col>6</xdr:col>
      <xdr:colOff>130869</xdr:colOff>
      <xdr:row>24</xdr:row>
      <xdr:rowOff>243168</xdr:rowOff>
    </xdr:to>
    <xdr:sp macro="" textlink="">
      <xdr:nvSpPr>
        <xdr:cNvPr id="979" name="Text Box 52">
          <a:extLst>
            <a:ext uri="{FF2B5EF4-FFF2-40B4-BE49-F238E27FC236}">
              <a16:creationId xmlns:a16="http://schemas.microsoft.com/office/drawing/2014/main" id="{00000000-0008-0000-0400-0000D3030000}"/>
            </a:ext>
          </a:extLst>
        </xdr:cNvPr>
        <xdr:cNvSpPr txBox="1">
          <a:spLocks noChangeArrowheads="1"/>
        </xdr:cNvSpPr>
      </xdr:nvSpPr>
      <xdr:spPr bwMode="auto">
        <a:xfrm flipH="1" flipV="1">
          <a:off x="4245910" y="8126240"/>
          <a:ext cx="925045" cy="243114"/>
        </a:xfrm>
        <a:prstGeom prst="rect">
          <a:avLst/>
        </a:prstGeom>
        <a:noFill/>
        <a:ln w="9525">
          <a:noFill/>
          <a:miter lim="800000"/>
          <a:headEnd/>
          <a:tailEnd/>
        </a:ln>
      </xdr:spPr>
      <xdr:txBody>
        <a:bodyPr vertOverflow="clip" wrap="square" lIns="36576" tIns="22860" rIns="36576" bIns="22860" anchor="ctr" upright="1">
          <a:noAutofit/>
        </a:bodyPr>
        <a:lstStyle/>
        <a:p>
          <a:pPr marL="0" indent="0" algn="ctr" rtl="0">
            <a:defRPr sz="1000"/>
          </a:pPr>
          <a:r>
            <a:rPr lang="ko-KR" altLang="en-US" sz="1100" b="1" i="0" strike="noStrike">
              <a:solidFill>
                <a:schemeClr val="tx1"/>
              </a:solidFill>
              <a:latin typeface="맑은 고딕" pitchFamily="50" charset="-127"/>
              <a:ea typeface="맑은 고딕" pitchFamily="50" charset="-127"/>
              <a:cs typeface="+mn-cs"/>
            </a:rPr>
            <a:t>동강</a:t>
          </a:r>
          <a:r>
            <a:rPr lang="en-US" altLang="ko-KR" sz="1100" b="1" i="0" strike="noStrike">
              <a:solidFill>
                <a:schemeClr val="tx1"/>
              </a:solidFill>
              <a:latin typeface="맑은 고딕" pitchFamily="50" charset="-127"/>
              <a:ea typeface="맑은 고딕" pitchFamily="50" charset="-127"/>
              <a:cs typeface="+mn-cs"/>
            </a:rPr>
            <a:t>CH</a:t>
          </a:r>
        </a:p>
      </xdr:txBody>
    </xdr:sp>
    <xdr:clientData/>
  </xdr:twoCellAnchor>
  <xdr:twoCellAnchor>
    <xdr:from>
      <xdr:col>4</xdr:col>
      <xdr:colOff>292644</xdr:colOff>
      <xdr:row>21</xdr:row>
      <xdr:rowOff>162002</xdr:rowOff>
    </xdr:from>
    <xdr:to>
      <xdr:col>4</xdr:col>
      <xdr:colOff>799469</xdr:colOff>
      <xdr:row>22</xdr:row>
      <xdr:rowOff>74381</xdr:rowOff>
    </xdr:to>
    <xdr:sp macro="" textlink="">
      <xdr:nvSpPr>
        <xdr:cNvPr id="885" name="직사각형 884">
          <a:extLst>
            <a:ext uri="{FF2B5EF4-FFF2-40B4-BE49-F238E27FC236}">
              <a16:creationId xmlns:a16="http://schemas.microsoft.com/office/drawing/2014/main" id="{00000000-0008-0000-0400-000075030000}"/>
            </a:ext>
          </a:extLst>
        </xdr:cNvPr>
        <xdr:cNvSpPr/>
      </xdr:nvSpPr>
      <xdr:spPr>
        <a:xfrm>
          <a:off x="3656330" y="7558845"/>
          <a:ext cx="506825" cy="277050"/>
        </a:xfrm>
        <a:prstGeom prst="rect">
          <a:avLst/>
        </a:prstGeom>
        <a:solidFill>
          <a:schemeClr val="accent6">
            <a:lumMod val="60000"/>
            <a:lumOff val="40000"/>
          </a:schemeClr>
        </a:solidFill>
        <a:ln w="25400" cmpd="sng"/>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altLang="ko-KR" sz="1400">
              <a:solidFill>
                <a:sysClr val="windowText" lastClr="000000"/>
              </a:solidFill>
              <a:latin typeface="+mn-lt"/>
              <a:ea typeface="+mn-ea"/>
              <a:cs typeface="+mn-cs"/>
            </a:rPr>
            <a:t>HSR</a:t>
          </a:r>
        </a:p>
      </xdr:txBody>
    </xdr:sp>
    <xdr:clientData/>
  </xdr:twoCellAnchor>
  <xdr:twoCellAnchor>
    <xdr:from>
      <xdr:col>3</xdr:col>
      <xdr:colOff>815578</xdr:colOff>
      <xdr:row>20</xdr:row>
      <xdr:rowOff>268834</xdr:rowOff>
    </xdr:from>
    <xdr:to>
      <xdr:col>5</xdr:col>
      <xdr:colOff>291703</xdr:colOff>
      <xdr:row>21</xdr:row>
      <xdr:rowOff>147275</xdr:rowOff>
    </xdr:to>
    <xdr:sp macro="" textlink="">
      <xdr:nvSpPr>
        <xdr:cNvPr id="886" name="Text Box 52">
          <a:extLst>
            <a:ext uri="{FF2B5EF4-FFF2-40B4-BE49-F238E27FC236}">
              <a16:creationId xmlns:a16="http://schemas.microsoft.com/office/drawing/2014/main" id="{00000000-0008-0000-0400-000076030000}"/>
            </a:ext>
          </a:extLst>
        </xdr:cNvPr>
        <xdr:cNvSpPr txBox="1">
          <a:spLocks noChangeArrowheads="1"/>
        </xdr:cNvSpPr>
      </xdr:nvSpPr>
      <xdr:spPr bwMode="auto">
        <a:xfrm flipH="1" flipV="1">
          <a:off x="3341064" y="7301005"/>
          <a:ext cx="1152525" cy="243113"/>
        </a:xfrm>
        <a:prstGeom prst="rect">
          <a:avLst/>
        </a:prstGeom>
        <a:noFill/>
        <a:ln w="9525">
          <a:noFill/>
          <a:miter lim="800000"/>
          <a:headEnd/>
          <a:tailEnd/>
        </a:ln>
      </xdr:spPr>
      <xdr:txBody>
        <a:bodyPr vertOverflow="clip" wrap="square" lIns="36576" tIns="22860" rIns="36576" bIns="22860" anchor="ctr" upright="1">
          <a:noAutofit/>
        </a:bodyPr>
        <a:lstStyle/>
        <a:p>
          <a:pPr marL="0" indent="0" algn="ctr" rtl="0">
            <a:defRPr sz="1000"/>
          </a:pPr>
          <a:r>
            <a:rPr lang="ko-KR" altLang="en-US" sz="1100" b="1" i="0" strike="noStrike">
              <a:solidFill>
                <a:schemeClr val="tx1"/>
              </a:solidFill>
              <a:latin typeface="맑은 고딕" pitchFamily="50" charset="-127"/>
              <a:ea typeface="맑은 고딕" pitchFamily="50" charset="-127"/>
              <a:cs typeface="+mn-cs"/>
            </a:rPr>
            <a:t>동해안</a:t>
          </a:r>
          <a:r>
            <a:rPr lang="en-US" altLang="ko-KR" sz="1100" b="1" i="0" strike="noStrike">
              <a:solidFill>
                <a:schemeClr val="tx1"/>
              </a:solidFill>
              <a:latin typeface="맑은 고딕" pitchFamily="50" charset="-127"/>
              <a:ea typeface="맑은 고딕" pitchFamily="50" charset="-127"/>
              <a:cs typeface="+mn-cs"/>
            </a:rPr>
            <a:t>#1 </a:t>
          </a:r>
          <a:r>
            <a:rPr lang="ko-KR" altLang="en-US" sz="1100" b="1" i="0" strike="noStrike">
              <a:solidFill>
                <a:schemeClr val="tx1"/>
              </a:solidFill>
              <a:latin typeface="맑은 고딕" pitchFamily="50" charset="-127"/>
              <a:ea typeface="맑은 고딕" pitchFamily="50" charset="-127"/>
              <a:cs typeface="+mn-cs"/>
            </a:rPr>
            <a:t>변환소</a:t>
          </a:r>
          <a:endParaRPr lang="en-US" altLang="ko-KR" sz="1100" b="1" i="0" strike="noStrike">
            <a:solidFill>
              <a:schemeClr val="tx1"/>
            </a:solidFill>
            <a:latin typeface="맑은 고딕" pitchFamily="50" charset="-127"/>
            <a:ea typeface="맑은 고딕" pitchFamily="50" charset="-127"/>
            <a:cs typeface="+mn-cs"/>
          </a:endParaRPr>
        </a:p>
      </xdr:txBody>
    </xdr:sp>
    <xdr:clientData/>
  </xdr:twoCellAnchor>
  <xdr:twoCellAnchor>
    <xdr:from>
      <xdr:col>1</xdr:col>
      <xdr:colOff>787500</xdr:colOff>
      <xdr:row>9</xdr:row>
      <xdr:rowOff>202096</xdr:rowOff>
    </xdr:from>
    <xdr:to>
      <xdr:col>2</xdr:col>
      <xdr:colOff>641861</xdr:colOff>
      <xdr:row>10</xdr:row>
      <xdr:rowOff>54945</xdr:rowOff>
    </xdr:to>
    <xdr:sp macro="" textlink="">
      <xdr:nvSpPr>
        <xdr:cNvPr id="557" name="Text Box 52">
          <a:extLst>
            <a:ext uri="{FF2B5EF4-FFF2-40B4-BE49-F238E27FC236}">
              <a16:creationId xmlns:a16="http://schemas.microsoft.com/office/drawing/2014/main" id="{00000000-0008-0000-0400-00002D020000}"/>
            </a:ext>
          </a:extLst>
        </xdr:cNvPr>
        <xdr:cNvSpPr txBox="1">
          <a:spLocks noChangeArrowheads="1"/>
        </xdr:cNvSpPr>
      </xdr:nvSpPr>
      <xdr:spPr bwMode="auto">
        <a:xfrm flipH="1" flipV="1">
          <a:off x="1635225" y="3202471"/>
          <a:ext cx="692561" cy="214799"/>
        </a:xfrm>
        <a:prstGeom prst="rect">
          <a:avLst/>
        </a:prstGeom>
        <a:noFill/>
        <a:ln w="9525">
          <a:noFill/>
          <a:miter lim="800000"/>
          <a:headEnd/>
          <a:tailEnd/>
        </a:ln>
      </xdr:spPr>
      <xdr:txBody>
        <a:bodyPr vertOverflow="clip" wrap="square" lIns="36576" tIns="22860" rIns="36576" bIns="22860" anchor="ctr" upright="1">
          <a:noAutofit/>
        </a:bodyPr>
        <a:lstStyle/>
        <a:p>
          <a:pPr marL="0" indent="0" algn="ctr" rtl="0">
            <a:defRPr sz="1000"/>
          </a:pPr>
          <a:r>
            <a:rPr lang="ko-KR" altLang="en-US" sz="1100" b="1" i="0" strike="noStrike">
              <a:solidFill>
                <a:sysClr val="windowText" lastClr="000000"/>
              </a:solidFill>
              <a:latin typeface="맑은 고딕" pitchFamily="50" charset="-127"/>
              <a:ea typeface="맑은 고딕" pitchFamily="50" charset="-127"/>
              <a:cs typeface="+mn-cs"/>
            </a:rPr>
            <a:t>봉화</a:t>
          </a:r>
          <a:r>
            <a:rPr lang="en-US" altLang="ko-KR" sz="1100" b="1" i="0" strike="noStrike">
              <a:solidFill>
                <a:sysClr val="windowText" lastClr="000000"/>
              </a:solidFill>
              <a:latin typeface="맑은 고딕" pitchFamily="50" charset="-127"/>
              <a:ea typeface="맑은 고딕" pitchFamily="50" charset="-127"/>
              <a:cs typeface="+mn-cs"/>
            </a:rPr>
            <a:t>S/S</a:t>
          </a:r>
        </a:p>
      </xdr:txBody>
    </xdr:sp>
    <xdr:clientData/>
  </xdr:twoCellAnchor>
  <xdr:twoCellAnchor>
    <xdr:from>
      <xdr:col>1</xdr:col>
      <xdr:colOff>792032</xdr:colOff>
      <xdr:row>9</xdr:row>
      <xdr:rowOff>161489</xdr:rowOff>
    </xdr:from>
    <xdr:to>
      <xdr:col>1</xdr:col>
      <xdr:colOff>792716</xdr:colOff>
      <xdr:row>13</xdr:row>
      <xdr:rowOff>176025</xdr:rowOff>
    </xdr:to>
    <xdr:cxnSp macro="">
      <xdr:nvCxnSpPr>
        <xdr:cNvPr id="560" name="직선 연결선 559">
          <a:extLst>
            <a:ext uri="{FF2B5EF4-FFF2-40B4-BE49-F238E27FC236}">
              <a16:creationId xmlns:a16="http://schemas.microsoft.com/office/drawing/2014/main" id="{00000000-0008-0000-0400-000030020000}"/>
            </a:ext>
          </a:extLst>
        </xdr:cNvPr>
        <xdr:cNvCxnSpPr>
          <a:stCxn id="517" idx="0"/>
          <a:endCxn id="573" idx="2"/>
        </xdr:cNvCxnSpPr>
      </xdr:nvCxnSpPr>
      <xdr:spPr>
        <a:xfrm flipH="1" flipV="1">
          <a:off x="1639024" y="3168458"/>
          <a:ext cx="684" cy="1468198"/>
        </a:xfrm>
        <a:prstGeom prst="line">
          <a:avLst/>
        </a:prstGeom>
        <a:ln w="25400">
          <a:solidFill>
            <a:srgbClr val="0000FF"/>
          </a:solidFill>
          <a:prstDash val="soli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823207</xdr:colOff>
      <xdr:row>9</xdr:row>
      <xdr:rowOff>161635</xdr:rowOff>
    </xdr:from>
    <xdr:to>
      <xdr:col>5</xdr:col>
      <xdr:colOff>827719</xdr:colOff>
      <xdr:row>13</xdr:row>
      <xdr:rowOff>165695</xdr:rowOff>
    </xdr:to>
    <xdr:cxnSp macro="">
      <xdr:nvCxnSpPr>
        <xdr:cNvPr id="562" name="직선 연결선 561">
          <a:extLst>
            <a:ext uri="{FF2B5EF4-FFF2-40B4-BE49-F238E27FC236}">
              <a16:creationId xmlns:a16="http://schemas.microsoft.com/office/drawing/2014/main" id="{00000000-0008-0000-0400-000032020000}"/>
            </a:ext>
          </a:extLst>
        </xdr:cNvPr>
        <xdr:cNvCxnSpPr>
          <a:stCxn id="579" idx="0"/>
          <a:endCxn id="496" idx="2"/>
        </xdr:cNvCxnSpPr>
      </xdr:nvCxnSpPr>
      <xdr:spPr>
        <a:xfrm flipH="1" flipV="1">
          <a:off x="5017609" y="3151805"/>
          <a:ext cx="4512" cy="1446417"/>
        </a:xfrm>
        <a:prstGeom prst="line">
          <a:avLst/>
        </a:prstGeom>
        <a:ln w="25400">
          <a:solidFill>
            <a:srgbClr val="0000FF"/>
          </a:solidFill>
          <a:prstDash val="soli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217221</xdr:colOff>
      <xdr:row>13</xdr:row>
      <xdr:rowOff>267705</xdr:rowOff>
    </xdr:from>
    <xdr:to>
      <xdr:col>5</xdr:col>
      <xdr:colOff>566649</xdr:colOff>
      <xdr:row>13</xdr:row>
      <xdr:rowOff>270483</xdr:rowOff>
    </xdr:to>
    <xdr:cxnSp macro="">
      <xdr:nvCxnSpPr>
        <xdr:cNvPr id="563" name="직선 연결선 562">
          <a:extLst>
            <a:ext uri="{FF2B5EF4-FFF2-40B4-BE49-F238E27FC236}">
              <a16:creationId xmlns:a16="http://schemas.microsoft.com/office/drawing/2014/main" id="{00000000-0008-0000-0400-000033020000}"/>
            </a:ext>
          </a:extLst>
        </xdr:cNvPr>
        <xdr:cNvCxnSpPr>
          <a:endCxn id="579" idx="3"/>
        </xdr:cNvCxnSpPr>
      </xdr:nvCxnSpPr>
      <xdr:spPr>
        <a:xfrm>
          <a:off x="1903146" y="4715880"/>
          <a:ext cx="2864028" cy="2778"/>
        </a:xfrm>
        <a:prstGeom prst="line">
          <a:avLst/>
        </a:prstGeom>
        <a:ln w="25400">
          <a:solidFill>
            <a:srgbClr val="0000FF"/>
          </a:solidFill>
          <a:prstDash val="soli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130808</xdr:colOff>
      <xdr:row>23</xdr:row>
      <xdr:rowOff>50265</xdr:rowOff>
    </xdr:from>
    <xdr:to>
      <xdr:col>4</xdr:col>
      <xdr:colOff>637633</xdr:colOff>
      <xdr:row>23</xdr:row>
      <xdr:rowOff>323937</xdr:rowOff>
    </xdr:to>
    <xdr:sp macro="" textlink="">
      <xdr:nvSpPr>
        <xdr:cNvPr id="570" name="직사각형 569">
          <a:extLst>
            <a:ext uri="{FF2B5EF4-FFF2-40B4-BE49-F238E27FC236}">
              <a16:creationId xmlns:a16="http://schemas.microsoft.com/office/drawing/2014/main" id="{00000000-0008-0000-0400-00003A020000}"/>
            </a:ext>
          </a:extLst>
        </xdr:cNvPr>
        <xdr:cNvSpPr/>
      </xdr:nvSpPr>
      <xdr:spPr>
        <a:xfrm>
          <a:off x="3500687" y="7749093"/>
          <a:ext cx="506825" cy="273672"/>
        </a:xfrm>
        <a:prstGeom prst="rect">
          <a:avLst/>
        </a:prstGeom>
        <a:solidFill>
          <a:schemeClr val="accent1">
            <a:lumMod val="60000"/>
            <a:lumOff val="40000"/>
          </a:schemeClr>
        </a:solidFill>
        <a:ln w="25400" cmpd="sng"/>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altLang="ko-KR" sz="1400">
              <a:solidFill>
                <a:sysClr val="windowText" lastClr="000000"/>
              </a:solidFill>
              <a:latin typeface="+mn-lt"/>
              <a:ea typeface="+mn-ea"/>
              <a:cs typeface="+mn-cs"/>
            </a:rPr>
            <a:t>HSR</a:t>
          </a:r>
        </a:p>
      </xdr:txBody>
    </xdr:sp>
    <xdr:clientData/>
  </xdr:twoCellAnchor>
  <xdr:twoCellAnchor>
    <xdr:from>
      <xdr:col>3</xdr:col>
      <xdr:colOff>766521</xdr:colOff>
      <xdr:row>24</xdr:row>
      <xdr:rowOff>18793</xdr:rowOff>
    </xdr:from>
    <xdr:to>
      <xdr:col>5</xdr:col>
      <xdr:colOff>14780</xdr:colOff>
      <xdr:row>24</xdr:row>
      <xdr:rowOff>258528</xdr:rowOff>
    </xdr:to>
    <xdr:sp macro="" textlink="">
      <xdr:nvSpPr>
        <xdr:cNvPr id="571" name="Text Box 52">
          <a:extLst>
            <a:ext uri="{FF2B5EF4-FFF2-40B4-BE49-F238E27FC236}">
              <a16:creationId xmlns:a16="http://schemas.microsoft.com/office/drawing/2014/main" id="{00000000-0008-0000-0400-00003B020000}"/>
            </a:ext>
          </a:extLst>
        </xdr:cNvPr>
        <xdr:cNvSpPr txBox="1">
          <a:spLocks noChangeArrowheads="1"/>
        </xdr:cNvSpPr>
      </xdr:nvSpPr>
      <xdr:spPr bwMode="auto">
        <a:xfrm flipH="1" flipV="1">
          <a:off x="3290646" y="8448418"/>
          <a:ext cx="924659" cy="239735"/>
        </a:xfrm>
        <a:prstGeom prst="rect">
          <a:avLst/>
        </a:prstGeom>
        <a:noFill/>
        <a:ln w="9525">
          <a:noFill/>
          <a:miter lim="800000"/>
          <a:headEnd/>
          <a:tailEnd/>
        </a:ln>
      </xdr:spPr>
      <xdr:txBody>
        <a:bodyPr vertOverflow="clip" wrap="square" lIns="36576" tIns="22860" rIns="36576" bIns="22860" anchor="ctr" upright="1">
          <a:noAutofit/>
        </a:bodyPr>
        <a:lstStyle/>
        <a:p>
          <a:pPr marL="0" indent="0" algn="ctr" rtl="0">
            <a:defRPr sz="1000"/>
          </a:pPr>
          <a:r>
            <a:rPr lang="ko-KR" altLang="en-US" sz="1100" b="1" i="0" strike="noStrike">
              <a:solidFill>
                <a:schemeClr val="tx1"/>
              </a:solidFill>
              <a:latin typeface="맑은 고딕" pitchFamily="50" charset="-127"/>
              <a:ea typeface="맑은 고딕" pitchFamily="50" charset="-127"/>
              <a:cs typeface="+mn-cs"/>
            </a:rPr>
            <a:t>신한울</a:t>
          </a:r>
          <a:r>
            <a:rPr lang="en-US" altLang="ko-KR" sz="1100" b="1" i="0" strike="noStrike">
              <a:solidFill>
                <a:schemeClr val="tx1"/>
              </a:solidFill>
              <a:latin typeface="맑은 고딕" pitchFamily="50" charset="-127"/>
              <a:ea typeface="맑은 고딕" pitchFamily="50" charset="-127"/>
              <a:cs typeface="+mn-cs"/>
            </a:rPr>
            <a:t>S/S</a:t>
          </a:r>
        </a:p>
      </xdr:txBody>
    </xdr:sp>
    <xdr:clientData/>
  </xdr:twoCellAnchor>
  <xdr:twoCellAnchor>
    <xdr:from>
      <xdr:col>3</xdr:col>
      <xdr:colOff>100269</xdr:colOff>
      <xdr:row>19</xdr:row>
      <xdr:rowOff>113216</xdr:rowOff>
    </xdr:from>
    <xdr:to>
      <xdr:col>4</xdr:col>
      <xdr:colOff>186728</xdr:colOff>
      <xdr:row>19</xdr:row>
      <xdr:rowOff>350679</xdr:rowOff>
    </xdr:to>
    <xdr:sp macro="" textlink="">
      <xdr:nvSpPr>
        <xdr:cNvPr id="575" name="Text Box 52">
          <a:extLst>
            <a:ext uri="{FF2B5EF4-FFF2-40B4-BE49-F238E27FC236}">
              <a16:creationId xmlns:a16="http://schemas.microsoft.com/office/drawing/2014/main" id="{00000000-0008-0000-0400-00003F020000}"/>
            </a:ext>
          </a:extLst>
        </xdr:cNvPr>
        <xdr:cNvSpPr txBox="1">
          <a:spLocks noChangeArrowheads="1"/>
        </xdr:cNvSpPr>
      </xdr:nvSpPr>
      <xdr:spPr bwMode="auto">
        <a:xfrm flipH="1" flipV="1">
          <a:off x="2624394" y="6756904"/>
          <a:ext cx="925850" cy="237463"/>
        </a:xfrm>
        <a:prstGeom prst="rect">
          <a:avLst/>
        </a:prstGeom>
        <a:noFill/>
        <a:ln w="9525">
          <a:noFill/>
          <a:miter lim="800000"/>
          <a:headEnd/>
          <a:tailEnd/>
        </a:ln>
      </xdr:spPr>
      <xdr:txBody>
        <a:bodyPr vertOverflow="clip" wrap="square" lIns="36576" tIns="22860" rIns="36576" bIns="22860" anchor="ctr" upright="1">
          <a:noAutofit/>
        </a:bodyPr>
        <a:lstStyle/>
        <a:p>
          <a:pPr marL="0" indent="0" algn="ctr" rtl="0">
            <a:defRPr sz="1000"/>
          </a:pPr>
          <a:r>
            <a:rPr lang="ko-KR" altLang="en-US" sz="1100" b="1" i="0" strike="noStrike">
              <a:solidFill>
                <a:schemeClr val="tx1"/>
              </a:solidFill>
              <a:latin typeface="맑은 고딕" pitchFamily="50" charset="-127"/>
              <a:ea typeface="맑은 고딕" pitchFamily="50" charset="-127"/>
              <a:cs typeface="+mn-cs"/>
            </a:rPr>
            <a:t>한울</a:t>
          </a:r>
          <a:r>
            <a:rPr lang="en-US" altLang="ko-KR" sz="1100" b="1" i="0" strike="noStrike">
              <a:solidFill>
                <a:schemeClr val="tx1"/>
              </a:solidFill>
              <a:latin typeface="맑은 고딕" pitchFamily="50" charset="-127"/>
              <a:ea typeface="맑은 고딕" pitchFamily="50" charset="-127"/>
              <a:cs typeface="+mn-cs"/>
            </a:rPr>
            <a:t>#3S/Y</a:t>
          </a:r>
        </a:p>
      </xdr:txBody>
    </xdr:sp>
    <xdr:clientData/>
  </xdr:twoCellAnchor>
  <xdr:twoCellAnchor>
    <xdr:from>
      <xdr:col>2</xdr:col>
      <xdr:colOff>719353</xdr:colOff>
      <xdr:row>24</xdr:row>
      <xdr:rowOff>18941</xdr:rowOff>
    </xdr:from>
    <xdr:to>
      <xdr:col>3</xdr:col>
      <xdr:colOff>605350</xdr:colOff>
      <xdr:row>24</xdr:row>
      <xdr:rowOff>258675</xdr:rowOff>
    </xdr:to>
    <xdr:sp macro="" textlink="">
      <xdr:nvSpPr>
        <xdr:cNvPr id="577" name="Text Box 52">
          <a:extLst>
            <a:ext uri="{FF2B5EF4-FFF2-40B4-BE49-F238E27FC236}">
              <a16:creationId xmlns:a16="http://schemas.microsoft.com/office/drawing/2014/main" id="{00000000-0008-0000-0400-000041020000}"/>
            </a:ext>
          </a:extLst>
        </xdr:cNvPr>
        <xdr:cNvSpPr txBox="1">
          <a:spLocks noChangeArrowheads="1"/>
        </xdr:cNvSpPr>
      </xdr:nvSpPr>
      <xdr:spPr bwMode="auto">
        <a:xfrm flipH="1" flipV="1">
          <a:off x="2407183" y="8092331"/>
          <a:ext cx="724197" cy="239734"/>
        </a:xfrm>
        <a:prstGeom prst="rect">
          <a:avLst/>
        </a:prstGeom>
        <a:noFill/>
        <a:ln w="9525">
          <a:noFill/>
          <a:miter lim="800000"/>
          <a:headEnd/>
          <a:tailEnd/>
        </a:ln>
      </xdr:spPr>
      <xdr:txBody>
        <a:bodyPr vertOverflow="clip" wrap="square" lIns="36576" tIns="22860" rIns="36576" bIns="22860" anchor="ctr" upright="1">
          <a:noAutofit/>
        </a:bodyPr>
        <a:lstStyle/>
        <a:p>
          <a:pPr marL="0" indent="0" algn="ctr" rtl="0">
            <a:defRPr sz="1000"/>
          </a:pPr>
          <a:r>
            <a:rPr lang="ko-KR" altLang="en-US" sz="1100" b="1" i="0" strike="noStrike">
              <a:solidFill>
                <a:schemeClr val="tx1"/>
              </a:solidFill>
              <a:latin typeface="맑은 고딕" pitchFamily="50" charset="-127"/>
              <a:ea typeface="맑은 고딕" pitchFamily="50" charset="-127"/>
              <a:cs typeface="+mn-cs"/>
            </a:rPr>
            <a:t>신영주</a:t>
          </a:r>
          <a:r>
            <a:rPr lang="en-US" altLang="ko-KR" sz="1100" b="1" i="0" strike="noStrike">
              <a:solidFill>
                <a:schemeClr val="tx1"/>
              </a:solidFill>
              <a:latin typeface="맑은 고딕" pitchFamily="50" charset="-127"/>
              <a:ea typeface="맑은 고딕" pitchFamily="50" charset="-127"/>
              <a:cs typeface="+mn-cs"/>
            </a:rPr>
            <a:t>S/S</a:t>
          </a:r>
        </a:p>
      </xdr:txBody>
    </xdr:sp>
    <xdr:clientData/>
  </xdr:twoCellAnchor>
  <xdr:twoCellAnchor>
    <xdr:from>
      <xdr:col>4</xdr:col>
      <xdr:colOff>100193</xdr:colOff>
      <xdr:row>17</xdr:row>
      <xdr:rowOff>329979</xdr:rowOff>
    </xdr:from>
    <xdr:to>
      <xdr:col>4</xdr:col>
      <xdr:colOff>636984</xdr:colOff>
      <xdr:row>18</xdr:row>
      <xdr:rowOff>238980</xdr:rowOff>
    </xdr:to>
    <xdr:sp macro="" textlink="">
      <xdr:nvSpPr>
        <xdr:cNvPr id="578" name="직사각형 577">
          <a:extLst>
            <a:ext uri="{FF2B5EF4-FFF2-40B4-BE49-F238E27FC236}">
              <a16:creationId xmlns:a16="http://schemas.microsoft.com/office/drawing/2014/main" id="{00000000-0008-0000-0400-000042020000}"/>
            </a:ext>
          </a:extLst>
        </xdr:cNvPr>
        <xdr:cNvSpPr/>
      </xdr:nvSpPr>
      <xdr:spPr>
        <a:xfrm>
          <a:off x="3463709" y="6247385"/>
          <a:ext cx="536791" cy="272142"/>
        </a:xfrm>
        <a:prstGeom prst="rect">
          <a:avLst/>
        </a:prstGeom>
        <a:solidFill>
          <a:schemeClr val="accent1">
            <a:lumMod val="60000"/>
            <a:lumOff val="40000"/>
          </a:schemeClr>
        </a:solidFill>
        <a:ln w="25400" cmpd="sng"/>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altLang="ko-KR" sz="1400">
              <a:solidFill>
                <a:sysClr val="windowText" lastClr="000000"/>
              </a:solidFill>
              <a:latin typeface="+mn-lt"/>
              <a:ea typeface="+mn-ea"/>
              <a:cs typeface="+mn-cs"/>
            </a:rPr>
            <a:t>HSR</a:t>
          </a:r>
        </a:p>
      </xdr:txBody>
    </xdr:sp>
    <xdr:clientData/>
  </xdr:twoCellAnchor>
  <xdr:twoCellAnchor>
    <xdr:from>
      <xdr:col>3</xdr:col>
      <xdr:colOff>105570</xdr:colOff>
      <xdr:row>17</xdr:row>
      <xdr:rowOff>330708</xdr:rowOff>
    </xdr:from>
    <xdr:to>
      <xdr:col>4</xdr:col>
      <xdr:colOff>193760</xdr:colOff>
      <xdr:row>18</xdr:row>
      <xdr:rowOff>210863</xdr:rowOff>
    </xdr:to>
    <xdr:sp macro="" textlink="">
      <xdr:nvSpPr>
        <xdr:cNvPr id="580" name="Text Box 52">
          <a:extLst>
            <a:ext uri="{FF2B5EF4-FFF2-40B4-BE49-F238E27FC236}">
              <a16:creationId xmlns:a16="http://schemas.microsoft.com/office/drawing/2014/main" id="{00000000-0008-0000-0400-000044020000}"/>
            </a:ext>
          </a:extLst>
        </xdr:cNvPr>
        <xdr:cNvSpPr txBox="1">
          <a:spLocks noChangeArrowheads="1"/>
        </xdr:cNvSpPr>
      </xdr:nvSpPr>
      <xdr:spPr bwMode="auto">
        <a:xfrm flipH="1" flipV="1">
          <a:off x="2623887" y="6236208"/>
          <a:ext cx="924532" cy="242570"/>
        </a:xfrm>
        <a:prstGeom prst="rect">
          <a:avLst/>
        </a:prstGeom>
        <a:noFill/>
        <a:ln w="9525">
          <a:noFill/>
          <a:miter lim="800000"/>
          <a:headEnd/>
          <a:tailEnd/>
        </a:ln>
      </xdr:spPr>
      <xdr:txBody>
        <a:bodyPr vertOverflow="clip" wrap="square" lIns="36576" tIns="22860" rIns="36576" bIns="22860" anchor="ctr" upright="1">
          <a:noAutofit/>
        </a:bodyPr>
        <a:lstStyle/>
        <a:p>
          <a:pPr marL="0" indent="0" algn="ctr" rtl="0">
            <a:defRPr sz="1000"/>
          </a:pPr>
          <a:r>
            <a:rPr lang="ko-KR" altLang="en-US" sz="1100" b="1" i="0" strike="noStrike">
              <a:solidFill>
                <a:schemeClr val="tx1"/>
              </a:solidFill>
              <a:latin typeface="맑은 고딕" pitchFamily="50" charset="-127"/>
              <a:ea typeface="맑은 고딕" pitchFamily="50" charset="-127"/>
              <a:cs typeface="+mn-cs"/>
            </a:rPr>
            <a:t>한울</a:t>
          </a:r>
          <a:r>
            <a:rPr lang="en-US" altLang="ko-KR" sz="1100" b="1" i="0" strike="noStrike">
              <a:solidFill>
                <a:schemeClr val="tx1"/>
              </a:solidFill>
              <a:latin typeface="맑은 고딕" pitchFamily="50" charset="-127"/>
              <a:ea typeface="맑은 고딕" pitchFamily="50" charset="-127"/>
              <a:cs typeface="+mn-cs"/>
            </a:rPr>
            <a:t>#2S/Y</a:t>
          </a:r>
        </a:p>
      </xdr:txBody>
    </xdr:sp>
    <xdr:clientData/>
  </xdr:twoCellAnchor>
  <xdr:twoCellAnchor>
    <xdr:from>
      <xdr:col>2</xdr:col>
      <xdr:colOff>794144</xdr:colOff>
      <xdr:row>16</xdr:row>
      <xdr:rowOff>351188</xdr:rowOff>
    </xdr:from>
    <xdr:to>
      <xdr:col>3</xdr:col>
      <xdr:colOff>461037</xdr:colOff>
      <xdr:row>17</xdr:row>
      <xdr:rowOff>260189</xdr:rowOff>
    </xdr:to>
    <xdr:sp macro="" textlink="">
      <xdr:nvSpPr>
        <xdr:cNvPr id="582" name="직사각형 581">
          <a:extLst>
            <a:ext uri="{FF2B5EF4-FFF2-40B4-BE49-F238E27FC236}">
              <a16:creationId xmlns:a16="http://schemas.microsoft.com/office/drawing/2014/main" id="{00000000-0008-0000-0400-000046020000}"/>
            </a:ext>
          </a:extLst>
        </xdr:cNvPr>
        <xdr:cNvSpPr/>
      </xdr:nvSpPr>
      <xdr:spPr>
        <a:xfrm>
          <a:off x="2481430" y="5924674"/>
          <a:ext cx="505093" cy="273672"/>
        </a:xfrm>
        <a:prstGeom prst="rect">
          <a:avLst/>
        </a:prstGeom>
        <a:solidFill>
          <a:schemeClr val="accent1">
            <a:lumMod val="60000"/>
            <a:lumOff val="40000"/>
          </a:schemeClr>
        </a:solidFill>
        <a:ln w="25400" cmpd="sng"/>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altLang="ko-KR" sz="1400">
              <a:solidFill>
                <a:sysClr val="windowText" lastClr="000000"/>
              </a:solidFill>
              <a:latin typeface="+mn-lt"/>
              <a:ea typeface="+mn-ea"/>
              <a:cs typeface="+mn-cs"/>
            </a:rPr>
            <a:t>HSR</a:t>
          </a:r>
        </a:p>
      </xdr:txBody>
    </xdr:sp>
    <xdr:clientData/>
  </xdr:twoCellAnchor>
  <xdr:twoCellAnchor>
    <xdr:from>
      <xdr:col>2</xdr:col>
      <xdr:colOff>586839</xdr:colOff>
      <xdr:row>16</xdr:row>
      <xdr:rowOff>75456</xdr:rowOff>
    </xdr:from>
    <xdr:to>
      <xdr:col>3</xdr:col>
      <xdr:colOff>675029</xdr:colOff>
      <xdr:row>16</xdr:row>
      <xdr:rowOff>318570</xdr:rowOff>
    </xdr:to>
    <xdr:sp macro="" textlink="">
      <xdr:nvSpPr>
        <xdr:cNvPr id="583" name="Text Box 52">
          <a:extLst>
            <a:ext uri="{FF2B5EF4-FFF2-40B4-BE49-F238E27FC236}">
              <a16:creationId xmlns:a16="http://schemas.microsoft.com/office/drawing/2014/main" id="{00000000-0008-0000-0400-000047020000}"/>
            </a:ext>
          </a:extLst>
        </xdr:cNvPr>
        <xdr:cNvSpPr txBox="1">
          <a:spLocks noChangeArrowheads="1"/>
        </xdr:cNvSpPr>
      </xdr:nvSpPr>
      <xdr:spPr bwMode="auto">
        <a:xfrm flipH="1" flipV="1">
          <a:off x="2274125" y="5648942"/>
          <a:ext cx="926390" cy="243114"/>
        </a:xfrm>
        <a:prstGeom prst="rect">
          <a:avLst/>
        </a:prstGeom>
        <a:noFill/>
        <a:ln w="9525">
          <a:noFill/>
          <a:miter lim="800000"/>
          <a:headEnd/>
          <a:tailEnd/>
        </a:ln>
      </xdr:spPr>
      <xdr:txBody>
        <a:bodyPr vertOverflow="clip" wrap="square" lIns="36576" tIns="22860" rIns="36576" bIns="22860" anchor="ctr" upright="1">
          <a:noAutofit/>
        </a:bodyPr>
        <a:lstStyle/>
        <a:p>
          <a:pPr marL="0" indent="0" algn="ctr" rtl="0">
            <a:defRPr sz="1000"/>
          </a:pPr>
          <a:r>
            <a:rPr lang="ko-KR" altLang="en-US" sz="1100" b="1" i="0" strike="noStrike">
              <a:solidFill>
                <a:schemeClr val="tx1"/>
              </a:solidFill>
              <a:latin typeface="맑은 고딕" pitchFamily="50" charset="-127"/>
              <a:ea typeface="맑은 고딕" pitchFamily="50" charset="-127"/>
              <a:cs typeface="+mn-cs"/>
            </a:rPr>
            <a:t>한울</a:t>
          </a:r>
          <a:r>
            <a:rPr lang="en-US" altLang="ko-KR" sz="1100" b="1" i="0" strike="noStrike">
              <a:solidFill>
                <a:schemeClr val="tx1"/>
              </a:solidFill>
              <a:latin typeface="맑은 고딕" pitchFamily="50" charset="-127"/>
              <a:ea typeface="맑은 고딕" pitchFamily="50" charset="-127"/>
              <a:cs typeface="+mn-cs"/>
            </a:rPr>
            <a:t>#1S/Y</a:t>
          </a:r>
        </a:p>
      </xdr:txBody>
    </xdr:sp>
    <xdr:clientData/>
  </xdr:twoCellAnchor>
  <xdr:twoCellAnchor>
    <xdr:from>
      <xdr:col>1</xdr:col>
      <xdr:colOff>519263</xdr:colOff>
      <xdr:row>20</xdr:row>
      <xdr:rowOff>7152</xdr:rowOff>
    </xdr:from>
    <xdr:to>
      <xdr:col>2</xdr:col>
      <xdr:colOff>189746</xdr:colOff>
      <xdr:row>20</xdr:row>
      <xdr:rowOff>279143</xdr:rowOff>
    </xdr:to>
    <xdr:sp macro="" textlink="">
      <xdr:nvSpPr>
        <xdr:cNvPr id="587" name="직사각형 586">
          <a:extLst>
            <a:ext uri="{FF2B5EF4-FFF2-40B4-BE49-F238E27FC236}">
              <a16:creationId xmlns:a16="http://schemas.microsoft.com/office/drawing/2014/main" id="{00000000-0008-0000-0400-00004B020000}"/>
            </a:ext>
          </a:extLst>
        </xdr:cNvPr>
        <xdr:cNvSpPr/>
      </xdr:nvSpPr>
      <xdr:spPr>
        <a:xfrm>
          <a:off x="1368349" y="7039323"/>
          <a:ext cx="508683" cy="271991"/>
        </a:xfrm>
        <a:prstGeom prst="rect">
          <a:avLst/>
        </a:prstGeom>
        <a:solidFill>
          <a:schemeClr val="accent1">
            <a:lumMod val="60000"/>
            <a:lumOff val="40000"/>
          </a:schemeClr>
        </a:solidFill>
        <a:ln w="25400" cmpd="sng"/>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altLang="ko-KR" sz="1400">
              <a:solidFill>
                <a:sysClr val="windowText" lastClr="000000"/>
              </a:solidFill>
              <a:latin typeface="+mn-lt"/>
              <a:ea typeface="+mn-ea"/>
              <a:cs typeface="+mn-cs"/>
            </a:rPr>
            <a:t>HSR</a:t>
          </a:r>
        </a:p>
      </xdr:txBody>
    </xdr:sp>
    <xdr:clientData/>
  </xdr:twoCellAnchor>
  <xdr:twoCellAnchor>
    <xdr:from>
      <xdr:col>1</xdr:col>
      <xdr:colOff>518451</xdr:colOff>
      <xdr:row>23</xdr:row>
      <xdr:rowOff>17656</xdr:rowOff>
    </xdr:from>
    <xdr:to>
      <xdr:col>2</xdr:col>
      <xdr:colOff>188934</xdr:colOff>
      <xdr:row>23</xdr:row>
      <xdr:rowOff>291328</xdr:rowOff>
    </xdr:to>
    <xdr:sp macro="" textlink="">
      <xdr:nvSpPr>
        <xdr:cNvPr id="588" name="직사각형 587">
          <a:extLst>
            <a:ext uri="{FF2B5EF4-FFF2-40B4-BE49-F238E27FC236}">
              <a16:creationId xmlns:a16="http://schemas.microsoft.com/office/drawing/2014/main" id="{00000000-0008-0000-0400-00004C020000}"/>
            </a:ext>
          </a:extLst>
        </xdr:cNvPr>
        <xdr:cNvSpPr/>
      </xdr:nvSpPr>
      <xdr:spPr>
        <a:xfrm>
          <a:off x="1363277" y="7770178"/>
          <a:ext cx="507027" cy="273672"/>
        </a:xfrm>
        <a:prstGeom prst="rect">
          <a:avLst/>
        </a:prstGeom>
        <a:solidFill>
          <a:schemeClr val="accent1">
            <a:lumMod val="60000"/>
            <a:lumOff val="40000"/>
          </a:schemeClr>
        </a:solidFill>
        <a:ln w="25400" cmpd="sng"/>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altLang="ko-KR" sz="1400">
              <a:solidFill>
                <a:sysClr val="windowText" lastClr="000000"/>
              </a:solidFill>
              <a:latin typeface="+mn-lt"/>
              <a:ea typeface="+mn-ea"/>
              <a:cs typeface="+mn-cs"/>
            </a:rPr>
            <a:t>HSR</a:t>
          </a:r>
        </a:p>
      </xdr:txBody>
    </xdr:sp>
    <xdr:clientData/>
  </xdr:twoCellAnchor>
  <xdr:twoCellAnchor>
    <xdr:from>
      <xdr:col>2</xdr:col>
      <xdr:colOff>806604</xdr:colOff>
      <xdr:row>23</xdr:row>
      <xdr:rowOff>44604</xdr:rowOff>
    </xdr:from>
    <xdr:to>
      <xdr:col>3</xdr:col>
      <xdr:colOff>477088</xdr:colOff>
      <xdr:row>23</xdr:row>
      <xdr:rowOff>318276</xdr:rowOff>
    </xdr:to>
    <xdr:sp macro="" textlink="">
      <xdr:nvSpPr>
        <xdr:cNvPr id="589" name="직사각형 588">
          <a:extLst>
            <a:ext uri="{FF2B5EF4-FFF2-40B4-BE49-F238E27FC236}">
              <a16:creationId xmlns:a16="http://schemas.microsoft.com/office/drawing/2014/main" id="{00000000-0008-0000-0400-00004D020000}"/>
            </a:ext>
          </a:extLst>
        </xdr:cNvPr>
        <xdr:cNvSpPr/>
      </xdr:nvSpPr>
      <xdr:spPr>
        <a:xfrm>
          <a:off x="2488580" y="7762177"/>
          <a:ext cx="506825" cy="273672"/>
        </a:xfrm>
        <a:prstGeom prst="rect">
          <a:avLst/>
        </a:prstGeom>
        <a:solidFill>
          <a:schemeClr val="accent1">
            <a:lumMod val="60000"/>
            <a:lumOff val="40000"/>
          </a:schemeClr>
        </a:solidFill>
        <a:ln w="25400" cmpd="sng"/>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altLang="ko-KR" sz="1400">
              <a:solidFill>
                <a:sysClr val="windowText" lastClr="000000"/>
              </a:solidFill>
              <a:latin typeface="+mn-lt"/>
              <a:ea typeface="+mn-ea"/>
              <a:cs typeface="+mn-cs"/>
            </a:rPr>
            <a:t>HSR</a:t>
          </a:r>
        </a:p>
      </xdr:txBody>
    </xdr:sp>
    <xdr:clientData/>
  </xdr:twoCellAnchor>
  <xdr:twoCellAnchor>
    <xdr:from>
      <xdr:col>1</xdr:col>
      <xdr:colOff>415290</xdr:colOff>
      <xdr:row>24</xdr:row>
      <xdr:rowOff>19050</xdr:rowOff>
    </xdr:from>
    <xdr:to>
      <xdr:col>2</xdr:col>
      <xdr:colOff>301287</xdr:colOff>
      <xdr:row>24</xdr:row>
      <xdr:rowOff>258784</xdr:rowOff>
    </xdr:to>
    <xdr:sp macro="" textlink="">
      <xdr:nvSpPr>
        <xdr:cNvPr id="590" name="Text Box 52">
          <a:extLst>
            <a:ext uri="{FF2B5EF4-FFF2-40B4-BE49-F238E27FC236}">
              <a16:creationId xmlns:a16="http://schemas.microsoft.com/office/drawing/2014/main" id="{00000000-0008-0000-0400-00004E020000}"/>
            </a:ext>
          </a:extLst>
        </xdr:cNvPr>
        <xdr:cNvSpPr txBox="1">
          <a:spLocks noChangeArrowheads="1"/>
        </xdr:cNvSpPr>
      </xdr:nvSpPr>
      <xdr:spPr bwMode="auto">
        <a:xfrm flipH="1" flipV="1">
          <a:off x="1264920" y="8092440"/>
          <a:ext cx="724197" cy="239734"/>
        </a:xfrm>
        <a:prstGeom prst="rect">
          <a:avLst/>
        </a:prstGeom>
        <a:noFill/>
        <a:ln w="9525">
          <a:noFill/>
          <a:miter lim="800000"/>
          <a:headEnd/>
          <a:tailEnd/>
        </a:ln>
      </xdr:spPr>
      <xdr:txBody>
        <a:bodyPr vertOverflow="clip" wrap="square" lIns="36576" tIns="22860" rIns="36576" bIns="22860" anchor="ctr" upright="1">
          <a:noAutofit/>
        </a:bodyPr>
        <a:lstStyle/>
        <a:p>
          <a:pPr marL="0" indent="0" algn="ctr" rtl="0">
            <a:defRPr sz="1000"/>
          </a:pPr>
          <a:r>
            <a:rPr lang="ko-KR" altLang="en-US" sz="1100" b="1" i="0" strike="noStrike">
              <a:solidFill>
                <a:schemeClr val="tx1"/>
              </a:solidFill>
              <a:latin typeface="맑은 고딕" pitchFamily="50" charset="-127"/>
              <a:ea typeface="맑은 고딕" pitchFamily="50" charset="-127"/>
              <a:cs typeface="+mn-cs"/>
            </a:rPr>
            <a:t>영주</a:t>
          </a:r>
          <a:r>
            <a:rPr lang="en-US" altLang="ko-KR" sz="1100" b="1" i="0" strike="noStrike">
              <a:solidFill>
                <a:schemeClr val="tx1"/>
              </a:solidFill>
              <a:latin typeface="맑은 고딕" pitchFamily="50" charset="-127"/>
              <a:ea typeface="맑은 고딕" pitchFamily="50" charset="-127"/>
              <a:cs typeface="+mn-cs"/>
            </a:rPr>
            <a:t>S/S</a:t>
          </a:r>
        </a:p>
      </xdr:txBody>
    </xdr:sp>
    <xdr:clientData/>
  </xdr:twoCellAnchor>
  <xdr:twoCellAnchor>
    <xdr:from>
      <xdr:col>1</xdr:col>
      <xdr:colOff>109789</xdr:colOff>
      <xdr:row>19</xdr:row>
      <xdr:rowOff>113487</xdr:rowOff>
    </xdr:from>
    <xdr:to>
      <xdr:col>2</xdr:col>
      <xdr:colOff>382</xdr:colOff>
      <xdr:row>19</xdr:row>
      <xdr:rowOff>356501</xdr:rowOff>
    </xdr:to>
    <xdr:sp macro="" textlink="">
      <xdr:nvSpPr>
        <xdr:cNvPr id="591" name="Text Box 52">
          <a:extLst>
            <a:ext uri="{FF2B5EF4-FFF2-40B4-BE49-F238E27FC236}">
              <a16:creationId xmlns:a16="http://schemas.microsoft.com/office/drawing/2014/main" id="{00000000-0008-0000-0400-00004F020000}"/>
            </a:ext>
          </a:extLst>
        </xdr:cNvPr>
        <xdr:cNvSpPr txBox="1">
          <a:spLocks noChangeArrowheads="1"/>
        </xdr:cNvSpPr>
      </xdr:nvSpPr>
      <xdr:spPr bwMode="auto">
        <a:xfrm flipH="1" flipV="1">
          <a:off x="958875" y="6780987"/>
          <a:ext cx="728793" cy="243014"/>
        </a:xfrm>
        <a:prstGeom prst="rect">
          <a:avLst/>
        </a:prstGeom>
        <a:noFill/>
        <a:ln w="9525">
          <a:noFill/>
          <a:miter lim="800000"/>
          <a:headEnd/>
          <a:tailEnd/>
        </a:ln>
      </xdr:spPr>
      <xdr:txBody>
        <a:bodyPr vertOverflow="clip" wrap="square" lIns="36576" tIns="22860" rIns="36576" bIns="22860" anchor="ctr" upright="1">
          <a:noAutofit/>
        </a:bodyPr>
        <a:lstStyle/>
        <a:p>
          <a:pPr marL="0" indent="0" algn="ctr" rtl="0">
            <a:defRPr sz="1000"/>
          </a:pPr>
          <a:r>
            <a:rPr lang="ko-KR" altLang="en-US" sz="1100" b="1" i="0" strike="noStrike">
              <a:solidFill>
                <a:schemeClr val="tx1"/>
              </a:solidFill>
              <a:latin typeface="맑은 고딕" pitchFamily="50" charset="-127"/>
              <a:ea typeface="맑은 고딕" pitchFamily="50" charset="-127"/>
              <a:cs typeface="+mn-cs"/>
            </a:rPr>
            <a:t>영주</a:t>
          </a:r>
          <a:r>
            <a:rPr lang="en-US" altLang="ko-KR" sz="1100" b="1" i="0" strike="noStrike">
              <a:solidFill>
                <a:schemeClr val="tx1"/>
              </a:solidFill>
              <a:latin typeface="맑은 고딕" pitchFamily="50" charset="-127"/>
              <a:ea typeface="맑은 고딕" pitchFamily="50" charset="-127"/>
              <a:cs typeface="+mn-cs"/>
            </a:rPr>
            <a:t>ESS</a:t>
          </a:r>
        </a:p>
      </xdr:txBody>
    </xdr:sp>
    <xdr:clientData/>
  </xdr:twoCellAnchor>
  <xdr:twoCellAnchor>
    <xdr:from>
      <xdr:col>5</xdr:col>
      <xdr:colOff>84913</xdr:colOff>
      <xdr:row>15</xdr:row>
      <xdr:rowOff>352529</xdr:rowOff>
    </xdr:from>
    <xdr:to>
      <xdr:col>6</xdr:col>
      <xdr:colOff>243533</xdr:colOff>
      <xdr:row>17</xdr:row>
      <xdr:rowOff>49753</xdr:rowOff>
    </xdr:to>
    <xdr:sp macro="" textlink="">
      <xdr:nvSpPr>
        <xdr:cNvPr id="600" name="Text Box 52">
          <a:extLst>
            <a:ext uri="{FF2B5EF4-FFF2-40B4-BE49-F238E27FC236}">
              <a16:creationId xmlns:a16="http://schemas.microsoft.com/office/drawing/2014/main" id="{00000000-0008-0000-0400-000058020000}"/>
            </a:ext>
          </a:extLst>
        </xdr:cNvPr>
        <xdr:cNvSpPr txBox="1">
          <a:spLocks noChangeArrowheads="1"/>
        </xdr:cNvSpPr>
      </xdr:nvSpPr>
      <xdr:spPr bwMode="auto">
        <a:xfrm flipH="1" flipV="1">
          <a:off x="4287819" y="5543654"/>
          <a:ext cx="998011" cy="423505"/>
        </a:xfrm>
        <a:prstGeom prst="rect">
          <a:avLst/>
        </a:prstGeom>
        <a:noFill/>
        <a:ln w="9525">
          <a:noFill/>
          <a:miter lim="800000"/>
          <a:headEnd/>
          <a:tailEnd/>
        </a:ln>
      </xdr:spPr>
      <xdr:txBody>
        <a:bodyPr vertOverflow="clip" wrap="square" lIns="36576" tIns="22860" rIns="36576" bIns="22860" anchor="ctr" upright="1">
          <a:noAutofit/>
        </a:bodyPr>
        <a:lstStyle/>
        <a:p>
          <a:pPr marL="0" indent="0" algn="ctr" rtl="0">
            <a:defRPr sz="1000"/>
          </a:pPr>
          <a:r>
            <a:rPr lang="ko-KR" altLang="en-US" sz="1100" b="1" i="0" strike="noStrike">
              <a:solidFill>
                <a:schemeClr val="tx1"/>
              </a:solidFill>
              <a:latin typeface="맑은 고딕" pitchFamily="50" charset="-127"/>
              <a:ea typeface="맑은 고딕" pitchFamily="50" charset="-127"/>
              <a:cs typeface="+mn-cs"/>
            </a:rPr>
            <a:t>신태백 변전소</a:t>
          </a:r>
          <a:endParaRPr lang="en-US" altLang="ko-KR" sz="1100" b="1" i="0" strike="noStrike">
            <a:solidFill>
              <a:schemeClr val="tx1"/>
            </a:solidFill>
            <a:latin typeface="맑은 고딕" pitchFamily="50" charset="-127"/>
            <a:ea typeface="맑은 고딕" pitchFamily="50" charset="-127"/>
            <a:cs typeface="+mn-cs"/>
          </a:endParaRPr>
        </a:p>
      </xdr:txBody>
    </xdr:sp>
    <xdr:clientData/>
  </xdr:twoCellAnchor>
  <xdr:twoCellAnchor>
    <xdr:from>
      <xdr:col>1</xdr:col>
      <xdr:colOff>551753</xdr:colOff>
      <xdr:row>17</xdr:row>
      <xdr:rowOff>4146</xdr:rowOff>
    </xdr:from>
    <xdr:to>
      <xdr:col>2</xdr:col>
      <xdr:colOff>222236</xdr:colOff>
      <xdr:row>17</xdr:row>
      <xdr:rowOff>280074</xdr:rowOff>
    </xdr:to>
    <xdr:sp macro="" textlink="">
      <xdr:nvSpPr>
        <xdr:cNvPr id="602" name="직사각형 601">
          <a:extLst>
            <a:ext uri="{FF2B5EF4-FFF2-40B4-BE49-F238E27FC236}">
              <a16:creationId xmlns:a16="http://schemas.microsoft.com/office/drawing/2014/main" id="{00000000-0008-0000-0400-00005A020000}"/>
            </a:ext>
          </a:extLst>
        </xdr:cNvPr>
        <xdr:cNvSpPr/>
      </xdr:nvSpPr>
      <xdr:spPr>
        <a:xfrm>
          <a:off x="1400839" y="5942303"/>
          <a:ext cx="508683" cy="275928"/>
        </a:xfrm>
        <a:prstGeom prst="rect">
          <a:avLst/>
        </a:prstGeom>
        <a:solidFill>
          <a:schemeClr val="accent1">
            <a:lumMod val="60000"/>
            <a:lumOff val="40000"/>
          </a:schemeClr>
        </a:solidFill>
        <a:ln w="25400" cmpd="sng"/>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altLang="ko-KR" sz="1400">
              <a:solidFill>
                <a:sysClr val="windowText" lastClr="000000"/>
              </a:solidFill>
              <a:latin typeface="+mn-lt"/>
              <a:ea typeface="+mn-ea"/>
              <a:cs typeface="+mn-cs"/>
            </a:rPr>
            <a:t>HSR</a:t>
          </a:r>
        </a:p>
      </xdr:txBody>
    </xdr:sp>
    <xdr:clientData/>
  </xdr:twoCellAnchor>
  <xdr:twoCellAnchor>
    <xdr:from>
      <xdr:col>1</xdr:col>
      <xdr:colOff>423146</xdr:colOff>
      <xdr:row>16</xdr:row>
      <xdr:rowOff>106699</xdr:rowOff>
    </xdr:from>
    <xdr:to>
      <xdr:col>2</xdr:col>
      <xdr:colOff>311770</xdr:colOff>
      <xdr:row>16</xdr:row>
      <xdr:rowOff>349154</xdr:rowOff>
    </xdr:to>
    <xdr:sp macro="" textlink="">
      <xdr:nvSpPr>
        <xdr:cNvPr id="603" name="Text Box 52">
          <a:extLst>
            <a:ext uri="{FF2B5EF4-FFF2-40B4-BE49-F238E27FC236}">
              <a16:creationId xmlns:a16="http://schemas.microsoft.com/office/drawing/2014/main" id="{00000000-0008-0000-0400-00005B020000}"/>
            </a:ext>
          </a:extLst>
        </xdr:cNvPr>
        <xdr:cNvSpPr txBox="1">
          <a:spLocks noChangeArrowheads="1"/>
        </xdr:cNvSpPr>
      </xdr:nvSpPr>
      <xdr:spPr bwMode="auto">
        <a:xfrm flipH="1" flipV="1">
          <a:off x="1272232" y="5680185"/>
          <a:ext cx="726824" cy="242455"/>
        </a:xfrm>
        <a:prstGeom prst="rect">
          <a:avLst/>
        </a:prstGeom>
        <a:noFill/>
        <a:ln w="9525">
          <a:noFill/>
          <a:miter lim="800000"/>
          <a:headEnd/>
          <a:tailEnd/>
        </a:ln>
      </xdr:spPr>
      <xdr:txBody>
        <a:bodyPr vertOverflow="clip" wrap="square" lIns="36576" tIns="22860" rIns="36576" bIns="22860" anchor="ctr" upright="1">
          <a:noAutofit/>
        </a:bodyPr>
        <a:lstStyle/>
        <a:p>
          <a:pPr marL="0" indent="0" algn="ctr" rtl="0">
            <a:defRPr sz="1000"/>
          </a:pPr>
          <a:r>
            <a:rPr lang="ko-KR" altLang="en-US" sz="1100" b="1" i="0" strike="noStrike">
              <a:solidFill>
                <a:schemeClr val="tx1"/>
              </a:solidFill>
              <a:latin typeface="맑은 고딕" pitchFamily="50" charset="-127"/>
              <a:ea typeface="맑은 고딕" pitchFamily="50" charset="-127"/>
              <a:cs typeface="+mn-cs"/>
            </a:rPr>
            <a:t>봉화</a:t>
          </a:r>
          <a:r>
            <a:rPr lang="en-US" altLang="ko-KR" sz="1100" b="1" i="0" strike="noStrike">
              <a:solidFill>
                <a:schemeClr val="tx1"/>
              </a:solidFill>
              <a:latin typeface="맑은 고딕" pitchFamily="50" charset="-127"/>
              <a:ea typeface="맑은 고딕" pitchFamily="50" charset="-127"/>
              <a:cs typeface="+mn-cs"/>
            </a:rPr>
            <a:t>S/S</a:t>
          </a:r>
        </a:p>
      </xdr:txBody>
    </xdr:sp>
    <xdr:clientData/>
  </xdr:twoCellAnchor>
  <xdr:twoCellAnchor>
    <xdr:from>
      <xdr:col>6</xdr:col>
      <xdr:colOff>46433</xdr:colOff>
      <xdr:row>20</xdr:row>
      <xdr:rowOff>56415</xdr:rowOff>
    </xdr:from>
    <xdr:to>
      <xdr:col>6</xdr:col>
      <xdr:colOff>553258</xdr:colOff>
      <xdr:row>20</xdr:row>
      <xdr:rowOff>329503</xdr:rowOff>
    </xdr:to>
    <xdr:sp macro="" textlink="">
      <xdr:nvSpPr>
        <xdr:cNvPr id="606" name="직사각형 605">
          <a:extLst>
            <a:ext uri="{FF2B5EF4-FFF2-40B4-BE49-F238E27FC236}">
              <a16:creationId xmlns:a16="http://schemas.microsoft.com/office/drawing/2014/main" id="{00000000-0008-0000-0400-00005E020000}"/>
            </a:ext>
          </a:extLst>
        </xdr:cNvPr>
        <xdr:cNvSpPr/>
      </xdr:nvSpPr>
      <xdr:spPr>
        <a:xfrm>
          <a:off x="5073976" y="7080067"/>
          <a:ext cx="506825" cy="273088"/>
        </a:xfrm>
        <a:prstGeom prst="rect">
          <a:avLst/>
        </a:prstGeom>
        <a:solidFill>
          <a:schemeClr val="accent1">
            <a:lumMod val="60000"/>
            <a:lumOff val="40000"/>
          </a:schemeClr>
        </a:solidFill>
        <a:ln w="25400" cmpd="sng"/>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altLang="ko-KR" sz="1400">
              <a:solidFill>
                <a:sysClr val="windowText" lastClr="000000"/>
              </a:solidFill>
              <a:latin typeface="+mn-lt"/>
              <a:ea typeface="+mn-ea"/>
              <a:cs typeface="+mn-cs"/>
            </a:rPr>
            <a:t>HSR</a:t>
          </a:r>
        </a:p>
      </xdr:txBody>
    </xdr:sp>
    <xdr:clientData/>
  </xdr:twoCellAnchor>
  <xdr:twoCellAnchor>
    <xdr:from>
      <xdr:col>5</xdr:col>
      <xdr:colOff>135091</xdr:colOff>
      <xdr:row>15</xdr:row>
      <xdr:rowOff>211105</xdr:rowOff>
    </xdr:from>
    <xdr:to>
      <xdr:col>6</xdr:col>
      <xdr:colOff>123783</xdr:colOff>
      <xdr:row>16</xdr:row>
      <xdr:rowOff>105537</xdr:rowOff>
    </xdr:to>
    <xdr:sp macro="" textlink="">
      <xdr:nvSpPr>
        <xdr:cNvPr id="620" name="Text Box 200">
          <a:extLst>
            <a:ext uri="{FF2B5EF4-FFF2-40B4-BE49-F238E27FC236}">
              <a16:creationId xmlns:a16="http://schemas.microsoft.com/office/drawing/2014/main" id="{00000000-0008-0000-0400-00006C020000}"/>
            </a:ext>
          </a:extLst>
        </xdr:cNvPr>
        <xdr:cNvSpPr txBox="1">
          <a:spLocks noChangeArrowheads="1"/>
        </xdr:cNvSpPr>
      </xdr:nvSpPr>
      <xdr:spPr bwMode="auto">
        <a:xfrm>
          <a:off x="4337997" y="5402230"/>
          <a:ext cx="828083" cy="257573"/>
        </a:xfrm>
        <a:prstGeom prst="rect">
          <a:avLst/>
        </a:prstGeom>
        <a:noFill/>
        <a:ln w="9525">
          <a:noFill/>
          <a:miter lim="800000"/>
          <a:headEnd/>
          <a:tailEnd/>
        </a:ln>
      </xdr:spPr>
      <xdr:txBody>
        <a:bodyPr vertOverflow="clip" wrap="square" lIns="27432" tIns="18288" rIns="27432" bIns="18288" anchor="ctr" upright="1"/>
        <a:lstStyle/>
        <a:p>
          <a:pPr algn="ctr" rtl="0">
            <a:defRPr sz="1000"/>
          </a:pPr>
          <a:r>
            <a:rPr lang="ko-KR" altLang="en-US" sz="900" b="0" i="0" strike="noStrike">
              <a:solidFill>
                <a:srgbClr val="FF0000"/>
              </a:solidFill>
              <a:latin typeface="맑은 고딕" pitchFamily="50" charset="-127"/>
              <a:ea typeface="맑은 고딕" pitchFamily="50" charset="-127"/>
            </a:rPr>
            <a:t>금회 시설분</a:t>
          </a:r>
        </a:p>
      </xdr:txBody>
    </xdr:sp>
    <xdr:clientData/>
  </xdr:twoCellAnchor>
  <xdr:twoCellAnchor>
    <xdr:from>
      <xdr:col>5</xdr:col>
      <xdr:colOff>77391</xdr:colOff>
      <xdr:row>24</xdr:row>
      <xdr:rowOff>273386</xdr:rowOff>
    </xdr:from>
    <xdr:to>
      <xdr:col>6</xdr:col>
      <xdr:colOff>66084</xdr:colOff>
      <xdr:row>25</xdr:row>
      <xdr:rowOff>171940</xdr:rowOff>
    </xdr:to>
    <xdr:sp macro="" textlink="">
      <xdr:nvSpPr>
        <xdr:cNvPr id="621" name="Text Box 200">
          <a:extLst>
            <a:ext uri="{FF2B5EF4-FFF2-40B4-BE49-F238E27FC236}">
              <a16:creationId xmlns:a16="http://schemas.microsoft.com/office/drawing/2014/main" id="{00000000-0008-0000-0400-00006D020000}"/>
            </a:ext>
          </a:extLst>
        </xdr:cNvPr>
        <xdr:cNvSpPr txBox="1">
          <a:spLocks noChangeArrowheads="1"/>
        </xdr:cNvSpPr>
      </xdr:nvSpPr>
      <xdr:spPr bwMode="auto">
        <a:xfrm>
          <a:off x="4280297" y="8732777"/>
          <a:ext cx="828084" cy="261694"/>
        </a:xfrm>
        <a:prstGeom prst="rect">
          <a:avLst/>
        </a:prstGeom>
        <a:noFill/>
        <a:ln w="9525">
          <a:noFill/>
          <a:miter lim="800000"/>
          <a:headEnd/>
          <a:tailEnd/>
        </a:ln>
      </xdr:spPr>
      <xdr:txBody>
        <a:bodyPr vertOverflow="clip" wrap="square" lIns="27432" tIns="18288" rIns="27432" bIns="18288" anchor="ctr" upright="1"/>
        <a:lstStyle/>
        <a:p>
          <a:pPr algn="ctr" rtl="0">
            <a:defRPr sz="1000"/>
          </a:pPr>
          <a:r>
            <a:rPr lang="ko-KR" altLang="en-US" sz="900" b="0" i="0" strike="noStrike">
              <a:solidFill>
                <a:srgbClr val="FF0000"/>
              </a:solidFill>
              <a:latin typeface="맑은 고딕" pitchFamily="50" charset="-127"/>
              <a:ea typeface="맑은 고딕" pitchFamily="50" charset="-127"/>
            </a:rPr>
            <a:t>금회 시설분</a:t>
          </a:r>
        </a:p>
      </xdr:txBody>
    </xdr:sp>
    <xdr:clientData/>
  </xdr:twoCellAnchor>
  <xdr:twoCellAnchor>
    <xdr:from>
      <xdr:col>5</xdr:col>
      <xdr:colOff>302665</xdr:colOff>
      <xdr:row>16</xdr:row>
      <xdr:rowOff>342207</xdr:rowOff>
    </xdr:from>
    <xdr:to>
      <xdr:col>5</xdr:col>
      <xdr:colOff>810032</xdr:colOff>
      <xdr:row>17</xdr:row>
      <xdr:rowOff>252288</xdr:rowOff>
    </xdr:to>
    <xdr:sp macro="" textlink="">
      <xdr:nvSpPr>
        <xdr:cNvPr id="595" name="직사각형 594">
          <a:extLst>
            <a:ext uri="{FF2B5EF4-FFF2-40B4-BE49-F238E27FC236}">
              <a16:creationId xmlns:a16="http://schemas.microsoft.com/office/drawing/2014/main" id="{00000000-0008-0000-0400-000053020000}"/>
            </a:ext>
          </a:extLst>
        </xdr:cNvPr>
        <xdr:cNvSpPr/>
      </xdr:nvSpPr>
      <xdr:spPr>
        <a:xfrm>
          <a:off x="4493665" y="5885292"/>
          <a:ext cx="507367" cy="272496"/>
        </a:xfrm>
        <a:prstGeom prst="rect">
          <a:avLst/>
        </a:prstGeom>
        <a:solidFill>
          <a:schemeClr val="accent6">
            <a:lumMod val="60000"/>
            <a:lumOff val="40000"/>
          </a:schemeClr>
        </a:solidFill>
        <a:ln w="25400" cmpd="sng"/>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altLang="ko-KR" sz="1400">
              <a:solidFill>
                <a:sysClr val="windowText" lastClr="000000"/>
              </a:solidFill>
              <a:latin typeface="+mn-lt"/>
              <a:ea typeface="+mn-ea"/>
              <a:cs typeface="+mn-cs"/>
            </a:rPr>
            <a:t>HSR</a:t>
          </a:r>
        </a:p>
      </xdr:txBody>
    </xdr:sp>
    <xdr:clientData/>
  </xdr:twoCellAnchor>
  <xdr:twoCellAnchor>
    <xdr:from>
      <xdr:col>4</xdr:col>
      <xdr:colOff>135958</xdr:colOff>
      <xdr:row>20</xdr:row>
      <xdr:rowOff>29586</xdr:rowOff>
    </xdr:from>
    <xdr:to>
      <xdr:col>5</xdr:col>
      <xdr:colOff>124651</xdr:colOff>
      <xdr:row>20</xdr:row>
      <xdr:rowOff>287159</xdr:rowOff>
    </xdr:to>
    <xdr:sp macro="" textlink="">
      <xdr:nvSpPr>
        <xdr:cNvPr id="677" name="Text Box 200">
          <a:extLst>
            <a:ext uri="{FF2B5EF4-FFF2-40B4-BE49-F238E27FC236}">
              <a16:creationId xmlns:a16="http://schemas.microsoft.com/office/drawing/2014/main" id="{00000000-0008-0000-0400-0000A5020000}"/>
            </a:ext>
          </a:extLst>
        </xdr:cNvPr>
        <xdr:cNvSpPr txBox="1">
          <a:spLocks noChangeArrowheads="1"/>
        </xdr:cNvSpPr>
      </xdr:nvSpPr>
      <xdr:spPr bwMode="auto">
        <a:xfrm>
          <a:off x="3491689" y="6968182"/>
          <a:ext cx="823962" cy="257573"/>
        </a:xfrm>
        <a:prstGeom prst="rect">
          <a:avLst/>
        </a:prstGeom>
        <a:noFill/>
        <a:ln w="9525">
          <a:noFill/>
          <a:miter lim="800000"/>
          <a:headEnd/>
          <a:tailEnd/>
        </a:ln>
      </xdr:spPr>
      <xdr:txBody>
        <a:bodyPr vertOverflow="clip" wrap="square" lIns="27432" tIns="18288" rIns="27432" bIns="18288" anchor="ctr" upright="1"/>
        <a:lstStyle/>
        <a:p>
          <a:pPr algn="ctr" rtl="0">
            <a:defRPr sz="1000"/>
          </a:pPr>
          <a:r>
            <a:rPr lang="ko-KR" altLang="en-US" sz="900" b="0" i="0" strike="noStrike">
              <a:solidFill>
                <a:srgbClr val="FF0000"/>
              </a:solidFill>
              <a:latin typeface="맑은 고딕" pitchFamily="50" charset="-127"/>
              <a:ea typeface="맑은 고딕" pitchFamily="50" charset="-127"/>
            </a:rPr>
            <a:t>금회 시설분</a:t>
          </a:r>
        </a:p>
      </xdr:txBody>
    </xdr:sp>
    <xdr:clientData/>
  </xdr:twoCellAnchor>
  <xdr:twoCellAnchor>
    <xdr:from>
      <xdr:col>4</xdr:col>
      <xdr:colOff>643226</xdr:colOff>
      <xdr:row>19</xdr:row>
      <xdr:rowOff>159352</xdr:rowOff>
    </xdr:from>
    <xdr:to>
      <xdr:col>4</xdr:col>
      <xdr:colOff>826031</xdr:colOff>
      <xdr:row>19</xdr:row>
      <xdr:rowOff>357843</xdr:rowOff>
    </xdr:to>
    <xdr:sp macro="" textlink="">
      <xdr:nvSpPr>
        <xdr:cNvPr id="679" name="Oval 34">
          <a:extLst>
            <a:ext uri="{FF2B5EF4-FFF2-40B4-BE49-F238E27FC236}">
              <a16:creationId xmlns:a16="http://schemas.microsoft.com/office/drawing/2014/main" id="{00000000-0008-0000-0400-0000A7020000}"/>
            </a:ext>
          </a:extLst>
        </xdr:cNvPr>
        <xdr:cNvSpPr>
          <a:spLocks noChangeArrowheads="1"/>
        </xdr:cNvSpPr>
      </xdr:nvSpPr>
      <xdr:spPr bwMode="auto">
        <a:xfrm>
          <a:off x="4006912" y="6826852"/>
          <a:ext cx="182805" cy="198491"/>
        </a:xfrm>
        <a:prstGeom prst="ellipse">
          <a:avLst/>
        </a:prstGeom>
        <a:solidFill>
          <a:srgbClr val="969696"/>
        </a:solidFill>
        <a:ln w="9525" algn="ctr">
          <a:solidFill>
            <a:srgbClr val="000000"/>
          </a:solidFill>
          <a:round/>
          <a:headEnd/>
          <a:tailEnd/>
        </a:ln>
      </xdr:spPr>
    </xdr:sp>
    <xdr:clientData/>
  </xdr:twoCellAnchor>
  <xdr:twoCellAnchor>
    <xdr:from>
      <xdr:col>4</xdr:col>
      <xdr:colOff>651638</xdr:colOff>
      <xdr:row>17</xdr:row>
      <xdr:rowOff>353236</xdr:rowOff>
    </xdr:from>
    <xdr:to>
      <xdr:col>4</xdr:col>
      <xdr:colOff>834443</xdr:colOff>
      <xdr:row>18</xdr:row>
      <xdr:rowOff>188586</xdr:rowOff>
    </xdr:to>
    <xdr:sp macro="" textlink="">
      <xdr:nvSpPr>
        <xdr:cNvPr id="680" name="Oval 34">
          <a:extLst>
            <a:ext uri="{FF2B5EF4-FFF2-40B4-BE49-F238E27FC236}">
              <a16:creationId xmlns:a16="http://schemas.microsoft.com/office/drawing/2014/main" id="{00000000-0008-0000-0400-0000A8020000}"/>
            </a:ext>
          </a:extLst>
        </xdr:cNvPr>
        <xdr:cNvSpPr>
          <a:spLocks noChangeArrowheads="1"/>
        </xdr:cNvSpPr>
      </xdr:nvSpPr>
      <xdr:spPr bwMode="auto">
        <a:xfrm>
          <a:off x="4015324" y="6291393"/>
          <a:ext cx="182805" cy="200022"/>
        </a:xfrm>
        <a:prstGeom prst="ellipse">
          <a:avLst/>
        </a:prstGeom>
        <a:solidFill>
          <a:srgbClr val="969696"/>
        </a:solidFill>
        <a:ln w="9525" algn="ctr">
          <a:solidFill>
            <a:srgbClr val="000000"/>
          </a:solidFill>
          <a:round/>
          <a:headEnd/>
          <a:tailEnd/>
        </a:ln>
      </xdr:spPr>
    </xdr:sp>
    <xdr:clientData/>
  </xdr:twoCellAnchor>
  <xdr:twoCellAnchor>
    <xdr:from>
      <xdr:col>4</xdr:col>
      <xdr:colOff>90829</xdr:colOff>
      <xdr:row>19</xdr:row>
      <xdr:rowOff>118110</xdr:rowOff>
    </xdr:from>
    <xdr:to>
      <xdr:col>4</xdr:col>
      <xdr:colOff>627620</xdr:colOff>
      <xdr:row>20</xdr:row>
      <xdr:rowOff>27111</xdr:rowOff>
    </xdr:to>
    <xdr:sp macro="" textlink="">
      <xdr:nvSpPr>
        <xdr:cNvPr id="681" name="직사각형 680">
          <a:extLst>
            <a:ext uri="{FF2B5EF4-FFF2-40B4-BE49-F238E27FC236}">
              <a16:creationId xmlns:a16="http://schemas.microsoft.com/office/drawing/2014/main" id="{00000000-0008-0000-0400-0000A9020000}"/>
            </a:ext>
          </a:extLst>
        </xdr:cNvPr>
        <xdr:cNvSpPr/>
      </xdr:nvSpPr>
      <xdr:spPr>
        <a:xfrm>
          <a:off x="3452421" y="6759233"/>
          <a:ext cx="536791" cy="272416"/>
        </a:xfrm>
        <a:prstGeom prst="rect">
          <a:avLst/>
        </a:prstGeom>
        <a:solidFill>
          <a:schemeClr val="accent1">
            <a:lumMod val="60000"/>
            <a:lumOff val="40000"/>
          </a:schemeClr>
        </a:solidFill>
        <a:ln w="25400" cmpd="sng"/>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altLang="ko-KR" sz="1400">
              <a:solidFill>
                <a:sysClr val="windowText" lastClr="000000"/>
              </a:solidFill>
              <a:latin typeface="+mn-lt"/>
              <a:ea typeface="+mn-ea"/>
              <a:cs typeface="+mn-cs"/>
            </a:rPr>
            <a:t>HSR</a:t>
          </a:r>
        </a:p>
      </xdr:txBody>
    </xdr:sp>
    <xdr:clientData/>
  </xdr:twoCellAnchor>
  <xdr:twoCellAnchor>
    <xdr:from>
      <xdr:col>3</xdr:col>
      <xdr:colOff>541071</xdr:colOff>
      <xdr:row>13</xdr:row>
      <xdr:rowOff>153405</xdr:rowOff>
    </xdr:from>
    <xdr:to>
      <xdr:col>4</xdr:col>
      <xdr:colOff>226373</xdr:colOff>
      <xdr:row>13</xdr:row>
      <xdr:rowOff>360259</xdr:rowOff>
    </xdr:to>
    <xdr:sp macro="" textlink="">
      <xdr:nvSpPr>
        <xdr:cNvPr id="683" name="직사각형 682">
          <a:extLst>
            <a:ext uri="{FF2B5EF4-FFF2-40B4-BE49-F238E27FC236}">
              <a16:creationId xmlns:a16="http://schemas.microsoft.com/office/drawing/2014/main" id="{00000000-0008-0000-0400-0000AB020000}"/>
            </a:ext>
          </a:extLst>
        </xdr:cNvPr>
        <xdr:cNvSpPr/>
      </xdr:nvSpPr>
      <xdr:spPr>
        <a:xfrm flipH="1">
          <a:off x="3065196" y="4601580"/>
          <a:ext cx="523502" cy="206854"/>
        </a:xfrm>
        <a:prstGeom prst="rect">
          <a:avLst/>
        </a:prstGeom>
        <a:solidFill>
          <a:schemeClr val="accent1">
            <a:lumMod val="60000"/>
            <a:lumOff val="40000"/>
          </a:schemeClr>
        </a:solidFill>
        <a:ln w="25400" cmpd="sng"/>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marL="0" indent="0" algn="ctr"/>
          <a:r>
            <a:rPr lang="en-US" altLang="ko-KR" sz="1400">
              <a:solidFill>
                <a:sysClr val="windowText" lastClr="000000"/>
              </a:solidFill>
              <a:latin typeface="+mn-lt"/>
              <a:ea typeface="+mn-ea"/>
              <a:cs typeface="+mn-cs"/>
            </a:rPr>
            <a:t>HSR</a:t>
          </a:r>
        </a:p>
      </xdr:txBody>
    </xdr:sp>
    <xdr:clientData/>
  </xdr:twoCellAnchor>
  <xdr:twoCellAnchor>
    <xdr:from>
      <xdr:col>5</xdr:col>
      <xdr:colOff>571500</xdr:colOff>
      <xdr:row>11</xdr:row>
      <xdr:rowOff>38100</xdr:rowOff>
    </xdr:from>
    <xdr:to>
      <xdr:col>6</xdr:col>
      <xdr:colOff>256802</xdr:colOff>
      <xdr:row>11</xdr:row>
      <xdr:rowOff>244954</xdr:rowOff>
    </xdr:to>
    <xdr:sp macro="" textlink="">
      <xdr:nvSpPr>
        <xdr:cNvPr id="684" name="직사각형 683">
          <a:extLst>
            <a:ext uri="{FF2B5EF4-FFF2-40B4-BE49-F238E27FC236}">
              <a16:creationId xmlns:a16="http://schemas.microsoft.com/office/drawing/2014/main" id="{00000000-0008-0000-0400-0000AC020000}"/>
            </a:ext>
          </a:extLst>
        </xdr:cNvPr>
        <xdr:cNvSpPr/>
      </xdr:nvSpPr>
      <xdr:spPr>
        <a:xfrm flipH="1">
          <a:off x="4772025" y="3762375"/>
          <a:ext cx="523502" cy="206854"/>
        </a:xfrm>
        <a:prstGeom prst="rect">
          <a:avLst/>
        </a:prstGeom>
        <a:solidFill>
          <a:schemeClr val="accent1">
            <a:lumMod val="60000"/>
            <a:lumOff val="40000"/>
          </a:schemeClr>
        </a:solidFill>
        <a:ln w="25400" cmpd="sng"/>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marL="0" indent="0" algn="ctr"/>
          <a:r>
            <a:rPr lang="en-US" altLang="ko-KR" sz="1400">
              <a:solidFill>
                <a:sysClr val="windowText" lastClr="000000"/>
              </a:solidFill>
              <a:latin typeface="+mn-lt"/>
              <a:ea typeface="+mn-ea"/>
              <a:cs typeface="+mn-cs"/>
            </a:rPr>
            <a:t>HSR</a:t>
          </a:r>
        </a:p>
      </xdr:txBody>
    </xdr:sp>
    <xdr:clientData/>
  </xdr:twoCellAnchor>
  <xdr:twoCellAnchor>
    <xdr:from>
      <xdr:col>3</xdr:col>
      <xdr:colOff>523875</xdr:colOff>
      <xdr:row>8</xdr:row>
      <xdr:rowOff>304800</xdr:rowOff>
    </xdr:from>
    <xdr:to>
      <xdr:col>4</xdr:col>
      <xdr:colOff>209177</xdr:colOff>
      <xdr:row>9</xdr:row>
      <xdr:rowOff>149704</xdr:rowOff>
    </xdr:to>
    <xdr:sp macro="" textlink="">
      <xdr:nvSpPr>
        <xdr:cNvPr id="685" name="직사각형 684">
          <a:extLst>
            <a:ext uri="{FF2B5EF4-FFF2-40B4-BE49-F238E27FC236}">
              <a16:creationId xmlns:a16="http://schemas.microsoft.com/office/drawing/2014/main" id="{00000000-0008-0000-0400-0000AD020000}"/>
            </a:ext>
          </a:extLst>
        </xdr:cNvPr>
        <xdr:cNvSpPr/>
      </xdr:nvSpPr>
      <xdr:spPr>
        <a:xfrm flipH="1">
          <a:off x="3048000" y="2943225"/>
          <a:ext cx="523502" cy="206854"/>
        </a:xfrm>
        <a:prstGeom prst="rect">
          <a:avLst/>
        </a:prstGeom>
        <a:solidFill>
          <a:schemeClr val="accent1">
            <a:lumMod val="60000"/>
            <a:lumOff val="40000"/>
          </a:schemeClr>
        </a:solidFill>
        <a:ln w="25400" cmpd="sng"/>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marL="0" indent="0" algn="ctr"/>
          <a:r>
            <a:rPr lang="en-US" altLang="ko-KR" sz="1400">
              <a:solidFill>
                <a:sysClr val="windowText" lastClr="000000"/>
              </a:solidFill>
              <a:latin typeface="+mn-lt"/>
              <a:ea typeface="+mn-ea"/>
              <a:cs typeface="+mn-cs"/>
            </a:rPr>
            <a:t>HSR</a:t>
          </a:r>
        </a:p>
      </xdr:txBody>
    </xdr:sp>
    <xdr:clientData/>
  </xdr:twoCellAnchor>
  <xdr:twoCellAnchor>
    <xdr:from>
      <xdr:col>5</xdr:col>
      <xdr:colOff>371475</xdr:colOff>
      <xdr:row>14</xdr:row>
      <xdr:rowOff>57150</xdr:rowOff>
    </xdr:from>
    <xdr:to>
      <xdr:col>6</xdr:col>
      <xdr:colOff>457934</xdr:colOff>
      <xdr:row>14</xdr:row>
      <xdr:rowOff>296885</xdr:rowOff>
    </xdr:to>
    <xdr:sp macro="" textlink="">
      <xdr:nvSpPr>
        <xdr:cNvPr id="686" name="Text Box 52">
          <a:extLst>
            <a:ext uri="{FF2B5EF4-FFF2-40B4-BE49-F238E27FC236}">
              <a16:creationId xmlns:a16="http://schemas.microsoft.com/office/drawing/2014/main" id="{00000000-0008-0000-0400-0000AE020000}"/>
            </a:ext>
          </a:extLst>
        </xdr:cNvPr>
        <xdr:cNvSpPr txBox="1">
          <a:spLocks noChangeArrowheads="1"/>
        </xdr:cNvSpPr>
      </xdr:nvSpPr>
      <xdr:spPr bwMode="auto">
        <a:xfrm flipH="1" flipV="1">
          <a:off x="4572000" y="4867275"/>
          <a:ext cx="924659" cy="239735"/>
        </a:xfrm>
        <a:prstGeom prst="rect">
          <a:avLst/>
        </a:prstGeom>
        <a:noFill/>
        <a:ln w="9525">
          <a:noFill/>
          <a:miter lim="800000"/>
          <a:headEnd/>
          <a:tailEnd/>
        </a:ln>
      </xdr:spPr>
      <xdr:txBody>
        <a:bodyPr vertOverflow="clip" wrap="square" lIns="36576" tIns="22860" rIns="36576" bIns="22860" anchor="ctr" upright="1">
          <a:noAutofit/>
        </a:bodyPr>
        <a:lstStyle/>
        <a:p>
          <a:pPr marL="0" indent="0" algn="ctr" rtl="0">
            <a:defRPr sz="1000"/>
          </a:pPr>
          <a:r>
            <a:rPr lang="ko-KR" altLang="en-US" sz="1100" b="1" i="0" strike="noStrike">
              <a:solidFill>
                <a:schemeClr val="tx1"/>
              </a:solidFill>
              <a:latin typeface="맑은 고딕" pitchFamily="50" charset="-127"/>
              <a:ea typeface="맑은 고딕" pitchFamily="50" charset="-127"/>
              <a:cs typeface="+mn-cs"/>
            </a:rPr>
            <a:t>신한울</a:t>
          </a:r>
          <a:r>
            <a:rPr lang="en-US" altLang="ko-KR" sz="1100" b="1" i="0" strike="noStrike">
              <a:solidFill>
                <a:schemeClr val="tx1"/>
              </a:solidFill>
              <a:latin typeface="맑은 고딕" pitchFamily="50" charset="-127"/>
              <a:ea typeface="맑은 고딕" pitchFamily="50" charset="-127"/>
              <a:cs typeface="+mn-cs"/>
            </a:rPr>
            <a:t>S/S</a:t>
          </a:r>
        </a:p>
      </xdr:txBody>
    </xdr:sp>
    <xdr:clientData/>
  </xdr:twoCellAnchor>
  <xdr:twoCellAnchor>
    <xdr:from>
      <xdr:col>3</xdr:col>
      <xdr:colOff>333375</xdr:colOff>
      <xdr:row>9</xdr:row>
      <xdr:rowOff>200025</xdr:rowOff>
    </xdr:from>
    <xdr:to>
      <xdr:col>4</xdr:col>
      <xdr:colOff>421565</xdr:colOff>
      <xdr:row>10</xdr:row>
      <xdr:rowOff>81189</xdr:rowOff>
    </xdr:to>
    <xdr:sp macro="" textlink="">
      <xdr:nvSpPr>
        <xdr:cNvPr id="687" name="Text Box 52">
          <a:extLst>
            <a:ext uri="{FF2B5EF4-FFF2-40B4-BE49-F238E27FC236}">
              <a16:creationId xmlns:a16="http://schemas.microsoft.com/office/drawing/2014/main" id="{00000000-0008-0000-0400-0000AF020000}"/>
            </a:ext>
          </a:extLst>
        </xdr:cNvPr>
        <xdr:cNvSpPr txBox="1">
          <a:spLocks noChangeArrowheads="1"/>
        </xdr:cNvSpPr>
      </xdr:nvSpPr>
      <xdr:spPr bwMode="auto">
        <a:xfrm flipH="1" flipV="1">
          <a:off x="2857500" y="3200400"/>
          <a:ext cx="926390" cy="243114"/>
        </a:xfrm>
        <a:prstGeom prst="rect">
          <a:avLst/>
        </a:prstGeom>
        <a:noFill/>
        <a:ln w="9525">
          <a:noFill/>
          <a:miter lim="800000"/>
          <a:headEnd/>
          <a:tailEnd/>
        </a:ln>
      </xdr:spPr>
      <xdr:txBody>
        <a:bodyPr vertOverflow="clip" wrap="square" lIns="36576" tIns="22860" rIns="36576" bIns="22860" anchor="ctr" upright="1">
          <a:noAutofit/>
        </a:bodyPr>
        <a:lstStyle/>
        <a:p>
          <a:pPr marL="0" indent="0" algn="ctr" rtl="0">
            <a:defRPr sz="1000"/>
          </a:pPr>
          <a:r>
            <a:rPr lang="ko-KR" altLang="en-US" sz="1100" b="1" i="0" strike="noStrike">
              <a:solidFill>
                <a:schemeClr val="tx1"/>
              </a:solidFill>
              <a:latin typeface="맑은 고딕" pitchFamily="50" charset="-127"/>
              <a:ea typeface="맑은 고딕" pitchFamily="50" charset="-127"/>
              <a:cs typeface="+mn-cs"/>
            </a:rPr>
            <a:t>한울</a:t>
          </a:r>
          <a:r>
            <a:rPr lang="en-US" altLang="ko-KR" sz="1100" b="1" i="0" strike="noStrike">
              <a:solidFill>
                <a:schemeClr val="tx1"/>
              </a:solidFill>
              <a:latin typeface="맑은 고딕" pitchFamily="50" charset="-127"/>
              <a:ea typeface="맑은 고딕" pitchFamily="50" charset="-127"/>
              <a:cs typeface="+mn-cs"/>
            </a:rPr>
            <a:t>#1S/Y</a:t>
          </a:r>
        </a:p>
      </xdr:txBody>
    </xdr:sp>
    <xdr:clientData/>
  </xdr:twoCellAnchor>
  <xdr:twoCellAnchor>
    <xdr:from>
      <xdr:col>1</xdr:col>
      <xdr:colOff>533400</xdr:colOff>
      <xdr:row>11</xdr:row>
      <xdr:rowOff>114300</xdr:rowOff>
    </xdr:from>
    <xdr:to>
      <xdr:col>2</xdr:col>
      <xdr:colOff>218701</xdr:colOff>
      <xdr:row>11</xdr:row>
      <xdr:rowOff>323512</xdr:rowOff>
    </xdr:to>
    <xdr:sp macro="" textlink="">
      <xdr:nvSpPr>
        <xdr:cNvPr id="689" name="직사각형 688">
          <a:extLst>
            <a:ext uri="{FF2B5EF4-FFF2-40B4-BE49-F238E27FC236}">
              <a16:creationId xmlns:a16="http://schemas.microsoft.com/office/drawing/2014/main" id="{00000000-0008-0000-0400-0000B1020000}"/>
            </a:ext>
          </a:extLst>
        </xdr:cNvPr>
        <xdr:cNvSpPr/>
      </xdr:nvSpPr>
      <xdr:spPr>
        <a:xfrm flipH="1">
          <a:off x="1381125" y="3838575"/>
          <a:ext cx="523501" cy="209212"/>
        </a:xfrm>
        <a:prstGeom prst="rect">
          <a:avLst/>
        </a:prstGeom>
        <a:solidFill>
          <a:schemeClr val="accent1">
            <a:lumMod val="60000"/>
            <a:lumOff val="40000"/>
          </a:schemeClr>
        </a:solidFill>
        <a:ln w="25400" cmpd="sng"/>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marL="0" indent="0" algn="ctr"/>
          <a:r>
            <a:rPr lang="en-US" altLang="ko-KR" sz="1400">
              <a:solidFill>
                <a:sysClr val="windowText" lastClr="000000"/>
              </a:solidFill>
              <a:latin typeface="+mn-lt"/>
              <a:ea typeface="+mn-ea"/>
              <a:cs typeface="+mn-cs"/>
            </a:rPr>
            <a:t>HSR</a:t>
          </a:r>
        </a:p>
      </xdr:txBody>
    </xdr:sp>
    <xdr:clientData/>
  </xdr:twoCellAnchor>
  <xdr:twoCellAnchor>
    <xdr:from>
      <xdr:col>5</xdr:col>
      <xdr:colOff>762000</xdr:colOff>
      <xdr:row>9</xdr:row>
      <xdr:rowOff>228600</xdr:rowOff>
    </xdr:from>
    <xdr:to>
      <xdr:col>7</xdr:col>
      <xdr:colOff>11990</xdr:colOff>
      <xdr:row>10</xdr:row>
      <xdr:rowOff>108755</xdr:rowOff>
    </xdr:to>
    <xdr:sp macro="" textlink="">
      <xdr:nvSpPr>
        <xdr:cNvPr id="690" name="Text Box 52">
          <a:extLst>
            <a:ext uri="{FF2B5EF4-FFF2-40B4-BE49-F238E27FC236}">
              <a16:creationId xmlns:a16="http://schemas.microsoft.com/office/drawing/2014/main" id="{00000000-0008-0000-0400-0000B2020000}"/>
            </a:ext>
          </a:extLst>
        </xdr:cNvPr>
        <xdr:cNvSpPr txBox="1">
          <a:spLocks noChangeArrowheads="1"/>
        </xdr:cNvSpPr>
      </xdr:nvSpPr>
      <xdr:spPr bwMode="auto">
        <a:xfrm flipH="1" flipV="1">
          <a:off x="4975412" y="3209365"/>
          <a:ext cx="1771313" cy="238743"/>
        </a:xfrm>
        <a:prstGeom prst="rect">
          <a:avLst/>
        </a:prstGeom>
        <a:noFill/>
        <a:ln w="9525">
          <a:noFill/>
          <a:miter lim="800000"/>
          <a:headEnd/>
          <a:tailEnd/>
        </a:ln>
      </xdr:spPr>
      <xdr:txBody>
        <a:bodyPr vertOverflow="clip" wrap="square" lIns="36576" tIns="22860" rIns="36576" bIns="22860" anchor="ctr" upright="1">
          <a:noAutofit/>
        </a:bodyPr>
        <a:lstStyle/>
        <a:p>
          <a:pPr marL="0" indent="0" algn="ctr" rtl="0">
            <a:defRPr sz="1000"/>
          </a:pPr>
          <a:r>
            <a:rPr lang="ko-KR" altLang="en-US" sz="1100" b="1" i="0" strike="noStrike">
              <a:solidFill>
                <a:schemeClr val="tx1"/>
              </a:solidFill>
              <a:latin typeface="맑은 고딕" pitchFamily="50" charset="-127"/>
              <a:ea typeface="맑은 고딕" pitchFamily="50" charset="-127"/>
              <a:cs typeface="+mn-cs"/>
            </a:rPr>
            <a:t>한울</a:t>
          </a:r>
          <a:r>
            <a:rPr lang="en-US" altLang="ko-KR" sz="1100" b="1" i="0" strike="noStrike">
              <a:solidFill>
                <a:schemeClr val="tx1"/>
              </a:solidFill>
              <a:latin typeface="맑은 고딕" pitchFamily="50" charset="-127"/>
              <a:ea typeface="맑은 고딕" pitchFamily="50" charset="-127"/>
              <a:cs typeface="+mn-cs"/>
            </a:rPr>
            <a:t>#2S/Y</a:t>
          </a:r>
        </a:p>
      </xdr:txBody>
    </xdr:sp>
    <xdr:clientData/>
  </xdr:twoCellAnchor>
  <xdr:twoCellAnchor>
    <xdr:from>
      <xdr:col>5</xdr:col>
      <xdr:colOff>762000</xdr:colOff>
      <xdr:row>11</xdr:row>
      <xdr:rowOff>323850</xdr:rowOff>
    </xdr:from>
    <xdr:to>
      <xdr:col>7</xdr:col>
      <xdr:colOff>10259</xdr:colOff>
      <xdr:row>12</xdr:row>
      <xdr:rowOff>199363</xdr:rowOff>
    </xdr:to>
    <xdr:sp macro="" textlink="">
      <xdr:nvSpPr>
        <xdr:cNvPr id="691" name="Text Box 52">
          <a:extLst>
            <a:ext uri="{FF2B5EF4-FFF2-40B4-BE49-F238E27FC236}">
              <a16:creationId xmlns:a16="http://schemas.microsoft.com/office/drawing/2014/main" id="{00000000-0008-0000-0400-0000B3020000}"/>
            </a:ext>
          </a:extLst>
        </xdr:cNvPr>
        <xdr:cNvSpPr txBox="1">
          <a:spLocks noChangeArrowheads="1"/>
        </xdr:cNvSpPr>
      </xdr:nvSpPr>
      <xdr:spPr bwMode="auto">
        <a:xfrm flipH="1" flipV="1">
          <a:off x="4975412" y="4021791"/>
          <a:ext cx="1769582" cy="234101"/>
        </a:xfrm>
        <a:prstGeom prst="rect">
          <a:avLst/>
        </a:prstGeom>
        <a:noFill/>
        <a:ln w="9525">
          <a:noFill/>
          <a:miter lim="800000"/>
          <a:headEnd/>
          <a:tailEnd/>
        </a:ln>
      </xdr:spPr>
      <xdr:txBody>
        <a:bodyPr vertOverflow="clip" wrap="square" lIns="36576" tIns="22860" rIns="36576" bIns="22860" anchor="ctr" upright="1">
          <a:noAutofit/>
        </a:bodyPr>
        <a:lstStyle/>
        <a:p>
          <a:pPr marL="0" indent="0" algn="ctr" rtl="0">
            <a:defRPr sz="1000"/>
          </a:pPr>
          <a:r>
            <a:rPr lang="ko-KR" altLang="en-US" sz="1100" b="1" i="0" strike="noStrike">
              <a:solidFill>
                <a:schemeClr val="tx1"/>
              </a:solidFill>
              <a:latin typeface="맑은 고딕" pitchFamily="50" charset="-127"/>
              <a:ea typeface="맑은 고딕" pitchFamily="50" charset="-127"/>
              <a:cs typeface="+mn-cs"/>
            </a:rPr>
            <a:t>한울</a:t>
          </a:r>
          <a:r>
            <a:rPr lang="en-US" altLang="ko-KR" sz="1100" b="1" i="0" strike="noStrike">
              <a:solidFill>
                <a:schemeClr val="tx1"/>
              </a:solidFill>
              <a:latin typeface="맑은 고딕" pitchFamily="50" charset="-127"/>
              <a:ea typeface="맑은 고딕" pitchFamily="50" charset="-127"/>
              <a:cs typeface="+mn-cs"/>
            </a:rPr>
            <a:t>#3S/Y</a:t>
          </a:r>
        </a:p>
      </xdr:txBody>
    </xdr:sp>
    <xdr:clientData/>
  </xdr:twoCellAnchor>
  <xdr:twoCellAnchor>
    <xdr:from>
      <xdr:col>8</xdr:col>
      <xdr:colOff>85725</xdr:colOff>
      <xdr:row>19</xdr:row>
      <xdr:rowOff>323850</xdr:rowOff>
    </xdr:from>
    <xdr:to>
      <xdr:col>18</xdr:col>
      <xdr:colOff>447675</xdr:colOff>
      <xdr:row>20</xdr:row>
      <xdr:rowOff>257175</xdr:rowOff>
    </xdr:to>
    <xdr:sp macro="" textlink="">
      <xdr:nvSpPr>
        <xdr:cNvPr id="366" name="화살표: 오른쪽 365">
          <a:extLst>
            <a:ext uri="{FF2B5EF4-FFF2-40B4-BE49-F238E27FC236}">
              <a16:creationId xmlns:a16="http://schemas.microsoft.com/office/drawing/2014/main" id="{00000000-0008-0000-0400-00006E010000}"/>
            </a:ext>
          </a:extLst>
        </xdr:cNvPr>
        <xdr:cNvSpPr/>
      </xdr:nvSpPr>
      <xdr:spPr>
        <a:xfrm>
          <a:off x="6505575" y="6943725"/>
          <a:ext cx="857250" cy="295275"/>
        </a:xfrm>
        <a:prstGeom prst="rightArrow">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xdr:col>
      <xdr:colOff>9525</xdr:colOff>
      <xdr:row>15</xdr:row>
      <xdr:rowOff>123825</xdr:rowOff>
    </xdr:from>
    <xdr:to>
      <xdr:col>8</xdr:col>
      <xdr:colOff>57149</xdr:colOff>
      <xdr:row>25</xdr:row>
      <xdr:rowOff>238125</xdr:rowOff>
    </xdr:to>
    <xdr:sp macro="" textlink="">
      <xdr:nvSpPr>
        <xdr:cNvPr id="369" name="타원 368">
          <a:extLst>
            <a:ext uri="{FF2B5EF4-FFF2-40B4-BE49-F238E27FC236}">
              <a16:creationId xmlns:a16="http://schemas.microsoft.com/office/drawing/2014/main" id="{00000000-0008-0000-0400-000071010000}"/>
            </a:ext>
          </a:extLst>
        </xdr:cNvPr>
        <xdr:cNvSpPr/>
      </xdr:nvSpPr>
      <xdr:spPr>
        <a:xfrm>
          <a:off x="3371850" y="5295900"/>
          <a:ext cx="3105149" cy="3733800"/>
        </a:xfrm>
        <a:prstGeom prst="ellipse">
          <a:avLst/>
        </a:prstGeom>
        <a:no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18</xdr:col>
      <xdr:colOff>672355</xdr:colOff>
      <xdr:row>14</xdr:row>
      <xdr:rowOff>356909</xdr:rowOff>
    </xdr:from>
    <xdr:to>
      <xdr:col>27</xdr:col>
      <xdr:colOff>616325</xdr:colOff>
      <xdr:row>26</xdr:row>
      <xdr:rowOff>148074</xdr:rowOff>
    </xdr:to>
    <xdr:pic>
      <xdr:nvPicPr>
        <xdr:cNvPr id="370" name="그림 369">
          <a:extLst>
            <a:ext uri="{FF2B5EF4-FFF2-40B4-BE49-F238E27FC236}">
              <a16:creationId xmlns:a16="http://schemas.microsoft.com/office/drawing/2014/main" id="{00000000-0008-0000-0400-000072010000}"/>
            </a:ext>
          </a:extLst>
        </xdr:cNvPr>
        <xdr:cNvPicPr>
          <a:picLocks noChangeAspect="1"/>
        </xdr:cNvPicPr>
      </xdr:nvPicPr>
      <xdr:blipFill>
        <a:blip xmlns:r="http://schemas.openxmlformats.org/officeDocument/2006/relationships" r:embed="rId7"/>
        <a:stretch>
          <a:fillRect/>
        </a:stretch>
      </xdr:blipFill>
      <xdr:spPr>
        <a:xfrm>
          <a:off x="7597590" y="5130615"/>
          <a:ext cx="6096000" cy="40942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56</xdr:col>
      <xdr:colOff>247650</xdr:colOff>
      <xdr:row>44</xdr:row>
      <xdr:rowOff>200025</xdr:rowOff>
    </xdr:to>
    <xdr:pic>
      <xdr:nvPicPr>
        <xdr:cNvPr id="3" name="그림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stretch>
          <a:fillRect/>
        </a:stretch>
      </xdr:blipFill>
      <xdr:spPr>
        <a:xfrm>
          <a:off x="95250" y="981075"/>
          <a:ext cx="14916150" cy="85820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123264</xdr:rowOff>
    </xdr:from>
    <xdr:to>
      <xdr:col>10</xdr:col>
      <xdr:colOff>134470</xdr:colOff>
      <xdr:row>35</xdr:row>
      <xdr:rowOff>257734</xdr:rowOff>
    </xdr:to>
    <xdr:pic>
      <xdr:nvPicPr>
        <xdr:cNvPr id="3" name="그림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stretch>
          <a:fillRect/>
        </a:stretch>
      </xdr:blipFill>
      <xdr:spPr>
        <a:xfrm>
          <a:off x="156882" y="123264"/>
          <a:ext cx="6858000" cy="993961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22</xdr:col>
      <xdr:colOff>394607</xdr:colOff>
      <xdr:row>3</xdr:row>
      <xdr:rowOff>285749</xdr:rowOff>
    </xdr:from>
    <xdr:to>
      <xdr:col>30</xdr:col>
      <xdr:colOff>418413</xdr:colOff>
      <xdr:row>16</xdr:row>
      <xdr:rowOff>58029</xdr:rowOff>
    </xdr:to>
    <xdr:pic>
      <xdr:nvPicPr>
        <xdr:cNvPr id="2" name="그림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20261036" y="1387928"/>
          <a:ext cx="5466663" cy="3840815"/>
        </a:xfrm>
        <a:prstGeom prst="rect">
          <a:avLst/>
        </a:prstGeom>
      </xdr:spPr>
    </xdr:pic>
    <xdr:clientData/>
  </xdr:twoCellAnchor>
  <xdr:twoCellAnchor editAs="oneCell">
    <xdr:from>
      <xdr:col>14</xdr:col>
      <xdr:colOff>653144</xdr:colOff>
      <xdr:row>3</xdr:row>
      <xdr:rowOff>299356</xdr:rowOff>
    </xdr:from>
    <xdr:to>
      <xdr:col>22</xdr:col>
      <xdr:colOff>411604</xdr:colOff>
      <xdr:row>51</xdr:row>
      <xdr:rowOff>261600</xdr:rowOff>
    </xdr:to>
    <xdr:pic>
      <xdr:nvPicPr>
        <xdr:cNvPr id="3" name="그림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2"/>
        <a:stretch>
          <a:fillRect/>
        </a:stretch>
      </xdr:blipFill>
      <xdr:spPr>
        <a:xfrm>
          <a:off x="14763751" y="1401535"/>
          <a:ext cx="5514282" cy="80993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0</xdr:colOff>
      <xdr:row>1</xdr:row>
      <xdr:rowOff>0</xdr:rowOff>
    </xdr:from>
    <xdr:to>
      <xdr:col>24</xdr:col>
      <xdr:colOff>657400</xdr:colOff>
      <xdr:row>29</xdr:row>
      <xdr:rowOff>48698</xdr:rowOff>
    </xdr:to>
    <xdr:pic>
      <xdr:nvPicPr>
        <xdr:cNvPr id="3" name="그림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a:stretch>
          <a:fillRect/>
        </a:stretch>
      </xdr:blipFill>
      <xdr:spPr>
        <a:xfrm>
          <a:off x="8895522" y="124239"/>
          <a:ext cx="10828443" cy="715517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23</xdr:col>
      <xdr:colOff>211288</xdr:colOff>
      <xdr:row>56</xdr:row>
      <xdr:rowOff>197540</xdr:rowOff>
    </xdr:from>
    <xdr:to>
      <xdr:col>25</xdr:col>
      <xdr:colOff>281215</xdr:colOff>
      <xdr:row>61</xdr:row>
      <xdr:rowOff>130731</xdr:rowOff>
    </xdr:to>
    <xdr:sp macro="" textlink="">
      <xdr:nvSpPr>
        <xdr:cNvPr id="45" name="TextBox 44">
          <a:extLst>
            <a:ext uri="{FF2B5EF4-FFF2-40B4-BE49-F238E27FC236}">
              <a16:creationId xmlns:a16="http://schemas.microsoft.com/office/drawing/2014/main" id="{00000000-0008-0000-1600-00002D000000}"/>
            </a:ext>
          </a:extLst>
        </xdr:cNvPr>
        <xdr:cNvSpPr txBox="1"/>
      </xdr:nvSpPr>
      <xdr:spPr>
        <a:xfrm>
          <a:off x="18431252" y="11069647"/>
          <a:ext cx="1430642" cy="9537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b="1"/>
            <a:t>To.</a:t>
          </a:r>
          <a:r>
            <a:rPr lang="en-US" altLang="ko-KR" sz="800" b="1" baseline="0"/>
            <a:t> </a:t>
          </a:r>
          <a:r>
            <a:rPr lang="ko-KR" altLang="en-US" sz="800" b="1" baseline="0"/>
            <a:t>계전기</a:t>
          </a:r>
          <a:r>
            <a:rPr lang="en-US" altLang="ko-KR" sz="800" b="1" baseline="0"/>
            <a:t>(</a:t>
          </a:r>
          <a:r>
            <a:rPr lang="ko-KR" altLang="en-US" sz="800" b="1" baseline="0"/>
            <a:t>문막</a:t>
          </a:r>
          <a:r>
            <a:rPr lang="en-US" altLang="ko-KR" sz="800" b="1" baseline="0"/>
            <a:t>-</a:t>
          </a:r>
          <a:r>
            <a:rPr lang="ko-KR" altLang="en-US" sz="800" b="1" baseline="0"/>
            <a:t>여주복합</a:t>
          </a:r>
          <a:r>
            <a:rPr lang="en-US" altLang="ko-KR" sz="800" b="1" baseline="0"/>
            <a:t>, </a:t>
          </a:r>
        </a:p>
        <a:p>
          <a:r>
            <a:rPr lang="en-US" altLang="ko-KR" sz="800" b="1" baseline="0"/>
            <a:t>       </a:t>
          </a:r>
          <a:r>
            <a:rPr lang="ko-KR" altLang="en-US" sz="800" b="1" baseline="0"/>
            <a:t>여주복합</a:t>
          </a:r>
          <a:r>
            <a:rPr lang="en-US" altLang="ko-KR" sz="800" b="1" baseline="0"/>
            <a:t>-</a:t>
          </a:r>
          <a:r>
            <a:rPr lang="ko-KR" altLang="en-US" sz="800" b="1" baseline="0"/>
            <a:t>지제</a:t>
          </a:r>
          <a:r>
            <a:rPr lang="en-US" altLang="ko-KR" sz="800" b="1" baseline="0"/>
            <a:t>T/L)</a:t>
          </a:r>
        </a:p>
        <a:p>
          <a:r>
            <a:rPr lang="ko-KR" altLang="en-US" sz="800" b="1"/>
            <a:t> </a:t>
          </a:r>
          <a:r>
            <a:rPr lang="en-US" altLang="ko-KR" sz="800" b="1"/>
            <a:t>- </a:t>
          </a:r>
          <a:r>
            <a:rPr lang="ko-KR" altLang="en-US" sz="800" b="1"/>
            <a:t>광케이블</a:t>
          </a:r>
          <a:r>
            <a:rPr lang="en-US" altLang="ko-KR" sz="800" b="1"/>
            <a:t>,</a:t>
          </a:r>
          <a:r>
            <a:rPr lang="en-US" altLang="ko-KR" sz="800" b="1" baseline="0"/>
            <a:t> </a:t>
          </a:r>
          <a:r>
            <a:rPr lang="ko-KR" altLang="en-US" sz="800" b="1"/>
            <a:t>제어케이블</a:t>
          </a:r>
          <a:endParaRPr lang="en-US" altLang="ko-KR" sz="800" b="1"/>
        </a:p>
        <a:p>
          <a:r>
            <a:rPr lang="en-US" altLang="ko-KR" sz="800" b="1"/>
            <a:t>To RTU</a:t>
          </a:r>
        </a:p>
        <a:p>
          <a:r>
            <a:rPr lang="en-US" altLang="ko-KR" sz="800" b="1" baseline="0"/>
            <a:t> - </a:t>
          </a:r>
          <a:r>
            <a:rPr lang="ko-KR" altLang="en-US" sz="800" b="1" baseline="0"/>
            <a:t>제어케이블</a:t>
          </a:r>
          <a:r>
            <a:rPr lang="en-US" altLang="ko-KR" sz="800" b="1" baseline="0"/>
            <a:t>(ALM)</a:t>
          </a:r>
          <a:endParaRPr lang="ko-KR" altLang="en-US" sz="800" b="1"/>
        </a:p>
      </xdr:txBody>
    </xdr:sp>
    <xdr:clientData/>
  </xdr:twoCellAnchor>
  <xdr:twoCellAnchor>
    <xdr:from>
      <xdr:col>19</xdr:col>
      <xdr:colOff>622969</xdr:colOff>
      <xdr:row>61</xdr:row>
      <xdr:rowOff>51707</xdr:rowOff>
    </xdr:from>
    <xdr:to>
      <xdr:col>20</xdr:col>
      <xdr:colOff>546768</xdr:colOff>
      <xdr:row>61</xdr:row>
      <xdr:rowOff>55941</xdr:rowOff>
    </xdr:to>
    <xdr:cxnSp macro="">
      <xdr:nvCxnSpPr>
        <xdr:cNvPr id="320" name="꺾인 연결선 319">
          <a:extLst>
            <a:ext uri="{FF2B5EF4-FFF2-40B4-BE49-F238E27FC236}">
              <a16:creationId xmlns:a16="http://schemas.microsoft.com/office/drawing/2014/main" id="{00000000-0008-0000-1600-000040010000}"/>
            </a:ext>
          </a:extLst>
        </xdr:cNvPr>
        <xdr:cNvCxnSpPr/>
      </xdr:nvCxnSpPr>
      <xdr:spPr>
        <a:xfrm rot="16200000" flipV="1">
          <a:off x="16421466" y="11644389"/>
          <a:ext cx="4234" cy="604156"/>
        </a:xfrm>
        <a:prstGeom prst="bentConnector3">
          <a:avLst>
            <a:gd name="adj1" fmla="val 10748323"/>
          </a:avLst>
        </a:prstGeom>
        <a:ln w="12700">
          <a:solidFill>
            <a:srgbClr val="00B0F0"/>
          </a:solidFill>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15</xdr:col>
      <xdr:colOff>384690</xdr:colOff>
      <xdr:row>61</xdr:row>
      <xdr:rowOff>53822</xdr:rowOff>
    </xdr:from>
    <xdr:to>
      <xdr:col>20</xdr:col>
      <xdr:colOff>673765</xdr:colOff>
      <xdr:row>61</xdr:row>
      <xdr:rowOff>55941</xdr:rowOff>
    </xdr:to>
    <xdr:cxnSp macro="">
      <xdr:nvCxnSpPr>
        <xdr:cNvPr id="334" name="꺾인 연결선 333">
          <a:extLst>
            <a:ext uri="{FF2B5EF4-FFF2-40B4-BE49-F238E27FC236}">
              <a16:creationId xmlns:a16="http://schemas.microsoft.com/office/drawing/2014/main" id="{00000000-0008-0000-1600-00004E010000}"/>
            </a:ext>
          </a:extLst>
        </xdr:cNvPr>
        <xdr:cNvCxnSpPr/>
      </xdr:nvCxnSpPr>
      <xdr:spPr>
        <a:xfrm rot="16200000" flipV="1">
          <a:off x="15006168" y="10102094"/>
          <a:ext cx="2119" cy="3690861"/>
        </a:xfrm>
        <a:prstGeom prst="bentConnector3">
          <a:avLst>
            <a:gd name="adj1" fmla="val 28368570"/>
          </a:avLst>
        </a:prstGeom>
        <a:ln w="12700">
          <a:tailEnd type="triangle"/>
        </a:ln>
      </xdr:spPr>
      <xdr:style>
        <a:lnRef idx="2">
          <a:schemeClr val="accent4"/>
        </a:lnRef>
        <a:fillRef idx="0">
          <a:schemeClr val="accent4"/>
        </a:fillRef>
        <a:effectRef idx="1">
          <a:schemeClr val="accent4"/>
        </a:effectRef>
        <a:fontRef idx="minor">
          <a:schemeClr val="tx1"/>
        </a:fontRef>
      </xdr:style>
    </xdr:cxnSp>
    <xdr:clientData/>
  </xdr:twoCellAnchor>
  <xdr:twoCellAnchor>
    <xdr:from>
      <xdr:col>12</xdr:col>
      <xdr:colOff>671395</xdr:colOff>
      <xdr:row>53</xdr:row>
      <xdr:rowOff>187061</xdr:rowOff>
    </xdr:from>
    <xdr:to>
      <xdr:col>21</xdr:col>
      <xdr:colOff>99237</xdr:colOff>
      <xdr:row>64</xdr:row>
      <xdr:rowOff>132341</xdr:rowOff>
    </xdr:to>
    <xdr:cxnSp macro="">
      <xdr:nvCxnSpPr>
        <xdr:cNvPr id="353" name="꺾인 연결선 352">
          <a:extLst>
            <a:ext uri="{FF2B5EF4-FFF2-40B4-BE49-F238E27FC236}">
              <a16:creationId xmlns:a16="http://schemas.microsoft.com/office/drawing/2014/main" id="{00000000-0008-0000-1600-000061010000}"/>
            </a:ext>
          </a:extLst>
        </xdr:cNvPr>
        <xdr:cNvCxnSpPr>
          <a:stCxn id="114" idx="2"/>
          <a:endCxn id="170" idx="2"/>
        </xdr:cNvCxnSpPr>
      </xdr:nvCxnSpPr>
      <xdr:spPr>
        <a:xfrm rot="5400000" flipH="1">
          <a:off x="13087730" y="8766548"/>
          <a:ext cx="2190458" cy="5551056"/>
        </a:xfrm>
        <a:prstGeom prst="bentConnector4">
          <a:avLst>
            <a:gd name="adj1" fmla="val -18898"/>
            <a:gd name="adj2" fmla="val 88821"/>
          </a:avLst>
        </a:prstGeom>
        <a:ln w="12700">
          <a:tailEnd type="triangle"/>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17</xdr:col>
      <xdr:colOff>364124</xdr:colOff>
      <xdr:row>61</xdr:row>
      <xdr:rowOff>51707</xdr:rowOff>
    </xdr:from>
    <xdr:to>
      <xdr:col>21</xdr:col>
      <xdr:colOff>99237</xdr:colOff>
      <xdr:row>61</xdr:row>
      <xdr:rowOff>55941</xdr:rowOff>
    </xdr:to>
    <xdr:cxnSp macro="">
      <xdr:nvCxnSpPr>
        <xdr:cNvPr id="181" name="꺾인 연결선 180">
          <a:extLst>
            <a:ext uri="{FF2B5EF4-FFF2-40B4-BE49-F238E27FC236}">
              <a16:creationId xmlns:a16="http://schemas.microsoft.com/office/drawing/2014/main" id="{00000000-0008-0000-1600-0000B5000000}"/>
            </a:ext>
          </a:extLst>
        </xdr:cNvPr>
        <xdr:cNvCxnSpPr>
          <a:stCxn id="114" idx="0"/>
          <a:endCxn id="109" idx="0"/>
        </xdr:cNvCxnSpPr>
      </xdr:nvCxnSpPr>
      <xdr:spPr>
        <a:xfrm rot="16200000" flipV="1">
          <a:off x="15728099" y="10718196"/>
          <a:ext cx="4234" cy="2456542"/>
        </a:xfrm>
        <a:prstGeom prst="bentConnector3">
          <a:avLst>
            <a:gd name="adj1" fmla="val 19996717"/>
          </a:avLst>
        </a:prstGeom>
        <a:ln w="12700">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16</xdr:col>
      <xdr:colOff>634885</xdr:colOff>
      <xdr:row>59</xdr:row>
      <xdr:rowOff>157225</xdr:rowOff>
    </xdr:from>
    <xdr:to>
      <xdr:col>16</xdr:col>
      <xdr:colOff>638287</xdr:colOff>
      <xdr:row>61</xdr:row>
      <xdr:rowOff>61417</xdr:rowOff>
    </xdr:to>
    <xdr:cxnSp macro="">
      <xdr:nvCxnSpPr>
        <xdr:cNvPr id="191" name="꺾인 연결선 190">
          <a:extLst>
            <a:ext uri="{FF2B5EF4-FFF2-40B4-BE49-F238E27FC236}">
              <a16:creationId xmlns:a16="http://schemas.microsoft.com/office/drawing/2014/main" id="{00000000-0008-0000-1600-0000BF000000}"/>
            </a:ext>
          </a:extLst>
        </xdr:cNvPr>
        <xdr:cNvCxnSpPr/>
      </xdr:nvCxnSpPr>
      <xdr:spPr>
        <a:xfrm rot="16200000">
          <a:off x="13937847" y="11796156"/>
          <a:ext cx="312406" cy="3402"/>
        </a:xfrm>
        <a:prstGeom prst="bentConnector3">
          <a:avLst>
            <a:gd name="adj1" fmla="val 50000"/>
          </a:avLst>
        </a:prstGeom>
        <a:ln w="12700">
          <a:solidFill>
            <a:schemeClr val="accent3"/>
          </a:solidFill>
          <a:tailEnd type="triangle"/>
        </a:ln>
      </xdr:spPr>
      <xdr:style>
        <a:lnRef idx="2">
          <a:schemeClr val="accent4"/>
        </a:lnRef>
        <a:fillRef idx="0">
          <a:schemeClr val="accent4"/>
        </a:fillRef>
        <a:effectRef idx="1">
          <a:schemeClr val="accent4"/>
        </a:effectRef>
        <a:fontRef idx="minor">
          <a:schemeClr val="tx1"/>
        </a:fontRef>
      </xdr:style>
    </xdr:cxnSp>
    <xdr:clientData/>
  </xdr:twoCellAnchor>
  <xdr:twoCellAnchor>
    <xdr:from>
      <xdr:col>14</xdr:col>
      <xdr:colOff>274751</xdr:colOff>
      <xdr:row>52</xdr:row>
      <xdr:rowOff>109566</xdr:rowOff>
    </xdr:from>
    <xdr:to>
      <xdr:col>15</xdr:col>
      <xdr:colOff>193524</xdr:colOff>
      <xdr:row>55</xdr:row>
      <xdr:rowOff>185965</xdr:rowOff>
    </xdr:to>
    <xdr:sp macro="" textlink="">
      <xdr:nvSpPr>
        <xdr:cNvPr id="96" name="TextBox 95">
          <a:extLst>
            <a:ext uri="{FF2B5EF4-FFF2-40B4-BE49-F238E27FC236}">
              <a16:creationId xmlns:a16="http://schemas.microsoft.com/office/drawing/2014/main" id="{00000000-0008-0000-1600-000060000000}"/>
            </a:ext>
          </a:extLst>
        </xdr:cNvPr>
        <xdr:cNvSpPr txBox="1"/>
      </xdr:nvSpPr>
      <xdr:spPr>
        <a:xfrm>
          <a:off x="12371501" y="10165245"/>
          <a:ext cx="599130" cy="688720"/>
        </a:xfrm>
        <a:prstGeom prst="rect">
          <a:avLst/>
        </a:prstGeom>
        <a:solidFill>
          <a:schemeClr val="accent6">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en-US" altLang="ko-KR" sz="1100"/>
            <a:t>DC</a:t>
          </a:r>
        </a:p>
        <a:p>
          <a:pPr algn="ctr"/>
          <a:r>
            <a:rPr lang="ko-KR" altLang="en-US" sz="1100"/>
            <a:t>분전반</a:t>
          </a:r>
          <a:endParaRPr lang="en-US" altLang="ko-KR" sz="1100"/>
        </a:p>
      </xdr:txBody>
    </xdr:sp>
    <xdr:clientData/>
  </xdr:twoCellAnchor>
  <xdr:twoCellAnchor>
    <xdr:from>
      <xdr:col>15</xdr:col>
      <xdr:colOff>194317</xdr:colOff>
      <xdr:row>52</xdr:row>
      <xdr:rowOff>113800</xdr:rowOff>
    </xdr:from>
    <xdr:to>
      <xdr:col>16</xdr:col>
      <xdr:colOff>120650</xdr:colOff>
      <xdr:row>55</xdr:row>
      <xdr:rowOff>190199</xdr:rowOff>
    </xdr:to>
    <xdr:sp macro="" textlink="">
      <xdr:nvSpPr>
        <xdr:cNvPr id="92" name="TextBox 91">
          <a:extLst>
            <a:ext uri="{FF2B5EF4-FFF2-40B4-BE49-F238E27FC236}">
              <a16:creationId xmlns:a16="http://schemas.microsoft.com/office/drawing/2014/main" id="{00000000-0008-0000-1600-00005C000000}"/>
            </a:ext>
          </a:extLst>
        </xdr:cNvPr>
        <xdr:cNvSpPr txBox="1"/>
      </xdr:nvSpPr>
      <xdr:spPr>
        <a:xfrm>
          <a:off x="12971424" y="10169479"/>
          <a:ext cx="606690" cy="688720"/>
        </a:xfrm>
        <a:prstGeom prst="rect">
          <a:avLst/>
        </a:prstGeom>
        <a:solidFill>
          <a:schemeClr val="accent6">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ko-KR" altLang="en-US" sz="1100"/>
            <a:t>충전기</a:t>
          </a:r>
          <a:endParaRPr lang="en-US" altLang="ko-KR" sz="1100"/>
        </a:p>
      </xdr:txBody>
    </xdr:sp>
    <xdr:clientData/>
  </xdr:twoCellAnchor>
  <xdr:twoCellAnchor>
    <xdr:from>
      <xdr:col>16</xdr:col>
      <xdr:colOff>121444</xdr:colOff>
      <xdr:row>52</xdr:row>
      <xdr:rowOff>107451</xdr:rowOff>
    </xdr:from>
    <xdr:to>
      <xdr:col>17</xdr:col>
      <xdr:colOff>52313</xdr:colOff>
      <xdr:row>55</xdr:row>
      <xdr:rowOff>183850</xdr:rowOff>
    </xdr:to>
    <xdr:sp macro="" textlink="">
      <xdr:nvSpPr>
        <xdr:cNvPr id="93" name="TextBox 92">
          <a:extLst>
            <a:ext uri="{FF2B5EF4-FFF2-40B4-BE49-F238E27FC236}">
              <a16:creationId xmlns:a16="http://schemas.microsoft.com/office/drawing/2014/main" id="{00000000-0008-0000-1600-00005D000000}"/>
            </a:ext>
          </a:extLst>
        </xdr:cNvPr>
        <xdr:cNvSpPr txBox="1"/>
      </xdr:nvSpPr>
      <xdr:spPr>
        <a:xfrm>
          <a:off x="13578908" y="10163130"/>
          <a:ext cx="611226" cy="688720"/>
        </a:xfrm>
        <a:prstGeom prst="rect">
          <a:avLst/>
        </a:prstGeom>
        <a:solidFill>
          <a:schemeClr val="accent6">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ko-KR" altLang="en-US" sz="1100"/>
            <a:t>충전기</a:t>
          </a:r>
          <a:endParaRPr lang="en-US" altLang="ko-KR" sz="1100"/>
        </a:p>
        <a:p>
          <a:pPr algn="ctr"/>
          <a:r>
            <a:rPr lang="en-US" altLang="ko-KR" sz="1100"/>
            <a:t>BATT.</a:t>
          </a:r>
        </a:p>
      </xdr:txBody>
    </xdr:sp>
    <xdr:clientData/>
  </xdr:twoCellAnchor>
  <xdr:twoCellAnchor>
    <xdr:from>
      <xdr:col>17</xdr:col>
      <xdr:colOff>53105</xdr:colOff>
      <xdr:row>52</xdr:row>
      <xdr:rowOff>111685</xdr:rowOff>
    </xdr:from>
    <xdr:to>
      <xdr:col>17</xdr:col>
      <xdr:colOff>668262</xdr:colOff>
      <xdr:row>55</xdr:row>
      <xdr:rowOff>188084</xdr:rowOff>
    </xdr:to>
    <xdr:sp macro="" textlink="">
      <xdr:nvSpPr>
        <xdr:cNvPr id="97" name="TextBox 96">
          <a:extLst>
            <a:ext uri="{FF2B5EF4-FFF2-40B4-BE49-F238E27FC236}">
              <a16:creationId xmlns:a16="http://schemas.microsoft.com/office/drawing/2014/main" id="{00000000-0008-0000-1600-000061000000}"/>
            </a:ext>
          </a:extLst>
        </xdr:cNvPr>
        <xdr:cNvSpPr txBox="1"/>
      </xdr:nvSpPr>
      <xdr:spPr>
        <a:xfrm>
          <a:off x="14190926" y="10167364"/>
          <a:ext cx="615157" cy="688720"/>
        </a:xfrm>
        <a:prstGeom prst="rect">
          <a:avLst/>
        </a:prstGeom>
        <a:solidFill>
          <a:schemeClr val="accent6">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en-US" altLang="ko-KR" sz="1100"/>
            <a:t>UPS</a:t>
          </a:r>
        </a:p>
        <a:p>
          <a:pPr algn="ctr"/>
          <a:r>
            <a:rPr lang="en-US" altLang="ko-KR" sz="1100"/>
            <a:t>BATT.</a:t>
          </a:r>
        </a:p>
      </xdr:txBody>
    </xdr:sp>
    <xdr:clientData/>
  </xdr:twoCellAnchor>
  <xdr:twoCellAnchor>
    <xdr:from>
      <xdr:col>17</xdr:col>
      <xdr:colOff>53105</xdr:colOff>
      <xdr:row>52</xdr:row>
      <xdr:rowOff>111685</xdr:rowOff>
    </xdr:from>
    <xdr:to>
      <xdr:col>17</xdr:col>
      <xdr:colOff>678847</xdr:colOff>
      <xdr:row>55</xdr:row>
      <xdr:rowOff>188084</xdr:rowOff>
    </xdr:to>
    <xdr:sp macro="" textlink="">
      <xdr:nvSpPr>
        <xdr:cNvPr id="98" name="TextBox 97">
          <a:extLst>
            <a:ext uri="{FF2B5EF4-FFF2-40B4-BE49-F238E27FC236}">
              <a16:creationId xmlns:a16="http://schemas.microsoft.com/office/drawing/2014/main" id="{00000000-0008-0000-1600-000062000000}"/>
            </a:ext>
          </a:extLst>
        </xdr:cNvPr>
        <xdr:cNvSpPr txBox="1"/>
      </xdr:nvSpPr>
      <xdr:spPr>
        <a:xfrm>
          <a:off x="14190926" y="10167364"/>
          <a:ext cx="625742" cy="688720"/>
        </a:xfrm>
        <a:prstGeom prst="rect">
          <a:avLst/>
        </a:prstGeom>
        <a:solidFill>
          <a:schemeClr val="accent6">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en-US" altLang="ko-KR" sz="1100"/>
            <a:t>UPS</a:t>
          </a:r>
        </a:p>
      </xdr:txBody>
    </xdr:sp>
    <xdr:clientData/>
  </xdr:twoCellAnchor>
  <xdr:twoCellAnchor>
    <xdr:from>
      <xdr:col>18</xdr:col>
      <xdr:colOff>1397</xdr:colOff>
      <xdr:row>52</xdr:row>
      <xdr:rowOff>105336</xdr:rowOff>
    </xdr:from>
    <xdr:to>
      <xdr:col>18</xdr:col>
      <xdr:colOff>612622</xdr:colOff>
      <xdr:row>55</xdr:row>
      <xdr:rowOff>181735</xdr:rowOff>
    </xdr:to>
    <xdr:sp macro="" textlink="">
      <xdr:nvSpPr>
        <xdr:cNvPr id="99" name="TextBox 98">
          <a:extLst>
            <a:ext uri="{FF2B5EF4-FFF2-40B4-BE49-F238E27FC236}">
              <a16:creationId xmlns:a16="http://schemas.microsoft.com/office/drawing/2014/main" id="{00000000-0008-0000-1600-000063000000}"/>
            </a:ext>
          </a:extLst>
        </xdr:cNvPr>
        <xdr:cNvSpPr txBox="1"/>
      </xdr:nvSpPr>
      <xdr:spPr>
        <a:xfrm>
          <a:off x="14819576" y="10161015"/>
          <a:ext cx="611225" cy="688720"/>
        </a:xfrm>
        <a:prstGeom prst="rect">
          <a:avLst/>
        </a:prstGeom>
        <a:solidFill>
          <a:schemeClr val="accent6">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en-US" altLang="ko-KR" sz="1100"/>
            <a:t>UPS</a:t>
          </a:r>
        </a:p>
        <a:p>
          <a:pPr algn="ctr"/>
          <a:r>
            <a:rPr lang="en-US" altLang="ko-KR" sz="1100"/>
            <a:t>BATT.</a:t>
          </a:r>
        </a:p>
      </xdr:txBody>
    </xdr:sp>
    <xdr:clientData/>
  </xdr:twoCellAnchor>
  <xdr:twoCellAnchor>
    <xdr:from>
      <xdr:col>19</xdr:col>
      <xdr:colOff>559593</xdr:colOff>
      <xdr:row>52</xdr:row>
      <xdr:rowOff>111685</xdr:rowOff>
    </xdr:from>
    <xdr:to>
      <xdr:col>20</xdr:col>
      <xdr:colOff>478366</xdr:colOff>
      <xdr:row>55</xdr:row>
      <xdr:rowOff>188084</xdr:rowOff>
    </xdr:to>
    <xdr:sp macro="" textlink="">
      <xdr:nvSpPr>
        <xdr:cNvPr id="101" name="TextBox 100">
          <a:extLst>
            <a:ext uri="{FF2B5EF4-FFF2-40B4-BE49-F238E27FC236}">
              <a16:creationId xmlns:a16="http://schemas.microsoft.com/office/drawing/2014/main" id="{00000000-0008-0000-1600-000065000000}"/>
            </a:ext>
          </a:extLst>
        </xdr:cNvPr>
        <xdr:cNvSpPr txBox="1"/>
      </xdr:nvSpPr>
      <xdr:spPr>
        <a:xfrm>
          <a:off x="16058129" y="10167364"/>
          <a:ext cx="599130" cy="688720"/>
        </a:xfrm>
        <a:prstGeom prst="rect">
          <a:avLst/>
        </a:prstGeom>
        <a:solidFill>
          <a:schemeClr val="accent6">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en-US" altLang="ko-KR" sz="1100">
              <a:solidFill>
                <a:schemeClr val="dk1"/>
              </a:solidFill>
              <a:effectLst/>
              <a:latin typeface="+mn-lt"/>
              <a:ea typeface="+mn-ea"/>
              <a:cs typeface="+mn-cs"/>
            </a:rPr>
            <a:t>UPS</a:t>
          </a:r>
          <a:endParaRPr lang="ko-KR" altLang="ko-KR">
            <a:effectLst/>
          </a:endParaRPr>
        </a:p>
        <a:p>
          <a:pPr algn="ctr"/>
          <a:r>
            <a:rPr lang="en-US" altLang="ko-KR" sz="1100">
              <a:solidFill>
                <a:schemeClr val="dk1"/>
              </a:solidFill>
              <a:effectLst/>
              <a:latin typeface="+mn-lt"/>
              <a:ea typeface="+mn-ea"/>
              <a:cs typeface="+mn-cs"/>
            </a:rPr>
            <a:t>BATT.</a:t>
          </a:r>
          <a:endParaRPr lang="en-US" altLang="ko-KR" sz="1100"/>
        </a:p>
      </xdr:txBody>
    </xdr:sp>
    <xdr:clientData/>
  </xdr:twoCellAnchor>
  <xdr:twoCellAnchor>
    <xdr:from>
      <xdr:col>20</xdr:col>
      <xdr:colOff>479158</xdr:colOff>
      <xdr:row>52</xdr:row>
      <xdr:rowOff>105336</xdr:rowOff>
    </xdr:from>
    <xdr:to>
      <xdr:col>21</xdr:col>
      <xdr:colOff>413958</xdr:colOff>
      <xdr:row>55</xdr:row>
      <xdr:rowOff>181735</xdr:rowOff>
    </xdr:to>
    <xdr:sp macro="" textlink="">
      <xdr:nvSpPr>
        <xdr:cNvPr id="102" name="TextBox 101">
          <a:extLst>
            <a:ext uri="{FF2B5EF4-FFF2-40B4-BE49-F238E27FC236}">
              <a16:creationId xmlns:a16="http://schemas.microsoft.com/office/drawing/2014/main" id="{00000000-0008-0000-1600-000066000000}"/>
            </a:ext>
          </a:extLst>
        </xdr:cNvPr>
        <xdr:cNvSpPr txBox="1"/>
      </xdr:nvSpPr>
      <xdr:spPr>
        <a:xfrm>
          <a:off x="16658051" y="10161015"/>
          <a:ext cx="615157" cy="688720"/>
        </a:xfrm>
        <a:prstGeom prst="rect">
          <a:avLst/>
        </a:prstGeom>
        <a:solidFill>
          <a:schemeClr val="accent6">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en-US" altLang="ko-KR" sz="1100">
              <a:solidFill>
                <a:schemeClr val="dk1"/>
              </a:solidFill>
              <a:effectLst/>
              <a:latin typeface="+mn-lt"/>
              <a:ea typeface="+mn-ea"/>
              <a:cs typeface="+mn-cs"/>
            </a:rPr>
            <a:t>UPS</a:t>
          </a:r>
          <a:endParaRPr lang="ko-KR" altLang="ko-KR">
            <a:effectLst/>
          </a:endParaRPr>
        </a:p>
        <a:p>
          <a:pPr algn="ctr"/>
          <a:r>
            <a:rPr lang="en-US" altLang="ko-KR" sz="1100">
              <a:solidFill>
                <a:schemeClr val="dk1"/>
              </a:solidFill>
              <a:effectLst/>
              <a:latin typeface="+mn-lt"/>
              <a:ea typeface="+mn-ea"/>
              <a:cs typeface="+mn-cs"/>
            </a:rPr>
            <a:t>BATT.</a:t>
          </a:r>
          <a:endParaRPr lang="en-US" altLang="ko-KR" sz="1100"/>
        </a:p>
      </xdr:txBody>
    </xdr:sp>
    <xdr:clientData/>
  </xdr:twoCellAnchor>
  <xdr:twoCellAnchor>
    <xdr:from>
      <xdr:col>21</xdr:col>
      <xdr:colOff>406284</xdr:colOff>
      <xdr:row>52</xdr:row>
      <xdr:rowOff>109569</xdr:rowOff>
    </xdr:from>
    <xdr:to>
      <xdr:col>22</xdr:col>
      <xdr:colOff>351669</xdr:colOff>
      <xdr:row>55</xdr:row>
      <xdr:rowOff>185968</xdr:rowOff>
    </xdr:to>
    <xdr:sp macro="" textlink="">
      <xdr:nvSpPr>
        <xdr:cNvPr id="105" name="TextBox 104">
          <a:extLst>
            <a:ext uri="{FF2B5EF4-FFF2-40B4-BE49-F238E27FC236}">
              <a16:creationId xmlns:a16="http://schemas.microsoft.com/office/drawing/2014/main" id="{00000000-0008-0000-1600-000069000000}"/>
            </a:ext>
          </a:extLst>
        </xdr:cNvPr>
        <xdr:cNvSpPr txBox="1"/>
      </xdr:nvSpPr>
      <xdr:spPr>
        <a:xfrm>
          <a:off x="17265534" y="10165248"/>
          <a:ext cx="625742" cy="688720"/>
        </a:xfrm>
        <a:prstGeom prst="rect">
          <a:avLst/>
        </a:prstGeom>
        <a:solidFill>
          <a:schemeClr val="accent6">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ko-KR" altLang="en-US" sz="1100"/>
            <a:t>통합</a:t>
          </a:r>
          <a:endParaRPr lang="en-US" altLang="ko-KR" sz="1100"/>
        </a:p>
        <a:p>
          <a:pPr algn="ctr"/>
          <a:r>
            <a:rPr lang="ko-KR" altLang="en-US" sz="1100"/>
            <a:t>보안</a:t>
          </a:r>
          <a:endParaRPr lang="en-US" altLang="ko-KR" sz="1100"/>
        </a:p>
      </xdr:txBody>
    </xdr:sp>
    <xdr:clientData/>
  </xdr:twoCellAnchor>
  <xdr:twoCellAnchor>
    <xdr:from>
      <xdr:col>14</xdr:col>
      <xdr:colOff>267608</xdr:colOff>
      <xdr:row>61</xdr:row>
      <xdr:rowOff>60171</xdr:rowOff>
    </xdr:from>
    <xdr:to>
      <xdr:col>15</xdr:col>
      <xdr:colOff>186381</xdr:colOff>
      <xdr:row>64</xdr:row>
      <xdr:rowOff>136570</xdr:rowOff>
    </xdr:to>
    <xdr:sp macro="" textlink="">
      <xdr:nvSpPr>
        <xdr:cNvPr id="106" name="TextBox 105">
          <a:extLst>
            <a:ext uri="{FF2B5EF4-FFF2-40B4-BE49-F238E27FC236}">
              <a16:creationId xmlns:a16="http://schemas.microsoft.com/office/drawing/2014/main" id="{00000000-0008-0000-1600-00006A000000}"/>
            </a:ext>
          </a:extLst>
        </xdr:cNvPr>
        <xdr:cNvSpPr txBox="1"/>
      </xdr:nvSpPr>
      <xdr:spPr>
        <a:xfrm>
          <a:off x="12364358" y="11952814"/>
          <a:ext cx="599130" cy="688720"/>
        </a:xfrm>
        <a:prstGeom prst="rect">
          <a:avLst/>
        </a:prstGeom>
        <a:solidFill>
          <a:schemeClr val="accent5">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en-US" altLang="ko-KR" sz="1100"/>
            <a:t>MDF</a:t>
          </a:r>
        </a:p>
      </xdr:txBody>
    </xdr:sp>
    <xdr:clientData/>
  </xdr:twoCellAnchor>
  <xdr:twoCellAnchor>
    <xdr:from>
      <xdr:col>15</xdr:col>
      <xdr:colOff>187174</xdr:colOff>
      <xdr:row>61</xdr:row>
      <xdr:rowOff>53822</xdr:rowOff>
    </xdr:from>
    <xdr:to>
      <xdr:col>16</xdr:col>
      <xdr:colOff>113507</xdr:colOff>
      <xdr:row>64</xdr:row>
      <xdr:rowOff>130221</xdr:rowOff>
    </xdr:to>
    <xdr:sp macro="" textlink="">
      <xdr:nvSpPr>
        <xdr:cNvPr id="107" name="TextBox 106">
          <a:extLst>
            <a:ext uri="{FF2B5EF4-FFF2-40B4-BE49-F238E27FC236}">
              <a16:creationId xmlns:a16="http://schemas.microsoft.com/office/drawing/2014/main" id="{00000000-0008-0000-1600-00006B000000}"/>
            </a:ext>
          </a:extLst>
        </xdr:cNvPr>
        <xdr:cNvSpPr txBox="1"/>
      </xdr:nvSpPr>
      <xdr:spPr>
        <a:xfrm>
          <a:off x="12964281" y="11946465"/>
          <a:ext cx="606690" cy="688720"/>
        </a:xfrm>
        <a:prstGeom prst="rect">
          <a:avLst/>
        </a:prstGeom>
        <a:solidFill>
          <a:schemeClr val="accent5">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en-US" altLang="ko-KR" sz="900"/>
            <a:t>LAN(</a:t>
          </a:r>
          <a:r>
            <a:rPr lang="ko-KR" altLang="en-US" sz="900"/>
            <a:t>일반</a:t>
          </a:r>
          <a:r>
            <a:rPr lang="en-US" altLang="ko-KR" sz="900"/>
            <a:t>)</a:t>
          </a:r>
        </a:p>
        <a:p>
          <a:pPr algn="ctr"/>
          <a:r>
            <a:rPr lang="en-US" altLang="ko-KR" sz="900"/>
            <a:t>L3SW, EPIA</a:t>
          </a:r>
        </a:p>
        <a:p>
          <a:pPr algn="ctr"/>
          <a:r>
            <a:rPr lang="en-US" altLang="ko-KR" sz="900"/>
            <a:t>IP</a:t>
          </a:r>
          <a:r>
            <a:rPr lang="ko-KR" altLang="en-US" sz="900"/>
            <a:t>계통</a:t>
          </a:r>
          <a:endParaRPr lang="en-US" altLang="ko-KR" sz="900"/>
        </a:p>
      </xdr:txBody>
    </xdr:sp>
    <xdr:clientData/>
  </xdr:twoCellAnchor>
  <xdr:twoCellAnchor>
    <xdr:from>
      <xdr:col>16</xdr:col>
      <xdr:colOff>114301</xdr:colOff>
      <xdr:row>61</xdr:row>
      <xdr:rowOff>58056</xdr:rowOff>
    </xdr:from>
    <xdr:to>
      <xdr:col>17</xdr:col>
      <xdr:colOff>54430</xdr:colOff>
      <xdr:row>64</xdr:row>
      <xdr:rowOff>134455</xdr:rowOff>
    </xdr:to>
    <xdr:sp macro="" textlink="">
      <xdr:nvSpPr>
        <xdr:cNvPr id="108" name="TextBox 107">
          <a:extLst>
            <a:ext uri="{FF2B5EF4-FFF2-40B4-BE49-F238E27FC236}">
              <a16:creationId xmlns:a16="http://schemas.microsoft.com/office/drawing/2014/main" id="{00000000-0008-0000-1600-00006C000000}"/>
            </a:ext>
          </a:extLst>
        </xdr:cNvPr>
        <xdr:cNvSpPr txBox="1"/>
      </xdr:nvSpPr>
      <xdr:spPr>
        <a:xfrm>
          <a:off x="13571765" y="11950699"/>
          <a:ext cx="620486" cy="688720"/>
        </a:xfrm>
        <a:prstGeom prst="rect">
          <a:avLst/>
        </a:prstGeom>
        <a:solidFill>
          <a:schemeClr val="accent6">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en-US" altLang="ko-KR" sz="1100"/>
            <a:t>LAN</a:t>
          </a:r>
        </a:p>
        <a:p>
          <a:pPr algn="ctr"/>
          <a:r>
            <a:rPr lang="en-US" altLang="ko-KR" sz="1100"/>
            <a:t>(</a:t>
          </a:r>
          <a:r>
            <a:rPr lang="ko-KR" altLang="en-US" sz="1100"/>
            <a:t>스카다</a:t>
          </a:r>
          <a:r>
            <a:rPr lang="en-US" altLang="ko-KR" sz="1100"/>
            <a:t>)</a:t>
          </a:r>
        </a:p>
      </xdr:txBody>
    </xdr:sp>
    <xdr:clientData/>
  </xdr:twoCellAnchor>
  <xdr:twoCellAnchor>
    <xdr:from>
      <xdr:col>17</xdr:col>
      <xdr:colOff>56545</xdr:colOff>
      <xdr:row>61</xdr:row>
      <xdr:rowOff>51707</xdr:rowOff>
    </xdr:from>
    <xdr:to>
      <xdr:col>17</xdr:col>
      <xdr:colOff>671702</xdr:colOff>
      <xdr:row>64</xdr:row>
      <xdr:rowOff>128106</xdr:rowOff>
    </xdr:to>
    <xdr:sp macro="" textlink="">
      <xdr:nvSpPr>
        <xdr:cNvPr id="109" name="TextBox 108">
          <a:extLst>
            <a:ext uri="{FF2B5EF4-FFF2-40B4-BE49-F238E27FC236}">
              <a16:creationId xmlns:a16="http://schemas.microsoft.com/office/drawing/2014/main" id="{00000000-0008-0000-1600-00006D000000}"/>
            </a:ext>
          </a:extLst>
        </xdr:cNvPr>
        <xdr:cNvSpPr txBox="1"/>
      </xdr:nvSpPr>
      <xdr:spPr>
        <a:xfrm>
          <a:off x="14194366" y="11944350"/>
          <a:ext cx="615157" cy="688720"/>
        </a:xfrm>
        <a:prstGeom prst="rect">
          <a:avLst/>
        </a:prstGeom>
        <a:solidFill>
          <a:schemeClr val="accent6">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en-US" altLang="ko-KR" sz="1100"/>
            <a:t>IDF</a:t>
          </a:r>
        </a:p>
      </xdr:txBody>
    </xdr:sp>
    <xdr:clientData/>
  </xdr:twoCellAnchor>
  <xdr:twoCellAnchor>
    <xdr:from>
      <xdr:col>17</xdr:col>
      <xdr:colOff>668263</xdr:colOff>
      <xdr:row>61</xdr:row>
      <xdr:rowOff>55941</xdr:rowOff>
    </xdr:from>
    <xdr:to>
      <xdr:col>18</xdr:col>
      <xdr:colOff>616857</xdr:colOff>
      <xdr:row>64</xdr:row>
      <xdr:rowOff>132340</xdr:rowOff>
    </xdr:to>
    <xdr:sp macro="" textlink="">
      <xdr:nvSpPr>
        <xdr:cNvPr id="111" name="TextBox 110">
          <a:extLst>
            <a:ext uri="{FF2B5EF4-FFF2-40B4-BE49-F238E27FC236}">
              <a16:creationId xmlns:a16="http://schemas.microsoft.com/office/drawing/2014/main" id="{00000000-0008-0000-1600-00006F000000}"/>
            </a:ext>
          </a:extLst>
        </xdr:cNvPr>
        <xdr:cNvSpPr txBox="1"/>
      </xdr:nvSpPr>
      <xdr:spPr>
        <a:xfrm>
          <a:off x="14806084" y="11948584"/>
          <a:ext cx="628952" cy="688720"/>
        </a:xfrm>
        <a:prstGeom prst="rect">
          <a:avLst/>
        </a:prstGeom>
        <a:solidFill>
          <a:schemeClr val="accent6">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ko-KR" altLang="en-US" sz="1100"/>
            <a:t>예비</a:t>
          </a:r>
          <a:endParaRPr lang="en-US" altLang="ko-KR" sz="1100"/>
        </a:p>
      </xdr:txBody>
    </xdr:sp>
    <xdr:clientData/>
  </xdr:twoCellAnchor>
  <xdr:twoCellAnchor>
    <xdr:from>
      <xdr:col>19</xdr:col>
      <xdr:colOff>552450</xdr:colOff>
      <xdr:row>61</xdr:row>
      <xdr:rowOff>51707</xdr:rowOff>
    </xdr:from>
    <xdr:to>
      <xdr:col>20</xdr:col>
      <xdr:colOff>471223</xdr:colOff>
      <xdr:row>64</xdr:row>
      <xdr:rowOff>128106</xdr:rowOff>
    </xdr:to>
    <xdr:sp macro="" textlink="">
      <xdr:nvSpPr>
        <xdr:cNvPr id="113" name="TextBox 112">
          <a:extLst>
            <a:ext uri="{FF2B5EF4-FFF2-40B4-BE49-F238E27FC236}">
              <a16:creationId xmlns:a16="http://schemas.microsoft.com/office/drawing/2014/main" id="{00000000-0008-0000-1600-000071000000}"/>
            </a:ext>
          </a:extLst>
        </xdr:cNvPr>
        <xdr:cNvSpPr txBox="1"/>
      </xdr:nvSpPr>
      <xdr:spPr>
        <a:xfrm>
          <a:off x="16050986" y="11944350"/>
          <a:ext cx="599130" cy="688720"/>
        </a:xfrm>
        <a:prstGeom prst="rect">
          <a:avLst/>
        </a:prstGeom>
        <a:solidFill>
          <a:schemeClr val="accent5">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en-US" altLang="ko-KR" sz="1100"/>
            <a:t>OFD</a:t>
          </a:r>
        </a:p>
      </xdr:txBody>
    </xdr:sp>
    <xdr:clientData/>
  </xdr:twoCellAnchor>
  <xdr:twoCellAnchor>
    <xdr:from>
      <xdr:col>20</xdr:col>
      <xdr:colOff>472015</xdr:colOff>
      <xdr:row>61</xdr:row>
      <xdr:rowOff>55941</xdr:rowOff>
    </xdr:from>
    <xdr:to>
      <xdr:col>21</xdr:col>
      <xdr:colOff>406815</xdr:colOff>
      <xdr:row>64</xdr:row>
      <xdr:rowOff>132340</xdr:rowOff>
    </xdr:to>
    <xdr:sp macro="" textlink="">
      <xdr:nvSpPr>
        <xdr:cNvPr id="114" name="TextBox 113">
          <a:extLst>
            <a:ext uri="{FF2B5EF4-FFF2-40B4-BE49-F238E27FC236}">
              <a16:creationId xmlns:a16="http://schemas.microsoft.com/office/drawing/2014/main" id="{00000000-0008-0000-1600-000072000000}"/>
            </a:ext>
          </a:extLst>
        </xdr:cNvPr>
        <xdr:cNvSpPr txBox="1"/>
      </xdr:nvSpPr>
      <xdr:spPr>
        <a:xfrm>
          <a:off x="16650908" y="11948584"/>
          <a:ext cx="615157" cy="688720"/>
        </a:xfrm>
        <a:prstGeom prst="rect">
          <a:avLst/>
        </a:prstGeom>
        <a:solidFill>
          <a:schemeClr val="accent6">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ko-KR" altLang="en-US" sz="1000"/>
            <a:t>송광치</a:t>
          </a:r>
          <a:endParaRPr lang="en-US" altLang="ko-KR" sz="1000"/>
        </a:p>
        <a:p>
          <a:pPr algn="ctr"/>
          <a:r>
            <a:rPr lang="en-US" altLang="ko-KR" sz="1000"/>
            <a:t>PTP, FDF</a:t>
          </a:r>
        </a:p>
        <a:p>
          <a:pPr algn="ctr"/>
          <a:r>
            <a:rPr lang="ko-KR" altLang="en-US" sz="1000"/>
            <a:t>단자대</a:t>
          </a:r>
          <a:endParaRPr lang="en-US" altLang="ko-KR" sz="1000"/>
        </a:p>
      </xdr:txBody>
    </xdr:sp>
    <xdr:clientData/>
  </xdr:twoCellAnchor>
  <xdr:twoCellAnchor>
    <xdr:from>
      <xdr:col>22</xdr:col>
      <xdr:colOff>343202</xdr:colOff>
      <xdr:row>61</xdr:row>
      <xdr:rowOff>60175</xdr:rowOff>
    </xdr:from>
    <xdr:to>
      <xdr:col>23</xdr:col>
      <xdr:colOff>261977</xdr:colOff>
      <xdr:row>64</xdr:row>
      <xdr:rowOff>136574</xdr:rowOff>
    </xdr:to>
    <xdr:sp macro="" textlink="">
      <xdr:nvSpPr>
        <xdr:cNvPr id="115" name="TextBox 114">
          <a:extLst>
            <a:ext uri="{FF2B5EF4-FFF2-40B4-BE49-F238E27FC236}">
              <a16:creationId xmlns:a16="http://schemas.microsoft.com/office/drawing/2014/main" id="{00000000-0008-0000-1600-000073000000}"/>
            </a:ext>
          </a:extLst>
        </xdr:cNvPr>
        <xdr:cNvSpPr txBox="1"/>
      </xdr:nvSpPr>
      <xdr:spPr>
        <a:xfrm>
          <a:off x="17882809" y="11952818"/>
          <a:ext cx="599132" cy="688720"/>
        </a:xfrm>
        <a:prstGeom prst="rect">
          <a:avLst/>
        </a:prstGeom>
        <a:solidFill>
          <a:schemeClr val="accent6">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ko-KR" altLang="en-US" sz="1100"/>
            <a:t>예비</a:t>
          </a:r>
          <a:endParaRPr lang="en-US" altLang="ko-KR" sz="1100"/>
        </a:p>
      </xdr:txBody>
    </xdr:sp>
    <xdr:clientData/>
  </xdr:twoCellAnchor>
  <xdr:twoCellAnchor>
    <xdr:from>
      <xdr:col>21</xdr:col>
      <xdr:colOff>399141</xdr:colOff>
      <xdr:row>61</xdr:row>
      <xdr:rowOff>60174</xdr:rowOff>
    </xdr:from>
    <xdr:to>
      <xdr:col>22</xdr:col>
      <xdr:colOff>344526</xdr:colOff>
      <xdr:row>64</xdr:row>
      <xdr:rowOff>136573</xdr:rowOff>
    </xdr:to>
    <xdr:sp macro="" textlink="">
      <xdr:nvSpPr>
        <xdr:cNvPr id="116" name="TextBox 115">
          <a:extLst>
            <a:ext uri="{FF2B5EF4-FFF2-40B4-BE49-F238E27FC236}">
              <a16:creationId xmlns:a16="http://schemas.microsoft.com/office/drawing/2014/main" id="{00000000-0008-0000-1600-000074000000}"/>
            </a:ext>
          </a:extLst>
        </xdr:cNvPr>
        <xdr:cNvSpPr txBox="1"/>
      </xdr:nvSpPr>
      <xdr:spPr>
        <a:xfrm>
          <a:off x="17258391" y="11952817"/>
          <a:ext cx="625742" cy="688720"/>
        </a:xfrm>
        <a:prstGeom prst="rect">
          <a:avLst/>
        </a:prstGeom>
        <a:solidFill>
          <a:schemeClr val="accent6">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ko-KR" altLang="en-US" sz="1000"/>
            <a:t>확장</a:t>
          </a:r>
          <a:endParaRPr lang="en-US" altLang="ko-KR" sz="1000"/>
        </a:p>
        <a:p>
          <a:pPr algn="ctr"/>
          <a:r>
            <a:rPr lang="ko-KR" altLang="en-US" sz="1000"/>
            <a:t>단자대</a:t>
          </a:r>
          <a:endParaRPr lang="en-US" altLang="ko-KR" sz="1000"/>
        </a:p>
      </xdr:txBody>
    </xdr:sp>
    <xdr:clientData/>
  </xdr:twoCellAnchor>
  <xdr:twoCellAnchor>
    <xdr:from>
      <xdr:col>18</xdr:col>
      <xdr:colOff>613416</xdr:colOff>
      <xdr:row>52</xdr:row>
      <xdr:rowOff>109569</xdr:rowOff>
    </xdr:from>
    <xdr:to>
      <xdr:col>19</xdr:col>
      <xdr:colOff>560917</xdr:colOff>
      <xdr:row>55</xdr:row>
      <xdr:rowOff>185968</xdr:rowOff>
    </xdr:to>
    <xdr:sp macro="" textlink="">
      <xdr:nvSpPr>
        <xdr:cNvPr id="117" name="TextBox 116">
          <a:extLst>
            <a:ext uri="{FF2B5EF4-FFF2-40B4-BE49-F238E27FC236}">
              <a16:creationId xmlns:a16="http://schemas.microsoft.com/office/drawing/2014/main" id="{00000000-0008-0000-1600-000075000000}"/>
            </a:ext>
          </a:extLst>
        </xdr:cNvPr>
        <xdr:cNvSpPr txBox="1"/>
      </xdr:nvSpPr>
      <xdr:spPr>
        <a:xfrm>
          <a:off x="15431595" y="10165248"/>
          <a:ext cx="627858" cy="688720"/>
        </a:xfrm>
        <a:prstGeom prst="rect">
          <a:avLst/>
        </a:prstGeom>
        <a:solidFill>
          <a:schemeClr val="accent6">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en-US" altLang="ko-KR" sz="1100"/>
            <a:t>UPS</a:t>
          </a:r>
        </a:p>
        <a:p>
          <a:pPr algn="ctr"/>
          <a:r>
            <a:rPr lang="en-US" altLang="ko-KR" sz="1100"/>
            <a:t>BATT.</a:t>
          </a:r>
        </a:p>
      </xdr:txBody>
    </xdr:sp>
    <xdr:clientData/>
  </xdr:twoCellAnchor>
  <xdr:twoCellAnchor>
    <xdr:from>
      <xdr:col>15</xdr:col>
      <xdr:colOff>14152</xdr:colOff>
      <xdr:row>52</xdr:row>
      <xdr:rowOff>109566</xdr:rowOff>
    </xdr:from>
    <xdr:to>
      <xdr:col>21</xdr:col>
      <xdr:colOff>215650</xdr:colOff>
      <xdr:row>64</xdr:row>
      <xdr:rowOff>132340</xdr:rowOff>
    </xdr:to>
    <xdr:cxnSp macro="">
      <xdr:nvCxnSpPr>
        <xdr:cNvPr id="286" name="꺾인 연결선 285">
          <a:extLst>
            <a:ext uri="{FF2B5EF4-FFF2-40B4-BE49-F238E27FC236}">
              <a16:creationId xmlns:a16="http://schemas.microsoft.com/office/drawing/2014/main" id="{00000000-0008-0000-1600-00001E010000}"/>
            </a:ext>
          </a:extLst>
        </xdr:cNvPr>
        <xdr:cNvCxnSpPr/>
      </xdr:nvCxnSpPr>
      <xdr:spPr>
        <a:xfrm rot="5400000" flipH="1">
          <a:off x="13697050" y="9259454"/>
          <a:ext cx="2472059" cy="4283641"/>
        </a:xfrm>
        <a:prstGeom prst="bentConnector5">
          <a:avLst>
            <a:gd name="adj1" fmla="val -29893"/>
            <a:gd name="adj2" fmla="val -59246"/>
            <a:gd name="adj3" fmla="val 123305"/>
          </a:avLst>
        </a:prstGeom>
        <a:ln w="12700">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15</xdr:col>
      <xdr:colOff>17175</xdr:colOff>
      <xdr:row>52</xdr:row>
      <xdr:rowOff>109567</xdr:rowOff>
    </xdr:from>
    <xdr:to>
      <xdr:col>22</xdr:col>
      <xdr:colOff>158651</xdr:colOff>
      <xdr:row>64</xdr:row>
      <xdr:rowOff>136574</xdr:rowOff>
    </xdr:to>
    <xdr:cxnSp macro="">
      <xdr:nvCxnSpPr>
        <xdr:cNvPr id="103" name="꺾인 연결선 102">
          <a:extLst>
            <a:ext uri="{FF2B5EF4-FFF2-40B4-BE49-F238E27FC236}">
              <a16:creationId xmlns:a16="http://schemas.microsoft.com/office/drawing/2014/main" id="{00000000-0008-0000-1600-000067000000}"/>
            </a:ext>
          </a:extLst>
        </xdr:cNvPr>
        <xdr:cNvCxnSpPr/>
      </xdr:nvCxnSpPr>
      <xdr:spPr>
        <a:xfrm rot="5400000" flipH="1">
          <a:off x="14008124" y="8951404"/>
          <a:ext cx="2476292" cy="4903976"/>
        </a:xfrm>
        <a:prstGeom prst="bentConnector5">
          <a:avLst>
            <a:gd name="adj1" fmla="val -29844"/>
            <a:gd name="adj2" fmla="val -39277"/>
            <a:gd name="adj3" fmla="val 122444"/>
          </a:avLst>
        </a:prstGeom>
        <a:ln w="12700">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15</xdr:col>
      <xdr:colOff>17175</xdr:colOff>
      <xdr:row>52</xdr:row>
      <xdr:rowOff>109567</xdr:rowOff>
    </xdr:from>
    <xdr:to>
      <xdr:col>17</xdr:col>
      <xdr:colOff>491120</xdr:colOff>
      <xdr:row>64</xdr:row>
      <xdr:rowOff>128107</xdr:rowOff>
    </xdr:to>
    <xdr:cxnSp macro="">
      <xdr:nvCxnSpPr>
        <xdr:cNvPr id="110" name="꺾인 연결선 109">
          <a:extLst>
            <a:ext uri="{FF2B5EF4-FFF2-40B4-BE49-F238E27FC236}">
              <a16:creationId xmlns:a16="http://schemas.microsoft.com/office/drawing/2014/main" id="{00000000-0008-0000-1600-00006E000000}"/>
            </a:ext>
          </a:extLst>
        </xdr:cNvPr>
        <xdr:cNvCxnSpPr/>
      </xdr:nvCxnSpPr>
      <xdr:spPr>
        <a:xfrm rot="5400000" flipH="1">
          <a:off x="12477699" y="10481829"/>
          <a:ext cx="2467825" cy="1834659"/>
        </a:xfrm>
        <a:prstGeom prst="bentConnector5">
          <a:avLst>
            <a:gd name="adj1" fmla="val -30354"/>
            <a:gd name="adj2" fmla="val -271989"/>
            <a:gd name="adj3" fmla="val 122518"/>
          </a:avLst>
        </a:prstGeom>
        <a:ln w="12700">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15</xdr:col>
      <xdr:colOff>17175</xdr:colOff>
      <xdr:row>52</xdr:row>
      <xdr:rowOff>109566</xdr:rowOff>
    </xdr:from>
    <xdr:to>
      <xdr:col>16</xdr:col>
      <xdr:colOff>553808</xdr:colOff>
      <xdr:row>64</xdr:row>
      <xdr:rowOff>134455</xdr:rowOff>
    </xdr:to>
    <xdr:cxnSp macro="">
      <xdr:nvCxnSpPr>
        <xdr:cNvPr id="118" name="꺾인 연결선 117">
          <a:extLst>
            <a:ext uri="{FF2B5EF4-FFF2-40B4-BE49-F238E27FC236}">
              <a16:creationId xmlns:a16="http://schemas.microsoft.com/office/drawing/2014/main" id="{00000000-0008-0000-1600-000076000000}"/>
            </a:ext>
          </a:extLst>
        </xdr:cNvPr>
        <xdr:cNvCxnSpPr/>
      </xdr:nvCxnSpPr>
      <xdr:spPr>
        <a:xfrm rot="5400000" flipH="1">
          <a:off x="12165690" y="10793837"/>
          <a:ext cx="2474174" cy="1216990"/>
        </a:xfrm>
        <a:prstGeom prst="bentConnector5">
          <a:avLst>
            <a:gd name="adj1" fmla="val -30279"/>
            <a:gd name="adj2" fmla="val -460447"/>
            <a:gd name="adj3" fmla="val 122463"/>
          </a:avLst>
        </a:prstGeom>
        <a:ln w="12700">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15</xdr:col>
      <xdr:colOff>27758</xdr:colOff>
      <xdr:row>52</xdr:row>
      <xdr:rowOff>109566</xdr:rowOff>
    </xdr:from>
    <xdr:to>
      <xdr:col>15</xdr:col>
      <xdr:colOff>628098</xdr:colOff>
      <xdr:row>64</xdr:row>
      <xdr:rowOff>130221</xdr:rowOff>
    </xdr:to>
    <xdr:cxnSp macro="">
      <xdr:nvCxnSpPr>
        <xdr:cNvPr id="123" name="꺾인 연결선 122">
          <a:extLst>
            <a:ext uri="{FF2B5EF4-FFF2-40B4-BE49-F238E27FC236}">
              <a16:creationId xmlns:a16="http://schemas.microsoft.com/office/drawing/2014/main" id="{00000000-0008-0000-1600-00007B000000}"/>
            </a:ext>
          </a:extLst>
        </xdr:cNvPr>
        <xdr:cNvCxnSpPr/>
      </xdr:nvCxnSpPr>
      <xdr:spPr>
        <a:xfrm rot="5400000" flipH="1">
          <a:off x="11870065" y="11100045"/>
          <a:ext cx="2469940" cy="600340"/>
        </a:xfrm>
        <a:prstGeom prst="bentConnector5">
          <a:avLst>
            <a:gd name="adj1" fmla="val -30330"/>
            <a:gd name="adj2" fmla="val -1031313"/>
            <a:gd name="adj3" fmla="val 122500"/>
          </a:avLst>
        </a:prstGeom>
        <a:ln w="12700">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15</xdr:col>
      <xdr:colOff>17178</xdr:colOff>
      <xdr:row>52</xdr:row>
      <xdr:rowOff>109566</xdr:rowOff>
    </xdr:from>
    <xdr:to>
      <xdr:col>22</xdr:col>
      <xdr:colOff>478668</xdr:colOff>
      <xdr:row>54</xdr:row>
      <xdr:rowOff>45715</xdr:rowOff>
    </xdr:to>
    <xdr:cxnSp macro="">
      <xdr:nvCxnSpPr>
        <xdr:cNvPr id="132" name="꺾인 연결선 131">
          <a:extLst>
            <a:ext uri="{FF2B5EF4-FFF2-40B4-BE49-F238E27FC236}">
              <a16:creationId xmlns:a16="http://schemas.microsoft.com/office/drawing/2014/main" id="{00000000-0008-0000-1600-000084000000}"/>
            </a:ext>
          </a:extLst>
        </xdr:cNvPr>
        <xdr:cNvCxnSpPr/>
      </xdr:nvCxnSpPr>
      <xdr:spPr>
        <a:xfrm flipH="1" flipV="1">
          <a:off x="12794285" y="10165245"/>
          <a:ext cx="5223990" cy="344363"/>
        </a:xfrm>
        <a:prstGeom prst="bentConnector4">
          <a:avLst>
            <a:gd name="adj1" fmla="val -5188"/>
            <a:gd name="adj2" fmla="val 260746"/>
          </a:avLst>
        </a:prstGeom>
        <a:ln w="12700">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17</xdr:col>
      <xdr:colOff>364125</xdr:colOff>
      <xdr:row>61</xdr:row>
      <xdr:rowOff>51707</xdr:rowOff>
    </xdr:from>
    <xdr:to>
      <xdr:col>22</xdr:col>
      <xdr:colOff>31656</xdr:colOff>
      <xdr:row>61</xdr:row>
      <xdr:rowOff>60174</xdr:rowOff>
    </xdr:to>
    <xdr:cxnSp macro="">
      <xdr:nvCxnSpPr>
        <xdr:cNvPr id="156" name="꺾인 연결선 155">
          <a:extLst>
            <a:ext uri="{FF2B5EF4-FFF2-40B4-BE49-F238E27FC236}">
              <a16:creationId xmlns:a16="http://schemas.microsoft.com/office/drawing/2014/main" id="{00000000-0008-0000-1600-00009C000000}"/>
            </a:ext>
          </a:extLst>
        </xdr:cNvPr>
        <xdr:cNvCxnSpPr>
          <a:stCxn id="116" idx="0"/>
          <a:endCxn id="109" idx="0"/>
        </xdr:cNvCxnSpPr>
      </xdr:nvCxnSpPr>
      <xdr:spPr>
        <a:xfrm rot="16200000" flipV="1">
          <a:off x="16032371" y="10413925"/>
          <a:ext cx="8467" cy="3069317"/>
        </a:xfrm>
        <a:prstGeom prst="bentConnector3">
          <a:avLst>
            <a:gd name="adj1" fmla="val 10174525"/>
          </a:avLst>
        </a:prstGeom>
        <a:ln w="12700">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17</xdr:col>
      <xdr:colOff>364125</xdr:colOff>
      <xdr:row>55</xdr:row>
      <xdr:rowOff>181734</xdr:rowOff>
    </xdr:from>
    <xdr:to>
      <xdr:col>21</xdr:col>
      <xdr:colOff>106381</xdr:colOff>
      <xdr:row>61</xdr:row>
      <xdr:rowOff>51706</xdr:rowOff>
    </xdr:to>
    <xdr:cxnSp macro="">
      <xdr:nvCxnSpPr>
        <xdr:cNvPr id="163" name="꺾인 연결선 162">
          <a:extLst>
            <a:ext uri="{FF2B5EF4-FFF2-40B4-BE49-F238E27FC236}">
              <a16:creationId xmlns:a16="http://schemas.microsoft.com/office/drawing/2014/main" id="{00000000-0008-0000-1600-0000A3000000}"/>
            </a:ext>
          </a:extLst>
        </xdr:cNvPr>
        <xdr:cNvCxnSpPr>
          <a:stCxn id="102" idx="2"/>
          <a:endCxn id="109" idx="0"/>
        </xdr:cNvCxnSpPr>
      </xdr:nvCxnSpPr>
      <xdr:spPr>
        <a:xfrm rot="5400000">
          <a:off x="15186481" y="10165199"/>
          <a:ext cx="1094615" cy="2463685"/>
        </a:xfrm>
        <a:prstGeom prst="bentConnector3">
          <a:avLst>
            <a:gd name="adj1" fmla="val 23832"/>
          </a:avLst>
        </a:prstGeom>
        <a:ln w="12700">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12</xdr:col>
      <xdr:colOff>584539</xdr:colOff>
      <xdr:row>53</xdr:row>
      <xdr:rowOff>115475</xdr:rowOff>
    </xdr:from>
    <xdr:to>
      <xdr:col>12</xdr:col>
      <xdr:colOff>671394</xdr:colOff>
      <xdr:row>54</xdr:row>
      <xdr:rowOff>62097</xdr:rowOff>
    </xdr:to>
    <xdr:sp macro="" textlink="">
      <xdr:nvSpPr>
        <xdr:cNvPr id="170" name="TextBox 169">
          <a:extLst>
            <a:ext uri="{FF2B5EF4-FFF2-40B4-BE49-F238E27FC236}">
              <a16:creationId xmlns:a16="http://schemas.microsoft.com/office/drawing/2014/main" id="{00000000-0008-0000-1600-0000AA000000}"/>
            </a:ext>
          </a:extLst>
        </xdr:cNvPr>
        <xdr:cNvSpPr txBox="1"/>
      </xdr:nvSpPr>
      <xdr:spPr>
        <a:xfrm rot="16200000">
          <a:off x="11288638" y="10407198"/>
          <a:ext cx="150729" cy="8685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endParaRPr lang="en-US" altLang="ko-KR" sz="700"/>
        </a:p>
      </xdr:txBody>
    </xdr:sp>
    <xdr:clientData/>
  </xdr:twoCellAnchor>
  <xdr:twoCellAnchor>
    <xdr:from>
      <xdr:col>12</xdr:col>
      <xdr:colOff>671395</xdr:colOff>
      <xdr:row>53</xdr:row>
      <xdr:rowOff>187060</xdr:rowOff>
    </xdr:from>
    <xdr:to>
      <xdr:col>23</xdr:col>
      <xdr:colOff>269120</xdr:colOff>
      <xdr:row>54</xdr:row>
      <xdr:rowOff>45716</xdr:rowOff>
    </xdr:to>
    <xdr:cxnSp macro="">
      <xdr:nvCxnSpPr>
        <xdr:cNvPr id="182" name="꺾인 연결선 181">
          <a:extLst>
            <a:ext uri="{FF2B5EF4-FFF2-40B4-BE49-F238E27FC236}">
              <a16:creationId xmlns:a16="http://schemas.microsoft.com/office/drawing/2014/main" id="{00000000-0008-0000-1600-0000B6000000}"/>
            </a:ext>
          </a:extLst>
        </xdr:cNvPr>
        <xdr:cNvCxnSpPr>
          <a:stCxn id="104" idx="3"/>
          <a:endCxn id="170" idx="2"/>
        </xdr:cNvCxnSpPr>
      </xdr:nvCxnSpPr>
      <xdr:spPr>
        <a:xfrm flipH="1" flipV="1">
          <a:off x="11407431" y="10446846"/>
          <a:ext cx="7081653" cy="62763"/>
        </a:xfrm>
        <a:prstGeom prst="bentConnector5">
          <a:avLst>
            <a:gd name="adj1" fmla="val 6026"/>
            <a:gd name="adj2" fmla="val 1187676"/>
            <a:gd name="adj3" fmla="val 88033"/>
          </a:avLst>
        </a:prstGeom>
        <a:ln w="12700">
          <a:tailEnd type="triangle"/>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17</xdr:col>
      <xdr:colOff>551428</xdr:colOff>
      <xdr:row>59</xdr:row>
      <xdr:rowOff>150875</xdr:rowOff>
    </xdr:from>
    <xdr:to>
      <xdr:col>17</xdr:col>
      <xdr:colOff>554830</xdr:colOff>
      <xdr:row>61</xdr:row>
      <xdr:rowOff>55067</xdr:rowOff>
    </xdr:to>
    <xdr:cxnSp macro="">
      <xdr:nvCxnSpPr>
        <xdr:cNvPr id="194" name="꺾인 연결선 193">
          <a:extLst>
            <a:ext uri="{FF2B5EF4-FFF2-40B4-BE49-F238E27FC236}">
              <a16:creationId xmlns:a16="http://schemas.microsoft.com/office/drawing/2014/main" id="{00000000-0008-0000-1600-0000C2000000}"/>
            </a:ext>
          </a:extLst>
        </xdr:cNvPr>
        <xdr:cNvCxnSpPr/>
      </xdr:nvCxnSpPr>
      <xdr:spPr>
        <a:xfrm rot="16200000">
          <a:off x="14534747" y="11789806"/>
          <a:ext cx="312406" cy="3402"/>
        </a:xfrm>
        <a:prstGeom prst="bentConnector3">
          <a:avLst>
            <a:gd name="adj1" fmla="val 50000"/>
          </a:avLst>
        </a:prstGeom>
        <a:ln w="12700">
          <a:solidFill>
            <a:schemeClr val="accent3"/>
          </a:solidFill>
          <a:tailEnd type="triangle"/>
        </a:ln>
      </xdr:spPr>
      <xdr:style>
        <a:lnRef idx="2">
          <a:schemeClr val="accent4"/>
        </a:lnRef>
        <a:fillRef idx="0">
          <a:schemeClr val="accent4"/>
        </a:fillRef>
        <a:effectRef idx="1">
          <a:schemeClr val="accent4"/>
        </a:effectRef>
        <a:fontRef idx="minor">
          <a:schemeClr val="tx1"/>
        </a:fontRef>
      </xdr:style>
    </xdr:cxnSp>
    <xdr:clientData/>
  </xdr:twoCellAnchor>
  <xdr:twoCellAnchor>
    <xdr:from>
      <xdr:col>21</xdr:col>
      <xdr:colOff>233624</xdr:colOff>
      <xdr:row>59</xdr:row>
      <xdr:rowOff>155109</xdr:rowOff>
    </xdr:from>
    <xdr:to>
      <xdr:col>21</xdr:col>
      <xdr:colOff>237026</xdr:colOff>
      <xdr:row>61</xdr:row>
      <xdr:rowOff>59301</xdr:rowOff>
    </xdr:to>
    <xdr:cxnSp macro="">
      <xdr:nvCxnSpPr>
        <xdr:cNvPr id="195" name="꺾인 연결선 194">
          <a:extLst>
            <a:ext uri="{FF2B5EF4-FFF2-40B4-BE49-F238E27FC236}">
              <a16:creationId xmlns:a16="http://schemas.microsoft.com/office/drawing/2014/main" id="{00000000-0008-0000-1600-0000C3000000}"/>
            </a:ext>
          </a:extLst>
        </xdr:cNvPr>
        <xdr:cNvCxnSpPr/>
      </xdr:nvCxnSpPr>
      <xdr:spPr>
        <a:xfrm rot="16200000">
          <a:off x="16938372" y="11794040"/>
          <a:ext cx="312406" cy="3402"/>
        </a:xfrm>
        <a:prstGeom prst="bentConnector3">
          <a:avLst>
            <a:gd name="adj1" fmla="val 50000"/>
          </a:avLst>
        </a:prstGeom>
        <a:ln w="12700">
          <a:solidFill>
            <a:schemeClr val="accent3"/>
          </a:solidFill>
          <a:tailEnd type="triangle"/>
        </a:ln>
      </xdr:spPr>
      <xdr:style>
        <a:lnRef idx="2">
          <a:schemeClr val="accent4"/>
        </a:lnRef>
        <a:fillRef idx="0">
          <a:schemeClr val="accent4"/>
        </a:fillRef>
        <a:effectRef idx="1">
          <a:schemeClr val="accent4"/>
        </a:effectRef>
        <a:fontRef idx="minor">
          <a:schemeClr val="tx1"/>
        </a:fontRef>
      </xdr:style>
    </xdr:cxnSp>
    <xdr:clientData/>
  </xdr:twoCellAnchor>
  <xdr:twoCellAnchor>
    <xdr:from>
      <xdr:col>22</xdr:col>
      <xdr:colOff>203083</xdr:colOff>
      <xdr:row>59</xdr:row>
      <xdr:rowOff>169925</xdr:rowOff>
    </xdr:from>
    <xdr:to>
      <xdr:col>22</xdr:col>
      <xdr:colOff>206485</xdr:colOff>
      <xdr:row>61</xdr:row>
      <xdr:rowOff>74117</xdr:rowOff>
    </xdr:to>
    <xdr:cxnSp macro="">
      <xdr:nvCxnSpPr>
        <xdr:cNvPr id="196" name="꺾인 연결선 195">
          <a:extLst>
            <a:ext uri="{FF2B5EF4-FFF2-40B4-BE49-F238E27FC236}">
              <a16:creationId xmlns:a16="http://schemas.microsoft.com/office/drawing/2014/main" id="{00000000-0008-0000-1600-0000C4000000}"/>
            </a:ext>
          </a:extLst>
        </xdr:cNvPr>
        <xdr:cNvCxnSpPr/>
      </xdr:nvCxnSpPr>
      <xdr:spPr>
        <a:xfrm rot="16200000">
          <a:off x="17588188" y="11808856"/>
          <a:ext cx="312406" cy="3402"/>
        </a:xfrm>
        <a:prstGeom prst="bentConnector3">
          <a:avLst>
            <a:gd name="adj1" fmla="val 50000"/>
          </a:avLst>
        </a:prstGeom>
        <a:ln w="12700">
          <a:solidFill>
            <a:schemeClr val="accent3"/>
          </a:solidFill>
          <a:tailEnd type="triangle"/>
        </a:ln>
      </xdr:spPr>
      <xdr:style>
        <a:lnRef idx="2">
          <a:schemeClr val="accent4"/>
        </a:lnRef>
        <a:fillRef idx="0">
          <a:schemeClr val="accent4"/>
        </a:fillRef>
        <a:effectRef idx="1">
          <a:schemeClr val="accent4"/>
        </a:effectRef>
        <a:fontRef idx="minor">
          <a:schemeClr val="tx1"/>
        </a:fontRef>
      </xdr:style>
    </xdr:cxnSp>
    <xdr:clientData/>
  </xdr:twoCellAnchor>
  <xdr:twoCellAnchor>
    <xdr:from>
      <xdr:col>23</xdr:col>
      <xdr:colOff>175568</xdr:colOff>
      <xdr:row>51</xdr:row>
      <xdr:rowOff>22969</xdr:rowOff>
    </xdr:from>
    <xdr:to>
      <xdr:col>23</xdr:col>
      <xdr:colOff>178970</xdr:colOff>
      <xdr:row>52</xdr:row>
      <xdr:rowOff>123707</xdr:rowOff>
    </xdr:to>
    <xdr:cxnSp macro="">
      <xdr:nvCxnSpPr>
        <xdr:cNvPr id="197" name="꺾인 연결선 196">
          <a:extLst>
            <a:ext uri="{FF2B5EF4-FFF2-40B4-BE49-F238E27FC236}">
              <a16:creationId xmlns:a16="http://schemas.microsoft.com/office/drawing/2014/main" id="{00000000-0008-0000-1600-0000C5000000}"/>
            </a:ext>
          </a:extLst>
        </xdr:cNvPr>
        <xdr:cNvCxnSpPr/>
      </xdr:nvCxnSpPr>
      <xdr:spPr>
        <a:xfrm rot="16200000">
          <a:off x="18244810" y="10025262"/>
          <a:ext cx="304846" cy="3402"/>
        </a:xfrm>
        <a:prstGeom prst="bentConnector3">
          <a:avLst>
            <a:gd name="adj1" fmla="val 50000"/>
          </a:avLst>
        </a:prstGeom>
        <a:ln w="12700">
          <a:solidFill>
            <a:schemeClr val="accent3"/>
          </a:solidFill>
          <a:tailEnd type="triangle"/>
        </a:ln>
      </xdr:spPr>
      <xdr:style>
        <a:lnRef idx="2">
          <a:schemeClr val="accent4"/>
        </a:lnRef>
        <a:fillRef idx="0">
          <a:schemeClr val="accent4"/>
        </a:fillRef>
        <a:effectRef idx="1">
          <a:schemeClr val="accent4"/>
        </a:effectRef>
        <a:fontRef idx="minor">
          <a:schemeClr val="tx1"/>
        </a:fontRef>
      </xdr:style>
    </xdr:cxnSp>
    <xdr:clientData/>
  </xdr:twoCellAnchor>
  <xdr:twoCellAnchor>
    <xdr:from>
      <xdr:col>23</xdr:col>
      <xdr:colOff>279704</xdr:colOff>
      <xdr:row>50</xdr:row>
      <xdr:rowOff>24191</xdr:rowOff>
    </xdr:from>
    <xdr:to>
      <xdr:col>24</xdr:col>
      <xdr:colOff>612321</xdr:colOff>
      <xdr:row>52</xdr:row>
      <xdr:rowOff>55940</xdr:rowOff>
    </xdr:to>
    <xdr:sp macro="" textlink="">
      <xdr:nvSpPr>
        <xdr:cNvPr id="157" name="TextBox 156">
          <a:extLst>
            <a:ext uri="{FF2B5EF4-FFF2-40B4-BE49-F238E27FC236}">
              <a16:creationId xmlns:a16="http://schemas.microsoft.com/office/drawing/2014/main" id="{00000000-0008-0000-1600-00009D000000}"/>
            </a:ext>
          </a:extLst>
        </xdr:cNvPr>
        <xdr:cNvSpPr txBox="1"/>
      </xdr:nvSpPr>
      <xdr:spPr>
        <a:xfrm>
          <a:off x="18499668" y="9671655"/>
          <a:ext cx="1012974" cy="4399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lstStyle/>
        <a:p>
          <a:pPr algn="ctr"/>
          <a:r>
            <a:rPr lang="ko-KR" altLang="en-US" sz="800" b="1">
              <a:solidFill>
                <a:srgbClr val="0000FF"/>
              </a:solidFill>
            </a:rPr>
            <a:t>지제</a:t>
          </a:r>
          <a:r>
            <a:rPr lang="en-US" altLang="ko-KR" sz="800" b="1">
              <a:solidFill>
                <a:srgbClr val="0000FF"/>
              </a:solidFill>
            </a:rPr>
            <a:t>S/S</a:t>
          </a:r>
          <a:r>
            <a:rPr lang="ko-KR" altLang="en-US" sz="800" b="1">
              <a:solidFill>
                <a:srgbClr val="0000FF"/>
              </a:solidFill>
            </a:rPr>
            <a:t>에서 이설</a:t>
          </a:r>
          <a:r>
            <a:rPr lang="en-US" altLang="ko-KR" sz="800" b="1">
              <a:solidFill>
                <a:srgbClr val="0000FF"/>
              </a:solidFill>
            </a:rPr>
            <a:t>-</a:t>
          </a:r>
          <a:r>
            <a:rPr lang="ko-KR" altLang="en-US" sz="800" b="1">
              <a:solidFill>
                <a:srgbClr val="0000FF"/>
              </a:solidFill>
            </a:rPr>
            <a:t>예비</a:t>
          </a:r>
          <a:r>
            <a:rPr lang="en-US" altLang="ko-KR" sz="800" b="1">
              <a:solidFill>
                <a:srgbClr val="0000FF"/>
              </a:solidFill>
            </a:rPr>
            <a:t>PITR</a:t>
          </a:r>
          <a:r>
            <a:rPr lang="ko-KR" altLang="en-US" sz="800" b="1">
              <a:solidFill>
                <a:srgbClr val="0000FF"/>
              </a:solidFill>
            </a:rPr>
            <a:t>랙 활용</a:t>
          </a:r>
        </a:p>
      </xdr:txBody>
    </xdr:sp>
    <xdr:clientData/>
  </xdr:twoCellAnchor>
  <xdr:twoCellAnchor>
    <xdr:from>
      <xdr:col>22</xdr:col>
      <xdr:colOff>350345</xdr:colOff>
      <xdr:row>52</xdr:row>
      <xdr:rowOff>109570</xdr:rowOff>
    </xdr:from>
    <xdr:to>
      <xdr:col>23</xdr:col>
      <xdr:colOff>269120</xdr:colOff>
      <xdr:row>55</xdr:row>
      <xdr:rowOff>185969</xdr:rowOff>
    </xdr:to>
    <xdr:sp macro="" textlink="">
      <xdr:nvSpPr>
        <xdr:cNvPr id="104" name="TextBox 103">
          <a:extLst>
            <a:ext uri="{FF2B5EF4-FFF2-40B4-BE49-F238E27FC236}">
              <a16:creationId xmlns:a16="http://schemas.microsoft.com/office/drawing/2014/main" id="{00000000-0008-0000-1600-000068000000}"/>
            </a:ext>
          </a:extLst>
        </xdr:cNvPr>
        <xdr:cNvSpPr txBox="1"/>
      </xdr:nvSpPr>
      <xdr:spPr>
        <a:xfrm>
          <a:off x="17889952" y="10165249"/>
          <a:ext cx="599132" cy="688720"/>
        </a:xfrm>
        <a:prstGeom prst="rect">
          <a:avLst/>
        </a:prstGeom>
        <a:solidFill>
          <a:schemeClr val="accent6">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en-US" altLang="ko-KR" sz="1100"/>
            <a:t>PITR-5000</a:t>
          </a:r>
        </a:p>
        <a:p>
          <a:pPr algn="ctr"/>
          <a:r>
            <a:rPr lang="en-US" altLang="ko-KR" sz="1100"/>
            <a:t>(</a:t>
          </a:r>
          <a:r>
            <a:rPr lang="ko-KR" altLang="en-US" sz="1100"/>
            <a:t>문막</a:t>
          </a:r>
          <a:r>
            <a:rPr lang="en-US" altLang="ko-KR" sz="1100"/>
            <a:t>)</a:t>
          </a:r>
        </a:p>
      </xdr:txBody>
    </xdr:sp>
    <xdr:clientData/>
  </xdr:twoCellAnchor>
  <xdr:twoCellAnchor>
    <xdr:from>
      <xdr:col>2</xdr:col>
      <xdr:colOff>0</xdr:colOff>
      <xdr:row>39</xdr:row>
      <xdr:rowOff>17317</xdr:rowOff>
    </xdr:from>
    <xdr:to>
      <xdr:col>4</xdr:col>
      <xdr:colOff>1055859</xdr:colOff>
      <xdr:row>83</xdr:row>
      <xdr:rowOff>12140</xdr:rowOff>
    </xdr:to>
    <xdr:grpSp>
      <xdr:nvGrpSpPr>
        <xdr:cNvPr id="158" name="그룹 157">
          <a:extLst>
            <a:ext uri="{FF2B5EF4-FFF2-40B4-BE49-F238E27FC236}">
              <a16:creationId xmlns:a16="http://schemas.microsoft.com/office/drawing/2014/main" id="{00000000-0008-0000-1600-00009E000000}"/>
            </a:ext>
          </a:extLst>
        </xdr:cNvPr>
        <xdr:cNvGrpSpPr/>
      </xdr:nvGrpSpPr>
      <xdr:grpSpPr>
        <a:xfrm>
          <a:off x="347382" y="7816611"/>
          <a:ext cx="4092653" cy="9340529"/>
          <a:chOff x="1001486" y="870858"/>
          <a:chExt cx="2844800" cy="8490856"/>
        </a:xfrm>
      </xdr:grpSpPr>
      <xdr:sp macro="" textlink="">
        <xdr:nvSpPr>
          <xdr:cNvPr id="159" name="직사각형 158">
            <a:extLst>
              <a:ext uri="{FF2B5EF4-FFF2-40B4-BE49-F238E27FC236}">
                <a16:creationId xmlns:a16="http://schemas.microsoft.com/office/drawing/2014/main" id="{00000000-0008-0000-1600-00009F000000}"/>
              </a:ext>
            </a:extLst>
          </xdr:cNvPr>
          <xdr:cNvSpPr/>
        </xdr:nvSpPr>
        <xdr:spPr>
          <a:xfrm>
            <a:off x="1001486" y="870858"/>
            <a:ext cx="2844800" cy="8490856"/>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0" name="직사각형 159">
            <a:extLst>
              <a:ext uri="{FF2B5EF4-FFF2-40B4-BE49-F238E27FC236}">
                <a16:creationId xmlns:a16="http://schemas.microsoft.com/office/drawing/2014/main" id="{00000000-0008-0000-1600-0000A0000000}"/>
              </a:ext>
            </a:extLst>
          </xdr:cNvPr>
          <xdr:cNvSpPr/>
        </xdr:nvSpPr>
        <xdr:spPr>
          <a:xfrm>
            <a:off x="1166094" y="1213181"/>
            <a:ext cx="2532743" cy="783523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clientData/>
  </xdr:twoCellAnchor>
  <xdr:twoCellAnchor>
    <xdr:from>
      <xdr:col>2</xdr:col>
      <xdr:colOff>221868</xdr:colOff>
      <xdr:row>40</xdr:row>
      <xdr:rowOff>15547</xdr:rowOff>
    </xdr:from>
    <xdr:to>
      <xdr:col>4</xdr:col>
      <xdr:colOff>833989</xdr:colOff>
      <xdr:row>41</xdr:row>
      <xdr:rowOff>111394</xdr:rowOff>
    </xdr:to>
    <xdr:grpSp>
      <xdr:nvGrpSpPr>
        <xdr:cNvPr id="161" name="그룹 160">
          <a:extLst>
            <a:ext uri="{FF2B5EF4-FFF2-40B4-BE49-F238E27FC236}">
              <a16:creationId xmlns:a16="http://schemas.microsoft.com/office/drawing/2014/main" id="{00000000-0008-0000-1600-0000A1000000}"/>
            </a:ext>
          </a:extLst>
        </xdr:cNvPr>
        <xdr:cNvGrpSpPr/>
      </xdr:nvGrpSpPr>
      <xdr:grpSpPr>
        <a:xfrm>
          <a:off x="569250" y="7915694"/>
          <a:ext cx="3648915" cy="308759"/>
          <a:chOff x="-2195206" y="4622871"/>
          <a:chExt cx="8132868" cy="1409794"/>
        </a:xfrm>
      </xdr:grpSpPr>
      <xdr:grpSp>
        <xdr:nvGrpSpPr>
          <xdr:cNvPr id="162" name="그룹 161">
            <a:extLst>
              <a:ext uri="{FF2B5EF4-FFF2-40B4-BE49-F238E27FC236}">
                <a16:creationId xmlns:a16="http://schemas.microsoft.com/office/drawing/2014/main" id="{00000000-0008-0000-1600-0000A2000000}"/>
              </a:ext>
            </a:extLst>
          </xdr:cNvPr>
          <xdr:cNvGrpSpPr/>
        </xdr:nvGrpSpPr>
        <xdr:grpSpPr>
          <a:xfrm>
            <a:off x="-1891888" y="4630491"/>
            <a:ext cx="7532667" cy="1402174"/>
            <a:chOff x="-1428750" y="4535487"/>
            <a:chExt cx="9709150" cy="1976863"/>
          </a:xfrm>
        </xdr:grpSpPr>
        <xdr:pic>
          <xdr:nvPicPr>
            <xdr:cNvPr id="219" name="그림 218">
              <a:extLst>
                <a:ext uri="{FF2B5EF4-FFF2-40B4-BE49-F238E27FC236}">
                  <a16:creationId xmlns:a16="http://schemas.microsoft.com/office/drawing/2014/main" id="{00000000-0008-0000-1600-0000DB000000}"/>
                </a:ext>
              </a:extLst>
            </xdr:cNvPr>
            <xdr:cNvPicPr>
              <a:picLocks noChangeAspect="1"/>
            </xdr:cNvPicPr>
          </xdr:nvPicPr>
          <xdr:blipFill>
            <a:blip xmlns:r="http://schemas.openxmlformats.org/officeDocument/2006/relationships" r:embed="rId1"/>
            <a:stretch>
              <a:fillRect/>
            </a:stretch>
          </xdr:blipFill>
          <xdr:spPr>
            <a:xfrm>
              <a:off x="-1428750" y="4535487"/>
              <a:ext cx="9709150" cy="1976863"/>
            </a:xfrm>
            <a:prstGeom prst="rect">
              <a:avLst/>
            </a:prstGeom>
            <a:ln>
              <a:solidFill>
                <a:schemeClr val="tx1"/>
              </a:solidFill>
            </a:ln>
          </xdr:spPr>
        </xdr:pic>
        <xdr:sp macro="" textlink="">
          <xdr:nvSpPr>
            <xdr:cNvPr id="220" name="직사각형 219">
              <a:extLst>
                <a:ext uri="{FF2B5EF4-FFF2-40B4-BE49-F238E27FC236}">
                  <a16:creationId xmlns:a16="http://schemas.microsoft.com/office/drawing/2014/main" id="{00000000-0008-0000-1600-0000DC000000}"/>
                </a:ext>
              </a:extLst>
            </xdr:cNvPr>
            <xdr:cNvSpPr/>
          </xdr:nvSpPr>
          <xdr:spPr>
            <a:xfrm>
              <a:off x="-304800" y="4914899"/>
              <a:ext cx="304800" cy="274617"/>
            </a:xfrm>
            <a:prstGeom prst="rect">
              <a:avLst/>
            </a:prstGeom>
            <a:solidFill>
              <a:srgbClr val="FF0000">
                <a:alpha val="70000"/>
              </a:srgb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21" name="직사각형 220">
              <a:extLst>
                <a:ext uri="{FF2B5EF4-FFF2-40B4-BE49-F238E27FC236}">
                  <a16:creationId xmlns:a16="http://schemas.microsoft.com/office/drawing/2014/main" id="{00000000-0008-0000-1600-0000DD000000}"/>
                </a:ext>
              </a:extLst>
            </xdr:cNvPr>
            <xdr:cNvSpPr/>
          </xdr:nvSpPr>
          <xdr:spPr>
            <a:xfrm>
              <a:off x="6669975" y="4903023"/>
              <a:ext cx="304800" cy="274617"/>
            </a:xfrm>
            <a:prstGeom prst="rect">
              <a:avLst/>
            </a:prstGeom>
            <a:solidFill>
              <a:srgbClr val="FF0000">
                <a:alpha val="70000"/>
              </a:srgb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22" name="직사각형 221">
              <a:extLst>
                <a:ext uri="{FF2B5EF4-FFF2-40B4-BE49-F238E27FC236}">
                  <a16:creationId xmlns:a16="http://schemas.microsoft.com/office/drawing/2014/main" id="{00000000-0008-0000-1600-0000DE000000}"/>
                </a:ext>
              </a:extLst>
            </xdr:cNvPr>
            <xdr:cNvSpPr/>
          </xdr:nvSpPr>
          <xdr:spPr>
            <a:xfrm>
              <a:off x="7194137" y="4903022"/>
              <a:ext cx="304800" cy="274617"/>
            </a:xfrm>
            <a:prstGeom prst="rect">
              <a:avLst/>
            </a:prstGeom>
            <a:solidFill>
              <a:srgbClr val="FF0000">
                <a:alpha val="70000"/>
              </a:srgb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23" name="직사각형 222">
              <a:extLst>
                <a:ext uri="{FF2B5EF4-FFF2-40B4-BE49-F238E27FC236}">
                  <a16:creationId xmlns:a16="http://schemas.microsoft.com/office/drawing/2014/main" id="{00000000-0008-0000-1600-0000DF000000}"/>
                </a:ext>
              </a:extLst>
            </xdr:cNvPr>
            <xdr:cNvSpPr/>
          </xdr:nvSpPr>
          <xdr:spPr>
            <a:xfrm>
              <a:off x="7718299" y="4903021"/>
              <a:ext cx="304800" cy="274617"/>
            </a:xfrm>
            <a:prstGeom prst="rect">
              <a:avLst/>
            </a:prstGeom>
            <a:solidFill>
              <a:srgbClr val="FFC000">
                <a:alpha val="70000"/>
              </a:srgb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24" name="직사각형 223">
              <a:extLst>
                <a:ext uri="{FF2B5EF4-FFF2-40B4-BE49-F238E27FC236}">
                  <a16:creationId xmlns:a16="http://schemas.microsoft.com/office/drawing/2014/main" id="{00000000-0008-0000-1600-0000E0000000}"/>
                </a:ext>
              </a:extLst>
            </xdr:cNvPr>
            <xdr:cNvSpPr/>
          </xdr:nvSpPr>
          <xdr:spPr>
            <a:xfrm>
              <a:off x="348011" y="4789463"/>
              <a:ext cx="2228933" cy="400054"/>
            </a:xfrm>
            <a:prstGeom prst="rect">
              <a:avLst/>
            </a:prstGeom>
            <a:solidFill>
              <a:schemeClr val="tx2">
                <a:alpha val="38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sp macro="" textlink="">
        <xdr:nvSpPr>
          <xdr:cNvPr id="164" name="모서리가 둥근 직사각형 1152">
            <a:extLst>
              <a:ext uri="{FF2B5EF4-FFF2-40B4-BE49-F238E27FC236}">
                <a16:creationId xmlns:a16="http://schemas.microsoft.com/office/drawing/2014/main" id="{00000000-0008-0000-1600-0000A4000000}"/>
              </a:ext>
            </a:extLst>
          </xdr:cNvPr>
          <xdr:cNvSpPr/>
        </xdr:nvSpPr>
        <xdr:spPr>
          <a:xfrm>
            <a:off x="5640779" y="4630491"/>
            <a:ext cx="296883" cy="1402174"/>
          </a:xfrm>
          <a:prstGeom prst="round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5" name="타원 164">
            <a:extLst>
              <a:ext uri="{FF2B5EF4-FFF2-40B4-BE49-F238E27FC236}">
                <a16:creationId xmlns:a16="http://schemas.microsoft.com/office/drawing/2014/main" id="{00000000-0008-0000-1600-0000A5000000}"/>
              </a:ext>
            </a:extLst>
          </xdr:cNvPr>
          <xdr:cNvSpPr/>
        </xdr:nvSpPr>
        <xdr:spPr>
          <a:xfrm>
            <a:off x="5717464" y="4899605"/>
            <a:ext cx="165563" cy="10687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6" name="타원 165">
            <a:extLst>
              <a:ext uri="{FF2B5EF4-FFF2-40B4-BE49-F238E27FC236}">
                <a16:creationId xmlns:a16="http://schemas.microsoft.com/office/drawing/2014/main" id="{00000000-0008-0000-1600-0000A6000000}"/>
              </a:ext>
            </a:extLst>
          </xdr:cNvPr>
          <xdr:cNvSpPr/>
        </xdr:nvSpPr>
        <xdr:spPr>
          <a:xfrm>
            <a:off x="5706439" y="5646365"/>
            <a:ext cx="165563" cy="10687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7" name="모서리가 둥근 직사각형 1155">
            <a:extLst>
              <a:ext uri="{FF2B5EF4-FFF2-40B4-BE49-F238E27FC236}">
                <a16:creationId xmlns:a16="http://schemas.microsoft.com/office/drawing/2014/main" id="{00000000-0008-0000-1600-0000A7000000}"/>
              </a:ext>
            </a:extLst>
          </xdr:cNvPr>
          <xdr:cNvSpPr/>
        </xdr:nvSpPr>
        <xdr:spPr>
          <a:xfrm>
            <a:off x="-2195206" y="4622871"/>
            <a:ext cx="296883" cy="1402174"/>
          </a:xfrm>
          <a:prstGeom prst="round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8" name="타원 167">
            <a:extLst>
              <a:ext uri="{FF2B5EF4-FFF2-40B4-BE49-F238E27FC236}">
                <a16:creationId xmlns:a16="http://schemas.microsoft.com/office/drawing/2014/main" id="{00000000-0008-0000-1600-0000A8000000}"/>
              </a:ext>
            </a:extLst>
          </xdr:cNvPr>
          <xdr:cNvSpPr/>
        </xdr:nvSpPr>
        <xdr:spPr>
          <a:xfrm>
            <a:off x="-2118521" y="4891985"/>
            <a:ext cx="165563" cy="10687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9" name="타원 168">
            <a:extLst>
              <a:ext uri="{FF2B5EF4-FFF2-40B4-BE49-F238E27FC236}">
                <a16:creationId xmlns:a16="http://schemas.microsoft.com/office/drawing/2014/main" id="{00000000-0008-0000-1600-0000A9000000}"/>
              </a:ext>
            </a:extLst>
          </xdr:cNvPr>
          <xdr:cNvSpPr/>
        </xdr:nvSpPr>
        <xdr:spPr>
          <a:xfrm>
            <a:off x="-2129546" y="5638745"/>
            <a:ext cx="165563" cy="10687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nvGrpSpPr>
          <xdr:cNvPr id="171" name="그룹 170">
            <a:extLst>
              <a:ext uri="{FF2B5EF4-FFF2-40B4-BE49-F238E27FC236}">
                <a16:creationId xmlns:a16="http://schemas.microsoft.com/office/drawing/2014/main" id="{00000000-0008-0000-1600-0000AB000000}"/>
              </a:ext>
            </a:extLst>
          </xdr:cNvPr>
          <xdr:cNvGrpSpPr/>
        </xdr:nvGrpSpPr>
        <xdr:grpSpPr>
          <a:xfrm>
            <a:off x="1502055" y="4725143"/>
            <a:ext cx="267791" cy="542098"/>
            <a:chOff x="1524915" y="4717523"/>
            <a:chExt cx="267791" cy="542098"/>
          </a:xfrm>
        </xdr:grpSpPr>
        <xdr:sp macro="" textlink="">
          <xdr:nvSpPr>
            <xdr:cNvPr id="216" name="정육면체 215">
              <a:extLst>
                <a:ext uri="{FF2B5EF4-FFF2-40B4-BE49-F238E27FC236}">
                  <a16:creationId xmlns:a16="http://schemas.microsoft.com/office/drawing/2014/main" id="{00000000-0008-0000-1600-0000D8000000}"/>
                </a:ext>
              </a:extLst>
            </xdr:cNvPr>
            <xdr:cNvSpPr/>
          </xdr:nvSpPr>
          <xdr:spPr>
            <a:xfrm>
              <a:off x="1524915" y="4717523"/>
              <a:ext cx="267791" cy="542098"/>
            </a:xfrm>
            <a:prstGeom prst="cube">
              <a:avLst>
                <a:gd name="adj" fmla="val 19013"/>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17" name="타원 216">
              <a:extLst>
                <a:ext uri="{FF2B5EF4-FFF2-40B4-BE49-F238E27FC236}">
                  <a16:creationId xmlns:a16="http://schemas.microsoft.com/office/drawing/2014/main" id="{00000000-0008-0000-1600-0000D9000000}"/>
                </a:ext>
              </a:extLst>
            </xdr:cNvPr>
            <xdr:cNvSpPr/>
          </xdr:nvSpPr>
          <xdr:spPr>
            <a:xfrm>
              <a:off x="1598763" y="4847333"/>
              <a:ext cx="82781" cy="8755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172" name="그룹 171">
            <a:extLst>
              <a:ext uri="{FF2B5EF4-FFF2-40B4-BE49-F238E27FC236}">
                <a16:creationId xmlns:a16="http://schemas.microsoft.com/office/drawing/2014/main" id="{00000000-0008-0000-1600-0000AC000000}"/>
              </a:ext>
            </a:extLst>
          </xdr:cNvPr>
          <xdr:cNvGrpSpPr/>
        </xdr:nvGrpSpPr>
        <xdr:grpSpPr>
          <a:xfrm>
            <a:off x="1778364" y="4725143"/>
            <a:ext cx="267791" cy="542098"/>
            <a:chOff x="1524915" y="4717523"/>
            <a:chExt cx="267791" cy="542098"/>
          </a:xfrm>
        </xdr:grpSpPr>
        <xdr:sp macro="" textlink="">
          <xdr:nvSpPr>
            <xdr:cNvPr id="214" name="정육면체 213">
              <a:extLst>
                <a:ext uri="{FF2B5EF4-FFF2-40B4-BE49-F238E27FC236}">
                  <a16:creationId xmlns:a16="http://schemas.microsoft.com/office/drawing/2014/main" id="{00000000-0008-0000-1600-0000D6000000}"/>
                </a:ext>
              </a:extLst>
            </xdr:cNvPr>
            <xdr:cNvSpPr/>
          </xdr:nvSpPr>
          <xdr:spPr>
            <a:xfrm>
              <a:off x="1524915" y="4717523"/>
              <a:ext cx="267791" cy="542098"/>
            </a:xfrm>
            <a:prstGeom prst="cube">
              <a:avLst>
                <a:gd name="adj" fmla="val 19013"/>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15" name="타원 214">
              <a:extLst>
                <a:ext uri="{FF2B5EF4-FFF2-40B4-BE49-F238E27FC236}">
                  <a16:creationId xmlns:a16="http://schemas.microsoft.com/office/drawing/2014/main" id="{00000000-0008-0000-1600-0000D7000000}"/>
                </a:ext>
              </a:extLst>
            </xdr:cNvPr>
            <xdr:cNvSpPr/>
          </xdr:nvSpPr>
          <xdr:spPr>
            <a:xfrm>
              <a:off x="1598763" y="4847333"/>
              <a:ext cx="82781" cy="8755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173" name="그룹 172">
            <a:extLst>
              <a:ext uri="{FF2B5EF4-FFF2-40B4-BE49-F238E27FC236}">
                <a16:creationId xmlns:a16="http://schemas.microsoft.com/office/drawing/2014/main" id="{00000000-0008-0000-1600-0000AD000000}"/>
              </a:ext>
            </a:extLst>
          </xdr:cNvPr>
          <xdr:cNvGrpSpPr/>
        </xdr:nvGrpSpPr>
        <xdr:grpSpPr>
          <a:xfrm>
            <a:off x="2054673" y="4725143"/>
            <a:ext cx="267791" cy="542098"/>
            <a:chOff x="1524915" y="4717523"/>
            <a:chExt cx="267791" cy="542098"/>
          </a:xfrm>
        </xdr:grpSpPr>
        <xdr:sp macro="" textlink="">
          <xdr:nvSpPr>
            <xdr:cNvPr id="212" name="정육면체 211">
              <a:extLst>
                <a:ext uri="{FF2B5EF4-FFF2-40B4-BE49-F238E27FC236}">
                  <a16:creationId xmlns:a16="http://schemas.microsoft.com/office/drawing/2014/main" id="{00000000-0008-0000-1600-0000D4000000}"/>
                </a:ext>
              </a:extLst>
            </xdr:cNvPr>
            <xdr:cNvSpPr/>
          </xdr:nvSpPr>
          <xdr:spPr>
            <a:xfrm>
              <a:off x="1524915" y="4717523"/>
              <a:ext cx="267791" cy="542098"/>
            </a:xfrm>
            <a:prstGeom prst="cube">
              <a:avLst>
                <a:gd name="adj" fmla="val 19013"/>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13" name="타원 212">
              <a:extLst>
                <a:ext uri="{FF2B5EF4-FFF2-40B4-BE49-F238E27FC236}">
                  <a16:creationId xmlns:a16="http://schemas.microsoft.com/office/drawing/2014/main" id="{00000000-0008-0000-1600-0000D5000000}"/>
                </a:ext>
              </a:extLst>
            </xdr:cNvPr>
            <xdr:cNvSpPr/>
          </xdr:nvSpPr>
          <xdr:spPr>
            <a:xfrm>
              <a:off x="1598763" y="4847333"/>
              <a:ext cx="82781" cy="8755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174" name="그룹 173">
            <a:extLst>
              <a:ext uri="{FF2B5EF4-FFF2-40B4-BE49-F238E27FC236}">
                <a16:creationId xmlns:a16="http://schemas.microsoft.com/office/drawing/2014/main" id="{00000000-0008-0000-1600-0000AE000000}"/>
              </a:ext>
            </a:extLst>
          </xdr:cNvPr>
          <xdr:cNvGrpSpPr/>
        </xdr:nvGrpSpPr>
        <xdr:grpSpPr>
          <a:xfrm>
            <a:off x="2330982" y="4725143"/>
            <a:ext cx="267791" cy="542098"/>
            <a:chOff x="1524915" y="4717523"/>
            <a:chExt cx="267791" cy="542098"/>
          </a:xfrm>
        </xdr:grpSpPr>
        <xdr:sp macro="" textlink="">
          <xdr:nvSpPr>
            <xdr:cNvPr id="210" name="정육면체 209">
              <a:extLst>
                <a:ext uri="{FF2B5EF4-FFF2-40B4-BE49-F238E27FC236}">
                  <a16:creationId xmlns:a16="http://schemas.microsoft.com/office/drawing/2014/main" id="{00000000-0008-0000-1600-0000D2000000}"/>
                </a:ext>
              </a:extLst>
            </xdr:cNvPr>
            <xdr:cNvSpPr/>
          </xdr:nvSpPr>
          <xdr:spPr>
            <a:xfrm>
              <a:off x="1524915" y="4717523"/>
              <a:ext cx="267791" cy="542098"/>
            </a:xfrm>
            <a:prstGeom prst="cube">
              <a:avLst>
                <a:gd name="adj" fmla="val 19013"/>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11" name="타원 210">
              <a:extLst>
                <a:ext uri="{FF2B5EF4-FFF2-40B4-BE49-F238E27FC236}">
                  <a16:creationId xmlns:a16="http://schemas.microsoft.com/office/drawing/2014/main" id="{00000000-0008-0000-1600-0000D3000000}"/>
                </a:ext>
              </a:extLst>
            </xdr:cNvPr>
            <xdr:cNvSpPr/>
          </xdr:nvSpPr>
          <xdr:spPr>
            <a:xfrm>
              <a:off x="1598763" y="4847333"/>
              <a:ext cx="82781" cy="8755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198" name="그룹 197">
            <a:extLst>
              <a:ext uri="{FF2B5EF4-FFF2-40B4-BE49-F238E27FC236}">
                <a16:creationId xmlns:a16="http://schemas.microsoft.com/office/drawing/2014/main" id="{00000000-0008-0000-1600-0000C6000000}"/>
              </a:ext>
            </a:extLst>
          </xdr:cNvPr>
          <xdr:cNvGrpSpPr/>
        </xdr:nvGrpSpPr>
        <xdr:grpSpPr>
          <a:xfrm>
            <a:off x="2614911" y="4725143"/>
            <a:ext cx="267791" cy="542098"/>
            <a:chOff x="1524915" y="4717523"/>
            <a:chExt cx="267791" cy="542098"/>
          </a:xfrm>
        </xdr:grpSpPr>
        <xdr:sp macro="" textlink="">
          <xdr:nvSpPr>
            <xdr:cNvPr id="208" name="정육면체 207">
              <a:extLst>
                <a:ext uri="{FF2B5EF4-FFF2-40B4-BE49-F238E27FC236}">
                  <a16:creationId xmlns:a16="http://schemas.microsoft.com/office/drawing/2014/main" id="{00000000-0008-0000-1600-0000D0000000}"/>
                </a:ext>
              </a:extLst>
            </xdr:cNvPr>
            <xdr:cNvSpPr/>
          </xdr:nvSpPr>
          <xdr:spPr>
            <a:xfrm>
              <a:off x="1524915" y="4717523"/>
              <a:ext cx="267791" cy="542098"/>
            </a:xfrm>
            <a:prstGeom prst="cube">
              <a:avLst>
                <a:gd name="adj" fmla="val 19013"/>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09" name="타원 208">
              <a:extLst>
                <a:ext uri="{FF2B5EF4-FFF2-40B4-BE49-F238E27FC236}">
                  <a16:creationId xmlns:a16="http://schemas.microsoft.com/office/drawing/2014/main" id="{00000000-0008-0000-1600-0000D1000000}"/>
                </a:ext>
              </a:extLst>
            </xdr:cNvPr>
            <xdr:cNvSpPr/>
          </xdr:nvSpPr>
          <xdr:spPr>
            <a:xfrm>
              <a:off x="1598763" y="4847333"/>
              <a:ext cx="82781" cy="8755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199" name="그룹 198">
            <a:extLst>
              <a:ext uri="{FF2B5EF4-FFF2-40B4-BE49-F238E27FC236}">
                <a16:creationId xmlns:a16="http://schemas.microsoft.com/office/drawing/2014/main" id="{00000000-0008-0000-1600-0000C7000000}"/>
              </a:ext>
            </a:extLst>
          </xdr:cNvPr>
          <xdr:cNvGrpSpPr/>
        </xdr:nvGrpSpPr>
        <xdr:grpSpPr>
          <a:xfrm>
            <a:off x="2898840" y="4725143"/>
            <a:ext cx="267791" cy="542098"/>
            <a:chOff x="1524915" y="4717523"/>
            <a:chExt cx="267791" cy="542098"/>
          </a:xfrm>
        </xdr:grpSpPr>
        <xdr:sp macro="" textlink="">
          <xdr:nvSpPr>
            <xdr:cNvPr id="206" name="정육면체 205">
              <a:extLst>
                <a:ext uri="{FF2B5EF4-FFF2-40B4-BE49-F238E27FC236}">
                  <a16:creationId xmlns:a16="http://schemas.microsoft.com/office/drawing/2014/main" id="{00000000-0008-0000-1600-0000CE000000}"/>
                </a:ext>
              </a:extLst>
            </xdr:cNvPr>
            <xdr:cNvSpPr/>
          </xdr:nvSpPr>
          <xdr:spPr>
            <a:xfrm>
              <a:off x="1524915" y="4717523"/>
              <a:ext cx="267791" cy="542098"/>
            </a:xfrm>
            <a:prstGeom prst="cube">
              <a:avLst>
                <a:gd name="adj" fmla="val 19013"/>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07" name="타원 206">
              <a:extLst>
                <a:ext uri="{FF2B5EF4-FFF2-40B4-BE49-F238E27FC236}">
                  <a16:creationId xmlns:a16="http://schemas.microsoft.com/office/drawing/2014/main" id="{00000000-0008-0000-1600-0000CF000000}"/>
                </a:ext>
              </a:extLst>
            </xdr:cNvPr>
            <xdr:cNvSpPr/>
          </xdr:nvSpPr>
          <xdr:spPr>
            <a:xfrm>
              <a:off x="1598763" y="4847333"/>
              <a:ext cx="82781" cy="8755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200" name="그룹 199">
            <a:extLst>
              <a:ext uri="{FF2B5EF4-FFF2-40B4-BE49-F238E27FC236}">
                <a16:creationId xmlns:a16="http://schemas.microsoft.com/office/drawing/2014/main" id="{00000000-0008-0000-1600-0000C8000000}"/>
              </a:ext>
            </a:extLst>
          </xdr:cNvPr>
          <xdr:cNvGrpSpPr/>
        </xdr:nvGrpSpPr>
        <xdr:grpSpPr>
          <a:xfrm>
            <a:off x="3182769" y="4725143"/>
            <a:ext cx="267791" cy="542098"/>
            <a:chOff x="1524915" y="4717523"/>
            <a:chExt cx="267791" cy="542098"/>
          </a:xfrm>
        </xdr:grpSpPr>
        <xdr:sp macro="" textlink="">
          <xdr:nvSpPr>
            <xdr:cNvPr id="204" name="정육면체 203">
              <a:extLst>
                <a:ext uri="{FF2B5EF4-FFF2-40B4-BE49-F238E27FC236}">
                  <a16:creationId xmlns:a16="http://schemas.microsoft.com/office/drawing/2014/main" id="{00000000-0008-0000-1600-0000CC000000}"/>
                </a:ext>
              </a:extLst>
            </xdr:cNvPr>
            <xdr:cNvSpPr/>
          </xdr:nvSpPr>
          <xdr:spPr>
            <a:xfrm>
              <a:off x="1524915" y="4717523"/>
              <a:ext cx="267791" cy="542098"/>
            </a:xfrm>
            <a:prstGeom prst="cube">
              <a:avLst>
                <a:gd name="adj" fmla="val 19013"/>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05" name="타원 204">
              <a:extLst>
                <a:ext uri="{FF2B5EF4-FFF2-40B4-BE49-F238E27FC236}">
                  <a16:creationId xmlns:a16="http://schemas.microsoft.com/office/drawing/2014/main" id="{00000000-0008-0000-1600-0000CD000000}"/>
                </a:ext>
              </a:extLst>
            </xdr:cNvPr>
            <xdr:cNvSpPr/>
          </xdr:nvSpPr>
          <xdr:spPr>
            <a:xfrm>
              <a:off x="1598763" y="4847333"/>
              <a:ext cx="82781" cy="8755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201" name="그룹 200">
            <a:extLst>
              <a:ext uri="{FF2B5EF4-FFF2-40B4-BE49-F238E27FC236}">
                <a16:creationId xmlns:a16="http://schemas.microsoft.com/office/drawing/2014/main" id="{00000000-0008-0000-1600-0000C9000000}"/>
              </a:ext>
            </a:extLst>
          </xdr:cNvPr>
          <xdr:cNvGrpSpPr/>
        </xdr:nvGrpSpPr>
        <xdr:grpSpPr>
          <a:xfrm>
            <a:off x="3466698" y="4725143"/>
            <a:ext cx="267791" cy="542098"/>
            <a:chOff x="1524915" y="4717523"/>
            <a:chExt cx="267791" cy="542098"/>
          </a:xfrm>
        </xdr:grpSpPr>
        <xdr:sp macro="" textlink="">
          <xdr:nvSpPr>
            <xdr:cNvPr id="202" name="정육면체 201">
              <a:extLst>
                <a:ext uri="{FF2B5EF4-FFF2-40B4-BE49-F238E27FC236}">
                  <a16:creationId xmlns:a16="http://schemas.microsoft.com/office/drawing/2014/main" id="{00000000-0008-0000-1600-0000CA000000}"/>
                </a:ext>
              </a:extLst>
            </xdr:cNvPr>
            <xdr:cNvSpPr/>
          </xdr:nvSpPr>
          <xdr:spPr>
            <a:xfrm>
              <a:off x="1524915" y="4717523"/>
              <a:ext cx="267791" cy="542098"/>
            </a:xfrm>
            <a:prstGeom prst="cube">
              <a:avLst>
                <a:gd name="adj" fmla="val 19013"/>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03" name="타원 202">
              <a:extLst>
                <a:ext uri="{FF2B5EF4-FFF2-40B4-BE49-F238E27FC236}">
                  <a16:creationId xmlns:a16="http://schemas.microsoft.com/office/drawing/2014/main" id="{00000000-0008-0000-1600-0000CB000000}"/>
                </a:ext>
              </a:extLst>
            </xdr:cNvPr>
            <xdr:cNvSpPr/>
          </xdr:nvSpPr>
          <xdr:spPr>
            <a:xfrm>
              <a:off x="1598763" y="4847333"/>
              <a:ext cx="82781" cy="8755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clientData/>
  </xdr:twoCellAnchor>
  <xdr:twoCellAnchor>
    <xdr:from>
      <xdr:col>2</xdr:col>
      <xdr:colOff>221868</xdr:colOff>
      <xdr:row>41</xdr:row>
      <xdr:rowOff>107329</xdr:rowOff>
    </xdr:from>
    <xdr:to>
      <xdr:col>4</xdr:col>
      <xdr:colOff>833989</xdr:colOff>
      <xdr:row>43</xdr:row>
      <xdr:rowOff>122630</xdr:rowOff>
    </xdr:to>
    <xdr:grpSp>
      <xdr:nvGrpSpPr>
        <xdr:cNvPr id="225" name="그룹 224">
          <a:extLst>
            <a:ext uri="{FF2B5EF4-FFF2-40B4-BE49-F238E27FC236}">
              <a16:creationId xmlns:a16="http://schemas.microsoft.com/office/drawing/2014/main" id="{00000000-0008-0000-1600-0000E1000000}"/>
            </a:ext>
          </a:extLst>
        </xdr:cNvPr>
        <xdr:cNvGrpSpPr/>
      </xdr:nvGrpSpPr>
      <xdr:grpSpPr>
        <a:xfrm>
          <a:off x="569250" y="8220388"/>
          <a:ext cx="3648915" cy="441124"/>
          <a:chOff x="-1205877" y="3443398"/>
          <a:chExt cx="8117791" cy="1417865"/>
        </a:xfrm>
      </xdr:grpSpPr>
      <xdr:pic>
        <xdr:nvPicPr>
          <xdr:cNvPr id="226" name="그림 225">
            <a:extLst>
              <a:ext uri="{FF2B5EF4-FFF2-40B4-BE49-F238E27FC236}">
                <a16:creationId xmlns:a16="http://schemas.microsoft.com/office/drawing/2014/main" id="{00000000-0008-0000-1600-0000E2000000}"/>
              </a:ext>
            </a:extLst>
          </xdr:cNvPr>
          <xdr:cNvPicPr>
            <a:picLocks noChangeAspect="1"/>
          </xdr:cNvPicPr>
        </xdr:nvPicPr>
        <xdr:blipFill>
          <a:blip xmlns:r="http://schemas.openxmlformats.org/officeDocument/2006/relationships" r:embed="rId2"/>
          <a:stretch>
            <a:fillRect/>
          </a:stretch>
        </xdr:blipFill>
        <xdr:spPr>
          <a:xfrm>
            <a:off x="-904122" y="3484237"/>
            <a:ext cx="7499207" cy="1350664"/>
          </a:xfrm>
          <a:prstGeom prst="rect">
            <a:avLst/>
          </a:prstGeom>
          <a:ln>
            <a:solidFill>
              <a:schemeClr val="tx1"/>
            </a:solidFill>
          </a:ln>
        </xdr:spPr>
      </xdr:pic>
      <xdr:grpSp>
        <xdr:nvGrpSpPr>
          <xdr:cNvPr id="227" name="그룹 226">
            <a:extLst>
              <a:ext uri="{FF2B5EF4-FFF2-40B4-BE49-F238E27FC236}">
                <a16:creationId xmlns:a16="http://schemas.microsoft.com/office/drawing/2014/main" id="{00000000-0008-0000-1600-0000E3000000}"/>
              </a:ext>
            </a:extLst>
          </xdr:cNvPr>
          <xdr:cNvGrpSpPr/>
        </xdr:nvGrpSpPr>
        <xdr:grpSpPr>
          <a:xfrm>
            <a:off x="-1205877" y="3443398"/>
            <a:ext cx="8117791" cy="1417865"/>
            <a:chOff x="-2180130" y="4493051"/>
            <a:chExt cx="8117791" cy="1417865"/>
          </a:xfrm>
        </xdr:grpSpPr>
        <xdr:grpSp>
          <xdr:nvGrpSpPr>
            <xdr:cNvPr id="228" name="그룹 227">
              <a:extLst>
                <a:ext uri="{FF2B5EF4-FFF2-40B4-BE49-F238E27FC236}">
                  <a16:creationId xmlns:a16="http://schemas.microsoft.com/office/drawing/2014/main" id="{00000000-0008-0000-1600-0000E4000000}"/>
                </a:ext>
              </a:extLst>
            </xdr:cNvPr>
            <xdr:cNvGrpSpPr/>
          </xdr:nvGrpSpPr>
          <xdr:grpSpPr>
            <a:xfrm>
              <a:off x="-1019892" y="4810654"/>
              <a:ext cx="6461061" cy="283757"/>
              <a:chOff x="-304800" y="4789463"/>
              <a:chExt cx="8327899" cy="400054"/>
            </a:xfrm>
          </xdr:grpSpPr>
          <xdr:sp macro="" textlink="">
            <xdr:nvSpPr>
              <xdr:cNvPr id="259" name="직사각형 258">
                <a:extLst>
                  <a:ext uri="{FF2B5EF4-FFF2-40B4-BE49-F238E27FC236}">
                    <a16:creationId xmlns:a16="http://schemas.microsoft.com/office/drawing/2014/main" id="{00000000-0008-0000-1600-000003010000}"/>
                  </a:ext>
                </a:extLst>
              </xdr:cNvPr>
              <xdr:cNvSpPr/>
            </xdr:nvSpPr>
            <xdr:spPr>
              <a:xfrm>
                <a:off x="-304800" y="4914899"/>
                <a:ext cx="304800" cy="274617"/>
              </a:xfrm>
              <a:prstGeom prst="rect">
                <a:avLst/>
              </a:prstGeom>
              <a:solidFill>
                <a:srgbClr val="FF0000">
                  <a:alpha val="70000"/>
                </a:srgb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60" name="직사각형 259">
                <a:extLst>
                  <a:ext uri="{FF2B5EF4-FFF2-40B4-BE49-F238E27FC236}">
                    <a16:creationId xmlns:a16="http://schemas.microsoft.com/office/drawing/2014/main" id="{00000000-0008-0000-1600-000004010000}"/>
                  </a:ext>
                </a:extLst>
              </xdr:cNvPr>
              <xdr:cNvSpPr/>
            </xdr:nvSpPr>
            <xdr:spPr>
              <a:xfrm>
                <a:off x="6669975" y="4903023"/>
                <a:ext cx="304800" cy="274617"/>
              </a:xfrm>
              <a:prstGeom prst="rect">
                <a:avLst/>
              </a:prstGeom>
              <a:solidFill>
                <a:srgbClr val="FF0000">
                  <a:alpha val="70000"/>
                </a:srgb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61" name="직사각형 260">
                <a:extLst>
                  <a:ext uri="{FF2B5EF4-FFF2-40B4-BE49-F238E27FC236}">
                    <a16:creationId xmlns:a16="http://schemas.microsoft.com/office/drawing/2014/main" id="{00000000-0008-0000-1600-000005010000}"/>
                  </a:ext>
                </a:extLst>
              </xdr:cNvPr>
              <xdr:cNvSpPr/>
            </xdr:nvSpPr>
            <xdr:spPr>
              <a:xfrm>
                <a:off x="7194137" y="4903022"/>
                <a:ext cx="304800" cy="274617"/>
              </a:xfrm>
              <a:prstGeom prst="rect">
                <a:avLst/>
              </a:prstGeom>
              <a:solidFill>
                <a:srgbClr val="FF0000">
                  <a:alpha val="70000"/>
                </a:srgb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62" name="직사각형 261">
                <a:extLst>
                  <a:ext uri="{FF2B5EF4-FFF2-40B4-BE49-F238E27FC236}">
                    <a16:creationId xmlns:a16="http://schemas.microsoft.com/office/drawing/2014/main" id="{00000000-0008-0000-1600-000006010000}"/>
                  </a:ext>
                </a:extLst>
              </xdr:cNvPr>
              <xdr:cNvSpPr/>
            </xdr:nvSpPr>
            <xdr:spPr>
              <a:xfrm>
                <a:off x="7718299" y="4903021"/>
                <a:ext cx="304800" cy="274617"/>
              </a:xfrm>
              <a:prstGeom prst="rect">
                <a:avLst/>
              </a:prstGeom>
              <a:solidFill>
                <a:srgbClr val="FFC000">
                  <a:alpha val="70000"/>
                </a:srgb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63" name="직사각형 262">
                <a:extLst>
                  <a:ext uri="{FF2B5EF4-FFF2-40B4-BE49-F238E27FC236}">
                    <a16:creationId xmlns:a16="http://schemas.microsoft.com/office/drawing/2014/main" id="{00000000-0008-0000-1600-000007010000}"/>
                  </a:ext>
                </a:extLst>
              </xdr:cNvPr>
              <xdr:cNvSpPr/>
            </xdr:nvSpPr>
            <xdr:spPr>
              <a:xfrm>
                <a:off x="348011" y="4789463"/>
                <a:ext cx="2228933" cy="400054"/>
              </a:xfrm>
              <a:prstGeom prst="rect">
                <a:avLst/>
              </a:prstGeom>
              <a:solidFill>
                <a:schemeClr val="tx2">
                  <a:alpha val="38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sp macro="" textlink="">
          <xdr:nvSpPr>
            <xdr:cNvPr id="229" name="모서리가 둥근 직사각형 1116">
              <a:extLst>
                <a:ext uri="{FF2B5EF4-FFF2-40B4-BE49-F238E27FC236}">
                  <a16:creationId xmlns:a16="http://schemas.microsoft.com/office/drawing/2014/main" id="{00000000-0008-0000-1600-0000E5000000}"/>
                </a:ext>
              </a:extLst>
            </xdr:cNvPr>
            <xdr:cNvSpPr/>
          </xdr:nvSpPr>
          <xdr:spPr>
            <a:xfrm>
              <a:off x="5640778" y="4493051"/>
              <a:ext cx="296883" cy="1402174"/>
            </a:xfrm>
            <a:prstGeom prst="round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30" name="타원 229">
              <a:extLst>
                <a:ext uri="{FF2B5EF4-FFF2-40B4-BE49-F238E27FC236}">
                  <a16:creationId xmlns:a16="http://schemas.microsoft.com/office/drawing/2014/main" id="{00000000-0008-0000-1600-0000E6000000}"/>
                </a:ext>
              </a:extLst>
            </xdr:cNvPr>
            <xdr:cNvSpPr/>
          </xdr:nvSpPr>
          <xdr:spPr>
            <a:xfrm>
              <a:off x="5718184" y="4748075"/>
              <a:ext cx="165563" cy="10687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31" name="타원 230">
              <a:extLst>
                <a:ext uri="{FF2B5EF4-FFF2-40B4-BE49-F238E27FC236}">
                  <a16:creationId xmlns:a16="http://schemas.microsoft.com/office/drawing/2014/main" id="{00000000-0008-0000-1600-0000E7000000}"/>
                </a:ext>
              </a:extLst>
            </xdr:cNvPr>
            <xdr:cNvSpPr/>
          </xdr:nvSpPr>
          <xdr:spPr>
            <a:xfrm>
              <a:off x="5706437" y="5535187"/>
              <a:ext cx="165563" cy="10687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32" name="모서리가 둥근 직사각형 1119">
              <a:extLst>
                <a:ext uri="{FF2B5EF4-FFF2-40B4-BE49-F238E27FC236}">
                  <a16:creationId xmlns:a16="http://schemas.microsoft.com/office/drawing/2014/main" id="{00000000-0008-0000-1600-0000E8000000}"/>
                </a:ext>
              </a:extLst>
            </xdr:cNvPr>
            <xdr:cNvSpPr/>
          </xdr:nvSpPr>
          <xdr:spPr>
            <a:xfrm>
              <a:off x="-2180130" y="4508742"/>
              <a:ext cx="288780" cy="1402174"/>
            </a:xfrm>
            <a:prstGeom prst="round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33" name="타원 232">
              <a:extLst>
                <a:ext uri="{FF2B5EF4-FFF2-40B4-BE49-F238E27FC236}">
                  <a16:creationId xmlns:a16="http://schemas.microsoft.com/office/drawing/2014/main" id="{00000000-0008-0000-1600-0000E9000000}"/>
                </a:ext>
              </a:extLst>
            </xdr:cNvPr>
            <xdr:cNvSpPr/>
          </xdr:nvSpPr>
          <xdr:spPr>
            <a:xfrm>
              <a:off x="-2118522" y="4725143"/>
              <a:ext cx="165563" cy="10687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34" name="타원 233">
              <a:extLst>
                <a:ext uri="{FF2B5EF4-FFF2-40B4-BE49-F238E27FC236}">
                  <a16:creationId xmlns:a16="http://schemas.microsoft.com/office/drawing/2014/main" id="{00000000-0008-0000-1600-0000EA000000}"/>
                </a:ext>
              </a:extLst>
            </xdr:cNvPr>
            <xdr:cNvSpPr/>
          </xdr:nvSpPr>
          <xdr:spPr>
            <a:xfrm>
              <a:off x="-2118522" y="5588626"/>
              <a:ext cx="165563" cy="10687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nvGrpSpPr>
            <xdr:cNvPr id="235" name="그룹 234">
              <a:extLst>
                <a:ext uri="{FF2B5EF4-FFF2-40B4-BE49-F238E27FC236}">
                  <a16:creationId xmlns:a16="http://schemas.microsoft.com/office/drawing/2014/main" id="{00000000-0008-0000-1600-0000EB000000}"/>
                </a:ext>
              </a:extLst>
            </xdr:cNvPr>
            <xdr:cNvGrpSpPr/>
          </xdr:nvGrpSpPr>
          <xdr:grpSpPr>
            <a:xfrm>
              <a:off x="1502055" y="4725143"/>
              <a:ext cx="267791" cy="542098"/>
              <a:chOff x="1524915" y="4717523"/>
              <a:chExt cx="267791" cy="542098"/>
            </a:xfrm>
          </xdr:grpSpPr>
          <xdr:sp macro="" textlink="">
            <xdr:nvSpPr>
              <xdr:cNvPr id="257" name="정육면체 256">
                <a:extLst>
                  <a:ext uri="{FF2B5EF4-FFF2-40B4-BE49-F238E27FC236}">
                    <a16:creationId xmlns:a16="http://schemas.microsoft.com/office/drawing/2014/main" id="{00000000-0008-0000-1600-000001010000}"/>
                  </a:ext>
                </a:extLst>
              </xdr:cNvPr>
              <xdr:cNvSpPr/>
            </xdr:nvSpPr>
            <xdr:spPr>
              <a:xfrm>
                <a:off x="1524915" y="4717523"/>
                <a:ext cx="267791" cy="542098"/>
              </a:xfrm>
              <a:prstGeom prst="cube">
                <a:avLst>
                  <a:gd name="adj" fmla="val 19013"/>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58" name="타원 257">
                <a:extLst>
                  <a:ext uri="{FF2B5EF4-FFF2-40B4-BE49-F238E27FC236}">
                    <a16:creationId xmlns:a16="http://schemas.microsoft.com/office/drawing/2014/main" id="{00000000-0008-0000-1600-000002010000}"/>
                  </a:ext>
                </a:extLst>
              </xdr:cNvPr>
              <xdr:cNvSpPr/>
            </xdr:nvSpPr>
            <xdr:spPr>
              <a:xfrm>
                <a:off x="1598763" y="4847333"/>
                <a:ext cx="82781" cy="8755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236" name="그룹 235">
              <a:extLst>
                <a:ext uri="{FF2B5EF4-FFF2-40B4-BE49-F238E27FC236}">
                  <a16:creationId xmlns:a16="http://schemas.microsoft.com/office/drawing/2014/main" id="{00000000-0008-0000-1600-0000EC000000}"/>
                </a:ext>
              </a:extLst>
            </xdr:cNvPr>
            <xdr:cNvGrpSpPr/>
          </xdr:nvGrpSpPr>
          <xdr:grpSpPr>
            <a:xfrm>
              <a:off x="1778364" y="4725143"/>
              <a:ext cx="267791" cy="542098"/>
              <a:chOff x="1524915" y="4717523"/>
              <a:chExt cx="267791" cy="542098"/>
            </a:xfrm>
          </xdr:grpSpPr>
          <xdr:sp macro="" textlink="">
            <xdr:nvSpPr>
              <xdr:cNvPr id="255" name="정육면체 254">
                <a:extLst>
                  <a:ext uri="{FF2B5EF4-FFF2-40B4-BE49-F238E27FC236}">
                    <a16:creationId xmlns:a16="http://schemas.microsoft.com/office/drawing/2014/main" id="{00000000-0008-0000-1600-0000FF000000}"/>
                  </a:ext>
                </a:extLst>
              </xdr:cNvPr>
              <xdr:cNvSpPr/>
            </xdr:nvSpPr>
            <xdr:spPr>
              <a:xfrm>
                <a:off x="1524915" y="4717523"/>
                <a:ext cx="267791" cy="542098"/>
              </a:xfrm>
              <a:prstGeom prst="cube">
                <a:avLst>
                  <a:gd name="adj" fmla="val 19013"/>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56" name="타원 255">
                <a:extLst>
                  <a:ext uri="{FF2B5EF4-FFF2-40B4-BE49-F238E27FC236}">
                    <a16:creationId xmlns:a16="http://schemas.microsoft.com/office/drawing/2014/main" id="{00000000-0008-0000-1600-000000010000}"/>
                  </a:ext>
                </a:extLst>
              </xdr:cNvPr>
              <xdr:cNvSpPr/>
            </xdr:nvSpPr>
            <xdr:spPr>
              <a:xfrm>
                <a:off x="1598763" y="4847333"/>
                <a:ext cx="82781" cy="8755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237" name="그룹 236">
              <a:extLst>
                <a:ext uri="{FF2B5EF4-FFF2-40B4-BE49-F238E27FC236}">
                  <a16:creationId xmlns:a16="http://schemas.microsoft.com/office/drawing/2014/main" id="{00000000-0008-0000-1600-0000ED000000}"/>
                </a:ext>
              </a:extLst>
            </xdr:cNvPr>
            <xdr:cNvGrpSpPr/>
          </xdr:nvGrpSpPr>
          <xdr:grpSpPr>
            <a:xfrm>
              <a:off x="2054673" y="4725143"/>
              <a:ext cx="267791" cy="542098"/>
              <a:chOff x="1524915" y="4717523"/>
              <a:chExt cx="267791" cy="542098"/>
            </a:xfrm>
          </xdr:grpSpPr>
          <xdr:sp macro="" textlink="">
            <xdr:nvSpPr>
              <xdr:cNvPr id="253" name="정육면체 252">
                <a:extLst>
                  <a:ext uri="{FF2B5EF4-FFF2-40B4-BE49-F238E27FC236}">
                    <a16:creationId xmlns:a16="http://schemas.microsoft.com/office/drawing/2014/main" id="{00000000-0008-0000-1600-0000FD000000}"/>
                  </a:ext>
                </a:extLst>
              </xdr:cNvPr>
              <xdr:cNvSpPr/>
            </xdr:nvSpPr>
            <xdr:spPr>
              <a:xfrm>
                <a:off x="1524915" y="4717523"/>
                <a:ext cx="267791" cy="542098"/>
              </a:xfrm>
              <a:prstGeom prst="cube">
                <a:avLst>
                  <a:gd name="adj" fmla="val 19013"/>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54" name="타원 253">
                <a:extLst>
                  <a:ext uri="{FF2B5EF4-FFF2-40B4-BE49-F238E27FC236}">
                    <a16:creationId xmlns:a16="http://schemas.microsoft.com/office/drawing/2014/main" id="{00000000-0008-0000-1600-0000FE000000}"/>
                  </a:ext>
                </a:extLst>
              </xdr:cNvPr>
              <xdr:cNvSpPr/>
            </xdr:nvSpPr>
            <xdr:spPr>
              <a:xfrm>
                <a:off x="1598763" y="4847333"/>
                <a:ext cx="82781" cy="8755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238" name="그룹 237">
              <a:extLst>
                <a:ext uri="{FF2B5EF4-FFF2-40B4-BE49-F238E27FC236}">
                  <a16:creationId xmlns:a16="http://schemas.microsoft.com/office/drawing/2014/main" id="{00000000-0008-0000-1600-0000EE000000}"/>
                </a:ext>
              </a:extLst>
            </xdr:cNvPr>
            <xdr:cNvGrpSpPr/>
          </xdr:nvGrpSpPr>
          <xdr:grpSpPr>
            <a:xfrm>
              <a:off x="2330982" y="4725143"/>
              <a:ext cx="267791" cy="542098"/>
              <a:chOff x="1524915" y="4717523"/>
              <a:chExt cx="267791" cy="542098"/>
            </a:xfrm>
          </xdr:grpSpPr>
          <xdr:sp macro="" textlink="">
            <xdr:nvSpPr>
              <xdr:cNvPr id="251" name="정육면체 250">
                <a:extLst>
                  <a:ext uri="{FF2B5EF4-FFF2-40B4-BE49-F238E27FC236}">
                    <a16:creationId xmlns:a16="http://schemas.microsoft.com/office/drawing/2014/main" id="{00000000-0008-0000-1600-0000FB000000}"/>
                  </a:ext>
                </a:extLst>
              </xdr:cNvPr>
              <xdr:cNvSpPr/>
            </xdr:nvSpPr>
            <xdr:spPr>
              <a:xfrm>
                <a:off x="1524915" y="4717523"/>
                <a:ext cx="267791" cy="542098"/>
              </a:xfrm>
              <a:prstGeom prst="cube">
                <a:avLst>
                  <a:gd name="adj" fmla="val 19013"/>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52" name="타원 251">
                <a:extLst>
                  <a:ext uri="{FF2B5EF4-FFF2-40B4-BE49-F238E27FC236}">
                    <a16:creationId xmlns:a16="http://schemas.microsoft.com/office/drawing/2014/main" id="{00000000-0008-0000-1600-0000FC000000}"/>
                  </a:ext>
                </a:extLst>
              </xdr:cNvPr>
              <xdr:cNvSpPr/>
            </xdr:nvSpPr>
            <xdr:spPr>
              <a:xfrm>
                <a:off x="1598763" y="4847333"/>
                <a:ext cx="82781" cy="8755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239" name="그룹 238">
              <a:extLst>
                <a:ext uri="{FF2B5EF4-FFF2-40B4-BE49-F238E27FC236}">
                  <a16:creationId xmlns:a16="http://schemas.microsoft.com/office/drawing/2014/main" id="{00000000-0008-0000-1600-0000EF000000}"/>
                </a:ext>
              </a:extLst>
            </xdr:cNvPr>
            <xdr:cNvGrpSpPr/>
          </xdr:nvGrpSpPr>
          <xdr:grpSpPr>
            <a:xfrm>
              <a:off x="2614911" y="4725143"/>
              <a:ext cx="267791" cy="542098"/>
              <a:chOff x="1524915" y="4717523"/>
              <a:chExt cx="267791" cy="542098"/>
            </a:xfrm>
          </xdr:grpSpPr>
          <xdr:sp macro="" textlink="">
            <xdr:nvSpPr>
              <xdr:cNvPr id="249" name="정육면체 248">
                <a:extLst>
                  <a:ext uri="{FF2B5EF4-FFF2-40B4-BE49-F238E27FC236}">
                    <a16:creationId xmlns:a16="http://schemas.microsoft.com/office/drawing/2014/main" id="{00000000-0008-0000-1600-0000F9000000}"/>
                  </a:ext>
                </a:extLst>
              </xdr:cNvPr>
              <xdr:cNvSpPr/>
            </xdr:nvSpPr>
            <xdr:spPr>
              <a:xfrm>
                <a:off x="1524915" y="4717523"/>
                <a:ext cx="267791" cy="542098"/>
              </a:xfrm>
              <a:prstGeom prst="cube">
                <a:avLst>
                  <a:gd name="adj" fmla="val 19013"/>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50" name="타원 249">
                <a:extLst>
                  <a:ext uri="{FF2B5EF4-FFF2-40B4-BE49-F238E27FC236}">
                    <a16:creationId xmlns:a16="http://schemas.microsoft.com/office/drawing/2014/main" id="{00000000-0008-0000-1600-0000FA000000}"/>
                  </a:ext>
                </a:extLst>
              </xdr:cNvPr>
              <xdr:cNvSpPr/>
            </xdr:nvSpPr>
            <xdr:spPr>
              <a:xfrm>
                <a:off x="1598763" y="4847333"/>
                <a:ext cx="82781" cy="8755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240" name="그룹 239">
              <a:extLst>
                <a:ext uri="{FF2B5EF4-FFF2-40B4-BE49-F238E27FC236}">
                  <a16:creationId xmlns:a16="http://schemas.microsoft.com/office/drawing/2014/main" id="{00000000-0008-0000-1600-0000F0000000}"/>
                </a:ext>
              </a:extLst>
            </xdr:cNvPr>
            <xdr:cNvGrpSpPr/>
          </xdr:nvGrpSpPr>
          <xdr:grpSpPr>
            <a:xfrm>
              <a:off x="2898840" y="4725143"/>
              <a:ext cx="267791" cy="542098"/>
              <a:chOff x="1524915" y="4717523"/>
              <a:chExt cx="267791" cy="542098"/>
            </a:xfrm>
          </xdr:grpSpPr>
          <xdr:sp macro="" textlink="">
            <xdr:nvSpPr>
              <xdr:cNvPr id="247" name="정육면체 246">
                <a:extLst>
                  <a:ext uri="{FF2B5EF4-FFF2-40B4-BE49-F238E27FC236}">
                    <a16:creationId xmlns:a16="http://schemas.microsoft.com/office/drawing/2014/main" id="{00000000-0008-0000-1600-0000F7000000}"/>
                  </a:ext>
                </a:extLst>
              </xdr:cNvPr>
              <xdr:cNvSpPr/>
            </xdr:nvSpPr>
            <xdr:spPr>
              <a:xfrm>
                <a:off x="1524915" y="4717523"/>
                <a:ext cx="267791" cy="542098"/>
              </a:xfrm>
              <a:prstGeom prst="cube">
                <a:avLst>
                  <a:gd name="adj" fmla="val 19013"/>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48" name="타원 247">
                <a:extLst>
                  <a:ext uri="{FF2B5EF4-FFF2-40B4-BE49-F238E27FC236}">
                    <a16:creationId xmlns:a16="http://schemas.microsoft.com/office/drawing/2014/main" id="{00000000-0008-0000-1600-0000F8000000}"/>
                  </a:ext>
                </a:extLst>
              </xdr:cNvPr>
              <xdr:cNvSpPr/>
            </xdr:nvSpPr>
            <xdr:spPr>
              <a:xfrm>
                <a:off x="1598763" y="4847333"/>
                <a:ext cx="82781" cy="8755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241" name="그룹 240">
              <a:extLst>
                <a:ext uri="{FF2B5EF4-FFF2-40B4-BE49-F238E27FC236}">
                  <a16:creationId xmlns:a16="http://schemas.microsoft.com/office/drawing/2014/main" id="{00000000-0008-0000-1600-0000F1000000}"/>
                </a:ext>
              </a:extLst>
            </xdr:cNvPr>
            <xdr:cNvGrpSpPr/>
          </xdr:nvGrpSpPr>
          <xdr:grpSpPr>
            <a:xfrm>
              <a:off x="3182769" y="4725143"/>
              <a:ext cx="267791" cy="542098"/>
              <a:chOff x="1524915" y="4717523"/>
              <a:chExt cx="267791" cy="542098"/>
            </a:xfrm>
          </xdr:grpSpPr>
          <xdr:sp macro="" textlink="">
            <xdr:nvSpPr>
              <xdr:cNvPr id="245" name="정육면체 244">
                <a:extLst>
                  <a:ext uri="{FF2B5EF4-FFF2-40B4-BE49-F238E27FC236}">
                    <a16:creationId xmlns:a16="http://schemas.microsoft.com/office/drawing/2014/main" id="{00000000-0008-0000-1600-0000F5000000}"/>
                  </a:ext>
                </a:extLst>
              </xdr:cNvPr>
              <xdr:cNvSpPr/>
            </xdr:nvSpPr>
            <xdr:spPr>
              <a:xfrm>
                <a:off x="1524915" y="4717523"/>
                <a:ext cx="267791" cy="542098"/>
              </a:xfrm>
              <a:prstGeom prst="cube">
                <a:avLst>
                  <a:gd name="adj" fmla="val 19013"/>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46" name="타원 245">
                <a:extLst>
                  <a:ext uri="{FF2B5EF4-FFF2-40B4-BE49-F238E27FC236}">
                    <a16:creationId xmlns:a16="http://schemas.microsoft.com/office/drawing/2014/main" id="{00000000-0008-0000-1600-0000F6000000}"/>
                  </a:ext>
                </a:extLst>
              </xdr:cNvPr>
              <xdr:cNvSpPr/>
            </xdr:nvSpPr>
            <xdr:spPr>
              <a:xfrm>
                <a:off x="1598763" y="4847333"/>
                <a:ext cx="82781" cy="8755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242" name="그룹 241">
              <a:extLst>
                <a:ext uri="{FF2B5EF4-FFF2-40B4-BE49-F238E27FC236}">
                  <a16:creationId xmlns:a16="http://schemas.microsoft.com/office/drawing/2014/main" id="{00000000-0008-0000-1600-0000F2000000}"/>
                </a:ext>
              </a:extLst>
            </xdr:cNvPr>
            <xdr:cNvGrpSpPr/>
          </xdr:nvGrpSpPr>
          <xdr:grpSpPr>
            <a:xfrm>
              <a:off x="3466698" y="4725143"/>
              <a:ext cx="267791" cy="542098"/>
              <a:chOff x="1524915" y="4717523"/>
              <a:chExt cx="267791" cy="542098"/>
            </a:xfrm>
          </xdr:grpSpPr>
          <xdr:sp macro="" textlink="">
            <xdr:nvSpPr>
              <xdr:cNvPr id="243" name="정육면체 242">
                <a:extLst>
                  <a:ext uri="{FF2B5EF4-FFF2-40B4-BE49-F238E27FC236}">
                    <a16:creationId xmlns:a16="http://schemas.microsoft.com/office/drawing/2014/main" id="{00000000-0008-0000-1600-0000F3000000}"/>
                  </a:ext>
                </a:extLst>
              </xdr:cNvPr>
              <xdr:cNvSpPr/>
            </xdr:nvSpPr>
            <xdr:spPr>
              <a:xfrm>
                <a:off x="1524915" y="4717523"/>
                <a:ext cx="267791" cy="542098"/>
              </a:xfrm>
              <a:prstGeom prst="cube">
                <a:avLst>
                  <a:gd name="adj" fmla="val 19013"/>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244" name="타원 243">
                <a:extLst>
                  <a:ext uri="{FF2B5EF4-FFF2-40B4-BE49-F238E27FC236}">
                    <a16:creationId xmlns:a16="http://schemas.microsoft.com/office/drawing/2014/main" id="{00000000-0008-0000-1600-0000F4000000}"/>
                  </a:ext>
                </a:extLst>
              </xdr:cNvPr>
              <xdr:cNvSpPr/>
            </xdr:nvSpPr>
            <xdr:spPr>
              <a:xfrm>
                <a:off x="1598763" y="4847333"/>
                <a:ext cx="82781" cy="8755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grpSp>
    <xdr:clientData/>
  </xdr:twoCellAnchor>
  <xdr:twoCellAnchor>
    <xdr:from>
      <xdr:col>2</xdr:col>
      <xdr:colOff>280908</xdr:colOff>
      <xdr:row>44</xdr:row>
      <xdr:rowOff>151759</xdr:rowOff>
    </xdr:from>
    <xdr:to>
      <xdr:col>4</xdr:col>
      <xdr:colOff>809089</xdr:colOff>
      <xdr:row>56</xdr:row>
      <xdr:rowOff>188743</xdr:rowOff>
    </xdr:to>
    <xdr:pic>
      <xdr:nvPicPr>
        <xdr:cNvPr id="437" name="그림 436">
          <a:extLst>
            <a:ext uri="{FF2B5EF4-FFF2-40B4-BE49-F238E27FC236}">
              <a16:creationId xmlns:a16="http://schemas.microsoft.com/office/drawing/2014/main" id="{00000000-0008-0000-1600-0000B5010000}"/>
            </a:ext>
          </a:extLst>
        </xdr:cNvPr>
        <xdr:cNvPicPr>
          <a:picLocks noChangeAspect="1"/>
        </xdr:cNvPicPr>
      </xdr:nvPicPr>
      <xdr:blipFill rotWithShape="1">
        <a:blip xmlns:r="http://schemas.openxmlformats.org/officeDocument/2006/relationships" r:embed="rId3"/>
        <a:srcRect t="705" r="589"/>
        <a:stretch/>
      </xdr:blipFill>
      <xdr:spPr>
        <a:xfrm rot="16200000">
          <a:off x="1135048" y="15638285"/>
          <a:ext cx="2576984" cy="3565598"/>
        </a:xfrm>
        <a:prstGeom prst="rect">
          <a:avLst/>
        </a:prstGeom>
      </xdr:spPr>
    </xdr:pic>
    <xdr:clientData/>
  </xdr:twoCellAnchor>
  <xdr:twoCellAnchor>
    <xdr:from>
      <xdr:col>2</xdr:col>
      <xdr:colOff>480847</xdr:colOff>
      <xdr:row>45</xdr:row>
      <xdr:rowOff>155270</xdr:rowOff>
    </xdr:from>
    <xdr:to>
      <xdr:col>2</xdr:col>
      <xdr:colOff>851001</xdr:colOff>
      <xdr:row>55</xdr:row>
      <xdr:rowOff>94489</xdr:rowOff>
    </xdr:to>
    <xdr:grpSp>
      <xdr:nvGrpSpPr>
        <xdr:cNvPr id="438" name="그룹 437">
          <a:extLst>
            <a:ext uri="{FF2B5EF4-FFF2-40B4-BE49-F238E27FC236}">
              <a16:creationId xmlns:a16="http://schemas.microsoft.com/office/drawing/2014/main" id="{00000000-0008-0000-1600-0000B6010000}"/>
            </a:ext>
          </a:extLst>
        </xdr:cNvPr>
        <xdr:cNvGrpSpPr/>
      </xdr:nvGrpSpPr>
      <xdr:grpSpPr>
        <a:xfrm>
          <a:off x="828229" y="9119976"/>
          <a:ext cx="370154" cy="2068337"/>
          <a:chOff x="1105277" y="1670745"/>
          <a:chExt cx="1173626" cy="9911655"/>
        </a:xfrm>
      </xdr:grpSpPr>
      <xdr:pic>
        <xdr:nvPicPr>
          <xdr:cNvPr id="439" name="그림 438">
            <a:extLst>
              <a:ext uri="{FF2B5EF4-FFF2-40B4-BE49-F238E27FC236}">
                <a16:creationId xmlns:a16="http://schemas.microsoft.com/office/drawing/2014/main" id="{00000000-0008-0000-1600-0000B701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05277" y="1676400"/>
            <a:ext cx="1173626" cy="9906000"/>
          </a:xfrm>
          <a:prstGeom prst="rect">
            <a:avLst/>
          </a:prstGeom>
        </xdr:spPr>
      </xdr:pic>
      <xdr:grpSp>
        <xdr:nvGrpSpPr>
          <xdr:cNvPr id="440" name="그룹 439">
            <a:extLst>
              <a:ext uri="{FF2B5EF4-FFF2-40B4-BE49-F238E27FC236}">
                <a16:creationId xmlns:a16="http://schemas.microsoft.com/office/drawing/2014/main" id="{00000000-0008-0000-1600-0000B8010000}"/>
              </a:ext>
            </a:extLst>
          </xdr:cNvPr>
          <xdr:cNvGrpSpPr/>
        </xdr:nvGrpSpPr>
        <xdr:grpSpPr>
          <a:xfrm>
            <a:off x="1337339" y="2996634"/>
            <a:ext cx="421610" cy="2953312"/>
            <a:chOff x="-1264920" y="6172200"/>
            <a:chExt cx="2030732" cy="14348460"/>
          </a:xfrm>
        </xdr:grpSpPr>
        <xdr:sp macro="" textlink="">
          <xdr:nvSpPr>
            <xdr:cNvPr id="449" name="타원 1">
              <a:extLst>
                <a:ext uri="{FF2B5EF4-FFF2-40B4-BE49-F238E27FC236}">
                  <a16:creationId xmlns:a16="http://schemas.microsoft.com/office/drawing/2014/main" id="{00000000-0008-0000-1600-0000C1010000}"/>
                </a:ext>
              </a:extLst>
            </xdr:cNvPr>
            <xdr:cNvSpPr/>
          </xdr:nvSpPr>
          <xdr:spPr>
            <a:xfrm>
              <a:off x="-1257300" y="6172200"/>
              <a:ext cx="320038" cy="31242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50" name="타원 3">
              <a:extLst>
                <a:ext uri="{FF2B5EF4-FFF2-40B4-BE49-F238E27FC236}">
                  <a16:creationId xmlns:a16="http://schemas.microsoft.com/office/drawing/2014/main" id="{00000000-0008-0000-1600-0000C2010000}"/>
                </a:ext>
              </a:extLst>
            </xdr:cNvPr>
            <xdr:cNvSpPr/>
          </xdr:nvSpPr>
          <xdr:spPr>
            <a:xfrm>
              <a:off x="-1257300" y="675132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51" name="타원 4">
              <a:extLst>
                <a:ext uri="{FF2B5EF4-FFF2-40B4-BE49-F238E27FC236}">
                  <a16:creationId xmlns:a16="http://schemas.microsoft.com/office/drawing/2014/main" id="{00000000-0008-0000-1600-0000C3010000}"/>
                </a:ext>
              </a:extLst>
            </xdr:cNvPr>
            <xdr:cNvSpPr/>
          </xdr:nvSpPr>
          <xdr:spPr>
            <a:xfrm>
              <a:off x="-1257300" y="727710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52" name="타원 5">
              <a:extLst>
                <a:ext uri="{FF2B5EF4-FFF2-40B4-BE49-F238E27FC236}">
                  <a16:creationId xmlns:a16="http://schemas.microsoft.com/office/drawing/2014/main" id="{00000000-0008-0000-1600-0000C4010000}"/>
                </a:ext>
              </a:extLst>
            </xdr:cNvPr>
            <xdr:cNvSpPr/>
          </xdr:nvSpPr>
          <xdr:spPr>
            <a:xfrm>
              <a:off x="-1264920" y="7856220"/>
              <a:ext cx="320040" cy="312420"/>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53" name="타원 6">
              <a:extLst>
                <a:ext uri="{FF2B5EF4-FFF2-40B4-BE49-F238E27FC236}">
                  <a16:creationId xmlns:a16="http://schemas.microsoft.com/office/drawing/2014/main" id="{00000000-0008-0000-1600-0000C5010000}"/>
                </a:ext>
              </a:extLst>
            </xdr:cNvPr>
            <xdr:cNvSpPr/>
          </xdr:nvSpPr>
          <xdr:spPr>
            <a:xfrm>
              <a:off x="-1257300" y="842772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54" name="타원 7">
              <a:extLst>
                <a:ext uri="{FF2B5EF4-FFF2-40B4-BE49-F238E27FC236}">
                  <a16:creationId xmlns:a16="http://schemas.microsoft.com/office/drawing/2014/main" id="{00000000-0008-0000-1600-0000C6010000}"/>
                </a:ext>
              </a:extLst>
            </xdr:cNvPr>
            <xdr:cNvSpPr/>
          </xdr:nvSpPr>
          <xdr:spPr>
            <a:xfrm>
              <a:off x="-1226820" y="1010412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55" name="타원 8">
              <a:extLst>
                <a:ext uri="{FF2B5EF4-FFF2-40B4-BE49-F238E27FC236}">
                  <a16:creationId xmlns:a16="http://schemas.microsoft.com/office/drawing/2014/main" id="{00000000-0008-0000-1600-0000C7010000}"/>
                </a:ext>
              </a:extLst>
            </xdr:cNvPr>
            <xdr:cNvSpPr/>
          </xdr:nvSpPr>
          <xdr:spPr>
            <a:xfrm>
              <a:off x="-678180" y="1010412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56" name="타원 9">
              <a:extLst>
                <a:ext uri="{FF2B5EF4-FFF2-40B4-BE49-F238E27FC236}">
                  <a16:creationId xmlns:a16="http://schemas.microsoft.com/office/drawing/2014/main" id="{00000000-0008-0000-1600-0000C8010000}"/>
                </a:ext>
              </a:extLst>
            </xdr:cNvPr>
            <xdr:cNvSpPr/>
          </xdr:nvSpPr>
          <xdr:spPr>
            <a:xfrm>
              <a:off x="-1226820" y="1068324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57" name="타원 10">
              <a:extLst>
                <a:ext uri="{FF2B5EF4-FFF2-40B4-BE49-F238E27FC236}">
                  <a16:creationId xmlns:a16="http://schemas.microsoft.com/office/drawing/2014/main" id="{00000000-0008-0000-1600-0000C9010000}"/>
                </a:ext>
              </a:extLst>
            </xdr:cNvPr>
            <xdr:cNvSpPr/>
          </xdr:nvSpPr>
          <xdr:spPr>
            <a:xfrm>
              <a:off x="-678180" y="1068324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58" name="타원 11">
              <a:extLst>
                <a:ext uri="{FF2B5EF4-FFF2-40B4-BE49-F238E27FC236}">
                  <a16:creationId xmlns:a16="http://schemas.microsoft.com/office/drawing/2014/main" id="{00000000-0008-0000-1600-0000CA010000}"/>
                </a:ext>
              </a:extLst>
            </xdr:cNvPr>
            <xdr:cNvSpPr/>
          </xdr:nvSpPr>
          <xdr:spPr>
            <a:xfrm>
              <a:off x="-1234440" y="1123188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59" name="타원 12">
              <a:extLst>
                <a:ext uri="{FF2B5EF4-FFF2-40B4-BE49-F238E27FC236}">
                  <a16:creationId xmlns:a16="http://schemas.microsoft.com/office/drawing/2014/main" id="{00000000-0008-0000-1600-0000CB010000}"/>
                </a:ext>
              </a:extLst>
            </xdr:cNvPr>
            <xdr:cNvSpPr/>
          </xdr:nvSpPr>
          <xdr:spPr>
            <a:xfrm>
              <a:off x="-685800" y="1123188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60" name="타원 13">
              <a:extLst>
                <a:ext uri="{FF2B5EF4-FFF2-40B4-BE49-F238E27FC236}">
                  <a16:creationId xmlns:a16="http://schemas.microsoft.com/office/drawing/2014/main" id="{00000000-0008-0000-1600-0000CC010000}"/>
                </a:ext>
              </a:extLst>
            </xdr:cNvPr>
            <xdr:cNvSpPr/>
          </xdr:nvSpPr>
          <xdr:spPr>
            <a:xfrm>
              <a:off x="-1234440" y="1181100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61" name="타원 14">
              <a:extLst>
                <a:ext uri="{FF2B5EF4-FFF2-40B4-BE49-F238E27FC236}">
                  <a16:creationId xmlns:a16="http://schemas.microsoft.com/office/drawing/2014/main" id="{00000000-0008-0000-1600-0000CD010000}"/>
                </a:ext>
              </a:extLst>
            </xdr:cNvPr>
            <xdr:cNvSpPr/>
          </xdr:nvSpPr>
          <xdr:spPr>
            <a:xfrm>
              <a:off x="-685800" y="1181100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62" name="타원 15">
              <a:extLst>
                <a:ext uri="{FF2B5EF4-FFF2-40B4-BE49-F238E27FC236}">
                  <a16:creationId xmlns:a16="http://schemas.microsoft.com/office/drawing/2014/main" id="{00000000-0008-0000-1600-0000CE010000}"/>
                </a:ext>
              </a:extLst>
            </xdr:cNvPr>
            <xdr:cNvSpPr/>
          </xdr:nvSpPr>
          <xdr:spPr>
            <a:xfrm>
              <a:off x="-1234440" y="1235964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63" name="타원 16">
              <a:extLst>
                <a:ext uri="{FF2B5EF4-FFF2-40B4-BE49-F238E27FC236}">
                  <a16:creationId xmlns:a16="http://schemas.microsoft.com/office/drawing/2014/main" id="{00000000-0008-0000-1600-0000CF010000}"/>
                </a:ext>
              </a:extLst>
            </xdr:cNvPr>
            <xdr:cNvSpPr/>
          </xdr:nvSpPr>
          <xdr:spPr>
            <a:xfrm>
              <a:off x="-685800" y="1235964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64" name="타원 17">
              <a:extLst>
                <a:ext uri="{FF2B5EF4-FFF2-40B4-BE49-F238E27FC236}">
                  <a16:creationId xmlns:a16="http://schemas.microsoft.com/office/drawing/2014/main" id="{00000000-0008-0000-1600-0000D0010000}"/>
                </a:ext>
              </a:extLst>
            </xdr:cNvPr>
            <xdr:cNvSpPr/>
          </xdr:nvSpPr>
          <xdr:spPr>
            <a:xfrm>
              <a:off x="-1234440" y="1293876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65" name="타원 18">
              <a:extLst>
                <a:ext uri="{FF2B5EF4-FFF2-40B4-BE49-F238E27FC236}">
                  <a16:creationId xmlns:a16="http://schemas.microsoft.com/office/drawing/2014/main" id="{00000000-0008-0000-1600-0000D1010000}"/>
                </a:ext>
              </a:extLst>
            </xdr:cNvPr>
            <xdr:cNvSpPr/>
          </xdr:nvSpPr>
          <xdr:spPr>
            <a:xfrm>
              <a:off x="-685800" y="1293876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66" name="타원 19">
              <a:extLst>
                <a:ext uri="{FF2B5EF4-FFF2-40B4-BE49-F238E27FC236}">
                  <a16:creationId xmlns:a16="http://schemas.microsoft.com/office/drawing/2014/main" id="{00000000-0008-0000-1600-0000D2010000}"/>
                </a:ext>
              </a:extLst>
            </xdr:cNvPr>
            <xdr:cNvSpPr/>
          </xdr:nvSpPr>
          <xdr:spPr>
            <a:xfrm>
              <a:off x="-1242060" y="1345692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67" name="타원 20">
              <a:extLst>
                <a:ext uri="{FF2B5EF4-FFF2-40B4-BE49-F238E27FC236}">
                  <a16:creationId xmlns:a16="http://schemas.microsoft.com/office/drawing/2014/main" id="{00000000-0008-0000-1600-0000D3010000}"/>
                </a:ext>
              </a:extLst>
            </xdr:cNvPr>
            <xdr:cNvSpPr/>
          </xdr:nvSpPr>
          <xdr:spPr>
            <a:xfrm>
              <a:off x="-693420" y="1345692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68" name="타원 21">
              <a:extLst>
                <a:ext uri="{FF2B5EF4-FFF2-40B4-BE49-F238E27FC236}">
                  <a16:creationId xmlns:a16="http://schemas.microsoft.com/office/drawing/2014/main" id="{00000000-0008-0000-1600-0000D4010000}"/>
                </a:ext>
              </a:extLst>
            </xdr:cNvPr>
            <xdr:cNvSpPr/>
          </xdr:nvSpPr>
          <xdr:spPr>
            <a:xfrm>
              <a:off x="-1242060" y="1403604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69" name="타원 22">
              <a:extLst>
                <a:ext uri="{FF2B5EF4-FFF2-40B4-BE49-F238E27FC236}">
                  <a16:creationId xmlns:a16="http://schemas.microsoft.com/office/drawing/2014/main" id="{00000000-0008-0000-1600-0000D5010000}"/>
                </a:ext>
              </a:extLst>
            </xdr:cNvPr>
            <xdr:cNvSpPr/>
          </xdr:nvSpPr>
          <xdr:spPr>
            <a:xfrm>
              <a:off x="-693420" y="1403604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70" name="타원 23">
              <a:extLst>
                <a:ext uri="{FF2B5EF4-FFF2-40B4-BE49-F238E27FC236}">
                  <a16:creationId xmlns:a16="http://schemas.microsoft.com/office/drawing/2014/main" id="{00000000-0008-0000-1600-0000D6010000}"/>
                </a:ext>
              </a:extLst>
            </xdr:cNvPr>
            <xdr:cNvSpPr/>
          </xdr:nvSpPr>
          <xdr:spPr>
            <a:xfrm>
              <a:off x="-1226820" y="1571244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71" name="타원 24">
              <a:extLst>
                <a:ext uri="{FF2B5EF4-FFF2-40B4-BE49-F238E27FC236}">
                  <a16:creationId xmlns:a16="http://schemas.microsoft.com/office/drawing/2014/main" id="{00000000-0008-0000-1600-0000D7010000}"/>
                </a:ext>
              </a:extLst>
            </xdr:cNvPr>
            <xdr:cNvSpPr/>
          </xdr:nvSpPr>
          <xdr:spPr>
            <a:xfrm>
              <a:off x="-678180" y="1571244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72" name="타원 25">
              <a:extLst>
                <a:ext uri="{FF2B5EF4-FFF2-40B4-BE49-F238E27FC236}">
                  <a16:creationId xmlns:a16="http://schemas.microsoft.com/office/drawing/2014/main" id="{00000000-0008-0000-1600-0000D8010000}"/>
                </a:ext>
              </a:extLst>
            </xdr:cNvPr>
            <xdr:cNvSpPr/>
          </xdr:nvSpPr>
          <xdr:spPr>
            <a:xfrm>
              <a:off x="-1226820" y="1629156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73" name="타원 26">
              <a:extLst>
                <a:ext uri="{FF2B5EF4-FFF2-40B4-BE49-F238E27FC236}">
                  <a16:creationId xmlns:a16="http://schemas.microsoft.com/office/drawing/2014/main" id="{00000000-0008-0000-1600-0000D9010000}"/>
                </a:ext>
              </a:extLst>
            </xdr:cNvPr>
            <xdr:cNvSpPr/>
          </xdr:nvSpPr>
          <xdr:spPr>
            <a:xfrm>
              <a:off x="-678180" y="1629156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74" name="타원 27">
              <a:extLst>
                <a:ext uri="{FF2B5EF4-FFF2-40B4-BE49-F238E27FC236}">
                  <a16:creationId xmlns:a16="http://schemas.microsoft.com/office/drawing/2014/main" id="{00000000-0008-0000-1600-0000DA010000}"/>
                </a:ext>
              </a:extLst>
            </xdr:cNvPr>
            <xdr:cNvSpPr/>
          </xdr:nvSpPr>
          <xdr:spPr>
            <a:xfrm>
              <a:off x="-118108" y="1571244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75" name="타원 28">
              <a:extLst>
                <a:ext uri="{FF2B5EF4-FFF2-40B4-BE49-F238E27FC236}">
                  <a16:creationId xmlns:a16="http://schemas.microsoft.com/office/drawing/2014/main" id="{00000000-0008-0000-1600-0000DB010000}"/>
                </a:ext>
              </a:extLst>
            </xdr:cNvPr>
            <xdr:cNvSpPr/>
          </xdr:nvSpPr>
          <xdr:spPr>
            <a:xfrm>
              <a:off x="430532" y="1571244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76" name="타원 29">
              <a:extLst>
                <a:ext uri="{FF2B5EF4-FFF2-40B4-BE49-F238E27FC236}">
                  <a16:creationId xmlns:a16="http://schemas.microsoft.com/office/drawing/2014/main" id="{00000000-0008-0000-1600-0000DC010000}"/>
                </a:ext>
              </a:extLst>
            </xdr:cNvPr>
            <xdr:cNvSpPr/>
          </xdr:nvSpPr>
          <xdr:spPr>
            <a:xfrm>
              <a:off x="-118108" y="1629156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77" name="타원 30">
              <a:extLst>
                <a:ext uri="{FF2B5EF4-FFF2-40B4-BE49-F238E27FC236}">
                  <a16:creationId xmlns:a16="http://schemas.microsoft.com/office/drawing/2014/main" id="{00000000-0008-0000-1600-0000DD010000}"/>
                </a:ext>
              </a:extLst>
            </xdr:cNvPr>
            <xdr:cNvSpPr/>
          </xdr:nvSpPr>
          <xdr:spPr>
            <a:xfrm>
              <a:off x="430532" y="1629156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78" name="타원 31">
              <a:extLst>
                <a:ext uri="{FF2B5EF4-FFF2-40B4-BE49-F238E27FC236}">
                  <a16:creationId xmlns:a16="http://schemas.microsoft.com/office/drawing/2014/main" id="{00000000-0008-0000-1600-0000DE010000}"/>
                </a:ext>
              </a:extLst>
            </xdr:cNvPr>
            <xdr:cNvSpPr/>
          </xdr:nvSpPr>
          <xdr:spPr>
            <a:xfrm>
              <a:off x="-1226820" y="1684020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79" name="타원 32">
              <a:extLst>
                <a:ext uri="{FF2B5EF4-FFF2-40B4-BE49-F238E27FC236}">
                  <a16:creationId xmlns:a16="http://schemas.microsoft.com/office/drawing/2014/main" id="{00000000-0008-0000-1600-0000DF010000}"/>
                </a:ext>
              </a:extLst>
            </xdr:cNvPr>
            <xdr:cNvSpPr/>
          </xdr:nvSpPr>
          <xdr:spPr>
            <a:xfrm>
              <a:off x="-678180" y="1684020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80" name="타원 33">
              <a:extLst>
                <a:ext uri="{FF2B5EF4-FFF2-40B4-BE49-F238E27FC236}">
                  <a16:creationId xmlns:a16="http://schemas.microsoft.com/office/drawing/2014/main" id="{00000000-0008-0000-1600-0000E0010000}"/>
                </a:ext>
              </a:extLst>
            </xdr:cNvPr>
            <xdr:cNvSpPr/>
          </xdr:nvSpPr>
          <xdr:spPr>
            <a:xfrm>
              <a:off x="-1226820" y="1741932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81" name="타원 34">
              <a:extLst>
                <a:ext uri="{FF2B5EF4-FFF2-40B4-BE49-F238E27FC236}">
                  <a16:creationId xmlns:a16="http://schemas.microsoft.com/office/drawing/2014/main" id="{00000000-0008-0000-1600-0000E1010000}"/>
                </a:ext>
              </a:extLst>
            </xdr:cNvPr>
            <xdr:cNvSpPr/>
          </xdr:nvSpPr>
          <xdr:spPr>
            <a:xfrm>
              <a:off x="-678180" y="1741932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82" name="타원 35">
              <a:extLst>
                <a:ext uri="{FF2B5EF4-FFF2-40B4-BE49-F238E27FC236}">
                  <a16:creationId xmlns:a16="http://schemas.microsoft.com/office/drawing/2014/main" id="{00000000-0008-0000-1600-0000E2010000}"/>
                </a:ext>
              </a:extLst>
            </xdr:cNvPr>
            <xdr:cNvSpPr/>
          </xdr:nvSpPr>
          <xdr:spPr>
            <a:xfrm>
              <a:off x="-118108" y="1684020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83" name="타원 36">
              <a:extLst>
                <a:ext uri="{FF2B5EF4-FFF2-40B4-BE49-F238E27FC236}">
                  <a16:creationId xmlns:a16="http://schemas.microsoft.com/office/drawing/2014/main" id="{00000000-0008-0000-1600-0000E3010000}"/>
                </a:ext>
              </a:extLst>
            </xdr:cNvPr>
            <xdr:cNvSpPr/>
          </xdr:nvSpPr>
          <xdr:spPr>
            <a:xfrm>
              <a:off x="430532" y="1684020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84" name="타원 37">
              <a:extLst>
                <a:ext uri="{FF2B5EF4-FFF2-40B4-BE49-F238E27FC236}">
                  <a16:creationId xmlns:a16="http://schemas.microsoft.com/office/drawing/2014/main" id="{00000000-0008-0000-1600-0000E4010000}"/>
                </a:ext>
              </a:extLst>
            </xdr:cNvPr>
            <xdr:cNvSpPr/>
          </xdr:nvSpPr>
          <xdr:spPr>
            <a:xfrm>
              <a:off x="-118108" y="1741932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85" name="타원 38">
              <a:extLst>
                <a:ext uri="{FF2B5EF4-FFF2-40B4-BE49-F238E27FC236}">
                  <a16:creationId xmlns:a16="http://schemas.microsoft.com/office/drawing/2014/main" id="{00000000-0008-0000-1600-0000E5010000}"/>
                </a:ext>
              </a:extLst>
            </xdr:cNvPr>
            <xdr:cNvSpPr/>
          </xdr:nvSpPr>
          <xdr:spPr>
            <a:xfrm>
              <a:off x="430532" y="1741932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86" name="타원 39">
              <a:extLst>
                <a:ext uri="{FF2B5EF4-FFF2-40B4-BE49-F238E27FC236}">
                  <a16:creationId xmlns:a16="http://schemas.microsoft.com/office/drawing/2014/main" id="{00000000-0008-0000-1600-0000E6010000}"/>
                </a:ext>
              </a:extLst>
            </xdr:cNvPr>
            <xdr:cNvSpPr/>
          </xdr:nvSpPr>
          <xdr:spPr>
            <a:xfrm>
              <a:off x="-1211580" y="1796796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87" name="타원 40">
              <a:extLst>
                <a:ext uri="{FF2B5EF4-FFF2-40B4-BE49-F238E27FC236}">
                  <a16:creationId xmlns:a16="http://schemas.microsoft.com/office/drawing/2014/main" id="{00000000-0008-0000-1600-0000E7010000}"/>
                </a:ext>
              </a:extLst>
            </xdr:cNvPr>
            <xdr:cNvSpPr/>
          </xdr:nvSpPr>
          <xdr:spPr>
            <a:xfrm>
              <a:off x="-662940" y="1796796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88" name="타원 41">
              <a:extLst>
                <a:ext uri="{FF2B5EF4-FFF2-40B4-BE49-F238E27FC236}">
                  <a16:creationId xmlns:a16="http://schemas.microsoft.com/office/drawing/2014/main" id="{00000000-0008-0000-1600-0000E8010000}"/>
                </a:ext>
              </a:extLst>
            </xdr:cNvPr>
            <xdr:cNvSpPr/>
          </xdr:nvSpPr>
          <xdr:spPr>
            <a:xfrm>
              <a:off x="-1211580" y="1854708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89" name="타원 42">
              <a:extLst>
                <a:ext uri="{FF2B5EF4-FFF2-40B4-BE49-F238E27FC236}">
                  <a16:creationId xmlns:a16="http://schemas.microsoft.com/office/drawing/2014/main" id="{00000000-0008-0000-1600-0000E9010000}"/>
                </a:ext>
              </a:extLst>
            </xdr:cNvPr>
            <xdr:cNvSpPr/>
          </xdr:nvSpPr>
          <xdr:spPr>
            <a:xfrm>
              <a:off x="-662940" y="1854708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90" name="타원 43">
              <a:extLst>
                <a:ext uri="{FF2B5EF4-FFF2-40B4-BE49-F238E27FC236}">
                  <a16:creationId xmlns:a16="http://schemas.microsoft.com/office/drawing/2014/main" id="{00000000-0008-0000-1600-0000EA010000}"/>
                </a:ext>
              </a:extLst>
            </xdr:cNvPr>
            <xdr:cNvSpPr/>
          </xdr:nvSpPr>
          <xdr:spPr>
            <a:xfrm>
              <a:off x="-102868" y="1796796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91" name="타원 44">
              <a:extLst>
                <a:ext uri="{FF2B5EF4-FFF2-40B4-BE49-F238E27FC236}">
                  <a16:creationId xmlns:a16="http://schemas.microsoft.com/office/drawing/2014/main" id="{00000000-0008-0000-1600-0000EB010000}"/>
                </a:ext>
              </a:extLst>
            </xdr:cNvPr>
            <xdr:cNvSpPr/>
          </xdr:nvSpPr>
          <xdr:spPr>
            <a:xfrm>
              <a:off x="445772" y="1796796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92" name="타원 45">
              <a:extLst>
                <a:ext uri="{FF2B5EF4-FFF2-40B4-BE49-F238E27FC236}">
                  <a16:creationId xmlns:a16="http://schemas.microsoft.com/office/drawing/2014/main" id="{00000000-0008-0000-1600-0000EC010000}"/>
                </a:ext>
              </a:extLst>
            </xdr:cNvPr>
            <xdr:cNvSpPr/>
          </xdr:nvSpPr>
          <xdr:spPr>
            <a:xfrm>
              <a:off x="-102868" y="1854708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93" name="타원 46">
              <a:extLst>
                <a:ext uri="{FF2B5EF4-FFF2-40B4-BE49-F238E27FC236}">
                  <a16:creationId xmlns:a16="http://schemas.microsoft.com/office/drawing/2014/main" id="{00000000-0008-0000-1600-0000ED010000}"/>
                </a:ext>
              </a:extLst>
            </xdr:cNvPr>
            <xdr:cNvSpPr/>
          </xdr:nvSpPr>
          <xdr:spPr>
            <a:xfrm>
              <a:off x="445772" y="1854708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94" name="타원 47">
              <a:extLst>
                <a:ext uri="{FF2B5EF4-FFF2-40B4-BE49-F238E27FC236}">
                  <a16:creationId xmlns:a16="http://schemas.microsoft.com/office/drawing/2014/main" id="{00000000-0008-0000-1600-0000EE010000}"/>
                </a:ext>
              </a:extLst>
            </xdr:cNvPr>
            <xdr:cNvSpPr/>
          </xdr:nvSpPr>
          <xdr:spPr>
            <a:xfrm>
              <a:off x="-1234440" y="1908048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95" name="타원 48">
              <a:extLst>
                <a:ext uri="{FF2B5EF4-FFF2-40B4-BE49-F238E27FC236}">
                  <a16:creationId xmlns:a16="http://schemas.microsoft.com/office/drawing/2014/main" id="{00000000-0008-0000-1600-0000EF010000}"/>
                </a:ext>
              </a:extLst>
            </xdr:cNvPr>
            <xdr:cNvSpPr/>
          </xdr:nvSpPr>
          <xdr:spPr>
            <a:xfrm>
              <a:off x="-685800" y="1908048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96" name="타원 49">
              <a:extLst>
                <a:ext uri="{FF2B5EF4-FFF2-40B4-BE49-F238E27FC236}">
                  <a16:creationId xmlns:a16="http://schemas.microsoft.com/office/drawing/2014/main" id="{00000000-0008-0000-1600-0000F0010000}"/>
                </a:ext>
              </a:extLst>
            </xdr:cNvPr>
            <xdr:cNvSpPr/>
          </xdr:nvSpPr>
          <xdr:spPr>
            <a:xfrm>
              <a:off x="-1234440" y="1965960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97" name="타원 50">
              <a:extLst>
                <a:ext uri="{FF2B5EF4-FFF2-40B4-BE49-F238E27FC236}">
                  <a16:creationId xmlns:a16="http://schemas.microsoft.com/office/drawing/2014/main" id="{00000000-0008-0000-1600-0000F1010000}"/>
                </a:ext>
              </a:extLst>
            </xdr:cNvPr>
            <xdr:cNvSpPr/>
          </xdr:nvSpPr>
          <xdr:spPr>
            <a:xfrm>
              <a:off x="-685800" y="1965960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98" name="타원 51">
              <a:extLst>
                <a:ext uri="{FF2B5EF4-FFF2-40B4-BE49-F238E27FC236}">
                  <a16:creationId xmlns:a16="http://schemas.microsoft.com/office/drawing/2014/main" id="{00000000-0008-0000-1600-0000F2010000}"/>
                </a:ext>
              </a:extLst>
            </xdr:cNvPr>
            <xdr:cNvSpPr/>
          </xdr:nvSpPr>
          <xdr:spPr>
            <a:xfrm>
              <a:off x="-125728" y="1908048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99" name="타원 52">
              <a:extLst>
                <a:ext uri="{FF2B5EF4-FFF2-40B4-BE49-F238E27FC236}">
                  <a16:creationId xmlns:a16="http://schemas.microsoft.com/office/drawing/2014/main" id="{00000000-0008-0000-1600-0000F3010000}"/>
                </a:ext>
              </a:extLst>
            </xdr:cNvPr>
            <xdr:cNvSpPr/>
          </xdr:nvSpPr>
          <xdr:spPr>
            <a:xfrm>
              <a:off x="422912" y="1908048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00" name="타원 53">
              <a:extLst>
                <a:ext uri="{FF2B5EF4-FFF2-40B4-BE49-F238E27FC236}">
                  <a16:creationId xmlns:a16="http://schemas.microsoft.com/office/drawing/2014/main" id="{00000000-0008-0000-1600-0000F4010000}"/>
                </a:ext>
              </a:extLst>
            </xdr:cNvPr>
            <xdr:cNvSpPr/>
          </xdr:nvSpPr>
          <xdr:spPr>
            <a:xfrm>
              <a:off x="-125728" y="1965960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01" name="타원 54">
              <a:extLst>
                <a:ext uri="{FF2B5EF4-FFF2-40B4-BE49-F238E27FC236}">
                  <a16:creationId xmlns:a16="http://schemas.microsoft.com/office/drawing/2014/main" id="{00000000-0008-0000-1600-0000F5010000}"/>
                </a:ext>
              </a:extLst>
            </xdr:cNvPr>
            <xdr:cNvSpPr/>
          </xdr:nvSpPr>
          <xdr:spPr>
            <a:xfrm>
              <a:off x="422912" y="1965960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02" name="타원 55">
              <a:extLst>
                <a:ext uri="{FF2B5EF4-FFF2-40B4-BE49-F238E27FC236}">
                  <a16:creationId xmlns:a16="http://schemas.microsoft.com/office/drawing/2014/main" id="{00000000-0008-0000-1600-0000F6010000}"/>
                </a:ext>
              </a:extLst>
            </xdr:cNvPr>
            <xdr:cNvSpPr/>
          </xdr:nvSpPr>
          <xdr:spPr>
            <a:xfrm>
              <a:off x="-1245868" y="2020824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03" name="타원 56">
              <a:extLst>
                <a:ext uri="{FF2B5EF4-FFF2-40B4-BE49-F238E27FC236}">
                  <a16:creationId xmlns:a16="http://schemas.microsoft.com/office/drawing/2014/main" id="{00000000-0008-0000-1600-0000F7010000}"/>
                </a:ext>
              </a:extLst>
            </xdr:cNvPr>
            <xdr:cNvSpPr/>
          </xdr:nvSpPr>
          <xdr:spPr>
            <a:xfrm>
              <a:off x="-697228" y="2020824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441" name="그룹 440">
            <a:extLst>
              <a:ext uri="{FF2B5EF4-FFF2-40B4-BE49-F238E27FC236}">
                <a16:creationId xmlns:a16="http://schemas.microsoft.com/office/drawing/2014/main" id="{00000000-0008-0000-1600-0000B9010000}"/>
              </a:ext>
            </a:extLst>
          </xdr:cNvPr>
          <xdr:cNvGrpSpPr/>
        </xdr:nvGrpSpPr>
        <xdr:grpSpPr>
          <a:xfrm>
            <a:off x="1212778" y="1670745"/>
            <a:ext cx="475332" cy="1047138"/>
            <a:chOff x="2377441" y="2781300"/>
            <a:chExt cx="327660" cy="777240"/>
          </a:xfrm>
          <a:solidFill>
            <a:schemeClr val="bg1">
              <a:lumMod val="85000"/>
            </a:schemeClr>
          </a:solidFill>
        </xdr:grpSpPr>
        <xdr:sp macro="" textlink="">
          <xdr:nvSpPr>
            <xdr:cNvPr id="446" name="직사각형 445">
              <a:extLst>
                <a:ext uri="{FF2B5EF4-FFF2-40B4-BE49-F238E27FC236}">
                  <a16:creationId xmlns:a16="http://schemas.microsoft.com/office/drawing/2014/main" id="{00000000-0008-0000-1600-0000BE010000}"/>
                </a:ext>
              </a:extLst>
            </xdr:cNvPr>
            <xdr:cNvSpPr/>
          </xdr:nvSpPr>
          <xdr:spPr>
            <a:xfrm>
              <a:off x="2377441" y="2781300"/>
              <a:ext cx="327660" cy="777240"/>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47" name="직사각형 446">
              <a:extLst>
                <a:ext uri="{FF2B5EF4-FFF2-40B4-BE49-F238E27FC236}">
                  <a16:creationId xmlns:a16="http://schemas.microsoft.com/office/drawing/2014/main" id="{00000000-0008-0000-1600-0000BF010000}"/>
                </a:ext>
              </a:extLst>
            </xdr:cNvPr>
            <xdr:cNvSpPr/>
          </xdr:nvSpPr>
          <xdr:spPr>
            <a:xfrm>
              <a:off x="2437580" y="3169920"/>
              <a:ext cx="207381" cy="304800"/>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48" name="직사각형 447">
              <a:extLst>
                <a:ext uri="{FF2B5EF4-FFF2-40B4-BE49-F238E27FC236}">
                  <a16:creationId xmlns:a16="http://schemas.microsoft.com/office/drawing/2014/main" id="{00000000-0008-0000-1600-0000C0010000}"/>
                </a:ext>
              </a:extLst>
            </xdr:cNvPr>
            <xdr:cNvSpPr/>
          </xdr:nvSpPr>
          <xdr:spPr>
            <a:xfrm>
              <a:off x="2447543" y="3169920"/>
              <a:ext cx="187454" cy="106680"/>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442" name="그룹 441">
            <a:extLst>
              <a:ext uri="{FF2B5EF4-FFF2-40B4-BE49-F238E27FC236}">
                <a16:creationId xmlns:a16="http://schemas.microsoft.com/office/drawing/2014/main" id="{00000000-0008-0000-1600-0000BA010000}"/>
              </a:ext>
            </a:extLst>
          </xdr:cNvPr>
          <xdr:cNvGrpSpPr/>
        </xdr:nvGrpSpPr>
        <xdr:grpSpPr>
          <a:xfrm rot="10800000">
            <a:off x="1212427" y="10535262"/>
            <a:ext cx="475332" cy="1047138"/>
            <a:chOff x="2377441" y="2781300"/>
            <a:chExt cx="327660" cy="777240"/>
          </a:xfrm>
          <a:solidFill>
            <a:schemeClr val="bg1">
              <a:lumMod val="85000"/>
            </a:schemeClr>
          </a:solidFill>
        </xdr:grpSpPr>
        <xdr:sp macro="" textlink="">
          <xdr:nvSpPr>
            <xdr:cNvPr id="443" name="직사각형 442">
              <a:extLst>
                <a:ext uri="{FF2B5EF4-FFF2-40B4-BE49-F238E27FC236}">
                  <a16:creationId xmlns:a16="http://schemas.microsoft.com/office/drawing/2014/main" id="{00000000-0008-0000-1600-0000BB010000}"/>
                </a:ext>
              </a:extLst>
            </xdr:cNvPr>
            <xdr:cNvSpPr/>
          </xdr:nvSpPr>
          <xdr:spPr>
            <a:xfrm>
              <a:off x="2377441" y="2781300"/>
              <a:ext cx="327660" cy="777240"/>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44" name="직사각형 443">
              <a:extLst>
                <a:ext uri="{FF2B5EF4-FFF2-40B4-BE49-F238E27FC236}">
                  <a16:creationId xmlns:a16="http://schemas.microsoft.com/office/drawing/2014/main" id="{00000000-0008-0000-1600-0000BC010000}"/>
                </a:ext>
              </a:extLst>
            </xdr:cNvPr>
            <xdr:cNvSpPr/>
          </xdr:nvSpPr>
          <xdr:spPr>
            <a:xfrm>
              <a:off x="2437580" y="3169920"/>
              <a:ext cx="207381" cy="304800"/>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445" name="직사각형 444">
              <a:extLst>
                <a:ext uri="{FF2B5EF4-FFF2-40B4-BE49-F238E27FC236}">
                  <a16:creationId xmlns:a16="http://schemas.microsoft.com/office/drawing/2014/main" id="{00000000-0008-0000-1600-0000BD010000}"/>
                </a:ext>
              </a:extLst>
            </xdr:cNvPr>
            <xdr:cNvSpPr/>
          </xdr:nvSpPr>
          <xdr:spPr>
            <a:xfrm>
              <a:off x="2447543" y="3169920"/>
              <a:ext cx="187454" cy="106680"/>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clientData/>
  </xdr:twoCellAnchor>
  <xdr:twoCellAnchor>
    <xdr:from>
      <xdr:col>2</xdr:col>
      <xdr:colOff>851002</xdr:colOff>
      <xdr:row>45</xdr:row>
      <xdr:rowOff>156439</xdr:rowOff>
    </xdr:from>
    <xdr:to>
      <xdr:col>2</xdr:col>
      <xdr:colOff>1227341</xdr:colOff>
      <xdr:row>55</xdr:row>
      <xdr:rowOff>95658</xdr:rowOff>
    </xdr:to>
    <xdr:grpSp>
      <xdr:nvGrpSpPr>
        <xdr:cNvPr id="504" name="그룹 503">
          <a:extLst>
            <a:ext uri="{FF2B5EF4-FFF2-40B4-BE49-F238E27FC236}">
              <a16:creationId xmlns:a16="http://schemas.microsoft.com/office/drawing/2014/main" id="{00000000-0008-0000-1600-0000F8010000}"/>
            </a:ext>
          </a:extLst>
        </xdr:cNvPr>
        <xdr:cNvGrpSpPr/>
      </xdr:nvGrpSpPr>
      <xdr:grpSpPr>
        <a:xfrm>
          <a:off x="1198384" y="9121145"/>
          <a:ext cx="376339" cy="2068337"/>
          <a:chOff x="1105277" y="1670745"/>
          <a:chExt cx="1173626" cy="9911655"/>
        </a:xfrm>
      </xdr:grpSpPr>
      <xdr:pic>
        <xdr:nvPicPr>
          <xdr:cNvPr id="505" name="그림 504">
            <a:extLst>
              <a:ext uri="{FF2B5EF4-FFF2-40B4-BE49-F238E27FC236}">
                <a16:creationId xmlns:a16="http://schemas.microsoft.com/office/drawing/2014/main" id="{00000000-0008-0000-1600-0000F901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05277" y="1676400"/>
            <a:ext cx="1173626" cy="9906000"/>
          </a:xfrm>
          <a:prstGeom prst="rect">
            <a:avLst/>
          </a:prstGeom>
        </xdr:spPr>
      </xdr:pic>
      <xdr:grpSp>
        <xdr:nvGrpSpPr>
          <xdr:cNvPr id="506" name="그룹 505">
            <a:extLst>
              <a:ext uri="{FF2B5EF4-FFF2-40B4-BE49-F238E27FC236}">
                <a16:creationId xmlns:a16="http://schemas.microsoft.com/office/drawing/2014/main" id="{00000000-0008-0000-1600-0000FA010000}"/>
              </a:ext>
            </a:extLst>
          </xdr:cNvPr>
          <xdr:cNvGrpSpPr/>
        </xdr:nvGrpSpPr>
        <xdr:grpSpPr>
          <a:xfrm>
            <a:off x="1337339" y="2996634"/>
            <a:ext cx="421610" cy="2953312"/>
            <a:chOff x="-1264920" y="6172200"/>
            <a:chExt cx="2030732" cy="14348460"/>
          </a:xfrm>
        </xdr:grpSpPr>
        <xdr:sp macro="" textlink="">
          <xdr:nvSpPr>
            <xdr:cNvPr id="515" name="타원 1">
              <a:extLst>
                <a:ext uri="{FF2B5EF4-FFF2-40B4-BE49-F238E27FC236}">
                  <a16:creationId xmlns:a16="http://schemas.microsoft.com/office/drawing/2014/main" id="{00000000-0008-0000-1600-000003020000}"/>
                </a:ext>
              </a:extLst>
            </xdr:cNvPr>
            <xdr:cNvSpPr/>
          </xdr:nvSpPr>
          <xdr:spPr>
            <a:xfrm>
              <a:off x="-1257300" y="6172200"/>
              <a:ext cx="320038" cy="31242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16" name="타원 3">
              <a:extLst>
                <a:ext uri="{FF2B5EF4-FFF2-40B4-BE49-F238E27FC236}">
                  <a16:creationId xmlns:a16="http://schemas.microsoft.com/office/drawing/2014/main" id="{00000000-0008-0000-1600-000004020000}"/>
                </a:ext>
              </a:extLst>
            </xdr:cNvPr>
            <xdr:cNvSpPr/>
          </xdr:nvSpPr>
          <xdr:spPr>
            <a:xfrm>
              <a:off x="-1257300" y="675132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17" name="타원 4">
              <a:extLst>
                <a:ext uri="{FF2B5EF4-FFF2-40B4-BE49-F238E27FC236}">
                  <a16:creationId xmlns:a16="http://schemas.microsoft.com/office/drawing/2014/main" id="{00000000-0008-0000-1600-000005020000}"/>
                </a:ext>
              </a:extLst>
            </xdr:cNvPr>
            <xdr:cNvSpPr/>
          </xdr:nvSpPr>
          <xdr:spPr>
            <a:xfrm>
              <a:off x="-1257300" y="7277100"/>
              <a:ext cx="320040" cy="312420"/>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18" name="타원 5">
              <a:extLst>
                <a:ext uri="{FF2B5EF4-FFF2-40B4-BE49-F238E27FC236}">
                  <a16:creationId xmlns:a16="http://schemas.microsoft.com/office/drawing/2014/main" id="{00000000-0008-0000-1600-000006020000}"/>
                </a:ext>
              </a:extLst>
            </xdr:cNvPr>
            <xdr:cNvSpPr/>
          </xdr:nvSpPr>
          <xdr:spPr>
            <a:xfrm>
              <a:off x="-1264920" y="785622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19" name="타원 6">
              <a:extLst>
                <a:ext uri="{FF2B5EF4-FFF2-40B4-BE49-F238E27FC236}">
                  <a16:creationId xmlns:a16="http://schemas.microsoft.com/office/drawing/2014/main" id="{00000000-0008-0000-1600-000007020000}"/>
                </a:ext>
              </a:extLst>
            </xdr:cNvPr>
            <xdr:cNvSpPr/>
          </xdr:nvSpPr>
          <xdr:spPr>
            <a:xfrm>
              <a:off x="-1257300" y="842772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20" name="타원 7">
              <a:extLst>
                <a:ext uri="{FF2B5EF4-FFF2-40B4-BE49-F238E27FC236}">
                  <a16:creationId xmlns:a16="http://schemas.microsoft.com/office/drawing/2014/main" id="{00000000-0008-0000-1600-000008020000}"/>
                </a:ext>
              </a:extLst>
            </xdr:cNvPr>
            <xdr:cNvSpPr/>
          </xdr:nvSpPr>
          <xdr:spPr>
            <a:xfrm>
              <a:off x="-1226820" y="1010412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21" name="타원 8">
              <a:extLst>
                <a:ext uri="{FF2B5EF4-FFF2-40B4-BE49-F238E27FC236}">
                  <a16:creationId xmlns:a16="http://schemas.microsoft.com/office/drawing/2014/main" id="{00000000-0008-0000-1600-000009020000}"/>
                </a:ext>
              </a:extLst>
            </xdr:cNvPr>
            <xdr:cNvSpPr/>
          </xdr:nvSpPr>
          <xdr:spPr>
            <a:xfrm>
              <a:off x="-678180" y="1010412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22" name="타원 9">
              <a:extLst>
                <a:ext uri="{FF2B5EF4-FFF2-40B4-BE49-F238E27FC236}">
                  <a16:creationId xmlns:a16="http://schemas.microsoft.com/office/drawing/2014/main" id="{00000000-0008-0000-1600-00000A020000}"/>
                </a:ext>
              </a:extLst>
            </xdr:cNvPr>
            <xdr:cNvSpPr/>
          </xdr:nvSpPr>
          <xdr:spPr>
            <a:xfrm>
              <a:off x="-1226820" y="1068324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23" name="타원 10">
              <a:extLst>
                <a:ext uri="{FF2B5EF4-FFF2-40B4-BE49-F238E27FC236}">
                  <a16:creationId xmlns:a16="http://schemas.microsoft.com/office/drawing/2014/main" id="{00000000-0008-0000-1600-00000B020000}"/>
                </a:ext>
              </a:extLst>
            </xdr:cNvPr>
            <xdr:cNvSpPr/>
          </xdr:nvSpPr>
          <xdr:spPr>
            <a:xfrm>
              <a:off x="-678180" y="1068324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24" name="타원 11">
              <a:extLst>
                <a:ext uri="{FF2B5EF4-FFF2-40B4-BE49-F238E27FC236}">
                  <a16:creationId xmlns:a16="http://schemas.microsoft.com/office/drawing/2014/main" id="{00000000-0008-0000-1600-00000C020000}"/>
                </a:ext>
              </a:extLst>
            </xdr:cNvPr>
            <xdr:cNvSpPr/>
          </xdr:nvSpPr>
          <xdr:spPr>
            <a:xfrm>
              <a:off x="-1234440" y="1123188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25" name="타원 12">
              <a:extLst>
                <a:ext uri="{FF2B5EF4-FFF2-40B4-BE49-F238E27FC236}">
                  <a16:creationId xmlns:a16="http://schemas.microsoft.com/office/drawing/2014/main" id="{00000000-0008-0000-1600-00000D020000}"/>
                </a:ext>
              </a:extLst>
            </xdr:cNvPr>
            <xdr:cNvSpPr/>
          </xdr:nvSpPr>
          <xdr:spPr>
            <a:xfrm>
              <a:off x="-685800" y="1123188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26" name="타원 13">
              <a:extLst>
                <a:ext uri="{FF2B5EF4-FFF2-40B4-BE49-F238E27FC236}">
                  <a16:creationId xmlns:a16="http://schemas.microsoft.com/office/drawing/2014/main" id="{00000000-0008-0000-1600-00000E020000}"/>
                </a:ext>
              </a:extLst>
            </xdr:cNvPr>
            <xdr:cNvSpPr/>
          </xdr:nvSpPr>
          <xdr:spPr>
            <a:xfrm>
              <a:off x="-1234440" y="1181100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27" name="타원 14">
              <a:extLst>
                <a:ext uri="{FF2B5EF4-FFF2-40B4-BE49-F238E27FC236}">
                  <a16:creationId xmlns:a16="http://schemas.microsoft.com/office/drawing/2014/main" id="{00000000-0008-0000-1600-00000F020000}"/>
                </a:ext>
              </a:extLst>
            </xdr:cNvPr>
            <xdr:cNvSpPr/>
          </xdr:nvSpPr>
          <xdr:spPr>
            <a:xfrm>
              <a:off x="-685800" y="1181100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28" name="타원 15">
              <a:extLst>
                <a:ext uri="{FF2B5EF4-FFF2-40B4-BE49-F238E27FC236}">
                  <a16:creationId xmlns:a16="http://schemas.microsoft.com/office/drawing/2014/main" id="{00000000-0008-0000-1600-000010020000}"/>
                </a:ext>
              </a:extLst>
            </xdr:cNvPr>
            <xdr:cNvSpPr/>
          </xdr:nvSpPr>
          <xdr:spPr>
            <a:xfrm>
              <a:off x="-1234440" y="1235964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29" name="타원 16">
              <a:extLst>
                <a:ext uri="{FF2B5EF4-FFF2-40B4-BE49-F238E27FC236}">
                  <a16:creationId xmlns:a16="http://schemas.microsoft.com/office/drawing/2014/main" id="{00000000-0008-0000-1600-000011020000}"/>
                </a:ext>
              </a:extLst>
            </xdr:cNvPr>
            <xdr:cNvSpPr/>
          </xdr:nvSpPr>
          <xdr:spPr>
            <a:xfrm>
              <a:off x="-685800" y="1235964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30" name="타원 17">
              <a:extLst>
                <a:ext uri="{FF2B5EF4-FFF2-40B4-BE49-F238E27FC236}">
                  <a16:creationId xmlns:a16="http://schemas.microsoft.com/office/drawing/2014/main" id="{00000000-0008-0000-1600-000012020000}"/>
                </a:ext>
              </a:extLst>
            </xdr:cNvPr>
            <xdr:cNvSpPr/>
          </xdr:nvSpPr>
          <xdr:spPr>
            <a:xfrm>
              <a:off x="-1234440" y="1293876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31" name="타원 18">
              <a:extLst>
                <a:ext uri="{FF2B5EF4-FFF2-40B4-BE49-F238E27FC236}">
                  <a16:creationId xmlns:a16="http://schemas.microsoft.com/office/drawing/2014/main" id="{00000000-0008-0000-1600-000013020000}"/>
                </a:ext>
              </a:extLst>
            </xdr:cNvPr>
            <xdr:cNvSpPr/>
          </xdr:nvSpPr>
          <xdr:spPr>
            <a:xfrm>
              <a:off x="-685800" y="1293876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32" name="타원 19">
              <a:extLst>
                <a:ext uri="{FF2B5EF4-FFF2-40B4-BE49-F238E27FC236}">
                  <a16:creationId xmlns:a16="http://schemas.microsoft.com/office/drawing/2014/main" id="{00000000-0008-0000-1600-000014020000}"/>
                </a:ext>
              </a:extLst>
            </xdr:cNvPr>
            <xdr:cNvSpPr/>
          </xdr:nvSpPr>
          <xdr:spPr>
            <a:xfrm>
              <a:off x="-1242060" y="1345692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33" name="타원 20">
              <a:extLst>
                <a:ext uri="{FF2B5EF4-FFF2-40B4-BE49-F238E27FC236}">
                  <a16:creationId xmlns:a16="http://schemas.microsoft.com/office/drawing/2014/main" id="{00000000-0008-0000-1600-000015020000}"/>
                </a:ext>
              </a:extLst>
            </xdr:cNvPr>
            <xdr:cNvSpPr/>
          </xdr:nvSpPr>
          <xdr:spPr>
            <a:xfrm>
              <a:off x="-693420" y="1345692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34" name="타원 21">
              <a:extLst>
                <a:ext uri="{FF2B5EF4-FFF2-40B4-BE49-F238E27FC236}">
                  <a16:creationId xmlns:a16="http://schemas.microsoft.com/office/drawing/2014/main" id="{00000000-0008-0000-1600-000016020000}"/>
                </a:ext>
              </a:extLst>
            </xdr:cNvPr>
            <xdr:cNvSpPr/>
          </xdr:nvSpPr>
          <xdr:spPr>
            <a:xfrm>
              <a:off x="-1242060" y="1403604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35" name="타원 22">
              <a:extLst>
                <a:ext uri="{FF2B5EF4-FFF2-40B4-BE49-F238E27FC236}">
                  <a16:creationId xmlns:a16="http://schemas.microsoft.com/office/drawing/2014/main" id="{00000000-0008-0000-1600-000017020000}"/>
                </a:ext>
              </a:extLst>
            </xdr:cNvPr>
            <xdr:cNvSpPr/>
          </xdr:nvSpPr>
          <xdr:spPr>
            <a:xfrm>
              <a:off x="-693420" y="1403604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36" name="타원 23">
              <a:extLst>
                <a:ext uri="{FF2B5EF4-FFF2-40B4-BE49-F238E27FC236}">
                  <a16:creationId xmlns:a16="http://schemas.microsoft.com/office/drawing/2014/main" id="{00000000-0008-0000-1600-000018020000}"/>
                </a:ext>
              </a:extLst>
            </xdr:cNvPr>
            <xdr:cNvSpPr/>
          </xdr:nvSpPr>
          <xdr:spPr>
            <a:xfrm>
              <a:off x="-1226820" y="1571244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37" name="타원 24">
              <a:extLst>
                <a:ext uri="{FF2B5EF4-FFF2-40B4-BE49-F238E27FC236}">
                  <a16:creationId xmlns:a16="http://schemas.microsoft.com/office/drawing/2014/main" id="{00000000-0008-0000-1600-000019020000}"/>
                </a:ext>
              </a:extLst>
            </xdr:cNvPr>
            <xdr:cNvSpPr/>
          </xdr:nvSpPr>
          <xdr:spPr>
            <a:xfrm>
              <a:off x="-678180" y="1571244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38" name="타원 25">
              <a:extLst>
                <a:ext uri="{FF2B5EF4-FFF2-40B4-BE49-F238E27FC236}">
                  <a16:creationId xmlns:a16="http://schemas.microsoft.com/office/drawing/2014/main" id="{00000000-0008-0000-1600-00001A020000}"/>
                </a:ext>
              </a:extLst>
            </xdr:cNvPr>
            <xdr:cNvSpPr/>
          </xdr:nvSpPr>
          <xdr:spPr>
            <a:xfrm>
              <a:off x="-1226820" y="1629156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39" name="타원 26">
              <a:extLst>
                <a:ext uri="{FF2B5EF4-FFF2-40B4-BE49-F238E27FC236}">
                  <a16:creationId xmlns:a16="http://schemas.microsoft.com/office/drawing/2014/main" id="{00000000-0008-0000-1600-00001B020000}"/>
                </a:ext>
              </a:extLst>
            </xdr:cNvPr>
            <xdr:cNvSpPr/>
          </xdr:nvSpPr>
          <xdr:spPr>
            <a:xfrm>
              <a:off x="-678180" y="1629156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40" name="타원 27">
              <a:extLst>
                <a:ext uri="{FF2B5EF4-FFF2-40B4-BE49-F238E27FC236}">
                  <a16:creationId xmlns:a16="http://schemas.microsoft.com/office/drawing/2014/main" id="{00000000-0008-0000-1600-00001C020000}"/>
                </a:ext>
              </a:extLst>
            </xdr:cNvPr>
            <xdr:cNvSpPr/>
          </xdr:nvSpPr>
          <xdr:spPr>
            <a:xfrm>
              <a:off x="-118108" y="1571244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41" name="타원 28">
              <a:extLst>
                <a:ext uri="{FF2B5EF4-FFF2-40B4-BE49-F238E27FC236}">
                  <a16:creationId xmlns:a16="http://schemas.microsoft.com/office/drawing/2014/main" id="{00000000-0008-0000-1600-00001D020000}"/>
                </a:ext>
              </a:extLst>
            </xdr:cNvPr>
            <xdr:cNvSpPr/>
          </xdr:nvSpPr>
          <xdr:spPr>
            <a:xfrm>
              <a:off x="430532" y="1571244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42" name="타원 29">
              <a:extLst>
                <a:ext uri="{FF2B5EF4-FFF2-40B4-BE49-F238E27FC236}">
                  <a16:creationId xmlns:a16="http://schemas.microsoft.com/office/drawing/2014/main" id="{00000000-0008-0000-1600-00001E020000}"/>
                </a:ext>
              </a:extLst>
            </xdr:cNvPr>
            <xdr:cNvSpPr/>
          </xdr:nvSpPr>
          <xdr:spPr>
            <a:xfrm>
              <a:off x="-118108" y="1629156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43" name="타원 30">
              <a:extLst>
                <a:ext uri="{FF2B5EF4-FFF2-40B4-BE49-F238E27FC236}">
                  <a16:creationId xmlns:a16="http://schemas.microsoft.com/office/drawing/2014/main" id="{00000000-0008-0000-1600-00001F020000}"/>
                </a:ext>
              </a:extLst>
            </xdr:cNvPr>
            <xdr:cNvSpPr/>
          </xdr:nvSpPr>
          <xdr:spPr>
            <a:xfrm>
              <a:off x="430532" y="1629156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44" name="타원 31">
              <a:extLst>
                <a:ext uri="{FF2B5EF4-FFF2-40B4-BE49-F238E27FC236}">
                  <a16:creationId xmlns:a16="http://schemas.microsoft.com/office/drawing/2014/main" id="{00000000-0008-0000-1600-000020020000}"/>
                </a:ext>
              </a:extLst>
            </xdr:cNvPr>
            <xdr:cNvSpPr/>
          </xdr:nvSpPr>
          <xdr:spPr>
            <a:xfrm>
              <a:off x="-1226820" y="1684020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45" name="타원 32">
              <a:extLst>
                <a:ext uri="{FF2B5EF4-FFF2-40B4-BE49-F238E27FC236}">
                  <a16:creationId xmlns:a16="http://schemas.microsoft.com/office/drawing/2014/main" id="{00000000-0008-0000-1600-000021020000}"/>
                </a:ext>
              </a:extLst>
            </xdr:cNvPr>
            <xdr:cNvSpPr/>
          </xdr:nvSpPr>
          <xdr:spPr>
            <a:xfrm>
              <a:off x="-678180" y="1684020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46" name="타원 33">
              <a:extLst>
                <a:ext uri="{FF2B5EF4-FFF2-40B4-BE49-F238E27FC236}">
                  <a16:creationId xmlns:a16="http://schemas.microsoft.com/office/drawing/2014/main" id="{00000000-0008-0000-1600-000022020000}"/>
                </a:ext>
              </a:extLst>
            </xdr:cNvPr>
            <xdr:cNvSpPr/>
          </xdr:nvSpPr>
          <xdr:spPr>
            <a:xfrm>
              <a:off x="-1226820" y="1741932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47" name="타원 34">
              <a:extLst>
                <a:ext uri="{FF2B5EF4-FFF2-40B4-BE49-F238E27FC236}">
                  <a16:creationId xmlns:a16="http://schemas.microsoft.com/office/drawing/2014/main" id="{00000000-0008-0000-1600-000023020000}"/>
                </a:ext>
              </a:extLst>
            </xdr:cNvPr>
            <xdr:cNvSpPr/>
          </xdr:nvSpPr>
          <xdr:spPr>
            <a:xfrm>
              <a:off x="-678180" y="1741932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48" name="타원 35">
              <a:extLst>
                <a:ext uri="{FF2B5EF4-FFF2-40B4-BE49-F238E27FC236}">
                  <a16:creationId xmlns:a16="http://schemas.microsoft.com/office/drawing/2014/main" id="{00000000-0008-0000-1600-000024020000}"/>
                </a:ext>
              </a:extLst>
            </xdr:cNvPr>
            <xdr:cNvSpPr/>
          </xdr:nvSpPr>
          <xdr:spPr>
            <a:xfrm>
              <a:off x="-118108" y="1684020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49" name="타원 36">
              <a:extLst>
                <a:ext uri="{FF2B5EF4-FFF2-40B4-BE49-F238E27FC236}">
                  <a16:creationId xmlns:a16="http://schemas.microsoft.com/office/drawing/2014/main" id="{00000000-0008-0000-1600-000025020000}"/>
                </a:ext>
              </a:extLst>
            </xdr:cNvPr>
            <xdr:cNvSpPr/>
          </xdr:nvSpPr>
          <xdr:spPr>
            <a:xfrm>
              <a:off x="430532" y="1684020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50" name="타원 37">
              <a:extLst>
                <a:ext uri="{FF2B5EF4-FFF2-40B4-BE49-F238E27FC236}">
                  <a16:creationId xmlns:a16="http://schemas.microsoft.com/office/drawing/2014/main" id="{00000000-0008-0000-1600-000026020000}"/>
                </a:ext>
              </a:extLst>
            </xdr:cNvPr>
            <xdr:cNvSpPr/>
          </xdr:nvSpPr>
          <xdr:spPr>
            <a:xfrm>
              <a:off x="-118108" y="1741932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51" name="타원 38">
              <a:extLst>
                <a:ext uri="{FF2B5EF4-FFF2-40B4-BE49-F238E27FC236}">
                  <a16:creationId xmlns:a16="http://schemas.microsoft.com/office/drawing/2014/main" id="{00000000-0008-0000-1600-000027020000}"/>
                </a:ext>
              </a:extLst>
            </xdr:cNvPr>
            <xdr:cNvSpPr/>
          </xdr:nvSpPr>
          <xdr:spPr>
            <a:xfrm>
              <a:off x="430532" y="1741932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52" name="타원 39">
              <a:extLst>
                <a:ext uri="{FF2B5EF4-FFF2-40B4-BE49-F238E27FC236}">
                  <a16:creationId xmlns:a16="http://schemas.microsoft.com/office/drawing/2014/main" id="{00000000-0008-0000-1600-000028020000}"/>
                </a:ext>
              </a:extLst>
            </xdr:cNvPr>
            <xdr:cNvSpPr/>
          </xdr:nvSpPr>
          <xdr:spPr>
            <a:xfrm>
              <a:off x="-1211580" y="1796796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53" name="타원 40">
              <a:extLst>
                <a:ext uri="{FF2B5EF4-FFF2-40B4-BE49-F238E27FC236}">
                  <a16:creationId xmlns:a16="http://schemas.microsoft.com/office/drawing/2014/main" id="{00000000-0008-0000-1600-000029020000}"/>
                </a:ext>
              </a:extLst>
            </xdr:cNvPr>
            <xdr:cNvSpPr/>
          </xdr:nvSpPr>
          <xdr:spPr>
            <a:xfrm>
              <a:off x="-662940" y="1796796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54" name="타원 41">
              <a:extLst>
                <a:ext uri="{FF2B5EF4-FFF2-40B4-BE49-F238E27FC236}">
                  <a16:creationId xmlns:a16="http://schemas.microsoft.com/office/drawing/2014/main" id="{00000000-0008-0000-1600-00002A020000}"/>
                </a:ext>
              </a:extLst>
            </xdr:cNvPr>
            <xdr:cNvSpPr/>
          </xdr:nvSpPr>
          <xdr:spPr>
            <a:xfrm>
              <a:off x="-1211580" y="1854708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55" name="타원 42">
              <a:extLst>
                <a:ext uri="{FF2B5EF4-FFF2-40B4-BE49-F238E27FC236}">
                  <a16:creationId xmlns:a16="http://schemas.microsoft.com/office/drawing/2014/main" id="{00000000-0008-0000-1600-00002B020000}"/>
                </a:ext>
              </a:extLst>
            </xdr:cNvPr>
            <xdr:cNvSpPr/>
          </xdr:nvSpPr>
          <xdr:spPr>
            <a:xfrm>
              <a:off x="-662940" y="1854708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56" name="타원 43">
              <a:extLst>
                <a:ext uri="{FF2B5EF4-FFF2-40B4-BE49-F238E27FC236}">
                  <a16:creationId xmlns:a16="http://schemas.microsoft.com/office/drawing/2014/main" id="{00000000-0008-0000-1600-00002C020000}"/>
                </a:ext>
              </a:extLst>
            </xdr:cNvPr>
            <xdr:cNvSpPr/>
          </xdr:nvSpPr>
          <xdr:spPr>
            <a:xfrm>
              <a:off x="-102868" y="1796796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57" name="타원 44">
              <a:extLst>
                <a:ext uri="{FF2B5EF4-FFF2-40B4-BE49-F238E27FC236}">
                  <a16:creationId xmlns:a16="http://schemas.microsoft.com/office/drawing/2014/main" id="{00000000-0008-0000-1600-00002D020000}"/>
                </a:ext>
              </a:extLst>
            </xdr:cNvPr>
            <xdr:cNvSpPr/>
          </xdr:nvSpPr>
          <xdr:spPr>
            <a:xfrm>
              <a:off x="445772" y="1796796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58" name="타원 45">
              <a:extLst>
                <a:ext uri="{FF2B5EF4-FFF2-40B4-BE49-F238E27FC236}">
                  <a16:creationId xmlns:a16="http://schemas.microsoft.com/office/drawing/2014/main" id="{00000000-0008-0000-1600-00002E020000}"/>
                </a:ext>
              </a:extLst>
            </xdr:cNvPr>
            <xdr:cNvSpPr/>
          </xdr:nvSpPr>
          <xdr:spPr>
            <a:xfrm>
              <a:off x="-102868" y="1854708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59" name="타원 46">
              <a:extLst>
                <a:ext uri="{FF2B5EF4-FFF2-40B4-BE49-F238E27FC236}">
                  <a16:creationId xmlns:a16="http://schemas.microsoft.com/office/drawing/2014/main" id="{00000000-0008-0000-1600-00002F020000}"/>
                </a:ext>
              </a:extLst>
            </xdr:cNvPr>
            <xdr:cNvSpPr/>
          </xdr:nvSpPr>
          <xdr:spPr>
            <a:xfrm>
              <a:off x="445772" y="1854708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60" name="타원 47">
              <a:extLst>
                <a:ext uri="{FF2B5EF4-FFF2-40B4-BE49-F238E27FC236}">
                  <a16:creationId xmlns:a16="http://schemas.microsoft.com/office/drawing/2014/main" id="{00000000-0008-0000-1600-000030020000}"/>
                </a:ext>
              </a:extLst>
            </xdr:cNvPr>
            <xdr:cNvSpPr/>
          </xdr:nvSpPr>
          <xdr:spPr>
            <a:xfrm>
              <a:off x="-1234440" y="1908048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61" name="타원 48">
              <a:extLst>
                <a:ext uri="{FF2B5EF4-FFF2-40B4-BE49-F238E27FC236}">
                  <a16:creationId xmlns:a16="http://schemas.microsoft.com/office/drawing/2014/main" id="{00000000-0008-0000-1600-000031020000}"/>
                </a:ext>
              </a:extLst>
            </xdr:cNvPr>
            <xdr:cNvSpPr/>
          </xdr:nvSpPr>
          <xdr:spPr>
            <a:xfrm>
              <a:off x="-685800" y="1908048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62" name="타원 49">
              <a:extLst>
                <a:ext uri="{FF2B5EF4-FFF2-40B4-BE49-F238E27FC236}">
                  <a16:creationId xmlns:a16="http://schemas.microsoft.com/office/drawing/2014/main" id="{00000000-0008-0000-1600-000032020000}"/>
                </a:ext>
              </a:extLst>
            </xdr:cNvPr>
            <xdr:cNvSpPr/>
          </xdr:nvSpPr>
          <xdr:spPr>
            <a:xfrm>
              <a:off x="-1234440" y="1965960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63" name="타원 50">
              <a:extLst>
                <a:ext uri="{FF2B5EF4-FFF2-40B4-BE49-F238E27FC236}">
                  <a16:creationId xmlns:a16="http://schemas.microsoft.com/office/drawing/2014/main" id="{00000000-0008-0000-1600-000033020000}"/>
                </a:ext>
              </a:extLst>
            </xdr:cNvPr>
            <xdr:cNvSpPr/>
          </xdr:nvSpPr>
          <xdr:spPr>
            <a:xfrm>
              <a:off x="-685800" y="1965960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64" name="타원 51">
              <a:extLst>
                <a:ext uri="{FF2B5EF4-FFF2-40B4-BE49-F238E27FC236}">
                  <a16:creationId xmlns:a16="http://schemas.microsoft.com/office/drawing/2014/main" id="{00000000-0008-0000-1600-000034020000}"/>
                </a:ext>
              </a:extLst>
            </xdr:cNvPr>
            <xdr:cNvSpPr/>
          </xdr:nvSpPr>
          <xdr:spPr>
            <a:xfrm>
              <a:off x="-125728" y="1908048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65" name="타원 52">
              <a:extLst>
                <a:ext uri="{FF2B5EF4-FFF2-40B4-BE49-F238E27FC236}">
                  <a16:creationId xmlns:a16="http://schemas.microsoft.com/office/drawing/2014/main" id="{00000000-0008-0000-1600-000035020000}"/>
                </a:ext>
              </a:extLst>
            </xdr:cNvPr>
            <xdr:cNvSpPr/>
          </xdr:nvSpPr>
          <xdr:spPr>
            <a:xfrm>
              <a:off x="422912" y="1908048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66" name="타원 53">
              <a:extLst>
                <a:ext uri="{FF2B5EF4-FFF2-40B4-BE49-F238E27FC236}">
                  <a16:creationId xmlns:a16="http://schemas.microsoft.com/office/drawing/2014/main" id="{00000000-0008-0000-1600-000036020000}"/>
                </a:ext>
              </a:extLst>
            </xdr:cNvPr>
            <xdr:cNvSpPr/>
          </xdr:nvSpPr>
          <xdr:spPr>
            <a:xfrm>
              <a:off x="-125728" y="1965960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67" name="타원 54">
              <a:extLst>
                <a:ext uri="{FF2B5EF4-FFF2-40B4-BE49-F238E27FC236}">
                  <a16:creationId xmlns:a16="http://schemas.microsoft.com/office/drawing/2014/main" id="{00000000-0008-0000-1600-000037020000}"/>
                </a:ext>
              </a:extLst>
            </xdr:cNvPr>
            <xdr:cNvSpPr/>
          </xdr:nvSpPr>
          <xdr:spPr>
            <a:xfrm>
              <a:off x="422912" y="1965960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68" name="타원 55">
              <a:extLst>
                <a:ext uri="{FF2B5EF4-FFF2-40B4-BE49-F238E27FC236}">
                  <a16:creationId xmlns:a16="http://schemas.microsoft.com/office/drawing/2014/main" id="{00000000-0008-0000-1600-000038020000}"/>
                </a:ext>
              </a:extLst>
            </xdr:cNvPr>
            <xdr:cNvSpPr/>
          </xdr:nvSpPr>
          <xdr:spPr>
            <a:xfrm>
              <a:off x="-1245868" y="2020824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69" name="타원 56">
              <a:extLst>
                <a:ext uri="{FF2B5EF4-FFF2-40B4-BE49-F238E27FC236}">
                  <a16:creationId xmlns:a16="http://schemas.microsoft.com/office/drawing/2014/main" id="{00000000-0008-0000-1600-000039020000}"/>
                </a:ext>
              </a:extLst>
            </xdr:cNvPr>
            <xdr:cNvSpPr/>
          </xdr:nvSpPr>
          <xdr:spPr>
            <a:xfrm>
              <a:off x="-697228" y="20208240"/>
              <a:ext cx="320040" cy="31242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507" name="그룹 506">
            <a:extLst>
              <a:ext uri="{FF2B5EF4-FFF2-40B4-BE49-F238E27FC236}">
                <a16:creationId xmlns:a16="http://schemas.microsoft.com/office/drawing/2014/main" id="{00000000-0008-0000-1600-0000FB010000}"/>
              </a:ext>
            </a:extLst>
          </xdr:cNvPr>
          <xdr:cNvGrpSpPr/>
        </xdr:nvGrpSpPr>
        <xdr:grpSpPr>
          <a:xfrm>
            <a:off x="1212778" y="1670745"/>
            <a:ext cx="475332" cy="1047138"/>
            <a:chOff x="2377441" y="2781300"/>
            <a:chExt cx="327660" cy="777240"/>
          </a:xfrm>
          <a:solidFill>
            <a:schemeClr val="bg1">
              <a:lumMod val="85000"/>
            </a:schemeClr>
          </a:solidFill>
        </xdr:grpSpPr>
        <xdr:sp macro="" textlink="">
          <xdr:nvSpPr>
            <xdr:cNvPr id="512" name="직사각형 511">
              <a:extLst>
                <a:ext uri="{FF2B5EF4-FFF2-40B4-BE49-F238E27FC236}">
                  <a16:creationId xmlns:a16="http://schemas.microsoft.com/office/drawing/2014/main" id="{00000000-0008-0000-1600-000000020000}"/>
                </a:ext>
              </a:extLst>
            </xdr:cNvPr>
            <xdr:cNvSpPr/>
          </xdr:nvSpPr>
          <xdr:spPr>
            <a:xfrm>
              <a:off x="2377441" y="2781300"/>
              <a:ext cx="327660" cy="777240"/>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13" name="직사각형 512">
              <a:extLst>
                <a:ext uri="{FF2B5EF4-FFF2-40B4-BE49-F238E27FC236}">
                  <a16:creationId xmlns:a16="http://schemas.microsoft.com/office/drawing/2014/main" id="{00000000-0008-0000-1600-000001020000}"/>
                </a:ext>
              </a:extLst>
            </xdr:cNvPr>
            <xdr:cNvSpPr/>
          </xdr:nvSpPr>
          <xdr:spPr>
            <a:xfrm>
              <a:off x="2437580" y="3169920"/>
              <a:ext cx="207381" cy="304800"/>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14" name="직사각형 513">
              <a:extLst>
                <a:ext uri="{FF2B5EF4-FFF2-40B4-BE49-F238E27FC236}">
                  <a16:creationId xmlns:a16="http://schemas.microsoft.com/office/drawing/2014/main" id="{00000000-0008-0000-1600-000002020000}"/>
                </a:ext>
              </a:extLst>
            </xdr:cNvPr>
            <xdr:cNvSpPr/>
          </xdr:nvSpPr>
          <xdr:spPr>
            <a:xfrm>
              <a:off x="2447543" y="3169920"/>
              <a:ext cx="187454" cy="106680"/>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508" name="그룹 507">
            <a:extLst>
              <a:ext uri="{FF2B5EF4-FFF2-40B4-BE49-F238E27FC236}">
                <a16:creationId xmlns:a16="http://schemas.microsoft.com/office/drawing/2014/main" id="{00000000-0008-0000-1600-0000FC010000}"/>
              </a:ext>
            </a:extLst>
          </xdr:cNvPr>
          <xdr:cNvGrpSpPr/>
        </xdr:nvGrpSpPr>
        <xdr:grpSpPr>
          <a:xfrm rot="10800000">
            <a:off x="1212427" y="10535262"/>
            <a:ext cx="475332" cy="1047138"/>
            <a:chOff x="2377441" y="2781300"/>
            <a:chExt cx="327660" cy="777240"/>
          </a:xfrm>
          <a:solidFill>
            <a:schemeClr val="bg1">
              <a:lumMod val="85000"/>
            </a:schemeClr>
          </a:solidFill>
        </xdr:grpSpPr>
        <xdr:sp macro="" textlink="">
          <xdr:nvSpPr>
            <xdr:cNvPr id="509" name="직사각형 508">
              <a:extLst>
                <a:ext uri="{FF2B5EF4-FFF2-40B4-BE49-F238E27FC236}">
                  <a16:creationId xmlns:a16="http://schemas.microsoft.com/office/drawing/2014/main" id="{00000000-0008-0000-1600-0000FD010000}"/>
                </a:ext>
              </a:extLst>
            </xdr:cNvPr>
            <xdr:cNvSpPr/>
          </xdr:nvSpPr>
          <xdr:spPr>
            <a:xfrm>
              <a:off x="2377441" y="2781300"/>
              <a:ext cx="327660" cy="777240"/>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10" name="직사각형 509">
              <a:extLst>
                <a:ext uri="{FF2B5EF4-FFF2-40B4-BE49-F238E27FC236}">
                  <a16:creationId xmlns:a16="http://schemas.microsoft.com/office/drawing/2014/main" id="{00000000-0008-0000-1600-0000FE010000}"/>
                </a:ext>
              </a:extLst>
            </xdr:cNvPr>
            <xdr:cNvSpPr/>
          </xdr:nvSpPr>
          <xdr:spPr>
            <a:xfrm>
              <a:off x="2437580" y="3169920"/>
              <a:ext cx="207381" cy="304800"/>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11" name="직사각형 510">
              <a:extLst>
                <a:ext uri="{FF2B5EF4-FFF2-40B4-BE49-F238E27FC236}">
                  <a16:creationId xmlns:a16="http://schemas.microsoft.com/office/drawing/2014/main" id="{00000000-0008-0000-1600-0000FF010000}"/>
                </a:ext>
              </a:extLst>
            </xdr:cNvPr>
            <xdr:cNvSpPr/>
          </xdr:nvSpPr>
          <xdr:spPr>
            <a:xfrm>
              <a:off x="2447543" y="3169920"/>
              <a:ext cx="187454" cy="106680"/>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clientData/>
  </xdr:twoCellAnchor>
  <xdr:twoCellAnchor>
    <xdr:from>
      <xdr:col>3</xdr:col>
      <xdr:colOff>47985</xdr:colOff>
      <xdr:row>45</xdr:row>
      <xdr:rowOff>155868</xdr:rowOff>
    </xdr:from>
    <xdr:to>
      <xdr:col>3</xdr:col>
      <xdr:colOff>240439</xdr:colOff>
      <xdr:row>55</xdr:row>
      <xdr:rowOff>95087</xdr:rowOff>
    </xdr:to>
    <xdr:grpSp>
      <xdr:nvGrpSpPr>
        <xdr:cNvPr id="570" name="그룹 569">
          <a:extLst>
            <a:ext uri="{FF2B5EF4-FFF2-40B4-BE49-F238E27FC236}">
              <a16:creationId xmlns:a16="http://schemas.microsoft.com/office/drawing/2014/main" id="{00000000-0008-0000-1600-00003A020000}"/>
            </a:ext>
          </a:extLst>
        </xdr:cNvPr>
        <xdr:cNvGrpSpPr/>
      </xdr:nvGrpSpPr>
      <xdr:grpSpPr>
        <a:xfrm>
          <a:off x="2322779" y="9120574"/>
          <a:ext cx="192454" cy="2068337"/>
          <a:chOff x="3322781" y="3150870"/>
          <a:chExt cx="313542" cy="5260882"/>
        </a:xfrm>
      </xdr:grpSpPr>
      <xdr:grpSp>
        <xdr:nvGrpSpPr>
          <xdr:cNvPr id="571" name="그룹 570">
            <a:extLst>
              <a:ext uri="{FF2B5EF4-FFF2-40B4-BE49-F238E27FC236}">
                <a16:creationId xmlns:a16="http://schemas.microsoft.com/office/drawing/2014/main" id="{00000000-0008-0000-1600-00003B020000}"/>
              </a:ext>
            </a:extLst>
          </xdr:cNvPr>
          <xdr:cNvGrpSpPr/>
        </xdr:nvGrpSpPr>
        <xdr:grpSpPr>
          <a:xfrm>
            <a:off x="3322781" y="3150870"/>
            <a:ext cx="313542" cy="5260882"/>
            <a:chOff x="4153149" y="2517236"/>
            <a:chExt cx="313542" cy="5260882"/>
          </a:xfrm>
        </xdr:grpSpPr>
        <xdr:pic>
          <xdr:nvPicPr>
            <xdr:cNvPr id="580" name="그림 579">
              <a:extLst>
                <a:ext uri="{FF2B5EF4-FFF2-40B4-BE49-F238E27FC236}">
                  <a16:creationId xmlns:a16="http://schemas.microsoft.com/office/drawing/2014/main" id="{00000000-0008-0000-1600-00004402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153149" y="2517236"/>
              <a:ext cx="313542" cy="5260882"/>
            </a:xfrm>
            <a:prstGeom prst="rect">
              <a:avLst/>
            </a:prstGeom>
          </xdr:spPr>
        </xdr:pic>
        <xdr:sp macro="" textlink="">
          <xdr:nvSpPr>
            <xdr:cNvPr id="581" name="타원 580">
              <a:extLst>
                <a:ext uri="{FF2B5EF4-FFF2-40B4-BE49-F238E27FC236}">
                  <a16:creationId xmlns:a16="http://schemas.microsoft.com/office/drawing/2014/main" id="{00000000-0008-0000-1600-000045020000}"/>
                </a:ext>
              </a:extLst>
            </xdr:cNvPr>
            <xdr:cNvSpPr/>
          </xdr:nvSpPr>
          <xdr:spPr>
            <a:xfrm>
              <a:off x="4243737" y="5688611"/>
              <a:ext cx="52903" cy="52903"/>
            </a:xfrm>
            <a:prstGeom prst="ellipse">
              <a:avLst/>
            </a:prstGeom>
            <a:solidFill>
              <a:srgbClr val="00B050"/>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82" name="타원 581">
              <a:extLst>
                <a:ext uri="{FF2B5EF4-FFF2-40B4-BE49-F238E27FC236}">
                  <a16:creationId xmlns:a16="http://schemas.microsoft.com/office/drawing/2014/main" id="{00000000-0008-0000-1600-000046020000}"/>
                </a:ext>
              </a:extLst>
            </xdr:cNvPr>
            <xdr:cNvSpPr/>
          </xdr:nvSpPr>
          <xdr:spPr>
            <a:xfrm>
              <a:off x="4242084" y="5882587"/>
              <a:ext cx="56210" cy="56210"/>
            </a:xfrm>
            <a:prstGeom prst="ellipse">
              <a:avLst/>
            </a:prstGeom>
            <a:solidFill>
              <a:srgbClr val="00B050"/>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83" name="타원 582">
              <a:extLst>
                <a:ext uri="{FF2B5EF4-FFF2-40B4-BE49-F238E27FC236}">
                  <a16:creationId xmlns:a16="http://schemas.microsoft.com/office/drawing/2014/main" id="{00000000-0008-0000-1600-000047020000}"/>
                </a:ext>
              </a:extLst>
            </xdr:cNvPr>
            <xdr:cNvSpPr/>
          </xdr:nvSpPr>
          <xdr:spPr>
            <a:xfrm>
              <a:off x="4242084" y="6028620"/>
              <a:ext cx="56210" cy="56210"/>
            </a:xfrm>
            <a:prstGeom prst="ellipse">
              <a:avLst/>
            </a:prstGeom>
            <a:solidFill>
              <a:srgbClr val="00B050"/>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572" name="그룹 571">
            <a:extLst>
              <a:ext uri="{FF2B5EF4-FFF2-40B4-BE49-F238E27FC236}">
                <a16:creationId xmlns:a16="http://schemas.microsoft.com/office/drawing/2014/main" id="{00000000-0008-0000-1600-00003C020000}"/>
              </a:ext>
            </a:extLst>
          </xdr:cNvPr>
          <xdr:cNvGrpSpPr/>
        </xdr:nvGrpSpPr>
        <xdr:grpSpPr>
          <a:xfrm>
            <a:off x="3334112" y="3170910"/>
            <a:ext cx="232081" cy="511266"/>
            <a:chOff x="3107836" y="3304296"/>
            <a:chExt cx="172673" cy="380393"/>
          </a:xfrm>
        </xdr:grpSpPr>
        <xdr:sp macro="" textlink="">
          <xdr:nvSpPr>
            <xdr:cNvPr id="577" name="직사각형 576">
              <a:extLst>
                <a:ext uri="{FF2B5EF4-FFF2-40B4-BE49-F238E27FC236}">
                  <a16:creationId xmlns:a16="http://schemas.microsoft.com/office/drawing/2014/main" id="{00000000-0008-0000-1600-000041020000}"/>
                </a:ext>
              </a:extLst>
            </xdr:cNvPr>
            <xdr:cNvSpPr/>
          </xdr:nvSpPr>
          <xdr:spPr>
            <a:xfrm>
              <a:off x="3107836" y="3304296"/>
              <a:ext cx="172673" cy="380393"/>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78" name="직사각형 577">
              <a:extLst>
                <a:ext uri="{FF2B5EF4-FFF2-40B4-BE49-F238E27FC236}">
                  <a16:creationId xmlns:a16="http://schemas.microsoft.com/office/drawing/2014/main" id="{00000000-0008-0000-1600-000042020000}"/>
                </a:ext>
              </a:extLst>
            </xdr:cNvPr>
            <xdr:cNvSpPr/>
          </xdr:nvSpPr>
          <xdr:spPr>
            <a:xfrm>
              <a:off x="3139529" y="3494493"/>
              <a:ext cx="109287" cy="149174"/>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79" name="직사각형 578">
              <a:extLst>
                <a:ext uri="{FF2B5EF4-FFF2-40B4-BE49-F238E27FC236}">
                  <a16:creationId xmlns:a16="http://schemas.microsoft.com/office/drawing/2014/main" id="{00000000-0008-0000-1600-000043020000}"/>
                </a:ext>
              </a:extLst>
            </xdr:cNvPr>
            <xdr:cNvSpPr/>
          </xdr:nvSpPr>
          <xdr:spPr>
            <a:xfrm>
              <a:off x="3144779" y="3494493"/>
              <a:ext cx="98786" cy="52211"/>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573" name="그룹 572">
            <a:extLst>
              <a:ext uri="{FF2B5EF4-FFF2-40B4-BE49-F238E27FC236}">
                <a16:creationId xmlns:a16="http://schemas.microsoft.com/office/drawing/2014/main" id="{00000000-0008-0000-1600-00003D020000}"/>
              </a:ext>
            </a:extLst>
          </xdr:cNvPr>
          <xdr:cNvGrpSpPr/>
        </xdr:nvGrpSpPr>
        <xdr:grpSpPr>
          <a:xfrm>
            <a:off x="3329347" y="7872956"/>
            <a:ext cx="232081" cy="511266"/>
            <a:chOff x="3107836" y="3304296"/>
            <a:chExt cx="172673" cy="380393"/>
          </a:xfrm>
        </xdr:grpSpPr>
        <xdr:sp macro="" textlink="">
          <xdr:nvSpPr>
            <xdr:cNvPr id="574" name="직사각형 573">
              <a:extLst>
                <a:ext uri="{FF2B5EF4-FFF2-40B4-BE49-F238E27FC236}">
                  <a16:creationId xmlns:a16="http://schemas.microsoft.com/office/drawing/2014/main" id="{00000000-0008-0000-1600-00003E020000}"/>
                </a:ext>
              </a:extLst>
            </xdr:cNvPr>
            <xdr:cNvSpPr/>
          </xdr:nvSpPr>
          <xdr:spPr>
            <a:xfrm>
              <a:off x="3107836" y="3304296"/>
              <a:ext cx="172673" cy="380393"/>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75" name="직사각형 574">
              <a:extLst>
                <a:ext uri="{FF2B5EF4-FFF2-40B4-BE49-F238E27FC236}">
                  <a16:creationId xmlns:a16="http://schemas.microsoft.com/office/drawing/2014/main" id="{00000000-0008-0000-1600-00003F020000}"/>
                </a:ext>
              </a:extLst>
            </xdr:cNvPr>
            <xdr:cNvSpPr/>
          </xdr:nvSpPr>
          <xdr:spPr>
            <a:xfrm>
              <a:off x="3139529" y="3494493"/>
              <a:ext cx="109287" cy="149174"/>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76" name="직사각형 575">
              <a:extLst>
                <a:ext uri="{FF2B5EF4-FFF2-40B4-BE49-F238E27FC236}">
                  <a16:creationId xmlns:a16="http://schemas.microsoft.com/office/drawing/2014/main" id="{00000000-0008-0000-1600-000040020000}"/>
                </a:ext>
              </a:extLst>
            </xdr:cNvPr>
            <xdr:cNvSpPr/>
          </xdr:nvSpPr>
          <xdr:spPr>
            <a:xfrm>
              <a:off x="3144779" y="3494493"/>
              <a:ext cx="98786" cy="52211"/>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clientData/>
  </xdr:twoCellAnchor>
  <xdr:twoCellAnchor>
    <xdr:from>
      <xdr:col>3</xdr:col>
      <xdr:colOff>649900</xdr:colOff>
      <xdr:row>46</xdr:row>
      <xdr:rowOff>168997</xdr:rowOff>
    </xdr:from>
    <xdr:to>
      <xdr:col>3</xdr:col>
      <xdr:colOff>720771</xdr:colOff>
      <xdr:row>48</xdr:row>
      <xdr:rowOff>123207</xdr:rowOff>
    </xdr:to>
    <xdr:grpSp>
      <xdr:nvGrpSpPr>
        <xdr:cNvPr id="584" name="그룹 583">
          <a:extLst>
            <a:ext uri="{FF2B5EF4-FFF2-40B4-BE49-F238E27FC236}">
              <a16:creationId xmlns:a16="http://schemas.microsoft.com/office/drawing/2014/main" id="{00000000-0008-0000-1600-000048020000}"/>
            </a:ext>
          </a:extLst>
        </xdr:cNvPr>
        <xdr:cNvGrpSpPr/>
      </xdr:nvGrpSpPr>
      <xdr:grpSpPr>
        <a:xfrm>
          <a:off x="2924694" y="9346615"/>
          <a:ext cx="70871" cy="380033"/>
          <a:chOff x="2415382" y="4006591"/>
          <a:chExt cx="162326" cy="1389756"/>
        </a:xfrm>
      </xdr:grpSpPr>
      <xdr:sp macro="" textlink="">
        <xdr:nvSpPr>
          <xdr:cNvPr id="585" name="타원 584">
            <a:extLst>
              <a:ext uri="{FF2B5EF4-FFF2-40B4-BE49-F238E27FC236}">
                <a16:creationId xmlns:a16="http://schemas.microsoft.com/office/drawing/2014/main" id="{00000000-0008-0000-1600-000049020000}"/>
              </a:ext>
            </a:extLst>
          </xdr:cNvPr>
          <xdr:cNvSpPr/>
        </xdr:nvSpPr>
        <xdr:spPr>
          <a:xfrm>
            <a:off x="2415382" y="4009766"/>
            <a:ext cx="50006" cy="50006"/>
          </a:xfrm>
          <a:prstGeom prst="ellipse">
            <a:avLst/>
          </a:prstGeom>
          <a:solidFill>
            <a:srgbClr val="FF000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86" name="타원 585">
            <a:extLst>
              <a:ext uri="{FF2B5EF4-FFF2-40B4-BE49-F238E27FC236}">
                <a16:creationId xmlns:a16="http://schemas.microsoft.com/office/drawing/2014/main" id="{00000000-0008-0000-1600-00004A020000}"/>
              </a:ext>
            </a:extLst>
          </xdr:cNvPr>
          <xdr:cNvSpPr/>
        </xdr:nvSpPr>
        <xdr:spPr>
          <a:xfrm>
            <a:off x="2418557" y="4364832"/>
            <a:ext cx="50006" cy="50006"/>
          </a:xfrm>
          <a:prstGeom prst="ellipse">
            <a:avLst/>
          </a:prstGeom>
          <a:solidFill>
            <a:srgbClr val="FF000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87" name="타원 586">
            <a:extLst>
              <a:ext uri="{FF2B5EF4-FFF2-40B4-BE49-F238E27FC236}">
                <a16:creationId xmlns:a16="http://schemas.microsoft.com/office/drawing/2014/main" id="{00000000-0008-0000-1600-00004B020000}"/>
              </a:ext>
            </a:extLst>
          </xdr:cNvPr>
          <xdr:cNvSpPr/>
        </xdr:nvSpPr>
        <xdr:spPr>
          <a:xfrm>
            <a:off x="2509139" y="4364832"/>
            <a:ext cx="50006" cy="50006"/>
          </a:xfrm>
          <a:prstGeom prst="ellipse">
            <a:avLst/>
          </a:prstGeom>
          <a:solidFill>
            <a:srgbClr val="FFC00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88" name="타원 587">
            <a:extLst>
              <a:ext uri="{FF2B5EF4-FFF2-40B4-BE49-F238E27FC236}">
                <a16:creationId xmlns:a16="http://schemas.microsoft.com/office/drawing/2014/main" id="{00000000-0008-0000-1600-00004C020000}"/>
              </a:ext>
            </a:extLst>
          </xdr:cNvPr>
          <xdr:cNvSpPr/>
        </xdr:nvSpPr>
        <xdr:spPr>
          <a:xfrm>
            <a:off x="2509139" y="4006591"/>
            <a:ext cx="50006" cy="50006"/>
          </a:xfrm>
          <a:prstGeom prst="ellipse">
            <a:avLst/>
          </a:prstGeom>
          <a:solidFill>
            <a:srgbClr val="00B05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89" name="타원 588">
            <a:extLst>
              <a:ext uri="{FF2B5EF4-FFF2-40B4-BE49-F238E27FC236}">
                <a16:creationId xmlns:a16="http://schemas.microsoft.com/office/drawing/2014/main" id="{00000000-0008-0000-1600-00004D020000}"/>
              </a:ext>
            </a:extLst>
          </xdr:cNvPr>
          <xdr:cNvSpPr/>
        </xdr:nvSpPr>
        <xdr:spPr>
          <a:xfrm>
            <a:off x="2509139" y="4095491"/>
            <a:ext cx="50006" cy="50006"/>
          </a:xfrm>
          <a:prstGeom prst="ellipse">
            <a:avLst/>
          </a:prstGeom>
          <a:solidFill>
            <a:srgbClr val="00B05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90" name="타원 589">
            <a:extLst>
              <a:ext uri="{FF2B5EF4-FFF2-40B4-BE49-F238E27FC236}">
                <a16:creationId xmlns:a16="http://schemas.microsoft.com/office/drawing/2014/main" id="{00000000-0008-0000-1600-00004E020000}"/>
              </a:ext>
            </a:extLst>
          </xdr:cNvPr>
          <xdr:cNvSpPr/>
        </xdr:nvSpPr>
        <xdr:spPr>
          <a:xfrm>
            <a:off x="2471738" y="5346341"/>
            <a:ext cx="50006" cy="50006"/>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91" name="타원 590">
            <a:extLst>
              <a:ext uri="{FF2B5EF4-FFF2-40B4-BE49-F238E27FC236}">
                <a16:creationId xmlns:a16="http://schemas.microsoft.com/office/drawing/2014/main" id="{00000000-0008-0000-1600-00004F020000}"/>
              </a:ext>
            </a:extLst>
          </xdr:cNvPr>
          <xdr:cNvSpPr/>
        </xdr:nvSpPr>
        <xdr:spPr>
          <a:xfrm>
            <a:off x="2434838" y="4626460"/>
            <a:ext cx="50006" cy="50006"/>
          </a:xfrm>
          <a:prstGeom prst="ellipse">
            <a:avLst/>
          </a:prstGeom>
          <a:solidFill>
            <a:srgbClr val="FF000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92" name="타원 591">
            <a:extLst>
              <a:ext uri="{FF2B5EF4-FFF2-40B4-BE49-F238E27FC236}">
                <a16:creationId xmlns:a16="http://schemas.microsoft.com/office/drawing/2014/main" id="{00000000-0008-0000-1600-000050020000}"/>
              </a:ext>
            </a:extLst>
          </xdr:cNvPr>
          <xdr:cNvSpPr/>
        </xdr:nvSpPr>
        <xdr:spPr>
          <a:xfrm>
            <a:off x="2527702" y="4634173"/>
            <a:ext cx="50006" cy="50006"/>
          </a:xfrm>
          <a:prstGeom prst="ellipse">
            <a:avLst/>
          </a:prstGeom>
          <a:solidFill>
            <a:srgbClr val="FFC00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93" name="타원 592">
            <a:extLst>
              <a:ext uri="{FF2B5EF4-FFF2-40B4-BE49-F238E27FC236}">
                <a16:creationId xmlns:a16="http://schemas.microsoft.com/office/drawing/2014/main" id="{00000000-0008-0000-1600-000051020000}"/>
              </a:ext>
            </a:extLst>
          </xdr:cNvPr>
          <xdr:cNvSpPr/>
        </xdr:nvSpPr>
        <xdr:spPr>
          <a:xfrm>
            <a:off x="2418557" y="4103204"/>
            <a:ext cx="50006" cy="50006"/>
          </a:xfrm>
          <a:prstGeom prst="ellipse">
            <a:avLst/>
          </a:prstGeom>
          <a:solidFill>
            <a:srgbClr val="00B05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94" name="타원 593">
            <a:extLst>
              <a:ext uri="{FF2B5EF4-FFF2-40B4-BE49-F238E27FC236}">
                <a16:creationId xmlns:a16="http://schemas.microsoft.com/office/drawing/2014/main" id="{00000000-0008-0000-1600-000052020000}"/>
              </a:ext>
            </a:extLst>
          </xdr:cNvPr>
          <xdr:cNvSpPr/>
        </xdr:nvSpPr>
        <xdr:spPr>
          <a:xfrm>
            <a:off x="2418557" y="4187299"/>
            <a:ext cx="50006" cy="50006"/>
          </a:xfrm>
          <a:prstGeom prst="ellipse">
            <a:avLst/>
          </a:prstGeom>
          <a:solidFill>
            <a:srgbClr val="00B05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95" name="타원 594">
            <a:extLst>
              <a:ext uri="{FF2B5EF4-FFF2-40B4-BE49-F238E27FC236}">
                <a16:creationId xmlns:a16="http://schemas.microsoft.com/office/drawing/2014/main" id="{00000000-0008-0000-1600-000053020000}"/>
              </a:ext>
            </a:extLst>
          </xdr:cNvPr>
          <xdr:cNvSpPr/>
        </xdr:nvSpPr>
        <xdr:spPr>
          <a:xfrm>
            <a:off x="2415382" y="4449393"/>
            <a:ext cx="50006" cy="50006"/>
          </a:xfrm>
          <a:prstGeom prst="ellipse">
            <a:avLst/>
          </a:prstGeom>
          <a:solidFill>
            <a:srgbClr val="00B05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96" name="타원 595">
            <a:extLst>
              <a:ext uri="{FF2B5EF4-FFF2-40B4-BE49-F238E27FC236}">
                <a16:creationId xmlns:a16="http://schemas.microsoft.com/office/drawing/2014/main" id="{00000000-0008-0000-1600-000054020000}"/>
              </a:ext>
            </a:extLst>
          </xdr:cNvPr>
          <xdr:cNvSpPr/>
        </xdr:nvSpPr>
        <xdr:spPr>
          <a:xfrm>
            <a:off x="2434838" y="4723539"/>
            <a:ext cx="50006" cy="50006"/>
          </a:xfrm>
          <a:prstGeom prst="ellipse">
            <a:avLst/>
          </a:prstGeom>
          <a:solidFill>
            <a:srgbClr val="00B05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clientData/>
  </xdr:twoCellAnchor>
  <xdr:twoCellAnchor>
    <xdr:from>
      <xdr:col>3</xdr:col>
      <xdr:colOff>1032197</xdr:colOff>
      <xdr:row>46</xdr:row>
      <xdr:rowOff>167959</xdr:rowOff>
    </xdr:from>
    <xdr:to>
      <xdr:col>3</xdr:col>
      <xdr:colOff>1096883</xdr:colOff>
      <xdr:row>48</xdr:row>
      <xdr:rowOff>122169</xdr:rowOff>
    </xdr:to>
    <xdr:grpSp>
      <xdr:nvGrpSpPr>
        <xdr:cNvPr id="597" name="그룹 596">
          <a:extLst>
            <a:ext uri="{FF2B5EF4-FFF2-40B4-BE49-F238E27FC236}">
              <a16:creationId xmlns:a16="http://schemas.microsoft.com/office/drawing/2014/main" id="{00000000-0008-0000-1600-000055020000}"/>
            </a:ext>
          </a:extLst>
        </xdr:cNvPr>
        <xdr:cNvGrpSpPr/>
      </xdr:nvGrpSpPr>
      <xdr:grpSpPr>
        <a:xfrm>
          <a:off x="3306991" y="9345577"/>
          <a:ext cx="64686" cy="380033"/>
          <a:chOff x="2415382" y="4006591"/>
          <a:chExt cx="162326" cy="1389756"/>
        </a:xfrm>
      </xdr:grpSpPr>
      <xdr:sp macro="" textlink="">
        <xdr:nvSpPr>
          <xdr:cNvPr id="598" name="타원 597">
            <a:extLst>
              <a:ext uri="{FF2B5EF4-FFF2-40B4-BE49-F238E27FC236}">
                <a16:creationId xmlns:a16="http://schemas.microsoft.com/office/drawing/2014/main" id="{00000000-0008-0000-1600-000056020000}"/>
              </a:ext>
            </a:extLst>
          </xdr:cNvPr>
          <xdr:cNvSpPr/>
        </xdr:nvSpPr>
        <xdr:spPr>
          <a:xfrm>
            <a:off x="2415382" y="4009766"/>
            <a:ext cx="50006" cy="50006"/>
          </a:xfrm>
          <a:prstGeom prst="ellipse">
            <a:avLst/>
          </a:prstGeom>
          <a:solidFill>
            <a:srgbClr val="FF000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599" name="타원 598">
            <a:extLst>
              <a:ext uri="{FF2B5EF4-FFF2-40B4-BE49-F238E27FC236}">
                <a16:creationId xmlns:a16="http://schemas.microsoft.com/office/drawing/2014/main" id="{00000000-0008-0000-1600-000057020000}"/>
              </a:ext>
            </a:extLst>
          </xdr:cNvPr>
          <xdr:cNvSpPr/>
        </xdr:nvSpPr>
        <xdr:spPr>
          <a:xfrm>
            <a:off x="2418557" y="4364832"/>
            <a:ext cx="50006" cy="50006"/>
          </a:xfrm>
          <a:prstGeom prst="ellipse">
            <a:avLst/>
          </a:prstGeom>
          <a:solidFill>
            <a:srgbClr val="FF000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00" name="타원 599">
            <a:extLst>
              <a:ext uri="{FF2B5EF4-FFF2-40B4-BE49-F238E27FC236}">
                <a16:creationId xmlns:a16="http://schemas.microsoft.com/office/drawing/2014/main" id="{00000000-0008-0000-1600-000058020000}"/>
              </a:ext>
            </a:extLst>
          </xdr:cNvPr>
          <xdr:cNvSpPr/>
        </xdr:nvSpPr>
        <xdr:spPr>
          <a:xfrm>
            <a:off x="2509139" y="4364832"/>
            <a:ext cx="50006" cy="50006"/>
          </a:xfrm>
          <a:prstGeom prst="ellipse">
            <a:avLst/>
          </a:prstGeom>
          <a:solidFill>
            <a:srgbClr val="FFC00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01" name="타원 600">
            <a:extLst>
              <a:ext uri="{FF2B5EF4-FFF2-40B4-BE49-F238E27FC236}">
                <a16:creationId xmlns:a16="http://schemas.microsoft.com/office/drawing/2014/main" id="{00000000-0008-0000-1600-000059020000}"/>
              </a:ext>
            </a:extLst>
          </xdr:cNvPr>
          <xdr:cNvSpPr/>
        </xdr:nvSpPr>
        <xdr:spPr>
          <a:xfrm>
            <a:off x="2509139" y="4006591"/>
            <a:ext cx="50006" cy="50006"/>
          </a:xfrm>
          <a:prstGeom prst="ellipse">
            <a:avLst/>
          </a:prstGeom>
          <a:solidFill>
            <a:srgbClr val="00B05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02" name="타원 601">
            <a:extLst>
              <a:ext uri="{FF2B5EF4-FFF2-40B4-BE49-F238E27FC236}">
                <a16:creationId xmlns:a16="http://schemas.microsoft.com/office/drawing/2014/main" id="{00000000-0008-0000-1600-00005A020000}"/>
              </a:ext>
            </a:extLst>
          </xdr:cNvPr>
          <xdr:cNvSpPr/>
        </xdr:nvSpPr>
        <xdr:spPr>
          <a:xfrm>
            <a:off x="2509139" y="4095491"/>
            <a:ext cx="50006" cy="50006"/>
          </a:xfrm>
          <a:prstGeom prst="ellipse">
            <a:avLst/>
          </a:prstGeom>
          <a:solidFill>
            <a:srgbClr val="00B05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03" name="타원 602">
            <a:extLst>
              <a:ext uri="{FF2B5EF4-FFF2-40B4-BE49-F238E27FC236}">
                <a16:creationId xmlns:a16="http://schemas.microsoft.com/office/drawing/2014/main" id="{00000000-0008-0000-1600-00005B020000}"/>
              </a:ext>
            </a:extLst>
          </xdr:cNvPr>
          <xdr:cNvSpPr/>
        </xdr:nvSpPr>
        <xdr:spPr>
          <a:xfrm>
            <a:off x="2471738" y="5346341"/>
            <a:ext cx="50006" cy="50006"/>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04" name="타원 603">
            <a:extLst>
              <a:ext uri="{FF2B5EF4-FFF2-40B4-BE49-F238E27FC236}">
                <a16:creationId xmlns:a16="http://schemas.microsoft.com/office/drawing/2014/main" id="{00000000-0008-0000-1600-00005C020000}"/>
              </a:ext>
            </a:extLst>
          </xdr:cNvPr>
          <xdr:cNvSpPr/>
        </xdr:nvSpPr>
        <xdr:spPr>
          <a:xfrm>
            <a:off x="2434838" y="4626460"/>
            <a:ext cx="50006" cy="50006"/>
          </a:xfrm>
          <a:prstGeom prst="ellipse">
            <a:avLst/>
          </a:prstGeom>
          <a:solidFill>
            <a:srgbClr val="FF000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05" name="타원 604">
            <a:extLst>
              <a:ext uri="{FF2B5EF4-FFF2-40B4-BE49-F238E27FC236}">
                <a16:creationId xmlns:a16="http://schemas.microsoft.com/office/drawing/2014/main" id="{00000000-0008-0000-1600-00005D020000}"/>
              </a:ext>
            </a:extLst>
          </xdr:cNvPr>
          <xdr:cNvSpPr/>
        </xdr:nvSpPr>
        <xdr:spPr>
          <a:xfrm>
            <a:off x="2527702" y="4634173"/>
            <a:ext cx="50006" cy="50006"/>
          </a:xfrm>
          <a:prstGeom prst="ellipse">
            <a:avLst/>
          </a:prstGeom>
          <a:solidFill>
            <a:srgbClr val="FFC00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06" name="타원 605">
            <a:extLst>
              <a:ext uri="{FF2B5EF4-FFF2-40B4-BE49-F238E27FC236}">
                <a16:creationId xmlns:a16="http://schemas.microsoft.com/office/drawing/2014/main" id="{00000000-0008-0000-1600-00005E020000}"/>
              </a:ext>
            </a:extLst>
          </xdr:cNvPr>
          <xdr:cNvSpPr/>
        </xdr:nvSpPr>
        <xdr:spPr>
          <a:xfrm>
            <a:off x="2418557" y="4103204"/>
            <a:ext cx="50006" cy="50006"/>
          </a:xfrm>
          <a:prstGeom prst="ellipse">
            <a:avLst/>
          </a:prstGeom>
          <a:solidFill>
            <a:srgbClr val="00B05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07" name="타원 606">
            <a:extLst>
              <a:ext uri="{FF2B5EF4-FFF2-40B4-BE49-F238E27FC236}">
                <a16:creationId xmlns:a16="http://schemas.microsoft.com/office/drawing/2014/main" id="{00000000-0008-0000-1600-00005F020000}"/>
              </a:ext>
            </a:extLst>
          </xdr:cNvPr>
          <xdr:cNvSpPr/>
        </xdr:nvSpPr>
        <xdr:spPr>
          <a:xfrm>
            <a:off x="2418557" y="4187299"/>
            <a:ext cx="50006" cy="50006"/>
          </a:xfrm>
          <a:prstGeom prst="ellipse">
            <a:avLst/>
          </a:prstGeom>
          <a:solidFill>
            <a:srgbClr val="00B05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08" name="타원 607">
            <a:extLst>
              <a:ext uri="{FF2B5EF4-FFF2-40B4-BE49-F238E27FC236}">
                <a16:creationId xmlns:a16="http://schemas.microsoft.com/office/drawing/2014/main" id="{00000000-0008-0000-1600-000060020000}"/>
              </a:ext>
            </a:extLst>
          </xdr:cNvPr>
          <xdr:cNvSpPr/>
        </xdr:nvSpPr>
        <xdr:spPr>
          <a:xfrm>
            <a:off x="2415382" y="4449393"/>
            <a:ext cx="50006" cy="50006"/>
          </a:xfrm>
          <a:prstGeom prst="ellipse">
            <a:avLst/>
          </a:prstGeom>
          <a:solidFill>
            <a:srgbClr val="00B05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09" name="타원 608">
            <a:extLst>
              <a:ext uri="{FF2B5EF4-FFF2-40B4-BE49-F238E27FC236}">
                <a16:creationId xmlns:a16="http://schemas.microsoft.com/office/drawing/2014/main" id="{00000000-0008-0000-1600-000061020000}"/>
              </a:ext>
            </a:extLst>
          </xdr:cNvPr>
          <xdr:cNvSpPr/>
        </xdr:nvSpPr>
        <xdr:spPr>
          <a:xfrm>
            <a:off x="2434838" y="4723539"/>
            <a:ext cx="50006" cy="50006"/>
          </a:xfrm>
          <a:prstGeom prst="ellipse">
            <a:avLst/>
          </a:prstGeom>
          <a:solidFill>
            <a:srgbClr val="00B05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clientData/>
  </xdr:twoCellAnchor>
  <xdr:twoCellAnchor>
    <xdr:from>
      <xdr:col>4</xdr:col>
      <xdr:colOff>291710</xdr:colOff>
      <xdr:row>46</xdr:row>
      <xdr:rowOff>170737</xdr:rowOff>
    </xdr:from>
    <xdr:to>
      <xdr:col>4</xdr:col>
      <xdr:colOff>362581</xdr:colOff>
      <xdr:row>48</xdr:row>
      <xdr:rowOff>124947</xdr:rowOff>
    </xdr:to>
    <xdr:grpSp>
      <xdr:nvGrpSpPr>
        <xdr:cNvPr id="610" name="그룹 609">
          <a:extLst>
            <a:ext uri="{FF2B5EF4-FFF2-40B4-BE49-F238E27FC236}">
              <a16:creationId xmlns:a16="http://schemas.microsoft.com/office/drawing/2014/main" id="{00000000-0008-0000-1600-000062020000}"/>
            </a:ext>
          </a:extLst>
        </xdr:cNvPr>
        <xdr:cNvGrpSpPr/>
      </xdr:nvGrpSpPr>
      <xdr:grpSpPr>
        <a:xfrm>
          <a:off x="3675886" y="9348355"/>
          <a:ext cx="70871" cy="380033"/>
          <a:chOff x="2415382" y="4006591"/>
          <a:chExt cx="162326" cy="1389756"/>
        </a:xfrm>
      </xdr:grpSpPr>
      <xdr:sp macro="" textlink="">
        <xdr:nvSpPr>
          <xdr:cNvPr id="611" name="타원 610">
            <a:extLst>
              <a:ext uri="{FF2B5EF4-FFF2-40B4-BE49-F238E27FC236}">
                <a16:creationId xmlns:a16="http://schemas.microsoft.com/office/drawing/2014/main" id="{00000000-0008-0000-1600-000063020000}"/>
              </a:ext>
            </a:extLst>
          </xdr:cNvPr>
          <xdr:cNvSpPr/>
        </xdr:nvSpPr>
        <xdr:spPr>
          <a:xfrm>
            <a:off x="2415382" y="4009766"/>
            <a:ext cx="50006" cy="50006"/>
          </a:xfrm>
          <a:prstGeom prst="ellipse">
            <a:avLst/>
          </a:prstGeom>
          <a:solidFill>
            <a:srgbClr val="FF000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12" name="타원 611">
            <a:extLst>
              <a:ext uri="{FF2B5EF4-FFF2-40B4-BE49-F238E27FC236}">
                <a16:creationId xmlns:a16="http://schemas.microsoft.com/office/drawing/2014/main" id="{00000000-0008-0000-1600-000064020000}"/>
              </a:ext>
            </a:extLst>
          </xdr:cNvPr>
          <xdr:cNvSpPr/>
        </xdr:nvSpPr>
        <xdr:spPr>
          <a:xfrm>
            <a:off x="2418557" y="4364832"/>
            <a:ext cx="50006" cy="50006"/>
          </a:xfrm>
          <a:prstGeom prst="ellipse">
            <a:avLst/>
          </a:prstGeom>
          <a:solidFill>
            <a:srgbClr val="FF000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13" name="타원 612">
            <a:extLst>
              <a:ext uri="{FF2B5EF4-FFF2-40B4-BE49-F238E27FC236}">
                <a16:creationId xmlns:a16="http://schemas.microsoft.com/office/drawing/2014/main" id="{00000000-0008-0000-1600-000065020000}"/>
              </a:ext>
            </a:extLst>
          </xdr:cNvPr>
          <xdr:cNvSpPr/>
        </xdr:nvSpPr>
        <xdr:spPr>
          <a:xfrm>
            <a:off x="2509139" y="4364832"/>
            <a:ext cx="50006" cy="50006"/>
          </a:xfrm>
          <a:prstGeom prst="ellipse">
            <a:avLst/>
          </a:prstGeom>
          <a:solidFill>
            <a:srgbClr val="FFC00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14" name="타원 613">
            <a:extLst>
              <a:ext uri="{FF2B5EF4-FFF2-40B4-BE49-F238E27FC236}">
                <a16:creationId xmlns:a16="http://schemas.microsoft.com/office/drawing/2014/main" id="{00000000-0008-0000-1600-000066020000}"/>
              </a:ext>
            </a:extLst>
          </xdr:cNvPr>
          <xdr:cNvSpPr/>
        </xdr:nvSpPr>
        <xdr:spPr>
          <a:xfrm>
            <a:off x="2509139" y="4006591"/>
            <a:ext cx="50006" cy="50006"/>
          </a:xfrm>
          <a:prstGeom prst="ellipse">
            <a:avLst/>
          </a:prstGeom>
          <a:solidFill>
            <a:srgbClr val="00B05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15" name="타원 614">
            <a:extLst>
              <a:ext uri="{FF2B5EF4-FFF2-40B4-BE49-F238E27FC236}">
                <a16:creationId xmlns:a16="http://schemas.microsoft.com/office/drawing/2014/main" id="{00000000-0008-0000-1600-000067020000}"/>
              </a:ext>
            </a:extLst>
          </xdr:cNvPr>
          <xdr:cNvSpPr/>
        </xdr:nvSpPr>
        <xdr:spPr>
          <a:xfrm>
            <a:off x="2509139" y="4095491"/>
            <a:ext cx="50006" cy="50006"/>
          </a:xfrm>
          <a:prstGeom prst="ellipse">
            <a:avLst/>
          </a:prstGeom>
          <a:solidFill>
            <a:srgbClr val="00B05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16" name="타원 615">
            <a:extLst>
              <a:ext uri="{FF2B5EF4-FFF2-40B4-BE49-F238E27FC236}">
                <a16:creationId xmlns:a16="http://schemas.microsoft.com/office/drawing/2014/main" id="{00000000-0008-0000-1600-000068020000}"/>
              </a:ext>
            </a:extLst>
          </xdr:cNvPr>
          <xdr:cNvSpPr/>
        </xdr:nvSpPr>
        <xdr:spPr>
          <a:xfrm>
            <a:off x="2471738" y="5346341"/>
            <a:ext cx="50006" cy="50006"/>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17" name="타원 616">
            <a:extLst>
              <a:ext uri="{FF2B5EF4-FFF2-40B4-BE49-F238E27FC236}">
                <a16:creationId xmlns:a16="http://schemas.microsoft.com/office/drawing/2014/main" id="{00000000-0008-0000-1600-000069020000}"/>
              </a:ext>
            </a:extLst>
          </xdr:cNvPr>
          <xdr:cNvSpPr/>
        </xdr:nvSpPr>
        <xdr:spPr>
          <a:xfrm>
            <a:off x="2434838" y="4626460"/>
            <a:ext cx="50006" cy="50006"/>
          </a:xfrm>
          <a:prstGeom prst="ellipse">
            <a:avLst/>
          </a:prstGeom>
          <a:solidFill>
            <a:srgbClr val="FF000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18" name="타원 617">
            <a:extLst>
              <a:ext uri="{FF2B5EF4-FFF2-40B4-BE49-F238E27FC236}">
                <a16:creationId xmlns:a16="http://schemas.microsoft.com/office/drawing/2014/main" id="{00000000-0008-0000-1600-00006A020000}"/>
              </a:ext>
            </a:extLst>
          </xdr:cNvPr>
          <xdr:cNvSpPr/>
        </xdr:nvSpPr>
        <xdr:spPr>
          <a:xfrm>
            <a:off x="2527702" y="4634173"/>
            <a:ext cx="50006" cy="50006"/>
          </a:xfrm>
          <a:prstGeom prst="ellipse">
            <a:avLst/>
          </a:prstGeom>
          <a:solidFill>
            <a:srgbClr val="FFC00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19" name="타원 618">
            <a:extLst>
              <a:ext uri="{FF2B5EF4-FFF2-40B4-BE49-F238E27FC236}">
                <a16:creationId xmlns:a16="http://schemas.microsoft.com/office/drawing/2014/main" id="{00000000-0008-0000-1600-00006B020000}"/>
              </a:ext>
            </a:extLst>
          </xdr:cNvPr>
          <xdr:cNvSpPr/>
        </xdr:nvSpPr>
        <xdr:spPr>
          <a:xfrm>
            <a:off x="2418557" y="4103204"/>
            <a:ext cx="50006" cy="50006"/>
          </a:xfrm>
          <a:prstGeom prst="ellipse">
            <a:avLst/>
          </a:prstGeom>
          <a:solidFill>
            <a:srgbClr val="00B05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20" name="타원 619">
            <a:extLst>
              <a:ext uri="{FF2B5EF4-FFF2-40B4-BE49-F238E27FC236}">
                <a16:creationId xmlns:a16="http://schemas.microsoft.com/office/drawing/2014/main" id="{00000000-0008-0000-1600-00006C020000}"/>
              </a:ext>
            </a:extLst>
          </xdr:cNvPr>
          <xdr:cNvSpPr/>
        </xdr:nvSpPr>
        <xdr:spPr>
          <a:xfrm>
            <a:off x="2418557" y="4187299"/>
            <a:ext cx="50006" cy="50006"/>
          </a:xfrm>
          <a:prstGeom prst="ellipse">
            <a:avLst/>
          </a:prstGeom>
          <a:solidFill>
            <a:srgbClr val="00B05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21" name="타원 620">
            <a:extLst>
              <a:ext uri="{FF2B5EF4-FFF2-40B4-BE49-F238E27FC236}">
                <a16:creationId xmlns:a16="http://schemas.microsoft.com/office/drawing/2014/main" id="{00000000-0008-0000-1600-00006D020000}"/>
              </a:ext>
            </a:extLst>
          </xdr:cNvPr>
          <xdr:cNvSpPr/>
        </xdr:nvSpPr>
        <xdr:spPr>
          <a:xfrm>
            <a:off x="2415382" y="4449393"/>
            <a:ext cx="50006" cy="50006"/>
          </a:xfrm>
          <a:prstGeom prst="ellipse">
            <a:avLst/>
          </a:prstGeom>
          <a:solidFill>
            <a:srgbClr val="00B05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22" name="타원 621">
            <a:extLst>
              <a:ext uri="{FF2B5EF4-FFF2-40B4-BE49-F238E27FC236}">
                <a16:creationId xmlns:a16="http://schemas.microsoft.com/office/drawing/2014/main" id="{00000000-0008-0000-1600-00006E020000}"/>
              </a:ext>
            </a:extLst>
          </xdr:cNvPr>
          <xdr:cNvSpPr/>
        </xdr:nvSpPr>
        <xdr:spPr>
          <a:xfrm>
            <a:off x="2434838" y="4723539"/>
            <a:ext cx="50006" cy="50006"/>
          </a:xfrm>
          <a:prstGeom prst="ellipse">
            <a:avLst/>
          </a:prstGeom>
          <a:solidFill>
            <a:srgbClr val="00B05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clientData/>
  </xdr:twoCellAnchor>
  <xdr:twoCellAnchor>
    <xdr:from>
      <xdr:col>3</xdr:col>
      <xdr:colOff>653361</xdr:colOff>
      <xdr:row>51</xdr:row>
      <xdr:rowOff>173126</xdr:rowOff>
    </xdr:from>
    <xdr:to>
      <xdr:col>3</xdr:col>
      <xdr:colOff>725012</xdr:colOff>
      <xdr:row>53</xdr:row>
      <xdr:rowOff>131987</xdr:rowOff>
    </xdr:to>
    <xdr:grpSp>
      <xdr:nvGrpSpPr>
        <xdr:cNvPr id="623" name="그룹 622">
          <a:extLst>
            <a:ext uri="{FF2B5EF4-FFF2-40B4-BE49-F238E27FC236}">
              <a16:creationId xmlns:a16="http://schemas.microsoft.com/office/drawing/2014/main" id="{00000000-0008-0000-1600-00006F020000}"/>
            </a:ext>
          </a:extLst>
        </xdr:cNvPr>
        <xdr:cNvGrpSpPr/>
      </xdr:nvGrpSpPr>
      <xdr:grpSpPr>
        <a:xfrm>
          <a:off x="2928155" y="10415302"/>
          <a:ext cx="71651" cy="384685"/>
          <a:chOff x="2415382" y="4006591"/>
          <a:chExt cx="162326" cy="1389756"/>
        </a:xfrm>
      </xdr:grpSpPr>
      <xdr:sp macro="" textlink="">
        <xdr:nvSpPr>
          <xdr:cNvPr id="624" name="타원 623">
            <a:extLst>
              <a:ext uri="{FF2B5EF4-FFF2-40B4-BE49-F238E27FC236}">
                <a16:creationId xmlns:a16="http://schemas.microsoft.com/office/drawing/2014/main" id="{00000000-0008-0000-1600-000070020000}"/>
              </a:ext>
            </a:extLst>
          </xdr:cNvPr>
          <xdr:cNvSpPr/>
        </xdr:nvSpPr>
        <xdr:spPr>
          <a:xfrm>
            <a:off x="2415382" y="4009766"/>
            <a:ext cx="50006" cy="50006"/>
          </a:xfrm>
          <a:prstGeom prst="ellipse">
            <a:avLst/>
          </a:prstGeom>
          <a:solidFill>
            <a:srgbClr val="FF000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25" name="타원 624">
            <a:extLst>
              <a:ext uri="{FF2B5EF4-FFF2-40B4-BE49-F238E27FC236}">
                <a16:creationId xmlns:a16="http://schemas.microsoft.com/office/drawing/2014/main" id="{00000000-0008-0000-1600-000071020000}"/>
              </a:ext>
            </a:extLst>
          </xdr:cNvPr>
          <xdr:cNvSpPr/>
        </xdr:nvSpPr>
        <xdr:spPr>
          <a:xfrm>
            <a:off x="2418557" y="4364832"/>
            <a:ext cx="50006" cy="50006"/>
          </a:xfrm>
          <a:prstGeom prst="ellipse">
            <a:avLst/>
          </a:prstGeom>
          <a:solidFill>
            <a:srgbClr val="FF000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26" name="타원 625">
            <a:extLst>
              <a:ext uri="{FF2B5EF4-FFF2-40B4-BE49-F238E27FC236}">
                <a16:creationId xmlns:a16="http://schemas.microsoft.com/office/drawing/2014/main" id="{00000000-0008-0000-1600-000072020000}"/>
              </a:ext>
            </a:extLst>
          </xdr:cNvPr>
          <xdr:cNvSpPr/>
        </xdr:nvSpPr>
        <xdr:spPr>
          <a:xfrm>
            <a:off x="2509139" y="4364832"/>
            <a:ext cx="50006" cy="50006"/>
          </a:xfrm>
          <a:prstGeom prst="ellipse">
            <a:avLst/>
          </a:prstGeom>
          <a:solidFill>
            <a:srgbClr val="FFC00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27" name="타원 626">
            <a:extLst>
              <a:ext uri="{FF2B5EF4-FFF2-40B4-BE49-F238E27FC236}">
                <a16:creationId xmlns:a16="http://schemas.microsoft.com/office/drawing/2014/main" id="{00000000-0008-0000-1600-000073020000}"/>
              </a:ext>
            </a:extLst>
          </xdr:cNvPr>
          <xdr:cNvSpPr/>
        </xdr:nvSpPr>
        <xdr:spPr>
          <a:xfrm>
            <a:off x="2509139" y="4006591"/>
            <a:ext cx="50006" cy="50006"/>
          </a:xfrm>
          <a:prstGeom prst="ellipse">
            <a:avLst/>
          </a:prstGeom>
          <a:solidFill>
            <a:srgbClr val="00B05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28" name="타원 627">
            <a:extLst>
              <a:ext uri="{FF2B5EF4-FFF2-40B4-BE49-F238E27FC236}">
                <a16:creationId xmlns:a16="http://schemas.microsoft.com/office/drawing/2014/main" id="{00000000-0008-0000-1600-000074020000}"/>
              </a:ext>
            </a:extLst>
          </xdr:cNvPr>
          <xdr:cNvSpPr/>
        </xdr:nvSpPr>
        <xdr:spPr>
          <a:xfrm>
            <a:off x="2509139" y="4095491"/>
            <a:ext cx="50006" cy="50006"/>
          </a:xfrm>
          <a:prstGeom prst="ellipse">
            <a:avLst/>
          </a:prstGeom>
          <a:solidFill>
            <a:srgbClr val="00B05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29" name="타원 628">
            <a:extLst>
              <a:ext uri="{FF2B5EF4-FFF2-40B4-BE49-F238E27FC236}">
                <a16:creationId xmlns:a16="http://schemas.microsoft.com/office/drawing/2014/main" id="{00000000-0008-0000-1600-000075020000}"/>
              </a:ext>
            </a:extLst>
          </xdr:cNvPr>
          <xdr:cNvSpPr/>
        </xdr:nvSpPr>
        <xdr:spPr>
          <a:xfrm>
            <a:off x="2471738" y="5346341"/>
            <a:ext cx="50006" cy="50006"/>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30" name="타원 629">
            <a:extLst>
              <a:ext uri="{FF2B5EF4-FFF2-40B4-BE49-F238E27FC236}">
                <a16:creationId xmlns:a16="http://schemas.microsoft.com/office/drawing/2014/main" id="{00000000-0008-0000-1600-000076020000}"/>
              </a:ext>
            </a:extLst>
          </xdr:cNvPr>
          <xdr:cNvSpPr/>
        </xdr:nvSpPr>
        <xdr:spPr>
          <a:xfrm>
            <a:off x="2434838" y="4626460"/>
            <a:ext cx="50006" cy="50006"/>
          </a:xfrm>
          <a:prstGeom prst="ellipse">
            <a:avLst/>
          </a:prstGeom>
          <a:solidFill>
            <a:srgbClr val="FF000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31" name="타원 630">
            <a:extLst>
              <a:ext uri="{FF2B5EF4-FFF2-40B4-BE49-F238E27FC236}">
                <a16:creationId xmlns:a16="http://schemas.microsoft.com/office/drawing/2014/main" id="{00000000-0008-0000-1600-000077020000}"/>
              </a:ext>
            </a:extLst>
          </xdr:cNvPr>
          <xdr:cNvSpPr/>
        </xdr:nvSpPr>
        <xdr:spPr>
          <a:xfrm>
            <a:off x="2527702" y="4634173"/>
            <a:ext cx="50006" cy="50006"/>
          </a:xfrm>
          <a:prstGeom prst="ellipse">
            <a:avLst/>
          </a:prstGeom>
          <a:solidFill>
            <a:srgbClr val="FFC00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32" name="타원 631">
            <a:extLst>
              <a:ext uri="{FF2B5EF4-FFF2-40B4-BE49-F238E27FC236}">
                <a16:creationId xmlns:a16="http://schemas.microsoft.com/office/drawing/2014/main" id="{00000000-0008-0000-1600-000078020000}"/>
              </a:ext>
            </a:extLst>
          </xdr:cNvPr>
          <xdr:cNvSpPr/>
        </xdr:nvSpPr>
        <xdr:spPr>
          <a:xfrm>
            <a:off x="2418557" y="4103204"/>
            <a:ext cx="50006" cy="50006"/>
          </a:xfrm>
          <a:prstGeom prst="ellipse">
            <a:avLst/>
          </a:prstGeom>
          <a:solidFill>
            <a:srgbClr val="00B05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33" name="타원 632">
            <a:extLst>
              <a:ext uri="{FF2B5EF4-FFF2-40B4-BE49-F238E27FC236}">
                <a16:creationId xmlns:a16="http://schemas.microsoft.com/office/drawing/2014/main" id="{00000000-0008-0000-1600-000079020000}"/>
              </a:ext>
            </a:extLst>
          </xdr:cNvPr>
          <xdr:cNvSpPr/>
        </xdr:nvSpPr>
        <xdr:spPr>
          <a:xfrm>
            <a:off x="2418557" y="4187299"/>
            <a:ext cx="50006" cy="50006"/>
          </a:xfrm>
          <a:prstGeom prst="ellipse">
            <a:avLst/>
          </a:prstGeom>
          <a:solidFill>
            <a:srgbClr val="00B05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34" name="타원 633">
            <a:extLst>
              <a:ext uri="{FF2B5EF4-FFF2-40B4-BE49-F238E27FC236}">
                <a16:creationId xmlns:a16="http://schemas.microsoft.com/office/drawing/2014/main" id="{00000000-0008-0000-1600-00007A020000}"/>
              </a:ext>
            </a:extLst>
          </xdr:cNvPr>
          <xdr:cNvSpPr/>
        </xdr:nvSpPr>
        <xdr:spPr>
          <a:xfrm>
            <a:off x="2415382" y="4449393"/>
            <a:ext cx="50006" cy="50006"/>
          </a:xfrm>
          <a:prstGeom prst="ellipse">
            <a:avLst/>
          </a:prstGeom>
          <a:solidFill>
            <a:srgbClr val="00B05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35" name="타원 634">
            <a:extLst>
              <a:ext uri="{FF2B5EF4-FFF2-40B4-BE49-F238E27FC236}">
                <a16:creationId xmlns:a16="http://schemas.microsoft.com/office/drawing/2014/main" id="{00000000-0008-0000-1600-00007B020000}"/>
              </a:ext>
            </a:extLst>
          </xdr:cNvPr>
          <xdr:cNvSpPr/>
        </xdr:nvSpPr>
        <xdr:spPr>
          <a:xfrm>
            <a:off x="2434838" y="4723539"/>
            <a:ext cx="50006" cy="50006"/>
          </a:xfrm>
          <a:prstGeom prst="ellipse">
            <a:avLst/>
          </a:prstGeom>
          <a:solidFill>
            <a:srgbClr val="00B05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clientData/>
  </xdr:twoCellAnchor>
  <xdr:twoCellAnchor>
    <xdr:from>
      <xdr:col>3</xdr:col>
      <xdr:colOff>1035657</xdr:colOff>
      <xdr:row>51</xdr:row>
      <xdr:rowOff>172088</xdr:rowOff>
    </xdr:from>
    <xdr:to>
      <xdr:col>3</xdr:col>
      <xdr:colOff>1101123</xdr:colOff>
      <xdr:row>53</xdr:row>
      <xdr:rowOff>130949</xdr:rowOff>
    </xdr:to>
    <xdr:grpSp>
      <xdr:nvGrpSpPr>
        <xdr:cNvPr id="636" name="그룹 635">
          <a:extLst>
            <a:ext uri="{FF2B5EF4-FFF2-40B4-BE49-F238E27FC236}">
              <a16:creationId xmlns:a16="http://schemas.microsoft.com/office/drawing/2014/main" id="{00000000-0008-0000-1600-00007C020000}"/>
            </a:ext>
          </a:extLst>
        </xdr:cNvPr>
        <xdr:cNvGrpSpPr/>
      </xdr:nvGrpSpPr>
      <xdr:grpSpPr>
        <a:xfrm>
          <a:off x="3310451" y="10414264"/>
          <a:ext cx="65466" cy="384685"/>
          <a:chOff x="2415382" y="4006591"/>
          <a:chExt cx="162326" cy="1389756"/>
        </a:xfrm>
      </xdr:grpSpPr>
      <xdr:sp macro="" textlink="">
        <xdr:nvSpPr>
          <xdr:cNvPr id="637" name="타원 636">
            <a:extLst>
              <a:ext uri="{FF2B5EF4-FFF2-40B4-BE49-F238E27FC236}">
                <a16:creationId xmlns:a16="http://schemas.microsoft.com/office/drawing/2014/main" id="{00000000-0008-0000-1600-00007D020000}"/>
              </a:ext>
            </a:extLst>
          </xdr:cNvPr>
          <xdr:cNvSpPr/>
        </xdr:nvSpPr>
        <xdr:spPr>
          <a:xfrm>
            <a:off x="2415382" y="4009766"/>
            <a:ext cx="50006" cy="50006"/>
          </a:xfrm>
          <a:prstGeom prst="ellipse">
            <a:avLst/>
          </a:prstGeom>
          <a:solidFill>
            <a:srgbClr val="FF000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38" name="타원 637">
            <a:extLst>
              <a:ext uri="{FF2B5EF4-FFF2-40B4-BE49-F238E27FC236}">
                <a16:creationId xmlns:a16="http://schemas.microsoft.com/office/drawing/2014/main" id="{00000000-0008-0000-1600-00007E020000}"/>
              </a:ext>
            </a:extLst>
          </xdr:cNvPr>
          <xdr:cNvSpPr/>
        </xdr:nvSpPr>
        <xdr:spPr>
          <a:xfrm>
            <a:off x="2418557" y="4364832"/>
            <a:ext cx="50006" cy="50006"/>
          </a:xfrm>
          <a:prstGeom prst="ellipse">
            <a:avLst/>
          </a:prstGeom>
          <a:solidFill>
            <a:srgbClr val="FF000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39" name="타원 638">
            <a:extLst>
              <a:ext uri="{FF2B5EF4-FFF2-40B4-BE49-F238E27FC236}">
                <a16:creationId xmlns:a16="http://schemas.microsoft.com/office/drawing/2014/main" id="{00000000-0008-0000-1600-00007F020000}"/>
              </a:ext>
            </a:extLst>
          </xdr:cNvPr>
          <xdr:cNvSpPr/>
        </xdr:nvSpPr>
        <xdr:spPr>
          <a:xfrm>
            <a:off x="2509139" y="4364832"/>
            <a:ext cx="50006" cy="50006"/>
          </a:xfrm>
          <a:prstGeom prst="ellipse">
            <a:avLst/>
          </a:prstGeom>
          <a:solidFill>
            <a:srgbClr val="FFC00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40" name="타원 639">
            <a:extLst>
              <a:ext uri="{FF2B5EF4-FFF2-40B4-BE49-F238E27FC236}">
                <a16:creationId xmlns:a16="http://schemas.microsoft.com/office/drawing/2014/main" id="{00000000-0008-0000-1600-000080020000}"/>
              </a:ext>
            </a:extLst>
          </xdr:cNvPr>
          <xdr:cNvSpPr/>
        </xdr:nvSpPr>
        <xdr:spPr>
          <a:xfrm>
            <a:off x="2509139" y="4006591"/>
            <a:ext cx="50006" cy="50006"/>
          </a:xfrm>
          <a:prstGeom prst="ellipse">
            <a:avLst/>
          </a:prstGeom>
          <a:solidFill>
            <a:srgbClr val="00B05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41" name="타원 640">
            <a:extLst>
              <a:ext uri="{FF2B5EF4-FFF2-40B4-BE49-F238E27FC236}">
                <a16:creationId xmlns:a16="http://schemas.microsoft.com/office/drawing/2014/main" id="{00000000-0008-0000-1600-000081020000}"/>
              </a:ext>
            </a:extLst>
          </xdr:cNvPr>
          <xdr:cNvSpPr/>
        </xdr:nvSpPr>
        <xdr:spPr>
          <a:xfrm>
            <a:off x="2509139" y="4095491"/>
            <a:ext cx="50006" cy="50006"/>
          </a:xfrm>
          <a:prstGeom prst="ellipse">
            <a:avLst/>
          </a:prstGeom>
          <a:solidFill>
            <a:srgbClr val="00B05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42" name="타원 641">
            <a:extLst>
              <a:ext uri="{FF2B5EF4-FFF2-40B4-BE49-F238E27FC236}">
                <a16:creationId xmlns:a16="http://schemas.microsoft.com/office/drawing/2014/main" id="{00000000-0008-0000-1600-000082020000}"/>
              </a:ext>
            </a:extLst>
          </xdr:cNvPr>
          <xdr:cNvSpPr/>
        </xdr:nvSpPr>
        <xdr:spPr>
          <a:xfrm>
            <a:off x="2471738" y="5346341"/>
            <a:ext cx="50006" cy="50006"/>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43" name="타원 642">
            <a:extLst>
              <a:ext uri="{FF2B5EF4-FFF2-40B4-BE49-F238E27FC236}">
                <a16:creationId xmlns:a16="http://schemas.microsoft.com/office/drawing/2014/main" id="{00000000-0008-0000-1600-000083020000}"/>
              </a:ext>
            </a:extLst>
          </xdr:cNvPr>
          <xdr:cNvSpPr/>
        </xdr:nvSpPr>
        <xdr:spPr>
          <a:xfrm>
            <a:off x="2434838" y="4626460"/>
            <a:ext cx="50006" cy="50006"/>
          </a:xfrm>
          <a:prstGeom prst="ellipse">
            <a:avLst/>
          </a:prstGeom>
          <a:solidFill>
            <a:srgbClr val="FF000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44" name="타원 643">
            <a:extLst>
              <a:ext uri="{FF2B5EF4-FFF2-40B4-BE49-F238E27FC236}">
                <a16:creationId xmlns:a16="http://schemas.microsoft.com/office/drawing/2014/main" id="{00000000-0008-0000-1600-000084020000}"/>
              </a:ext>
            </a:extLst>
          </xdr:cNvPr>
          <xdr:cNvSpPr/>
        </xdr:nvSpPr>
        <xdr:spPr>
          <a:xfrm>
            <a:off x="2527702" y="4634173"/>
            <a:ext cx="50006" cy="50006"/>
          </a:xfrm>
          <a:prstGeom prst="ellipse">
            <a:avLst/>
          </a:prstGeom>
          <a:solidFill>
            <a:srgbClr val="FFC00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45" name="타원 644">
            <a:extLst>
              <a:ext uri="{FF2B5EF4-FFF2-40B4-BE49-F238E27FC236}">
                <a16:creationId xmlns:a16="http://schemas.microsoft.com/office/drawing/2014/main" id="{00000000-0008-0000-1600-000085020000}"/>
              </a:ext>
            </a:extLst>
          </xdr:cNvPr>
          <xdr:cNvSpPr/>
        </xdr:nvSpPr>
        <xdr:spPr>
          <a:xfrm>
            <a:off x="2418557" y="4103204"/>
            <a:ext cx="50006" cy="50006"/>
          </a:xfrm>
          <a:prstGeom prst="ellipse">
            <a:avLst/>
          </a:prstGeom>
          <a:solidFill>
            <a:srgbClr val="00B05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46" name="타원 645">
            <a:extLst>
              <a:ext uri="{FF2B5EF4-FFF2-40B4-BE49-F238E27FC236}">
                <a16:creationId xmlns:a16="http://schemas.microsoft.com/office/drawing/2014/main" id="{00000000-0008-0000-1600-000086020000}"/>
              </a:ext>
            </a:extLst>
          </xdr:cNvPr>
          <xdr:cNvSpPr/>
        </xdr:nvSpPr>
        <xdr:spPr>
          <a:xfrm>
            <a:off x="2418557" y="4187299"/>
            <a:ext cx="50006" cy="50006"/>
          </a:xfrm>
          <a:prstGeom prst="ellipse">
            <a:avLst/>
          </a:prstGeom>
          <a:solidFill>
            <a:srgbClr val="00B05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47" name="타원 646">
            <a:extLst>
              <a:ext uri="{FF2B5EF4-FFF2-40B4-BE49-F238E27FC236}">
                <a16:creationId xmlns:a16="http://schemas.microsoft.com/office/drawing/2014/main" id="{00000000-0008-0000-1600-000087020000}"/>
              </a:ext>
            </a:extLst>
          </xdr:cNvPr>
          <xdr:cNvSpPr/>
        </xdr:nvSpPr>
        <xdr:spPr>
          <a:xfrm>
            <a:off x="2415382" y="4449393"/>
            <a:ext cx="50006" cy="50006"/>
          </a:xfrm>
          <a:prstGeom prst="ellipse">
            <a:avLst/>
          </a:prstGeom>
          <a:solidFill>
            <a:srgbClr val="00B05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48" name="타원 647">
            <a:extLst>
              <a:ext uri="{FF2B5EF4-FFF2-40B4-BE49-F238E27FC236}">
                <a16:creationId xmlns:a16="http://schemas.microsoft.com/office/drawing/2014/main" id="{00000000-0008-0000-1600-000088020000}"/>
              </a:ext>
            </a:extLst>
          </xdr:cNvPr>
          <xdr:cNvSpPr/>
        </xdr:nvSpPr>
        <xdr:spPr>
          <a:xfrm>
            <a:off x="2434838" y="4723539"/>
            <a:ext cx="50006" cy="50006"/>
          </a:xfrm>
          <a:prstGeom prst="ellipse">
            <a:avLst/>
          </a:prstGeom>
          <a:solidFill>
            <a:srgbClr val="00B05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clientData/>
  </xdr:twoCellAnchor>
  <xdr:twoCellAnchor>
    <xdr:from>
      <xdr:col>4</xdr:col>
      <xdr:colOff>295170</xdr:colOff>
      <xdr:row>51</xdr:row>
      <xdr:rowOff>172088</xdr:rowOff>
    </xdr:from>
    <xdr:to>
      <xdr:col>4</xdr:col>
      <xdr:colOff>366821</xdr:colOff>
      <xdr:row>53</xdr:row>
      <xdr:rowOff>130949</xdr:rowOff>
    </xdr:to>
    <xdr:grpSp>
      <xdr:nvGrpSpPr>
        <xdr:cNvPr id="649" name="그룹 648">
          <a:extLst>
            <a:ext uri="{FF2B5EF4-FFF2-40B4-BE49-F238E27FC236}">
              <a16:creationId xmlns:a16="http://schemas.microsoft.com/office/drawing/2014/main" id="{00000000-0008-0000-1600-000089020000}"/>
            </a:ext>
          </a:extLst>
        </xdr:cNvPr>
        <xdr:cNvGrpSpPr/>
      </xdr:nvGrpSpPr>
      <xdr:grpSpPr>
        <a:xfrm>
          <a:off x="3679346" y="10414264"/>
          <a:ext cx="71651" cy="384685"/>
          <a:chOff x="2415382" y="4006591"/>
          <a:chExt cx="162326" cy="1389756"/>
        </a:xfrm>
      </xdr:grpSpPr>
      <xdr:sp macro="" textlink="">
        <xdr:nvSpPr>
          <xdr:cNvPr id="650" name="타원 649">
            <a:extLst>
              <a:ext uri="{FF2B5EF4-FFF2-40B4-BE49-F238E27FC236}">
                <a16:creationId xmlns:a16="http://schemas.microsoft.com/office/drawing/2014/main" id="{00000000-0008-0000-1600-00008A020000}"/>
              </a:ext>
            </a:extLst>
          </xdr:cNvPr>
          <xdr:cNvSpPr/>
        </xdr:nvSpPr>
        <xdr:spPr>
          <a:xfrm>
            <a:off x="2415382" y="4009766"/>
            <a:ext cx="50006" cy="50006"/>
          </a:xfrm>
          <a:prstGeom prst="ellipse">
            <a:avLst/>
          </a:prstGeom>
          <a:solidFill>
            <a:srgbClr val="FF000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51" name="타원 650">
            <a:extLst>
              <a:ext uri="{FF2B5EF4-FFF2-40B4-BE49-F238E27FC236}">
                <a16:creationId xmlns:a16="http://schemas.microsoft.com/office/drawing/2014/main" id="{00000000-0008-0000-1600-00008B020000}"/>
              </a:ext>
            </a:extLst>
          </xdr:cNvPr>
          <xdr:cNvSpPr/>
        </xdr:nvSpPr>
        <xdr:spPr>
          <a:xfrm>
            <a:off x="2418557" y="4364832"/>
            <a:ext cx="50006" cy="50006"/>
          </a:xfrm>
          <a:prstGeom prst="ellipse">
            <a:avLst/>
          </a:prstGeom>
          <a:solidFill>
            <a:srgbClr val="FF000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52" name="타원 651">
            <a:extLst>
              <a:ext uri="{FF2B5EF4-FFF2-40B4-BE49-F238E27FC236}">
                <a16:creationId xmlns:a16="http://schemas.microsoft.com/office/drawing/2014/main" id="{00000000-0008-0000-1600-00008C020000}"/>
              </a:ext>
            </a:extLst>
          </xdr:cNvPr>
          <xdr:cNvSpPr/>
        </xdr:nvSpPr>
        <xdr:spPr>
          <a:xfrm>
            <a:off x="2509139" y="4364832"/>
            <a:ext cx="50006" cy="50006"/>
          </a:xfrm>
          <a:prstGeom prst="ellipse">
            <a:avLst/>
          </a:prstGeom>
          <a:solidFill>
            <a:srgbClr val="FFC00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53" name="타원 652">
            <a:extLst>
              <a:ext uri="{FF2B5EF4-FFF2-40B4-BE49-F238E27FC236}">
                <a16:creationId xmlns:a16="http://schemas.microsoft.com/office/drawing/2014/main" id="{00000000-0008-0000-1600-00008D020000}"/>
              </a:ext>
            </a:extLst>
          </xdr:cNvPr>
          <xdr:cNvSpPr/>
        </xdr:nvSpPr>
        <xdr:spPr>
          <a:xfrm>
            <a:off x="2509139" y="4006591"/>
            <a:ext cx="50006" cy="50006"/>
          </a:xfrm>
          <a:prstGeom prst="ellipse">
            <a:avLst/>
          </a:prstGeom>
          <a:solidFill>
            <a:srgbClr val="00B05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54" name="타원 653">
            <a:extLst>
              <a:ext uri="{FF2B5EF4-FFF2-40B4-BE49-F238E27FC236}">
                <a16:creationId xmlns:a16="http://schemas.microsoft.com/office/drawing/2014/main" id="{00000000-0008-0000-1600-00008E020000}"/>
              </a:ext>
            </a:extLst>
          </xdr:cNvPr>
          <xdr:cNvSpPr/>
        </xdr:nvSpPr>
        <xdr:spPr>
          <a:xfrm>
            <a:off x="2509139" y="4095491"/>
            <a:ext cx="50006" cy="50006"/>
          </a:xfrm>
          <a:prstGeom prst="ellipse">
            <a:avLst/>
          </a:prstGeom>
          <a:solidFill>
            <a:srgbClr val="00B05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55" name="타원 654">
            <a:extLst>
              <a:ext uri="{FF2B5EF4-FFF2-40B4-BE49-F238E27FC236}">
                <a16:creationId xmlns:a16="http://schemas.microsoft.com/office/drawing/2014/main" id="{00000000-0008-0000-1600-00008F020000}"/>
              </a:ext>
            </a:extLst>
          </xdr:cNvPr>
          <xdr:cNvSpPr/>
        </xdr:nvSpPr>
        <xdr:spPr>
          <a:xfrm>
            <a:off x="2471738" y="5346341"/>
            <a:ext cx="50006" cy="50006"/>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56" name="타원 655">
            <a:extLst>
              <a:ext uri="{FF2B5EF4-FFF2-40B4-BE49-F238E27FC236}">
                <a16:creationId xmlns:a16="http://schemas.microsoft.com/office/drawing/2014/main" id="{00000000-0008-0000-1600-000090020000}"/>
              </a:ext>
            </a:extLst>
          </xdr:cNvPr>
          <xdr:cNvSpPr/>
        </xdr:nvSpPr>
        <xdr:spPr>
          <a:xfrm>
            <a:off x="2434838" y="4626460"/>
            <a:ext cx="50006" cy="50006"/>
          </a:xfrm>
          <a:prstGeom prst="ellipse">
            <a:avLst/>
          </a:prstGeom>
          <a:solidFill>
            <a:srgbClr val="FF000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57" name="타원 656">
            <a:extLst>
              <a:ext uri="{FF2B5EF4-FFF2-40B4-BE49-F238E27FC236}">
                <a16:creationId xmlns:a16="http://schemas.microsoft.com/office/drawing/2014/main" id="{00000000-0008-0000-1600-000091020000}"/>
              </a:ext>
            </a:extLst>
          </xdr:cNvPr>
          <xdr:cNvSpPr/>
        </xdr:nvSpPr>
        <xdr:spPr>
          <a:xfrm>
            <a:off x="2527702" y="4634173"/>
            <a:ext cx="50006" cy="50006"/>
          </a:xfrm>
          <a:prstGeom prst="ellipse">
            <a:avLst/>
          </a:prstGeom>
          <a:solidFill>
            <a:srgbClr val="FFC00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58" name="타원 657">
            <a:extLst>
              <a:ext uri="{FF2B5EF4-FFF2-40B4-BE49-F238E27FC236}">
                <a16:creationId xmlns:a16="http://schemas.microsoft.com/office/drawing/2014/main" id="{00000000-0008-0000-1600-000092020000}"/>
              </a:ext>
            </a:extLst>
          </xdr:cNvPr>
          <xdr:cNvSpPr/>
        </xdr:nvSpPr>
        <xdr:spPr>
          <a:xfrm>
            <a:off x="2418557" y="4103204"/>
            <a:ext cx="50006" cy="50006"/>
          </a:xfrm>
          <a:prstGeom prst="ellipse">
            <a:avLst/>
          </a:prstGeom>
          <a:solidFill>
            <a:srgbClr val="00B05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59" name="타원 658">
            <a:extLst>
              <a:ext uri="{FF2B5EF4-FFF2-40B4-BE49-F238E27FC236}">
                <a16:creationId xmlns:a16="http://schemas.microsoft.com/office/drawing/2014/main" id="{00000000-0008-0000-1600-000093020000}"/>
              </a:ext>
            </a:extLst>
          </xdr:cNvPr>
          <xdr:cNvSpPr/>
        </xdr:nvSpPr>
        <xdr:spPr>
          <a:xfrm>
            <a:off x="2418557" y="4187299"/>
            <a:ext cx="50006" cy="50006"/>
          </a:xfrm>
          <a:prstGeom prst="ellipse">
            <a:avLst/>
          </a:prstGeom>
          <a:solidFill>
            <a:srgbClr val="00B05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60" name="타원 659">
            <a:extLst>
              <a:ext uri="{FF2B5EF4-FFF2-40B4-BE49-F238E27FC236}">
                <a16:creationId xmlns:a16="http://schemas.microsoft.com/office/drawing/2014/main" id="{00000000-0008-0000-1600-000094020000}"/>
              </a:ext>
            </a:extLst>
          </xdr:cNvPr>
          <xdr:cNvSpPr/>
        </xdr:nvSpPr>
        <xdr:spPr>
          <a:xfrm>
            <a:off x="2415382" y="4449393"/>
            <a:ext cx="50006" cy="50006"/>
          </a:xfrm>
          <a:prstGeom prst="ellipse">
            <a:avLst/>
          </a:prstGeom>
          <a:solidFill>
            <a:srgbClr val="00B05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61" name="타원 660">
            <a:extLst>
              <a:ext uri="{FF2B5EF4-FFF2-40B4-BE49-F238E27FC236}">
                <a16:creationId xmlns:a16="http://schemas.microsoft.com/office/drawing/2014/main" id="{00000000-0008-0000-1600-000095020000}"/>
              </a:ext>
            </a:extLst>
          </xdr:cNvPr>
          <xdr:cNvSpPr/>
        </xdr:nvSpPr>
        <xdr:spPr>
          <a:xfrm>
            <a:off x="2434838" y="4723539"/>
            <a:ext cx="50006" cy="50006"/>
          </a:xfrm>
          <a:prstGeom prst="ellipse">
            <a:avLst/>
          </a:prstGeom>
          <a:solidFill>
            <a:srgbClr val="00B05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clientData/>
  </xdr:twoCellAnchor>
  <xdr:twoCellAnchor>
    <xdr:from>
      <xdr:col>3</xdr:col>
      <xdr:colOff>91105</xdr:colOff>
      <xdr:row>47</xdr:row>
      <xdr:rowOff>9290</xdr:rowOff>
    </xdr:from>
    <xdr:to>
      <xdr:col>3</xdr:col>
      <xdr:colOff>111361</xdr:colOff>
      <xdr:row>47</xdr:row>
      <xdr:rowOff>22917</xdr:rowOff>
    </xdr:to>
    <xdr:sp macro="" textlink="">
      <xdr:nvSpPr>
        <xdr:cNvPr id="662" name="타원 1">
          <a:extLst>
            <a:ext uri="{FF2B5EF4-FFF2-40B4-BE49-F238E27FC236}">
              <a16:creationId xmlns:a16="http://schemas.microsoft.com/office/drawing/2014/main" id="{00000000-0008-0000-1600-000096020000}"/>
            </a:ext>
          </a:extLst>
        </xdr:cNvPr>
        <xdr:cNvSpPr/>
      </xdr:nvSpPr>
      <xdr:spPr>
        <a:xfrm>
          <a:off x="2377105" y="16625123"/>
          <a:ext cx="20256" cy="13627"/>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clientData/>
  </xdr:twoCellAnchor>
  <xdr:twoCellAnchor>
    <xdr:from>
      <xdr:col>3</xdr:col>
      <xdr:colOff>91104</xdr:colOff>
      <xdr:row>47</xdr:row>
      <xdr:rowOff>31918</xdr:rowOff>
    </xdr:from>
    <xdr:to>
      <xdr:col>3</xdr:col>
      <xdr:colOff>111360</xdr:colOff>
      <xdr:row>47</xdr:row>
      <xdr:rowOff>45545</xdr:rowOff>
    </xdr:to>
    <xdr:sp macro="" textlink="">
      <xdr:nvSpPr>
        <xdr:cNvPr id="663" name="타원 1">
          <a:extLst>
            <a:ext uri="{FF2B5EF4-FFF2-40B4-BE49-F238E27FC236}">
              <a16:creationId xmlns:a16="http://schemas.microsoft.com/office/drawing/2014/main" id="{00000000-0008-0000-1600-000097020000}"/>
            </a:ext>
          </a:extLst>
        </xdr:cNvPr>
        <xdr:cNvSpPr/>
      </xdr:nvSpPr>
      <xdr:spPr>
        <a:xfrm>
          <a:off x="2377104" y="16647751"/>
          <a:ext cx="20256" cy="13627"/>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clientData/>
  </xdr:twoCellAnchor>
  <xdr:twoCellAnchor>
    <xdr:from>
      <xdr:col>3</xdr:col>
      <xdr:colOff>91612</xdr:colOff>
      <xdr:row>47</xdr:row>
      <xdr:rowOff>55634</xdr:rowOff>
    </xdr:from>
    <xdr:to>
      <xdr:col>3</xdr:col>
      <xdr:colOff>111868</xdr:colOff>
      <xdr:row>47</xdr:row>
      <xdr:rowOff>69261</xdr:rowOff>
    </xdr:to>
    <xdr:sp macro="" textlink="">
      <xdr:nvSpPr>
        <xdr:cNvPr id="664" name="타원 1">
          <a:extLst>
            <a:ext uri="{FF2B5EF4-FFF2-40B4-BE49-F238E27FC236}">
              <a16:creationId xmlns:a16="http://schemas.microsoft.com/office/drawing/2014/main" id="{00000000-0008-0000-1600-000098020000}"/>
            </a:ext>
          </a:extLst>
        </xdr:cNvPr>
        <xdr:cNvSpPr/>
      </xdr:nvSpPr>
      <xdr:spPr>
        <a:xfrm>
          <a:off x="2377612" y="16671467"/>
          <a:ext cx="20256" cy="13627"/>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clientData/>
  </xdr:twoCellAnchor>
  <xdr:twoCellAnchor>
    <xdr:from>
      <xdr:col>3</xdr:col>
      <xdr:colOff>93128</xdr:colOff>
      <xdr:row>47</xdr:row>
      <xdr:rowOff>81342</xdr:rowOff>
    </xdr:from>
    <xdr:to>
      <xdr:col>3</xdr:col>
      <xdr:colOff>113384</xdr:colOff>
      <xdr:row>47</xdr:row>
      <xdr:rowOff>94969</xdr:rowOff>
    </xdr:to>
    <xdr:sp macro="" textlink="">
      <xdr:nvSpPr>
        <xdr:cNvPr id="665" name="타원 1">
          <a:extLst>
            <a:ext uri="{FF2B5EF4-FFF2-40B4-BE49-F238E27FC236}">
              <a16:creationId xmlns:a16="http://schemas.microsoft.com/office/drawing/2014/main" id="{00000000-0008-0000-1600-000099020000}"/>
            </a:ext>
          </a:extLst>
        </xdr:cNvPr>
        <xdr:cNvSpPr/>
      </xdr:nvSpPr>
      <xdr:spPr>
        <a:xfrm>
          <a:off x="2379128" y="16697175"/>
          <a:ext cx="20256" cy="13627"/>
        </a:xfrm>
        <a:prstGeom prst="rect">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clientData/>
  </xdr:twoCellAnchor>
  <xdr:twoCellAnchor>
    <xdr:from>
      <xdr:col>3</xdr:col>
      <xdr:colOff>91805</xdr:colOff>
      <xdr:row>47</xdr:row>
      <xdr:rowOff>104079</xdr:rowOff>
    </xdr:from>
    <xdr:to>
      <xdr:col>3</xdr:col>
      <xdr:colOff>112061</xdr:colOff>
      <xdr:row>47</xdr:row>
      <xdr:rowOff>113995</xdr:rowOff>
    </xdr:to>
    <xdr:sp macro="" textlink="">
      <xdr:nvSpPr>
        <xdr:cNvPr id="666" name="타원 1">
          <a:extLst>
            <a:ext uri="{FF2B5EF4-FFF2-40B4-BE49-F238E27FC236}">
              <a16:creationId xmlns:a16="http://schemas.microsoft.com/office/drawing/2014/main" id="{00000000-0008-0000-1600-00009A020000}"/>
            </a:ext>
          </a:extLst>
        </xdr:cNvPr>
        <xdr:cNvSpPr/>
      </xdr:nvSpPr>
      <xdr:spPr>
        <a:xfrm>
          <a:off x="2377805" y="16719912"/>
          <a:ext cx="20256" cy="9916"/>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clientData/>
  </xdr:twoCellAnchor>
  <xdr:twoCellAnchor>
    <xdr:from>
      <xdr:col>3</xdr:col>
      <xdr:colOff>614602</xdr:colOff>
      <xdr:row>49</xdr:row>
      <xdr:rowOff>75202</xdr:rowOff>
    </xdr:from>
    <xdr:to>
      <xdr:col>3</xdr:col>
      <xdr:colOff>765693</xdr:colOff>
      <xdr:row>50</xdr:row>
      <xdr:rowOff>81729</xdr:rowOff>
    </xdr:to>
    <xdr:grpSp>
      <xdr:nvGrpSpPr>
        <xdr:cNvPr id="667" name="그룹 666">
          <a:extLst>
            <a:ext uri="{FF2B5EF4-FFF2-40B4-BE49-F238E27FC236}">
              <a16:creationId xmlns:a16="http://schemas.microsoft.com/office/drawing/2014/main" id="{00000000-0008-0000-1600-00009B020000}"/>
            </a:ext>
          </a:extLst>
        </xdr:cNvPr>
        <xdr:cNvGrpSpPr/>
      </xdr:nvGrpSpPr>
      <xdr:grpSpPr>
        <a:xfrm>
          <a:off x="2889396" y="9891555"/>
          <a:ext cx="151091" cy="219439"/>
          <a:chOff x="3989884" y="4496806"/>
          <a:chExt cx="172673" cy="380393"/>
        </a:xfrm>
      </xdr:grpSpPr>
      <xdr:sp macro="" textlink="">
        <xdr:nvSpPr>
          <xdr:cNvPr id="668" name="직사각형 667">
            <a:extLst>
              <a:ext uri="{FF2B5EF4-FFF2-40B4-BE49-F238E27FC236}">
                <a16:creationId xmlns:a16="http://schemas.microsoft.com/office/drawing/2014/main" id="{00000000-0008-0000-1600-00009C020000}"/>
              </a:ext>
            </a:extLst>
          </xdr:cNvPr>
          <xdr:cNvSpPr/>
        </xdr:nvSpPr>
        <xdr:spPr>
          <a:xfrm>
            <a:off x="3989884" y="4496806"/>
            <a:ext cx="172673" cy="380393"/>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69" name="직사각형 668">
            <a:extLst>
              <a:ext uri="{FF2B5EF4-FFF2-40B4-BE49-F238E27FC236}">
                <a16:creationId xmlns:a16="http://schemas.microsoft.com/office/drawing/2014/main" id="{00000000-0008-0000-1600-00009D020000}"/>
              </a:ext>
            </a:extLst>
          </xdr:cNvPr>
          <xdr:cNvSpPr/>
        </xdr:nvSpPr>
        <xdr:spPr>
          <a:xfrm>
            <a:off x="4021577" y="4687003"/>
            <a:ext cx="109287" cy="149174"/>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70" name="직사각형 669">
            <a:extLst>
              <a:ext uri="{FF2B5EF4-FFF2-40B4-BE49-F238E27FC236}">
                <a16:creationId xmlns:a16="http://schemas.microsoft.com/office/drawing/2014/main" id="{00000000-0008-0000-1600-00009E020000}"/>
              </a:ext>
            </a:extLst>
          </xdr:cNvPr>
          <xdr:cNvSpPr/>
        </xdr:nvSpPr>
        <xdr:spPr>
          <a:xfrm>
            <a:off x="4026827" y="4687003"/>
            <a:ext cx="98786" cy="52211"/>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clientData/>
  </xdr:twoCellAnchor>
  <xdr:twoCellAnchor>
    <xdr:from>
      <xdr:col>3</xdr:col>
      <xdr:colOff>983008</xdr:colOff>
      <xdr:row>49</xdr:row>
      <xdr:rowOff>75202</xdr:rowOff>
    </xdr:from>
    <xdr:to>
      <xdr:col>4</xdr:col>
      <xdr:colOff>22849</xdr:colOff>
      <xdr:row>50</xdr:row>
      <xdr:rowOff>81729</xdr:rowOff>
    </xdr:to>
    <xdr:sp macro="" textlink="">
      <xdr:nvSpPr>
        <xdr:cNvPr id="671" name="직사각형 670">
          <a:extLst>
            <a:ext uri="{FF2B5EF4-FFF2-40B4-BE49-F238E27FC236}">
              <a16:creationId xmlns:a16="http://schemas.microsoft.com/office/drawing/2014/main" id="{00000000-0008-0000-1600-00009F020000}"/>
            </a:ext>
          </a:extLst>
        </xdr:cNvPr>
        <xdr:cNvSpPr/>
      </xdr:nvSpPr>
      <xdr:spPr>
        <a:xfrm>
          <a:off x="3269008" y="17114369"/>
          <a:ext cx="151091" cy="218193"/>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clientData/>
  </xdr:twoCellAnchor>
  <xdr:twoCellAnchor>
    <xdr:from>
      <xdr:col>3</xdr:col>
      <xdr:colOff>1015789</xdr:colOff>
      <xdr:row>49</xdr:row>
      <xdr:rowOff>186153</xdr:rowOff>
    </xdr:from>
    <xdr:to>
      <xdr:col>3</xdr:col>
      <xdr:colOff>1107502</xdr:colOff>
      <xdr:row>50</xdr:row>
      <xdr:rowOff>57798</xdr:rowOff>
    </xdr:to>
    <xdr:sp macro="" textlink="">
      <xdr:nvSpPr>
        <xdr:cNvPr id="672" name="직사각형 671">
          <a:extLst>
            <a:ext uri="{FF2B5EF4-FFF2-40B4-BE49-F238E27FC236}">
              <a16:creationId xmlns:a16="http://schemas.microsoft.com/office/drawing/2014/main" id="{00000000-0008-0000-1600-0000A0020000}"/>
            </a:ext>
          </a:extLst>
        </xdr:cNvPr>
        <xdr:cNvSpPr/>
      </xdr:nvSpPr>
      <xdr:spPr>
        <a:xfrm>
          <a:off x="3301789" y="17225320"/>
          <a:ext cx="91713" cy="83311"/>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clientData/>
  </xdr:twoCellAnchor>
  <xdr:twoCellAnchor>
    <xdr:from>
      <xdr:col>3</xdr:col>
      <xdr:colOff>1020195</xdr:colOff>
      <xdr:row>49</xdr:row>
      <xdr:rowOff>186153</xdr:rowOff>
    </xdr:from>
    <xdr:to>
      <xdr:col>3</xdr:col>
      <xdr:colOff>1103096</xdr:colOff>
      <xdr:row>50</xdr:row>
      <xdr:rowOff>1234</xdr:rowOff>
    </xdr:to>
    <xdr:sp macro="" textlink="">
      <xdr:nvSpPr>
        <xdr:cNvPr id="673" name="직사각형 672">
          <a:extLst>
            <a:ext uri="{FF2B5EF4-FFF2-40B4-BE49-F238E27FC236}">
              <a16:creationId xmlns:a16="http://schemas.microsoft.com/office/drawing/2014/main" id="{00000000-0008-0000-1600-0000A1020000}"/>
            </a:ext>
          </a:extLst>
        </xdr:cNvPr>
        <xdr:cNvSpPr/>
      </xdr:nvSpPr>
      <xdr:spPr>
        <a:xfrm>
          <a:off x="3306195" y="17225320"/>
          <a:ext cx="82901" cy="26747"/>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clientData/>
  </xdr:twoCellAnchor>
  <xdr:twoCellAnchor>
    <xdr:from>
      <xdr:col>4</xdr:col>
      <xdr:colOff>268558</xdr:colOff>
      <xdr:row>49</xdr:row>
      <xdr:rowOff>186153</xdr:rowOff>
    </xdr:from>
    <xdr:to>
      <xdr:col>4</xdr:col>
      <xdr:colOff>366456</xdr:colOff>
      <xdr:row>50</xdr:row>
      <xdr:rowOff>57798</xdr:rowOff>
    </xdr:to>
    <xdr:sp macro="" textlink="">
      <xdr:nvSpPr>
        <xdr:cNvPr id="675" name="직사각형 674">
          <a:extLst>
            <a:ext uri="{FF2B5EF4-FFF2-40B4-BE49-F238E27FC236}">
              <a16:creationId xmlns:a16="http://schemas.microsoft.com/office/drawing/2014/main" id="{00000000-0008-0000-1600-0000A3020000}"/>
            </a:ext>
          </a:extLst>
        </xdr:cNvPr>
        <xdr:cNvSpPr/>
      </xdr:nvSpPr>
      <xdr:spPr>
        <a:xfrm>
          <a:off x="3665808" y="17225320"/>
          <a:ext cx="97898" cy="83311"/>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clientData/>
  </xdr:twoCellAnchor>
  <xdr:twoCellAnchor>
    <xdr:from>
      <xdr:col>4</xdr:col>
      <xdr:colOff>272964</xdr:colOff>
      <xdr:row>49</xdr:row>
      <xdr:rowOff>186153</xdr:rowOff>
    </xdr:from>
    <xdr:to>
      <xdr:col>4</xdr:col>
      <xdr:colOff>362050</xdr:colOff>
      <xdr:row>50</xdr:row>
      <xdr:rowOff>1234</xdr:rowOff>
    </xdr:to>
    <xdr:sp macro="" textlink="">
      <xdr:nvSpPr>
        <xdr:cNvPr id="676" name="직사각형 675">
          <a:extLst>
            <a:ext uri="{FF2B5EF4-FFF2-40B4-BE49-F238E27FC236}">
              <a16:creationId xmlns:a16="http://schemas.microsoft.com/office/drawing/2014/main" id="{00000000-0008-0000-1600-0000A4020000}"/>
            </a:ext>
          </a:extLst>
        </xdr:cNvPr>
        <xdr:cNvSpPr/>
      </xdr:nvSpPr>
      <xdr:spPr>
        <a:xfrm>
          <a:off x="3670214" y="17225320"/>
          <a:ext cx="89086" cy="26747"/>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clientData/>
  </xdr:twoCellAnchor>
  <xdr:twoCellAnchor>
    <xdr:from>
      <xdr:col>3</xdr:col>
      <xdr:colOff>614602</xdr:colOff>
      <xdr:row>54</xdr:row>
      <xdr:rowOff>97185</xdr:rowOff>
    </xdr:from>
    <xdr:to>
      <xdr:col>3</xdr:col>
      <xdr:colOff>765693</xdr:colOff>
      <xdr:row>55</xdr:row>
      <xdr:rowOff>103710</xdr:rowOff>
    </xdr:to>
    <xdr:grpSp>
      <xdr:nvGrpSpPr>
        <xdr:cNvPr id="677" name="그룹 676">
          <a:extLst>
            <a:ext uri="{FF2B5EF4-FFF2-40B4-BE49-F238E27FC236}">
              <a16:creationId xmlns:a16="http://schemas.microsoft.com/office/drawing/2014/main" id="{00000000-0008-0000-1600-0000A5020000}"/>
            </a:ext>
          </a:extLst>
        </xdr:cNvPr>
        <xdr:cNvGrpSpPr/>
      </xdr:nvGrpSpPr>
      <xdr:grpSpPr>
        <a:xfrm>
          <a:off x="2889396" y="10978097"/>
          <a:ext cx="151091" cy="219437"/>
          <a:chOff x="3989884" y="4496806"/>
          <a:chExt cx="172673" cy="380393"/>
        </a:xfrm>
      </xdr:grpSpPr>
      <xdr:sp macro="" textlink="">
        <xdr:nvSpPr>
          <xdr:cNvPr id="678" name="직사각형 677">
            <a:extLst>
              <a:ext uri="{FF2B5EF4-FFF2-40B4-BE49-F238E27FC236}">
                <a16:creationId xmlns:a16="http://schemas.microsoft.com/office/drawing/2014/main" id="{00000000-0008-0000-1600-0000A6020000}"/>
              </a:ext>
            </a:extLst>
          </xdr:cNvPr>
          <xdr:cNvSpPr/>
        </xdr:nvSpPr>
        <xdr:spPr>
          <a:xfrm>
            <a:off x="3989884" y="4496806"/>
            <a:ext cx="172673" cy="380393"/>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79" name="직사각형 678">
            <a:extLst>
              <a:ext uri="{FF2B5EF4-FFF2-40B4-BE49-F238E27FC236}">
                <a16:creationId xmlns:a16="http://schemas.microsoft.com/office/drawing/2014/main" id="{00000000-0008-0000-1600-0000A7020000}"/>
              </a:ext>
            </a:extLst>
          </xdr:cNvPr>
          <xdr:cNvSpPr/>
        </xdr:nvSpPr>
        <xdr:spPr>
          <a:xfrm>
            <a:off x="4021577" y="4687003"/>
            <a:ext cx="109287" cy="149174"/>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80" name="직사각형 679">
            <a:extLst>
              <a:ext uri="{FF2B5EF4-FFF2-40B4-BE49-F238E27FC236}">
                <a16:creationId xmlns:a16="http://schemas.microsoft.com/office/drawing/2014/main" id="{00000000-0008-0000-1600-0000A8020000}"/>
              </a:ext>
            </a:extLst>
          </xdr:cNvPr>
          <xdr:cNvSpPr/>
        </xdr:nvSpPr>
        <xdr:spPr>
          <a:xfrm>
            <a:off x="4026827" y="4687003"/>
            <a:ext cx="98786" cy="52211"/>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clientData/>
  </xdr:twoCellAnchor>
  <xdr:twoCellAnchor>
    <xdr:from>
      <xdr:col>3</xdr:col>
      <xdr:colOff>1011964</xdr:colOff>
      <xdr:row>54</xdr:row>
      <xdr:rowOff>100630</xdr:rowOff>
    </xdr:from>
    <xdr:to>
      <xdr:col>4</xdr:col>
      <xdr:colOff>51806</xdr:colOff>
      <xdr:row>55</xdr:row>
      <xdr:rowOff>107155</xdr:rowOff>
    </xdr:to>
    <xdr:grpSp>
      <xdr:nvGrpSpPr>
        <xdr:cNvPr id="681" name="그룹 680">
          <a:extLst>
            <a:ext uri="{FF2B5EF4-FFF2-40B4-BE49-F238E27FC236}">
              <a16:creationId xmlns:a16="http://schemas.microsoft.com/office/drawing/2014/main" id="{00000000-0008-0000-1600-0000A9020000}"/>
            </a:ext>
          </a:extLst>
        </xdr:cNvPr>
        <xdr:cNvGrpSpPr/>
      </xdr:nvGrpSpPr>
      <xdr:grpSpPr>
        <a:xfrm>
          <a:off x="3286758" y="10981542"/>
          <a:ext cx="149224" cy="219437"/>
          <a:chOff x="3989884" y="4496806"/>
          <a:chExt cx="172673" cy="380393"/>
        </a:xfrm>
      </xdr:grpSpPr>
      <xdr:sp macro="" textlink="">
        <xdr:nvSpPr>
          <xdr:cNvPr id="682" name="직사각형 681">
            <a:extLst>
              <a:ext uri="{FF2B5EF4-FFF2-40B4-BE49-F238E27FC236}">
                <a16:creationId xmlns:a16="http://schemas.microsoft.com/office/drawing/2014/main" id="{00000000-0008-0000-1600-0000AA020000}"/>
              </a:ext>
            </a:extLst>
          </xdr:cNvPr>
          <xdr:cNvSpPr/>
        </xdr:nvSpPr>
        <xdr:spPr>
          <a:xfrm>
            <a:off x="3989884" y="4496806"/>
            <a:ext cx="172673" cy="380393"/>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83" name="직사각형 682">
            <a:extLst>
              <a:ext uri="{FF2B5EF4-FFF2-40B4-BE49-F238E27FC236}">
                <a16:creationId xmlns:a16="http://schemas.microsoft.com/office/drawing/2014/main" id="{00000000-0008-0000-1600-0000AB020000}"/>
              </a:ext>
            </a:extLst>
          </xdr:cNvPr>
          <xdr:cNvSpPr/>
        </xdr:nvSpPr>
        <xdr:spPr>
          <a:xfrm>
            <a:off x="4021577" y="4687003"/>
            <a:ext cx="109287" cy="149174"/>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84" name="직사각형 683">
            <a:extLst>
              <a:ext uri="{FF2B5EF4-FFF2-40B4-BE49-F238E27FC236}">
                <a16:creationId xmlns:a16="http://schemas.microsoft.com/office/drawing/2014/main" id="{00000000-0008-0000-1600-0000AC020000}"/>
              </a:ext>
            </a:extLst>
          </xdr:cNvPr>
          <xdr:cNvSpPr/>
        </xdr:nvSpPr>
        <xdr:spPr>
          <a:xfrm>
            <a:off x="4026827" y="4687003"/>
            <a:ext cx="98786" cy="52211"/>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clientData/>
  </xdr:twoCellAnchor>
  <xdr:twoCellAnchor>
    <xdr:from>
      <xdr:col>4</xdr:col>
      <xdr:colOff>269559</xdr:colOff>
      <xdr:row>54</xdr:row>
      <xdr:rowOff>97184</xdr:rowOff>
    </xdr:from>
    <xdr:to>
      <xdr:col>4</xdr:col>
      <xdr:colOff>420650</xdr:colOff>
      <xdr:row>55</xdr:row>
      <xdr:rowOff>103709</xdr:rowOff>
    </xdr:to>
    <xdr:grpSp>
      <xdr:nvGrpSpPr>
        <xdr:cNvPr id="685" name="그룹 684">
          <a:extLst>
            <a:ext uri="{FF2B5EF4-FFF2-40B4-BE49-F238E27FC236}">
              <a16:creationId xmlns:a16="http://schemas.microsoft.com/office/drawing/2014/main" id="{00000000-0008-0000-1600-0000AD020000}"/>
            </a:ext>
          </a:extLst>
        </xdr:cNvPr>
        <xdr:cNvGrpSpPr/>
      </xdr:nvGrpSpPr>
      <xdr:grpSpPr>
        <a:xfrm>
          <a:off x="3653735" y="10978096"/>
          <a:ext cx="151091" cy="219437"/>
          <a:chOff x="3989884" y="4496806"/>
          <a:chExt cx="172673" cy="380393"/>
        </a:xfrm>
      </xdr:grpSpPr>
      <xdr:sp macro="" textlink="">
        <xdr:nvSpPr>
          <xdr:cNvPr id="686" name="직사각형 685">
            <a:extLst>
              <a:ext uri="{FF2B5EF4-FFF2-40B4-BE49-F238E27FC236}">
                <a16:creationId xmlns:a16="http://schemas.microsoft.com/office/drawing/2014/main" id="{00000000-0008-0000-1600-0000AE020000}"/>
              </a:ext>
            </a:extLst>
          </xdr:cNvPr>
          <xdr:cNvSpPr/>
        </xdr:nvSpPr>
        <xdr:spPr>
          <a:xfrm>
            <a:off x="3989884" y="4496806"/>
            <a:ext cx="172673" cy="380393"/>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87" name="직사각형 686">
            <a:extLst>
              <a:ext uri="{FF2B5EF4-FFF2-40B4-BE49-F238E27FC236}">
                <a16:creationId xmlns:a16="http://schemas.microsoft.com/office/drawing/2014/main" id="{00000000-0008-0000-1600-0000AF020000}"/>
              </a:ext>
            </a:extLst>
          </xdr:cNvPr>
          <xdr:cNvSpPr/>
        </xdr:nvSpPr>
        <xdr:spPr>
          <a:xfrm>
            <a:off x="4021577" y="4687003"/>
            <a:ext cx="109287" cy="149174"/>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88" name="직사각형 687">
            <a:extLst>
              <a:ext uri="{FF2B5EF4-FFF2-40B4-BE49-F238E27FC236}">
                <a16:creationId xmlns:a16="http://schemas.microsoft.com/office/drawing/2014/main" id="{00000000-0008-0000-1600-0000B0020000}"/>
              </a:ext>
            </a:extLst>
          </xdr:cNvPr>
          <xdr:cNvSpPr/>
        </xdr:nvSpPr>
        <xdr:spPr>
          <a:xfrm>
            <a:off x="4026827" y="4687003"/>
            <a:ext cx="98786" cy="52211"/>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clientData/>
  </xdr:twoCellAnchor>
  <xdr:twoCellAnchor>
    <xdr:from>
      <xdr:col>2</xdr:col>
      <xdr:colOff>283571</xdr:colOff>
      <xdr:row>44</xdr:row>
      <xdr:rowOff>138986</xdr:rowOff>
    </xdr:from>
    <xdr:to>
      <xdr:col>4</xdr:col>
      <xdr:colOff>790626</xdr:colOff>
      <xdr:row>45</xdr:row>
      <xdr:rowOff>142215</xdr:rowOff>
    </xdr:to>
    <xdr:sp macro="" textlink="">
      <xdr:nvSpPr>
        <xdr:cNvPr id="689" name="모서리가 둥근 직사각형 39">
          <a:extLst>
            <a:ext uri="{FF2B5EF4-FFF2-40B4-BE49-F238E27FC236}">
              <a16:creationId xmlns:a16="http://schemas.microsoft.com/office/drawing/2014/main" id="{00000000-0008-0000-1600-0000B1020000}"/>
            </a:ext>
          </a:extLst>
        </xdr:cNvPr>
        <xdr:cNvSpPr/>
      </xdr:nvSpPr>
      <xdr:spPr>
        <a:xfrm>
          <a:off x="643404" y="16119819"/>
          <a:ext cx="3544472" cy="214896"/>
        </a:xfrm>
        <a:prstGeom prst="roundRect">
          <a:avLst>
            <a:gd name="adj" fmla="val 8835"/>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clientData/>
  </xdr:twoCellAnchor>
  <xdr:twoCellAnchor>
    <xdr:from>
      <xdr:col>2</xdr:col>
      <xdr:colOff>283571</xdr:colOff>
      <xdr:row>45</xdr:row>
      <xdr:rowOff>155270</xdr:rowOff>
    </xdr:from>
    <xdr:to>
      <xdr:col>4</xdr:col>
      <xdr:colOff>790626</xdr:colOff>
      <xdr:row>55</xdr:row>
      <xdr:rowOff>141817</xdr:rowOff>
    </xdr:to>
    <xdr:sp macro="" textlink="">
      <xdr:nvSpPr>
        <xdr:cNvPr id="690" name="모서리가 둥근 직사각형 40">
          <a:extLst>
            <a:ext uri="{FF2B5EF4-FFF2-40B4-BE49-F238E27FC236}">
              <a16:creationId xmlns:a16="http://schemas.microsoft.com/office/drawing/2014/main" id="{00000000-0008-0000-1600-0000B2020000}"/>
            </a:ext>
          </a:extLst>
        </xdr:cNvPr>
        <xdr:cNvSpPr/>
      </xdr:nvSpPr>
      <xdr:spPr>
        <a:xfrm>
          <a:off x="643404" y="16347770"/>
          <a:ext cx="3544472" cy="2103214"/>
        </a:xfrm>
        <a:prstGeom prst="roundRect">
          <a:avLst>
            <a:gd name="adj" fmla="val 1191"/>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clientData/>
  </xdr:twoCellAnchor>
  <xdr:twoCellAnchor>
    <xdr:from>
      <xdr:col>3</xdr:col>
      <xdr:colOff>580233</xdr:colOff>
      <xdr:row>45</xdr:row>
      <xdr:rowOff>189148</xdr:rowOff>
    </xdr:from>
    <xdr:to>
      <xdr:col>3</xdr:col>
      <xdr:colOff>950657</xdr:colOff>
      <xdr:row>50</xdr:row>
      <xdr:rowOff>105282</xdr:rowOff>
    </xdr:to>
    <xdr:grpSp>
      <xdr:nvGrpSpPr>
        <xdr:cNvPr id="691" name="그룹 690">
          <a:extLst>
            <a:ext uri="{FF2B5EF4-FFF2-40B4-BE49-F238E27FC236}">
              <a16:creationId xmlns:a16="http://schemas.microsoft.com/office/drawing/2014/main" id="{00000000-0008-0000-1600-0000B3020000}"/>
            </a:ext>
          </a:extLst>
        </xdr:cNvPr>
        <xdr:cNvGrpSpPr/>
      </xdr:nvGrpSpPr>
      <xdr:grpSpPr>
        <a:xfrm>
          <a:off x="2855027" y="9153854"/>
          <a:ext cx="370424" cy="980693"/>
          <a:chOff x="3262313" y="3209926"/>
          <a:chExt cx="914400" cy="3609974"/>
        </a:xfrm>
      </xdr:grpSpPr>
      <xdr:grpSp>
        <xdr:nvGrpSpPr>
          <xdr:cNvPr id="692" name="그룹 691">
            <a:extLst>
              <a:ext uri="{FF2B5EF4-FFF2-40B4-BE49-F238E27FC236}">
                <a16:creationId xmlns:a16="http://schemas.microsoft.com/office/drawing/2014/main" id="{00000000-0008-0000-1600-0000B4020000}"/>
              </a:ext>
            </a:extLst>
          </xdr:cNvPr>
          <xdr:cNvGrpSpPr/>
        </xdr:nvGrpSpPr>
        <xdr:grpSpPr>
          <a:xfrm>
            <a:off x="3262313" y="3209926"/>
            <a:ext cx="914400" cy="3609974"/>
            <a:chOff x="2228850" y="3190876"/>
            <a:chExt cx="914400" cy="3609974"/>
          </a:xfrm>
        </xdr:grpSpPr>
        <xdr:pic>
          <xdr:nvPicPr>
            <xdr:cNvPr id="697" name="그림 696">
              <a:extLst>
                <a:ext uri="{FF2B5EF4-FFF2-40B4-BE49-F238E27FC236}">
                  <a16:creationId xmlns:a16="http://schemas.microsoft.com/office/drawing/2014/main" id="{00000000-0008-0000-1600-0000B9020000}"/>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4872" t="1762" r="2934" b="2889"/>
            <a:stretch/>
          </xdr:blipFill>
          <xdr:spPr>
            <a:xfrm>
              <a:off x="2228850" y="3190876"/>
              <a:ext cx="914400" cy="3609974"/>
            </a:xfrm>
            <a:prstGeom prst="rect">
              <a:avLst/>
            </a:prstGeom>
          </xdr:spPr>
        </xdr:pic>
        <xdr:sp macro="" textlink="">
          <xdr:nvSpPr>
            <xdr:cNvPr id="698" name="타원 697">
              <a:extLst>
                <a:ext uri="{FF2B5EF4-FFF2-40B4-BE49-F238E27FC236}">
                  <a16:creationId xmlns:a16="http://schemas.microsoft.com/office/drawing/2014/main" id="{00000000-0008-0000-1600-0000BA020000}"/>
                </a:ext>
              </a:extLst>
            </xdr:cNvPr>
            <xdr:cNvSpPr/>
          </xdr:nvSpPr>
          <xdr:spPr>
            <a:xfrm>
              <a:off x="2415382" y="4009766"/>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99" name="타원 698">
              <a:extLst>
                <a:ext uri="{FF2B5EF4-FFF2-40B4-BE49-F238E27FC236}">
                  <a16:creationId xmlns:a16="http://schemas.microsoft.com/office/drawing/2014/main" id="{00000000-0008-0000-1600-0000BB020000}"/>
                </a:ext>
              </a:extLst>
            </xdr:cNvPr>
            <xdr:cNvSpPr/>
          </xdr:nvSpPr>
          <xdr:spPr>
            <a:xfrm>
              <a:off x="2418557" y="4364832"/>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700" name="타원 699">
              <a:extLst>
                <a:ext uri="{FF2B5EF4-FFF2-40B4-BE49-F238E27FC236}">
                  <a16:creationId xmlns:a16="http://schemas.microsoft.com/office/drawing/2014/main" id="{00000000-0008-0000-1600-0000BC020000}"/>
                </a:ext>
              </a:extLst>
            </xdr:cNvPr>
            <xdr:cNvSpPr/>
          </xdr:nvSpPr>
          <xdr:spPr>
            <a:xfrm>
              <a:off x="2509139" y="4364832"/>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701" name="타원 700">
              <a:extLst>
                <a:ext uri="{FF2B5EF4-FFF2-40B4-BE49-F238E27FC236}">
                  <a16:creationId xmlns:a16="http://schemas.microsoft.com/office/drawing/2014/main" id="{00000000-0008-0000-1600-0000BD020000}"/>
                </a:ext>
              </a:extLst>
            </xdr:cNvPr>
            <xdr:cNvSpPr/>
          </xdr:nvSpPr>
          <xdr:spPr>
            <a:xfrm>
              <a:off x="2509139" y="40065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702" name="타원 701">
              <a:extLst>
                <a:ext uri="{FF2B5EF4-FFF2-40B4-BE49-F238E27FC236}">
                  <a16:creationId xmlns:a16="http://schemas.microsoft.com/office/drawing/2014/main" id="{00000000-0008-0000-1600-0000BE020000}"/>
                </a:ext>
              </a:extLst>
            </xdr:cNvPr>
            <xdr:cNvSpPr/>
          </xdr:nvSpPr>
          <xdr:spPr>
            <a:xfrm>
              <a:off x="2509139" y="40954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703" name="타원 702">
              <a:extLst>
                <a:ext uri="{FF2B5EF4-FFF2-40B4-BE49-F238E27FC236}">
                  <a16:creationId xmlns:a16="http://schemas.microsoft.com/office/drawing/2014/main" id="{00000000-0008-0000-1600-0000BF020000}"/>
                </a:ext>
              </a:extLst>
            </xdr:cNvPr>
            <xdr:cNvSpPr/>
          </xdr:nvSpPr>
          <xdr:spPr>
            <a:xfrm>
              <a:off x="2471738" y="5346341"/>
              <a:ext cx="50006" cy="50006"/>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704" name="타원 703">
              <a:extLst>
                <a:ext uri="{FF2B5EF4-FFF2-40B4-BE49-F238E27FC236}">
                  <a16:creationId xmlns:a16="http://schemas.microsoft.com/office/drawing/2014/main" id="{00000000-0008-0000-1600-0000C0020000}"/>
                </a:ext>
              </a:extLst>
            </xdr:cNvPr>
            <xdr:cNvSpPr/>
          </xdr:nvSpPr>
          <xdr:spPr>
            <a:xfrm>
              <a:off x="2434838" y="4626460"/>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705" name="타원 704">
              <a:extLst>
                <a:ext uri="{FF2B5EF4-FFF2-40B4-BE49-F238E27FC236}">
                  <a16:creationId xmlns:a16="http://schemas.microsoft.com/office/drawing/2014/main" id="{00000000-0008-0000-1600-0000C1020000}"/>
                </a:ext>
              </a:extLst>
            </xdr:cNvPr>
            <xdr:cNvSpPr/>
          </xdr:nvSpPr>
          <xdr:spPr>
            <a:xfrm>
              <a:off x="2527702" y="4634173"/>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706" name="타원 705">
              <a:extLst>
                <a:ext uri="{FF2B5EF4-FFF2-40B4-BE49-F238E27FC236}">
                  <a16:creationId xmlns:a16="http://schemas.microsoft.com/office/drawing/2014/main" id="{00000000-0008-0000-1600-0000C2020000}"/>
                </a:ext>
              </a:extLst>
            </xdr:cNvPr>
            <xdr:cNvSpPr/>
          </xdr:nvSpPr>
          <xdr:spPr>
            <a:xfrm>
              <a:off x="2418557" y="4103204"/>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707" name="타원 706">
              <a:extLst>
                <a:ext uri="{FF2B5EF4-FFF2-40B4-BE49-F238E27FC236}">
                  <a16:creationId xmlns:a16="http://schemas.microsoft.com/office/drawing/2014/main" id="{00000000-0008-0000-1600-0000C3020000}"/>
                </a:ext>
              </a:extLst>
            </xdr:cNvPr>
            <xdr:cNvSpPr/>
          </xdr:nvSpPr>
          <xdr:spPr>
            <a:xfrm>
              <a:off x="2418557" y="418729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708" name="타원 707">
              <a:extLst>
                <a:ext uri="{FF2B5EF4-FFF2-40B4-BE49-F238E27FC236}">
                  <a16:creationId xmlns:a16="http://schemas.microsoft.com/office/drawing/2014/main" id="{00000000-0008-0000-1600-0000C4020000}"/>
                </a:ext>
              </a:extLst>
            </xdr:cNvPr>
            <xdr:cNvSpPr/>
          </xdr:nvSpPr>
          <xdr:spPr>
            <a:xfrm>
              <a:off x="2415382" y="4449393"/>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709" name="타원 708">
              <a:extLst>
                <a:ext uri="{FF2B5EF4-FFF2-40B4-BE49-F238E27FC236}">
                  <a16:creationId xmlns:a16="http://schemas.microsoft.com/office/drawing/2014/main" id="{00000000-0008-0000-1600-0000C5020000}"/>
                </a:ext>
              </a:extLst>
            </xdr:cNvPr>
            <xdr:cNvSpPr/>
          </xdr:nvSpPr>
          <xdr:spPr>
            <a:xfrm>
              <a:off x="2434838" y="472353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693" name="그룹 692">
            <a:extLst>
              <a:ext uri="{FF2B5EF4-FFF2-40B4-BE49-F238E27FC236}">
                <a16:creationId xmlns:a16="http://schemas.microsoft.com/office/drawing/2014/main" id="{00000000-0008-0000-1600-0000B5020000}"/>
              </a:ext>
            </a:extLst>
          </xdr:cNvPr>
          <xdr:cNvGrpSpPr/>
        </xdr:nvGrpSpPr>
        <xdr:grpSpPr>
          <a:xfrm>
            <a:off x="3357531" y="6077559"/>
            <a:ext cx="357219" cy="734485"/>
            <a:chOff x="5023743" y="4906381"/>
            <a:chExt cx="172673" cy="380393"/>
          </a:xfrm>
        </xdr:grpSpPr>
        <xdr:sp macro="" textlink="">
          <xdr:nvSpPr>
            <xdr:cNvPr id="694" name="직사각형 693">
              <a:extLst>
                <a:ext uri="{FF2B5EF4-FFF2-40B4-BE49-F238E27FC236}">
                  <a16:creationId xmlns:a16="http://schemas.microsoft.com/office/drawing/2014/main" id="{00000000-0008-0000-1600-0000B6020000}"/>
                </a:ext>
              </a:extLst>
            </xdr:cNvPr>
            <xdr:cNvSpPr/>
          </xdr:nvSpPr>
          <xdr:spPr>
            <a:xfrm>
              <a:off x="5023743" y="4906381"/>
              <a:ext cx="172673" cy="380393"/>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95" name="직사각형 694">
              <a:extLst>
                <a:ext uri="{FF2B5EF4-FFF2-40B4-BE49-F238E27FC236}">
                  <a16:creationId xmlns:a16="http://schemas.microsoft.com/office/drawing/2014/main" id="{00000000-0008-0000-1600-0000B7020000}"/>
                </a:ext>
              </a:extLst>
            </xdr:cNvPr>
            <xdr:cNvSpPr/>
          </xdr:nvSpPr>
          <xdr:spPr>
            <a:xfrm>
              <a:off x="5055436" y="5096578"/>
              <a:ext cx="109287" cy="149174"/>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96" name="직사각형 695">
              <a:extLst>
                <a:ext uri="{FF2B5EF4-FFF2-40B4-BE49-F238E27FC236}">
                  <a16:creationId xmlns:a16="http://schemas.microsoft.com/office/drawing/2014/main" id="{00000000-0008-0000-1600-0000B8020000}"/>
                </a:ext>
              </a:extLst>
            </xdr:cNvPr>
            <xdr:cNvSpPr/>
          </xdr:nvSpPr>
          <xdr:spPr>
            <a:xfrm>
              <a:off x="5060686" y="5096578"/>
              <a:ext cx="98786" cy="52211"/>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clientData/>
  </xdr:twoCellAnchor>
  <xdr:twoCellAnchor>
    <xdr:from>
      <xdr:col>3</xdr:col>
      <xdr:colOff>595367</xdr:colOff>
      <xdr:row>50</xdr:row>
      <xdr:rowOff>186998</xdr:rowOff>
    </xdr:from>
    <xdr:to>
      <xdr:col>3</xdr:col>
      <xdr:colOff>966672</xdr:colOff>
      <xdr:row>55</xdr:row>
      <xdr:rowOff>109570</xdr:rowOff>
    </xdr:to>
    <xdr:grpSp>
      <xdr:nvGrpSpPr>
        <xdr:cNvPr id="748" name="그룹 747">
          <a:extLst>
            <a:ext uri="{FF2B5EF4-FFF2-40B4-BE49-F238E27FC236}">
              <a16:creationId xmlns:a16="http://schemas.microsoft.com/office/drawing/2014/main" id="{00000000-0008-0000-1600-0000EC020000}"/>
            </a:ext>
          </a:extLst>
        </xdr:cNvPr>
        <xdr:cNvGrpSpPr/>
      </xdr:nvGrpSpPr>
      <xdr:grpSpPr>
        <a:xfrm>
          <a:off x="2870161" y="10216263"/>
          <a:ext cx="371305" cy="987131"/>
          <a:chOff x="3262313" y="3209926"/>
          <a:chExt cx="914400" cy="3609974"/>
        </a:xfrm>
      </xdr:grpSpPr>
      <xdr:grpSp>
        <xdr:nvGrpSpPr>
          <xdr:cNvPr id="749" name="그룹 748">
            <a:extLst>
              <a:ext uri="{FF2B5EF4-FFF2-40B4-BE49-F238E27FC236}">
                <a16:creationId xmlns:a16="http://schemas.microsoft.com/office/drawing/2014/main" id="{00000000-0008-0000-1600-0000ED020000}"/>
              </a:ext>
            </a:extLst>
          </xdr:cNvPr>
          <xdr:cNvGrpSpPr/>
        </xdr:nvGrpSpPr>
        <xdr:grpSpPr>
          <a:xfrm>
            <a:off x="3262313" y="3209926"/>
            <a:ext cx="914400" cy="3609974"/>
            <a:chOff x="2228850" y="3190876"/>
            <a:chExt cx="914400" cy="3609974"/>
          </a:xfrm>
        </xdr:grpSpPr>
        <xdr:pic>
          <xdr:nvPicPr>
            <xdr:cNvPr id="754" name="그림 753">
              <a:extLst>
                <a:ext uri="{FF2B5EF4-FFF2-40B4-BE49-F238E27FC236}">
                  <a16:creationId xmlns:a16="http://schemas.microsoft.com/office/drawing/2014/main" id="{00000000-0008-0000-1600-0000F2020000}"/>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4872" t="1762" r="2934" b="2889"/>
            <a:stretch/>
          </xdr:blipFill>
          <xdr:spPr>
            <a:xfrm>
              <a:off x="2228850" y="3190876"/>
              <a:ext cx="914400" cy="3609974"/>
            </a:xfrm>
            <a:prstGeom prst="rect">
              <a:avLst/>
            </a:prstGeom>
          </xdr:spPr>
        </xdr:pic>
        <xdr:sp macro="" textlink="">
          <xdr:nvSpPr>
            <xdr:cNvPr id="755" name="타원 754">
              <a:extLst>
                <a:ext uri="{FF2B5EF4-FFF2-40B4-BE49-F238E27FC236}">
                  <a16:creationId xmlns:a16="http://schemas.microsoft.com/office/drawing/2014/main" id="{00000000-0008-0000-1600-0000F3020000}"/>
                </a:ext>
              </a:extLst>
            </xdr:cNvPr>
            <xdr:cNvSpPr/>
          </xdr:nvSpPr>
          <xdr:spPr>
            <a:xfrm>
              <a:off x="2415382" y="4009766"/>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756" name="타원 755">
              <a:extLst>
                <a:ext uri="{FF2B5EF4-FFF2-40B4-BE49-F238E27FC236}">
                  <a16:creationId xmlns:a16="http://schemas.microsoft.com/office/drawing/2014/main" id="{00000000-0008-0000-1600-0000F4020000}"/>
                </a:ext>
              </a:extLst>
            </xdr:cNvPr>
            <xdr:cNvSpPr/>
          </xdr:nvSpPr>
          <xdr:spPr>
            <a:xfrm>
              <a:off x="2418557" y="4364832"/>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757" name="타원 756">
              <a:extLst>
                <a:ext uri="{FF2B5EF4-FFF2-40B4-BE49-F238E27FC236}">
                  <a16:creationId xmlns:a16="http://schemas.microsoft.com/office/drawing/2014/main" id="{00000000-0008-0000-1600-0000F5020000}"/>
                </a:ext>
              </a:extLst>
            </xdr:cNvPr>
            <xdr:cNvSpPr/>
          </xdr:nvSpPr>
          <xdr:spPr>
            <a:xfrm>
              <a:off x="2509139" y="4364832"/>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758" name="타원 757">
              <a:extLst>
                <a:ext uri="{FF2B5EF4-FFF2-40B4-BE49-F238E27FC236}">
                  <a16:creationId xmlns:a16="http://schemas.microsoft.com/office/drawing/2014/main" id="{00000000-0008-0000-1600-0000F6020000}"/>
                </a:ext>
              </a:extLst>
            </xdr:cNvPr>
            <xdr:cNvSpPr/>
          </xdr:nvSpPr>
          <xdr:spPr>
            <a:xfrm>
              <a:off x="2509139" y="40065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759" name="타원 758">
              <a:extLst>
                <a:ext uri="{FF2B5EF4-FFF2-40B4-BE49-F238E27FC236}">
                  <a16:creationId xmlns:a16="http://schemas.microsoft.com/office/drawing/2014/main" id="{00000000-0008-0000-1600-0000F7020000}"/>
                </a:ext>
              </a:extLst>
            </xdr:cNvPr>
            <xdr:cNvSpPr/>
          </xdr:nvSpPr>
          <xdr:spPr>
            <a:xfrm>
              <a:off x="2509139" y="40954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760" name="타원 759">
              <a:extLst>
                <a:ext uri="{FF2B5EF4-FFF2-40B4-BE49-F238E27FC236}">
                  <a16:creationId xmlns:a16="http://schemas.microsoft.com/office/drawing/2014/main" id="{00000000-0008-0000-1600-0000F8020000}"/>
                </a:ext>
              </a:extLst>
            </xdr:cNvPr>
            <xdr:cNvSpPr/>
          </xdr:nvSpPr>
          <xdr:spPr>
            <a:xfrm>
              <a:off x="2471738" y="5346341"/>
              <a:ext cx="50006" cy="50006"/>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761" name="타원 760">
              <a:extLst>
                <a:ext uri="{FF2B5EF4-FFF2-40B4-BE49-F238E27FC236}">
                  <a16:creationId xmlns:a16="http://schemas.microsoft.com/office/drawing/2014/main" id="{00000000-0008-0000-1600-0000F9020000}"/>
                </a:ext>
              </a:extLst>
            </xdr:cNvPr>
            <xdr:cNvSpPr/>
          </xdr:nvSpPr>
          <xdr:spPr>
            <a:xfrm>
              <a:off x="2434838" y="4626460"/>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762" name="타원 761">
              <a:extLst>
                <a:ext uri="{FF2B5EF4-FFF2-40B4-BE49-F238E27FC236}">
                  <a16:creationId xmlns:a16="http://schemas.microsoft.com/office/drawing/2014/main" id="{00000000-0008-0000-1600-0000FA020000}"/>
                </a:ext>
              </a:extLst>
            </xdr:cNvPr>
            <xdr:cNvSpPr/>
          </xdr:nvSpPr>
          <xdr:spPr>
            <a:xfrm>
              <a:off x="2527702" y="4634173"/>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763" name="타원 762">
              <a:extLst>
                <a:ext uri="{FF2B5EF4-FFF2-40B4-BE49-F238E27FC236}">
                  <a16:creationId xmlns:a16="http://schemas.microsoft.com/office/drawing/2014/main" id="{00000000-0008-0000-1600-0000FB020000}"/>
                </a:ext>
              </a:extLst>
            </xdr:cNvPr>
            <xdr:cNvSpPr/>
          </xdr:nvSpPr>
          <xdr:spPr>
            <a:xfrm>
              <a:off x="2418557" y="4103204"/>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764" name="타원 763">
              <a:extLst>
                <a:ext uri="{FF2B5EF4-FFF2-40B4-BE49-F238E27FC236}">
                  <a16:creationId xmlns:a16="http://schemas.microsoft.com/office/drawing/2014/main" id="{00000000-0008-0000-1600-0000FC020000}"/>
                </a:ext>
              </a:extLst>
            </xdr:cNvPr>
            <xdr:cNvSpPr/>
          </xdr:nvSpPr>
          <xdr:spPr>
            <a:xfrm>
              <a:off x="2418557" y="418729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765" name="타원 764">
              <a:extLst>
                <a:ext uri="{FF2B5EF4-FFF2-40B4-BE49-F238E27FC236}">
                  <a16:creationId xmlns:a16="http://schemas.microsoft.com/office/drawing/2014/main" id="{00000000-0008-0000-1600-0000FD020000}"/>
                </a:ext>
              </a:extLst>
            </xdr:cNvPr>
            <xdr:cNvSpPr/>
          </xdr:nvSpPr>
          <xdr:spPr>
            <a:xfrm>
              <a:off x="2415382" y="4449393"/>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766" name="타원 765">
              <a:extLst>
                <a:ext uri="{FF2B5EF4-FFF2-40B4-BE49-F238E27FC236}">
                  <a16:creationId xmlns:a16="http://schemas.microsoft.com/office/drawing/2014/main" id="{00000000-0008-0000-1600-0000FE020000}"/>
                </a:ext>
              </a:extLst>
            </xdr:cNvPr>
            <xdr:cNvSpPr/>
          </xdr:nvSpPr>
          <xdr:spPr>
            <a:xfrm>
              <a:off x="2434838" y="472353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750" name="그룹 749">
            <a:extLst>
              <a:ext uri="{FF2B5EF4-FFF2-40B4-BE49-F238E27FC236}">
                <a16:creationId xmlns:a16="http://schemas.microsoft.com/office/drawing/2014/main" id="{00000000-0008-0000-1600-0000EE020000}"/>
              </a:ext>
            </a:extLst>
          </xdr:cNvPr>
          <xdr:cNvGrpSpPr/>
        </xdr:nvGrpSpPr>
        <xdr:grpSpPr>
          <a:xfrm>
            <a:off x="3357531" y="6077559"/>
            <a:ext cx="357219" cy="734485"/>
            <a:chOff x="5023743" y="4906381"/>
            <a:chExt cx="172673" cy="380393"/>
          </a:xfrm>
        </xdr:grpSpPr>
        <xdr:sp macro="" textlink="">
          <xdr:nvSpPr>
            <xdr:cNvPr id="751" name="직사각형 750">
              <a:extLst>
                <a:ext uri="{FF2B5EF4-FFF2-40B4-BE49-F238E27FC236}">
                  <a16:creationId xmlns:a16="http://schemas.microsoft.com/office/drawing/2014/main" id="{00000000-0008-0000-1600-0000EF020000}"/>
                </a:ext>
              </a:extLst>
            </xdr:cNvPr>
            <xdr:cNvSpPr/>
          </xdr:nvSpPr>
          <xdr:spPr>
            <a:xfrm>
              <a:off x="5023743" y="4906381"/>
              <a:ext cx="172673" cy="380393"/>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752" name="직사각형 751">
              <a:extLst>
                <a:ext uri="{FF2B5EF4-FFF2-40B4-BE49-F238E27FC236}">
                  <a16:creationId xmlns:a16="http://schemas.microsoft.com/office/drawing/2014/main" id="{00000000-0008-0000-1600-0000F0020000}"/>
                </a:ext>
              </a:extLst>
            </xdr:cNvPr>
            <xdr:cNvSpPr/>
          </xdr:nvSpPr>
          <xdr:spPr>
            <a:xfrm>
              <a:off x="5055436" y="5096578"/>
              <a:ext cx="109287" cy="149174"/>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753" name="직사각형 752">
              <a:extLst>
                <a:ext uri="{FF2B5EF4-FFF2-40B4-BE49-F238E27FC236}">
                  <a16:creationId xmlns:a16="http://schemas.microsoft.com/office/drawing/2014/main" id="{00000000-0008-0000-1600-0000F1020000}"/>
                </a:ext>
              </a:extLst>
            </xdr:cNvPr>
            <xdr:cNvSpPr/>
          </xdr:nvSpPr>
          <xdr:spPr>
            <a:xfrm>
              <a:off x="5060686" y="5096578"/>
              <a:ext cx="98786" cy="52211"/>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clientData/>
  </xdr:twoCellAnchor>
  <xdr:twoCellAnchor>
    <xdr:from>
      <xdr:col>3</xdr:col>
      <xdr:colOff>384839</xdr:colOff>
      <xdr:row>45</xdr:row>
      <xdr:rowOff>191032</xdr:rowOff>
    </xdr:from>
    <xdr:to>
      <xdr:col>3</xdr:col>
      <xdr:colOff>384839</xdr:colOff>
      <xdr:row>55</xdr:row>
      <xdr:rowOff>117381</xdr:rowOff>
    </xdr:to>
    <xdr:cxnSp macro="">
      <xdr:nvCxnSpPr>
        <xdr:cNvPr id="805" name="직선 연결선 804">
          <a:extLst>
            <a:ext uri="{FF2B5EF4-FFF2-40B4-BE49-F238E27FC236}">
              <a16:creationId xmlns:a16="http://schemas.microsoft.com/office/drawing/2014/main" id="{00000000-0008-0000-1600-000025030000}"/>
            </a:ext>
          </a:extLst>
        </xdr:cNvPr>
        <xdr:cNvCxnSpPr/>
      </xdr:nvCxnSpPr>
      <xdr:spPr>
        <a:xfrm flipV="1">
          <a:off x="2670839" y="16383532"/>
          <a:ext cx="0" cy="2043016"/>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220095</xdr:colOff>
      <xdr:row>46</xdr:row>
      <xdr:rowOff>1183</xdr:rowOff>
    </xdr:from>
    <xdr:to>
      <xdr:col>3</xdr:col>
      <xdr:colOff>220095</xdr:colOff>
      <xdr:row>55</xdr:row>
      <xdr:rowOff>139199</xdr:rowOff>
    </xdr:to>
    <xdr:cxnSp macro="">
      <xdr:nvCxnSpPr>
        <xdr:cNvPr id="806" name="직선 연결선 805">
          <a:extLst>
            <a:ext uri="{FF2B5EF4-FFF2-40B4-BE49-F238E27FC236}">
              <a16:creationId xmlns:a16="http://schemas.microsoft.com/office/drawing/2014/main" id="{00000000-0008-0000-1600-000026030000}"/>
            </a:ext>
          </a:extLst>
        </xdr:cNvPr>
        <xdr:cNvCxnSpPr/>
      </xdr:nvCxnSpPr>
      <xdr:spPr>
        <a:xfrm flipV="1">
          <a:off x="2506095" y="16405350"/>
          <a:ext cx="0" cy="2043016"/>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583579</xdr:colOff>
      <xdr:row>45</xdr:row>
      <xdr:rowOff>180199</xdr:rowOff>
    </xdr:from>
    <xdr:to>
      <xdr:col>3</xdr:col>
      <xdr:colOff>583579</xdr:colOff>
      <xdr:row>55</xdr:row>
      <xdr:rowOff>102837</xdr:rowOff>
    </xdr:to>
    <xdr:cxnSp macro="">
      <xdr:nvCxnSpPr>
        <xdr:cNvPr id="807" name="직선 연결선 806">
          <a:extLst>
            <a:ext uri="{FF2B5EF4-FFF2-40B4-BE49-F238E27FC236}">
              <a16:creationId xmlns:a16="http://schemas.microsoft.com/office/drawing/2014/main" id="{00000000-0008-0000-1600-000027030000}"/>
            </a:ext>
          </a:extLst>
        </xdr:cNvPr>
        <xdr:cNvCxnSpPr/>
      </xdr:nvCxnSpPr>
      <xdr:spPr>
        <a:xfrm flipV="1">
          <a:off x="2869579" y="16372699"/>
          <a:ext cx="0" cy="2039305"/>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229674</xdr:colOff>
      <xdr:row>45</xdr:row>
      <xdr:rowOff>170564</xdr:rowOff>
    </xdr:from>
    <xdr:to>
      <xdr:col>3</xdr:col>
      <xdr:colOff>601563</xdr:colOff>
      <xdr:row>50</xdr:row>
      <xdr:rowOff>88430</xdr:rowOff>
    </xdr:to>
    <xdr:grpSp>
      <xdr:nvGrpSpPr>
        <xdr:cNvPr id="810" name="그룹 809">
          <a:extLst>
            <a:ext uri="{FF2B5EF4-FFF2-40B4-BE49-F238E27FC236}">
              <a16:creationId xmlns:a16="http://schemas.microsoft.com/office/drawing/2014/main" id="{00000000-0008-0000-1600-00002A030000}"/>
            </a:ext>
          </a:extLst>
        </xdr:cNvPr>
        <xdr:cNvGrpSpPr/>
      </xdr:nvGrpSpPr>
      <xdr:grpSpPr>
        <a:xfrm>
          <a:off x="2504468" y="9135270"/>
          <a:ext cx="371889" cy="982425"/>
          <a:chOff x="3262313" y="3209926"/>
          <a:chExt cx="914400" cy="3609974"/>
        </a:xfrm>
      </xdr:grpSpPr>
      <xdr:grpSp>
        <xdr:nvGrpSpPr>
          <xdr:cNvPr id="811" name="그룹 810">
            <a:extLst>
              <a:ext uri="{FF2B5EF4-FFF2-40B4-BE49-F238E27FC236}">
                <a16:creationId xmlns:a16="http://schemas.microsoft.com/office/drawing/2014/main" id="{00000000-0008-0000-1600-00002B030000}"/>
              </a:ext>
            </a:extLst>
          </xdr:cNvPr>
          <xdr:cNvGrpSpPr/>
        </xdr:nvGrpSpPr>
        <xdr:grpSpPr>
          <a:xfrm>
            <a:off x="3262313" y="3209926"/>
            <a:ext cx="914400" cy="3609974"/>
            <a:chOff x="2228850" y="3190876"/>
            <a:chExt cx="914400" cy="3609974"/>
          </a:xfrm>
        </xdr:grpSpPr>
        <xdr:pic>
          <xdr:nvPicPr>
            <xdr:cNvPr id="816" name="그림 815">
              <a:extLst>
                <a:ext uri="{FF2B5EF4-FFF2-40B4-BE49-F238E27FC236}">
                  <a16:creationId xmlns:a16="http://schemas.microsoft.com/office/drawing/2014/main" id="{00000000-0008-0000-1600-000030030000}"/>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4872" t="1762" r="2934" b="2889"/>
            <a:stretch/>
          </xdr:blipFill>
          <xdr:spPr>
            <a:xfrm>
              <a:off x="2228850" y="3190876"/>
              <a:ext cx="914400" cy="3609974"/>
            </a:xfrm>
            <a:prstGeom prst="rect">
              <a:avLst/>
            </a:prstGeom>
          </xdr:spPr>
        </xdr:pic>
        <xdr:sp macro="" textlink="">
          <xdr:nvSpPr>
            <xdr:cNvPr id="817" name="타원 816">
              <a:extLst>
                <a:ext uri="{FF2B5EF4-FFF2-40B4-BE49-F238E27FC236}">
                  <a16:creationId xmlns:a16="http://schemas.microsoft.com/office/drawing/2014/main" id="{00000000-0008-0000-1600-000031030000}"/>
                </a:ext>
              </a:extLst>
            </xdr:cNvPr>
            <xdr:cNvSpPr/>
          </xdr:nvSpPr>
          <xdr:spPr>
            <a:xfrm>
              <a:off x="2415382" y="4009766"/>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18" name="타원 817">
              <a:extLst>
                <a:ext uri="{FF2B5EF4-FFF2-40B4-BE49-F238E27FC236}">
                  <a16:creationId xmlns:a16="http://schemas.microsoft.com/office/drawing/2014/main" id="{00000000-0008-0000-1600-000032030000}"/>
                </a:ext>
              </a:extLst>
            </xdr:cNvPr>
            <xdr:cNvSpPr/>
          </xdr:nvSpPr>
          <xdr:spPr>
            <a:xfrm>
              <a:off x="2418557" y="4364832"/>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19" name="타원 818">
              <a:extLst>
                <a:ext uri="{FF2B5EF4-FFF2-40B4-BE49-F238E27FC236}">
                  <a16:creationId xmlns:a16="http://schemas.microsoft.com/office/drawing/2014/main" id="{00000000-0008-0000-1600-000033030000}"/>
                </a:ext>
              </a:extLst>
            </xdr:cNvPr>
            <xdr:cNvSpPr/>
          </xdr:nvSpPr>
          <xdr:spPr>
            <a:xfrm>
              <a:off x="2509139" y="4364832"/>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20" name="타원 819">
              <a:extLst>
                <a:ext uri="{FF2B5EF4-FFF2-40B4-BE49-F238E27FC236}">
                  <a16:creationId xmlns:a16="http://schemas.microsoft.com/office/drawing/2014/main" id="{00000000-0008-0000-1600-000034030000}"/>
                </a:ext>
              </a:extLst>
            </xdr:cNvPr>
            <xdr:cNvSpPr/>
          </xdr:nvSpPr>
          <xdr:spPr>
            <a:xfrm>
              <a:off x="2509139" y="40065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21" name="타원 820">
              <a:extLst>
                <a:ext uri="{FF2B5EF4-FFF2-40B4-BE49-F238E27FC236}">
                  <a16:creationId xmlns:a16="http://schemas.microsoft.com/office/drawing/2014/main" id="{00000000-0008-0000-1600-000035030000}"/>
                </a:ext>
              </a:extLst>
            </xdr:cNvPr>
            <xdr:cNvSpPr/>
          </xdr:nvSpPr>
          <xdr:spPr>
            <a:xfrm>
              <a:off x="2509139" y="40954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22" name="타원 821">
              <a:extLst>
                <a:ext uri="{FF2B5EF4-FFF2-40B4-BE49-F238E27FC236}">
                  <a16:creationId xmlns:a16="http://schemas.microsoft.com/office/drawing/2014/main" id="{00000000-0008-0000-1600-000036030000}"/>
                </a:ext>
              </a:extLst>
            </xdr:cNvPr>
            <xdr:cNvSpPr/>
          </xdr:nvSpPr>
          <xdr:spPr>
            <a:xfrm>
              <a:off x="2471738" y="5346341"/>
              <a:ext cx="50006" cy="50006"/>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23" name="타원 822">
              <a:extLst>
                <a:ext uri="{FF2B5EF4-FFF2-40B4-BE49-F238E27FC236}">
                  <a16:creationId xmlns:a16="http://schemas.microsoft.com/office/drawing/2014/main" id="{00000000-0008-0000-1600-000037030000}"/>
                </a:ext>
              </a:extLst>
            </xdr:cNvPr>
            <xdr:cNvSpPr/>
          </xdr:nvSpPr>
          <xdr:spPr>
            <a:xfrm>
              <a:off x="2434838" y="4626460"/>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24" name="타원 823">
              <a:extLst>
                <a:ext uri="{FF2B5EF4-FFF2-40B4-BE49-F238E27FC236}">
                  <a16:creationId xmlns:a16="http://schemas.microsoft.com/office/drawing/2014/main" id="{00000000-0008-0000-1600-000038030000}"/>
                </a:ext>
              </a:extLst>
            </xdr:cNvPr>
            <xdr:cNvSpPr/>
          </xdr:nvSpPr>
          <xdr:spPr>
            <a:xfrm>
              <a:off x="2527702" y="4634173"/>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25" name="타원 824">
              <a:extLst>
                <a:ext uri="{FF2B5EF4-FFF2-40B4-BE49-F238E27FC236}">
                  <a16:creationId xmlns:a16="http://schemas.microsoft.com/office/drawing/2014/main" id="{00000000-0008-0000-1600-000039030000}"/>
                </a:ext>
              </a:extLst>
            </xdr:cNvPr>
            <xdr:cNvSpPr/>
          </xdr:nvSpPr>
          <xdr:spPr>
            <a:xfrm>
              <a:off x="2418557" y="4103204"/>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26" name="타원 825">
              <a:extLst>
                <a:ext uri="{FF2B5EF4-FFF2-40B4-BE49-F238E27FC236}">
                  <a16:creationId xmlns:a16="http://schemas.microsoft.com/office/drawing/2014/main" id="{00000000-0008-0000-1600-00003A030000}"/>
                </a:ext>
              </a:extLst>
            </xdr:cNvPr>
            <xdr:cNvSpPr/>
          </xdr:nvSpPr>
          <xdr:spPr>
            <a:xfrm>
              <a:off x="2418557" y="418729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27" name="타원 826">
              <a:extLst>
                <a:ext uri="{FF2B5EF4-FFF2-40B4-BE49-F238E27FC236}">
                  <a16:creationId xmlns:a16="http://schemas.microsoft.com/office/drawing/2014/main" id="{00000000-0008-0000-1600-00003B030000}"/>
                </a:ext>
              </a:extLst>
            </xdr:cNvPr>
            <xdr:cNvSpPr/>
          </xdr:nvSpPr>
          <xdr:spPr>
            <a:xfrm>
              <a:off x="2415382" y="4449393"/>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28" name="타원 827">
              <a:extLst>
                <a:ext uri="{FF2B5EF4-FFF2-40B4-BE49-F238E27FC236}">
                  <a16:creationId xmlns:a16="http://schemas.microsoft.com/office/drawing/2014/main" id="{00000000-0008-0000-1600-00003C030000}"/>
                </a:ext>
              </a:extLst>
            </xdr:cNvPr>
            <xdr:cNvSpPr/>
          </xdr:nvSpPr>
          <xdr:spPr>
            <a:xfrm>
              <a:off x="2434838" y="472353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812" name="그룹 811">
            <a:extLst>
              <a:ext uri="{FF2B5EF4-FFF2-40B4-BE49-F238E27FC236}">
                <a16:creationId xmlns:a16="http://schemas.microsoft.com/office/drawing/2014/main" id="{00000000-0008-0000-1600-00002C030000}"/>
              </a:ext>
            </a:extLst>
          </xdr:cNvPr>
          <xdr:cNvGrpSpPr/>
        </xdr:nvGrpSpPr>
        <xdr:grpSpPr>
          <a:xfrm>
            <a:off x="3357531" y="6077559"/>
            <a:ext cx="357219" cy="734485"/>
            <a:chOff x="5023743" y="4906381"/>
            <a:chExt cx="172673" cy="380393"/>
          </a:xfrm>
        </xdr:grpSpPr>
        <xdr:sp macro="" textlink="">
          <xdr:nvSpPr>
            <xdr:cNvPr id="813" name="직사각형 812">
              <a:extLst>
                <a:ext uri="{FF2B5EF4-FFF2-40B4-BE49-F238E27FC236}">
                  <a16:creationId xmlns:a16="http://schemas.microsoft.com/office/drawing/2014/main" id="{00000000-0008-0000-1600-00002D030000}"/>
                </a:ext>
              </a:extLst>
            </xdr:cNvPr>
            <xdr:cNvSpPr/>
          </xdr:nvSpPr>
          <xdr:spPr>
            <a:xfrm>
              <a:off x="5023743" y="4906381"/>
              <a:ext cx="172673" cy="380393"/>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14" name="직사각형 813">
              <a:extLst>
                <a:ext uri="{FF2B5EF4-FFF2-40B4-BE49-F238E27FC236}">
                  <a16:creationId xmlns:a16="http://schemas.microsoft.com/office/drawing/2014/main" id="{00000000-0008-0000-1600-00002E030000}"/>
                </a:ext>
              </a:extLst>
            </xdr:cNvPr>
            <xdr:cNvSpPr/>
          </xdr:nvSpPr>
          <xdr:spPr>
            <a:xfrm>
              <a:off x="5055436" y="5096578"/>
              <a:ext cx="109287" cy="149174"/>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15" name="직사각형 814">
              <a:extLst>
                <a:ext uri="{FF2B5EF4-FFF2-40B4-BE49-F238E27FC236}">
                  <a16:creationId xmlns:a16="http://schemas.microsoft.com/office/drawing/2014/main" id="{00000000-0008-0000-1600-00002F030000}"/>
                </a:ext>
              </a:extLst>
            </xdr:cNvPr>
            <xdr:cNvSpPr/>
          </xdr:nvSpPr>
          <xdr:spPr>
            <a:xfrm>
              <a:off x="5060686" y="5096578"/>
              <a:ext cx="98786" cy="52211"/>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clientData/>
  </xdr:twoCellAnchor>
  <xdr:twoCellAnchor>
    <xdr:from>
      <xdr:col>3</xdr:col>
      <xdr:colOff>223642</xdr:colOff>
      <xdr:row>50</xdr:row>
      <xdr:rowOff>180729</xdr:rowOff>
    </xdr:from>
    <xdr:to>
      <xdr:col>3</xdr:col>
      <xdr:colOff>596412</xdr:colOff>
      <xdr:row>55</xdr:row>
      <xdr:rowOff>103301</xdr:rowOff>
    </xdr:to>
    <xdr:grpSp>
      <xdr:nvGrpSpPr>
        <xdr:cNvPr id="829" name="그룹 828">
          <a:extLst>
            <a:ext uri="{FF2B5EF4-FFF2-40B4-BE49-F238E27FC236}">
              <a16:creationId xmlns:a16="http://schemas.microsoft.com/office/drawing/2014/main" id="{00000000-0008-0000-1600-00003D030000}"/>
            </a:ext>
          </a:extLst>
        </xdr:cNvPr>
        <xdr:cNvGrpSpPr/>
      </xdr:nvGrpSpPr>
      <xdr:grpSpPr>
        <a:xfrm>
          <a:off x="2498436" y="10209994"/>
          <a:ext cx="372770" cy="987131"/>
          <a:chOff x="3262313" y="3209926"/>
          <a:chExt cx="914400" cy="3609974"/>
        </a:xfrm>
      </xdr:grpSpPr>
      <xdr:grpSp>
        <xdr:nvGrpSpPr>
          <xdr:cNvPr id="830" name="그룹 829">
            <a:extLst>
              <a:ext uri="{FF2B5EF4-FFF2-40B4-BE49-F238E27FC236}">
                <a16:creationId xmlns:a16="http://schemas.microsoft.com/office/drawing/2014/main" id="{00000000-0008-0000-1600-00003E030000}"/>
              </a:ext>
            </a:extLst>
          </xdr:cNvPr>
          <xdr:cNvGrpSpPr/>
        </xdr:nvGrpSpPr>
        <xdr:grpSpPr>
          <a:xfrm>
            <a:off x="3262313" y="3209926"/>
            <a:ext cx="914400" cy="3609974"/>
            <a:chOff x="2228850" y="3190876"/>
            <a:chExt cx="914400" cy="3609974"/>
          </a:xfrm>
        </xdr:grpSpPr>
        <xdr:pic>
          <xdr:nvPicPr>
            <xdr:cNvPr id="835" name="그림 834">
              <a:extLst>
                <a:ext uri="{FF2B5EF4-FFF2-40B4-BE49-F238E27FC236}">
                  <a16:creationId xmlns:a16="http://schemas.microsoft.com/office/drawing/2014/main" id="{00000000-0008-0000-1600-000043030000}"/>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4872" t="1762" r="2934" b="2889"/>
            <a:stretch/>
          </xdr:blipFill>
          <xdr:spPr>
            <a:xfrm>
              <a:off x="2228850" y="3190876"/>
              <a:ext cx="914400" cy="3609974"/>
            </a:xfrm>
            <a:prstGeom prst="rect">
              <a:avLst/>
            </a:prstGeom>
          </xdr:spPr>
        </xdr:pic>
        <xdr:sp macro="" textlink="">
          <xdr:nvSpPr>
            <xdr:cNvPr id="836" name="타원 835">
              <a:extLst>
                <a:ext uri="{FF2B5EF4-FFF2-40B4-BE49-F238E27FC236}">
                  <a16:creationId xmlns:a16="http://schemas.microsoft.com/office/drawing/2014/main" id="{00000000-0008-0000-1600-000044030000}"/>
                </a:ext>
              </a:extLst>
            </xdr:cNvPr>
            <xdr:cNvSpPr/>
          </xdr:nvSpPr>
          <xdr:spPr>
            <a:xfrm>
              <a:off x="2415382" y="4009766"/>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37" name="타원 836">
              <a:extLst>
                <a:ext uri="{FF2B5EF4-FFF2-40B4-BE49-F238E27FC236}">
                  <a16:creationId xmlns:a16="http://schemas.microsoft.com/office/drawing/2014/main" id="{00000000-0008-0000-1600-000045030000}"/>
                </a:ext>
              </a:extLst>
            </xdr:cNvPr>
            <xdr:cNvSpPr/>
          </xdr:nvSpPr>
          <xdr:spPr>
            <a:xfrm>
              <a:off x="2418557" y="4364832"/>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38" name="타원 837">
              <a:extLst>
                <a:ext uri="{FF2B5EF4-FFF2-40B4-BE49-F238E27FC236}">
                  <a16:creationId xmlns:a16="http://schemas.microsoft.com/office/drawing/2014/main" id="{00000000-0008-0000-1600-000046030000}"/>
                </a:ext>
              </a:extLst>
            </xdr:cNvPr>
            <xdr:cNvSpPr/>
          </xdr:nvSpPr>
          <xdr:spPr>
            <a:xfrm>
              <a:off x="2509139" y="4364832"/>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39" name="타원 838">
              <a:extLst>
                <a:ext uri="{FF2B5EF4-FFF2-40B4-BE49-F238E27FC236}">
                  <a16:creationId xmlns:a16="http://schemas.microsoft.com/office/drawing/2014/main" id="{00000000-0008-0000-1600-000047030000}"/>
                </a:ext>
              </a:extLst>
            </xdr:cNvPr>
            <xdr:cNvSpPr/>
          </xdr:nvSpPr>
          <xdr:spPr>
            <a:xfrm>
              <a:off x="2509139" y="40065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40" name="타원 839">
              <a:extLst>
                <a:ext uri="{FF2B5EF4-FFF2-40B4-BE49-F238E27FC236}">
                  <a16:creationId xmlns:a16="http://schemas.microsoft.com/office/drawing/2014/main" id="{00000000-0008-0000-1600-000048030000}"/>
                </a:ext>
              </a:extLst>
            </xdr:cNvPr>
            <xdr:cNvSpPr/>
          </xdr:nvSpPr>
          <xdr:spPr>
            <a:xfrm>
              <a:off x="2509139" y="40954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41" name="타원 840">
              <a:extLst>
                <a:ext uri="{FF2B5EF4-FFF2-40B4-BE49-F238E27FC236}">
                  <a16:creationId xmlns:a16="http://schemas.microsoft.com/office/drawing/2014/main" id="{00000000-0008-0000-1600-000049030000}"/>
                </a:ext>
              </a:extLst>
            </xdr:cNvPr>
            <xdr:cNvSpPr/>
          </xdr:nvSpPr>
          <xdr:spPr>
            <a:xfrm>
              <a:off x="2471738" y="5346341"/>
              <a:ext cx="50006" cy="50006"/>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42" name="타원 841">
              <a:extLst>
                <a:ext uri="{FF2B5EF4-FFF2-40B4-BE49-F238E27FC236}">
                  <a16:creationId xmlns:a16="http://schemas.microsoft.com/office/drawing/2014/main" id="{00000000-0008-0000-1600-00004A030000}"/>
                </a:ext>
              </a:extLst>
            </xdr:cNvPr>
            <xdr:cNvSpPr/>
          </xdr:nvSpPr>
          <xdr:spPr>
            <a:xfrm>
              <a:off x="2434838" y="4626460"/>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43" name="타원 842">
              <a:extLst>
                <a:ext uri="{FF2B5EF4-FFF2-40B4-BE49-F238E27FC236}">
                  <a16:creationId xmlns:a16="http://schemas.microsoft.com/office/drawing/2014/main" id="{00000000-0008-0000-1600-00004B030000}"/>
                </a:ext>
              </a:extLst>
            </xdr:cNvPr>
            <xdr:cNvSpPr/>
          </xdr:nvSpPr>
          <xdr:spPr>
            <a:xfrm>
              <a:off x="2527702" y="4634173"/>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44" name="타원 843">
              <a:extLst>
                <a:ext uri="{FF2B5EF4-FFF2-40B4-BE49-F238E27FC236}">
                  <a16:creationId xmlns:a16="http://schemas.microsoft.com/office/drawing/2014/main" id="{00000000-0008-0000-1600-00004C030000}"/>
                </a:ext>
              </a:extLst>
            </xdr:cNvPr>
            <xdr:cNvSpPr/>
          </xdr:nvSpPr>
          <xdr:spPr>
            <a:xfrm>
              <a:off x="2418557" y="4103204"/>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45" name="타원 844">
              <a:extLst>
                <a:ext uri="{FF2B5EF4-FFF2-40B4-BE49-F238E27FC236}">
                  <a16:creationId xmlns:a16="http://schemas.microsoft.com/office/drawing/2014/main" id="{00000000-0008-0000-1600-00004D030000}"/>
                </a:ext>
              </a:extLst>
            </xdr:cNvPr>
            <xdr:cNvSpPr/>
          </xdr:nvSpPr>
          <xdr:spPr>
            <a:xfrm>
              <a:off x="2418557" y="418729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46" name="타원 845">
              <a:extLst>
                <a:ext uri="{FF2B5EF4-FFF2-40B4-BE49-F238E27FC236}">
                  <a16:creationId xmlns:a16="http://schemas.microsoft.com/office/drawing/2014/main" id="{00000000-0008-0000-1600-00004E030000}"/>
                </a:ext>
              </a:extLst>
            </xdr:cNvPr>
            <xdr:cNvSpPr/>
          </xdr:nvSpPr>
          <xdr:spPr>
            <a:xfrm>
              <a:off x="2415382" y="4449393"/>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47" name="타원 846">
              <a:extLst>
                <a:ext uri="{FF2B5EF4-FFF2-40B4-BE49-F238E27FC236}">
                  <a16:creationId xmlns:a16="http://schemas.microsoft.com/office/drawing/2014/main" id="{00000000-0008-0000-1600-00004F030000}"/>
                </a:ext>
              </a:extLst>
            </xdr:cNvPr>
            <xdr:cNvSpPr/>
          </xdr:nvSpPr>
          <xdr:spPr>
            <a:xfrm>
              <a:off x="2434838" y="472353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831" name="그룹 830">
            <a:extLst>
              <a:ext uri="{FF2B5EF4-FFF2-40B4-BE49-F238E27FC236}">
                <a16:creationId xmlns:a16="http://schemas.microsoft.com/office/drawing/2014/main" id="{00000000-0008-0000-1600-00003F030000}"/>
              </a:ext>
            </a:extLst>
          </xdr:cNvPr>
          <xdr:cNvGrpSpPr/>
        </xdr:nvGrpSpPr>
        <xdr:grpSpPr>
          <a:xfrm>
            <a:off x="3357531" y="6077559"/>
            <a:ext cx="357219" cy="734485"/>
            <a:chOff x="5023743" y="4906381"/>
            <a:chExt cx="172673" cy="380393"/>
          </a:xfrm>
        </xdr:grpSpPr>
        <xdr:sp macro="" textlink="">
          <xdr:nvSpPr>
            <xdr:cNvPr id="832" name="직사각형 831">
              <a:extLst>
                <a:ext uri="{FF2B5EF4-FFF2-40B4-BE49-F238E27FC236}">
                  <a16:creationId xmlns:a16="http://schemas.microsoft.com/office/drawing/2014/main" id="{00000000-0008-0000-1600-000040030000}"/>
                </a:ext>
              </a:extLst>
            </xdr:cNvPr>
            <xdr:cNvSpPr/>
          </xdr:nvSpPr>
          <xdr:spPr>
            <a:xfrm>
              <a:off x="5023743" y="4906381"/>
              <a:ext cx="172673" cy="380393"/>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33" name="직사각형 832">
              <a:extLst>
                <a:ext uri="{FF2B5EF4-FFF2-40B4-BE49-F238E27FC236}">
                  <a16:creationId xmlns:a16="http://schemas.microsoft.com/office/drawing/2014/main" id="{00000000-0008-0000-1600-000041030000}"/>
                </a:ext>
              </a:extLst>
            </xdr:cNvPr>
            <xdr:cNvSpPr/>
          </xdr:nvSpPr>
          <xdr:spPr>
            <a:xfrm>
              <a:off x="5055436" y="5096578"/>
              <a:ext cx="109287" cy="149174"/>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34" name="직사각형 833">
              <a:extLst>
                <a:ext uri="{FF2B5EF4-FFF2-40B4-BE49-F238E27FC236}">
                  <a16:creationId xmlns:a16="http://schemas.microsoft.com/office/drawing/2014/main" id="{00000000-0008-0000-1600-000042030000}"/>
                </a:ext>
              </a:extLst>
            </xdr:cNvPr>
            <xdr:cNvSpPr/>
          </xdr:nvSpPr>
          <xdr:spPr>
            <a:xfrm>
              <a:off x="5060686" y="5096578"/>
              <a:ext cx="98786" cy="52211"/>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clientData/>
  </xdr:twoCellAnchor>
  <xdr:twoCellAnchor>
    <xdr:from>
      <xdr:col>5</xdr:col>
      <xdr:colOff>7698</xdr:colOff>
      <xdr:row>39</xdr:row>
      <xdr:rowOff>0</xdr:rowOff>
    </xdr:from>
    <xdr:to>
      <xdr:col>8</xdr:col>
      <xdr:colOff>174557</xdr:colOff>
      <xdr:row>82</xdr:row>
      <xdr:rowOff>206489</xdr:rowOff>
    </xdr:to>
    <xdr:sp macro="" textlink="">
      <xdr:nvSpPr>
        <xdr:cNvPr id="850" name="직사각형 849">
          <a:extLst>
            <a:ext uri="{FF2B5EF4-FFF2-40B4-BE49-F238E27FC236}">
              <a16:creationId xmlns:a16="http://schemas.microsoft.com/office/drawing/2014/main" id="{00000000-0008-0000-1600-000052030000}"/>
            </a:ext>
          </a:extLst>
        </xdr:cNvPr>
        <xdr:cNvSpPr/>
      </xdr:nvSpPr>
      <xdr:spPr>
        <a:xfrm>
          <a:off x="4516198" y="14710833"/>
          <a:ext cx="4093276" cy="9519823"/>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clientData/>
  </xdr:twoCellAnchor>
  <xdr:twoCellAnchor>
    <xdr:from>
      <xdr:col>5</xdr:col>
      <xdr:colOff>244825</xdr:colOff>
      <xdr:row>40</xdr:row>
      <xdr:rowOff>31582</xdr:rowOff>
    </xdr:from>
    <xdr:to>
      <xdr:col>7</xdr:col>
      <xdr:colOff>797320</xdr:colOff>
      <xdr:row>81</xdr:row>
      <xdr:rowOff>33425</xdr:rowOff>
    </xdr:to>
    <xdr:sp macro="" textlink="">
      <xdr:nvSpPr>
        <xdr:cNvPr id="851" name="직사각형 850">
          <a:extLst>
            <a:ext uri="{FF2B5EF4-FFF2-40B4-BE49-F238E27FC236}">
              <a16:creationId xmlns:a16="http://schemas.microsoft.com/office/drawing/2014/main" id="{00000000-0008-0000-1600-000053030000}"/>
            </a:ext>
          </a:extLst>
        </xdr:cNvPr>
        <xdr:cNvSpPr/>
      </xdr:nvSpPr>
      <xdr:spPr>
        <a:xfrm>
          <a:off x="4753325" y="15059915"/>
          <a:ext cx="3642828" cy="878601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clientData/>
  </xdr:twoCellAnchor>
  <xdr:twoCellAnchor>
    <xdr:from>
      <xdr:col>5</xdr:col>
      <xdr:colOff>229566</xdr:colOff>
      <xdr:row>39</xdr:row>
      <xdr:rowOff>315730</xdr:rowOff>
    </xdr:from>
    <xdr:to>
      <xdr:col>7</xdr:col>
      <xdr:colOff>788771</xdr:colOff>
      <xdr:row>41</xdr:row>
      <xdr:rowOff>94077</xdr:rowOff>
    </xdr:to>
    <xdr:grpSp>
      <xdr:nvGrpSpPr>
        <xdr:cNvPr id="852" name="그룹 851">
          <a:extLst>
            <a:ext uri="{FF2B5EF4-FFF2-40B4-BE49-F238E27FC236}">
              <a16:creationId xmlns:a16="http://schemas.microsoft.com/office/drawing/2014/main" id="{00000000-0008-0000-1600-000054030000}"/>
            </a:ext>
          </a:extLst>
        </xdr:cNvPr>
        <xdr:cNvGrpSpPr/>
      </xdr:nvGrpSpPr>
      <xdr:grpSpPr>
        <a:xfrm>
          <a:off x="4723125" y="7895949"/>
          <a:ext cx="3652028" cy="311187"/>
          <a:chOff x="-2195206" y="4622871"/>
          <a:chExt cx="8132868" cy="1409794"/>
        </a:xfrm>
      </xdr:grpSpPr>
      <xdr:grpSp>
        <xdr:nvGrpSpPr>
          <xdr:cNvPr id="853" name="그룹 852">
            <a:extLst>
              <a:ext uri="{FF2B5EF4-FFF2-40B4-BE49-F238E27FC236}">
                <a16:creationId xmlns:a16="http://schemas.microsoft.com/office/drawing/2014/main" id="{00000000-0008-0000-1600-000055030000}"/>
              </a:ext>
            </a:extLst>
          </xdr:cNvPr>
          <xdr:cNvGrpSpPr/>
        </xdr:nvGrpSpPr>
        <xdr:grpSpPr>
          <a:xfrm>
            <a:off x="-1891888" y="4630491"/>
            <a:ext cx="7532667" cy="1402174"/>
            <a:chOff x="-1428750" y="4535487"/>
            <a:chExt cx="9709150" cy="1976863"/>
          </a:xfrm>
        </xdr:grpSpPr>
        <xdr:pic>
          <xdr:nvPicPr>
            <xdr:cNvPr id="884" name="그림 883">
              <a:extLst>
                <a:ext uri="{FF2B5EF4-FFF2-40B4-BE49-F238E27FC236}">
                  <a16:creationId xmlns:a16="http://schemas.microsoft.com/office/drawing/2014/main" id="{00000000-0008-0000-1600-000074030000}"/>
                </a:ext>
              </a:extLst>
            </xdr:cNvPr>
            <xdr:cNvPicPr>
              <a:picLocks noChangeAspect="1"/>
            </xdr:cNvPicPr>
          </xdr:nvPicPr>
          <xdr:blipFill>
            <a:blip xmlns:r="http://schemas.openxmlformats.org/officeDocument/2006/relationships" r:embed="rId1"/>
            <a:stretch>
              <a:fillRect/>
            </a:stretch>
          </xdr:blipFill>
          <xdr:spPr>
            <a:xfrm>
              <a:off x="-1428750" y="4535487"/>
              <a:ext cx="9709150" cy="1976863"/>
            </a:xfrm>
            <a:prstGeom prst="rect">
              <a:avLst/>
            </a:prstGeom>
            <a:ln>
              <a:solidFill>
                <a:schemeClr val="tx1"/>
              </a:solidFill>
            </a:ln>
          </xdr:spPr>
        </xdr:pic>
        <xdr:sp macro="" textlink="">
          <xdr:nvSpPr>
            <xdr:cNvPr id="885" name="직사각형 884">
              <a:extLst>
                <a:ext uri="{FF2B5EF4-FFF2-40B4-BE49-F238E27FC236}">
                  <a16:creationId xmlns:a16="http://schemas.microsoft.com/office/drawing/2014/main" id="{00000000-0008-0000-1600-000075030000}"/>
                </a:ext>
              </a:extLst>
            </xdr:cNvPr>
            <xdr:cNvSpPr/>
          </xdr:nvSpPr>
          <xdr:spPr>
            <a:xfrm>
              <a:off x="-304800" y="4914899"/>
              <a:ext cx="304800" cy="274617"/>
            </a:xfrm>
            <a:prstGeom prst="rect">
              <a:avLst/>
            </a:prstGeom>
            <a:solidFill>
              <a:srgbClr val="FF0000">
                <a:alpha val="70000"/>
              </a:srgb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86" name="직사각형 885">
              <a:extLst>
                <a:ext uri="{FF2B5EF4-FFF2-40B4-BE49-F238E27FC236}">
                  <a16:creationId xmlns:a16="http://schemas.microsoft.com/office/drawing/2014/main" id="{00000000-0008-0000-1600-000076030000}"/>
                </a:ext>
              </a:extLst>
            </xdr:cNvPr>
            <xdr:cNvSpPr/>
          </xdr:nvSpPr>
          <xdr:spPr>
            <a:xfrm>
              <a:off x="6669975" y="4903023"/>
              <a:ext cx="304800" cy="274617"/>
            </a:xfrm>
            <a:prstGeom prst="rect">
              <a:avLst/>
            </a:prstGeom>
            <a:solidFill>
              <a:srgbClr val="FF0000">
                <a:alpha val="70000"/>
              </a:srgb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87" name="직사각형 886">
              <a:extLst>
                <a:ext uri="{FF2B5EF4-FFF2-40B4-BE49-F238E27FC236}">
                  <a16:creationId xmlns:a16="http://schemas.microsoft.com/office/drawing/2014/main" id="{00000000-0008-0000-1600-000077030000}"/>
                </a:ext>
              </a:extLst>
            </xdr:cNvPr>
            <xdr:cNvSpPr/>
          </xdr:nvSpPr>
          <xdr:spPr>
            <a:xfrm>
              <a:off x="7194137" y="4903022"/>
              <a:ext cx="304800" cy="274617"/>
            </a:xfrm>
            <a:prstGeom prst="rect">
              <a:avLst/>
            </a:prstGeom>
            <a:solidFill>
              <a:srgbClr val="FF0000">
                <a:alpha val="70000"/>
              </a:srgb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88" name="직사각형 887">
              <a:extLst>
                <a:ext uri="{FF2B5EF4-FFF2-40B4-BE49-F238E27FC236}">
                  <a16:creationId xmlns:a16="http://schemas.microsoft.com/office/drawing/2014/main" id="{00000000-0008-0000-1600-000078030000}"/>
                </a:ext>
              </a:extLst>
            </xdr:cNvPr>
            <xdr:cNvSpPr/>
          </xdr:nvSpPr>
          <xdr:spPr>
            <a:xfrm>
              <a:off x="7718299" y="4903021"/>
              <a:ext cx="304800" cy="274617"/>
            </a:xfrm>
            <a:prstGeom prst="rect">
              <a:avLst/>
            </a:prstGeom>
            <a:solidFill>
              <a:srgbClr val="FFC000">
                <a:alpha val="70000"/>
              </a:srgb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89" name="직사각형 888">
              <a:extLst>
                <a:ext uri="{FF2B5EF4-FFF2-40B4-BE49-F238E27FC236}">
                  <a16:creationId xmlns:a16="http://schemas.microsoft.com/office/drawing/2014/main" id="{00000000-0008-0000-1600-000079030000}"/>
                </a:ext>
              </a:extLst>
            </xdr:cNvPr>
            <xdr:cNvSpPr/>
          </xdr:nvSpPr>
          <xdr:spPr>
            <a:xfrm>
              <a:off x="348011" y="4789463"/>
              <a:ext cx="2228933" cy="400054"/>
            </a:xfrm>
            <a:prstGeom prst="rect">
              <a:avLst/>
            </a:prstGeom>
            <a:solidFill>
              <a:schemeClr val="tx2">
                <a:alpha val="38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sp macro="" textlink="">
        <xdr:nvSpPr>
          <xdr:cNvPr id="854" name="모서리가 둥근 직사각형 1152">
            <a:extLst>
              <a:ext uri="{FF2B5EF4-FFF2-40B4-BE49-F238E27FC236}">
                <a16:creationId xmlns:a16="http://schemas.microsoft.com/office/drawing/2014/main" id="{00000000-0008-0000-1600-000056030000}"/>
              </a:ext>
            </a:extLst>
          </xdr:cNvPr>
          <xdr:cNvSpPr/>
        </xdr:nvSpPr>
        <xdr:spPr>
          <a:xfrm>
            <a:off x="5640779" y="4630491"/>
            <a:ext cx="296883" cy="1402174"/>
          </a:xfrm>
          <a:prstGeom prst="round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55" name="타원 854">
            <a:extLst>
              <a:ext uri="{FF2B5EF4-FFF2-40B4-BE49-F238E27FC236}">
                <a16:creationId xmlns:a16="http://schemas.microsoft.com/office/drawing/2014/main" id="{00000000-0008-0000-1600-000057030000}"/>
              </a:ext>
            </a:extLst>
          </xdr:cNvPr>
          <xdr:cNvSpPr/>
        </xdr:nvSpPr>
        <xdr:spPr>
          <a:xfrm>
            <a:off x="5717464" y="4899605"/>
            <a:ext cx="165563" cy="10687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56" name="타원 855">
            <a:extLst>
              <a:ext uri="{FF2B5EF4-FFF2-40B4-BE49-F238E27FC236}">
                <a16:creationId xmlns:a16="http://schemas.microsoft.com/office/drawing/2014/main" id="{00000000-0008-0000-1600-000058030000}"/>
              </a:ext>
            </a:extLst>
          </xdr:cNvPr>
          <xdr:cNvSpPr/>
        </xdr:nvSpPr>
        <xdr:spPr>
          <a:xfrm>
            <a:off x="5706439" y="5646365"/>
            <a:ext cx="165563" cy="10687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57" name="모서리가 둥근 직사각형 1155">
            <a:extLst>
              <a:ext uri="{FF2B5EF4-FFF2-40B4-BE49-F238E27FC236}">
                <a16:creationId xmlns:a16="http://schemas.microsoft.com/office/drawing/2014/main" id="{00000000-0008-0000-1600-000059030000}"/>
              </a:ext>
            </a:extLst>
          </xdr:cNvPr>
          <xdr:cNvSpPr/>
        </xdr:nvSpPr>
        <xdr:spPr>
          <a:xfrm>
            <a:off x="-2195206" y="4622871"/>
            <a:ext cx="296883" cy="1402174"/>
          </a:xfrm>
          <a:prstGeom prst="round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58" name="타원 857">
            <a:extLst>
              <a:ext uri="{FF2B5EF4-FFF2-40B4-BE49-F238E27FC236}">
                <a16:creationId xmlns:a16="http://schemas.microsoft.com/office/drawing/2014/main" id="{00000000-0008-0000-1600-00005A030000}"/>
              </a:ext>
            </a:extLst>
          </xdr:cNvPr>
          <xdr:cNvSpPr/>
        </xdr:nvSpPr>
        <xdr:spPr>
          <a:xfrm>
            <a:off x="-2118521" y="4891985"/>
            <a:ext cx="165563" cy="10687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59" name="타원 858">
            <a:extLst>
              <a:ext uri="{FF2B5EF4-FFF2-40B4-BE49-F238E27FC236}">
                <a16:creationId xmlns:a16="http://schemas.microsoft.com/office/drawing/2014/main" id="{00000000-0008-0000-1600-00005B030000}"/>
              </a:ext>
            </a:extLst>
          </xdr:cNvPr>
          <xdr:cNvSpPr/>
        </xdr:nvSpPr>
        <xdr:spPr>
          <a:xfrm>
            <a:off x="-2129546" y="5638745"/>
            <a:ext cx="165563" cy="10687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nvGrpSpPr>
          <xdr:cNvPr id="860" name="그룹 859">
            <a:extLst>
              <a:ext uri="{FF2B5EF4-FFF2-40B4-BE49-F238E27FC236}">
                <a16:creationId xmlns:a16="http://schemas.microsoft.com/office/drawing/2014/main" id="{00000000-0008-0000-1600-00005C030000}"/>
              </a:ext>
            </a:extLst>
          </xdr:cNvPr>
          <xdr:cNvGrpSpPr/>
        </xdr:nvGrpSpPr>
        <xdr:grpSpPr>
          <a:xfrm>
            <a:off x="1502055" y="4725143"/>
            <a:ext cx="267791" cy="542098"/>
            <a:chOff x="1524915" y="4717523"/>
            <a:chExt cx="267791" cy="542098"/>
          </a:xfrm>
        </xdr:grpSpPr>
        <xdr:sp macro="" textlink="">
          <xdr:nvSpPr>
            <xdr:cNvPr id="882" name="정육면체 881">
              <a:extLst>
                <a:ext uri="{FF2B5EF4-FFF2-40B4-BE49-F238E27FC236}">
                  <a16:creationId xmlns:a16="http://schemas.microsoft.com/office/drawing/2014/main" id="{00000000-0008-0000-1600-000072030000}"/>
                </a:ext>
              </a:extLst>
            </xdr:cNvPr>
            <xdr:cNvSpPr/>
          </xdr:nvSpPr>
          <xdr:spPr>
            <a:xfrm>
              <a:off x="1524915" y="4717523"/>
              <a:ext cx="267791" cy="542098"/>
            </a:xfrm>
            <a:prstGeom prst="cube">
              <a:avLst>
                <a:gd name="adj" fmla="val 19013"/>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83" name="타원 882">
              <a:extLst>
                <a:ext uri="{FF2B5EF4-FFF2-40B4-BE49-F238E27FC236}">
                  <a16:creationId xmlns:a16="http://schemas.microsoft.com/office/drawing/2014/main" id="{00000000-0008-0000-1600-000073030000}"/>
                </a:ext>
              </a:extLst>
            </xdr:cNvPr>
            <xdr:cNvSpPr/>
          </xdr:nvSpPr>
          <xdr:spPr>
            <a:xfrm>
              <a:off x="1598763" y="4847333"/>
              <a:ext cx="82781" cy="8755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861" name="그룹 860">
            <a:extLst>
              <a:ext uri="{FF2B5EF4-FFF2-40B4-BE49-F238E27FC236}">
                <a16:creationId xmlns:a16="http://schemas.microsoft.com/office/drawing/2014/main" id="{00000000-0008-0000-1600-00005D030000}"/>
              </a:ext>
            </a:extLst>
          </xdr:cNvPr>
          <xdr:cNvGrpSpPr/>
        </xdr:nvGrpSpPr>
        <xdr:grpSpPr>
          <a:xfrm>
            <a:off x="1778364" y="4725143"/>
            <a:ext cx="267791" cy="542098"/>
            <a:chOff x="1524915" y="4717523"/>
            <a:chExt cx="267791" cy="542098"/>
          </a:xfrm>
        </xdr:grpSpPr>
        <xdr:sp macro="" textlink="">
          <xdr:nvSpPr>
            <xdr:cNvPr id="880" name="정육면체 879">
              <a:extLst>
                <a:ext uri="{FF2B5EF4-FFF2-40B4-BE49-F238E27FC236}">
                  <a16:creationId xmlns:a16="http://schemas.microsoft.com/office/drawing/2014/main" id="{00000000-0008-0000-1600-000070030000}"/>
                </a:ext>
              </a:extLst>
            </xdr:cNvPr>
            <xdr:cNvSpPr/>
          </xdr:nvSpPr>
          <xdr:spPr>
            <a:xfrm>
              <a:off x="1524915" y="4717523"/>
              <a:ext cx="267791" cy="542098"/>
            </a:xfrm>
            <a:prstGeom prst="cube">
              <a:avLst>
                <a:gd name="adj" fmla="val 19013"/>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81" name="타원 880">
              <a:extLst>
                <a:ext uri="{FF2B5EF4-FFF2-40B4-BE49-F238E27FC236}">
                  <a16:creationId xmlns:a16="http://schemas.microsoft.com/office/drawing/2014/main" id="{00000000-0008-0000-1600-000071030000}"/>
                </a:ext>
              </a:extLst>
            </xdr:cNvPr>
            <xdr:cNvSpPr/>
          </xdr:nvSpPr>
          <xdr:spPr>
            <a:xfrm>
              <a:off x="1598763" y="4847333"/>
              <a:ext cx="82781" cy="8755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862" name="그룹 861">
            <a:extLst>
              <a:ext uri="{FF2B5EF4-FFF2-40B4-BE49-F238E27FC236}">
                <a16:creationId xmlns:a16="http://schemas.microsoft.com/office/drawing/2014/main" id="{00000000-0008-0000-1600-00005E030000}"/>
              </a:ext>
            </a:extLst>
          </xdr:cNvPr>
          <xdr:cNvGrpSpPr/>
        </xdr:nvGrpSpPr>
        <xdr:grpSpPr>
          <a:xfrm>
            <a:off x="2054673" y="4725143"/>
            <a:ext cx="267791" cy="542098"/>
            <a:chOff x="1524915" y="4717523"/>
            <a:chExt cx="267791" cy="542098"/>
          </a:xfrm>
        </xdr:grpSpPr>
        <xdr:sp macro="" textlink="">
          <xdr:nvSpPr>
            <xdr:cNvPr id="878" name="정육면체 877">
              <a:extLst>
                <a:ext uri="{FF2B5EF4-FFF2-40B4-BE49-F238E27FC236}">
                  <a16:creationId xmlns:a16="http://schemas.microsoft.com/office/drawing/2014/main" id="{00000000-0008-0000-1600-00006E030000}"/>
                </a:ext>
              </a:extLst>
            </xdr:cNvPr>
            <xdr:cNvSpPr/>
          </xdr:nvSpPr>
          <xdr:spPr>
            <a:xfrm>
              <a:off x="1524915" y="4717523"/>
              <a:ext cx="267791" cy="542098"/>
            </a:xfrm>
            <a:prstGeom prst="cube">
              <a:avLst>
                <a:gd name="adj" fmla="val 19013"/>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79" name="타원 878">
              <a:extLst>
                <a:ext uri="{FF2B5EF4-FFF2-40B4-BE49-F238E27FC236}">
                  <a16:creationId xmlns:a16="http://schemas.microsoft.com/office/drawing/2014/main" id="{00000000-0008-0000-1600-00006F030000}"/>
                </a:ext>
              </a:extLst>
            </xdr:cNvPr>
            <xdr:cNvSpPr/>
          </xdr:nvSpPr>
          <xdr:spPr>
            <a:xfrm>
              <a:off x="1598763" y="4847333"/>
              <a:ext cx="82781" cy="8755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863" name="그룹 862">
            <a:extLst>
              <a:ext uri="{FF2B5EF4-FFF2-40B4-BE49-F238E27FC236}">
                <a16:creationId xmlns:a16="http://schemas.microsoft.com/office/drawing/2014/main" id="{00000000-0008-0000-1600-00005F030000}"/>
              </a:ext>
            </a:extLst>
          </xdr:cNvPr>
          <xdr:cNvGrpSpPr/>
        </xdr:nvGrpSpPr>
        <xdr:grpSpPr>
          <a:xfrm>
            <a:off x="2330982" y="4725143"/>
            <a:ext cx="267791" cy="542098"/>
            <a:chOff x="1524915" y="4717523"/>
            <a:chExt cx="267791" cy="542098"/>
          </a:xfrm>
        </xdr:grpSpPr>
        <xdr:sp macro="" textlink="">
          <xdr:nvSpPr>
            <xdr:cNvPr id="876" name="정육면체 875">
              <a:extLst>
                <a:ext uri="{FF2B5EF4-FFF2-40B4-BE49-F238E27FC236}">
                  <a16:creationId xmlns:a16="http://schemas.microsoft.com/office/drawing/2014/main" id="{00000000-0008-0000-1600-00006C030000}"/>
                </a:ext>
              </a:extLst>
            </xdr:cNvPr>
            <xdr:cNvSpPr/>
          </xdr:nvSpPr>
          <xdr:spPr>
            <a:xfrm>
              <a:off x="1524915" y="4717523"/>
              <a:ext cx="267791" cy="542098"/>
            </a:xfrm>
            <a:prstGeom prst="cube">
              <a:avLst>
                <a:gd name="adj" fmla="val 19013"/>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77" name="타원 876">
              <a:extLst>
                <a:ext uri="{FF2B5EF4-FFF2-40B4-BE49-F238E27FC236}">
                  <a16:creationId xmlns:a16="http://schemas.microsoft.com/office/drawing/2014/main" id="{00000000-0008-0000-1600-00006D030000}"/>
                </a:ext>
              </a:extLst>
            </xdr:cNvPr>
            <xdr:cNvSpPr/>
          </xdr:nvSpPr>
          <xdr:spPr>
            <a:xfrm>
              <a:off x="1598763" y="4847333"/>
              <a:ext cx="82781" cy="8755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864" name="그룹 863">
            <a:extLst>
              <a:ext uri="{FF2B5EF4-FFF2-40B4-BE49-F238E27FC236}">
                <a16:creationId xmlns:a16="http://schemas.microsoft.com/office/drawing/2014/main" id="{00000000-0008-0000-1600-000060030000}"/>
              </a:ext>
            </a:extLst>
          </xdr:cNvPr>
          <xdr:cNvGrpSpPr/>
        </xdr:nvGrpSpPr>
        <xdr:grpSpPr>
          <a:xfrm>
            <a:off x="2614911" y="4725143"/>
            <a:ext cx="267791" cy="542098"/>
            <a:chOff x="1524915" y="4717523"/>
            <a:chExt cx="267791" cy="542098"/>
          </a:xfrm>
        </xdr:grpSpPr>
        <xdr:sp macro="" textlink="">
          <xdr:nvSpPr>
            <xdr:cNvPr id="874" name="정육면체 873">
              <a:extLst>
                <a:ext uri="{FF2B5EF4-FFF2-40B4-BE49-F238E27FC236}">
                  <a16:creationId xmlns:a16="http://schemas.microsoft.com/office/drawing/2014/main" id="{00000000-0008-0000-1600-00006A030000}"/>
                </a:ext>
              </a:extLst>
            </xdr:cNvPr>
            <xdr:cNvSpPr/>
          </xdr:nvSpPr>
          <xdr:spPr>
            <a:xfrm>
              <a:off x="1524915" y="4717523"/>
              <a:ext cx="267791" cy="542098"/>
            </a:xfrm>
            <a:prstGeom prst="cube">
              <a:avLst>
                <a:gd name="adj" fmla="val 19013"/>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75" name="타원 874">
              <a:extLst>
                <a:ext uri="{FF2B5EF4-FFF2-40B4-BE49-F238E27FC236}">
                  <a16:creationId xmlns:a16="http://schemas.microsoft.com/office/drawing/2014/main" id="{00000000-0008-0000-1600-00006B030000}"/>
                </a:ext>
              </a:extLst>
            </xdr:cNvPr>
            <xdr:cNvSpPr/>
          </xdr:nvSpPr>
          <xdr:spPr>
            <a:xfrm>
              <a:off x="1598763" y="4847333"/>
              <a:ext cx="82781" cy="8755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865" name="그룹 864">
            <a:extLst>
              <a:ext uri="{FF2B5EF4-FFF2-40B4-BE49-F238E27FC236}">
                <a16:creationId xmlns:a16="http://schemas.microsoft.com/office/drawing/2014/main" id="{00000000-0008-0000-1600-000061030000}"/>
              </a:ext>
            </a:extLst>
          </xdr:cNvPr>
          <xdr:cNvGrpSpPr/>
        </xdr:nvGrpSpPr>
        <xdr:grpSpPr>
          <a:xfrm>
            <a:off x="2898840" y="4725143"/>
            <a:ext cx="267791" cy="542098"/>
            <a:chOff x="1524915" y="4717523"/>
            <a:chExt cx="267791" cy="542098"/>
          </a:xfrm>
        </xdr:grpSpPr>
        <xdr:sp macro="" textlink="">
          <xdr:nvSpPr>
            <xdr:cNvPr id="872" name="정육면체 871">
              <a:extLst>
                <a:ext uri="{FF2B5EF4-FFF2-40B4-BE49-F238E27FC236}">
                  <a16:creationId xmlns:a16="http://schemas.microsoft.com/office/drawing/2014/main" id="{00000000-0008-0000-1600-000068030000}"/>
                </a:ext>
              </a:extLst>
            </xdr:cNvPr>
            <xdr:cNvSpPr/>
          </xdr:nvSpPr>
          <xdr:spPr>
            <a:xfrm>
              <a:off x="1524915" y="4717523"/>
              <a:ext cx="267791" cy="542098"/>
            </a:xfrm>
            <a:prstGeom prst="cube">
              <a:avLst>
                <a:gd name="adj" fmla="val 19013"/>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73" name="타원 872">
              <a:extLst>
                <a:ext uri="{FF2B5EF4-FFF2-40B4-BE49-F238E27FC236}">
                  <a16:creationId xmlns:a16="http://schemas.microsoft.com/office/drawing/2014/main" id="{00000000-0008-0000-1600-000069030000}"/>
                </a:ext>
              </a:extLst>
            </xdr:cNvPr>
            <xdr:cNvSpPr/>
          </xdr:nvSpPr>
          <xdr:spPr>
            <a:xfrm>
              <a:off x="1598763" y="4847333"/>
              <a:ext cx="82781" cy="8755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866" name="그룹 865">
            <a:extLst>
              <a:ext uri="{FF2B5EF4-FFF2-40B4-BE49-F238E27FC236}">
                <a16:creationId xmlns:a16="http://schemas.microsoft.com/office/drawing/2014/main" id="{00000000-0008-0000-1600-000062030000}"/>
              </a:ext>
            </a:extLst>
          </xdr:cNvPr>
          <xdr:cNvGrpSpPr/>
        </xdr:nvGrpSpPr>
        <xdr:grpSpPr>
          <a:xfrm>
            <a:off x="3182769" y="4725143"/>
            <a:ext cx="267791" cy="542098"/>
            <a:chOff x="1524915" y="4717523"/>
            <a:chExt cx="267791" cy="542098"/>
          </a:xfrm>
        </xdr:grpSpPr>
        <xdr:sp macro="" textlink="">
          <xdr:nvSpPr>
            <xdr:cNvPr id="870" name="정육면체 869">
              <a:extLst>
                <a:ext uri="{FF2B5EF4-FFF2-40B4-BE49-F238E27FC236}">
                  <a16:creationId xmlns:a16="http://schemas.microsoft.com/office/drawing/2014/main" id="{00000000-0008-0000-1600-000066030000}"/>
                </a:ext>
              </a:extLst>
            </xdr:cNvPr>
            <xdr:cNvSpPr/>
          </xdr:nvSpPr>
          <xdr:spPr>
            <a:xfrm>
              <a:off x="1524915" y="4717523"/>
              <a:ext cx="267791" cy="542098"/>
            </a:xfrm>
            <a:prstGeom prst="cube">
              <a:avLst>
                <a:gd name="adj" fmla="val 19013"/>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71" name="타원 870">
              <a:extLst>
                <a:ext uri="{FF2B5EF4-FFF2-40B4-BE49-F238E27FC236}">
                  <a16:creationId xmlns:a16="http://schemas.microsoft.com/office/drawing/2014/main" id="{00000000-0008-0000-1600-000067030000}"/>
                </a:ext>
              </a:extLst>
            </xdr:cNvPr>
            <xdr:cNvSpPr/>
          </xdr:nvSpPr>
          <xdr:spPr>
            <a:xfrm>
              <a:off x="1598763" y="4847333"/>
              <a:ext cx="82781" cy="8755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867" name="그룹 866">
            <a:extLst>
              <a:ext uri="{FF2B5EF4-FFF2-40B4-BE49-F238E27FC236}">
                <a16:creationId xmlns:a16="http://schemas.microsoft.com/office/drawing/2014/main" id="{00000000-0008-0000-1600-000063030000}"/>
              </a:ext>
            </a:extLst>
          </xdr:cNvPr>
          <xdr:cNvGrpSpPr/>
        </xdr:nvGrpSpPr>
        <xdr:grpSpPr>
          <a:xfrm>
            <a:off x="3466698" y="4725143"/>
            <a:ext cx="267791" cy="542098"/>
            <a:chOff x="1524915" y="4717523"/>
            <a:chExt cx="267791" cy="542098"/>
          </a:xfrm>
        </xdr:grpSpPr>
        <xdr:sp macro="" textlink="">
          <xdr:nvSpPr>
            <xdr:cNvPr id="868" name="정육면체 867">
              <a:extLst>
                <a:ext uri="{FF2B5EF4-FFF2-40B4-BE49-F238E27FC236}">
                  <a16:creationId xmlns:a16="http://schemas.microsoft.com/office/drawing/2014/main" id="{00000000-0008-0000-1600-000064030000}"/>
                </a:ext>
              </a:extLst>
            </xdr:cNvPr>
            <xdr:cNvSpPr/>
          </xdr:nvSpPr>
          <xdr:spPr>
            <a:xfrm>
              <a:off x="1524915" y="4717523"/>
              <a:ext cx="267791" cy="542098"/>
            </a:xfrm>
            <a:prstGeom prst="cube">
              <a:avLst>
                <a:gd name="adj" fmla="val 19013"/>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69" name="타원 868">
              <a:extLst>
                <a:ext uri="{FF2B5EF4-FFF2-40B4-BE49-F238E27FC236}">
                  <a16:creationId xmlns:a16="http://schemas.microsoft.com/office/drawing/2014/main" id="{00000000-0008-0000-1600-000065030000}"/>
                </a:ext>
              </a:extLst>
            </xdr:cNvPr>
            <xdr:cNvSpPr/>
          </xdr:nvSpPr>
          <xdr:spPr>
            <a:xfrm>
              <a:off x="1598763" y="4847333"/>
              <a:ext cx="82781" cy="8755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clientData/>
  </xdr:twoCellAnchor>
  <xdr:twoCellAnchor>
    <xdr:from>
      <xdr:col>5</xdr:col>
      <xdr:colOff>229566</xdr:colOff>
      <xdr:row>41</xdr:row>
      <xdr:rowOff>90012</xdr:rowOff>
    </xdr:from>
    <xdr:to>
      <xdr:col>7</xdr:col>
      <xdr:colOff>788771</xdr:colOff>
      <xdr:row>43</xdr:row>
      <xdr:rowOff>105313</xdr:rowOff>
    </xdr:to>
    <xdr:grpSp>
      <xdr:nvGrpSpPr>
        <xdr:cNvPr id="890" name="그룹 889">
          <a:extLst>
            <a:ext uri="{FF2B5EF4-FFF2-40B4-BE49-F238E27FC236}">
              <a16:creationId xmlns:a16="http://schemas.microsoft.com/office/drawing/2014/main" id="{00000000-0008-0000-1600-00007A030000}"/>
            </a:ext>
          </a:extLst>
        </xdr:cNvPr>
        <xdr:cNvGrpSpPr/>
      </xdr:nvGrpSpPr>
      <xdr:grpSpPr>
        <a:xfrm>
          <a:off x="4723125" y="8203071"/>
          <a:ext cx="3652028" cy="441124"/>
          <a:chOff x="-1205877" y="3443398"/>
          <a:chExt cx="8117791" cy="1417865"/>
        </a:xfrm>
      </xdr:grpSpPr>
      <xdr:pic>
        <xdr:nvPicPr>
          <xdr:cNvPr id="891" name="그림 890">
            <a:extLst>
              <a:ext uri="{FF2B5EF4-FFF2-40B4-BE49-F238E27FC236}">
                <a16:creationId xmlns:a16="http://schemas.microsoft.com/office/drawing/2014/main" id="{00000000-0008-0000-1600-00007B030000}"/>
              </a:ext>
            </a:extLst>
          </xdr:cNvPr>
          <xdr:cNvPicPr>
            <a:picLocks noChangeAspect="1"/>
          </xdr:cNvPicPr>
        </xdr:nvPicPr>
        <xdr:blipFill>
          <a:blip xmlns:r="http://schemas.openxmlformats.org/officeDocument/2006/relationships" r:embed="rId2"/>
          <a:stretch>
            <a:fillRect/>
          </a:stretch>
        </xdr:blipFill>
        <xdr:spPr>
          <a:xfrm>
            <a:off x="-904122" y="3484237"/>
            <a:ext cx="7499207" cy="1350664"/>
          </a:xfrm>
          <a:prstGeom prst="rect">
            <a:avLst/>
          </a:prstGeom>
          <a:ln>
            <a:solidFill>
              <a:schemeClr val="tx1"/>
            </a:solidFill>
          </a:ln>
        </xdr:spPr>
      </xdr:pic>
      <xdr:grpSp>
        <xdr:nvGrpSpPr>
          <xdr:cNvPr id="892" name="그룹 891">
            <a:extLst>
              <a:ext uri="{FF2B5EF4-FFF2-40B4-BE49-F238E27FC236}">
                <a16:creationId xmlns:a16="http://schemas.microsoft.com/office/drawing/2014/main" id="{00000000-0008-0000-1600-00007C030000}"/>
              </a:ext>
            </a:extLst>
          </xdr:cNvPr>
          <xdr:cNvGrpSpPr/>
        </xdr:nvGrpSpPr>
        <xdr:grpSpPr>
          <a:xfrm>
            <a:off x="-1205877" y="3443398"/>
            <a:ext cx="8117791" cy="1417865"/>
            <a:chOff x="-2180130" y="4493051"/>
            <a:chExt cx="8117791" cy="1417865"/>
          </a:xfrm>
        </xdr:grpSpPr>
        <xdr:grpSp>
          <xdr:nvGrpSpPr>
            <xdr:cNvPr id="893" name="그룹 892">
              <a:extLst>
                <a:ext uri="{FF2B5EF4-FFF2-40B4-BE49-F238E27FC236}">
                  <a16:creationId xmlns:a16="http://schemas.microsoft.com/office/drawing/2014/main" id="{00000000-0008-0000-1600-00007D030000}"/>
                </a:ext>
              </a:extLst>
            </xdr:cNvPr>
            <xdr:cNvGrpSpPr/>
          </xdr:nvGrpSpPr>
          <xdr:grpSpPr>
            <a:xfrm>
              <a:off x="-1019892" y="4810654"/>
              <a:ext cx="6461061" cy="283757"/>
              <a:chOff x="-304800" y="4789463"/>
              <a:chExt cx="8327899" cy="400054"/>
            </a:xfrm>
          </xdr:grpSpPr>
          <xdr:sp macro="" textlink="">
            <xdr:nvSpPr>
              <xdr:cNvPr id="924" name="직사각형 923">
                <a:extLst>
                  <a:ext uri="{FF2B5EF4-FFF2-40B4-BE49-F238E27FC236}">
                    <a16:creationId xmlns:a16="http://schemas.microsoft.com/office/drawing/2014/main" id="{00000000-0008-0000-1600-00009C030000}"/>
                  </a:ext>
                </a:extLst>
              </xdr:cNvPr>
              <xdr:cNvSpPr/>
            </xdr:nvSpPr>
            <xdr:spPr>
              <a:xfrm>
                <a:off x="-304800" y="4914899"/>
                <a:ext cx="304800" cy="274617"/>
              </a:xfrm>
              <a:prstGeom prst="rect">
                <a:avLst/>
              </a:prstGeom>
              <a:solidFill>
                <a:srgbClr val="FF0000">
                  <a:alpha val="70000"/>
                </a:srgb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25" name="직사각형 924">
                <a:extLst>
                  <a:ext uri="{FF2B5EF4-FFF2-40B4-BE49-F238E27FC236}">
                    <a16:creationId xmlns:a16="http://schemas.microsoft.com/office/drawing/2014/main" id="{00000000-0008-0000-1600-00009D030000}"/>
                  </a:ext>
                </a:extLst>
              </xdr:cNvPr>
              <xdr:cNvSpPr/>
            </xdr:nvSpPr>
            <xdr:spPr>
              <a:xfrm>
                <a:off x="6669975" y="4903023"/>
                <a:ext cx="304800" cy="274617"/>
              </a:xfrm>
              <a:prstGeom prst="rect">
                <a:avLst/>
              </a:prstGeom>
              <a:solidFill>
                <a:srgbClr val="FF0000">
                  <a:alpha val="70000"/>
                </a:srgb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26" name="직사각형 925">
                <a:extLst>
                  <a:ext uri="{FF2B5EF4-FFF2-40B4-BE49-F238E27FC236}">
                    <a16:creationId xmlns:a16="http://schemas.microsoft.com/office/drawing/2014/main" id="{00000000-0008-0000-1600-00009E030000}"/>
                  </a:ext>
                </a:extLst>
              </xdr:cNvPr>
              <xdr:cNvSpPr/>
            </xdr:nvSpPr>
            <xdr:spPr>
              <a:xfrm>
                <a:off x="7194137" y="4903022"/>
                <a:ext cx="304800" cy="274617"/>
              </a:xfrm>
              <a:prstGeom prst="rect">
                <a:avLst/>
              </a:prstGeom>
              <a:solidFill>
                <a:srgbClr val="FF0000">
                  <a:alpha val="70000"/>
                </a:srgb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27" name="직사각형 926">
                <a:extLst>
                  <a:ext uri="{FF2B5EF4-FFF2-40B4-BE49-F238E27FC236}">
                    <a16:creationId xmlns:a16="http://schemas.microsoft.com/office/drawing/2014/main" id="{00000000-0008-0000-1600-00009F030000}"/>
                  </a:ext>
                </a:extLst>
              </xdr:cNvPr>
              <xdr:cNvSpPr/>
            </xdr:nvSpPr>
            <xdr:spPr>
              <a:xfrm>
                <a:off x="7718299" y="4903021"/>
                <a:ext cx="304800" cy="274617"/>
              </a:xfrm>
              <a:prstGeom prst="rect">
                <a:avLst/>
              </a:prstGeom>
              <a:solidFill>
                <a:srgbClr val="FFC000">
                  <a:alpha val="70000"/>
                </a:srgb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28" name="직사각형 927">
                <a:extLst>
                  <a:ext uri="{FF2B5EF4-FFF2-40B4-BE49-F238E27FC236}">
                    <a16:creationId xmlns:a16="http://schemas.microsoft.com/office/drawing/2014/main" id="{00000000-0008-0000-1600-0000A0030000}"/>
                  </a:ext>
                </a:extLst>
              </xdr:cNvPr>
              <xdr:cNvSpPr/>
            </xdr:nvSpPr>
            <xdr:spPr>
              <a:xfrm>
                <a:off x="348011" y="4789463"/>
                <a:ext cx="2228933" cy="400054"/>
              </a:xfrm>
              <a:prstGeom prst="rect">
                <a:avLst/>
              </a:prstGeom>
              <a:solidFill>
                <a:schemeClr val="tx2">
                  <a:alpha val="38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sp macro="" textlink="">
          <xdr:nvSpPr>
            <xdr:cNvPr id="894" name="모서리가 둥근 직사각형 1116">
              <a:extLst>
                <a:ext uri="{FF2B5EF4-FFF2-40B4-BE49-F238E27FC236}">
                  <a16:creationId xmlns:a16="http://schemas.microsoft.com/office/drawing/2014/main" id="{00000000-0008-0000-1600-00007E030000}"/>
                </a:ext>
              </a:extLst>
            </xdr:cNvPr>
            <xdr:cNvSpPr/>
          </xdr:nvSpPr>
          <xdr:spPr>
            <a:xfrm>
              <a:off x="5640778" y="4493051"/>
              <a:ext cx="296883" cy="1402174"/>
            </a:xfrm>
            <a:prstGeom prst="round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95" name="타원 894">
              <a:extLst>
                <a:ext uri="{FF2B5EF4-FFF2-40B4-BE49-F238E27FC236}">
                  <a16:creationId xmlns:a16="http://schemas.microsoft.com/office/drawing/2014/main" id="{00000000-0008-0000-1600-00007F030000}"/>
                </a:ext>
              </a:extLst>
            </xdr:cNvPr>
            <xdr:cNvSpPr/>
          </xdr:nvSpPr>
          <xdr:spPr>
            <a:xfrm>
              <a:off x="5718184" y="4748075"/>
              <a:ext cx="165563" cy="10687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96" name="타원 895">
              <a:extLst>
                <a:ext uri="{FF2B5EF4-FFF2-40B4-BE49-F238E27FC236}">
                  <a16:creationId xmlns:a16="http://schemas.microsoft.com/office/drawing/2014/main" id="{00000000-0008-0000-1600-000080030000}"/>
                </a:ext>
              </a:extLst>
            </xdr:cNvPr>
            <xdr:cNvSpPr/>
          </xdr:nvSpPr>
          <xdr:spPr>
            <a:xfrm>
              <a:off x="5706437" y="5535187"/>
              <a:ext cx="165563" cy="10687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97" name="모서리가 둥근 직사각형 1119">
              <a:extLst>
                <a:ext uri="{FF2B5EF4-FFF2-40B4-BE49-F238E27FC236}">
                  <a16:creationId xmlns:a16="http://schemas.microsoft.com/office/drawing/2014/main" id="{00000000-0008-0000-1600-000081030000}"/>
                </a:ext>
              </a:extLst>
            </xdr:cNvPr>
            <xdr:cNvSpPr/>
          </xdr:nvSpPr>
          <xdr:spPr>
            <a:xfrm>
              <a:off x="-2180130" y="4508742"/>
              <a:ext cx="288780" cy="1402174"/>
            </a:xfrm>
            <a:prstGeom prst="round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98" name="타원 897">
              <a:extLst>
                <a:ext uri="{FF2B5EF4-FFF2-40B4-BE49-F238E27FC236}">
                  <a16:creationId xmlns:a16="http://schemas.microsoft.com/office/drawing/2014/main" id="{00000000-0008-0000-1600-000082030000}"/>
                </a:ext>
              </a:extLst>
            </xdr:cNvPr>
            <xdr:cNvSpPr/>
          </xdr:nvSpPr>
          <xdr:spPr>
            <a:xfrm>
              <a:off x="-2118522" y="4725143"/>
              <a:ext cx="165563" cy="10687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99" name="타원 898">
              <a:extLst>
                <a:ext uri="{FF2B5EF4-FFF2-40B4-BE49-F238E27FC236}">
                  <a16:creationId xmlns:a16="http://schemas.microsoft.com/office/drawing/2014/main" id="{00000000-0008-0000-1600-000083030000}"/>
                </a:ext>
              </a:extLst>
            </xdr:cNvPr>
            <xdr:cNvSpPr/>
          </xdr:nvSpPr>
          <xdr:spPr>
            <a:xfrm>
              <a:off x="-2118522" y="5588626"/>
              <a:ext cx="165563" cy="10687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nvGrpSpPr>
            <xdr:cNvPr id="900" name="그룹 899">
              <a:extLst>
                <a:ext uri="{FF2B5EF4-FFF2-40B4-BE49-F238E27FC236}">
                  <a16:creationId xmlns:a16="http://schemas.microsoft.com/office/drawing/2014/main" id="{00000000-0008-0000-1600-000084030000}"/>
                </a:ext>
              </a:extLst>
            </xdr:cNvPr>
            <xdr:cNvGrpSpPr/>
          </xdr:nvGrpSpPr>
          <xdr:grpSpPr>
            <a:xfrm>
              <a:off x="1502055" y="4725143"/>
              <a:ext cx="267791" cy="542098"/>
              <a:chOff x="1524915" y="4717523"/>
              <a:chExt cx="267791" cy="542098"/>
            </a:xfrm>
          </xdr:grpSpPr>
          <xdr:sp macro="" textlink="">
            <xdr:nvSpPr>
              <xdr:cNvPr id="922" name="정육면체 921">
                <a:extLst>
                  <a:ext uri="{FF2B5EF4-FFF2-40B4-BE49-F238E27FC236}">
                    <a16:creationId xmlns:a16="http://schemas.microsoft.com/office/drawing/2014/main" id="{00000000-0008-0000-1600-00009A030000}"/>
                  </a:ext>
                </a:extLst>
              </xdr:cNvPr>
              <xdr:cNvSpPr/>
            </xdr:nvSpPr>
            <xdr:spPr>
              <a:xfrm>
                <a:off x="1524915" y="4717523"/>
                <a:ext cx="267791" cy="542098"/>
              </a:xfrm>
              <a:prstGeom prst="cube">
                <a:avLst>
                  <a:gd name="adj" fmla="val 19013"/>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23" name="타원 922">
                <a:extLst>
                  <a:ext uri="{FF2B5EF4-FFF2-40B4-BE49-F238E27FC236}">
                    <a16:creationId xmlns:a16="http://schemas.microsoft.com/office/drawing/2014/main" id="{00000000-0008-0000-1600-00009B030000}"/>
                  </a:ext>
                </a:extLst>
              </xdr:cNvPr>
              <xdr:cNvSpPr/>
            </xdr:nvSpPr>
            <xdr:spPr>
              <a:xfrm>
                <a:off x="1598763" y="4847333"/>
                <a:ext cx="82781" cy="8755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901" name="그룹 900">
              <a:extLst>
                <a:ext uri="{FF2B5EF4-FFF2-40B4-BE49-F238E27FC236}">
                  <a16:creationId xmlns:a16="http://schemas.microsoft.com/office/drawing/2014/main" id="{00000000-0008-0000-1600-000085030000}"/>
                </a:ext>
              </a:extLst>
            </xdr:cNvPr>
            <xdr:cNvGrpSpPr/>
          </xdr:nvGrpSpPr>
          <xdr:grpSpPr>
            <a:xfrm>
              <a:off x="1778364" y="4725143"/>
              <a:ext cx="267791" cy="542098"/>
              <a:chOff x="1524915" y="4717523"/>
              <a:chExt cx="267791" cy="542098"/>
            </a:xfrm>
          </xdr:grpSpPr>
          <xdr:sp macro="" textlink="">
            <xdr:nvSpPr>
              <xdr:cNvPr id="920" name="정육면체 919">
                <a:extLst>
                  <a:ext uri="{FF2B5EF4-FFF2-40B4-BE49-F238E27FC236}">
                    <a16:creationId xmlns:a16="http://schemas.microsoft.com/office/drawing/2014/main" id="{00000000-0008-0000-1600-000098030000}"/>
                  </a:ext>
                </a:extLst>
              </xdr:cNvPr>
              <xdr:cNvSpPr/>
            </xdr:nvSpPr>
            <xdr:spPr>
              <a:xfrm>
                <a:off x="1524915" y="4717523"/>
                <a:ext cx="267791" cy="542098"/>
              </a:xfrm>
              <a:prstGeom prst="cube">
                <a:avLst>
                  <a:gd name="adj" fmla="val 19013"/>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21" name="타원 920">
                <a:extLst>
                  <a:ext uri="{FF2B5EF4-FFF2-40B4-BE49-F238E27FC236}">
                    <a16:creationId xmlns:a16="http://schemas.microsoft.com/office/drawing/2014/main" id="{00000000-0008-0000-1600-000099030000}"/>
                  </a:ext>
                </a:extLst>
              </xdr:cNvPr>
              <xdr:cNvSpPr/>
            </xdr:nvSpPr>
            <xdr:spPr>
              <a:xfrm>
                <a:off x="1598763" y="4847333"/>
                <a:ext cx="82781" cy="8755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902" name="그룹 901">
              <a:extLst>
                <a:ext uri="{FF2B5EF4-FFF2-40B4-BE49-F238E27FC236}">
                  <a16:creationId xmlns:a16="http://schemas.microsoft.com/office/drawing/2014/main" id="{00000000-0008-0000-1600-000086030000}"/>
                </a:ext>
              </a:extLst>
            </xdr:cNvPr>
            <xdr:cNvGrpSpPr/>
          </xdr:nvGrpSpPr>
          <xdr:grpSpPr>
            <a:xfrm>
              <a:off x="2054673" y="4725143"/>
              <a:ext cx="267791" cy="542098"/>
              <a:chOff x="1524915" y="4717523"/>
              <a:chExt cx="267791" cy="542098"/>
            </a:xfrm>
          </xdr:grpSpPr>
          <xdr:sp macro="" textlink="">
            <xdr:nvSpPr>
              <xdr:cNvPr id="918" name="정육면체 917">
                <a:extLst>
                  <a:ext uri="{FF2B5EF4-FFF2-40B4-BE49-F238E27FC236}">
                    <a16:creationId xmlns:a16="http://schemas.microsoft.com/office/drawing/2014/main" id="{00000000-0008-0000-1600-000096030000}"/>
                  </a:ext>
                </a:extLst>
              </xdr:cNvPr>
              <xdr:cNvSpPr/>
            </xdr:nvSpPr>
            <xdr:spPr>
              <a:xfrm>
                <a:off x="1524915" y="4717523"/>
                <a:ext cx="267791" cy="542098"/>
              </a:xfrm>
              <a:prstGeom prst="cube">
                <a:avLst>
                  <a:gd name="adj" fmla="val 19013"/>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19" name="타원 918">
                <a:extLst>
                  <a:ext uri="{FF2B5EF4-FFF2-40B4-BE49-F238E27FC236}">
                    <a16:creationId xmlns:a16="http://schemas.microsoft.com/office/drawing/2014/main" id="{00000000-0008-0000-1600-000097030000}"/>
                  </a:ext>
                </a:extLst>
              </xdr:cNvPr>
              <xdr:cNvSpPr/>
            </xdr:nvSpPr>
            <xdr:spPr>
              <a:xfrm>
                <a:off x="1598763" y="4847333"/>
                <a:ext cx="82781" cy="8755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903" name="그룹 902">
              <a:extLst>
                <a:ext uri="{FF2B5EF4-FFF2-40B4-BE49-F238E27FC236}">
                  <a16:creationId xmlns:a16="http://schemas.microsoft.com/office/drawing/2014/main" id="{00000000-0008-0000-1600-000087030000}"/>
                </a:ext>
              </a:extLst>
            </xdr:cNvPr>
            <xdr:cNvGrpSpPr/>
          </xdr:nvGrpSpPr>
          <xdr:grpSpPr>
            <a:xfrm>
              <a:off x="2330982" y="4725143"/>
              <a:ext cx="267791" cy="542098"/>
              <a:chOff x="1524915" y="4717523"/>
              <a:chExt cx="267791" cy="542098"/>
            </a:xfrm>
          </xdr:grpSpPr>
          <xdr:sp macro="" textlink="">
            <xdr:nvSpPr>
              <xdr:cNvPr id="916" name="정육면체 915">
                <a:extLst>
                  <a:ext uri="{FF2B5EF4-FFF2-40B4-BE49-F238E27FC236}">
                    <a16:creationId xmlns:a16="http://schemas.microsoft.com/office/drawing/2014/main" id="{00000000-0008-0000-1600-000094030000}"/>
                  </a:ext>
                </a:extLst>
              </xdr:cNvPr>
              <xdr:cNvSpPr/>
            </xdr:nvSpPr>
            <xdr:spPr>
              <a:xfrm>
                <a:off x="1524915" y="4717523"/>
                <a:ext cx="267791" cy="542098"/>
              </a:xfrm>
              <a:prstGeom prst="cube">
                <a:avLst>
                  <a:gd name="adj" fmla="val 19013"/>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17" name="타원 916">
                <a:extLst>
                  <a:ext uri="{FF2B5EF4-FFF2-40B4-BE49-F238E27FC236}">
                    <a16:creationId xmlns:a16="http://schemas.microsoft.com/office/drawing/2014/main" id="{00000000-0008-0000-1600-000095030000}"/>
                  </a:ext>
                </a:extLst>
              </xdr:cNvPr>
              <xdr:cNvSpPr/>
            </xdr:nvSpPr>
            <xdr:spPr>
              <a:xfrm>
                <a:off x="1598763" y="4847333"/>
                <a:ext cx="82781" cy="8755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904" name="그룹 903">
              <a:extLst>
                <a:ext uri="{FF2B5EF4-FFF2-40B4-BE49-F238E27FC236}">
                  <a16:creationId xmlns:a16="http://schemas.microsoft.com/office/drawing/2014/main" id="{00000000-0008-0000-1600-000088030000}"/>
                </a:ext>
              </a:extLst>
            </xdr:cNvPr>
            <xdr:cNvGrpSpPr/>
          </xdr:nvGrpSpPr>
          <xdr:grpSpPr>
            <a:xfrm>
              <a:off x="2614911" y="4725143"/>
              <a:ext cx="267791" cy="542098"/>
              <a:chOff x="1524915" y="4717523"/>
              <a:chExt cx="267791" cy="542098"/>
            </a:xfrm>
          </xdr:grpSpPr>
          <xdr:sp macro="" textlink="">
            <xdr:nvSpPr>
              <xdr:cNvPr id="914" name="정육면체 913">
                <a:extLst>
                  <a:ext uri="{FF2B5EF4-FFF2-40B4-BE49-F238E27FC236}">
                    <a16:creationId xmlns:a16="http://schemas.microsoft.com/office/drawing/2014/main" id="{00000000-0008-0000-1600-000092030000}"/>
                  </a:ext>
                </a:extLst>
              </xdr:cNvPr>
              <xdr:cNvSpPr/>
            </xdr:nvSpPr>
            <xdr:spPr>
              <a:xfrm>
                <a:off x="1524915" y="4717523"/>
                <a:ext cx="267791" cy="542098"/>
              </a:xfrm>
              <a:prstGeom prst="cube">
                <a:avLst>
                  <a:gd name="adj" fmla="val 19013"/>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15" name="타원 914">
                <a:extLst>
                  <a:ext uri="{FF2B5EF4-FFF2-40B4-BE49-F238E27FC236}">
                    <a16:creationId xmlns:a16="http://schemas.microsoft.com/office/drawing/2014/main" id="{00000000-0008-0000-1600-000093030000}"/>
                  </a:ext>
                </a:extLst>
              </xdr:cNvPr>
              <xdr:cNvSpPr/>
            </xdr:nvSpPr>
            <xdr:spPr>
              <a:xfrm>
                <a:off x="1598763" y="4847333"/>
                <a:ext cx="82781" cy="8755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905" name="그룹 904">
              <a:extLst>
                <a:ext uri="{FF2B5EF4-FFF2-40B4-BE49-F238E27FC236}">
                  <a16:creationId xmlns:a16="http://schemas.microsoft.com/office/drawing/2014/main" id="{00000000-0008-0000-1600-000089030000}"/>
                </a:ext>
              </a:extLst>
            </xdr:cNvPr>
            <xdr:cNvGrpSpPr/>
          </xdr:nvGrpSpPr>
          <xdr:grpSpPr>
            <a:xfrm>
              <a:off x="2898840" y="4725143"/>
              <a:ext cx="267791" cy="542098"/>
              <a:chOff x="1524915" y="4717523"/>
              <a:chExt cx="267791" cy="542098"/>
            </a:xfrm>
          </xdr:grpSpPr>
          <xdr:sp macro="" textlink="">
            <xdr:nvSpPr>
              <xdr:cNvPr id="912" name="정육면체 911">
                <a:extLst>
                  <a:ext uri="{FF2B5EF4-FFF2-40B4-BE49-F238E27FC236}">
                    <a16:creationId xmlns:a16="http://schemas.microsoft.com/office/drawing/2014/main" id="{00000000-0008-0000-1600-000090030000}"/>
                  </a:ext>
                </a:extLst>
              </xdr:cNvPr>
              <xdr:cNvSpPr/>
            </xdr:nvSpPr>
            <xdr:spPr>
              <a:xfrm>
                <a:off x="1524915" y="4717523"/>
                <a:ext cx="267791" cy="542098"/>
              </a:xfrm>
              <a:prstGeom prst="cube">
                <a:avLst>
                  <a:gd name="adj" fmla="val 19013"/>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13" name="타원 912">
                <a:extLst>
                  <a:ext uri="{FF2B5EF4-FFF2-40B4-BE49-F238E27FC236}">
                    <a16:creationId xmlns:a16="http://schemas.microsoft.com/office/drawing/2014/main" id="{00000000-0008-0000-1600-000091030000}"/>
                  </a:ext>
                </a:extLst>
              </xdr:cNvPr>
              <xdr:cNvSpPr/>
            </xdr:nvSpPr>
            <xdr:spPr>
              <a:xfrm>
                <a:off x="1598763" y="4847333"/>
                <a:ext cx="82781" cy="8755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906" name="그룹 905">
              <a:extLst>
                <a:ext uri="{FF2B5EF4-FFF2-40B4-BE49-F238E27FC236}">
                  <a16:creationId xmlns:a16="http://schemas.microsoft.com/office/drawing/2014/main" id="{00000000-0008-0000-1600-00008A030000}"/>
                </a:ext>
              </a:extLst>
            </xdr:cNvPr>
            <xdr:cNvGrpSpPr/>
          </xdr:nvGrpSpPr>
          <xdr:grpSpPr>
            <a:xfrm>
              <a:off x="3182769" y="4725143"/>
              <a:ext cx="267791" cy="542098"/>
              <a:chOff x="1524915" y="4717523"/>
              <a:chExt cx="267791" cy="542098"/>
            </a:xfrm>
          </xdr:grpSpPr>
          <xdr:sp macro="" textlink="">
            <xdr:nvSpPr>
              <xdr:cNvPr id="910" name="정육면체 909">
                <a:extLst>
                  <a:ext uri="{FF2B5EF4-FFF2-40B4-BE49-F238E27FC236}">
                    <a16:creationId xmlns:a16="http://schemas.microsoft.com/office/drawing/2014/main" id="{00000000-0008-0000-1600-00008E030000}"/>
                  </a:ext>
                </a:extLst>
              </xdr:cNvPr>
              <xdr:cNvSpPr/>
            </xdr:nvSpPr>
            <xdr:spPr>
              <a:xfrm>
                <a:off x="1524915" y="4717523"/>
                <a:ext cx="267791" cy="542098"/>
              </a:xfrm>
              <a:prstGeom prst="cube">
                <a:avLst>
                  <a:gd name="adj" fmla="val 19013"/>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11" name="타원 910">
                <a:extLst>
                  <a:ext uri="{FF2B5EF4-FFF2-40B4-BE49-F238E27FC236}">
                    <a16:creationId xmlns:a16="http://schemas.microsoft.com/office/drawing/2014/main" id="{00000000-0008-0000-1600-00008F030000}"/>
                  </a:ext>
                </a:extLst>
              </xdr:cNvPr>
              <xdr:cNvSpPr/>
            </xdr:nvSpPr>
            <xdr:spPr>
              <a:xfrm>
                <a:off x="1598763" y="4847333"/>
                <a:ext cx="82781" cy="8755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907" name="그룹 906">
              <a:extLst>
                <a:ext uri="{FF2B5EF4-FFF2-40B4-BE49-F238E27FC236}">
                  <a16:creationId xmlns:a16="http://schemas.microsoft.com/office/drawing/2014/main" id="{00000000-0008-0000-1600-00008B030000}"/>
                </a:ext>
              </a:extLst>
            </xdr:cNvPr>
            <xdr:cNvGrpSpPr/>
          </xdr:nvGrpSpPr>
          <xdr:grpSpPr>
            <a:xfrm>
              <a:off x="3466698" y="4725143"/>
              <a:ext cx="267791" cy="542098"/>
              <a:chOff x="1524915" y="4717523"/>
              <a:chExt cx="267791" cy="542098"/>
            </a:xfrm>
          </xdr:grpSpPr>
          <xdr:sp macro="" textlink="">
            <xdr:nvSpPr>
              <xdr:cNvPr id="908" name="정육면체 907">
                <a:extLst>
                  <a:ext uri="{FF2B5EF4-FFF2-40B4-BE49-F238E27FC236}">
                    <a16:creationId xmlns:a16="http://schemas.microsoft.com/office/drawing/2014/main" id="{00000000-0008-0000-1600-00008C030000}"/>
                  </a:ext>
                </a:extLst>
              </xdr:cNvPr>
              <xdr:cNvSpPr/>
            </xdr:nvSpPr>
            <xdr:spPr>
              <a:xfrm>
                <a:off x="1524915" y="4717523"/>
                <a:ext cx="267791" cy="542098"/>
              </a:xfrm>
              <a:prstGeom prst="cube">
                <a:avLst>
                  <a:gd name="adj" fmla="val 19013"/>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09" name="타원 908">
                <a:extLst>
                  <a:ext uri="{FF2B5EF4-FFF2-40B4-BE49-F238E27FC236}">
                    <a16:creationId xmlns:a16="http://schemas.microsoft.com/office/drawing/2014/main" id="{00000000-0008-0000-1600-00008D030000}"/>
                  </a:ext>
                </a:extLst>
              </xdr:cNvPr>
              <xdr:cNvSpPr/>
            </xdr:nvSpPr>
            <xdr:spPr>
              <a:xfrm>
                <a:off x="1598763" y="4847333"/>
                <a:ext cx="82781" cy="87558"/>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grpSp>
    <xdr:clientData/>
  </xdr:twoCellAnchor>
  <xdr:twoCellAnchor>
    <xdr:from>
      <xdr:col>5</xdr:col>
      <xdr:colOff>300000</xdr:colOff>
      <xdr:row>44</xdr:row>
      <xdr:rowOff>158054</xdr:rowOff>
    </xdr:from>
    <xdr:to>
      <xdr:col>7</xdr:col>
      <xdr:colOff>786069</xdr:colOff>
      <xdr:row>56</xdr:row>
      <xdr:rowOff>141066</xdr:rowOff>
    </xdr:to>
    <xdr:pic>
      <xdr:nvPicPr>
        <xdr:cNvPr id="929" name="그림 928">
          <a:extLst>
            <a:ext uri="{FF2B5EF4-FFF2-40B4-BE49-F238E27FC236}">
              <a16:creationId xmlns:a16="http://schemas.microsoft.com/office/drawing/2014/main" id="{00000000-0008-0000-1600-0000A103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803964" y="8580875"/>
          <a:ext cx="3561284" cy="2432298"/>
        </a:xfrm>
        <a:prstGeom prst="rect">
          <a:avLst/>
        </a:prstGeom>
        <a:ln w="12700">
          <a:solidFill>
            <a:schemeClr val="tx1"/>
          </a:solidFill>
        </a:ln>
      </xdr:spPr>
    </xdr:pic>
    <xdr:clientData/>
  </xdr:twoCellAnchor>
  <xdr:twoCellAnchor>
    <xdr:from>
      <xdr:col>5</xdr:col>
      <xdr:colOff>860858</xdr:colOff>
      <xdr:row>45</xdr:row>
      <xdr:rowOff>198714</xdr:rowOff>
    </xdr:from>
    <xdr:to>
      <xdr:col>5</xdr:col>
      <xdr:colOff>1051212</xdr:colOff>
      <xdr:row>50</xdr:row>
      <xdr:rowOff>106926</xdr:rowOff>
    </xdr:to>
    <xdr:grpSp>
      <xdr:nvGrpSpPr>
        <xdr:cNvPr id="930" name="그룹 929">
          <a:extLst>
            <a:ext uri="{FF2B5EF4-FFF2-40B4-BE49-F238E27FC236}">
              <a16:creationId xmlns:a16="http://schemas.microsoft.com/office/drawing/2014/main" id="{00000000-0008-0000-1600-0000A2030000}"/>
            </a:ext>
          </a:extLst>
        </xdr:cNvPr>
        <xdr:cNvGrpSpPr/>
      </xdr:nvGrpSpPr>
      <xdr:grpSpPr>
        <a:xfrm>
          <a:off x="5354417" y="9163420"/>
          <a:ext cx="190354" cy="972771"/>
          <a:chOff x="3200400" y="2705100"/>
          <a:chExt cx="677689" cy="5372100"/>
        </a:xfrm>
      </xdr:grpSpPr>
      <xdr:grpSp>
        <xdr:nvGrpSpPr>
          <xdr:cNvPr id="931" name="그룹 930">
            <a:extLst>
              <a:ext uri="{FF2B5EF4-FFF2-40B4-BE49-F238E27FC236}">
                <a16:creationId xmlns:a16="http://schemas.microsoft.com/office/drawing/2014/main" id="{00000000-0008-0000-1600-0000A3030000}"/>
              </a:ext>
            </a:extLst>
          </xdr:cNvPr>
          <xdr:cNvGrpSpPr/>
        </xdr:nvGrpSpPr>
        <xdr:grpSpPr>
          <a:xfrm>
            <a:off x="3200400" y="2705100"/>
            <a:ext cx="677689" cy="5372100"/>
            <a:chOff x="1524000" y="-4029877"/>
            <a:chExt cx="3454400" cy="27383317"/>
          </a:xfrm>
        </xdr:grpSpPr>
        <xdr:pic>
          <xdr:nvPicPr>
            <xdr:cNvPr id="936" name="그림 935">
              <a:extLst>
                <a:ext uri="{FF2B5EF4-FFF2-40B4-BE49-F238E27FC236}">
                  <a16:creationId xmlns:a16="http://schemas.microsoft.com/office/drawing/2014/main" id="{00000000-0008-0000-1600-0000A8030000}"/>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3589" t="770" r="3589" b="1667"/>
            <a:stretch/>
          </xdr:blipFill>
          <xdr:spPr>
            <a:xfrm>
              <a:off x="1524000" y="-4029877"/>
              <a:ext cx="3454400" cy="27383317"/>
            </a:xfrm>
            <a:prstGeom prst="rect">
              <a:avLst/>
            </a:prstGeom>
          </xdr:spPr>
        </xdr:pic>
        <xdr:sp macro="" textlink="">
          <xdr:nvSpPr>
            <xdr:cNvPr id="937" name="타원 936">
              <a:extLst>
                <a:ext uri="{FF2B5EF4-FFF2-40B4-BE49-F238E27FC236}">
                  <a16:creationId xmlns:a16="http://schemas.microsoft.com/office/drawing/2014/main" id="{00000000-0008-0000-1600-0000A9030000}"/>
                </a:ext>
              </a:extLst>
            </xdr:cNvPr>
            <xdr:cNvSpPr/>
          </xdr:nvSpPr>
          <xdr:spPr>
            <a:xfrm>
              <a:off x="2260600" y="2197097"/>
              <a:ext cx="381005" cy="381005"/>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38" name="타원 937">
              <a:extLst>
                <a:ext uri="{FF2B5EF4-FFF2-40B4-BE49-F238E27FC236}">
                  <a16:creationId xmlns:a16="http://schemas.microsoft.com/office/drawing/2014/main" id="{00000000-0008-0000-1600-0000AA030000}"/>
                </a:ext>
              </a:extLst>
            </xdr:cNvPr>
            <xdr:cNvSpPr/>
          </xdr:nvSpPr>
          <xdr:spPr>
            <a:xfrm>
              <a:off x="2260600" y="2882904"/>
              <a:ext cx="381005" cy="381005"/>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39" name="타원 938">
              <a:extLst>
                <a:ext uri="{FF2B5EF4-FFF2-40B4-BE49-F238E27FC236}">
                  <a16:creationId xmlns:a16="http://schemas.microsoft.com/office/drawing/2014/main" id="{00000000-0008-0000-1600-0000AB030000}"/>
                </a:ext>
              </a:extLst>
            </xdr:cNvPr>
            <xdr:cNvSpPr/>
          </xdr:nvSpPr>
          <xdr:spPr>
            <a:xfrm>
              <a:off x="2260600" y="3543302"/>
              <a:ext cx="381005" cy="381005"/>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40" name="타원 939">
              <a:extLst>
                <a:ext uri="{FF2B5EF4-FFF2-40B4-BE49-F238E27FC236}">
                  <a16:creationId xmlns:a16="http://schemas.microsoft.com/office/drawing/2014/main" id="{00000000-0008-0000-1600-0000AC030000}"/>
                </a:ext>
              </a:extLst>
            </xdr:cNvPr>
            <xdr:cNvSpPr/>
          </xdr:nvSpPr>
          <xdr:spPr>
            <a:xfrm>
              <a:off x="2260600" y="4203699"/>
              <a:ext cx="381005" cy="381005"/>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41" name="타원 940">
              <a:extLst>
                <a:ext uri="{FF2B5EF4-FFF2-40B4-BE49-F238E27FC236}">
                  <a16:creationId xmlns:a16="http://schemas.microsoft.com/office/drawing/2014/main" id="{00000000-0008-0000-1600-0000AD030000}"/>
                </a:ext>
              </a:extLst>
            </xdr:cNvPr>
            <xdr:cNvSpPr/>
          </xdr:nvSpPr>
          <xdr:spPr>
            <a:xfrm>
              <a:off x="2247901" y="5549904"/>
              <a:ext cx="381005" cy="381005"/>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42" name="타원 941">
              <a:extLst>
                <a:ext uri="{FF2B5EF4-FFF2-40B4-BE49-F238E27FC236}">
                  <a16:creationId xmlns:a16="http://schemas.microsoft.com/office/drawing/2014/main" id="{00000000-0008-0000-1600-0000AE030000}"/>
                </a:ext>
              </a:extLst>
            </xdr:cNvPr>
            <xdr:cNvSpPr/>
          </xdr:nvSpPr>
          <xdr:spPr>
            <a:xfrm>
              <a:off x="2260600" y="6223000"/>
              <a:ext cx="381005" cy="381005"/>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43" name="타원 942">
              <a:extLst>
                <a:ext uri="{FF2B5EF4-FFF2-40B4-BE49-F238E27FC236}">
                  <a16:creationId xmlns:a16="http://schemas.microsoft.com/office/drawing/2014/main" id="{00000000-0008-0000-1600-0000AF030000}"/>
                </a:ext>
              </a:extLst>
            </xdr:cNvPr>
            <xdr:cNvSpPr/>
          </xdr:nvSpPr>
          <xdr:spPr>
            <a:xfrm>
              <a:off x="2260600" y="6896096"/>
              <a:ext cx="381005" cy="381005"/>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44" name="타원 943">
              <a:extLst>
                <a:ext uri="{FF2B5EF4-FFF2-40B4-BE49-F238E27FC236}">
                  <a16:creationId xmlns:a16="http://schemas.microsoft.com/office/drawing/2014/main" id="{00000000-0008-0000-1600-0000B0030000}"/>
                </a:ext>
              </a:extLst>
            </xdr:cNvPr>
            <xdr:cNvSpPr/>
          </xdr:nvSpPr>
          <xdr:spPr>
            <a:xfrm>
              <a:off x="2260600" y="7569205"/>
              <a:ext cx="381005" cy="381005"/>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932" name="그룹 931">
            <a:extLst>
              <a:ext uri="{FF2B5EF4-FFF2-40B4-BE49-F238E27FC236}">
                <a16:creationId xmlns:a16="http://schemas.microsoft.com/office/drawing/2014/main" id="{00000000-0008-0000-1600-0000A4030000}"/>
              </a:ext>
            </a:extLst>
          </xdr:cNvPr>
          <xdr:cNvGrpSpPr/>
        </xdr:nvGrpSpPr>
        <xdr:grpSpPr>
          <a:xfrm>
            <a:off x="3201178" y="6964179"/>
            <a:ext cx="541029" cy="1112421"/>
            <a:chOff x="3935130" y="5943813"/>
            <a:chExt cx="357219" cy="734485"/>
          </a:xfrm>
        </xdr:grpSpPr>
        <xdr:sp macro="" textlink="">
          <xdr:nvSpPr>
            <xdr:cNvPr id="933" name="직사각형 932">
              <a:extLst>
                <a:ext uri="{FF2B5EF4-FFF2-40B4-BE49-F238E27FC236}">
                  <a16:creationId xmlns:a16="http://schemas.microsoft.com/office/drawing/2014/main" id="{00000000-0008-0000-1600-0000A5030000}"/>
                </a:ext>
              </a:extLst>
            </xdr:cNvPr>
            <xdr:cNvSpPr/>
          </xdr:nvSpPr>
          <xdr:spPr>
            <a:xfrm>
              <a:off x="3935130" y="5943813"/>
              <a:ext cx="357219" cy="734485"/>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34" name="직사각형 933">
              <a:extLst>
                <a:ext uri="{FF2B5EF4-FFF2-40B4-BE49-F238E27FC236}">
                  <a16:creationId xmlns:a16="http://schemas.microsoft.com/office/drawing/2014/main" id="{00000000-0008-0000-1600-0000A6030000}"/>
                </a:ext>
              </a:extLst>
            </xdr:cNvPr>
            <xdr:cNvSpPr/>
          </xdr:nvSpPr>
          <xdr:spPr>
            <a:xfrm>
              <a:off x="4000695" y="6311453"/>
              <a:ext cx="226089" cy="288035"/>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35" name="직사각형 934">
              <a:extLst>
                <a:ext uri="{FF2B5EF4-FFF2-40B4-BE49-F238E27FC236}">
                  <a16:creationId xmlns:a16="http://schemas.microsoft.com/office/drawing/2014/main" id="{00000000-0008-0000-1600-0000A7030000}"/>
                </a:ext>
              </a:extLst>
            </xdr:cNvPr>
            <xdr:cNvSpPr/>
          </xdr:nvSpPr>
          <xdr:spPr>
            <a:xfrm>
              <a:off x="4011555" y="6311453"/>
              <a:ext cx="204364" cy="100812"/>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clientData/>
  </xdr:twoCellAnchor>
  <xdr:twoCellAnchor>
    <xdr:from>
      <xdr:col>5</xdr:col>
      <xdr:colOff>864027</xdr:colOff>
      <xdr:row>50</xdr:row>
      <xdr:rowOff>193102</xdr:rowOff>
    </xdr:from>
    <xdr:to>
      <xdr:col>5</xdr:col>
      <xdr:colOff>1054374</xdr:colOff>
      <xdr:row>55</xdr:row>
      <xdr:rowOff>96646</xdr:rowOff>
    </xdr:to>
    <xdr:grpSp>
      <xdr:nvGrpSpPr>
        <xdr:cNvPr id="945" name="그룹 944">
          <a:extLst>
            <a:ext uri="{FF2B5EF4-FFF2-40B4-BE49-F238E27FC236}">
              <a16:creationId xmlns:a16="http://schemas.microsoft.com/office/drawing/2014/main" id="{00000000-0008-0000-1600-0000B1030000}"/>
            </a:ext>
          </a:extLst>
        </xdr:cNvPr>
        <xdr:cNvGrpSpPr/>
      </xdr:nvGrpSpPr>
      <xdr:grpSpPr>
        <a:xfrm>
          <a:off x="5357586" y="10222367"/>
          <a:ext cx="190347" cy="968103"/>
          <a:chOff x="3200400" y="2705100"/>
          <a:chExt cx="677689" cy="5372100"/>
        </a:xfrm>
      </xdr:grpSpPr>
      <xdr:pic>
        <xdr:nvPicPr>
          <xdr:cNvPr id="946" name="그림 945">
            <a:extLst>
              <a:ext uri="{FF2B5EF4-FFF2-40B4-BE49-F238E27FC236}">
                <a16:creationId xmlns:a16="http://schemas.microsoft.com/office/drawing/2014/main" id="{00000000-0008-0000-1600-0000B2030000}"/>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3589" t="770" r="3589" b="1667"/>
          <a:stretch/>
        </xdr:blipFill>
        <xdr:spPr>
          <a:xfrm>
            <a:off x="3200400" y="2705100"/>
            <a:ext cx="677689" cy="5372100"/>
          </a:xfrm>
          <a:prstGeom prst="rect">
            <a:avLst/>
          </a:prstGeom>
        </xdr:spPr>
      </xdr:pic>
      <xdr:grpSp>
        <xdr:nvGrpSpPr>
          <xdr:cNvPr id="947" name="그룹 946">
            <a:extLst>
              <a:ext uri="{FF2B5EF4-FFF2-40B4-BE49-F238E27FC236}">
                <a16:creationId xmlns:a16="http://schemas.microsoft.com/office/drawing/2014/main" id="{00000000-0008-0000-1600-0000B3030000}"/>
              </a:ext>
            </a:extLst>
          </xdr:cNvPr>
          <xdr:cNvGrpSpPr/>
        </xdr:nvGrpSpPr>
        <xdr:grpSpPr>
          <a:xfrm>
            <a:off x="3201178" y="6964179"/>
            <a:ext cx="541029" cy="1112421"/>
            <a:chOff x="3935130" y="5943813"/>
            <a:chExt cx="357219" cy="734485"/>
          </a:xfrm>
        </xdr:grpSpPr>
        <xdr:sp macro="" textlink="">
          <xdr:nvSpPr>
            <xdr:cNvPr id="948" name="직사각형 947">
              <a:extLst>
                <a:ext uri="{FF2B5EF4-FFF2-40B4-BE49-F238E27FC236}">
                  <a16:creationId xmlns:a16="http://schemas.microsoft.com/office/drawing/2014/main" id="{00000000-0008-0000-1600-0000B4030000}"/>
                </a:ext>
              </a:extLst>
            </xdr:cNvPr>
            <xdr:cNvSpPr/>
          </xdr:nvSpPr>
          <xdr:spPr>
            <a:xfrm>
              <a:off x="3935130" y="5943813"/>
              <a:ext cx="357219" cy="734485"/>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49" name="직사각형 948">
              <a:extLst>
                <a:ext uri="{FF2B5EF4-FFF2-40B4-BE49-F238E27FC236}">
                  <a16:creationId xmlns:a16="http://schemas.microsoft.com/office/drawing/2014/main" id="{00000000-0008-0000-1600-0000B5030000}"/>
                </a:ext>
              </a:extLst>
            </xdr:cNvPr>
            <xdr:cNvSpPr/>
          </xdr:nvSpPr>
          <xdr:spPr>
            <a:xfrm>
              <a:off x="4000695" y="6311453"/>
              <a:ext cx="226089" cy="288035"/>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50" name="직사각형 949">
              <a:extLst>
                <a:ext uri="{FF2B5EF4-FFF2-40B4-BE49-F238E27FC236}">
                  <a16:creationId xmlns:a16="http://schemas.microsoft.com/office/drawing/2014/main" id="{00000000-0008-0000-1600-0000B6030000}"/>
                </a:ext>
              </a:extLst>
            </xdr:cNvPr>
            <xdr:cNvSpPr/>
          </xdr:nvSpPr>
          <xdr:spPr>
            <a:xfrm>
              <a:off x="4011555" y="6311453"/>
              <a:ext cx="204364" cy="100812"/>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clientData/>
  </xdr:twoCellAnchor>
  <xdr:twoCellAnchor>
    <xdr:from>
      <xdr:col>5</xdr:col>
      <xdr:colOff>1242906</xdr:colOff>
      <xdr:row>54</xdr:row>
      <xdr:rowOff>109197</xdr:rowOff>
    </xdr:from>
    <xdr:to>
      <xdr:col>5</xdr:col>
      <xdr:colOff>1392899</xdr:colOff>
      <xdr:row>55</xdr:row>
      <xdr:rowOff>107135</xdr:rowOff>
    </xdr:to>
    <xdr:grpSp>
      <xdr:nvGrpSpPr>
        <xdr:cNvPr id="951" name="그룹 950">
          <a:extLst>
            <a:ext uri="{FF2B5EF4-FFF2-40B4-BE49-F238E27FC236}">
              <a16:creationId xmlns:a16="http://schemas.microsoft.com/office/drawing/2014/main" id="{00000000-0008-0000-1600-0000B7030000}"/>
            </a:ext>
          </a:extLst>
        </xdr:cNvPr>
        <xdr:cNvGrpSpPr/>
      </xdr:nvGrpSpPr>
      <xdr:grpSpPr>
        <a:xfrm>
          <a:off x="5736465" y="10990109"/>
          <a:ext cx="149993" cy="210850"/>
          <a:chOff x="3675525" y="2895600"/>
          <a:chExt cx="246057" cy="542054"/>
        </a:xfrm>
      </xdr:grpSpPr>
      <xdr:sp macro="" textlink="">
        <xdr:nvSpPr>
          <xdr:cNvPr id="952" name="직사각형 951">
            <a:extLst>
              <a:ext uri="{FF2B5EF4-FFF2-40B4-BE49-F238E27FC236}">
                <a16:creationId xmlns:a16="http://schemas.microsoft.com/office/drawing/2014/main" id="{00000000-0008-0000-1600-0000B8030000}"/>
              </a:ext>
            </a:extLst>
          </xdr:cNvPr>
          <xdr:cNvSpPr/>
        </xdr:nvSpPr>
        <xdr:spPr>
          <a:xfrm>
            <a:off x="3675525" y="2895600"/>
            <a:ext cx="246057" cy="542054"/>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53" name="직사각형 952">
            <a:extLst>
              <a:ext uri="{FF2B5EF4-FFF2-40B4-BE49-F238E27FC236}">
                <a16:creationId xmlns:a16="http://schemas.microsoft.com/office/drawing/2014/main" id="{00000000-0008-0000-1600-0000B9030000}"/>
              </a:ext>
            </a:extLst>
          </xdr:cNvPr>
          <xdr:cNvSpPr/>
        </xdr:nvSpPr>
        <xdr:spPr>
          <a:xfrm>
            <a:off x="3720687" y="3152902"/>
            <a:ext cx="155733" cy="212570"/>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54" name="직사각형 953">
            <a:extLst>
              <a:ext uri="{FF2B5EF4-FFF2-40B4-BE49-F238E27FC236}">
                <a16:creationId xmlns:a16="http://schemas.microsoft.com/office/drawing/2014/main" id="{00000000-0008-0000-1600-0000BA030000}"/>
              </a:ext>
            </a:extLst>
          </xdr:cNvPr>
          <xdr:cNvSpPr/>
        </xdr:nvSpPr>
        <xdr:spPr>
          <a:xfrm>
            <a:off x="3728168" y="3152902"/>
            <a:ext cx="140770" cy="74400"/>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clientData/>
  </xdr:twoCellAnchor>
  <xdr:twoCellAnchor>
    <xdr:from>
      <xdr:col>5</xdr:col>
      <xdr:colOff>1431046</xdr:colOff>
      <xdr:row>45</xdr:row>
      <xdr:rowOff>199823</xdr:rowOff>
    </xdr:from>
    <xdr:to>
      <xdr:col>6</xdr:col>
      <xdr:colOff>260533</xdr:colOff>
      <xdr:row>50</xdr:row>
      <xdr:rowOff>106821</xdr:rowOff>
    </xdr:to>
    <xdr:grpSp>
      <xdr:nvGrpSpPr>
        <xdr:cNvPr id="955" name="그룹 954">
          <a:extLst>
            <a:ext uri="{FF2B5EF4-FFF2-40B4-BE49-F238E27FC236}">
              <a16:creationId xmlns:a16="http://schemas.microsoft.com/office/drawing/2014/main" id="{00000000-0008-0000-1600-0000BB030000}"/>
            </a:ext>
          </a:extLst>
        </xdr:cNvPr>
        <xdr:cNvGrpSpPr/>
      </xdr:nvGrpSpPr>
      <xdr:grpSpPr>
        <a:xfrm>
          <a:off x="5924605" y="9164529"/>
          <a:ext cx="375899" cy="971557"/>
          <a:chOff x="3262313" y="3209926"/>
          <a:chExt cx="914400" cy="3609974"/>
        </a:xfrm>
      </xdr:grpSpPr>
      <xdr:grpSp>
        <xdr:nvGrpSpPr>
          <xdr:cNvPr id="956" name="그룹 955">
            <a:extLst>
              <a:ext uri="{FF2B5EF4-FFF2-40B4-BE49-F238E27FC236}">
                <a16:creationId xmlns:a16="http://schemas.microsoft.com/office/drawing/2014/main" id="{00000000-0008-0000-1600-0000BC030000}"/>
              </a:ext>
            </a:extLst>
          </xdr:cNvPr>
          <xdr:cNvGrpSpPr/>
        </xdr:nvGrpSpPr>
        <xdr:grpSpPr>
          <a:xfrm>
            <a:off x="3262313" y="3209926"/>
            <a:ext cx="914400" cy="3609974"/>
            <a:chOff x="2228850" y="3190876"/>
            <a:chExt cx="914400" cy="3609974"/>
          </a:xfrm>
        </xdr:grpSpPr>
        <xdr:pic>
          <xdr:nvPicPr>
            <xdr:cNvPr id="961" name="그림 960">
              <a:extLst>
                <a:ext uri="{FF2B5EF4-FFF2-40B4-BE49-F238E27FC236}">
                  <a16:creationId xmlns:a16="http://schemas.microsoft.com/office/drawing/2014/main" id="{00000000-0008-0000-1600-0000C1030000}"/>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4872" t="1762" r="2934" b="2889"/>
            <a:stretch/>
          </xdr:blipFill>
          <xdr:spPr>
            <a:xfrm>
              <a:off x="2228850" y="3190876"/>
              <a:ext cx="914400" cy="3609974"/>
            </a:xfrm>
            <a:prstGeom prst="rect">
              <a:avLst/>
            </a:prstGeom>
          </xdr:spPr>
        </xdr:pic>
        <xdr:sp macro="" textlink="">
          <xdr:nvSpPr>
            <xdr:cNvPr id="962" name="타원 961">
              <a:extLst>
                <a:ext uri="{FF2B5EF4-FFF2-40B4-BE49-F238E27FC236}">
                  <a16:creationId xmlns:a16="http://schemas.microsoft.com/office/drawing/2014/main" id="{00000000-0008-0000-1600-0000C2030000}"/>
                </a:ext>
              </a:extLst>
            </xdr:cNvPr>
            <xdr:cNvSpPr/>
          </xdr:nvSpPr>
          <xdr:spPr>
            <a:xfrm>
              <a:off x="2415382" y="4009766"/>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63" name="타원 962">
              <a:extLst>
                <a:ext uri="{FF2B5EF4-FFF2-40B4-BE49-F238E27FC236}">
                  <a16:creationId xmlns:a16="http://schemas.microsoft.com/office/drawing/2014/main" id="{00000000-0008-0000-1600-0000C3030000}"/>
                </a:ext>
              </a:extLst>
            </xdr:cNvPr>
            <xdr:cNvSpPr/>
          </xdr:nvSpPr>
          <xdr:spPr>
            <a:xfrm>
              <a:off x="2418557" y="4364832"/>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64" name="타원 963">
              <a:extLst>
                <a:ext uri="{FF2B5EF4-FFF2-40B4-BE49-F238E27FC236}">
                  <a16:creationId xmlns:a16="http://schemas.microsoft.com/office/drawing/2014/main" id="{00000000-0008-0000-1600-0000C4030000}"/>
                </a:ext>
              </a:extLst>
            </xdr:cNvPr>
            <xdr:cNvSpPr/>
          </xdr:nvSpPr>
          <xdr:spPr>
            <a:xfrm>
              <a:off x="2509139" y="4364832"/>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65" name="타원 964">
              <a:extLst>
                <a:ext uri="{FF2B5EF4-FFF2-40B4-BE49-F238E27FC236}">
                  <a16:creationId xmlns:a16="http://schemas.microsoft.com/office/drawing/2014/main" id="{00000000-0008-0000-1600-0000C5030000}"/>
                </a:ext>
              </a:extLst>
            </xdr:cNvPr>
            <xdr:cNvSpPr/>
          </xdr:nvSpPr>
          <xdr:spPr>
            <a:xfrm>
              <a:off x="2509139" y="40065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66" name="타원 965">
              <a:extLst>
                <a:ext uri="{FF2B5EF4-FFF2-40B4-BE49-F238E27FC236}">
                  <a16:creationId xmlns:a16="http://schemas.microsoft.com/office/drawing/2014/main" id="{00000000-0008-0000-1600-0000C6030000}"/>
                </a:ext>
              </a:extLst>
            </xdr:cNvPr>
            <xdr:cNvSpPr/>
          </xdr:nvSpPr>
          <xdr:spPr>
            <a:xfrm>
              <a:off x="2509139" y="40954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67" name="타원 966">
              <a:extLst>
                <a:ext uri="{FF2B5EF4-FFF2-40B4-BE49-F238E27FC236}">
                  <a16:creationId xmlns:a16="http://schemas.microsoft.com/office/drawing/2014/main" id="{00000000-0008-0000-1600-0000C7030000}"/>
                </a:ext>
              </a:extLst>
            </xdr:cNvPr>
            <xdr:cNvSpPr/>
          </xdr:nvSpPr>
          <xdr:spPr>
            <a:xfrm>
              <a:off x="2471738" y="5346341"/>
              <a:ext cx="50006" cy="50006"/>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68" name="타원 967">
              <a:extLst>
                <a:ext uri="{FF2B5EF4-FFF2-40B4-BE49-F238E27FC236}">
                  <a16:creationId xmlns:a16="http://schemas.microsoft.com/office/drawing/2014/main" id="{00000000-0008-0000-1600-0000C8030000}"/>
                </a:ext>
              </a:extLst>
            </xdr:cNvPr>
            <xdr:cNvSpPr/>
          </xdr:nvSpPr>
          <xdr:spPr>
            <a:xfrm>
              <a:off x="2434838" y="4626460"/>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69" name="타원 968">
              <a:extLst>
                <a:ext uri="{FF2B5EF4-FFF2-40B4-BE49-F238E27FC236}">
                  <a16:creationId xmlns:a16="http://schemas.microsoft.com/office/drawing/2014/main" id="{00000000-0008-0000-1600-0000C9030000}"/>
                </a:ext>
              </a:extLst>
            </xdr:cNvPr>
            <xdr:cNvSpPr/>
          </xdr:nvSpPr>
          <xdr:spPr>
            <a:xfrm>
              <a:off x="2527702" y="4634173"/>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70" name="타원 969">
              <a:extLst>
                <a:ext uri="{FF2B5EF4-FFF2-40B4-BE49-F238E27FC236}">
                  <a16:creationId xmlns:a16="http://schemas.microsoft.com/office/drawing/2014/main" id="{00000000-0008-0000-1600-0000CA030000}"/>
                </a:ext>
              </a:extLst>
            </xdr:cNvPr>
            <xdr:cNvSpPr/>
          </xdr:nvSpPr>
          <xdr:spPr>
            <a:xfrm>
              <a:off x="2418557" y="4103204"/>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71" name="타원 970">
              <a:extLst>
                <a:ext uri="{FF2B5EF4-FFF2-40B4-BE49-F238E27FC236}">
                  <a16:creationId xmlns:a16="http://schemas.microsoft.com/office/drawing/2014/main" id="{00000000-0008-0000-1600-0000CB030000}"/>
                </a:ext>
              </a:extLst>
            </xdr:cNvPr>
            <xdr:cNvSpPr/>
          </xdr:nvSpPr>
          <xdr:spPr>
            <a:xfrm>
              <a:off x="2418557" y="418729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72" name="타원 971">
              <a:extLst>
                <a:ext uri="{FF2B5EF4-FFF2-40B4-BE49-F238E27FC236}">
                  <a16:creationId xmlns:a16="http://schemas.microsoft.com/office/drawing/2014/main" id="{00000000-0008-0000-1600-0000CC030000}"/>
                </a:ext>
              </a:extLst>
            </xdr:cNvPr>
            <xdr:cNvSpPr/>
          </xdr:nvSpPr>
          <xdr:spPr>
            <a:xfrm>
              <a:off x="2415382" y="4449393"/>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73" name="타원 972">
              <a:extLst>
                <a:ext uri="{FF2B5EF4-FFF2-40B4-BE49-F238E27FC236}">
                  <a16:creationId xmlns:a16="http://schemas.microsoft.com/office/drawing/2014/main" id="{00000000-0008-0000-1600-0000CD030000}"/>
                </a:ext>
              </a:extLst>
            </xdr:cNvPr>
            <xdr:cNvSpPr/>
          </xdr:nvSpPr>
          <xdr:spPr>
            <a:xfrm>
              <a:off x="2434838" y="472353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957" name="그룹 956">
            <a:extLst>
              <a:ext uri="{FF2B5EF4-FFF2-40B4-BE49-F238E27FC236}">
                <a16:creationId xmlns:a16="http://schemas.microsoft.com/office/drawing/2014/main" id="{00000000-0008-0000-1600-0000BD030000}"/>
              </a:ext>
            </a:extLst>
          </xdr:cNvPr>
          <xdr:cNvGrpSpPr/>
        </xdr:nvGrpSpPr>
        <xdr:grpSpPr>
          <a:xfrm>
            <a:off x="3357531" y="6077559"/>
            <a:ext cx="357219" cy="734485"/>
            <a:chOff x="5023743" y="4906381"/>
            <a:chExt cx="172673" cy="380393"/>
          </a:xfrm>
        </xdr:grpSpPr>
        <xdr:sp macro="" textlink="">
          <xdr:nvSpPr>
            <xdr:cNvPr id="958" name="직사각형 957">
              <a:extLst>
                <a:ext uri="{FF2B5EF4-FFF2-40B4-BE49-F238E27FC236}">
                  <a16:creationId xmlns:a16="http://schemas.microsoft.com/office/drawing/2014/main" id="{00000000-0008-0000-1600-0000BE030000}"/>
                </a:ext>
              </a:extLst>
            </xdr:cNvPr>
            <xdr:cNvSpPr/>
          </xdr:nvSpPr>
          <xdr:spPr>
            <a:xfrm>
              <a:off x="5023743" y="4906381"/>
              <a:ext cx="172673" cy="380393"/>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59" name="직사각형 958">
              <a:extLst>
                <a:ext uri="{FF2B5EF4-FFF2-40B4-BE49-F238E27FC236}">
                  <a16:creationId xmlns:a16="http://schemas.microsoft.com/office/drawing/2014/main" id="{00000000-0008-0000-1600-0000BF030000}"/>
                </a:ext>
              </a:extLst>
            </xdr:cNvPr>
            <xdr:cNvSpPr/>
          </xdr:nvSpPr>
          <xdr:spPr>
            <a:xfrm>
              <a:off x="5055436" y="5096578"/>
              <a:ext cx="109287" cy="149174"/>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60" name="직사각형 959">
              <a:extLst>
                <a:ext uri="{FF2B5EF4-FFF2-40B4-BE49-F238E27FC236}">
                  <a16:creationId xmlns:a16="http://schemas.microsoft.com/office/drawing/2014/main" id="{00000000-0008-0000-1600-0000C0030000}"/>
                </a:ext>
              </a:extLst>
            </xdr:cNvPr>
            <xdr:cNvSpPr/>
          </xdr:nvSpPr>
          <xdr:spPr>
            <a:xfrm>
              <a:off x="5060686" y="5096578"/>
              <a:ext cx="98786" cy="52211"/>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clientData/>
  </xdr:twoCellAnchor>
  <xdr:twoCellAnchor>
    <xdr:from>
      <xdr:col>5</xdr:col>
      <xdr:colOff>1043981</xdr:colOff>
      <xdr:row>45</xdr:row>
      <xdr:rowOff>195177</xdr:rowOff>
    </xdr:from>
    <xdr:to>
      <xdr:col>5</xdr:col>
      <xdr:colOff>1421171</xdr:colOff>
      <xdr:row>50</xdr:row>
      <xdr:rowOff>102175</xdr:rowOff>
    </xdr:to>
    <xdr:grpSp>
      <xdr:nvGrpSpPr>
        <xdr:cNvPr id="974" name="그룹 973">
          <a:extLst>
            <a:ext uri="{FF2B5EF4-FFF2-40B4-BE49-F238E27FC236}">
              <a16:creationId xmlns:a16="http://schemas.microsoft.com/office/drawing/2014/main" id="{00000000-0008-0000-1600-0000CE030000}"/>
            </a:ext>
          </a:extLst>
        </xdr:cNvPr>
        <xdr:cNvGrpSpPr/>
      </xdr:nvGrpSpPr>
      <xdr:grpSpPr>
        <a:xfrm>
          <a:off x="5537540" y="9159883"/>
          <a:ext cx="377190" cy="971557"/>
          <a:chOff x="3262313" y="3209926"/>
          <a:chExt cx="914400" cy="3609974"/>
        </a:xfrm>
      </xdr:grpSpPr>
      <xdr:grpSp>
        <xdr:nvGrpSpPr>
          <xdr:cNvPr id="975" name="그룹 974">
            <a:extLst>
              <a:ext uri="{FF2B5EF4-FFF2-40B4-BE49-F238E27FC236}">
                <a16:creationId xmlns:a16="http://schemas.microsoft.com/office/drawing/2014/main" id="{00000000-0008-0000-1600-0000CF030000}"/>
              </a:ext>
            </a:extLst>
          </xdr:cNvPr>
          <xdr:cNvGrpSpPr/>
        </xdr:nvGrpSpPr>
        <xdr:grpSpPr>
          <a:xfrm>
            <a:off x="3262313" y="3209926"/>
            <a:ext cx="914400" cy="3609974"/>
            <a:chOff x="2228850" y="3190876"/>
            <a:chExt cx="914400" cy="3609974"/>
          </a:xfrm>
        </xdr:grpSpPr>
        <xdr:pic>
          <xdr:nvPicPr>
            <xdr:cNvPr id="980" name="그림 979">
              <a:extLst>
                <a:ext uri="{FF2B5EF4-FFF2-40B4-BE49-F238E27FC236}">
                  <a16:creationId xmlns:a16="http://schemas.microsoft.com/office/drawing/2014/main" id="{00000000-0008-0000-1600-0000D4030000}"/>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4872" t="1762" r="2934" b="2889"/>
            <a:stretch/>
          </xdr:blipFill>
          <xdr:spPr>
            <a:xfrm>
              <a:off x="2228850" y="3190876"/>
              <a:ext cx="914400" cy="3609974"/>
            </a:xfrm>
            <a:prstGeom prst="rect">
              <a:avLst/>
            </a:prstGeom>
          </xdr:spPr>
        </xdr:pic>
        <xdr:sp macro="" textlink="">
          <xdr:nvSpPr>
            <xdr:cNvPr id="981" name="타원 980">
              <a:extLst>
                <a:ext uri="{FF2B5EF4-FFF2-40B4-BE49-F238E27FC236}">
                  <a16:creationId xmlns:a16="http://schemas.microsoft.com/office/drawing/2014/main" id="{00000000-0008-0000-1600-0000D5030000}"/>
                </a:ext>
              </a:extLst>
            </xdr:cNvPr>
            <xdr:cNvSpPr/>
          </xdr:nvSpPr>
          <xdr:spPr>
            <a:xfrm>
              <a:off x="2415382" y="4009766"/>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82" name="타원 981">
              <a:extLst>
                <a:ext uri="{FF2B5EF4-FFF2-40B4-BE49-F238E27FC236}">
                  <a16:creationId xmlns:a16="http://schemas.microsoft.com/office/drawing/2014/main" id="{00000000-0008-0000-1600-0000D6030000}"/>
                </a:ext>
              </a:extLst>
            </xdr:cNvPr>
            <xdr:cNvSpPr/>
          </xdr:nvSpPr>
          <xdr:spPr>
            <a:xfrm>
              <a:off x="2418557" y="4364832"/>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83" name="타원 982">
              <a:extLst>
                <a:ext uri="{FF2B5EF4-FFF2-40B4-BE49-F238E27FC236}">
                  <a16:creationId xmlns:a16="http://schemas.microsoft.com/office/drawing/2014/main" id="{00000000-0008-0000-1600-0000D7030000}"/>
                </a:ext>
              </a:extLst>
            </xdr:cNvPr>
            <xdr:cNvSpPr/>
          </xdr:nvSpPr>
          <xdr:spPr>
            <a:xfrm>
              <a:off x="2509139" y="4364832"/>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84" name="타원 983">
              <a:extLst>
                <a:ext uri="{FF2B5EF4-FFF2-40B4-BE49-F238E27FC236}">
                  <a16:creationId xmlns:a16="http://schemas.microsoft.com/office/drawing/2014/main" id="{00000000-0008-0000-1600-0000D8030000}"/>
                </a:ext>
              </a:extLst>
            </xdr:cNvPr>
            <xdr:cNvSpPr/>
          </xdr:nvSpPr>
          <xdr:spPr>
            <a:xfrm>
              <a:off x="2509139" y="40065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85" name="타원 984">
              <a:extLst>
                <a:ext uri="{FF2B5EF4-FFF2-40B4-BE49-F238E27FC236}">
                  <a16:creationId xmlns:a16="http://schemas.microsoft.com/office/drawing/2014/main" id="{00000000-0008-0000-1600-0000D9030000}"/>
                </a:ext>
              </a:extLst>
            </xdr:cNvPr>
            <xdr:cNvSpPr/>
          </xdr:nvSpPr>
          <xdr:spPr>
            <a:xfrm>
              <a:off x="2509139" y="40954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86" name="타원 985">
              <a:extLst>
                <a:ext uri="{FF2B5EF4-FFF2-40B4-BE49-F238E27FC236}">
                  <a16:creationId xmlns:a16="http://schemas.microsoft.com/office/drawing/2014/main" id="{00000000-0008-0000-1600-0000DA030000}"/>
                </a:ext>
              </a:extLst>
            </xdr:cNvPr>
            <xdr:cNvSpPr/>
          </xdr:nvSpPr>
          <xdr:spPr>
            <a:xfrm>
              <a:off x="2471738" y="5346341"/>
              <a:ext cx="50006" cy="50006"/>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87" name="타원 986">
              <a:extLst>
                <a:ext uri="{FF2B5EF4-FFF2-40B4-BE49-F238E27FC236}">
                  <a16:creationId xmlns:a16="http://schemas.microsoft.com/office/drawing/2014/main" id="{00000000-0008-0000-1600-0000DB030000}"/>
                </a:ext>
              </a:extLst>
            </xdr:cNvPr>
            <xdr:cNvSpPr/>
          </xdr:nvSpPr>
          <xdr:spPr>
            <a:xfrm>
              <a:off x="2434838" y="4626460"/>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88" name="타원 987">
              <a:extLst>
                <a:ext uri="{FF2B5EF4-FFF2-40B4-BE49-F238E27FC236}">
                  <a16:creationId xmlns:a16="http://schemas.microsoft.com/office/drawing/2014/main" id="{00000000-0008-0000-1600-0000DC030000}"/>
                </a:ext>
              </a:extLst>
            </xdr:cNvPr>
            <xdr:cNvSpPr/>
          </xdr:nvSpPr>
          <xdr:spPr>
            <a:xfrm>
              <a:off x="2527702" y="4634173"/>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89" name="타원 988">
              <a:extLst>
                <a:ext uri="{FF2B5EF4-FFF2-40B4-BE49-F238E27FC236}">
                  <a16:creationId xmlns:a16="http://schemas.microsoft.com/office/drawing/2014/main" id="{00000000-0008-0000-1600-0000DD030000}"/>
                </a:ext>
              </a:extLst>
            </xdr:cNvPr>
            <xdr:cNvSpPr/>
          </xdr:nvSpPr>
          <xdr:spPr>
            <a:xfrm>
              <a:off x="2418557" y="4103204"/>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90" name="타원 989">
              <a:extLst>
                <a:ext uri="{FF2B5EF4-FFF2-40B4-BE49-F238E27FC236}">
                  <a16:creationId xmlns:a16="http://schemas.microsoft.com/office/drawing/2014/main" id="{00000000-0008-0000-1600-0000DE030000}"/>
                </a:ext>
              </a:extLst>
            </xdr:cNvPr>
            <xdr:cNvSpPr/>
          </xdr:nvSpPr>
          <xdr:spPr>
            <a:xfrm>
              <a:off x="2418557" y="418729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91" name="타원 990">
              <a:extLst>
                <a:ext uri="{FF2B5EF4-FFF2-40B4-BE49-F238E27FC236}">
                  <a16:creationId xmlns:a16="http://schemas.microsoft.com/office/drawing/2014/main" id="{00000000-0008-0000-1600-0000DF030000}"/>
                </a:ext>
              </a:extLst>
            </xdr:cNvPr>
            <xdr:cNvSpPr/>
          </xdr:nvSpPr>
          <xdr:spPr>
            <a:xfrm>
              <a:off x="2415382" y="4449393"/>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92" name="타원 991">
              <a:extLst>
                <a:ext uri="{FF2B5EF4-FFF2-40B4-BE49-F238E27FC236}">
                  <a16:creationId xmlns:a16="http://schemas.microsoft.com/office/drawing/2014/main" id="{00000000-0008-0000-1600-0000E0030000}"/>
                </a:ext>
              </a:extLst>
            </xdr:cNvPr>
            <xdr:cNvSpPr/>
          </xdr:nvSpPr>
          <xdr:spPr>
            <a:xfrm>
              <a:off x="2434838" y="472353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976" name="그룹 975">
            <a:extLst>
              <a:ext uri="{FF2B5EF4-FFF2-40B4-BE49-F238E27FC236}">
                <a16:creationId xmlns:a16="http://schemas.microsoft.com/office/drawing/2014/main" id="{00000000-0008-0000-1600-0000D0030000}"/>
              </a:ext>
            </a:extLst>
          </xdr:cNvPr>
          <xdr:cNvGrpSpPr/>
        </xdr:nvGrpSpPr>
        <xdr:grpSpPr>
          <a:xfrm>
            <a:off x="3357531" y="6077559"/>
            <a:ext cx="357219" cy="734485"/>
            <a:chOff x="5023743" y="4906381"/>
            <a:chExt cx="172673" cy="380393"/>
          </a:xfrm>
        </xdr:grpSpPr>
        <xdr:sp macro="" textlink="">
          <xdr:nvSpPr>
            <xdr:cNvPr id="977" name="직사각형 976">
              <a:extLst>
                <a:ext uri="{FF2B5EF4-FFF2-40B4-BE49-F238E27FC236}">
                  <a16:creationId xmlns:a16="http://schemas.microsoft.com/office/drawing/2014/main" id="{00000000-0008-0000-1600-0000D1030000}"/>
                </a:ext>
              </a:extLst>
            </xdr:cNvPr>
            <xdr:cNvSpPr/>
          </xdr:nvSpPr>
          <xdr:spPr>
            <a:xfrm>
              <a:off x="5023743" y="4906381"/>
              <a:ext cx="172673" cy="380393"/>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78" name="직사각형 977">
              <a:extLst>
                <a:ext uri="{FF2B5EF4-FFF2-40B4-BE49-F238E27FC236}">
                  <a16:creationId xmlns:a16="http://schemas.microsoft.com/office/drawing/2014/main" id="{00000000-0008-0000-1600-0000D2030000}"/>
                </a:ext>
              </a:extLst>
            </xdr:cNvPr>
            <xdr:cNvSpPr/>
          </xdr:nvSpPr>
          <xdr:spPr>
            <a:xfrm>
              <a:off x="5055436" y="5096578"/>
              <a:ext cx="109287" cy="149174"/>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79" name="직사각형 978">
              <a:extLst>
                <a:ext uri="{FF2B5EF4-FFF2-40B4-BE49-F238E27FC236}">
                  <a16:creationId xmlns:a16="http://schemas.microsoft.com/office/drawing/2014/main" id="{00000000-0008-0000-1600-0000D3030000}"/>
                </a:ext>
              </a:extLst>
            </xdr:cNvPr>
            <xdr:cNvSpPr/>
          </xdr:nvSpPr>
          <xdr:spPr>
            <a:xfrm>
              <a:off x="5060686" y="5096578"/>
              <a:ext cx="98786" cy="52211"/>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clientData/>
  </xdr:twoCellAnchor>
  <xdr:twoCellAnchor>
    <xdr:from>
      <xdr:col>5</xdr:col>
      <xdr:colOff>1434214</xdr:colOff>
      <xdr:row>50</xdr:row>
      <xdr:rowOff>192977</xdr:rowOff>
    </xdr:from>
    <xdr:to>
      <xdr:col>6</xdr:col>
      <xdr:colOff>261145</xdr:colOff>
      <xdr:row>55</xdr:row>
      <xdr:rowOff>96544</xdr:rowOff>
    </xdr:to>
    <xdr:grpSp>
      <xdr:nvGrpSpPr>
        <xdr:cNvPr id="993" name="그룹 992">
          <a:extLst>
            <a:ext uri="{FF2B5EF4-FFF2-40B4-BE49-F238E27FC236}">
              <a16:creationId xmlns:a16="http://schemas.microsoft.com/office/drawing/2014/main" id="{00000000-0008-0000-1600-0000E1030000}"/>
            </a:ext>
          </a:extLst>
        </xdr:cNvPr>
        <xdr:cNvGrpSpPr/>
      </xdr:nvGrpSpPr>
      <xdr:grpSpPr>
        <a:xfrm>
          <a:off x="5927773" y="10222242"/>
          <a:ext cx="373343" cy="968126"/>
          <a:chOff x="3262313" y="3209926"/>
          <a:chExt cx="914400" cy="3609974"/>
        </a:xfrm>
      </xdr:grpSpPr>
      <xdr:grpSp>
        <xdr:nvGrpSpPr>
          <xdr:cNvPr id="994" name="그룹 993">
            <a:extLst>
              <a:ext uri="{FF2B5EF4-FFF2-40B4-BE49-F238E27FC236}">
                <a16:creationId xmlns:a16="http://schemas.microsoft.com/office/drawing/2014/main" id="{00000000-0008-0000-1600-0000E2030000}"/>
              </a:ext>
            </a:extLst>
          </xdr:cNvPr>
          <xdr:cNvGrpSpPr/>
        </xdr:nvGrpSpPr>
        <xdr:grpSpPr>
          <a:xfrm>
            <a:off x="3262313" y="3209926"/>
            <a:ext cx="914400" cy="3609974"/>
            <a:chOff x="2228850" y="3190876"/>
            <a:chExt cx="914400" cy="3609974"/>
          </a:xfrm>
        </xdr:grpSpPr>
        <xdr:pic>
          <xdr:nvPicPr>
            <xdr:cNvPr id="999" name="그림 998">
              <a:extLst>
                <a:ext uri="{FF2B5EF4-FFF2-40B4-BE49-F238E27FC236}">
                  <a16:creationId xmlns:a16="http://schemas.microsoft.com/office/drawing/2014/main" id="{00000000-0008-0000-1600-0000E7030000}"/>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4872" t="1762" r="2934" b="2889"/>
            <a:stretch/>
          </xdr:blipFill>
          <xdr:spPr>
            <a:xfrm>
              <a:off x="2228850" y="3190876"/>
              <a:ext cx="914400" cy="3609974"/>
            </a:xfrm>
            <a:prstGeom prst="rect">
              <a:avLst/>
            </a:prstGeom>
          </xdr:spPr>
        </xdr:pic>
        <xdr:sp macro="" textlink="">
          <xdr:nvSpPr>
            <xdr:cNvPr id="1000" name="타원 999">
              <a:extLst>
                <a:ext uri="{FF2B5EF4-FFF2-40B4-BE49-F238E27FC236}">
                  <a16:creationId xmlns:a16="http://schemas.microsoft.com/office/drawing/2014/main" id="{00000000-0008-0000-1600-0000E8030000}"/>
                </a:ext>
              </a:extLst>
            </xdr:cNvPr>
            <xdr:cNvSpPr/>
          </xdr:nvSpPr>
          <xdr:spPr>
            <a:xfrm>
              <a:off x="2415382" y="4009766"/>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01" name="타원 1000">
              <a:extLst>
                <a:ext uri="{FF2B5EF4-FFF2-40B4-BE49-F238E27FC236}">
                  <a16:creationId xmlns:a16="http://schemas.microsoft.com/office/drawing/2014/main" id="{00000000-0008-0000-1600-0000E9030000}"/>
                </a:ext>
              </a:extLst>
            </xdr:cNvPr>
            <xdr:cNvSpPr/>
          </xdr:nvSpPr>
          <xdr:spPr>
            <a:xfrm>
              <a:off x="2418557" y="4364832"/>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02" name="타원 1001">
              <a:extLst>
                <a:ext uri="{FF2B5EF4-FFF2-40B4-BE49-F238E27FC236}">
                  <a16:creationId xmlns:a16="http://schemas.microsoft.com/office/drawing/2014/main" id="{00000000-0008-0000-1600-0000EA030000}"/>
                </a:ext>
              </a:extLst>
            </xdr:cNvPr>
            <xdr:cNvSpPr/>
          </xdr:nvSpPr>
          <xdr:spPr>
            <a:xfrm>
              <a:off x="2509139" y="4364832"/>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03" name="타원 1002">
              <a:extLst>
                <a:ext uri="{FF2B5EF4-FFF2-40B4-BE49-F238E27FC236}">
                  <a16:creationId xmlns:a16="http://schemas.microsoft.com/office/drawing/2014/main" id="{00000000-0008-0000-1600-0000EB030000}"/>
                </a:ext>
              </a:extLst>
            </xdr:cNvPr>
            <xdr:cNvSpPr/>
          </xdr:nvSpPr>
          <xdr:spPr>
            <a:xfrm>
              <a:off x="2509139" y="40065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04" name="타원 1003">
              <a:extLst>
                <a:ext uri="{FF2B5EF4-FFF2-40B4-BE49-F238E27FC236}">
                  <a16:creationId xmlns:a16="http://schemas.microsoft.com/office/drawing/2014/main" id="{00000000-0008-0000-1600-0000EC030000}"/>
                </a:ext>
              </a:extLst>
            </xdr:cNvPr>
            <xdr:cNvSpPr/>
          </xdr:nvSpPr>
          <xdr:spPr>
            <a:xfrm>
              <a:off x="2509139" y="40954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05" name="타원 1004">
              <a:extLst>
                <a:ext uri="{FF2B5EF4-FFF2-40B4-BE49-F238E27FC236}">
                  <a16:creationId xmlns:a16="http://schemas.microsoft.com/office/drawing/2014/main" id="{00000000-0008-0000-1600-0000ED030000}"/>
                </a:ext>
              </a:extLst>
            </xdr:cNvPr>
            <xdr:cNvSpPr/>
          </xdr:nvSpPr>
          <xdr:spPr>
            <a:xfrm>
              <a:off x="2471738" y="5346341"/>
              <a:ext cx="50006" cy="50006"/>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06" name="타원 1005">
              <a:extLst>
                <a:ext uri="{FF2B5EF4-FFF2-40B4-BE49-F238E27FC236}">
                  <a16:creationId xmlns:a16="http://schemas.microsoft.com/office/drawing/2014/main" id="{00000000-0008-0000-1600-0000EE030000}"/>
                </a:ext>
              </a:extLst>
            </xdr:cNvPr>
            <xdr:cNvSpPr/>
          </xdr:nvSpPr>
          <xdr:spPr>
            <a:xfrm>
              <a:off x="2434838" y="4626460"/>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07" name="타원 1006">
              <a:extLst>
                <a:ext uri="{FF2B5EF4-FFF2-40B4-BE49-F238E27FC236}">
                  <a16:creationId xmlns:a16="http://schemas.microsoft.com/office/drawing/2014/main" id="{00000000-0008-0000-1600-0000EF030000}"/>
                </a:ext>
              </a:extLst>
            </xdr:cNvPr>
            <xdr:cNvSpPr/>
          </xdr:nvSpPr>
          <xdr:spPr>
            <a:xfrm>
              <a:off x="2527702" y="4634173"/>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08" name="타원 1007">
              <a:extLst>
                <a:ext uri="{FF2B5EF4-FFF2-40B4-BE49-F238E27FC236}">
                  <a16:creationId xmlns:a16="http://schemas.microsoft.com/office/drawing/2014/main" id="{00000000-0008-0000-1600-0000F0030000}"/>
                </a:ext>
              </a:extLst>
            </xdr:cNvPr>
            <xdr:cNvSpPr/>
          </xdr:nvSpPr>
          <xdr:spPr>
            <a:xfrm>
              <a:off x="2418557" y="4103204"/>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09" name="타원 1008">
              <a:extLst>
                <a:ext uri="{FF2B5EF4-FFF2-40B4-BE49-F238E27FC236}">
                  <a16:creationId xmlns:a16="http://schemas.microsoft.com/office/drawing/2014/main" id="{00000000-0008-0000-1600-0000F1030000}"/>
                </a:ext>
              </a:extLst>
            </xdr:cNvPr>
            <xdr:cNvSpPr/>
          </xdr:nvSpPr>
          <xdr:spPr>
            <a:xfrm>
              <a:off x="2418557" y="418729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10" name="타원 1009">
              <a:extLst>
                <a:ext uri="{FF2B5EF4-FFF2-40B4-BE49-F238E27FC236}">
                  <a16:creationId xmlns:a16="http://schemas.microsoft.com/office/drawing/2014/main" id="{00000000-0008-0000-1600-0000F2030000}"/>
                </a:ext>
              </a:extLst>
            </xdr:cNvPr>
            <xdr:cNvSpPr/>
          </xdr:nvSpPr>
          <xdr:spPr>
            <a:xfrm>
              <a:off x="2415382" y="4449393"/>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11" name="타원 1010">
              <a:extLst>
                <a:ext uri="{FF2B5EF4-FFF2-40B4-BE49-F238E27FC236}">
                  <a16:creationId xmlns:a16="http://schemas.microsoft.com/office/drawing/2014/main" id="{00000000-0008-0000-1600-0000F3030000}"/>
                </a:ext>
              </a:extLst>
            </xdr:cNvPr>
            <xdr:cNvSpPr/>
          </xdr:nvSpPr>
          <xdr:spPr>
            <a:xfrm>
              <a:off x="2434838" y="472353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995" name="그룹 994">
            <a:extLst>
              <a:ext uri="{FF2B5EF4-FFF2-40B4-BE49-F238E27FC236}">
                <a16:creationId xmlns:a16="http://schemas.microsoft.com/office/drawing/2014/main" id="{00000000-0008-0000-1600-0000E3030000}"/>
              </a:ext>
            </a:extLst>
          </xdr:cNvPr>
          <xdr:cNvGrpSpPr/>
        </xdr:nvGrpSpPr>
        <xdr:grpSpPr>
          <a:xfrm>
            <a:off x="3357531" y="6077559"/>
            <a:ext cx="357219" cy="734485"/>
            <a:chOff x="5023743" y="4906381"/>
            <a:chExt cx="172673" cy="380393"/>
          </a:xfrm>
        </xdr:grpSpPr>
        <xdr:sp macro="" textlink="">
          <xdr:nvSpPr>
            <xdr:cNvPr id="996" name="직사각형 995">
              <a:extLst>
                <a:ext uri="{FF2B5EF4-FFF2-40B4-BE49-F238E27FC236}">
                  <a16:creationId xmlns:a16="http://schemas.microsoft.com/office/drawing/2014/main" id="{00000000-0008-0000-1600-0000E4030000}"/>
                </a:ext>
              </a:extLst>
            </xdr:cNvPr>
            <xdr:cNvSpPr/>
          </xdr:nvSpPr>
          <xdr:spPr>
            <a:xfrm>
              <a:off x="5023743" y="4906381"/>
              <a:ext cx="172673" cy="380393"/>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97" name="직사각형 996">
              <a:extLst>
                <a:ext uri="{FF2B5EF4-FFF2-40B4-BE49-F238E27FC236}">
                  <a16:creationId xmlns:a16="http://schemas.microsoft.com/office/drawing/2014/main" id="{00000000-0008-0000-1600-0000E5030000}"/>
                </a:ext>
              </a:extLst>
            </xdr:cNvPr>
            <xdr:cNvSpPr/>
          </xdr:nvSpPr>
          <xdr:spPr>
            <a:xfrm>
              <a:off x="5055436" y="5096578"/>
              <a:ext cx="109287" cy="149174"/>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98" name="직사각형 997">
              <a:extLst>
                <a:ext uri="{FF2B5EF4-FFF2-40B4-BE49-F238E27FC236}">
                  <a16:creationId xmlns:a16="http://schemas.microsoft.com/office/drawing/2014/main" id="{00000000-0008-0000-1600-0000E6030000}"/>
                </a:ext>
              </a:extLst>
            </xdr:cNvPr>
            <xdr:cNvSpPr/>
          </xdr:nvSpPr>
          <xdr:spPr>
            <a:xfrm>
              <a:off x="5060686" y="5096578"/>
              <a:ext cx="98786" cy="52211"/>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clientData/>
  </xdr:twoCellAnchor>
  <xdr:twoCellAnchor>
    <xdr:from>
      <xdr:col>5</xdr:col>
      <xdr:colOff>1053364</xdr:colOff>
      <xdr:row>51</xdr:row>
      <xdr:rowOff>7454</xdr:rowOff>
    </xdr:from>
    <xdr:to>
      <xdr:col>5</xdr:col>
      <xdr:colOff>1427998</xdr:colOff>
      <xdr:row>55</xdr:row>
      <xdr:rowOff>115128</xdr:rowOff>
    </xdr:to>
    <xdr:grpSp>
      <xdr:nvGrpSpPr>
        <xdr:cNvPr id="1012" name="그룹 1011">
          <a:extLst>
            <a:ext uri="{FF2B5EF4-FFF2-40B4-BE49-F238E27FC236}">
              <a16:creationId xmlns:a16="http://schemas.microsoft.com/office/drawing/2014/main" id="{00000000-0008-0000-1600-0000F4030000}"/>
            </a:ext>
          </a:extLst>
        </xdr:cNvPr>
        <xdr:cNvGrpSpPr/>
      </xdr:nvGrpSpPr>
      <xdr:grpSpPr>
        <a:xfrm>
          <a:off x="5546923" y="10249630"/>
          <a:ext cx="374634" cy="959322"/>
          <a:chOff x="3262313" y="3209926"/>
          <a:chExt cx="914400" cy="3609974"/>
        </a:xfrm>
      </xdr:grpSpPr>
      <xdr:grpSp>
        <xdr:nvGrpSpPr>
          <xdr:cNvPr id="1013" name="그룹 1012">
            <a:extLst>
              <a:ext uri="{FF2B5EF4-FFF2-40B4-BE49-F238E27FC236}">
                <a16:creationId xmlns:a16="http://schemas.microsoft.com/office/drawing/2014/main" id="{00000000-0008-0000-1600-0000F5030000}"/>
              </a:ext>
            </a:extLst>
          </xdr:cNvPr>
          <xdr:cNvGrpSpPr/>
        </xdr:nvGrpSpPr>
        <xdr:grpSpPr>
          <a:xfrm>
            <a:off x="3262313" y="3209926"/>
            <a:ext cx="914400" cy="3609974"/>
            <a:chOff x="2228850" y="3190876"/>
            <a:chExt cx="914400" cy="3609974"/>
          </a:xfrm>
        </xdr:grpSpPr>
        <xdr:pic>
          <xdr:nvPicPr>
            <xdr:cNvPr id="1018" name="그림 1017">
              <a:extLst>
                <a:ext uri="{FF2B5EF4-FFF2-40B4-BE49-F238E27FC236}">
                  <a16:creationId xmlns:a16="http://schemas.microsoft.com/office/drawing/2014/main" id="{00000000-0008-0000-1600-0000FA030000}"/>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4872" t="1762" r="2934" b="2889"/>
            <a:stretch/>
          </xdr:blipFill>
          <xdr:spPr>
            <a:xfrm>
              <a:off x="2228850" y="3190876"/>
              <a:ext cx="914400" cy="3609974"/>
            </a:xfrm>
            <a:prstGeom prst="rect">
              <a:avLst/>
            </a:prstGeom>
          </xdr:spPr>
        </xdr:pic>
        <xdr:sp macro="" textlink="">
          <xdr:nvSpPr>
            <xdr:cNvPr id="1019" name="타원 1018">
              <a:extLst>
                <a:ext uri="{FF2B5EF4-FFF2-40B4-BE49-F238E27FC236}">
                  <a16:creationId xmlns:a16="http://schemas.microsoft.com/office/drawing/2014/main" id="{00000000-0008-0000-1600-0000FB030000}"/>
                </a:ext>
              </a:extLst>
            </xdr:cNvPr>
            <xdr:cNvSpPr/>
          </xdr:nvSpPr>
          <xdr:spPr>
            <a:xfrm>
              <a:off x="2415382" y="4009766"/>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20" name="타원 1019">
              <a:extLst>
                <a:ext uri="{FF2B5EF4-FFF2-40B4-BE49-F238E27FC236}">
                  <a16:creationId xmlns:a16="http://schemas.microsoft.com/office/drawing/2014/main" id="{00000000-0008-0000-1600-0000FC030000}"/>
                </a:ext>
              </a:extLst>
            </xdr:cNvPr>
            <xdr:cNvSpPr/>
          </xdr:nvSpPr>
          <xdr:spPr>
            <a:xfrm>
              <a:off x="2418557" y="4364832"/>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21" name="타원 1020">
              <a:extLst>
                <a:ext uri="{FF2B5EF4-FFF2-40B4-BE49-F238E27FC236}">
                  <a16:creationId xmlns:a16="http://schemas.microsoft.com/office/drawing/2014/main" id="{00000000-0008-0000-1600-0000FD030000}"/>
                </a:ext>
              </a:extLst>
            </xdr:cNvPr>
            <xdr:cNvSpPr/>
          </xdr:nvSpPr>
          <xdr:spPr>
            <a:xfrm>
              <a:off x="2509139" y="4364832"/>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22" name="타원 1021">
              <a:extLst>
                <a:ext uri="{FF2B5EF4-FFF2-40B4-BE49-F238E27FC236}">
                  <a16:creationId xmlns:a16="http://schemas.microsoft.com/office/drawing/2014/main" id="{00000000-0008-0000-1600-0000FE030000}"/>
                </a:ext>
              </a:extLst>
            </xdr:cNvPr>
            <xdr:cNvSpPr/>
          </xdr:nvSpPr>
          <xdr:spPr>
            <a:xfrm>
              <a:off x="2509139" y="40065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23" name="타원 1022">
              <a:extLst>
                <a:ext uri="{FF2B5EF4-FFF2-40B4-BE49-F238E27FC236}">
                  <a16:creationId xmlns:a16="http://schemas.microsoft.com/office/drawing/2014/main" id="{00000000-0008-0000-1600-0000FF030000}"/>
                </a:ext>
              </a:extLst>
            </xdr:cNvPr>
            <xdr:cNvSpPr/>
          </xdr:nvSpPr>
          <xdr:spPr>
            <a:xfrm>
              <a:off x="2509139" y="40954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24" name="타원 1023">
              <a:extLst>
                <a:ext uri="{FF2B5EF4-FFF2-40B4-BE49-F238E27FC236}">
                  <a16:creationId xmlns:a16="http://schemas.microsoft.com/office/drawing/2014/main" id="{00000000-0008-0000-1600-000000040000}"/>
                </a:ext>
              </a:extLst>
            </xdr:cNvPr>
            <xdr:cNvSpPr/>
          </xdr:nvSpPr>
          <xdr:spPr>
            <a:xfrm>
              <a:off x="2471738" y="5346341"/>
              <a:ext cx="50006" cy="50006"/>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25" name="타원 1024">
              <a:extLst>
                <a:ext uri="{FF2B5EF4-FFF2-40B4-BE49-F238E27FC236}">
                  <a16:creationId xmlns:a16="http://schemas.microsoft.com/office/drawing/2014/main" id="{00000000-0008-0000-1600-000001040000}"/>
                </a:ext>
              </a:extLst>
            </xdr:cNvPr>
            <xdr:cNvSpPr/>
          </xdr:nvSpPr>
          <xdr:spPr>
            <a:xfrm>
              <a:off x="2434838" y="4626460"/>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26" name="타원 1025">
              <a:extLst>
                <a:ext uri="{FF2B5EF4-FFF2-40B4-BE49-F238E27FC236}">
                  <a16:creationId xmlns:a16="http://schemas.microsoft.com/office/drawing/2014/main" id="{00000000-0008-0000-1600-000002040000}"/>
                </a:ext>
              </a:extLst>
            </xdr:cNvPr>
            <xdr:cNvSpPr/>
          </xdr:nvSpPr>
          <xdr:spPr>
            <a:xfrm>
              <a:off x="2527702" y="4634173"/>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27" name="타원 1026">
              <a:extLst>
                <a:ext uri="{FF2B5EF4-FFF2-40B4-BE49-F238E27FC236}">
                  <a16:creationId xmlns:a16="http://schemas.microsoft.com/office/drawing/2014/main" id="{00000000-0008-0000-1600-000003040000}"/>
                </a:ext>
              </a:extLst>
            </xdr:cNvPr>
            <xdr:cNvSpPr/>
          </xdr:nvSpPr>
          <xdr:spPr>
            <a:xfrm>
              <a:off x="2418557" y="4103204"/>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28" name="타원 1027">
              <a:extLst>
                <a:ext uri="{FF2B5EF4-FFF2-40B4-BE49-F238E27FC236}">
                  <a16:creationId xmlns:a16="http://schemas.microsoft.com/office/drawing/2014/main" id="{00000000-0008-0000-1600-000004040000}"/>
                </a:ext>
              </a:extLst>
            </xdr:cNvPr>
            <xdr:cNvSpPr/>
          </xdr:nvSpPr>
          <xdr:spPr>
            <a:xfrm>
              <a:off x="2418557" y="418729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29" name="타원 1028">
              <a:extLst>
                <a:ext uri="{FF2B5EF4-FFF2-40B4-BE49-F238E27FC236}">
                  <a16:creationId xmlns:a16="http://schemas.microsoft.com/office/drawing/2014/main" id="{00000000-0008-0000-1600-000005040000}"/>
                </a:ext>
              </a:extLst>
            </xdr:cNvPr>
            <xdr:cNvSpPr/>
          </xdr:nvSpPr>
          <xdr:spPr>
            <a:xfrm>
              <a:off x="2415382" y="4449393"/>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30" name="타원 1029">
              <a:extLst>
                <a:ext uri="{FF2B5EF4-FFF2-40B4-BE49-F238E27FC236}">
                  <a16:creationId xmlns:a16="http://schemas.microsoft.com/office/drawing/2014/main" id="{00000000-0008-0000-1600-000006040000}"/>
                </a:ext>
              </a:extLst>
            </xdr:cNvPr>
            <xdr:cNvSpPr/>
          </xdr:nvSpPr>
          <xdr:spPr>
            <a:xfrm>
              <a:off x="2434838" y="472353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1014" name="그룹 1013">
            <a:extLst>
              <a:ext uri="{FF2B5EF4-FFF2-40B4-BE49-F238E27FC236}">
                <a16:creationId xmlns:a16="http://schemas.microsoft.com/office/drawing/2014/main" id="{00000000-0008-0000-1600-0000F6030000}"/>
              </a:ext>
            </a:extLst>
          </xdr:cNvPr>
          <xdr:cNvGrpSpPr/>
        </xdr:nvGrpSpPr>
        <xdr:grpSpPr>
          <a:xfrm>
            <a:off x="3357531" y="6077559"/>
            <a:ext cx="357219" cy="734485"/>
            <a:chOff x="5023743" y="4906381"/>
            <a:chExt cx="172673" cy="380393"/>
          </a:xfrm>
        </xdr:grpSpPr>
        <xdr:sp macro="" textlink="">
          <xdr:nvSpPr>
            <xdr:cNvPr id="1015" name="직사각형 1014">
              <a:extLst>
                <a:ext uri="{FF2B5EF4-FFF2-40B4-BE49-F238E27FC236}">
                  <a16:creationId xmlns:a16="http://schemas.microsoft.com/office/drawing/2014/main" id="{00000000-0008-0000-1600-0000F7030000}"/>
                </a:ext>
              </a:extLst>
            </xdr:cNvPr>
            <xdr:cNvSpPr/>
          </xdr:nvSpPr>
          <xdr:spPr>
            <a:xfrm>
              <a:off x="5023743" y="4906381"/>
              <a:ext cx="172673" cy="380393"/>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16" name="직사각형 1015">
              <a:extLst>
                <a:ext uri="{FF2B5EF4-FFF2-40B4-BE49-F238E27FC236}">
                  <a16:creationId xmlns:a16="http://schemas.microsoft.com/office/drawing/2014/main" id="{00000000-0008-0000-1600-0000F8030000}"/>
                </a:ext>
              </a:extLst>
            </xdr:cNvPr>
            <xdr:cNvSpPr/>
          </xdr:nvSpPr>
          <xdr:spPr>
            <a:xfrm>
              <a:off x="5055436" y="5096578"/>
              <a:ext cx="109287" cy="149174"/>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17" name="직사각형 1016">
              <a:extLst>
                <a:ext uri="{FF2B5EF4-FFF2-40B4-BE49-F238E27FC236}">
                  <a16:creationId xmlns:a16="http://schemas.microsoft.com/office/drawing/2014/main" id="{00000000-0008-0000-1600-0000F9030000}"/>
                </a:ext>
              </a:extLst>
            </xdr:cNvPr>
            <xdr:cNvSpPr/>
          </xdr:nvSpPr>
          <xdr:spPr>
            <a:xfrm>
              <a:off x="5060686" y="5096578"/>
              <a:ext cx="98786" cy="52211"/>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clientData/>
  </xdr:twoCellAnchor>
  <xdr:twoCellAnchor>
    <xdr:from>
      <xdr:col>5</xdr:col>
      <xdr:colOff>902679</xdr:colOff>
      <xdr:row>51</xdr:row>
      <xdr:rowOff>199311</xdr:rowOff>
    </xdr:from>
    <xdr:to>
      <xdr:col>5</xdr:col>
      <xdr:colOff>922819</xdr:colOff>
      <xdr:row>52</xdr:row>
      <xdr:rowOff>8205</xdr:rowOff>
    </xdr:to>
    <xdr:sp macro="" textlink="">
      <xdr:nvSpPr>
        <xdr:cNvPr id="1031" name="타원 1030">
          <a:extLst>
            <a:ext uri="{FF2B5EF4-FFF2-40B4-BE49-F238E27FC236}">
              <a16:creationId xmlns:a16="http://schemas.microsoft.com/office/drawing/2014/main" id="{00000000-0008-0000-1600-000007040000}"/>
            </a:ext>
          </a:extLst>
        </xdr:cNvPr>
        <xdr:cNvSpPr/>
      </xdr:nvSpPr>
      <xdr:spPr>
        <a:xfrm>
          <a:off x="5406643" y="10050882"/>
          <a:ext cx="20140" cy="13002"/>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clientData/>
  </xdr:twoCellAnchor>
  <xdr:twoCellAnchor>
    <xdr:from>
      <xdr:col>5</xdr:col>
      <xdr:colOff>903958</xdr:colOff>
      <xdr:row>52</xdr:row>
      <xdr:rowOff>18353</xdr:rowOff>
    </xdr:from>
    <xdr:to>
      <xdr:col>5</xdr:col>
      <xdr:colOff>924098</xdr:colOff>
      <xdr:row>52</xdr:row>
      <xdr:rowOff>31355</xdr:rowOff>
    </xdr:to>
    <xdr:sp macro="" textlink="">
      <xdr:nvSpPr>
        <xdr:cNvPr id="1032" name="타원 1031">
          <a:extLst>
            <a:ext uri="{FF2B5EF4-FFF2-40B4-BE49-F238E27FC236}">
              <a16:creationId xmlns:a16="http://schemas.microsoft.com/office/drawing/2014/main" id="{00000000-0008-0000-1600-000008040000}"/>
            </a:ext>
          </a:extLst>
        </xdr:cNvPr>
        <xdr:cNvSpPr/>
      </xdr:nvSpPr>
      <xdr:spPr>
        <a:xfrm>
          <a:off x="5407922" y="10074032"/>
          <a:ext cx="20140" cy="13002"/>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clientData/>
  </xdr:twoCellAnchor>
  <xdr:twoCellAnchor>
    <xdr:from>
      <xdr:col>5</xdr:col>
      <xdr:colOff>903875</xdr:colOff>
      <xdr:row>52</xdr:row>
      <xdr:rowOff>33374</xdr:rowOff>
    </xdr:from>
    <xdr:to>
      <xdr:col>5</xdr:col>
      <xdr:colOff>924015</xdr:colOff>
      <xdr:row>52</xdr:row>
      <xdr:rowOff>46376</xdr:rowOff>
    </xdr:to>
    <xdr:sp macro="" textlink="">
      <xdr:nvSpPr>
        <xdr:cNvPr id="1033" name="타원 1032">
          <a:extLst>
            <a:ext uri="{FF2B5EF4-FFF2-40B4-BE49-F238E27FC236}">
              <a16:creationId xmlns:a16="http://schemas.microsoft.com/office/drawing/2014/main" id="{00000000-0008-0000-1600-000009040000}"/>
            </a:ext>
          </a:extLst>
        </xdr:cNvPr>
        <xdr:cNvSpPr/>
      </xdr:nvSpPr>
      <xdr:spPr>
        <a:xfrm>
          <a:off x="5407839" y="10089053"/>
          <a:ext cx="20140" cy="13002"/>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clientData/>
  </xdr:twoCellAnchor>
  <xdr:twoCellAnchor>
    <xdr:from>
      <xdr:col>5</xdr:col>
      <xdr:colOff>902735</xdr:colOff>
      <xdr:row>52</xdr:row>
      <xdr:rowOff>102564</xdr:rowOff>
    </xdr:from>
    <xdr:to>
      <xdr:col>5</xdr:col>
      <xdr:colOff>922875</xdr:colOff>
      <xdr:row>52</xdr:row>
      <xdr:rowOff>120228</xdr:rowOff>
    </xdr:to>
    <xdr:sp macro="" textlink="">
      <xdr:nvSpPr>
        <xdr:cNvPr id="1034" name="타원 1033">
          <a:extLst>
            <a:ext uri="{FF2B5EF4-FFF2-40B4-BE49-F238E27FC236}">
              <a16:creationId xmlns:a16="http://schemas.microsoft.com/office/drawing/2014/main" id="{00000000-0008-0000-1600-00000A040000}"/>
            </a:ext>
          </a:extLst>
        </xdr:cNvPr>
        <xdr:cNvSpPr/>
      </xdr:nvSpPr>
      <xdr:spPr>
        <a:xfrm>
          <a:off x="5406699" y="10158243"/>
          <a:ext cx="20140" cy="17664"/>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clientData/>
  </xdr:twoCellAnchor>
  <xdr:twoCellAnchor>
    <xdr:from>
      <xdr:col>5</xdr:col>
      <xdr:colOff>903875</xdr:colOff>
      <xdr:row>52</xdr:row>
      <xdr:rowOff>56763</xdr:rowOff>
    </xdr:from>
    <xdr:to>
      <xdr:col>5</xdr:col>
      <xdr:colOff>924015</xdr:colOff>
      <xdr:row>52</xdr:row>
      <xdr:rowOff>69765</xdr:rowOff>
    </xdr:to>
    <xdr:sp macro="" textlink="">
      <xdr:nvSpPr>
        <xdr:cNvPr id="1035" name="타원 1034">
          <a:extLst>
            <a:ext uri="{FF2B5EF4-FFF2-40B4-BE49-F238E27FC236}">
              <a16:creationId xmlns:a16="http://schemas.microsoft.com/office/drawing/2014/main" id="{00000000-0008-0000-1600-00000B040000}"/>
            </a:ext>
          </a:extLst>
        </xdr:cNvPr>
        <xdr:cNvSpPr/>
      </xdr:nvSpPr>
      <xdr:spPr>
        <a:xfrm>
          <a:off x="5407839" y="10112442"/>
          <a:ext cx="20140" cy="13002"/>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clientData/>
  </xdr:twoCellAnchor>
  <xdr:twoCellAnchor>
    <xdr:from>
      <xdr:col>5</xdr:col>
      <xdr:colOff>903958</xdr:colOff>
      <xdr:row>52</xdr:row>
      <xdr:rowOff>130186</xdr:rowOff>
    </xdr:from>
    <xdr:to>
      <xdr:col>5</xdr:col>
      <xdr:colOff>924098</xdr:colOff>
      <xdr:row>52</xdr:row>
      <xdr:rowOff>143188</xdr:rowOff>
    </xdr:to>
    <xdr:sp macro="" textlink="">
      <xdr:nvSpPr>
        <xdr:cNvPr id="1036" name="타원 1035">
          <a:extLst>
            <a:ext uri="{FF2B5EF4-FFF2-40B4-BE49-F238E27FC236}">
              <a16:creationId xmlns:a16="http://schemas.microsoft.com/office/drawing/2014/main" id="{00000000-0008-0000-1600-00000C040000}"/>
            </a:ext>
          </a:extLst>
        </xdr:cNvPr>
        <xdr:cNvSpPr/>
      </xdr:nvSpPr>
      <xdr:spPr>
        <a:xfrm>
          <a:off x="5407922" y="10185865"/>
          <a:ext cx="20140" cy="13002"/>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clientData/>
  </xdr:twoCellAnchor>
  <xdr:twoCellAnchor>
    <xdr:from>
      <xdr:col>5</xdr:col>
      <xdr:colOff>903958</xdr:colOff>
      <xdr:row>52</xdr:row>
      <xdr:rowOff>152890</xdr:rowOff>
    </xdr:from>
    <xdr:to>
      <xdr:col>5</xdr:col>
      <xdr:colOff>924098</xdr:colOff>
      <xdr:row>52</xdr:row>
      <xdr:rowOff>165892</xdr:rowOff>
    </xdr:to>
    <xdr:sp macro="" textlink="">
      <xdr:nvSpPr>
        <xdr:cNvPr id="1037" name="타원 1036">
          <a:extLst>
            <a:ext uri="{FF2B5EF4-FFF2-40B4-BE49-F238E27FC236}">
              <a16:creationId xmlns:a16="http://schemas.microsoft.com/office/drawing/2014/main" id="{00000000-0008-0000-1600-00000D040000}"/>
            </a:ext>
          </a:extLst>
        </xdr:cNvPr>
        <xdr:cNvSpPr/>
      </xdr:nvSpPr>
      <xdr:spPr>
        <a:xfrm>
          <a:off x="5407922" y="10208569"/>
          <a:ext cx="20140" cy="13002"/>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clientData/>
  </xdr:twoCellAnchor>
  <xdr:twoCellAnchor>
    <xdr:from>
      <xdr:col>5</xdr:col>
      <xdr:colOff>904098</xdr:colOff>
      <xdr:row>52</xdr:row>
      <xdr:rowOff>176203</xdr:rowOff>
    </xdr:from>
    <xdr:to>
      <xdr:col>5</xdr:col>
      <xdr:colOff>924238</xdr:colOff>
      <xdr:row>52</xdr:row>
      <xdr:rowOff>189205</xdr:rowOff>
    </xdr:to>
    <xdr:sp macro="" textlink="">
      <xdr:nvSpPr>
        <xdr:cNvPr id="1038" name="타원 1037">
          <a:extLst>
            <a:ext uri="{FF2B5EF4-FFF2-40B4-BE49-F238E27FC236}">
              <a16:creationId xmlns:a16="http://schemas.microsoft.com/office/drawing/2014/main" id="{00000000-0008-0000-1600-00000E040000}"/>
            </a:ext>
          </a:extLst>
        </xdr:cNvPr>
        <xdr:cNvSpPr/>
      </xdr:nvSpPr>
      <xdr:spPr>
        <a:xfrm>
          <a:off x="5408062" y="10231882"/>
          <a:ext cx="20140" cy="13002"/>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clientData/>
  </xdr:twoCellAnchor>
  <xdr:twoCellAnchor>
    <xdr:from>
      <xdr:col>5</xdr:col>
      <xdr:colOff>320064</xdr:colOff>
      <xdr:row>44</xdr:row>
      <xdr:rowOff>157577</xdr:rowOff>
    </xdr:from>
    <xdr:to>
      <xdr:col>7</xdr:col>
      <xdr:colOff>816658</xdr:colOff>
      <xdr:row>45</xdr:row>
      <xdr:rowOff>155104</xdr:rowOff>
    </xdr:to>
    <xdr:sp macro="" textlink="">
      <xdr:nvSpPr>
        <xdr:cNvPr id="1039" name="모서리가 둥근 직사각형 788">
          <a:extLst>
            <a:ext uri="{FF2B5EF4-FFF2-40B4-BE49-F238E27FC236}">
              <a16:creationId xmlns:a16="http://schemas.microsoft.com/office/drawing/2014/main" id="{00000000-0008-0000-1600-00000F040000}"/>
            </a:ext>
          </a:extLst>
        </xdr:cNvPr>
        <xdr:cNvSpPr/>
      </xdr:nvSpPr>
      <xdr:spPr>
        <a:xfrm>
          <a:off x="4824028" y="8580398"/>
          <a:ext cx="3571809" cy="201635"/>
        </a:xfrm>
        <a:prstGeom prst="roundRect">
          <a:avLst>
            <a:gd name="adj" fmla="val 8835"/>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clientData/>
  </xdr:twoCellAnchor>
  <xdr:twoCellAnchor>
    <xdr:from>
      <xdr:col>5</xdr:col>
      <xdr:colOff>520633</xdr:colOff>
      <xdr:row>45</xdr:row>
      <xdr:rowOff>155104</xdr:rowOff>
    </xdr:from>
    <xdr:to>
      <xdr:col>5</xdr:col>
      <xdr:colOff>743497</xdr:colOff>
      <xdr:row>55</xdr:row>
      <xdr:rowOff>107135</xdr:rowOff>
    </xdr:to>
    <xdr:grpSp>
      <xdr:nvGrpSpPr>
        <xdr:cNvPr id="1040" name="그룹 1039">
          <a:extLst>
            <a:ext uri="{FF2B5EF4-FFF2-40B4-BE49-F238E27FC236}">
              <a16:creationId xmlns:a16="http://schemas.microsoft.com/office/drawing/2014/main" id="{00000000-0008-0000-1600-000010040000}"/>
            </a:ext>
          </a:extLst>
        </xdr:cNvPr>
        <xdr:cNvGrpSpPr/>
      </xdr:nvGrpSpPr>
      <xdr:grpSpPr>
        <a:xfrm>
          <a:off x="5014192" y="9119810"/>
          <a:ext cx="222864" cy="2081149"/>
          <a:chOff x="4306275" y="-3335524"/>
          <a:chExt cx="903240" cy="15184198"/>
        </a:xfrm>
      </xdr:grpSpPr>
      <xdr:pic>
        <xdr:nvPicPr>
          <xdr:cNvPr id="1041" name="그림 1040">
            <a:extLst>
              <a:ext uri="{FF2B5EF4-FFF2-40B4-BE49-F238E27FC236}">
                <a16:creationId xmlns:a16="http://schemas.microsoft.com/office/drawing/2014/main" id="{00000000-0008-0000-1600-00001104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306275" y="-3306683"/>
            <a:ext cx="903240" cy="15155357"/>
          </a:xfrm>
          <a:prstGeom prst="rect">
            <a:avLst/>
          </a:prstGeom>
        </xdr:spPr>
      </xdr:pic>
      <xdr:sp macro="" textlink="">
        <xdr:nvSpPr>
          <xdr:cNvPr id="1042" name="타원 1041">
            <a:extLst>
              <a:ext uri="{FF2B5EF4-FFF2-40B4-BE49-F238E27FC236}">
                <a16:creationId xmlns:a16="http://schemas.microsoft.com/office/drawing/2014/main" id="{00000000-0008-0000-1600-000012040000}"/>
              </a:ext>
            </a:extLst>
          </xdr:cNvPr>
          <xdr:cNvSpPr/>
        </xdr:nvSpPr>
        <xdr:spPr>
          <a:xfrm>
            <a:off x="4503125" y="-1266365"/>
            <a:ext cx="78400" cy="784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43" name="타원 1042">
            <a:extLst>
              <a:ext uri="{FF2B5EF4-FFF2-40B4-BE49-F238E27FC236}">
                <a16:creationId xmlns:a16="http://schemas.microsoft.com/office/drawing/2014/main" id="{00000000-0008-0000-1600-000013040000}"/>
              </a:ext>
            </a:extLst>
          </xdr:cNvPr>
          <xdr:cNvSpPr/>
        </xdr:nvSpPr>
        <xdr:spPr>
          <a:xfrm>
            <a:off x="4503125" y="-1088565"/>
            <a:ext cx="78400" cy="78400"/>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44" name="타원 1043">
            <a:extLst>
              <a:ext uri="{FF2B5EF4-FFF2-40B4-BE49-F238E27FC236}">
                <a16:creationId xmlns:a16="http://schemas.microsoft.com/office/drawing/2014/main" id="{00000000-0008-0000-1600-000014040000}"/>
              </a:ext>
            </a:extLst>
          </xdr:cNvPr>
          <xdr:cNvSpPr/>
        </xdr:nvSpPr>
        <xdr:spPr>
          <a:xfrm>
            <a:off x="4503125" y="-910765"/>
            <a:ext cx="78400" cy="78400"/>
          </a:xfrm>
          <a:prstGeom prst="ellipse">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45" name="타원 1044">
            <a:extLst>
              <a:ext uri="{FF2B5EF4-FFF2-40B4-BE49-F238E27FC236}">
                <a16:creationId xmlns:a16="http://schemas.microsoft.com/office/drawing/2014/main" id="{00000000-0008-0000-1600-000015040000}"/>
              </a:ext>
            </a:extLst>
          </xdr:cNvPr>
          <xdr:cNvSpPr/>
        </xdr:nvSpPr>
        <xdr:spPr>
          <a:xfrm>
            <a:off x="4503125" y="-732965"/>
            <a:ext cx="78400" cy="784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46" name="타원 1045">
            <a:extLst>
              <a:ext uri="{FF2B5EF4-FFF2-40B4-BE49-F238E27FC236}">
                <a16:creationId xmlns:a16="http://schemas.microsoft.com/office/drawing/2014/main" id="{00000000-0008-0000-1600-000016040000}"/>
              </a:ext>
            </a:extLst>
          </xdr:cNvPr>
          <xdr:cNvSpPr/>
        </xdr:nvSpPr>
        <xdr:spPr>
          <a:xfrm>
            <a:off x="4503125" y="-555165"/>
            <a:ext cx="78400" cy="784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47" name="타원 1046">
            <a:extLst>
              <a:ext uri="{FF2B5EF4-FFF2-40B4-BE49-F238E27FC236}">
                <a16:creationId xmlns:a16="http://schemas.microsoft.com/office/drawing/2014/main" id="{00000000-0008-0000-1600-000017040000}"/>
              </a:ext>
            </a:extLst>
          </xdr:cNvPr>
          <xdr:cNvSpPr/>
        </xdr:nvSpPr>
        <xdr:spPr>
          <a:xfrm>
            <a:off x="4567237" y="5829298"/>
            <a:ext cx="152402" cy="152402"/>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48" name="타원 1047">
            <a:extLst>
              <a:ext uri="{FF2B5EF4-FFF2-40B4-BE49-F238E27FC236}">
                <a16:creationId xmlns:a16="http://schemas.microsoft.com/office/drawing/2014/main" id="{00000000-0008-0000-1600-000018040000}"/>
              </a:ext>
            </a:extLst>
          </xdr:cNvPr>
          <xdr:cNvSpPr/>
        </xdr:nvSpPr>
        <xdr:spPr>
          <a:xfrm>
            <a:off x="4562474" y="6388097"/>
            <a:ext cx="161928" cy="161928"/>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49" name="타원 1048">
            <a:extLst>
              <a:ext uri="{FF2B5EF4-FFF2-40B4-BE49-F238E27FC236}">
                <a16:creationId xmlns:a16="http://schemas.microsoft.com/office/drawing/2014/main" id="{00000000-0008-0000-1600-000019040000}"/>
              </a:ext>
            </a:extLst>
          </xdr:cNvPr>
          <xdr:cNvSpPr/>
        </xdr:nvSpPr>
        <xdr:spPr>
          <a:xfrm>
            <a:off x="4562474" y="6808783"/>
            <a:ext cx="161928" cy="161928"/>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nvGrpSpPr>
          <xdr:cNvPr id="1050" name="그룹 1049">
            <a:extLst>
              <a:ext uri="{FF2B5EF4-FFF2-40B4-BE49-F238E27FC236}">
                <a16:creationId xmlns:a16="http://schemas.microsoft.com/office/drawing/2014/main" id="{00000000-0008-0000-1600-00001A040000}"/>
              </a:ext>
            </a:extLst>
          </xdr:cNvPr>
          <xdr:cNvGrpSpPr/>
        </xdr:nvGrpSpPr>
        <xdr:grpSpPr>
          <a:xfrm>
            <a:off x="4382552" y="-3335524"/>
            <a:ext cx="650777" cy="1583176"/>
            <a:chOff x="4679502" y="1931426"/>
            <a:chExt cx="352531" cy="657614"/>
          </a:xfrm>
        </xdr:grpSpPr>
        <xdr:sp macro="" textlink="">
          <xdr:nvSpPr>
            <xdr:cNvPr id="1055" name="직사각형 1054">
              <a:extLst>
                <a:ext uri="{FF2B5EF4-FFF2-40B4-BE49-F238E27FC236}">
                  <a16:creationId xmlns:a16="http://schemas.microsoft.com/office/drawing/2014/main" id="{00000000-0008-0000-1600-00001F040000}"/>
                </a:ext>
              </a:extLst>
            </xdr:cNvPr>
            <xdr:cNvSpPr/>
          </xdr:nvSpPr>
          <xdr:spPr>
            <a:xfrm>
              <a:off x="4679502" y="1931426"/>
              <a:ext cx="352531" cy="657614"/>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56" name="직사각형 1055">
              <a:extLst>
                <a:ext uri="{FF2B5EF4-FFF2-40B4-BE49-F238E27FC236}">
                  <a16:creationId xmlns:a16="http://schemas.microsoft.com/office/drawing/2014/main" id="{00000000-0008-0000-1600-000020040000}"/>
                </a:ext>
              </a:extLst>
            </xdr:cNvPr>
            <xdr:cNvSpPr/>
          </xdr:nvSpPr>
          <xdr:spPr>
            <a:xfrm>
              <a:off x="4706650" y="2260235"/>
              <a:ext cx="252237" cy="257888"/>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57" name="직사각형 1056">
              <a:extLst>
                <a:ext uri="{FF2B5EF4-FFF2-40B4-BE49-F238E27FC236}">
                  <a16:creationId xmlns:a16="http://schemas.microsoft.com/office/drawing/2014/main" id="{00000000-0008-0000-1600-000021040000}"/>
                </a:ext>
              </a:extLst>
            </xdr:cNvPr>
            <xdr:cNvSpPr/>
          </xdr:nvSpPr>
          <xdr:spPr>
            <a:xfrm>
              <a:off x="4718768" y="2260235"/>
              <a:ext cx="228000" cy="90261"/>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1051" name="그룹 1050">
            <a:extLst>
              <a:ext uri="{FF2B5EF4-FFF2-40B4-BE49-F238E27FC236}">
                <a16:creationId xmlns:a16="http://schemas.microsoft.com/office/drawing/2014/main" id="{00000000-0008-0000-1600-00001B040000}"/>
              </a:ext>
            </a:extLst>
          </xdr:cNvPr>
          <xdr:cNvGrpSpPr/>
        </xdr:nvGrpSpPr>
        <xdr:grpSpPr>
          <a:xfrm rot="10800000">
            <a:off x="4382549" y="10294333"/>
            <a:ext cx="644075" cy="1554336"/>
            <a:chOff x="4633505" y="1931430"/>
            <a:chExt cx="355374" cy="657614"/>
          </a:xfrm>
        </xdr:grpSpPr>
        <xdr:sp macro="" textlink="">
          <xdr:nvSpPr>
            <xdr:cNvPr id="1052" name="직사각형 1051">
              <a:extLst>
                <a:ext uri="{FF2B5EF4-FFF2-40B4-BE49-F238E27FC236}">
                  <a16:creationId xmlns:a16="http://schemas.microsoft.com/office/drawing/2014/main" id="{00000000-0008-0000-1600-00001C040000}"/>
                </a:ext>
              </a:extLst>
            </xdr:cNvPr>
            <xdr:cNvSpPr/>
          </xdr:nvSpPr>
          <xdr:spPr>
            <a:xfrm>
              <a:off x="4633505" y="1931430"/>
              <a:ext cx="355374" cy="657614"/>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53" name="직사각형 1052">
              <a:extLst>
                <a:ext uri="{FF2B5EF4-FFF2-40B4-BE49-F238E27FC236}">
                  <a16:creationId xmlns:a16="http://schemas.microsoft.com/office/drawing/2014/main" id="{00000000-0008-0000-1600-00001D040000}"/>
                </a:ext>
              </a:extLst>
            </xdr:cNvPr>
            <xdr:cNvSpPr/>
          </xdr:nvSpPr>
          <xdr:spPr>
            <a:xfrm>
              <a:off x="4706650" y="2260235"/>
              <a:ext cx="252237" cy="257888"/>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54" name="직사각형 1053">
              <a:extLst>
                <a:ext uri="{FF2B5EF4-FFF2-40B4-BE49-F238E27FC236}">
                  <a16:creationId xmlns:a16="http://schemas.microsoft.com/office/drawing/2014/main" id="{00000000-0008-0000-1600-00001E040000}"/>
                </a:ext>
              </a:extLst>
            </xdr:cNvPr>
            <xdr:cNvSpPr/>
          </xdr:nvSpPr>
          <xdr:spPr>
            <a:xfrm>
              <a:off x="4718768" y="2260235"/>
              <a:ext cx="228000" cy="90261"/>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clientData/>
  </xdr:twoCellAnchor>
  <xdr:twoCellAnchor>
    <xdr:from>
      <xdr:col>5</xdr:col>
      <xdr:colOff>320064</xdr:colOff>
      <xdr:row>55</xdr:row>
      <xdr:rowOff>141245</xdr:rowOff>
    </xdr:from>
    <xdr:to>
      <xdr:col>7</xdr:col>
      <xdr:colOff>816658</xdr:colOff>
      <xdr:row>56</xdr:row>
      <xdr:rowOff>143435</xdr:rowOff>
    </xdr:to>
    <xdr:sp macro="" textlink="">
      <xdr:nvSpPr>
        <xdr:cNvPr id="1058" name="모서리가 둥근 직사각형 790">
          <a:extLst>
            <a:ext uri="{FF2B5EF4-FFF2-40B4-BE49-F238E27FC236}">
              <a16:creationId xmlns:a16="http://schemas.microsoft.com/office/drawing/2014/main" id="{00000000-0008-0000-1600-000022040000}"/>
            </a:ext>
          </a:extLst>
        </xdr:cNvPr>
        <xdr:cNvSpPr/>
      </xdr:nvSpPr>
      <xdr:spPr>
        <a:xfrm>
          <a:off x="4824028" y="10809245"/>
          <a:ext cx="3571809" cy="206297"/>
        </a:xfrm>
        <a:prstGeom prst="roundRect">
          <a:avLst>
            <a:gd name="adj" fmla="val 8835"/>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clientData/>
  </xdr:twoCellAnchor>
  <xdr:twoCellAnchor>
    <xdr:from>
      <xdr:col>5</xdr:col>
      <xdr:colOff>291269</xdr:colOff>
      <xdr:row>44</xdr:row>
      <xdr:rowOff>121669</xdr:rowOff>
    </xdr:from>
    <xdr:to>
      <xdr:col>7</xdr:col>
      <xdr:colOff>745408</xdr:colOff>
      <xdr:row>45</xdr:row>
      <xdr:rowOff>124898</xdr:rowOff>
    </xdr:to>
    <xdr:sp macro="" textlink="">
      <xdr:nvSpPr>
        <xdr:cNvPr id="1064" name="모서리가 둥근 직사각형 39">
          <a:extLst>
            <a:ext uri="{FF2B5EF4-FFF2-40B4-BE49-F238E27FC236}">
              <a16:creationId xmlns:a16="http://schemas.microsoft.com/office/drawing/2014/main" id="{00000000-0008-0000-1600-000028040000}"/>
            </a:ext>
          </a:extLst>
        </xdr:cNvPr>
        <xdr:cNvSpPr/>
      </xdr:nvSpPr>
      <xdr:spPr>
        <a:xfrm>
          <a:off x="4799769" y="16102502"/>
          <a:ext cx="3544472" cy="214896"/>
        </a:xfrm>
        <a:prstGeom prst="roundRect">
          <a:avLst>
            <a:gd name="adj" fmla="val 8835"/>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clientData/>
  </xdr:twoCellAnchor>
  <xdr:twoCellAnchor>
    <xdr:from>
      <xdr:col>5</xdr:col>
      <xdr:colOff>291269</xdr:colOff>
      <xdr:row>45</xdr:row>
      <xdr:rowOff>137953</xdr:rowOff>
    </xdr:from>
    <xdr:to>
      <xdr:col>7</xdr:col>
      <xdr:colOff>745408</xdr:colOff>
      <xdr:row>55</xdr:row>
      <xdr:rowOff>124500</xdr:rowOff>
    </xdr:to>
    <xdr:sp macro="" textlink="">
      <xdr:nvSpPr>
        <xdr:cNvPr id="1065" name="모서리가 둥근 직사각형 40">
          <a:extLst>
            <a:ext uri="{FF2B5EF4-FFF2-40B4-BE49-F238E27FC236}">
              <a16:creationId xmlns:a16="http://schemas.microsoft.com/office/drawing/2014/main" id="{00000000-0008-0000-1600-000029040000}"/>
            </a:ext>
          </a:extLst>
        </xdr:cNvPr>
        <xdr:cNvSpPr/>
      </xdr:nvSpPr>
      <xdr:spPr>
        <a:xfrm>
          <a:off x="4799769" y="16330453"/>
          <a:ext cx="3544472" cy="2103214"/>
        </a:xfrm>
        <a:prstGeom prst="roundRect">
          <a:avLst>
            <a:gd name="adj" fmla="val 1191"/>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clientData/>
  </xdr:twoCellAnchor>
  <xdr:twoCellAnchor>
    <xdr:from>
      <xdr:col>5</xdr:col>
      <xdr:colOff>1021621</xdr:colOff>
      <xdr:row>45</xdr:row>
      <xdr:rowOff>140861</xdr:rowOff>
    </xdr:from>
    <xdr:to>
      <xdr:col>6</xdr:col>
      <xdr:colOff>1023968</xdr:colOff>
      <xdr:row>55</xdr:row>
      <xdr:rowOff>139444</xdr:rowOff>
    </xdr:to>
    <xdr:sp macro="" textlink="">
      <xdr:nvSpPr>
        <xdr:cNvPr id="1066" name="직사각형 1065">
          <a:extLst>
            <a:ext uri="{FF2B5EF4-FFF2-40B4-BE49-F238E27FC236}">
              <a16:creationId xmlns:a16="http://schemas.microsoft.com/office/drawing/2014/main" id="{00000000-0008-0000-1600-00002A040000}"/>
            </a:ext>
          </a:extLst>
        </xdr:cNvPr>
        <xdr:cNvSpPr/>
      </xdr:nvSpPr>
      <xdr:spPr>
        <a:xfrm>
          <a:off x="5526946" y="8961011"/>
          <a:ext cx="1545397" cy="2094083"/>
        </a:xfrm>
        <a:prstGeom prst="rect">
          <a:avLst/>
        </a:prstGeom>
        <a:noFill/>
        <a:ln w="28575">
          <a:solidFill>
            <a:srgbClr val="FF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100"/>
        </a:p>
      </xdr:txBody>
    </xdr:sp>
    <xdr:clientData/>
  </xdr:twoCellAnchor>
  <xdr:twoCellAnchor>
    <xdr:from>
      <xdr:col>3</xdr:col>
      <xdr:colOff>236221</xdr:colOff>
      <xdr:row>45</xdr:row>
      <xdr:rowOff>154212</xdr:rowOff>
    </xdr:from>
    <xdr:to>
      <xdr:col>4</xdr:col>
      <xdr:colOff>590549</xdr:colOff>
      <xdr:row>55</xdr:row>
      <xdr:rowOff>118799</xdr:rowOff>
    </xdr:to>
    <xdr:sp macro="" textlink="">
      <xdr:nvSpPr>
        <xdr:cNvPr id="1143" name="직사각형 1142">
          <a:extLst>
            <a:ext uri="{FF2B5EF4-FFF2-40B4-BE49-F238E27FC236}">
              <a16:creationId xmlns:a16="http://schemas.microsoft.com/office/drawing/2014/main" id="{00000000-0008-0000-1600-000077040000}"/>
            </a:ext>
          </a:extLst>
        </xdr:cNvPr>
        <xdr:cNvSpPr/>
      </xdr:nvSpPr>
      <xdr:spPr>
        <a:xfrm>
          <a:off x="2512696" y="8974362"/>
          <a:ext cx="1468753" cy="2060087"/>
        </a:xfrm>
        <a:prstGeom prst="rect">
          <a:avLst/>
        </a:prstGeom>
        <a:noFill/>
        <a:ln w="28575">
          <a:solidFill>
            <a:srgbClr val="FF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100"/>
        </a:p>
      </xdr:txBody>
    </xdr:sp>
    <xdr:clientData/>
  </xdr:twoCellAnchor>
  <xdr:twoCellAnchor>
    <xdr:from>
      <xdr:col>5</xdr:col>
      <xdr:colOff>249840</xdr:colOff>
      <xdr:row>40</xdr:row>
      <xdr:rowOff>1605</xdr:rowOff>
    </xdr:from>
    <xdr:to>
      <xdr:col>7</xdr:col>
      <xdr:colOff>801776</xdr:colOff>
      <xdr:row>80</xdr:row>
      <xdr:rowOff>197662</xdr:rowOff>
    </xdr:to>
    <xdr:sp macro="" textlink="">
      <xdr:nvSpPr>
        <xdr:cNvPr id="1146" name="직사각형 1145">
          <a:extLst>
            <a:ext uri="{FF2B5EF4-FFF2-40B4-BE49-F238E27FC236}">
              <a16:creationId xmlns:a16="http://schemas.microsoft.com/office/drawing/2014/main" id="{00000000-0008-0000-1600-00007A040000}"/>
            </a:ext>
          </a:extLst>
        </xdr:cNvPr>
        <xdr:cNvSpPr/>
      </xdr:nvSpPr>
      <xdr:spPr>
        <a:xfrm>
          <a:off x="4758340" y="15029938"/>
          <a:ext cx="3642269" cy="8768557"/>
        </a:xfrm>
        <a:prstGeom prst="rect">
          <a:avLst/>
        </a:prstGeom>
        <a:noFill/>
        <a:ln w="28575">
          <a:solidFill>
            <a:srgbClr val="FF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100"/>
        </a:p>
      </xdr:txBody>
    </xdr:sp>
    <xdr:clientData/>
  </xdr:twoCellAnchor>
  <xdr:twoCellAnchor>
    <xdr:from>
      <xdr:col>5</xdr:col>
      <xdr:colOff>334623</xdr:colOff>
      <xdr:row>44</xdr:row>
      <xdr:rowOff>149306</xdr:rowOff>
    </xdr:from>
    <xdr:to>
      <xdr:col>7</xdr:col>
      <xdr:colOff>783983</xdr:colOff>
      <xdr:row>56</xdr:row>
      <xdr:rowOff>128663</xdr:rowOff>
    </xdr:to>
    <xdr:sp macro="" textlink="">
      <xdr:nvSpPr>
        <xdr:cNvPr id="1147" name="직사각형 1146">
          <a:extLst>
            <a:ext uri="{FF2B5EF4-FFF2-40B4-BE49-F238E27FC236}">
              <a16:creationId xmlns:a16="http://schemas.microsoft.com/office/drawing/2014/main" id="{00000000-0008-0000-1600-00007B040000}"/>
            </a:ext>
          </a:extLst>
        </xdr:cNvPr>
        <xdr:cNvSpPr/>
      </xdr:nvSpPr>
      <xdr:spPr>
        <a:xfrm>
          <a:off x="4838587" y="8572127"/>
          <a:ext cx="3524575" cy="2428643"/>
        </a:xfrm>
        <a:prstGeom prst="rect">
          <a:avLst/>
        </a:prstGeom>
        <a:noFill/>
        <a:ln w="28575">
          <a:solidFill>
            <a:srgbClr val="FF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100"/>
        </a:p>
      </xdr:txBody>
    </xdr:sp>
    <xdr:clientData/>
  </xdr:twoCellAnchor>
  <xdr:twoCellAnchor>
    <xdr:from>
      <xdr:col>2</xdr:col>
      <xdr:colOff>508219</xdr:colOff>
      <xdr:row>45</xdr:row>
      <xdr:rowOff>158005</xdr:rowOff>
    </xdr:from>
    <xdr:to>
      <xdr:col>2</xdr:col>
      <xdr:colOff>1195506</xdr:colOff>
      <xdr:row>55</xdr:row>
      <xdr:rowOff>122590</xdr:rowOff>
    </xdr:to>
    <xdr:sp macro="" textlink="">
      <xdr:nvSpPr>
        <xdr:cNvPr id="1280" name="직사각형 1279">
          <a:extLst>
            <a:ext uri="{FF2B5EF4-FFF2-40B4-BE49-F238E27FC236}">
              <a16:creationId xmlns:a16="http://schemas.microsoft.com/office/drawing/2014/main" id="{00000000-0008-0000-1600-000000050000}"/>
            </a:ext>
          </a:extLst>
        </xdr:cNvPr>
        <xdr:cNvSpPr/>
      </xdr:nvSpPr>
      <xdr:spPr>
        <a:xfrm>
          <a:off x="868052" y="16350505"/>
          <a:ext cx="687287" cy="2081252"/>
        </a:xfrm>
        <a:prstGeom prst="rect">
          <a:avLst/>
        </a:prstGeom>
        <a:noFill/>
        <a:ln w="28575">
          <a:solidFill>
            <a:srgbClr val="FF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100"/>
        </a:p>
      </xdr:txBody>
    </xdr:sp>
    <xdr:clientData/>
  </xdr:twoCellAnchor>
  <xdr:twoCellAnchor>
    <xdr:from>
      <xdr:col>9</xdr:col>
      <xdr:colOff>931841</xdr:colOff>
      <xdr:row>39</xdr:row>
      <xdr:rowOff>42185</xdr:rowOff>
    </xdr:from>
    <xdr:to>
      <xdr:col>9</xdr:col>
      <xdr:colOff>952097</xdr:colOff>
      <xdr:row>39</xdr:row>
      <xdr:rowOff>55812</xdr:rowOff>
    </xdr:to>
    <xdr:sp macro="" textlink="">
      <xdr:nvSpPr>
        <xdr:cNvPr id="1318" name="타원 1">
          <a:extLst>
            <a:ext uri="{FF2B5EF4-FFF2-40B4-BE49-F238E27FC236}">
              <a16:creationId xmlns:a16="http://schemas.microsoft.com/office/drawing/2014/main" id="{00000000-0008-0000-1600-000026050000}"/>
            </a:ext>
          </a:extLst>
        </xdr:cNvPr>
        <xdr:cNvSpPr/>
      </xdr:nvSpPr>
      <xdr:spPr>
        <a:xfrm>
          <a:off x="10048627" y="7553328"/>
          <a:ext cx="20256" cy="13627"/>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clientData/>
  </xdr:twoCellAnchor>
  <xdr:twoCellAnchor>
    <xdr:from>
      <xdr:col>9</xdr:col>
      <xdr:colOff>931840</xdr:colOff>
      <xdr:row>39</xdr:row>
      <xdr:rowOff>64813</xdr:rowOff>
    </xdr:from>
    <xdr:to>
      <xdr:col>9</xdr:col>
      <xdr:colOff>952096</xdr:colOff>
      <xdr:row>39</xdr:row>
      <xdr:rowOff>78440</xdr:rowOff>
    </xdr:to>
    <xdr:sp macro="" textlink="">
      <xdr:nvSpPr>
        <xdr:cNvPr id="1319" name="타원 1">
          <a:extLst>
            <a:ext uri="{FF2B5EF4-FFF2-40B4-BE49-F238E27FC236}">
              <a16:creationId xmlns:a16="http://schemas.microsoft.com/office/drawing/2014/main" id="{00000000-0008-0000-1600-000027050000}"/>
            </a:ext>
          </a:extLst>
        </xdr:cNvPr>
        <xdr:cNvSpPr/>
      </xdr:nvSpPr>
      <xdr:spPr>
        <a:xfrm>
          <a:off x="10048626" y="7575956"/>
          <a:ext cx="20256" cy="13627"/>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clientData/>
  </xdr:twoCellAnchor>
  <xdr:twoCellAnchor>
    <xdr:from>
      <xdr:col>9</xdr:col>
      <xdr:colOff>932348</xdr:colOff>
      <xdr:row>39</xdr:row>
      <xdr:rowOff>88529</xdr:rowOff>
    </xdr:from>
    <xdr:to>
      <xdr:col>9</xdr:col>
      <xdr:colOff>952604</xdr:colOff>
      <xdr:row>40</xdr:row>
      <xdr:rowOff>6906</xdr:rowOff>
    </xdr:to>
    <xdr:sp macro="" textlink="">
      <xdr:nvSpPr>
        <xdr:cNvPr id="1320" name="타원 1">
          <a:extLst>
            <a:ext uri="{FF2B5EF4-FFF2-40B4-BE49-F238E27FC236}">
              <a16:creationId xmlns:a16="http://schemas.microsoft.com/office/drawing/2014/main" id="{00000000-0008-0000-1600-000028050000}"/>
            </a:ext>
          </a:extLst>
        </xdr:cNvPr>
        <xdr:cNvSpPr/>
      </xdr:nvSpPr>
      <xdr:spPr>
        <a:xfrm>
          <a:off x="10049134" y="7599672"/>
          <a:ext cx="20256" cy="13627"/>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clientData/>
  </xdr:twoCellAnchor>
  <xdr:twoCellAnchor>
    <xdr:from>
      <xdr:col>9</xdr:col>
      <xdr:colOff>933864</xdr:colOff>
      <xdr:row>40</xdr:row>
      <xdr:rowOff>18987</xdr:rowOff>
    </xdr:from>
    <xdr:to>
      <xdr:col>9</xdr:col>
      <xdr:colOff>954120</xdr:colOff>
      <xdr:row>40</xdr:row>
      <xdr:rowOff>32614</xdr:rowOff>
    </xdr:to>
    <xdr:sp macro="" textlink="">
      <xdr:nvSpPr>
        <xdr:cNvPr id="1321" name="타원 1">
          <a:extLst>
            <a:ext uri="{FF2B5EF4-FFF2-40B4-BE49-F238E27FC236}">
              <a16:creationId xmlns:a16="http://schemas.microsoft.com/office/drawing/2014/main" id="{00000000-0008-0000-1600-000029050000}"/>
            </a:ext>
          </a:extLst>
        </xdr:cNvPr>
        <xdr:cNvSpPr/>
      </xdr:nvSpPr>
      <xdr:spPr>
        <a:xfrm>
          <a:off x="10050650" y="7625380"/>
          <a:ext cx="20256" cy="13627"/>
        </a:xfrm>
        <a:prstGeom prst="rect">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clientData/>
  </xdr:twoCellAnchor>
  <xdr:twoCellAnchor>
    <xdr:from>
      <xdr:col>9</xdr:col>
      <xdr:colOff>932541</xdr:colOff>
      <xdr:row>40</xdr:row>
      <xdr:rowOff>41724</xdr:rowOff>
    </xdr:from>
    <xdr:to>
      <xdr:col>9</xdr:col>
      <xdr:colOff>952797</xdr:colOff>
      <xdr:row>40</xdr:row>
      <xdr:rowOff>51640</xdr:rowOff>
    </xdr:to>
    <xdr:sp macro="" textlink="">
      <xdr:nvSpPr>
        <xdr:cNvPr id="1322" name="타원 1">
          <a:extLst>
            <a:ext uri="{FF2B5EF4-FFF2-40B4-BE49-F238E27FC236}">
              <a16:creationId xmlns:a16="http://schemas.microsoft.com/office/drawing/2014/main" id="{00000000-0008-0000-1600-00002A050000}"/>
            </a:ext>
          </a:extLst>
        </xdr:cNvPr>
        <xdr:cNvSpPr/>
      </xdr:nvSpPr>
      <xdr:spPr>
        <a:xfrm>
          <a:off x="10049327" y="7648117"/>
          <a:ext cx="20256" cy="9916"/>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clientData/>
  </xdr:twoCellAnchor>
  <xdr:twoCellAnchor>
    <xdr:from>
      <xdr:col>8</xdr:col>
      <xdr:colOff>388559</xdr:colOff>
      <xdr:row>38</xdr:row>
      <xdr:rowOff>96761</xdr:rowOff>
    </xdr:from>
    <xdr:to>
      <xdr:col>12</xdr:col>
      <xdr:colOff>445709</xdr:colOff>
      <xdr:row>55</xdr:row>
      <xdr:rowOff>37797</xdr:rowOff>
    </xdr:to>
    <xdr:sp macro="" textlink="">
      <xdr:nvSpPr>
        <xdr:cNvPr id="1323" name="직사각형 1322">
          <a:extLst>
            <a:ext uri="{FF2B5EF4-FFF2-40B4-BE49-F238E27FC236}">
              <a16:creationId xmlns:a16="http://schemas.microsoft.com/office/drawing/2014/main" id="{00000000-0008-0000-1600-00002B050000}"/>
            </a:ext>
          </a:extLst>
        </xdr:cNvPr>
        <xdr:cNvSpPr/>
      </xdr:nvSpPr>
      <xdr:spPr>
        <a:xfrm>
          <a:off x="8811380" y="7471832"/>
          <a:ext cx="2370365" cy="3233965"/>
        </a:xfrm>
        <a:prstGeom prst="rect">
          <a:avLst/>
        </a:prstGeom>
        <a:noFill/>
        <a:ln w="28575">
          <a:solidFill>
            <a:srgbClr val="FF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100"/>
        </a:p>
      </xdr:txBody>
    </xdr:sp>
    <xdr:clientData/>
  </xdr:twoCellAnchor>
  <xdr:twoCellAnchor>
    <xdr:from>
      <xdr:col>9</xdr:col>
      <xdr:colOff>613639</xdr:colOff>
      <xdr:row>37</xdr:row>
      <xdr:rowOff>210754</xdr:rowOff>
    </xdr:from>
    <xdr:to>
      <xdr:col>10</xdr:col>
      <xdr:colOff>22194</xdr:colOff>
      <xdr:row>39</xdr:row>
      <xdr:rowOff>65750</xdr:rowOff>
    </xdr:to>
    <xdr:sp macro="" textlink="">
      <xdr:nvSpPr>
        <xdr:cNvPr id="1324" name="TextBox 1323">
          <a:extLst>
            <a:ext uri="{FF2B5EF4-FFF2-40B4-BE49-F238E27FC236}">
              <a16:creationId xmlns:a16="http://schemas.microsoft.com/office/drawing/2014/main" id="{00000000-0008-0000-1600-00002C050000}"/>
            </a:ext>
          </a:extLst>
        </xdr:cNvPr>
        <xdr:cNvSpPr txBox="1"/>
      </xdr:nvSpPr>
      <xdr:spPr>
        <a:xfrm>
          <a:off x="9730425" y="7245647"/>
          <a:ext cx="605983" cy="3312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ko-KR" altLang="en-US" sz="1100"/>
            <a:t>신설</a:t>
          </a:r>
        </a:p>
      </xdr:txBody>
    </xdr:sp>
    <xdr:clientData/>
  </xdr:twoCellAnchor>
  <xdr:twoCellAnchor>
    <xdr:from>
      <xdr:col>8</xdr:col>
      <xdr:colOff>530678</xdr:colOff>
      <xdr:row>39</xdr:row>
      <xdr:rowOff>88722</xdr:rowOff>
    </xdr:from>
    <xdr:to>
      <xdr:col>12</xdr:col>
      <xdr:colOff>356062</xdr:colOff>
      <xdr:row>45</xdr:row>
      <xdr:rowOff>68035</xdr:rowOff>
    </xdr:to>
    <xdr:sp macro="" textlink="">
      <xdr:nvSpPr>
        <xdr:cNvPr id="1325" name="TextBox 1324">
          <a:extLst>
            <a:ext uri="{FF2B5EF4-FFF2-40B4-BE49-F238E27FC236}">
              <a16:creationId xmlns:a16="http://schemas.microsoft.com/office/drawing/2014/main" id="{00000000-0008-0000-1600-00002D050000}"/>
            </a:ext>
          </a:extLst>
        </xdr:cNvPr>
        <xdr:cNvSpPr txBox="1"/>
      </xdr:nvSpPr>
      <xdr:spPr>
        <a:xfrm>
          <a:off x="8953499" y="7599865"/>
          <a:ext cx="2138599" cy="10950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a:t>주셀프 랙 </a:t>
          </a:r>
          <a:r>
            <a:rPr lang="en-US" altLang="ko-KR" sz="1100"/>
            <a:t>1</a:t>
          </a:r>
        </a:p>
        <a:p>
          <a:r>
            <a:rPr lang="ko-KR" altLang="en-US" sz="1100"/>
            <a:t>주셀프 </a:t>
          </a:r>
          <a:r>
            <a:rPr lang="en-US" altLang="ko-KR" sz="1100"/>
            <a:t>1</a:t>
          </a:r>
        </a:p>
        <a:p>
          <a:r>
            <a:rPr lang="ko-KR" altLang="en-US" sz="1100"/>
            <a:t>광전송유니트</a:t>
          </a:r>
          <a:r>
            <a:rPr lang="en-US" altLang="ko-KR" sz="1100"/>
            <a:t>(200Km) 2</a:t>
          </a:r>
        </a:p>
        <a:p>
          <a:r>
            <a:rPr lang="en-US" altLang="ko-KR" sz="1100"/>
            <a:t>LIU</a:t>
          </a:r>
          <a:r>
            <a:rPr lang="en-US" altLang="ko-KR" sz="1100" baseline="0"/>
            <a:t>  2</a:t>
          </a:r>
          <a:endParaRPr lang="ko-KR" altLang="en-US" sz="1100"/>
        </a:p>
      </xdr:txBody>
    </xdr:sp>
    <xdr:clientData/>
  </xdr:twoCellAnchor>
  <xdr:twoCellAnchor>
    <xdr:from>
      <xdr:col>8</xdr:col>
      <xdr:colOff>530678</xdr:colOff>
      <xdr:row>45</xdr:row>
      <xdr:rowOff>108233</xdr:rowOff>
    </xdr:from>
    <xdr:to>
      <xdr:col>12</xdr:col>
      <xdr:colOff>346101</xdr:colOff>
      <xdr:row>51</xdr:row>
      <xdr:rowOff>27215</xdr:rowOff>
    </xdr:to>
    <xdr:sp macro="" textlink="">
      <xdr:nvSpPr>
        <xdr:cNvPr id="1326" name="TextBox 1325">
          <a:extLst>
            <a:ext uri="{FF2B5EF4-FFF2-40B4-BE49-F238E27FC236}">
              <a16:creationId xmlns:a16="http://schemas.microsoft.com/office/drawing/2014/main" id="{00000000-0008-0000-1600-00002E050000}"/>
            </a:ext>
          </a:extLst>
        </xdr:cNvPr>
        <xdr:cNvSpPr txBox="1"/>
      </xdr:nvSpPr>
      <xdr:spPr>
        <a:xfrm>
          <a:off x="8953499" y="8735162"/>
          <a:ext cx="2128638" cy="11436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a:t>확장장치용 랙 </a:t>
          </a:r>
          <a:r>
            <a:rPr lang="en-US" altLang="ko-KR" sz="1100"/>
            <a:t>1</a:t>
          </a:r>
        </a:p>
        <a:p>
          <a:r>
            <a:rPr lang="ko-KR" altLang="en-US" sz="1100"/>
            <a:t>확장장치셀프 </a:t>
          </a:r>
          <a:r>
            <a:rPr lang="en-US" altLang="ko-KR" sz="1100"/>
            <a:t>2</a:t>
          </a:r>
        </a:p>
        <a:p>
          <a:r>
            <a:rPr lang="en-US" altLang="ko-KR" sz="1100"/>
            <a:t>PIU</a:t>
          </a:r>
          <a:r>
            <a:rPr lang="ko-KR" altLang="en-US" sz="1100"/>
            <a:t> </a:t>
          </a:r>
          <a:r>
            <a:rPr lang="en-US" altLang="ko-KR" sz="1100"/>
            <a:t>: 16(4T/L*2</a:t>
          </a:r>
          <a:r>
            <a:rPr lang="ko-KR" altLang="en-US" sz="1100"/>
            <a:t>계열</a:t>
          </a:r>
          <a:r>
            <a:rPr lang="en-US" altLang="ko-KR" sz="1100"/>
            <a:t>*2 (COM1,</a:t>
          </a:r>
          <a:r>
            <a:rPr lang="en-US" altLang="ko-KR" sz="1100" baseline="0"/>
            <a:t> 2))</a:t>
          </a:r>
        </a:p>
        <a:p>
          <a:r>
            <a:rPr lang="en-US" altLang="ko-KR" sz="1100" baseline="0"/>
            <a:t>L3SW   3</a:t>
          </a:r>
          <a:endParaRPr lang="ko-KR" altLang="en-US" sz="1100"/>
        </a:p>
      </xdr:txBody>
    </xdr:sp>
    <xdr:clientData/>
  </xdr:twoCellAnchor>
  <xdr:twoCellAnchor>
    <xdr:from>
      <xdr:col>8</xdr:col>
      <xdr:colOff>550605</xdr:colOff>
      <xdr:row>51</xdr:row>
      <xdr:rowOff>84043</xdr:rowOff>
    </xdr:from>
    <xdr:to>
      <xdr:col>12</xdr:col>
      <xdr:colOff>315862</xdr:colOff>
      <xdr:row>53</xdr:row>
      <xdr:rowOff>176892</xdr:rowOff>
    </xdr:to>
    <xdr:sp macro="" textlink="">
      <xdr:nvSpPr>
        <xdr:cNvPr id="1327" name="TextBox 1326">
          <a:extLst>
            <a:ext uri="{FF2B5EF4-FFF2-40B4-BE49-F238E27FC236}">
              <a16:creationId xmlns:a16="http://schemas.microsoft.com/office/drawing/2014/main" id="{00000000-0008-0000-1600-00002F050000}"/>
            </a:ext>
          </a:extLst>
        </xdr:cNvPr>
        <xdr:cNvSpPr txBox="1"/>
      </xdr:nvSpPr>
      <xdr:spPr>
        <a:xfrm>
          <a:off x="8973426" y="9935614"/>
          <a:ext cx="2078472" cy="5010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a:t>단자대 랙 </a:t>
          </a:r>
          <a:r>
            <a:rPr lang="en-US" altLang="ko-KR" sz="1100"/>
            <a:t>1</a:t>
          </a:r>
        </a:p>
      </xdr:txBody>
    </xdr:sp>
    <xdr:clientData/>
  </xdr:twoCellAnchor>
  <xdr:twoCellAnchor>
    <xdr:from>
      <xdr:col>7</xdr:col>
      <xdr:colOff>239937</xdr:colOff>
      <xdr:row>46</xdr:row>
      <xdr:rowOff>22191</xdr:rowOff>
    </xdr:from>
    <xdr:to>
      <xdr:col>7</xdr:col>
      <xdr:colOff>428709</xdr:colOff>
      <xdr:row>50</xdr:row>
      <xdr:rowOff>138921</xdr:rowOff>
    </xdr:to>
    <xdr:grpSp>
      <xdr:nvGrpSpPr>
        <xdr:cNvPr id="1344" name="그룹 1343">
          <a:extLst>
            <a:ext uri="{FF2B5EF4-FFF2-40B4-BE49-F238E27FC236}">
              <a16:creationId xmlns:a16="http://schemas.microsoft.com/office/drawing/2014/main" id="{00000000-0008-0000-1600-000040050000}"/>
            </a:ext>
          </a:extLst>
        </xdr:cNvPr>
        <xdr:cNvGrpSpPr/>
      </xdr:nvGrpSpPr>
      <xdr:grpSpPr>
        <a:xfrm>
          <a:off x="7826319" y="9199809"/>
          <a:ext cx="188772" cy="968377"/>
          <a:chOff x="3765549" y="2260600"/>
          <a:chExt cx="661016" cy="5270500"/>
        </a:xfrm>
      </xdr:grpSpPr>
      <xdr:pic>
        <xdr:nvPicPr>
          <xdr:cNvPr id="1345" name="그림 1344">
            <a:extLst>
              <a:ext uri="{FF2B5EF4-FFF2-40B4-BE49-F238E27FC236}">
                <a16:creationId xmlns:a16="http://schemas.microsoft.com/office/drawing/2014/main" id="{00000000-0008-0000-1600-000041050000}"/>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2144" t="705" r="3621" b="1647"/>
          <a:stretch/>
        </xdr:blipFill>
        <xdr:spPr>
          <a:xfrm>
            <a:off x="3765549" y="2260600"/>
            <a:ext cx="661016" cy="5270500"/>
          </a:xfrm>
          <a:prstGeom prst="rect">
            <a:avLst/>
          </a:prstGeom>
        </xdr:spPr>
      </xdr:pic>
      <xdr:sp macro="" textlink="">
        <xdr:nvSpPr>
          <xdr:cNvPr id="1346" name="타원 1345">
            <a:extLst>
              <a:ext uri="{FF2B5EF4-FFF2-40B4-BE49-F238E27FC236}">
                <a16:creationId xmlns:a16="http://schemas.microsoft.com/office/drawing/2014/main" id="{00000000-0008-0000-1600-000042050000}"/>
              </a:ext>
            </a:extLst>
          </xdr:cNvPr>
          <xdr:cNvSpPr/>
        </xdr:nvSpPr>
        <xdr:spPr>
          <a:xfrm>
            <a:off x="3910251" y="3455621"/>
            <a:ext cx="70583" cy="70583"/>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347" name="타원 1346">
            <a:extLst>
              <a:ext uri="{FF2B5EF4-FFF2-40B4-BE49-F238E27FC236}">
                <a16:creationId xmlns:a16="http://schemas.microsoft.com/office/drawing/2014/main" id="{00000000-0008-0000-1600-000043050000}"/>
              </a:ext>
            </a:extLst>
          </xdr:cNvPr>
          <xdr:cNvSpPr/>
        </xdr:nvSpPr>
        <xdr:spPr>
          <a:xfrm>
            <a:off x="3910251" y="3584331"/>
            <a:ext cx="70583" cy="70583"/>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348" name="타원 1347">
            <a:extLst>
              <a:ext uri="{FF2B5EF4-FFF2-40B4-BE49-F238E27FC236}">
                <a16:creationId xmlns:a16="http://schemas.microsoft.com/office/drawing/2014/main" id="{00000000-0008-0000-1600-000044050000}"/>
              </a:ext>
            </a:extLst>
          </xdr:cNvPr>
          <xdr:cNvSpPr/>
        </xdr:nvSpPr>
        <xdr:spPr>
          <a:xfrm>
            <a:off x="3910251" y="3717192"/>
            <a:ext cx="70583" cy="70583"/>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349" name="타원 1348">
            <a:extLst>
              <a:ext uri="{FF2B5EF4-FFF2-40B4-BE49-F238E27FC236}">
                <a16:creationId xmlns:a16="http://schemas.microsoft.com/office/drawing/2014/main" id="{00000000-0008-0000-1600-000045050000}"/>
              </a:ext>
            </a:extLst>
          </xdr:cNvPr>
          <xdr:cNvSpPr/>
        </xdr:nvSpPr>
        <xdr:spPr>
          <a:xfrm>
            <a:off x="3910251" y="3841750"/>
            <a:ext cx="70583" cy="70583"/>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350" name="타원 1349">
            <a:extLst>
              <a:ext uri="{FF2B5EF4-FFF2-40B4-BE49-F238E27FC236}">
                <a16:creationId xmlns:a16="http://schemas.microsoft.com/office/drawing/2014/main" id="{00000000-0008-0000-1600-000046050000}"/>
              </a:ext>
            </a:extLst>
          </xdr:cNvPr>
          <xdr:cNvSpPr/>
        </xdr:nvSpPr>
        <xdr:spPr>
          <a:xfrm>
            <a:off x="3908175" y="4232031"/>
            <a:ext cx="70583" cy="70583"/>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351" name="타원 1350">
            <a:extLst>
              <a:ext uri="{FF2B5EF4-FFF2-40B4-BE49-F238E27FC236}">
                <a16:creationId xmlns:a16="http://schemas.microsoft.com/office/drawing/2014/main" id="{00000000-0008-0000-1600-000047050000}"/>
              </a:ext>
            </a:extLst>
          </xdr:cNvPr>
          <xdr:cNvSpPr/>
        </xdr:nvSpPr>
        <xdr:spPr>
          <a:xfrm>
            <a:off x="3910251" y="4099169"/>
            <a:ext cx="70583" cy="70583"/>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352" name="타원 1351">
            <a:extLst>
              <a:ext uri="{FF2B5EF4-FFF2-40B4-BE49-F238E27FC236}">
                <a16:creationId xmlns:a16="http://schemas.microsoft.com/office/drawing/2014/main" id="{00000000-0008-0000-1600-000048050000}"/>
              </a:ext>
            </a:extLst>
          </xdr:cNvPr>
          <xdr:cNvSpPr/>
        </xdr:nvSpPr>
        <xdr:spPr>
          <a:xfrm>
            <a:off x="3910251" y="4356588"/>
            <a:ext cx="70583" cy="70583"/>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nvGrpSpPr>
          <xdr:cNvPr id="1353" name="그룹 1352">
            <a:extLst>
              <a:ext uri="{FF2B5EF4-FFF2-40B4-BE49-F238E27FC236}">
                <a16:creationId xmlns:a16="http://schemas.microsoft.com/office/drawing/2014/main" id="{00000000-0008-0000-1600-000049050000}"/>
              </a:ext>
            </a:extLst>
          </xdr:cNvPr>
          <xdr:cNvGrpSpPr/>
        </xdr:nvGrpSpPr>
        <xdr:grpSpPr>
          <a:xfrm>
            <a:off x="3774106" y="6438084"/>
            <a:ext cx="522274" cy="1091107"/>
            <a:chOff x="3675525" y="2895600"/>
            <a:chExt cx="246057" cy="514049"/>
          </a:xfrm>
        </xdr:grpSpPr>
        <xdr:sp macro="" textlink="">
          <xdr:nvSpPr>
            <xdr:cNvPr id="1354" name="직사각형 1353">
              <a:extLst>
                <a:ext uri="{FF2B5EF4-FFF2-40B4-BE49-F238E27FC236}">
                  <a16:creationId xmlns:a16="http://schemas.microsoft.com/office/drawing/2014/main" id="{00000000-0008-0000-1600-00004A050000}"/>
                </a:ext>
              </a:extLst>
            </xdr:cNvPr>
            <xdr:cNvSpPr/>
          </xdr:nvSpPr>
          <xdr:spPr>
            <a:xfrm>
              <a:off x="3675525" y="2895600"/>
              <a:ext cx="246057" cy="514049"/>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355" name="직사각형 1354">
              <a:extLst>
                <a:ext uri="{FF2B5EF4-FFF2-40B4-BE49-F238E27FC236}">
                  <a16:creationId xmlns:a16="http://schemas.microsoft.com/office/drawing/2014/main" id="{00000000-0008-0000-1600-00004B050000}"/>
                </a:ext>
              </a:extLst>
            </xdr:cNvPr>
            <xdr:cNvSpPr/>
          </xdr:nvSpPr>
          <xdr:spPr>
            <a:xfrm>
              <a:off x="3720687" y="3152902"/>
              <a:ext cx="155733" cy="212570"/>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356" name="직사각형 1355">
              <a:extLst>
                <a:ext uri="{FF2B5EF4-FFF2-40B4-BE49-F238E27FC236}">
                  <a16:creationId xmlns:a16="http://schemas.microsoft.com/office/drawing/2014/main" id="{00000000-0008-0000-1600-00004C050000}"/>
                </a:ext>
              </a:extLst>
            </xdr:cNvPr>
            <xdr:cNvSpPr/>
          </xdr:nvSpPr>
          <xdr:spPr>
            <a:xfrm>
              <a:off x="3728168" y="3152902"/>
              <a:ext cx="140770" cy="74400"/>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clientData/>
  </xdr:twoCellAnchor>
  <xdr:twoCellAnchor>
    <xdr:from>
      <xdr:col>7</xdr:col>
      <xdr:colOff>227786</xdr:colOff>
      <xdr:row>50</xdr:row>
      <xdr:rowOff>182812</xdr:rowOff>
    </xdr:from>
    <xdr:to>
      <xdr:col>7</xdr:col>
      <xdr:colOff>417091</xdr:colOff>
      <xdr:row>55</xdr:row>
      <xdr:rowOff>86596</xdr:rowOff>
    </xdr:to>
    <xdr:grpSp>
      <xdr:nvGrpSpPr>
        <xdr:cNvPr id="1363" name="그룹 1362">
          <a:extLst>
            <a:ext uri="{FF2B5EF4-FFF2-40B4-BE49-F238E27FC236}">
              <a16:creationId xmlns:a16="http://schemas.microsoft.com/office/drawing/2014/main" id="{00000000-0008-0000-1600-000053050000}"/>
            </a:ext>
          </a:extLst>
        </xdr:cNvPr>
        <xdr:cNvGrpSpPr/>
      </xdr:nvGrpSpPr>
      <xdr:grpSpPr>
        <a:xfrm>
          <a:off x="7814168" y="10212077"/>
          <a:ext cx="189305" cy="968343"/>
          <a:chOff x="3765549" y="2260600"/>
          <a:chExt cx="661016" cy="5270500"/>
        </a:xfrm>
      </xdr:grpSpPr>
      <xdr:pic>
        <xdr:nvPicPr>
          <xdr:cNvPr id="1364" name="그림 1363">
            <a:extLst>
              <a:ext uri="{FF2B5EF4-FFF2-40B4-BE49-F238E27FC236}">
                <a16:creationId xmlns:a16="http://schemas.microsoft.com/office/drawing/2014/main" id="{00000000-0008-0000-1600-000054050000}"/>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2144" t="705" r="3621" b="1647"/>
          <a:stretch/>
        </xdr:blipFill>
        <xdr:spPr>
          <a:xfrm>
            <a:off x="3765549" y="2260600"/>
            <a:ext cx="661016" cy="5270500"/>
          </a:xfrm>
          <a:prstGeom prst="rect">
            <a:avLst/>
          </a:prstGeom>
        </xdr:spPr>
      </xdr:pic>
      <xdr:sp macro="" textlink="">
        <xdr:nvSpPr>
          <xdr:cNvPr id="1365" name="타원 1364">
            <a:extLst>
              <a:ext uri="{FF2B5EF4-FFF2-40B4-BE49-F238E27FC236}">
                <a16:creationId xmlns:a16="http://schemas.microsoft.com/office/drawing/2014/main" id="{00000000-0008-0000-1600-000055050000}"/>
              </a:ext>
            </a:extLst>
          </xdr:cNvPr>
          <xdr:cNvSpPr/>
        </xdr:nvSpPr>
        <xdr:spPr>
          <a:xfrm>
            <a:off x="3910251" y="3455621"/>
            <a:ext cx="70583" cy="70583"/>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366" name="타원 1365">
            <a:extLst>
              <a:ext uri="{FF2B5EF4-FFF2-40B4-BE49-F238E27FC236}">
                <a16:creationId xmlns:a16="http://schemas.microsoft.com/office/drawing/2014/main" id="{00000000-0008-0000-1600-000056050000}"/>
              </a:ext>
            </a:extLst>
          </xdr:cNvPr>
          <xdr:cNvSpPr/>
        </xdr:nvSpPr>
        <xdr:spPr>
          <a:xfrm>
            <a:off x="3910251" y="3584331"/>
            <a:ext cx="70583" cy="70583"/>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367" name="타원 1366">
            <a:extLst>
              <a:ext uri="{FF2B5EF4-FFF2-40B4-BE49-F238E27FC236}">
                <a16:creationId xmlns:a16="http://schemas.microsoft.com/office/drawing/2014/main" id="{00000000-0008-0000-1600-000057050000}"/>
              </a:ext>
            </a:extLst>
          </xdr:cNvPr>
          <xdr:cNvSpPr/>
        </xdr:nvSpPr>
        <xdr:spPr>
          <a:xfrm>
            <a:off x="3910251" y="3717192"/>
            <a:ext cx="70583" cy="70583"/>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368" name="타원 1367">
            <a:extLst>
              <a:ext uri="{FF2B5EF4-FFF2-40B4-BE49-F238E27FC236}">
                <a16:creationId xmlns:a16="http://schemas.microsoft.com/office/drawing/2014/main" id="{00000000-0008-0000-1600-000058050000}"/>
              </a:ext>
            </a:extLst>
          </xdr:cNvPr>
          <xdr:cNvSpPr/>
        </xdr:nvSpPr>
        <xdr:spPr>
          <a:xfrm>
            <a:off x="3910251" y="3841750"/>
            <a:ext cx="70583" cy="70583"/>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369" name="타원 1368">
            <a:extLst>
              <a:ext uri="{FF2B5EF4-FFF2-40B4-BE49-F238E27FC236}">
                <a16:creationId xmlns:a16="http://schemas.microsoft.com/office/drawing/2014/main" id="{00000000-0008-0000-1600-000059050000}"/>
              </a:ext>
            </a:extLst>
          </xdr:cNvPr>
          <xdr:cNvSpPr/>
        </xdr:nvSpPr>
        <xdr:spPr>
          <a:xfrm>
            <a:off x="3908175" y="4232031"/>
            <a:ext cx="70583" cy="70583"/>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370" name="타원 1369">
            <a:extLst>
              <a:ext uri="{FF2B5EF4-FFF2-40B4-BE49-F238E27FC236}">
                <a16:creationId xmlns:a16="http://schemas.microsoft.com/office/drawing/2014/main" id="{00000000-0008-0000-1600-00005A050000}"/>
              </a:ext>
            </a:extLst>
          </xdr:cNvPr>
          <xdr:cNvSpPr/>
        </xdr:nvSpPr>
        <xdr:spPr>
          <a:xfrm>
            <a:off x="3910251" y="4099169"/>
            <a:ext cx="70583" cy="70583"/>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371" name="타원 1370">
            <a:extLst>
              <a:ext uri="{FF2B5EF4-FFF2-40B4-BE49-F238E27FC236}">
                <a16:creationId xmlns:a16="http://schemas.microsoft.com/office/drawing/2014/main" id="{00000000-0008-0000-1600-00005B050000}"/>
              </a:ext>
            </a:extLst>
          </xdr:cNvPr>
          <xdr:cNvSpPr/>
        </xdr:nvSpPr>
        <xdr:spPr>
          <a:xfrm>
            <a:off x="3910251" y="4356588"/>
            <a:ext cx="70583" cy="70583"/>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nvGrpSpPr>
          <xdr:cNvPr id="1372" name="그룹 1371">
            <a:extLst>
              <a:ext uri="{FF2B5EF4-FFF2-40B4-BE49-F238E27FC236}">
                <a16:creationId xmlns:a16="http://schemas.microsoft.com/office/drawing/2014/main" id="{00000000-0008-0000-1600-00005C050000}"/>
              </a:ext>
            </a:extLst>
          </xdr:cNvPr>
          <xdr:cNvGrpSpPr/>
        </xdr:nvGrpSpPr>
        <xdr:grpSpPr>
          <a:xfrm>
            <a:off x="3774106" y="6438084"/>
            <a:ext cx="522274" cy="1091107"/>
            <a:chOff x="3675525" y="2895600"/>
            <a:chExt cx="246057" cy="514049"/>
          </a:xfrm>
        </xdr:grpSpPr>
        <xdr:sp macro="" textlink="">
          <xdr:nvSpPr>
            <xdr:cNvPr id="1373" name="직사각형 1372">
              <a:extLst>
                <a:ext uri="{FF2B5EF4-FFF2-40B4-BE49-F238E27FC236}">
                  <a16:creationId xmlns:a16="http://schemas.microsoft.com/office/drawing/2014/main" id="{00000000-0008-0000-1600-00005D050000}"/>
                </a:ext>
              </a:extLst>
            </xdr:cNvPr>
            <xdr:cNvSpPr/>
          </xdr:nvSpPr>
          <xdr:spPr>
            <a:xfrm>
              <a:off x="3675525" y="2895600"/>
              <a:ext cx="246057" cy="514049"/>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374" name="직사각형 1373">
              <a:extLst>
                <a:ext uri="{FF2B5EF4-FFF2-40B4-BE49-F238E27FC236}">
                  <a16:creationId xmlns:a16="http://schemas.microsoft.com/office/drawing/2014/main" id="{00000000-0008-0000-1600-00005E050000}"/>
                </a:ext>
              </a:extLst>
            </xdr:cNvPr>
            <xdr:cNvSpPr/>
          </xdr:nvSpPr>
          <xdr:spPr>
            <a:xfrm>
              <a:off x="3720687" y="3152902"/>
              <a:ext cx="155733" cy="212570"/>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375" name="직사각형 1374">
              <a:extLst>
                <a:ext uri="{FF2B5EF4-FFF2-40B4-BE49-F238E27FC236}">
                  <a16:creationId xmlns:a16="http://schemas.microsoft.com/office/drawing/2014/main" id="{00000000-0008-0000-1600-00005F050000}"/>
                </a:ext>
              </a:extLst>
            </xdr:cNvPr>
            <xdr:cNvSpPr/>
          </xdr:nvSpPr>
          <xdr:spPr>
            <a:xfrm>
              <a:off x="3728168" y="3152902"/>
              <a:ext cx="140770" cy="74400"/>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clientData/>
  </xdr:twoCellAnchor>
  <xdr:twoCellAnchor>
    <xdr:from>
      <xdr:col>3</xdr:col>
      <xdr:colOff>976530</xdr:colOff>
      <xdr:row>45</xdr:row>
      <xdr:rowOff>185121</xdr:rowOff>
    </xdr:from>
    <xdr:to>
      <xdr:col>4</xdr:col>
      <xdr:colOff>236759</xdr:colOff>
      <xdr:row>50</xdr:row>
      <xdr:rowOff>92118</xdr:rowOff>
    </xdr:to>
    <xdr:grpSp>
      <xdr:nvGrpSpPr>
        <xdr:cNvPr id="1380" name="그룹 1379">
          <a:extLst>
            <a:ext uri="{FF2B5EF4-FFF2-40B4-BE49-F238E27FC236}">
              <a16:creationId xmlns:a16="http://schemas.microsoft.com/office/drawing/2014/main" id="{00000000-0008-0000-1600-000064050000}"/>
            </a:ext>
          </a:extLst>
        </xdr:cNvPr>
        <xdr:cNvGrpSpPr/>
      </xdr:nvGrpSpPr>
      <xdr:grpSpPr>
        <a:xfrm>
          <a:off x="3251324" y="9149827"/>
          <a:ext cx="369611" cy="971556"/>
          <a:chOff x="3262313" y="3209926"/>
          <a:chExt cx="914400" cy="3609974"/>
        </a:xfrm>
      </xdr:grpSpPr>
      <xdr:grpSp>
        <xdr:nvGrpSpPr>
          <xdr:cNvPr id="1381" name="그룹 1380">
            <a:extLst>
              <a:ext uri="{FF2B5EF4-FFF2-40B4-BE49-F238E27FC236}">
                <a16:creationId xmlns:a16="http://schemas.microsoft.com/office/drawing/2014/main" id="{00000000-0008-0000-1600-000065050000}"/>
              </a:ext>
            </a:extLst>
          </xdr:cNvPr>
          <xdr:cNvGrpSpPr/>
        </xdr:nvGrpSpPr>
        <xdr:grpSpPr>
          <a:xfrm>
            <a:off x="3262313" y="3209926"/>
            <a:ext cx="914400" cy="3609974"/>
            <a:chOff x="2228850" y="3190876"/>
            <a:chExt cx="914400" cy="3609974"/>
          </a:xfrm>
        </xdr:grpSpPr>
        <xdr:pic>
          <xdr:nvPicPr>
            <xdr:cNvPr id="1386" name="그림 1385">
              <a:extLst>
                <a:ext uri="{FF2B5EF4-FFF2-40B4-BE49-F238E27FC236}">
                  <a16:creationId xmlns:a16="http://schemas.microsoft.com/office/drawing/2014/main" id="{00000000-0008-0000-1600-00006A050000}"/>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4872" t="1762" r="2934" b="2889"/>
            <a:stretch/>
          </xdr:blipFill>
          <xdr:spPr>
            <a:xfrm>
              <a:off x="2228850" y="3190876"/>
              <a:ext cx="914400" cy="3609974"/>
            </a:xfrm>
            <a:prstGeom prst="rect">
              <a:avLst/>
            </a:prstGeom>
          </xdr:spPr>
        </xdr:pic>
        <xdr:sp macro="" textlink="">
          <xdr:nvSpPr>
            <xdr:cNvPr id="1387" name="타원 1386">
              <a:extLst>
                <a:ext uri="{FF2B5EF4-FFF2-40B4-BE49-F238E27FC236}">
                  <a16:creationId xmlns:a16="http://schemas.microsoft.com/office/drawing/2014/main" id="{00000000-0008-0000-1600-00006B050000}"/>
                </a:ext>
              </a:extLst>
            </xdr:cNvPr>
            <xdr:cNvSpPr/>
          </xdr:nvSpPr>
          <xdr:spPr>
            <a:xfrm>
              <a:off x="2415382" y="4009766"/>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388" name="타원 1387">
              <a:extLst>
                <a:ext uri="{FF2B5EF4-FFF2-40B4-BE49-F238E27FC236}">
                  <a16:creationId xmlns:a16="http://schemas.microsoft.com/office/drawing/2014/main" id="{00000000-0008-0000-1600-00006C050000}"/>
                </a:ext>
              </a:extLst>
            </xdr:cNvPr>
            <xdr:cNvSpPr/>
          </xdr:nvSpPr>
          <xdr:spPr>
            <a:xfrm>
              <a:off x="2418557" y="4364832"/>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389" name="타원 1388">
              <a:extLst>
                <a:ext uri="{FF2B5EF4-FFF2-40B4-BE49-F238E27FC236}">
                  <a16:creationId xmlns:a16="http://schemas.microsoft.com/office/drawing/2014/main" id="{00000000-0008-0000-1600-00006D050000}"/>
                </a:ext>
              </a:extLst>
            </xdr:cNvPr>
            <xdr:cNvSpPr/>
          </xdr:nvSpPr>
          <xdr:spPr>
            <a:xfrm>
              <a:off x="2509139" y="4364832"/>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390" name="타원 1389">
              <a:extLst>
                <a:ext uri="{FF2B5EF4-FFF2-40B4-BE49-F238E27FC236}">
                  <a16:creationId xmlns:a16="http://schemas.microsoft.com/office/drawing/2014/main" id="{00000000-0008-0000-1600-00006E050000}"/>
                </a:ext>
              </a:extLst>
            </xdr:cNvPr>
            <xdr:cNvSpPr/>
          </xdr:nvSpPr>
          <xdr:spPr>
            <a:xfrm>
              <a:off x="2509139" y="40065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391" name="타원 1390">
              <a:extLst>
                <a:ext uri="{FF2B5EF4-FFF2-40B4-BE49-F238E27FC236}">
                  <a16:creationId xmlns:a16="http://schemas.microsoft.com/office/drawing/2014/main" id="{00000000-0008-0000-1600-00006F050000}"/>
                </a:ext>
              </a:extLst>
            </xdr:cNvPr>
            <xdr:cNvSpPr/>
          </xdr:nvSpPr>
          <xdr:spPr>
            <a:xfrm>
              <a:off x="2509139" y="40954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392" name="타원 1391">
              <a:extLst>
                <a:ext uri="{FF2B5EF4-FFF2-40B4-BE49-F238E27FC236}">
                  <a16:creationId xmlns:a16="http://schemas.microsoft.com/office/drawing/2014/main" id="{00000000-0008-0000-1600-000070050000}"/>
                </a:ext>
              </a:extLst>
            </xdr:cNvPr>
            <xdr:cNvSpPr/>
          </xdr:nvSpPr>
          <xdr:spPr>
            <a:xfrm>
              <a:off x="2471738" y="5346341"/>
              <a:ext cx="50006" cy="50006"/>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393" name="타원 1392">
              <a:extLst>
                <a:ext uri="{FF2B5EF4-FFF2-40B4-BE49-F238E27FC236}">
                  <a16:creationId xmlns:a16="http://schemas.microsoft.com/office/drawing/2014/main" id="{00000000-0008-0000-1600-000071050000}"/>
                </a:ext>
              </a:extLst>
            </xdr:cNvPr>
            <xdr:cNvSpPr/>
          </xdr:nvSpPr>
          <xdr:spPr>
            <a:xfrm>
              <a:off x="2434838" y="4626460"/>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394" name="타원 1393">
              <a:extLst>
                <a:ext uri="{FF2B5EF4-FFF2-40B4-BE49-F238E27FC236}">
                  <a16:creationId xmlns:a16="http://schemas.microsoft.com/office/drawing/2014/main" id="{00000000-0008-0000-1600-000072050000}"/>
                </a:ext>
              </a:extLst>
            </xdr:cNvPr>
            <xdr:cNvSpPr/>
          </xdr:nvSpPr>
          <xdr:spPr>
            <a:xfrm>
              <a:off x="2527702" y="4634173"/>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395" name="타원 1394">
              <a:extLst>
                <a:ext uri="{FF2B5EF4-FFF2-40B4-BE49-F238E27FC236}">
                  <a16:creationId xmlns:a16="http://schemas.microsoft.com/office/drawing/2014/main" id="{00000000-0008-0000-1600-000073050000}"/>
                </a:ext>
              </a:extLst>
            </xdr:cNvPr>
            <xdr:cNvSpPr/>
          </xdr:nvSpPr>
          <xdr:spPr>
            <a:xfrm>
              <a:off x="2418557" y="4103204"/>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396" name="타원 1395">
              <a:extLst>
                <a:ext uri="{FF2B5EF4-FFF2-40B4-BE49-F238E27FC236}">
                  <a16:creationId xmlns:a16="http://schemas.microsoft.com/office/drawing/2014/main" id="{00000000-0008-0000-1600-000074050000}"/>
                </a:ext>
              </a:extLst>
            </xdr:cNvPr>
            <xdr:cNvSpPr/>
          </xdr:nvSpPr>
          <xdr:spPr>
            <a:xfrm>
              <a:off x="2418557" y="418729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397" name="타원 1396">
              <a:extLst>
                <a:ext uri="{FF2B5EF4-FFF2-40B4-BE49-F238E27FC236}">
                  <a16:creationId xmlns:a16="http://schemas.microsoft.com/office/drawing/2014/main" id="{00000000-0008-0000-1600-000075050000}"/>
                </a:ext>
              </a:extLst>
            </xdr:cNvPr>
            <xdr:cNvSpPr/>
          </xdr:nvSpPr>
          <xdr:spPr>
            <a:xfrm>
              <a:off x="2415382" y="4449393"/>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398" name="타원 1397">
              <a:extLst>
                <a:ext uri="{FF2B5EF4-FFF2-40B4-BE49-F238E27FC236}">
                  <a16:creationId xmlns:a16="http://schemas.microsoft.com/office/drawing/2014/main" id="{00000000-0008-0000-1600-000076050000}"/>
                </a:ext>
              </a:extLst>
            </xdr:cNvPr>
            <xdr:cNvSpPr/>
          </xdr:nvSpPr>
          <xdr:spPr>
            <a:xfrm>
              <a:off x="2434838" y="472353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1382" name="그룹 1381">
            <a:extLst>
              <a:ext uri="{FF2B5EF4-FFF2-40B4-BE49-F238E27FC236}">
                <a16:creationId xmlns:a16="http://schemas.microsoft.com/office/drawing/2014/main" id="{00000000-0008-0000-1600-000066050000}"/>
              </a:ext>
            </a:extLst>
          </xdr:cNvPr>
          <xdr:cNvGrpSpPr/>
        </xdr:nvGrpSpPr>
        <xdr:grpSpPr>
          <a:xfrm>
            <a:off x="3357531" y="6077559"/>
            <a:ext cx="357219" cy="734485"/>
            <a:chOff x="5023743" y="4906381"/>
            <a:chExt cx="172673" cy="380393"/>
          </a:xfrm>
        </xdr:grpSpPr>
        <xdr:sp macro="" textlink="">
          <xdr:nvSpPr>
            <xdr:cNvPr id="1383" name="직사각형 1382">
              <a:extLst>
                <a:ext uri="{FF2B5EF4-FFF2-40B4-BE49-F238E27FC236}">
                  <a16:creationId xmlns:a16="http://schemas.microsoft.com/office/drawing/2014/main" id="{00000000-0008-0000-1600-000067050000}"/>
                </a:ext>
              </a:extLst>
            </xdr:cNvPr>
            <xdr:cNvSpPr/>
          </xdr:nvSpPr>
          <xdr:spPr>
            <a:xfrm>
              <a:off x="5023743" y="4906381"/>
              <a:ext cx="172673" cy="380393"/>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384" name="직사각형 1383">
              <a:extLst>
                <a:ext uri="{FF2B5EF4-FFF2-40B4-BE49-F238E27FC236}">
                  <a16:creationId xmlns:a16="http://schemas.microsoft.com/office/drawing/2014/main" id="{00000000-0008-0000-1600-000068050000}"/>
                </a:ext>
              </a:extLst>
            </xdr:cNvPr>
            <xdr:cNvSpPr/>
          </xdr:nvSpPr>
          <xdr:spPr>
            <a:xfrm>
              <a:off x="5055436" y="5096578"/>
              <a:ext cx="109287" cy="149174"/>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385" name="직사각형 1384">
              <a:extLst>
                <a:ext uri="{FF2B5EF4-FFF2-40B4-BE49-F238E27FC236}">
                  <a16:creationId xmlns:a16="http://schemas.microsoft.com/office/drawing/2014/main" id="{00000000-0008-0000-1600-000069050000}"/>
                </a:ext>
              </a:extLst>
            </xdr:cNvPr>
            <xdr:cNvSpPr/>
          </xdr:nvSpPr>
          <xdr:spPr>
            <a:xfrm>
              <a:off x="5060686" y="5096578"/>
              <a:ext cx="98786" cy="52211"/>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clientData/>
  </xdr:twoCellAnchor>
  <xdr:twoCellAnchor>
    <xdr:from>
      <xdr:col>4</xdr:col>
      <xdr:colOff>198940</xdr:colOff>
      <xdr:row>50</xdr:row>
      <xdr:rowOff>142375</xdr:rowOff>
    </xdr:from>
    <xdr:to>
      <xdr:col>4</xdr:col>
      <xdr:colOff>576130</xdr:colOff>
      <xdr:row>55</xdr:row>
      <xdr:rowOff>49372</xdr:rowOff>
    </xdr:to>
    <xdr:grpSp>
      <xdr:nvGrpSpPr>
        <xdr:cNvPr id="1399" name="그룹 1398">
          <a:extLst>
            <a:ext uri="{FF2B5EF4-FFF2-40B4-BE49-F238E27FC236}">
              <a16:creationId xmlns:a16="http://schemas.microsoft.com/office/drawing/2014/main" id="{00000000-0008-0000-1600-000077050000}"/>
            </a:ext>
          </a:extLst>
        </xdr:cNvPr>
        <xdr:cNvGrpSpPr/>
      </xdr:nvGrpSpPr>
      <xdr:grpSpPr>
        <a:xfrm>
          <a:off x="3583116" y="10171640"/>
          <a:ext cx="377190" cy="971556"/>
          <a:chOff x="3262313" y="3209926"/>
          <a:chExt cx="914400" cy="3609974"/>
        </a:xfrm>
      </xdr:grpSpPr>
      <xdr:grpSp>
        <xdr:nvGrpSpPr>
          <xdr:cNvPr id="1400" name="그룹 1399">
            <a:extLst>
              <a:ext uri="{FF2B5EF4-FFF2-40B4-BE49-F238E27FC236}">
                <a16:creationId xmlns:a16="http://schemas.microsoft.com/office/drawing/2014/main" id="{00000000-0008-0000-1600-000078050000}"/>
              </a:ext>
            </a:extLst>
          </xdr:cNvPr>
          <xdr:cNvGrpSpPr/>
        </xdr:nvGrpSpPr>
        <xdr:grpSpPr>
          <a:xfrm>
            <a:off x="3262313" y="3209926"/>
            <a:ext cx="914400" cy="3609974"/>
            <a:chOff x="2228850" y="3190876"/>
            <a:chExt cx="914400" cy="3609974"/>
          </a:xfrm>
        </xdr:grpSpPr>
        <xdr:pic>
          <xdr:nvPicPr>
            <xdr:cNvPr id="1405" name="그림 1404">
              <a:extLst>
                <a:ext uri="{FF2B5EF4-FFF2-40B4-BE49-F238E27FC236}">
                  <a16:creationId xmlns:a16="http://schemas.microsoft.com/office/drawing/2014/main" id="{00000000-0008-0000-1600-00007D050000}"/>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4872" t="1762" r="2934" b="2889"/>
            <a:stretch/>
          </xdr:blipFill>
          <xdr:spPr>
            <a:xfrm>
              <a:off x="2228850" y="3190876"/>
              <a:ext cx="914400" cy="3609974"/>
            </a:xfrm>
            <a:prstGeom prst="rect">
              <a:avLst/>
            </a:prstGeom>
          </xdr:spPr>
        </xdr:pic>
        <xdr:sp macro="" textlink="">
          <xdr:nvSpPr>
            <xdr:cNvPr id="1406" name="타원 1405">
              <a:extLst>
                <a:ext uri="{FF2B5EF4-FFF2-40B4-BE49-F238E27FC236}">
                  <a16:creationId xmlns:a16="http://schemas.microsoft.com/office/drawing/2014/main" id="{00000000-0008-0000-1600-00007E050000}"/>
                </a:ext>
              </a:extLst>
            </xdr:cNvPr>
            <xdr:cNvSpPr/>
          </xdr:nvSpPr>
          <xdr:spPr>
            <a:xfrm>
              <a:off x="2415382" y="4009766"/>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07" name="타원 1406">
              <a:extLst>
                <a:ext uri="{FF2B5EF4-FFF2-40B4-BE49-F238E27FC236}">
                  <a16:creationId xmlns:a16="http://schemas.microsoft.com/office/drawing/2014/main" id="{00000000-0008-0000-1600-00007F050000}"/>
                </a:ext>
              </a:extLst>
            </xdr:cNvPr>
            <xdr:cNvSpPr/>
          </xdr:nvSpPr>
          <xdr:spPr>
            <a:xfrm>
              <a:off x="2418557" y="4364832"/>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08" name="타원 1407">
              <a:extLst>
                <a:ext uri="{FF2B5EF4-FFF2-40B4-BE49-F238E27FC236}">
                  <a16:creationId xmlns:a16="http://schemas.microsoft.com/office/drawing/2014/main" id="{00000000-0008-0000-1600-000080050000}"/>
                </a:ext>
              </a:extLst>
            </xdr:cNvPr>
            <xdr:cNvSpPr/>
          </xdr:nvSpPr>
          <xdr:spPr>
            <a:xfrm>
              <a:off x="2509139" y="4364832"/>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09" name="타원 1408">
              <a:extLst>
                <a:ext uri="{FF2B5EF4-FFF2-40B4-BE49-F238E27FC236}">
                  <a16:creationId xmlns:a16="http://schemas.microsoft.com/office/drawing/2014/main" id="{00000000-0008-0000-1600-000081050000}"/>
                </a:ext>
              </a:extLst>
            </xdr:cNvPr>
            <xdr:cNvSpPr/>
          </xdr:nvSpPr>
          <xdr:spPr>
            <a:xfrm>
              <a:off x="2509139" y="40065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10" name="타원 1409">
              <a:extLst>
                <a:ext uri="{FF2B5EF4-FFF2-40B4-BE49-F238E27FC236}">
                  <a16:creationId xmlns:a16="http://schemas.microsoft.com/office/drawing/2014/main" id="{00000000-0008-0000-1600-000082050000}"/>
                </a:ext>
              </a:extLst>
            </xdr:cNvPr>
            <xdr:cNvSpPr/>
          </xdr:nvSpPr>
          <xdr:spPr>
            <a:xfrm>
              <a:off x="2509139" y="40954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11" name="타원 1410">
              <a:extLst>
                <a:ext uri="{FF2B5EF4-FFF2-40B4-BE49-F238E27FC236}">
                  <a16:creationId xmlns:a16="http://schemas.microsoft.com/office/drawing/2014/main" id="{00000000-0008-0000-1600-000083050000}"/>
                </a:ext>
              </a:extLst>
            </xdr:cNvPr>
            <xdr:cNvSpPr/>
          </xdr:nvSpPr>
          <xdr:spPr>
            <a:xfrm>
              <a:off x="2471738" y="5346341"/>
              <a:ext cx="50006" cy="50006"/>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12" name="타원 1411">
              <a:extLst>
                <a:ext uri="{FF2B5EF4-FFF2-40B4-BE49-F238E27FC236}">
                  <a16:creationId xmlns:a16="http://schemas.microsoft.com/office/drawing/2014/main" id="{00000000-0008-0000-1600-000084050000}"/>
                </a:ext>
              </a:extLst>
            </xdr:cNvPr>
            <xdr:cNvSpPr/>
          </xdr:nvSpPr>
          <xdr:spPr>
            <a:xfrm>
              <a:off x="2434838" y="4626460"/>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13" name="타원 1412">
              <a:extLst>
                <a:ext uri="{FF2B5EF4-FFF2-40B4-BE49-F238E27FC236}">
                  <a16:creationId xmlns:a16="http://schemas.microsoft.com/office/drawing/2014/main" id="{00000000-0008-0000-1600-000085050000}"/>
                </a:ext>
              </a:extLst>
            </xdr:cNvPr>
            <xdr:cNvSpPr/>
          </xdr:nvSpPr>
          <xdr:spPr>
            <a:xfrm>
              <a:off x="2527702" y="4634173"/>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14" name="타원 1413">
              <a:extLst>
                <a:ext uri="{FF2B5EF4-FFF2-40B4-BE49-F238E27FC236}">
                  <a16:creationId xmlns:a16="http://schemas.microsoft.com/office/drawing/2014/main" id="{00000000-0008-0000-1600-000086050000}"/>
                </a:ext>
              </a:extLst>
            </xdr:cNvPr>
            <xdr:cNvSpPr/>
          </xdr:nvSpPr>
          <xdr:spPr>
            <a:xfrm>
              <a:off x="2418557" y="4103204"/>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15" name="타원 1414">
              <a:extLst>
                <a:ext uri="{FF2B5EF4-FFF2-40B4-BE49-F238E27FC236}">
                  <a16:creationId xmlns:a16="http://schemas.microsoft.com/office/drawing/2014/main" id="{00000000-0008-0000-1600-000087050000}"/>
                </a:ext>
              </a:extLst>
            </xdr:cNvPr>
            <xdr:cNvSpPr/>
          </xdr:nvSpPr>
          <xdr:spPr>
            <a:xfrm>
              <a:off x="2418557" y="418729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16" name="타원 1415">
              <a:extLst>
                <a:ext uri="{FF2B5EF4-FFF2-40B4-BE49-F238E27FC236}">
                  <a16:creationId xmlns:a16="http://schemas.microsoft.com/office/drawing/2014/main" id="{00000000-0008-0000-1600-000088050000}"/>
                </a:ext>
              </a:extLst>
            </xdr:cNvPr>
            <xdr:cNvSpPr/>
          </xdr:nvSpPr>
          <xdr:spPr>
            <a:xfrm>
              <a:off x="2415382" y="4449393"/>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17" name="타원 1416">
              <a:extLst>
                <a:ext uri="{FF2B5EF4-FFF2-40B4-BE49-F238E27FC236}">
                  <a16:creationId xmlns:a16="http://schemas.microsoft.com/office/drawing/2014/main" id="{00000000-0008-0000-1600-000089050000}"/>
                </a:ext>
              </a:extLst>
            </xdr:cNvPr>
            <xdr:cNvSpPr/>
          </xdr:nvSpPr>
          <xdr:spPr>
            <a:xfrm>
              <a:off x="2434838" y="472353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1401" name="그룹 1400">
            <a:extLst>
              <a:ext uri="{FF2B5EF4-FFF2-40B4-BE49-F238E27FC236}">
                <a16:creationId xmlns:a16="http://schemas.microsoft.com/office/drawing/2014/main" id="{00000000-0008-0000-1600-000079050000}"/>
              </a:ext>
            </a:extLst>
          </xdr:cNvPr>
          <xdr:cNvGrpSpPr/>
        </xdr:nvGrpSpPr>
        <xdr:grpSpPr>
          <a:xfrm>
            <a:off x="3357531" y="6077559"/>
            <a:ext cx="357219" cy="734485"/>
            <a:chOff x="5023743" y="4906381"/>
            <a:chExt cx="172673" cy="380393"/>
          </a:xfrm>
        </xdr:grpSpPr>
        <xdr:sp macro="" textlink="">
          <xdr:nvSpPr>
            <xdr:cNvPr id="1402" name="직사각형 1401">
              <a:extLst>
                <a:ext uri="{FF2B5EF4-FFF2-40B4-BE49-F238E27FC236}">
                  <a16:creationId xmlns:a16="http://schemas.microsoft.com/office/drawing/2014/main" id="{00000000-0008-0000-1600-00007A050000}"/>
                </a:ext>
              </a:extLst>
            </xdr:cNvPr>
            <xdr:cNvSpPr/>
          </xdr:nvSpPr>
          <xdr:spPr>
            <a:xfrm>
              <a:off x="5023743" y="4906381"/>
              <a:ext cx="172673" cy="380393"/>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03" name="직사각형 1402">
              <a:extLst>
                <a:ext uri="{FF2B5EF4-FFF2-40B4-BE49-F238E27FC236}">
                  <a16:creationId xmlns:a16="http://schemas.microsoft.com/office/drawing/2014/main" id="{00000000-0008-0000-1600-00007B050000}"/>
                </a:ext>
              </a:extLst>
            </xdr:cNvPr>
            <xdr:cNvSpPr/>
          </xdr:nvSpPr>
          <xdr:spPr>
            <a:xfrm>
              <a:off x="5055436" y="5096578"/>
              <a:ext cx="109287" cy="149174"/>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04" name="직사각형 1403">
              <a:extLst>
                <a:ext uri="{FF2B5EF4-FFF2-40B4-BE49-F238E27FC236}">
                  <a16:creationId xmlns:a16="http://schemas.microsoft.com/office/drawing/2014/main" id="{00000000-0008-0000-1600-00007C050000}"/>
                </a:ext>
              </a:extLst>
            </xdr:cNvPr>
            <xdr:cNvSpPr/>
          </xdr:nvSpPr>
          <xdr:spPr>
            <a:xfrm>
              <a:off x="5060686" y="5096578"/>
              <a:ext cx="98786" cy="52211"/>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clientData/>
  </xdr:twoCellAnchor>
  <xdr:twoCellAnchor>
    <xdr:from>
      <xdr:col>4</xdr:col>
      <xdr:colOff>208173</xdr:colOff>
      <xdr:row>45</xdr:row>
      <xdr:rowOff>178274</xdr:rowOff>
    </xdr:from>
    <xdr:to>
      <xdr:col>4</xdr:col>
      <xdr:colOff>580271</xdr:colOff>
      <xdr:row>50</xdr:row>
      <xdr:rowOff>81841</xdr:rowOff>
    </xdr:to>
    <xdr:grpSp>
      <xdr:nvGrpSpPr>
        <xdr:cNvPr id="1418" name="그룹 1417">
          <a:extLst>
            <a:ext uri="{FF2B5EF4-FFF2-40B4-BE49-F238E27FC236}">
              <a16:creationId xmlns:a16="http://schemas.microsoft.com/office/drawing/2014/main" id="{00000000-0008-0000-1600-00008A050000}"/>
            </a:ext>
          </a:extLst>
        </xdr:cNvPr>
        <xdr:cNvGrpSpPr/>
      </xdr:nvGrpSpPr>
      <xdr:grpSpPr>
        <a:xfrm>
          <a:off x="3592349" y="9142980"/>
          <a:ext cx="372098" cy="968126"/>
          <a:chOff x="3262313" y="3209926"/>
          <a:chExt cx="914400" cy="3609974"/>
        </a:xfrm>
      </xdr:grpSpPr>
      <xdr:grpSp>
        <xdr:nvGrpSpPr>
          <xdr:cNvPr id="1419" name="그룹 1418">
            <a:extLst>
              <a:ext uri="{FF2B5EF4-FFF2-40B4-BE49-F238E27FC236}">
                <a16:creationId xmlns:a16="http://schemas.microsoft.com/office/drawing/2014/main" id="{00000000-0008-0000-1600-00008B050000}"/>
              </a:ext>
            </a:extLst>
          </xdr:cNvPr>
          <xdr:cNvGrpSpPr/>
        </xdr:nvGrpSpPr>
        <xdr:grpSpPr>
          <a:xfrm>
            <a:off x="3262313" y="3209926"/>
            <a:ext cx="914400" cy="3609974"/>
            <a:chOff x="2228850" y="3190876"/>
            <a:chExt cx="914400" cy="3609974"/>
          </a:xfrm>
        </xdr:grpSpPr>
        <xdr:pic>
          <xdr:nvPicPr>
            <xdr:cNvPr id="1424" name="그림 1423">
              <a:extLst>
                <a:ext uri="{FF2B5EF4-FFF2-40B4-BE49-F238E27FC236}">
                  <a16:creationId xmlns:a16="http://schemas.microsoft.com/office/drawing/2014/main" id="{00000000-0008-0000-1600-000090050000}"/>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4872" t="1762" r="2934" b="2889"/>
            <a:stretch/>
          </xdr:blipFill>
          <xdr:spPr>
            <a:xfrm>
              <a:off x="2228850" y="3190876"/>
              <a:ext cx="914400" cy="3609974"/>
            </a:xfrm>
            <a:prstGeom prst="rect">
              <a:avLst/>
            </a:prstGeom>
          </xdr:spPr>
        </xdr:pic>
        <xdr:sp macro="" textlink="">
          <xdr:nvSpPr>
            <xdr:cNvPr id="1425" name="타원 1424">
              <a:extLst>
                <a:ext uri="{FF2B5EF4-FFF2-40B4-BE49-F238E27FC236}">
                  <a16:creationId xmlns:a16="http://schemas.microsoft.com/office/drawing/2014/main" id="{00000000-0008-0000-1600-000091050000}"/>
                </a:ext>
              </a:extLst>
            </xdr:cNvPr>
            <xdr:cNvSpPr/>
          </xdr:nvSpPr>
          <xdr:spPr>
            <a:xfrm>
              <a:off x="2415382" y="4009766"/>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26" name="타원 1425">
              <a:extLst>
                <a:ext uri="{FF2B5EF4-FFF2-40B4-BE49-F238E27FC236}">
                  <a16:creationId xmlns:a16="http://schemas.microsoft.com/office/drawing/2014/main" id="{00000000-0008-0000-1600-000092050000}"/>
                </a:ext>
              </a:extLst>
            </xdr:cNvPr>
            <xdr:cNvSpPr/>
          </xdr:nvSpPr>
          <xdr:spPr>
            <a:xfrm>
              <a:off x="2418557" y="4364832"/>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27" name="타원 1426">
              <a:extLst>
                <a:ext uri="{FF2B5EF4-FFF2-40B4-BE49-F238E27FC236}">
                  <a16:creationId xmlns:a16="http://schemas.microsoft.com/office/drawing/2014/main" id="{00000000-0008-0000-1600-000093050000}"/>
                </a:ext>
              </a:extLst>
            </xdr:cNvPr>
            <xdr:cNvSpPr/>
          </xdr:nvSpPr>
          <xdr:spPr>
            <a:xfrm>
              <a:off x="2509139" y="4364832"/>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28" name="타원 1427">
              <a:extLst>
                <a:ext uri="{FF2B5EF4-FFF2-40B4-BE49-F238E27FC236}">
                  <a16:creationId xmlns:a16="http://schemas.microsoft.com/office/drawing/2014/main" id="{00000000-0008-0000-1600-000094050000}"/>
                </a:ext>
              </a:extLst>
            </xdr:cNvPr>
            <xdr:cNvSpPr/>
          </xdr:nvSpPr>
          <xdr:spPr>
            <a:xfrm>
              <a:off x="2509139" y="40065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29" name="타원 1428">
              <a:extLst>
                <a:ext uri="{FF2B5EF4-FFF2-40B4-BE49-F238E27FC236}">
                  <a16:creationId xmlns:a16="http://schemas.microsoft.com/office/drawing/2014/main" id="{00000000-0008-0000-1600-000095050000}"/>
                </a:ext>
              </a:extLst>
            </xdr:cNvPr>
            <xdr:cNvSpPr/>
          </xdr:nvSpPr>
          <xdr:spPr>
            <a:xfrm>
              <a:off x="2509139" y="40954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30" name="타원 1429">
              <a:extLst>
                <a:ext uri="{FF2B5EF4-FFF2-40B4-BE49-F238E27FC236}">
                  <a16:creationId xmlns:a16="http://schemas.microsoft.com/office/drawing/2014/main" id="{00000000-0008-0000-1600-000096050000}"/>
                </a:ext>
              </a:extLst>
            </xdr:cNvPr>
            <xdr:cNvSpPr/>
          </xdr:nvSpPr>
          <xdr:spPr>
            <a:xfrm>
              <a:off x="2471738" y="5346341"/>
              <a:ext cx="50006" cy="50006"/>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31" name="타원 1430">
              <a:extLst>
                <a:ext uri="{FF2B5EF4-FFF2-40B4-BE49-F238E27FC236}">
                  <a16:creationId xmlns:a16="http://schemas.microsoft.com/office/drawing/2014/main" id="{00000000-0008-0000-1600-000097050000}"/>
                </a:ext>
              </a:extLst>
            </xdr:cNvPr>
            <xdr:cNvSpPr/>
          </xdr:nvSpPr>
          <xdr:spPr>
            <a:xfrm>
              <a:off x="2434838" y="4626460"/>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32" name="타원 1431">
              <a:extLst>
                <a:ext uri="{FF2B5EF4-FFF2-40B4-BE49-F238E27FC236}">
                  <a16:creationId xmlns:a16="http://schemas.microsoft.com/office/drawing/2014/main" id="{00000000-0008-0000-1600-000098050000}"/>
                </a:ext>
              </a:extLst>
            </xdr:cNvPr>
            <xdr:cNvSpPr/>
          </xdr:nvSpPr>
          <xdr:spPr>
            <a:xfrm>
              <a:off x="2527702" y="4634173"/>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33" name="타원 1432">
              <a:extLst>
                <a:ext uri="{FF2B5EF4-FFF2-40B4-BE49-F238E27FC236}">
                  <a16:creationId xmlns:a16="http://schemas.microsoft.com/office/drawing/2014/main" id="{00000000-0008-0000-1600-000099050000}"/>
                </a:ext>
              </a:extLst>
            </xdr:cNvPr>
            <xdr:cNvSpPr/>
          </xdr:nvSpPr>
          <xdr:spPr>
            <a:xfrm>
              <a:off x="2418557" y="4103204"/>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34" name="타원 1433">
              <a:extLst>
                <a:ext uri="{FF2B5EF4-FFF2-40B4-BE49-F238E27FC236}">
                  <a16:creationId xmlns:a16="http://schemas.microsoft.com/office/drawing/2014/main" id="{00000000-0008-0000-1600-00009A050000}"/>
                </a:ext>
              </a:extLst>
            </xdr:cNvPr>
            <xdr:cNvSpPr/>
          </xdr:nvSpPr>
          <xdr:spPr>
            <a:xfrm>
              <a:off x="2418557" y="418729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35" name="타원 1434">
              <a:extLst>
                <a:ext uri="{FF2B5EF4-FFF2-40B4-BE49-F238E27FC236}">
                  <a16:creationId xmlns:a16="http://schemas.microsoft.com/office/drawing/2014/main" id="{00000000-0008-0000-1600-00009B050000}"/>
                </a:ext>
              </a:extLst>
            </xdr:cNvPr>
            <xdr:cNvSpPr/>
          </xdr:nvSpPr>
          <xdr:spPr>
            <a:xfrm>
              <a:off x="2415382" y="4449393"/>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36" name="타원 1435">
              <a:extLst>
                <a:ext uri="{FF2B5EF4-FFF2-40B4-BE49-F238E27FC236}">
                  <a16:creationId xmlns:a16="http://schemas.microsoft.com/office/drawing/2014/main" id="{00000000-0008-0000-1600-00009C050000}"/>
                </a:ext>
              </a:extLst>
            </xdr:cNvPr>
            <xdr:cNvSpPr/>
          </xdr:nvSpPr>
          <xdr:spPr>
            <a:xfrm>
              <a:off x="2434838" y="472353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1420" name="그룹 1419">
            <a:extLst>
              <a:ext uri="{FF2B5EF4-FFF2-40B4-BE49-F238E27FC236}">
                <a16:creationId xmlns:a16="http://schemas.microsoft.com/office/drawing/2014/main" id="{00000000-0008-0000-1600-00008C050000}"/>
              </a:ext>
            </a:extLst>
          </xdr:cNvPr>
          <xdr:cNvGrpSpPr/>
        </xdr:nvGrpSpPr>
        <xdr:grpSpPr>
          <a:xfrm>
            <a:off x="3357531" y="6077559"/>
            <a:ext cx="357219" cy="734485"/>
            <a:chOff x="5023743" y="4906381"/>
            <a:chExt cx="172673" cy="380393"/>
          </a:xfrm>
        </xdr:grpSpPr>
        <xdr:sp macro="" textlink="">
          <xdr:nvSpPr>
            <xdr:cNvPr id="1421" name="직사각형 1420">
              <a:extLst>
                <a:ext uri="{FF2B5EF4-FFF2-40B4-BE49-F238E27FC236}">
                  <a16:creationId xmlns:a16="http://schemas.microsoft.com/office/drawing/2014/main" id="{00000000-0008-0000-1600-00008D050000}"/>
                </a:ext>
              </a:extLst>
            </xdr:cNvPr>
            <xdr:cNvSpPr/>
          </xdr:nvSpPr>
          <xdr:spPr>
            <a:xfrm>
              <a:off x="5023743" y="4906381"/>
              <a:ext cx="172673" cy="380393"/>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22" name="직사각형 1421">
              <a:extLst>
                <a:ext uri="{FF2B5EF4-FFF2-40B4-BE49-F238E27FC236}">
                  <a16:creationId xmlns:a16="http://schemas.microsoft.com/office/drawing/2014/main" id="{00000000-0008-0000-1600-00008E050000}"/>
                </a:ext>
              </a:extLst>
            </xdr:cNvPr>
            <xdr:cNvSpPr/>
          </xdr:nvSpPr>
          <xdr:spPr>
            <a:xfrm>
              <a:off x="5055436" y="5096578"/>
              <a:ext cx="109287" cy="149174"/>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23" name="직사각형 1422">
              <a:extLst>
                <a:ext uri="{FF2B5EF4-FFF2-40B4-BE49-F238E27FC236}">
                  <a16:creationId xmlns:a16="http://schemas.microsoft.com/office/drawing/2014/main" id="{00000000-0008-0000-1600-00008F050000}"/>
                </a:ext>
              </a:extLst>
            </xdr:cNvPr>
            <xdr:cNvSpPr/>
          </xdr:nvSpPr>
          <xdr:spPr>
            <a:xfrm>
              <a:off x="5060686" y="5096578"/>
              <a:ext cx="98786" cy="52211"/>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clientData/>
  </xdr:twoCellAnchor>
  <xdr:twoCellAnchor>
    <xdr:from>
      <xdr:col>3</xdr:col>
      <xdr:colOff>1017948</xdr:colOff>
      <xdr:row>50</xdr:row>
      <xdr:rowOff>158758</xdr:rowOff>
    </xdr:from>
    <xdr:to>
      <xdr:col>4</xdr:col>
      <xdr:colOff>278157</xdr:colOff>
      <xdr:row>55</xdr:row>
      <xdr:rowOff>62325</xdr:rowOff>
    </xdr:to>
    <xdr:grpSp>
      <xdr:nvGrpSpPr>
        <xdr:cNvPr id="1437" name="그룹 1436">
          <a:extLst>
            <a:ext uri="{FF2B5EF4-FFF2-40B4-BE49-F238E27FC236}">
              <a16:creationId xmlns:a16="http://schemas.microsoft.com/office/drawing/2014/main" id="{00000000-0008-0000-1600-00009D050000}"/>
            </a:ext>
          </a:extLst>
        </xdr:cNvPr>
        <xdr:cNvGrpSpPr/>
      </xdr:nvGrpSpPr>
      <xdr:grpSpPr>
        <a:xfrm>
          <a:off x="3292742" y="10188023"/>
          <a:ext cx="369591" cy="968126"/>
          <a:chOff x="3262313" y="3209926"/>
          <a:chExt cx="914400" cy="3609974"/>
        </a:xfrm>
      </xdr:grpSpPr>
      <xdr:grpSp>
        <xdr:nvGrpSpPr>
          <xdr:cNvPr id="1438" name="그룹 1437">
            <a:extLst>
              <a:ext uri="{FF2B5EF4-FFF2-40B4-BE49-F238E27FC236}">
                <a16:creationId xmlns:a16="http://schemas.microsoft.com/office/drawing/2014/main" id="{00000000-0008-0000-1600-00009E050000}"/>
              </a:ext>
            </a:extLst>
          </xdr:cNvPr>
          <xdr:cNvGrpSpPr/>
        </xdr:nvGrpSpPr>
        <xdr:grpSpPr>
          <a:xfrm>
            <a:off x="3262313" y="3209926"/>
            <a:ext cx="914400" cy="3609974"/>
            <a:chOff x="2228850" y="3190876"/>
            <a:chExt cx="914400" cy="3609974"/>
          </a:xfrm>
        </xdr:grpSpPr>
        <xdr:pic>
          <xdr:nvPicPr>
            <xdr:cNvPr id="1443" name="그림 1442">
              <a:extLst>
                <a:ext uri="{FF2B5EF4-FFF2-40B4-BE49-F238E27FC236}">
                  <a16:creationId xmlns:a16="http://schemas.microsoft.com/office/drawing/2014/main" id="{00000000-0008-0000-1600-0000A3050000}"/>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4872" t="1762" r="2934" b="2889"/>
            <a:stretch/>
          </xdr:blipFill>
          <xdr:spPr>
            <a:xfrm>
              <a:off x="2228850" y="3190876"/>
              <a:ext cx="914400" cy="3609974"/>
            </a:xfrm>
            <a:prstGeom prst="rect">
              <a:avLst/>
            </a:prstGeom>
          </xdr:spPr>
        </xdr:pic>
        <xdr:sp macro="" textlink="">
          <xdr:nvSpPr>
            <xdr:cNvPr id="1444" name="타원 1443">
              <a:extLst>
                <a:ext uri="{FF2B5EF4-FFF2-40B4-BE49-F238E27FC236}">
                  <a16:creationId xmlns:a16="http://schemas.microsoft.com/office/drawing/2014/main" id="{00000000-0008-0000-1600-0000A4050000}"/>
                </a:ext>
              </a:extLst>
            </xdr:cNvPr>
            <xdr:cNvSpPr/>
          </xdr:nvSpPr>
          <xdr:spPr>
            <a:xfrm>
              <a:off x="2415382" y="4009766"/>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45" name="타원 1444">
              <a:extLst>
                <a:ext uri="{FF2B5EF4-FFF2-40B4-BE49-F238E27FC236}">
                  <a16:creationId xmlns:a16="http://schemas.microsoft.com/office/drawing/2014/main" id="{00000000-0008-0000-1600-0000A5050000}"/>
                </a:ext>
              </a:extLst>
            </xdr:cNvPr>
            <xdr:cNvSpPr/>
          </xdr:nvSpPr>
          <xdr:spPr>
            <a:xfrm>
              <a:off x="2418557" y="4364832"/>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46" name="타원 1445">
              <a:extLst>
                <a:ext uri="{FF2B5EF4-FFF2-40B4-BE49-F238E27FC236}">
                  <a16:creationId xmlns:a16="http://schemas.microsoft.com/office/drawing/2014/main" id="{00000000-0008-0000-1600-0000A6050000}"/>
                </a:ext>
              </a:extLst>
            </xdr:cNvPr>
            <xdr:cNvSpPr/>
          </xdr:nvSpPr>
          <xdr:spPr>
            <a:xfrm>
              <a:off x="2509139" y="4364832"/>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47" name="타원 1446">
              <a:extLst>
                <a:ext uri="{FF2B5EF4-FFF2-40B4-BE49-F238E27FC236}">
                  <a16:creationId xmlns:a16="http://schemas.microsoft.com/office/drawing/2014/main" id="{00000000-0008-0000-1600-0000A7050000}"/>
                </a:ext>
              </a:extLst>
            </xdr:cNvPr>
            <xdr:cNvSpPr/>
          </xdr:nvSpPr>
          <xdr:spPr>
            <a:xfrm>
              <a:off x="2509139" y="40065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48" name="타원 1447">
              <a:extLst>
                <a:ext uri="{FF2B5EF4-FFF2-40B4-BE49-F238E27FC236}">
                  <a16:creationId xmlns:a16="http://schemas.microsoft.com/office/drawing/2014/main" id="{00000000-0008-0000-1600-0000A8050000}"/>
                </a:ext>
              </a:extLst>
            </xdr:cNvPr>
            <xdr:cNvSpPr/>
          </xdr:nvSpPr>
          <xdr:spPr>
            <a:xfrm>
              <a:off x="2509139" y="40954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49" name="타원 1448">
              <a:extLst>
                <a:ext uri="{FF2B5EF4-FFF2-40B4-BE49-F238E27FC236}">
                  <a16:creationId xmlns:a16="http://schemas.microsoft.com/office/drawing/2014/main" id="{00000000-0008-0000-1600-0000A9050000}"/>
                </a:ext>
              </a:extLst>
            </xdr:cNvPr>
            <xdr:cNvSpPr/>
          </xdr:nvSpPr>
          <xdr:spPr>
            <a:xfrm>
              <a:off x="2471738" y="5346341"/>
              <a:ext cx="50006" cy="50006"/>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50" name="타원 1449">
              <a:extLst>
                <a:ext uri="{FF2B5EF4-FFF2-40B4-BE49-F238E27FC236}">
                  <a16:creationId xmlns:a16="http://schemas.microsoft.com/office/drawing/2014/main" id="{00000000-0008-0000-1600-0000AA050000}"/>
                </a:ext>
              </a:extLst>
            </xdr:cNvPr>
            <xdr:cNvSpPr/>
          </xdr:nvSpPr>
          <xdr:spPr>
            <a:xfrm>
              <a:off x="2434838" y="4626460"/>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51" name="타원 1450">
              <a:extLst>
                <a:ext uri="{FF2B5EF4-FFF2-40B4-BE49-F238E27FC236}">
                  <a16:creationId xmlns:a16="http://schemas.microsoft.com/office/drawing/2014/main" id="{00000000-0008-0000-1600-0000AB050000}"/>
                </a:ext>
              </a:extLst>
            </xdr:cNvPr>
            <xdr:cNvSpPr/>
          </xdr:nvSpPr>
          <xdr:spPr>
            <a:xfrm>
              <a:off x="2527702" y="4634173"/>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52" name="타원 1451">
              <a:extLst>
                <a:ext uri="{FF2B5EF4-FFF2-40B4-BE49-F238E27FC236}">
                  <a16:creationId xmlns:a16="http://schemas.microsoft.com/office/drawing/2014/main" id="{00000000-0008-0000-1600-0000AC050000}"/>
                </a:ext>
              </a:extLst>
            </xdr:cNvPr>
            <xdr:cNvSpPr/>
          </xdr:nvSpPr>
          <xdr:spPr>
            <a:xfrm>
              <a:off x="2418557" y="4103204"/>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53" name="타원 1452">
              <a:extLst>
                <a:ext uri="{FF2B5EF4-FFF2-40B4-BE49-F238E27FC236}">
                  <a16:creationId xmlns:a16="http://schemas.microsoft.com/office/drawing/2014/main" id="{00000000-0008-0000-1600-0000AD050000}"/>
                </a:ext>
              </a:extLst>
            </xdr:cNvPr>
            <xdr:cNvSpPr/>
          </xdr:nvSpPr>
          <xdr:spPr>
            <a:xfrm>
              <a:off x="2418557" y="418729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54" name="타원 1453">
              <a:extLst>
                <a:ext uri="{FF2B5EF4-FFF2-40B4-BE49-F238E27FC236}">
                  <a16:creationId xmlns:a16="http://schemas.microsoft.com/office/drawing/2014/main" id="{00000000-0008-0000-1600-0000AE050000}"/>
                </a:ext>
              </a:extLst>
            </xdr:cNvPr>
            <xdr:cNvSpPr/>
          </xdr:nvSpPr>
          <xdr:spPr>
            <a:xfrm>
              <a:off x="2415382" y="4449393"/>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55" name="타원 1454">
              <a:extLst>
                <a:ext uri="{FF2B5EF4-FFF2-40B4-BE49-F238E27FC236}">
                  <a16:creationId xmlns:a16="http://schemas.microsoft.com/office/drawing/2014/main" id="{00000000-0008-0000-1600-0000AF050000}"/>
                </a:ext>
              </a:extLst>
            </xdr:cNvPr>
            <xdr:cNvSpPr/>
          </xdr:nvSpPr>
          <xdr:spPr>
            <a:xfrm>
              <a:off x="2434838" y="472353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1439" name="그룹 1438">
            <a:extLst>
              <a:ext uri="{FF2B5EF4-FFF2-40B4-BE49-F238E27FC236}">
                <a16:creationId xmlns:a16="http://schemas.microsoft.com/office/drawing/2014/main" id="{00000000-0008-0000-1600-00009F050000}"/>
              </a:ext>
            </a:extLst>
          </xdr:cNvPr>
          <xdr:cNvGrpSpPr/>
        </xdr:nvGrpSpPr>
        <xdr:grpSpPr>
          <a:xfrm>
            <a:off x="3357531" y="6077559"/>
            <a:ext cx="357219" cy="734485"/>
            <a:chOff x="5023743" y="4906381"/>
            <a:chExt cx="172673" cy="380393"/>
          </a:xfrm>
        </xdr:grpSpPr>
        <xdr:sp macro="" textlink="">
          <xdr:nvSpPr>
            <xdr:cNvPr id="1440" name="직사각형 1439">
              <a:extLst>
                <a:ext uri="{FF2B5EF4-FFF2-40B4-BE49-F238E27FC236}">
                  <a16:creationId xmlns:a16="http://schemas.microsoft.com/office/drawing/2014/main" id="{00000000-0008-0000-1600-0000A0050000}"/>
                </a:ext>
              </a:extLst>
            </xdr:cNvPr>
            <xdr:cNvSpPr/>
          </xdr:nvSpPr>
          <xdr:spPr>
            <a:xfrm>
              <a:off x="5023743" y="4906381"/>
              <a:ext cx="172673" cy="380393"/>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41" name="직사각형 1440">
              <a:extLst>
                <a:ext uri="{FF2B5EF4-FFF2-40B4-BE49-F238E27FC236}">
                  <a16:creationId xmlns:a16="http://schemas.microsoft.com/office/drawing/2014/main" id="{00000000-0008-0000-1600-0000A1050000}"/>
                </a:ext>
              </a:extLst>
            </xdr:cNvPr>
            <xdr:cNvSpPr/>
          </xdr:nvSpPr>
          <xdr:spPr>
            <a:xfrm>
              <a:off x="5055436" y="5096578"/>
              <a:ext cx="109287" cy="149174"/>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442" name="직사각형 1441">
              <a:extLst>
                <a:ext uri="{FF2B5EF4-FFF2-40B4-BE49-F238E27FC236}">
                  <a16:creationId xmlns:a16="http://schemas.microsoft.com/office/drawing/2014/main" id="{00000000-0008-0000-1600-0000A2050000}"/>
                </a:ext>
              </a:extLst>
            </xdr:cNvPr>
            <xdr:cNvSpPr/>
          </xdr:nvSpPr>
          <xdr:spPr>
            <a:xfrm>
              <a:off x="5060686" y="5096578"/>
              <a:ext cx="98786" cy="52211"/>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clientData/>
  </xdr:twoCellAnchor>
  <xdr:twoCellAnchor>
    <xdr:from>
      <xdr:col>7</xdr:col>
      <xdr:colOff>222390</xdr:colOff>
      <xdr:row>45</xdr:row>
      <xdr:rowOff>173319</xdr:rowOff>
    </xdr:from>
    <xdr:to>
      <xdr:col>7</xdr:col>
      <xdr:colOff>452379</xdr:colOff>
      <xdr:row>55</xdr:row>
      <xdr:rowOff>142570</xdr:rowOff>
    </xdr:to>
    <xdr:sp macro="" textlink="">
      <xdr:nvSpPr>
        <xdr:cNvPr id="1485" name="직사각형 1484">
          <a:extLst>
            <a:ext uri="{FF2B5EF4-FFF2-40B4-BE49-F238E27FC236}">
              <a16:creationId xmlns:a16="http://schemas.microsoft.com/office/drawing/2014/main" id="{00000000-0008-0000-1600-0000CD050000}"/>
            </a:ext>
          </a:extLst>
        </xdr:cNvPr>
        <xdr:cNvSpPr/>
      </xdr:nvSpPr>
      <xdr:spPr>
        <a:xfrm>
          <a:off x="7813815" y="8993469"/>
          <a:ext cx="229989" cy="2064751"/>
        </a:xfrm>
        <a:prstGeom prst="rect">
          <a:avLst/>
        </a:prstGeom>
        <a:noFill/>
        <a:ln w="28575">
          <a:solidFill>
            <a:srgbClr val="FF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100"/>
        </a:p>
      </xdr:txBody>
    </xdr:sp>
    <xdr:clientData/>
  </xdr:twoCellAnchor>
  <xdr:twoCellAnchor>
    <xdr:from>
      <xdr:col>6</xdr:col>
      <xdr:colOff>266879</xdr:colOff>
      <xdr:row>46</xdr:row>
      <xdr:rowOff>6300</xdr:rowOff>
    </xdr:from>
    <xdr:to>
      <xdr:col>6</xdr:col>
      <xdr:colOff>641533</xdr:colOff>
      <xdr:row>50</xdr:row>
      <xdr:rowOff>117405</xdr:rowOff>
    </xdr:to>
    <xdr:grpSp>
      <xdr:nvGrpSpPr>
        <xdr:cNvPr id="1563" name="그룹 1562">
          <a:extLst>
            <a:ext uri="{FF2B5EF4-FFF2-40B4-BE49-F238E27FC236}">
              <a16:creationId xmlns:a16="http://schemas.microsoft.com/office/drawing/2014/main" id="{00000000-0008-0000-1600-00001B060000}"/>
            </a:ext>
          </a:extLst>
        </xdr:cNvPr>
        <xdr:cNvGrpSpPr/>
      </xdr:nvGrpSpPr>
      <xdr:grpSpPr>
        <a:xfrm>
          <a:off x="6306850" y="9183918"/>
          <a:ext cx="374654" cy="962752"/>
          <a:chOff x="3262313" y="3209926"/>
          <a:chExt cx="914400" cy="3609974"/>
        </a:xfrm>
      </xdr:grpSpPr>
      <xdr:grpSp>
        <xdr:nvGrpSpPr>
          <xdr:cNvPr id="1564" name="그룹 1563">
            <a:extLst>
              <a:ext uri="{FF2B5EF4-FFF2-40B4-BE49-F238E27FC236}">
                <a16:creationId xmlns:a16="http://schemas.microsoft.com/office/drawing/2014/main" id="{00000000-0008-0000-1600-00001C060000}"/>
              </a:ext>
            </a:extLst>
          </xdr:cNvPr>
          <xdr:cNvGrpSpPr/>
        </xdr:nvGrpSpPr>
        <xdr:grpSpPr>
          <a:xfrm>
            <a:off x="3262313" y="3209926"/>
            <a:ext cx="914400" cy="3609974"/>
            <a:chOff x="2228850" y="3190876"/>
            <a:chExt cx="914400" cy="3609974"/>
          </a:xfrm>
        </xdr:grpSpPr>
        <xdr:pic>
          <xdr:nvPicPr>
            <xdr:cNvPr id="1569" name="그림 1568">
              <a:extLst>
                <a:ext uri="{FF2B5EF4-FFF2-40B4-BE49-F238E27FC236}">
                  <a16:creationId xmlns:a16="http://schemas.microsoft.com/office/drawing/2014/main" id="{00000000-0008-0000-1600-000021060000}"/>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4872" t="1762" r="2934" b="2889"/>
            <a:stretch/>
          </xdr:blipFill>
          <xdr:spPr>
            <a:xfrm>
              <a:off x="2228850" y="3190876"/>
              <a:ext cx="914400" cy="3609974"/>
            </a:xfrm>
            <a:prstGeom prst="rect">
              <a:avLst/>
            </a:prstGeom>
          </xdr:spPr>
        </xdr:pic>
        <xdr:sp macro="" textlink="">
          <xdr:nvSpPr>
            <xdr:cNvPr id="1570" name="타원 1569">
              <a:extLst>
                <a:ext uri="{FF2B5EF4-FFF2-40B4-BE49-F238E27FC236}">
                  <a16:creationId xmlns:a16="http://schemas.microsoft.com/office/drawing/2014/main" id="{00000000-0008-0000-1600-000022060000}"/>
                </a:ext>
              </a:extLst>
            </xdr:cNvPr>
            <xdr:cNvSpPr/>
          </xdr:nvSpPr>
          <xdr:spPr>
            <a:xfrm>
              <a:off x="2415382" y="4009766"/>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571" name="타원 1570">
              <a:extLst>
                <a:ext uri="{FF2B5EF4-FFF2-40B4-BE49-F238E27FC236}">
                  <a16:creationId xmlns:a16="http://schemas.microsoft.com/office/drawing/2014/main" id="{00000000-0008-0000-1600-000023060000}"/>
                </a:ext>
              </a:extLst>
            </xdr:cNvPr>
            <xdr:cNvSpPr/>
          </xdr:nvSpPr>
          <xdr:spPr>
            <a:xfrm>
              <a:off x="2418557" y="4364832"/>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572" name="타원 1571">
              <a:extLst>
                <a:ext uri="{FF2B5EF4-FFF2-40B4-BE49-F238E27FC236}">
                  <a16:creationId xmlns:a16="http://schemas.microsoft.com/office/drawing/2014/main" id="{00000000-0008-0000-1600-000024060000}"/>
                </a:ext>
              </a:extLst>
            </xdr:cNvPr>
            <xdr:cNvSpPr/>
          </xdr:nvSpPr>
          <xdr:spPr>
            <a:xfrm>
              <a:off x="2509139" y="4364832"/>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573" name="타원 1572">
              <a:extLst>
                <a:ext uri="{FF2B5EF4-FFF2-40B4-BE49-F238E27FC236}">
                  <a16:creationId xmlns:a16="http://schemas.microsoft.com/office/drawing/2014/main" id="{00000000-0008-0000-1600-000025060000}"/>
                </a:ext>
              </a:extLst>
            </xdr:cNvPr>
            <xdr:cNvSpPr/>
          </xdr:nvSpPr>
          <xdr:spPr>
            <a:xfrm>
              <a:off x="2509139" y="40065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574" name="타원 1573">
              <a:extLst>
                <a:ext uri="{FF2B5EF4-FFF2-40B4-BE49-F238E27FC236}">
                  <a16:creationId xmlns:a16="http://schemas.microsoft.com/office/drawing/2014/main" id="{00000000-0008-0000-1600-000026060000}"/>
                </a:ext>
              </a:extLst>
            </xdr:cNvPr>
            <xdr:cNvSpPr/>
          </xdr:nvSpPr>
          <xdr:spPr>
            <a:xfrm>
              <a:off x="2509139" y="40954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575" name="타원 1574">
              <a:extLst>
                <a:ext uri="{FF2B5EF4-FFF2-40B4-BE49-F238E27FC236}">
                  <a16:creationId xmlns:a16="http://schemas.microsoft.com/office/drawing/2014/main" id="{00000000-0008-0000-1600-000027060000}"/>
                </a:ext>
              </a:extLst>
            </xdr:cNvPr>
            <xdr:cNvSpPr/>
          </xdr:nvSpPr>
          <xdr:spPr>
            <a:xfrm>
              <a:off x="2471738" y="5346341"/>
              <a:ext cx="50006" cy="50006"/>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576" name="타원 1575">
              <a:extLst>
                <a:ext uri="{FF2B5EF4-FFF2-40B4-BE49-F238E27FC236}">
                  <a16:creationId xmlns:a16="http://schemas.microsoft.com/office/drawing/2014/main" id="{00000000-0008-0000-1600-000028060000}"/>
                </a:ext>
              </a:extLst>
            </xdr:cNvPr>
            <xdr:cNvSpPr/>
          </xdr:nvSpPr>
          <xdr:spPr>
            <a:xfrm>
              <a:off x="2434838" y="4626460"/>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577" name="타원 1576">
              <a:extLst>
                <a:ext uri="{FF2B5EF4-FFF2-40B4-BE49-F238E27FC236}">
                  <a16:creationId xmlns:a16="http://schemas.microsoft.com/office/drawing/2014/main" id="{00000000-0008-0000-1600-000029060000}"/>
                </a:ext>
              </a:extLst>
            </xdr:cNvPr>
            <xdr:cNvSpPr/>
          </xdr:nvSpPr>
          <xdr:spPr>
            <a:xfrm>
              <a:off x="2527702" y="4634173"/>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578" name="타원 1577">
              <a:extLst>
                <a:ext uri="{FF2B5EF4-FFF2-40B4-BE49-F238E27FC236}">
                  <a16:creationId xmlns:a16="http://schemas.microsoft.com/office/drawing/2014/main" id="{00000000-0008-0000-1600-00002A060000}"/>
                </a:ext>
              </a:extLst>
            </xdr:cNvPr>
            <xdr:cNvSpPr/>
          </xdr:nvSpPr>
          <xdr:spPr>
            <a:xfrm>
              <a:off x="2418557" y="4103204"/>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579" name="타원 1578">
              <a:extLst>
                <a:ext uri="{FF2B5EF4-FFF2-40B4-BE49-F238E27FC236}">
                  <a16:creationId xmlns:a16="http://schemas.microsoft.com/office/drawing/2014/main" id="{00000000-0008-0000-1600-00002B060000}"/>
                </a:ext>
              </a:extLst>
            </xdr:cNvPr>
            <xdr:cNvSpPr/>
          </xdr:nvSpPr>
          <xdr:spPr>
            <a:xfrm>
              <a:off x="2418557" y="418729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580" name="타원 1579">
              <a:extLst>
                <a:ext uri="{FF2B5EF4-FFF2-40B4-BE49-F238E27FC236}">
                  <a16:creationId xmlns:a16="http://schemas.microsoft.com/office/drawing/2014/main" id="{00000000-0008-0000-1600-00002C060000}"/>
                </a:ext>
              </a:extLst>
            </xdr:cNvPr>
            <xdr:cNvSpPr/>
          </xdr:nvSpPr>
          <xdr:spPr>
            <a:xfrm>
              <a:off x="2415382" y="4449393"/>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581" name="타원 1580">
              <a:extLst>
                <a:ext uri="{FF2B5EF4-FFF2-40B4-BE49-F238E27FC236}">
                  <a16:creationId xmlns:a16="http://schemas.microsoft.com/office/drawing/2014/main" id="{00000000-0008-0000-1600-00002D060000}"/>
                </a:ext>
              </a:extLst>
            </xdr:cNvPr>
            <xdr:cNvSpPr/>
          </xdr:nvSpPr>
          <xdr:spPr>
            <a:xfrm>
              <a:off x="2434838" y="472353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1565" name="그룹 1564">
            <a:extLst>
              <a:ext uri="{FF2B5EF4-FFF2-40B4-BE49-F238E27FC236}">
                <a16:creationId xmlns:a16="http://schemas.microsoft.com/office/drawing/2014/main" id="{00000000-0008-0000-1600-00001D060000}"/>
              </a:ext>
            </a:extLst>
          </xdr:cNvPr>
          <xdr:cNvGrpSpPr/>
        </xdr:nvGrpSpPr>
        <xdr:grpSpPr>
          <a:xfrm>
            <a:off x="3357531" y="6077559"/>
            <a:ext cx="357219" cy="734485"/>
            <a:chOff x="5023743" y="4906381"/>
            <a:chExt cx="172673" cy="380393"/>
          </a:xfrm>
        </xdr:grpSpPr>
        <xdr:sp macro="" textlink="">
          <xdr:nvSpPr>
            <xdr:cNvPr id="1566" name="직사각형 1565">
              <a:extLst>
                <a:ext uri="{FF2B5EF4-FFF2-40B4-BE49-F238E27FC236}">
                  <a16:creationId xmlns:a16="http://schemas.microsoft.com/office/drawing/2014/main" id="{00000000-0008-0000-1600-00001E060000}"/>
                </a:ext>
              </a:extLst>
            </xdr:cNvPr>
            <xdr:cNvSpPr/>
          </xdr:nvSpPr>
          <xdr:spPr>
            <a:xfrm>
              <a:off x="5023743" y="4906381"/>
              <a:ext cx="172673" cy="380393"/>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567" name="직사각형 1566">
              <a:extLst>
                <a:ext uri="{FF2B5EF4-FFF2-40B4-BE49-F238E27FC236}">
                  <a16:creationId xmlns:a16="http://schemas.microsoft.com/office/drawing/2014/main" id="{00000000-0008-0000-1600-00001F060000}"/>
                </a:ext>
              </a:extLst>
            </xdr:cNvPr>
            <xdr:cNvSpPr/>
          </xdr:nvSpPr>
          <xdr:spPr>
            <a:xfrm>
              <a:off x="5055436" y="5096578"/>
              <a:ext cx="109287" cy="149174"/>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568" name="직사각형 1567">
              <a:extLst>
                <a:ext uri="{FF2B5EF4-FFF2-40B4-BE49-F238E27FC236}">
                  <a16:creationId xmlns:a16="http://schemas.microsoft.com/office/drawing/2014/main" id="{00000000-0008-0000-1600-000020060000}"/>
                </a:ext>
              </a:extLst>
            </xdr:cNvPr>
            <xdr:cNvSpPr/>
          </xdr:nvSpPr>
          <xdr:spPr>
            <a:xfrm>
              <a:off x="5060686" y="5096578"/>
              <a:ext cx="98786" cy="52211"/>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clientData/>
  </xdr:twoCellAnchor>
  <xdr:twoCellAnchor>
    <xdr:from>
      <xdr:col>6</xdr:col>
      <xdr:colOff>291214</xdr:colOff>
      <xdr:row>50</xdr:row>
      <xdr:rowOff>161227</xdr:rowOff>
    </xdr:from>
    <xdr:to>
      <xdr:col>6</xdr:col>
      <xdr:colOff>663312</xdr:colOff>
      <xdr:row>55</xdr:row>
      <xdr:rowOff>64794</xdr:rowOff>
    </xdr:to>
    <xdr:grpSp>
      <xdr:nvGrpSpPr>
        <xdr:cNvPr id="1582" name="그룹 1581">
          <a:extLst>
            <a:ext uri="{FF2B5EF4-FFF2-40B4-BE49-F238E27FC236}">
              <a16:creationId xmlns:a16="http://schemas.microsoft.com/office/drawing/2014/main" id="{00000000-0008-0000-1600-00002E060000}"/>
            </a:ext>
          </a:extLst>
        </xdr:cNvPr>
        <xdr:cNvGrpSpPr/>
      </xdr:nvGrpSpPr>
      <xdr:grpSpPr>
        <a:xfrm>
          <a:off x="6331185" y="10190492"/>
          <a:ext cx="372098" cy="968126"/>
          <a:chOff x="3262313" y="3209926"/>
          <a:chExt cx="914400" cy="3609974"/>
        </a:xfrm>
      </xdr:grpSpPr>
      <xdr:grpSp>
        <xdr:nvGrpSpPr>
          <xdr:cNvPr id="1583" name="그룹 1582">
            <a:extLst>
              <a:ext uri="{FF2B5EF4-FFF2-40B4-BE49-F238E27FC236}">
                <a16:creationId xmlns:a16="http://schemas.microsoft.com/office/drawing/2014/main" id="{00000000-0008-0000-1600-00002F060000}"/>
              </a:ext>
            </a:extLst>
          </xdr:cNvPr>
          <xdr:cNvGrpSpPr/>
        </xdr:nvGrpSpPr>
        <xdr:grpSpPr>
          <a:xfrm>
            <a:off x="3262313" y="3209926"/>
            <a:ext cx="914400" cy="3609974"/>
            <a:chOff x="2228850" y="3190876"/>
            <a:chExt cx="914400" cy="3609974"/>
          </a:xfrm>
        </xdr:grpSpPr>
        <xdr:pic>
          <xdr:nvPicPr>
            <xdr:cNvPr id="1588" name="그림 1587">
              <a:extLst>
                <a:ext uri="{FF2B5EF4-FFF2-40B4-BE49-F238E27FC236}">
                  <a16:creationId xmlns:a16="http://schemas.microsoft.com/office/drawing/2014/main" id="{00000000-0008-0000-1600-000034060000}"/>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4872" t="1762" r="2934" b="2889"/>
            <a:stretch/>
          </xdr:blipFill>
          <xdr:spPr>
            <a:xfrm>
              <a:off x="2228850" y="3190876"/>
              <a:ext cx="914400" cy="3609974"/>
            </a:xfrm>
            <a:prstGeom prst="rect">
              <a:avLst/>
            </a:prstGeom>
          </xdr:spPr>
        </xdr:pic>
        <xdr:sp macro="" textlink="">
          <xdr:nvSpPr>
            <xdr:cNvPr id="1589" name="타원 1588">
              <a:extLst>
                <a:ext uri="{FF2B5EF4-FFF2-40B4-BE49-F238E27FC236}">
                  <a16:creationId xmlns:a16="http://schemas.microsoft.com/office/drawing/2014/main" id="{00000000-0008-0000-1600-000035060000}"/>
                </a:ext>
              </a:extLst>
            </xdr:cNvPr>
            <xdr:cNvSpPr/>
          </xdr:nvSpPr>
          <xdr:spPr>
            <a:xfrm>
              <a:off x="2415382" y="4009766"/>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590" name="타원 1589">
              <a:extLst>
                <a:ext uri="{FF2B5EF4-FFF2-40B4-BE49-F238E27FC236}">
                  <a16:creationId xmlns:a16="http://schemas.microsoft.com/office/drawing/2014/main" id="{00000000-0008-0000-1600-000036060000}"/>
                </a:ext>
              </a:extLst>
            </xdr:cNvPr>
            <xdr:cNvSpPr/>
          </xdr:nvSpPr>
          <xdr:spPr>
            <a:xfrm>
              <a:off x="2418557" y="4364832"/>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591" name="타원 1590">
              <a:extLst>
                <a:ext uri="{FF2B5EF4-FFF2-40B4-BE49-F238E27FC236}">
                  <a16:creationId xmlns:a16="http://schemas.microsoft.com/office/drawing/2014/main" id="{00000000-0008-0000-1600-000037060000}"/>
                </a:ext>
              </a:extLst>
            </xdr:cNvPr>
            <xdr:cNvSpPr/>
          </xdr:nvSpPr>
          <xdr:spPr>
            <a:xfrm>
              <a:off x="2509139" y="4364832"/>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592" name="타원 1591">
              <a:extLst>
                <a:ext uri="{FF2B5EF4-FFF2-40B4-BE49-F238E27FC236}">
                  <a16:creationId xmlns:a16="http://schemas.microsoft.com/office/drawing/2014/main" id="{00000000-0008-0000-1600-000038060000}"/>
                </a:ext>
              </a:extLst>
            </xdr:cNvPr>
            <xdr:cNvSpPr/>
          </xdr:nvSpPr>
          <xdr:spPr>
            <a:xfrm>
              <a:off x="2509139" y="40065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593" name="타원 1592">
              <a:extLst>
                <a:ext uri="{FF2B5EF4-FFF2-40B4-BE49-F238E27FC236}">
                  <a16:creationId xmlns:a16="http://schemas.microsoft.com/office/drawing/2014/main" id="{00000000-0008-0000-1600-000039060000}"/>
                </a:ext>
              </a:extLst>
            </xdr:cNvPr>
            <xdr:cNvSpPr/>
          </xdr:nvSpPr>
          <xdr:spPr>
            <a:xfrm>
              <a:off x="2509139" y="40954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594" name="타원 1593">
              <a:extLst>
                <a:ext uri="{FF2B5EF4-FFF2-40B4-BE49-F238E27FC236}">
                  <a16:creationId xmlns:a16="http://schemas.microsoft.com/office/drawing/2014/main" id="{00000000-0008-0000-1600-00003A060000}"/>
                </a:ext>
              </a:extLst>
            </xdr:cNvPr>
            <xdr:cNvSpPr/>
          </xdr:nvSpPr>
          <xdr:spPr>
            <a:xfrm>
              <a:off x="2471738" y="5346341"/>
              <a:ext cx="50006" cy="50006"/>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595" name="타원 1594">
              <a:extLst>
                <a:ext uri="{FF2B5EF4-FFF2-40B4-BE49-F238E27FC236}">
                  <a16:creationId xmlns:a16="http://schemas.microsoft.com/office/drawing/2014/main" id="{00000000-0008-0000-1600-00003B060000}"/>
                </a:ext>
              </a:extLst>
            </xdr:cNvPr>
            <xdr:cNvSpPr/>
          </xdr:nvSpPr>
          <xdr:spPr>
            <a:xfrm>
              <a:off x="2434838" y="4626460"/>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596" name="타원 1595">
              <a:extLst>
                <a:ext uri="{FF2B5EF4-FFF2-40B4-BE49-F238E27FC236}">
                  <a16:creationId xmlns:a16="http://schemas.microsoft.com/office/drawing/2014/main" id="{00000000-0008-0000-1600-00003C060000}"/>
                </a:ext>
              </a:extLst>
            </xdr:cNvPr>
            <xdr:cNvSpPr/>
          </xdr:nvSpPr>
          <xdr:spPr>
            <a:xfrm>
              <a:off x="2527702" y="4634173"/>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597" name="타원 1596">
              <a:extLst>
                <a:ext uri="{FF2B5EF4-FFF2-40B4-BE49-F238E27FC236}">
                  <a16:creationId xmlns:a16="http://schemas.microsoft.com/office/drawing/2014/main" id="{00000000-0008-0000-1600-00003D060000}"/>
                </a:ext>
              </a:extLst>
            </xdr:cNvPr>
            <xdr:cNvSpPr/>
          </xdr:nvSpPr>
          <xdr:spPr>
            <a:xfrm>
              <a:off x="2418557" y="4103204"/>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598" name="타원 1597">
              <a:extLst>
                <a:ext uri="{FF2B5EF4-FFF2-40B4-BE49-F238E27FC236}">
                  <a16:creationId xmlns:a16="http://schemas.microsoft.com/office/drawing/2014/main" id="{00000000-0008-0000-1600-00003E060000}"/>
                </a:ext>
              </a:extLst>
            </xdr:cNvPr>
            <xdr:cNvSpPr/>
          </xdr:nvSpPr>
          <xdr:spPr>
            <a:xfrm>
              <a:off x="2418557" y="418729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599" name="타원 1598">
              <a:extLst>
                <a:ext uri="{FF2B5EF4-FFF2-40B4-BE49-F238E27FC236}">
                  <a16:creationId xmlns:a16="http://schemas.microsoft.com/office/drawing/2014/main" id="{00000000-0008-0000-1600-00003F060000}"/>
                </a:ext>
              </a:extLst>
            </xdr:cNvPr>
            <xdr:cNvSpPr/>
          </xdr:nvSpPr>
          <xdr:spPr>
            <a:xfrm>
              <a:off x="2415382" y="4449393"/>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00" name="타원 1599">
              <a:extLst>
                <a:ext uri="{FF2B5EF4-FFF2-40B4-BE49-F238E27FC236}">
                  <a16:creationId xmlns:a16="http://schemas.microsoft.com/office/drawing/2014/main" id="{00000000-0008-0000-1600-000040060000}"/>
                </a:ext>
              </a:extLst>
            </xdr:cNvPr>
            <xdr:cNvSpPr/>
          </xdr:nvSpPr>
          <xdr:spPr>
            <a:xfrm>
              <a:off x="2434838" y="472353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1584" name="그룹 1583">
            <a:extLst>
              <a:ext uri="{FF2B5EF4-FFF2-40B4-BE49-F238E27FC236}">
                <a16:creationId xmlns:a16="http://schemas.microsoft.com/office/drawing/2014/main" id="{00000000-0008-0000-1600-000030060000}"/>
              </a:ext>
            </a:extLst>
          </xdr:cNvPr>
          <xdr:cNvGrpSpPr/>
        </xdr:nvGrpSpPr>
        <xdr:grpSpPr>
          <a:xfrm>
            <a:off x="3357531" y="6077559"/>
            <a:ext cx="357219" cy="734485"/>
            <a:chOff x="5023743" y="4906381"/>
            <a:chExt cx="172673" cy="380393"/>
          </a:xfrm>
        </xdr:grpSpPr>
        <xdr:sp macro="" textlink="">
          <xdr:nvSpPr>
            <xdr:cNvPr id="1585" name="직사각형 1584">
              <a:extLst>
                <a:ext uri="{FF2B5EF4-FFF2-40B4-BE49-F238E27FC236}">
                  <a16:creationId xmlns:a16="http://schemas.microsoft.com/office/drawing/2014/main" id="{00000000-0008-0000-1600-000031060000}"/>
                </a:ext>
              </a:extLst>
            </xdr:cNvPr>
            <xdr:cNvSpPr/>
          </xdr:nvSpPr>
          <xdr:spPr>
            <a:xfrm>
              <a:off x="5023743" y="4906381"/>
              <a:ext cx="172673" cy="380393"/>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586" name="직사각형 1585">
              <a:extLst>
                <a:ext uri="{FF2B5EF4-FFF2-40B4-BE49-F238E27FC236}">
                  <a16:creationId xmlns:a16="http://schemas.microsoft.com/office/drawing/2014/main" id="{00000000-0008-0000-1600-000032060000}"/>
                </a:ext>
              </a:extLst>
            </xdr:cNvPr>
            <xdr:cNvSpPr/>
          </xdr:nvSpPr>
          <xdr:spPr>
            <a:xfrm>
              <a:off x="5055436" y="5096578"/>
              <a:ext cx="109287" cy="149174"/>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587" name="직사각형 1586">
              <a:extLst>
                <a:ext uri="{FF2B5EF4-FFF2-40B4-BE49-F238E27FC236}">
                  <a16:creationId xmlns:a16="http://schemas.microsoft.com/office/drawing/2014/main" id="{00000000-0008-0000-1600-000033060000}"/>
                </a:ext>
              </a:extLst>
            </xdr:cNvPr>
            <xdr:cNvSpPr/>
          </xdr:nvSpPr>
          <xdr:spPr>
            <a:xfrm>
              <a:off x="5060686" y="5096578"/>
              <a:ext cx="98786" cy="52211"/>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clientData/>
  </xdr:twoCellAnchor>
  <xdr:twoCellAnchor>
    <xdr:from>
      <xdr:col>6</xdr:col>
      <xdr:colOff>651047</xdr:colOff>
      <xdr:row>50</xdr:row>
      <xdr:rowOff>118893</xdr:rowOff>
    </xdr:from>
    <xdr:to>
      <xdr:col>6</xdr:col>
      <xdr:colOff>1023145</xdr:colOff>
      <xdr:row>55</xdr:row>
      <xdr:rowOff>30019</xdr:rowOff>
    </xdr:to>
    <xdr:grpSp>
      <xdr:nvGrpSpPr>
        <xdr:cNvPr id="1601" name="그룹 1600">
          <a:extLst>
            <a:ext uri="{FF2B5EF4-FFF2-40B4-BE49-F238E27FC236}">
              <a16:creationId xmlns:a16="http://schemas.microsoft.com/office/drawing/2014/main" id="{00000000-0008-0000-1600-000041060000}"/>
            </a:ext>
          </a:extLst>
        </xdr:cNvPr>
        <xdr:cNvGrpSpPr/>
      </xdr:nvGrpSpPr>
      <xdr:grpSpPr>
        <a:xfrm>
          <a:off x="6691018" y="10148158"/>
          <a:ext cx="372098" cy="975685"/>
          <a:chOff x="3262313" y="3209926"/>
          <a:chExt cx="914400" cy="3609974"/>
        </a:xfrm>
      </xdr:grpSpPr>
      <xdr:grpSp>
        <xdr:nvGrpSpPr>
          <xdr:cNvPr id="1602" name="그룹 1601">
            <a:extLst>
              <a:ext uri="{FF2B5EF4-FFF2-40B4-BE49-F238E27FC236}">
                <a16:creationId xmlns:a16="http://schemas.microsoft.com/office/drawing/2014/main" id="{00000000-0008-0000-1600-000042060000}"/>
              </a:ext>
            </a:extLst>
          </xdr:cNvPr>
          <xdr:cNvGrpSpPr/>
        </xdr:nvGrpSpPr>
        <xdr:grpSpPr>
          <a:xfrm>
            <a:off x="3262313" y="3209926"/>
            <a:ext cx="914400" cy="3609974"/>
            <a:chOff x="2228850" y="3190876"/>
            <a:chExt cx="914400" cy="3609974"/>
          </a:xfrm>
        </xdr:grpSpPr>
        <xdr:pic>
          <xdr:nvPicPr>
            <xdr:cNvPr id="1607" name="그림 1606">
              <a:extLst>
                <a:ext uri="{FF2B5EF4-FFF2-40B4-BE49-F238E27FC236}">
                  <a16:creationId xmlns:a16="http://schemas.microsoft.com/office/drawing/2014/main" id="{00000000-0008-0000-1600-000047060000}"/>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4872" t="1762" r="2934" b="2889"/>
            <a:stretch/>
          </xdr:blipFill>
          <xdr:spPr>
            <a:xfrm>
              <a:off x="2228850" y="3190876"/>
              <a:ext cx="914400" cy="3609974"/>
            </a:xfrm>
            <a:prstGeom prst="rect">
              <a:avLst/>
            </a:prstGeom>
          </xdr:spPr>
        </xdr:pic>
        <xdr:sp macro="" textlink="">
          <xdr:nvSpPr>
            <xdr:cNvPr id="1608" name="타원 1607">
              <a:extLst>
                <a:ext uri="{FF2B5EF4-FFF2-40B4-BE49-F238E27FC236}">
                  <a16:creationId xmlns:a16="http://schemas.microsoft.com/office/drawing/2014/main" id="{00000000-0008-0000-1600-000048060000}"/>
                </a:ext>
              </a:extLst>
            </xdr:cNvPr>
            <xdr:cNvSpPr/>
          </xdr:nvSpPr>
          <xdr:spPr>
            <a:xfrm>
              <a:off x="2415382" y="4009766"/>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09" name="타원 1608">
              <a:extLst>
                <a:ext uri="{FF2B5EF4-FFF2-40B4-BE49-F238E27FC236}">
                  <a16:creationId xmlns:a16="http://schemas.microsoft.com/office/drawing/2014/main" id="{00000000-0008-0000-1600-000049060000}"/>
                </a:ext>
              </a:extLst>
            </xdr:cNvPr>
            <xdr:cNvSpPr/>
          </xdr:nvSpPr>
          <xdr:spPr>
            <a:xfrm>
              <a:off x="2418557" y="4364832"/>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10" name="타원 1609">
              <a:extLst>
                <a:ext uri="{FF2B5EF4-FFF2-40B4-BE49-F238E27FC236}">
                  <a16:creationId xmlns:a16="http://schemas.microsoft.com/office/drawing/2014/main" id="{00000000-0008-0000-1600-00004A060000}"/>
                </a:ext>
              </a:extLst>
            </xdr:cNvPr>
            <xdr:cNvSpPr/>
          </xdr:nvSpPr>
          <xdr:spPr>
            <a:xfrm>
              <a:off x="2509139" y="4364832"/>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11" name="타원 1610">
              <a:extLst>
                <a:ext uri="{FF2B5EF4-FFF2-40B4-BE49-F238E27FC236}">
                  <a16:creationId xmlns:a16="http://schemas.microsoft.com/office/drawing/2014/main" id="{00000000-0008-0000-1600-00004B060000}"/>
                </a:ext>
              </a:extLst>
            </xdr:cNvPr>
            <xdr:cNvSpPr/>
          </xdr:nvSpPr>
          <xdr:spPr>
            <a:xfrm>
              <a:off x="2509139" y="40065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12" name="타원 1611">
              <a:extLst>
                <a:ext uri="{FF2B5EF4-FFF2-40B4-BE49-F238E27FC236}">
                  <a16:creationId xmlns:a16="http://schemas.microsoft.com/office/drawing/2014/main" id="{00000000-0008-0000-1600-00004C060000}"/>
                </a:ext>
              </a:extLst>
            </xdr:cNvPr>
            <xdr:cNvSpPr/>
          </xdr:nvSpPr>
          <xdr:spPr>
            <a:xfrm>
              <a:off x="2509139" y="40954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13" name="타원 1612">
              <a:extLst>
                <a:ext uri="{FF2B5EF4-FFF2-40B4-BE49-F238E27FC236}">
                  <a16:creationId xmlns:a16="http://schemas.microsoft.com/office/drawing/2014/main" id="{00000000-0008-0000-1600-00004D060000}"/>
                </a:ext>
              </a:extLst>
            </xdr:cNvPr>
            <xdr:cNvSpPr/>
          </xdr:nvSpPr>
          <xdr:spPr>
            <a:xfrm>
              <a:off x="2471738" y="5346341"/>
              <a:ext cx="50006" cy="50006"/>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14" name="타원 1613">
              <a:extLst>
                <a:ext uri="{FF2B5EF4-FFF2-40B4-BE49-F238E27FC236}">
                  <a16:creationId xmlns:a16="http://schemas.microsoft.com/office/drawing/2014/main" id="{00000000-0008-0000-1600-00004E060000}"/>
                </a:ext>
              </a:extLst>
            </xdr:cNvPr>
            <xdr:cNvSpPr/>
          </xdr:nvSpPr>
          <xdr:spPr>
            <a:xfrm>
              <a:off x="2434838" y="4626460"/>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15" name="타원 1614">
              <a:extLst>
                <a:ext uri="{FF2B5EF4-FFF2-40B4-BE49-F238E27FC236}">
                  <a16:creationId xmlns:a16="http://schemas.microsoft.com/office/drawing/2014/main" id="{00000000-0008-0000-1600-00004F060000}"/>
                </a:ext>
              </a:extLst>
            </xdr:cNvPr>
            <xdr:cNvSpPr/>
          </xdr:nvSpPr>
          <xdr:spPr>
            <a:xfrm>
              <a:off x="2527702" y="4634173"/>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16" name="타원 1615">
              <a:extLst>
                <a:ext uri="{FF2B5EF4-FFF2-40B4-BE49-F238E27FC236}">
                  <a16:creationId xmlns:a16="http://schemas.microsoft.com/office/drawing/2014/main" id="{00000000-0008-0000-1600-000050060000}"/>
                </a:ext>
              </a:extLst>
            </xdr:cNvPr>
            <xdr:cNvSpPr/>
          </xdr:nvSpPr>
          <xdr:spPr>
            <a:xfrm>
              <a:off x="2418557" y="4103204"/>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17" name="타원 1616">
              <a:extLst>
                <a:ext uri="{FF2B5EF4-FFF2-40B4-BE49-F238E27FC236}">
                  <a16:creationId xmlns:a16="http://schemas.microsoft.com/office/drawing/2014/main" id="{00000000-0008-0000-1600-000051060000}"/>
                </a:ext>
              </a:extLst>
            </xdr:cNvPr>
            <xdr:cNvSpPr/>
          </xdr:nvSpPr>
          <xdr:spPr>
            <a:xfrm>
              <a:off x="2418557" y="418729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18" name="타원 1617">
              <a:extLst>
                <a:ext uri="{FF2B5EF4-FFF2-40B4-BE49-F238E27FC236}">
                  <a16:creationId xmlns:a16="http://schemas.microsoft.com/office/drawing/2014/main" id="{00000000-0008-0000-1600-000052060000}"/>
                </a:ext>
              </a:extLst>
            </xdr:cNvPr>
            <xdr:cNvSpPr/>
          </xdr:nvSpPr>
          <xdr:spPr>
            <a:xfrm>
              <a:off x="2415382" y="4449393"/>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19" name="타원 1618">
              <a:extLst>
                <a:ext uri="{FF2B5EF4-FFF2-40B4-BE49-F238E27FC236}">
                  <a16:creationId xmlns:a16="http://schemas.microsoft.com/office/drawing/2014/main" id="{00000000-0008-0000-1600-000053060000}"/>
                </a:ext>
              </a:extLst>
            </xdr:cNvPr>
            <xdr:cNvSpPr/>
          </xdr:nvSpPr>
          <xdr:spPr>
            <a:xfrm>
              <a:off x="2434838" y="472353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1603" name="그룹 1602">
            <a:extLst>
              <a:ext uri="{FF2B5EF4-FFF2-40B4-BE49-F238E27FC236}">
                <a16:creationId xmlns:a16="http://schemas.microsoft.com/office/drawing/2014/main" id="{00000000-0008-0000-1600-000043060000}"/>
              </a:ext>
            </a:extLst>
          </xdr:cNvPr>
          <xdr:cNvGrpSpPr/>
        </xdr:nvGrpSpPr>
        <xdr:grpSpPr>
          <a:xfrm>
            <a:off x="3357531" y="6077559"/>
            <a:ext cx="357219" cy="734485"/>
            <a:chOff x="5023743" y="4906381"/>
            <a:chExt cx="172673" cy="380393"/>
          </a:xfrm>
        </xdr:grpSpPr>
        <xdr:sp macro="" textlink="">
          <xdr:nvSpPr>
            <xdr:cNvPr id="1604" name="직사각형 1603">
              <a:extLst>
                <a:ext uri="{FF2B5EF4-FFF2-40B4-BE49-F238E27FC236}">
                  <a16:creationId xmlns:a16="http://schemas.microsoft.com/office/drawing/2014/main" id="{00000000-0008-0000-1600-000044060000}"/>
                </a:ext>
              </a:extLst>
            </xdr:cNvPr>
            <xdr:cNvSpPr/>
          </xdr:nvSpPr>
          <xdr:spPr>
            <a:xfrm>
              <a:off x="5023743" y="4906381"/>
              <a:ext cx="172673" cy="380393"/>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05" name="직사각형 1604">
              <a:extLst>
                <a:ext uri="{FF2B5EF4-FFF2-40B4-BE49-F238E27FC236}">
                  <a16:creationId xmlns:a16="http://schemas.microsoft.com/office/drawing/2014/main" id="{00000000-0008-0000-1600-000045060000}"/>
                </a:ext>
              </a:extLst>
            </xdr:cNvPr>
            <xdr:cNvSpPr/>
          </xdr:nvSpPr>
          <xdr:spPr>
            <a:xfrm>
              <a:off x="5055436" y="5096578"/>
              <a:ext cx="109287" cy="149174"/>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06" name="직사각형 1605">
              <a:extLst>
                <a:ext uri="{FF2B5EF4-FFF2-40B4-BE49-F238E27FC236}">
                  <a16:creationId xmlns:a16="http://schemas.microsoft.com/office/drawing/2014/main" id="{00000000-0008-0000-1600-000046060000}"/>
                </a:ext>
              </a:extLst>
            </xdr:cNvPr>
            <xdr:cNvSpPr/>
          </xdr:nvSpPr>
          <xdr:spPr>
            <a:xfrm>
              <a:off x="5060686" y="5096578"/>
              <a:ext cx="98786" cy="52211"/>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clientData/>
  </xdr:twoCellAnchor>
  <xdr:twoCellAnchor>
    <xdr:from>
      <xdr:col>6</xdr:col>
      <xdr:colOff>645579</xdr:colOff>
      <xdr:row>45</xdr:row>
      <xdr:rowOff>184640</xdr:rowOff>
    </xdr:from>
    <xdr:to>
      <xdr:col>6</xdr:col>
      <xdr:colOff>1020233</xdr:colOff>
      <xdr:row>50</xdr:row>
      <xdr:rowOff>91638</xdr:rowOff>
    </xdr:to>
    <xdr:grpSp>
      <xdr:nvGrpSpPr>
        <xdr:cNvPr id="1620" name="그룹 1619">
          <a:extLst>
            <a:ext uri="{FF2B5EF4-FFF2-40B4-BE49-F238E27FC236}">
              <a16:creationId xmlns:a16="http://schemas.microsoft.com/office/drawing/2014/main" id="{00000000-0008-0000-1600-000054060000}"/>
            </a:ext>
          </a:extLst>
        </xdr:cNvPr>
        <xdr:cNvGrpSpPr/>
      </xdr:nvGrpSpPr>
      <xdr:grpSpPr>
        <a:xfrm>
          <a:off x="6685550" y="9149346"/>
          <a:ext cx="374654" cy="971557"/>
          <a:chOff x="3262313" y="3209926"/>
          <a:chExt cx="914400" cy="3609974"/>
        </a:xfrm>
      </xdr:grpSpPr>
      <xdr:grpSp>
        <xdr:nvGrpSpPr>
          <xdr:cNvPr id="1621" name="그룹 1620">
            <a:extLst>
              <a:ext uri="{FF2B5EF4-FFF2-40B4-BE49-F238E27FC236}">
                <a16:creationId xmlns:a16="http://schemas.microsoft.com/office/drawing/2014/main" id="{00000000-0008-0000-1600-000055060000}"/>
              </a:ext>
            </a:extLst>
          </xdr:cNvPr>
          <xdr:cNvGrpSpPr/>
        </xdr:nvGrpSpPr>
        <xdr:grpSpPr>
          <a:xfrm>
            <a:off x="3262313" y="3209926"/>
            <a:ext cx="914400" cy="3609974"/>
            <a:chOff x="2228850" y="3190876"/>
            <a:chExt cx="914400" cy="3609974"/>
          </a:xfrm>
        </xdr:grpSpPr>
        <xdr:pic>
          <xdr:nvPicPr>
            <xdr:cNvPr id="1626" name="그림 1625">
              <a:extLst>
                <a:ext uri="{FF2B5EF4-FFF2-40B4-BE49-F238E27FC236}">
                  <a16:creationId xmlns:a16="http://schemas.microsoft.com/office/drawing/2014/main" id="{00000000-0008-0000-1600-00005A060000}"/>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4872" t="1762" r="2934" b="2889"/>
            <a:stretch/>
          </xdr:blipFill>
          <xdr:spPr>
            <a:xfrm>
              <a:off x="2228850" y="3190876"/>
              <a:ext cx="914400" cy="3609974"/>
            </a:xfrm>
            <a:prstGeom prst="rect">
              <a:avLst/>
            </a:prstGeom>
          </xdr:spPr>
        </xdr:pic>
        <xdr:sp macro="" textlink="">
          <xdr:nvSpPr>
            <xdr:cNvPr id="1627" name="타원 1626">
              <a:extLst>
                <a:ext uri="{FF2B5EF4-FFF2-40B4-BE49-F238E27FC236}">
                  <a16:creationId xmlns:a16="http://schemas.microsoft.com/office/drawing/2014/main" id="{00000000-0008-0000-1600-00005B060000}"/>
                </a:ext>
              </a:extLst>
            </xdr:cNvPr>
            <xdr:cNvSpPr/>
          </xdr:nvSpPr>
          <xdr:spPr>
            <a:xfrm>
              <a:off x="2415382" y="4009766"/>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28" name="타원 1627">
              <a:extLst>
                <a:ext uri="{FF2B5EF4-FFF2-40B4-BE49-F238E27FC236}">
                  <a16:creationId xmlns:a16="http://schemas.microsoft.com/office/drawing/2014/main" id="{00000000-0008-0000-1600-00005C060000}"/>
                </a:ext>
              </a:extLst>
            </xdr:cNvPr>
            <xdr:cNvSpPr/>
          </xdr:nvSpPr>
          <xdr:spPr>
            <a:xfrm>
              <a:off x="2418557" y="4364832"/>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29" name="타원 1628">
              <a:extLst>
                <a:ext uri="{FF2B5EF4-FFF2-40B4-BE49-F238E27FC236}">
                  <a16:creationId xmlns:a16="http://schemas.microsoft.com/office/drawing/2014/main" id="{00000000-0008-0000-1600-00005D060000}"/>
                </a:ext>
              </a:extLst>
            </xdr:cNvPr>
            <xdr:cNvSpPr/>
          </xdr:nvSpPr>
          <xdr:spPr>
            <a:xfrm>
              <a:off x="2509139" y="4364832"/>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30" name="타원 1629">
              <a:extLst>
                <a:ext uri="{FF2B5EF4-FFF2-40B4-BE49-F238E27FC236}">
                  <a16:creationId xmlns:a16="http://schemas.microsoft.com/office/drawing/2014/main" id="{00000000-0008-0000-1600-00005E060000}"/>
                </a:ext>
              </a:extLst>
            </xdr:cNvPr>
            <xdr:cNvSpPr/>
          </xdr:nvSpPr>
          <xdr:spPr>
            <a:xfrm>
              <a:off x="2509139" y="40065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31" name="타원 1630">
              <a:extLst>
                <a:ext uri="{FF2B5EF4-FFF2-40B4-BE49-F238E27FC236}">
                  <a16:creationId xmlns:a16="http://schemas.microsoft.com/office/drawing/2014/main" id="{00000000-0008-0000-1600-00005F060000}"/>
                </a:ext>
              </a:extLst>
            </xdr:cNvPr>
            <xdr:cNvSpPr/>
          </xdr:nvSpPr>
          <xdr:spPr>
            <a:xfrm>
              <a:off x="2509139" y="4095491"/>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32" name="타원 1631">
              <a:extLst>
                <a:ext uri="{FF2B5EF4-FFF2-40B4-BE49-F238E27FC236}">
                  <a16:creationId xmlns:a16="http://schemas.microsoft.com/office/drawing/2014/main" id="{00000000-0008-0000-1600-000060060000}"/>
                </a:ext>
              </a:extLst>
            </xdr:cNvPr>
            <xdr:cNvSpPr/>
          </xdr:nvSpPr>
          <xdr:spPr>
            <a:xfrm>
              <a:off x="2471738" y="5346341"/>
              <a:ext cx="50006" cy="50006"/>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33" name="타원 1632">
              <a:extLst>
                <a:ext uri="{FF2B5EF4-FFF2-40B4-BE49-F238E27FC236}">
                  <a16:creationId xmlns:a16="http://schemas.microsoft.com/office/drawing/2014/main" id="{00000000-0008-0000-1600-000061060000}"/>
                </a:ext>
              </a:extLst>
            </xdr:cNvPr>
            <xdr:cNvSpPr/>
          </xdr:nvSpPr>
          <xdr:spPr>
            <a:xfrm>
              <a:off x="2434838" y="4626460"/>
              <a:ext cx="50006" cy="50006"/>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34" name="타원 1633">
              <a:extLst>
                <a:ext uri="{FF2B5EF4-FFF2-40B4-BE49-F238E27FC236}">
                  <a16:creationId xmlns:a16="http://schemas.microsoft.com/office/drawing/2014/main" id="{00000000-0008-0000-1600-000062060000}"/>
                </a:ext>
              </a:extLst>
            </xdr:cNvPr>
            <xdr:cNvSpPr/>
          </xdr:nvSpPr>
          <xdr:spPr>
            <a:xfrm>
              <a:off x="2527702" y="4634173"/>
              <a:ext cx="50006" cy="50006"/>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35" name="타원 1634">
              <a:extLst>
                <a:ext uri="{FF2B5EF4-FFF2-40B4-BE49-F238E27FC236}">
                  <a16:creationId xmlns:a16="http://schemas.microsoft.com/office/drawing/2014/main" id="{00000000-0008-0000-1600-000063060000}"/>
                </a:ext>
              </a:extLst>
            </xdr:cNvPr>
            <xdr:cNvSpPr/>
          </xdr:nvSpPr>
          <xdr:spPr>
            <a:xfrm>
              <a:off x="2418557" y="4103204"/>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36" name="타원 1635">
              <a:extLst>
                <a:ext uri="{FF2B5EF4-FFF2-40B4-BE49-F238E27FC236}">
                  <a16:creationId xmlns:a16="http://schemas.microsoft.com/office/drawing/2014/main" id="{00000000-0008-0000-1600-000064060000}"/>
                </a:ext>
              </a:extLst>
            </xdr:cNvPr>
            <xdr:cNvSpPr/>
          </xdr:nvSpPr>
          <xdr:spPr>
            <a:xfrm>
              <a:off x="2418557" y="418729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37" name="타원 1636">
              <a:extLst>
                <a:ext uri="{FF2B5EF4-FFF2-40B4-BE49-F238E27FC236}">
                  <a16:creationId xmlns:a16="http://schemas.microsoft.com/office/drawing/2014/main" id="{00000000-0008-0000-1600-000065060000}"/>
                </a:ext>
              </a:extLst>
            </xdr:cNvPr>
            <xdr:cNvSpPr/>
          </xdr:nvSpPr>
          <xdr:spPr>
            <a:xfrm>
              <a:off x="2415382" y="4449393"/>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38" name="타원 1637">
              <a:extLst>
                <a:ext uri="{FF2B5EF4-FFF2-40B4-BE49-F238E27FC236}">
                  <a16:creationId xmlns:a16="http://schemas.microsoft.com/office/drawing/2014/main" id="{00000000-0008-0000-1600-000066060000}"/>
                </a:ext>
              </a:extLst>
            </xdr:cNvPr>
            <xdr:cNvSpPr/>
          </xdr:nvSpPr>
          <xdr:spPr>
            <a:xfrm>
              <a:off x="2434838" y="4723539"/>
              <a:ext cx="50006" cy="50006"/>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nvGrpSpPr>
          <xdr:cNvPr id="1622" name="그룹 1621">
            <a:extLst>
              <a:ext uri="{FF2B5EF4-FFF2-40B4-BE49-F238E27FC236}">
                <a16:creationId xmlns:a16="http://schemas.microsoft.com/office/drawing/2014/main" id="{00000000-0008-0000-1600-000056060000}"/>
              </a:ext>
            </a:extLst>
          </xdr:cNvPr>
          <xdr:cNvGrpSpPr/>
        </xdr:nvGrpSpPr>
        <xdr:grpSpPr>
          <a:xfrm>
            <a:off x="3357531" y="6077559"/>
            <a:ext cx="357219" cy="734485"/>
            <a:chOff x="5023743" y="4906381"/>
            <a:chExt cx="172673" cy="380393"/>
          </a:xfrm>
        </xdr:grpSpPr>
        <xdr:sp macro="" textlink="">
          <xdr:nvSpPr>
            <xdr:cNvPr id="1623" name="직사각형 1622">
              <a:extLst>
                <a:ext uri="{FF2B5EF4-FFF2-40B4-BE49-F238E27FC236}">
                  <a16:creationId xmlns:a16="http://schemas.microsoft.com/office/drawing/2014/main" id="{00000000-0008-0000-1600-000057060000}"/>
                </a:ext>
              </a:extLst>
            </xdr:cNvPr>
            <xdr:cNvSpPr/>
          </xdr:nvSpPr>
          <xdr:spPr>
            <a:xfrm>
              <a:off x="5023743" y="4906381"/>
              <a:ext cx="172673" cy="380393"/>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24" name="직사각형 1623">
              <a:extLst>
                <a:ext uri="{FF2B5EF4-FFF2-40B4-BE49-F238E27FC236}">
                  <a16:creationId xmlns:a16="http://schemas.microsoft.com/office/drawing/2014/main" id="{00000000-0008-0000-1600-000058060000}"/>
                </a:ext>
              </a:extLst>
            </xdr:cNvPr>
            <xdr:cNvSpPr/>
          </xdr:nvSpPr>
          <xdr:spPr>
            <a:xfrm>
              <a:off x="5055436" y="5096578"/>
              <a:ext cx="109287" cy="149174"/>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25" name="직사각형 1624">
              <a:extLst>
                <a:ext uri="{FF2B5EF4-FFF2-40B4-BE49-F238E27FC236}">
                  <a16:creationId xmlns:a16="http://schemas.microsoft.com/office/drawing/2014/main" id="{00000000-0008-0000-1600-000059060000}"/>
                </a:ext>
              </a:extLst>
            </xdr:cNvPr>
            <xdr:cNvSpPr/>
          </xdr:nvSpPr>
          <xdr:spPr>
            <a:xfrm>
              <a:off x="5060686" y="5096578"/>
              <a:ext cx="98786" cy="52211"/>
            </a:xfrm>
            <a:prstGeom prst="rect">
              <a:avLst/>
            </a:prstGeom>
            <a:solidFill>
              <a:schemeClr val="bg1">
                <a:lumMod val="8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grpSp>
    <xdr:clientData/>
  </xdr:twoCellAnchor>
  <xdr:twoCellAnchor>
    <xdr:from>
      <xdr:col>13</xdr:col>
      <xdr:colOff>356393</xdr:colOff>
      <xdr:row>52</xdr:row>
      <xdr:rowOff>109566</xdr:rowOff>
    </xdr:from>
    <xdr:to>
      <xdr:col>14</xdr:col>
      <xdr:colOff>275166</xdr:colOff>
      <xdr:row>55</xdr:row>
      <xdr:rowOff>185965</xdr:rowOff>
    </xdr:to>
    <xdr:sp macro="" textlink="">
      <xdr:nvSpPr>
        <xdr:cNvPr id="1639" name="TextBox 1638">
          <a:extLst>
            <a:ext uri="{FF2B5EF4-FFF2-40B4-BE49-F238E27FC236}">
              <a16:creationId xmlns:a16="http://schemas.microsoft.com/office/drawing/2014/main" id="{00000000-0008-0000-1600-000067060000}"/>
            </a:ext>
          </a:extLst>
        </xdr:cNvPr>
        <xdr:cNvSpPr txBox="1"/>
      </xdr:nvSpPr>
      <xdr:spPr>
        <a:xfrm>
          <a:off x="11772786" y="10165245"/>
          <a:ext cx="599130" cy="688720"/>
        </a:xfrm>
        <a:prstGeom prst="rect">
          <a:avLst/>
        </a:prstGeom>
        <a:solidFill>
          <a:schemeClr val="accent6">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en-US" altLang="ko-KR" sz="1100"/>
            <a:t>AC</a:t>
          </a:r>
        </a:p>
        <a:p>
          <a:pPr algn="ctr"/>
          <a:r>
            <a:rPr lang="ko-KR" altLang="en-US" sz="1100"/>
            <a:t>분전반</a:t>
          </a:r>
          <a:endParaRPr lang="en-US" altLang="ko-KR" sz="1100"/>
        </a:p>
      </xdr:txBody>
    </xdr:sp>
    <xdr:clientData/>
  </xdr:twoCellAnchor>
  <xdr:twoCellAnchor>
    <xdr:from>
      <xdr:col>2</xdr:col>
      <xdr:colOff>208189</xdr:colOff>
      <xdr:row>63</xdr:row>
      <xdr:rowOff>205468</xdr:rowOff>
    </xdr:from>
    <xdr:to>
      <xdr:col>4</xdr:col>
      <xdr:colOff>841635</xdr:colOff>
      <xdr:row>65</xdr:row>
      <xdr:rowOff>13951</xdr:rowOff>
    </xdr:to>
    <xdr:grpSp>
      <xdr:nvGrpSpPr>
        <xdr:cNvPr id="1640" name="그룹 1639">
          <a:extLst>
            <a:ext uri="{FF2B5EF4-FFF2-40B4-BE49-F238E27FC236}">
              <a16:creationId xmlns:a16="http://schemas.microsoft.com/office/drawing/2014/main" id="{00000000-0008-0000-1600-000068060000}"/>
            </a:ext>
          </a:extLst>
        </xdr:cNvPr>
        <xdr:cNvGrpSpPr/>
      </xdr:nvGrpSpPr>
      <xdr:grpSpPr>
        <a:xfrm>
          <a:off x="555571" y="13002586"/>
          <a:ext cx="3670240" cy="234306"/>
          <a:chOff x="255013" y="3538883"/>
          <a:chExt cx="5737726" cy="597916"/>
        </a:xfrm>
      </xdr:grpSpPr>
      <xdr:grpSp>
        <xdr:nvGrpSpPr>
          <xdr:cNvPr id="1641" name="그룹 1640">
            <a:extLst>
              <a:ext uri="{FF2B5EF4-FFF2-40B4-BE49-F238E27FC236}">
                <a16:creationId xmlns:a16="http://schemas.microsoft.com/office/drawing/2014/main" id="{00000000-0008-0000-1600-000069060000}"/>
              </a:ext>
            </a:extLst>
          </xdr:cNvPr>
          <xdr:cNvGrpSpPr/>
        </xdr:nvGrpSpPr>
        <xdr:grpSpPr>
          <a:xfrm>
            <a:off x="5707291" y="3538883"/>
            <a:ext cx="285448" cy="597916"/>
            <a:chOff x="1647825" y="3400425"/>
            <a:chExt cx="228600" cy="381000"/>
          </a:xfrm>
          <a:solidFill>
            <a:schemeClr val="bg1"/>
          </a:solidFill>
        </xdr:grpSpPr>
        <xdr:sp macro="" textlink="">
          <xdr:nvSpPr>
            <xdr:cNvPr id="1673" name="직사각형 1672">
              <a:extLst>
                <a:ext uri="{FF2B5EF4-FFF2-40B4-BE49-F238E27FC236}">
                  <a16:creationId xmlns:a16="http://schemas.microsoft.com/office/drawing/2014/main" id="{00000000-0008-0000-1600-000089060000}"/>
                </a:ext>
              </a:extLst>
            </xdr:cNvPr>
            <xdr:cNvSpPr/>
          </xdr:nvSpPr>
          <xdr:spPr>
            <a:xfrm>
              <a:off x="1647825" y="3400425"/>
              <a:ext cx="228600" cy="381000"/>
            </a:xfrm>
            <a:prstGeom prst="rect">
              <a:avLst/>
            </a:prstGeom>
            <a:solidFill>
              <a:schemeClr val="bg1">
                <a:lumMod val="85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74" name="모서리가 둥근 직사각형 769">
              <a:extLst>
                <a:ext uri="{FF2B5EF4-FFF2-40B4-BE49-F238E27FC236}">
                  <a16:creationId xmlns:a16="http://schemas.microsoft.com/office/drawing/2014/main" id="{00000000-0008-0000-1600-00008A060000}"/>
                </a:ext>
              </a:extLst>
            </xdr:cNvPr>
            <xdr:cNvSpPr/>
          </xdr:nvSpPr>
          <xdr:spPr>
            <a:xfrm>
              <a:off x="1695450" y="3458519"/>
              <a:ext cx="133350" cy="76200"/>
            </a:xfrm>
            <a:prstGeom prst="roundRect">
              <a:avLst>
                <a:gd name="adj" fmla="val 50000"/>
              </a:avLst>
            </a:prstGeom>
            <a:grp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75" name="모서리가 둥근 직사각형 770">
              <a:extLst>
                <a:ext uri="{FF2B5EF4-FFF2-40B4-BE49-F238E27FC236}">
                  <a16:creationId xmlns:a16="http://schemas.microsoft.com/office/drawing/2014/main" id="{00000000-0008-0000-1600-00008B060000}"/>
                </a:ext>
              </a:extLst>
            </xdr:cNvPr>
            <xdr:cNvSpPr/>
          </xdr:nvSpPr>
          <xdr:spPr>
            <a:xfrm>
              <a:off x="1695450" y="3636801"/>
              <a:ext cx="133350" cy="76200"/>
            </a:xfrm>
            <a:prstGeom prst="roundRect">
              <a:avLst>
                <a:gd name="adj" fmla="val 50000"/>
              </a:avLst>
            </a:prstGeom>
            <a:grp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pic>
        <xdr:nvPicPr>
          <xdr:cNvPr id="1642" name="그림 1641">
            <a:extLst>
              <a:ext uri="{FF2B5EF4-FFF2-40B4-BE49-F238E27FC236}">
                <a16:creationId xmlns:a16="http://schemas.microsoft.com/office/drawing/2014/main" id="{00000000-0008-0000-1600-00006A060000}"/>
              </a:ext>
            </a:extLst>
          </xdr:cNvPr>
          <xdr:cNvPicPr>
            <a:picLocks noChangeAspect="1"/>
          </xdr:cNvPicPr>
        </xdr:nvPicPr>
        <xdr:blipFill>
          <a:blip xmlns:r="http://schemas.openxmlformats.org/officeDocument/2006/relationships" r:embed="rId14"/>
          <a:stretch>
            <a:fillRect/>
          </a:stretch>
        </xdr:blipFill>
        <xdr:spPr>
          <a:xfrm>
            <a:off x="544925" y="3573955"/>
            <a:ext cx="5152166" cy="546929"/>
          </a:xfrm>
          <a:prstGeom prst="rect">
            <a:avLst/>
          </a:prstGeom>
          <a:ln w="12700">
            <a:solidFill>
              <a:schemeClr val="tx1"/>
            </a:solidFill>
          </a:ln>
        </xdr:spPr>
      </xdr:pic>
      <xdr:grpSp>
        <xdr:nvGrpSpPr>
          <xdr:cNvPr id="1643" name="그룹 1642">
            <a:extLst>
              <a:ext uri="{FF2B5EF4-FFF2-40B4-BE49-F238E27FC236}">
                <a16:creationId xmlns:a16="http://schemas.microsoft.com/office/drawing/2014/main" id="{00000000-0008-0000-1600-00006B060000}"/>
              </a:ext>
            </a:extLst>
          </xdr:cNvPr>
          <xdr:cNvGrpSpPr/>
        </xdr:nvGrpSpPr>
        <xdr:grpSpPr>
          <a:xfrm>
            <a:off x="255013" y="3538883"/>
            <a:ext cx="285448" cy="597916"/>
            <a:chOff x="1647825" y="3400425"/>
            <a:chExt cx="228600" cy="381000"/>
          </a:xfrm>
          <a:solidFill>
            <a:schemeClr val="bg1"/>
          </a:solidFill>
        </xdr:grpSpPr>
        <xdr:sp macro="" textlink="">
          <xdr:nvSpPr>
            <xdr:cNvPr id="1670" name="직사각형 1669">
              <a:extLst>
                <a:ext uri="{FF2B5EF4-FFF2-40B4-BE49-F238E27FC236}">
                  <a16:creationId xmlns:a16="http://schemas.microsoft.com/office/drawing/2014/main" id="{00000000-0008-0000-1600-000086060000}"/>
                </a:ext>
              </a:extLst>
            </xdr:cNvPr>
            <xdr:cNvSpPr/>
          </xdr:nvSpPr>
          <xdr:spPr>
            <a:xfrm>
              <a:off x="1647825" y="3400425"/>
              <a:ext cx="228600" cy="381000"/>
            </a:xfrm>
            <a:prstGeom prst="rect">
              <a:avLst/>
            </a:prstGeom>
            <a:solidFill>
              <a:schemeClr val="bg1">
                <a:lumMod val="85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71" name="모서리가 둥근 직사각형 766">
              <a:extLst>
                <a:ext uri="{FF2B5EF4-FFF2-40B4-BE49-F238E27FC236}">
                  <a16:creationId xmlns:a16="http://schemas.microsoft.com/office/drawing/2014/main" id="{00000000-0008-0000-1600-000087060000}"/>
                </a:ext>
              </a:extLst>
            </xdr:cNvPr>
            <xdr:cNvSpPr/>
          </xdr:nvSpPr>
          <xdr:spPr>
            <a:xfrm>
              <a:off x="1695450" y="3458519"/>
              <a:ext cx="133350" cy="76200"/>
            </a:xfrm>
            <a:prstGeom prst="roundRect">
              <a:avLst>
                <a:gd name="adj" fmla="val 50000"/>
              </a:avLst>
            </a:prstGeom>
            <a:grp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72" name="모서리가 둥근 직사각형 767">
              <a:extLst>
                <a:ext uri="{FF2B5EF4-FFF2-40B4-BE49-F238E27FC236}">
                  <a16:creationId xmlns:a16="http://schemas.microsoft.com/office/drawing/2014/main" id="{00000000-0008-0000-1600-000088060000}"/>
                </a:ext>
              </a:extLst>
            </xdr:cNvPr>
            <xdr:cNvSpPr/>
          </xdr:nvSpPr>
          <xdr:spPr>
            <a:xfrm>
              <a:off x="1695450" y="3636801"/>
              <a:ext cx="133350" cy="76200"/>
            </a:xfrm>
            <a:prstGeom prst="roundRect">
              <a:avLst>
                <a:gd name="adj" fmla="val 50000"/>
              </a:avLst>
            </a:prstGeom>
            <a:grp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sp macro="" textlink="">
        <xdr:nvSpPr>
          <xdr:cNvPr id="1644" name="타원 1643">
            <a:extLst>
              <a:ext uri="{FF2B5EF4-FFF2-40B4-BE49-F238E27FC236}">
                <a16:creationId xmlns:a16="http://schemas.microsoft.com/office/drawing/2014/main" id="{00000000-0008-0000-1600-00006C060000}"/>
              </a:ext>
            </a:extLst>
          </xdr:cNvPr>
          <xdr:cNvSpPr/>
        </xdr:nvSpPr>
        <xdr:spPr>
          <a:xfrm>
            <a:off x="4156075" y="3783231"/>
            <a:ext cx="45719" cy="45719"/>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45" name="타원 1644">
            <a:extLst>
              <a:ext uri="{FF2B5EF4-FFF2-40B4-BE49-F238E27FC236}">
                <a16:creationId xmlns:a16="http://schemas.microsoft.com/office/drawing/2014/main" id="{00000000-0008-0000-1600-00006D060000}"/>
              </a:ext>
            </a:extLst>
          </xdr:cNvPr>
          <xdr:cNvSpPr/>
        </xdr:nvSpPr>
        <xdr:spPr>
          <a:xfrm>
            <a:off x="4156074" y="3844337"/>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46" name="타원 1645">
            <a:extLst>
              <a:ext uri="{FF2B5EF4-FFF2-40B4-BE49-F238E27FC236}">
                <a16:creationId xmlns:a16="http://schemas.microsoft.com/office/drawing/2014/main" id="{00000000-0008-0000-1600-00006E060000}"/>
              </a:ext>
            </a:extLst>
          </xdr:cNvPr>
          <xdr:cNvSpPr/>
        </xdr:nvSpPr>
        <xdr:spPr>
          <a:xfrm>
            <a:off x="4156073" y="3905443"/>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47" name="타원 1646">
            <a:extLst>
              <a:ext uri="{FF2B5EF4-FFF2-40B4-BE49-F238E27FC236}">
                <a16:creationId xmlns:a16="http://schemas.microsoft.com/office/drawing/2014/main" id="{00000000-0008-0000-1600-00006F060000}"/>
              </a:ext>
            </a:extLst>
          </xdr:cNvPr>
          <xdr:cNvSpPr/>
        </xdr:nvSpPr>
        <xdr:spPr>
          <a:xfrm>
            <a:off x="4156072" y="3966549"/>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48" name="타원 1647">
            <a:extLst>
              <a:ext uri="{FF2B5EF4-FFF2-40B4-BE49-F238E27FC236}">
                <a16:creationId xmlns:a16="http://schemas.microsoft.com/office/drawing/2014/main" id="{00000000-0008-0000-1600-000070060000}"/>
              </a:ext>
            </a:extLst>
          </xdr:cNvPr>
          <xdr:cNvSpPr/>
        </xdr:nvSpPr>
        <xdr:spPr>
          <a:xfrm>
            <a:off x="4215540" y="3783231"/>
            <a:ext cx="45719" cy="45719"/>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49" name="타원 1648">
            <a:extLst>
              <a:ext uri="{FF2B5EF4-FFF2-40B4-BE49-F238E27FC236}">
                <a16:creationId xmlns:a16="http://schemas.microsoft.com/office/drawing/2014/main" id="{00000000-0008-0000-1600-000071060000}"/>
              </a:ext>
            </a:extLst>
          </xdr:cNvPr>
          <xdr:cNvSpPr/>
        </xdr:nvSpPr>
        <xdr:spPr>
          <a:xfrm>
            <a:off x="4215539" y="3844337"/>
            <a:ext cx="45719" cy="45719"/>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50" name="타원 1649">
            <a:extLst>
              <a:ext uri="{FF2B5EF4-FFF2-40B4-BE49-F238E27FC236}">
                <a16:creationId xmlns:a16="http://schemas.microsoft.com/office/drawing/2014/main" id="{00000000-0008-0000-1600-000072060000}"/>
              </a:ext>
            </a:extLst>
          </xdr:cNvPr>
          <xdr:cNvSpPr/>
        </xdr:nvSpPr>
        <xdr:spPr>
          <a:xfrm>
            <a:off x="4215538" y="3905443"/>
            <a:ext cx="45719" cy="45719"/>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51" name="타원 1650">
            <a:extLst>
              <a:ext uri="{FF2B5EF4-FFF2-40B4-BE49-F238E27FC236}">
                <a16:creationId xmlns:a16="http://schemas.microsoft.com/office/drawing/2014/main" id="{00000000-0008-0000-1600-000073060000}"/>
              </a:ext>
            </a:extLst>
          </xdr:cNvPr>
          <xdr:cNvSpPr/>
        </xdr:nvSpPr>
        <xdr:spPr>
          <a:xfrm>
            <a:off x="4215537" y="3966549"/>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52" name="타원 1651">
            <a:extLst>
              <a:ext uri="{FF2B5EF4-FFF2-40B4-BE49-F238E27FC236}">
                <a16:creationId xmlns:a16="http://schemas.microsoft.com/office/drawing/2014/main" id="{00000000-0008-0000-1600-000074060000}"/>
              </a:ext>
            </a:extLst>
          </xdr:cNvPr>
          <xdr:cNvSpPr/>
        </xdr:nvSpPr>
        <xdr:spPr>
          <a:xfrm>
            <a:off x="4389305" y="3783231"/>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53" name="타원 1652">
            <a:extLst>
              <a:ext uri="{FF2B5EF4-FFF2-40B4-BE49-F238E27FC236}">
                <a16:creationId xmlns:a16="http://schemas.microsoft.com/office/drawing/2014/main" id="{00000000-0008-0000-1600-000075060000}"/>
              </a:ext>
            </a:extLst>
          </xdr:cNvPr>
          <xdr:cNvSpPr/>
        </xdr:nvSpPr>
        <xdr:spPr>
          <a:xfrm>
            <a:off x="4389304" y="3844337"/>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54" name="타원 1653">
            <a:extLst>
              <a:ext uri="{FF2B5EF4-FFF2-40B4-BE49-F238E27FC236}">
                <a16:creationId xmlns:a16="http://schemas.microsoft.com/office/drawing/2014/main" id="{00000000-0008-0000-1600-000076060000}"/>
              </a:ext>
            </a:extLst>
          </xdr:cNvPr>
          <xdr:cNvSpPr/>
        </xdr:nvSpPr>
        <xdr:spPr>
          <a:xfrm>
            <a:off x="4389303" y="3905443"/>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55" name="타원 1654">
            <a:extLst>
              <a:ext uri="{FF2B5EF4-FFF2-40B4-BE49-F238E27FC236}">
                <a16:creationId xmlns:a16="http://schemas.microsoft.com/office/drawing/2014/main" id="{00000000-0008-0000-1600-000077060000}"/>
              </a:ext>
            </a:extLst>
          </xdr:cNvPr>
          <xdr:cNvSpPr/>
        </xdr:nvSpPr>
        <xdr:spPr>
          <a:xfrm>
            <a:off x="4389302" y="3966549"/>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56" name="타원 1655">
            <a:extLst>
              <a:ext uri="{FF2B5EF4-FFF2-40B4-BE49-F238E27FC236}">
                <a16:creationId xmlns:a16="http://schemas.microsoft.com/office/drawing/2014/main" id="{00000000-0008-0000-1600-000078060000}"/>
              </a:ext>
            </a:extLst>
          </xdr:cNvPr>
          <xdr:cNvSpPr/>
        </xdr:nvSpPr>
        <xdr:spPr>
          <a:xfrm>
            <a:off x="4445595" y="3783231"/>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57" name="타원 1656">
            <a:extLst>
              <a:ext uri="{FF2B5EF4-FFF2-40B4-BE49-F238E27FC236}">
                <a16:creationId xmlns:a16="http://schemas.microsoft.com/office/drawing/2014/main" id="{00000000-0008-0000-1600-000079060000}"/>
              </a:ext>
            </a:extLst>
          </xdr:cNvPr>
          <xdr:cNvSpPr/>
        </xdr:nvSpPr>
        <xdr:spPr>
          <a:xfrm>
            <a:off x="4445594" y="3844337"/>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58" name="타원 1657">
            <a:extLst>
              <a:ext uri="{FF2B5EF4-FFF2-40B4-BE49-F238E27FC236}">
                <a16:creationId xmlns:a16="http://schemas.microsoft.com/office/drawing/2014/main" id="{00000000-0008-0000-1600-00007A060000}"/>
              </a:ext>
            </a:extLst>
          </xdr:cNvPr>
          <xdr:cNvSpPr/>
        </xdr:nvSpPr>
        <xdr:spPr>
          <a:xfrm>
            <a:off x="4445593" y="3905443"/>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59" name="타원 1658">
            <a:extLst>
              <a:ext uri="{FF2B5EF4-FFF2-40B4-BE49-F238E27FC236}">
                <a16:creationId xmlns:a16="http://schemas.microsoft.com/office/drawing/2014/main" id="{00000000-0008-0000-1600-00007B060000}"/>
              </a:ext>
            </a:extLst>
          </xdr:cNvPr>
          <xdr:cNvSpPr/>
        </xdr:nvSpPr>
        <xdr:spPr>
          <a:xfrm>
            <a:off x="4445592" y="3966549"/>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60" name="타원 1659">
            <a:extLst>
              <a:ext uri="{FF2B5EF4-FFF2-40B4-BE49-F238E27FC236}">
                <a16:creationId xmlns:a16="http://schemas.microsoft.com/office/drawing/2014/main" id="{00000000-0008-0000-1600-00007C060000}"/>
              </a:ext>
            </a:extLst>
          </xdr:cNvPr>
          <xdr:cNvSpPr/>
        </xdr:nvSpPr>
        <xdr:spPr>
          <a:xfrm>
            <a:off x="4505060" y="3783231"/>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61" name="타원 1660">
            <a:extLst>
              <a:ext uri="{FF2B5EF4-FFF2-40B4-BE49-F238E27FC236}">
                <a16:creationId xmlns:a16="http://schemas.microsoft.com/office/drawing/2014/main" id="{00000000-0008-0000-1600-00007D060000}"/>
              </a:ext>
            </a:extLst>
          </xdr:cNvPr>
          <xdr:cNvSpPr/>
        </xdr:nvSpPr>
        <xdr:spPr>
          <a:xfrm>
            <a:off x="4505059" y="3844337"/>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62" name="타원 1661">
            <a:extLst>
              <a:ext uri="{FF2B5EF4-FFF2-40B4-BE49-F238E27FC236}">
                <a16:creationId xmlns:a16="http://schemas.microsoft.com/office/drawing/2014/main" id="{00000000-0008-0000-1600-00007E060000}"/>
              </a:ext>
            </a:extLst>
          </xdr:cNvPr>
          <xdr:cNvSpPr/>
        </xdr:nvSpPr>
        <xdr:spPr>
          <a:xfrm>
            <a:off x="4505058" y="3905443"/>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63" name="타원 1662">
            <a:extLst>
              <a:ext uri="{FF2B5EF4-FFF2-40B4-BE49-F238E27FC236}">
                <a16:creationId xmlns:a16="http://schemas.microsoft.com/office/drawing/2014/main" id="{00000000-0008-0000-1600-00007F060000}"/>
              </a:ext>
            </a:extLst>
          </xdr:cNvPr>
          <xdr:cNvSpPr/>
        </xdr:nvSpPr>
        <xdr:spPr>
          <a:xfrm>
            <a:off x="4505057" y="3966549"/>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64" name="타원 1663">
            <a:extLst>
              <a:ext uri="{FF2B5EF4-FFF2-40B4-BE49-F238E27FC236}">
                <a16:creationId xmlns:a16="http://schemas.microsoft.com/office/drawing/2014/main" id="{00000000-0008-0000-1600-000080060000}"/>
              </a:ext>
            </a:extLst>
          </xdr:cNvPr>
          <xdr:cNvSpPr/>
        </xdr:nvSpPr>
        <xdr:spPr>
          <a:xfrm>
            <a:off x="4716923" y="3905443"/>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65" name="타원 1664">
            <a:extLst>
              <a:ext uri="{FF2B5EF4-FFF2-40B4-BE49-F238E27FC236}">
                <a16:creationId xmlns:a16="http://schemas.microsoft.com/office/drawing/2014/main" id="{00000000-0008-0000-1600-000081060000}"/>
              </a:ext>
            </a:extLst>
          </xdr:cNvPr>
          <xdr:cNvSpPr/>
        </xdr:nvSpPr>
        <xdr:spPr>
          <a:xfrm>
            <a:off x="4716922" y="3966549"/>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66" name="타원 1665">
            <a:extLst>
              <a:ext uri="{FF2B5EF4-FFF2-40B4-BE49-F238E27FC236}">
                <a16:creationId xmlns:a16="http://schemas.microsoft.com/office/drawing/2014/main" id="{00000000-0008-0000-1600-000082060000}"/>
              </a:ext>
            </a:extLst>
          </xdr:cNvPr>
          <xdr:cNvSpPr/>
        </xdr:nvSpPr>
        <xdr:spPr>
          <a:xfrm>
            <a:off x="4776388" y="3905443"/>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67" name="타원 1666">
            <a:extLst>
              <a:ext uri="{FF2B5EF4-FFF2-40B4-BE49-F238E27FC236}">
                <a16:creationId xmlns:a16="http://schemas.microsoft.com/office/drawing/2014/main" id="{00000000-0008-0000-1600-000083060000}"/>
              </a:ext>
            </a:extLst>
          </xdr:cNvPr>
          <xdr:cNvSpPr/>
        </xdr:nvSpPr>
        <xdr:spPr>
          <a:xfrm>
            <a:off x="4776387" y="3966549"/>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68" name="타원 1667">
            <a:extLst>
              <a:ext uri="{FF2B5EF4-FFF2-40B4-BE49-F238E27FC236}">
                <a16:creationId xmlns:a16="http://schemas.microsoft.com/office/drawing/2014/main" id="{00000000-0008-0000-1600-000084060000}"/>
              </a:ext>
            </a:extLst>
          </xdr:cNvPr>
          <xdr:cNvSpPr/>
        </xdr:nvSpPr>
        <xdr:spPr>
          <a:xfrm>
            <a:off x="1965714" y="3969338"/>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69" name="타원 1668">
            <a:extLst>
              <a:ext uri="{FF2B5EF4-FFF2-40B4-BE49-F238E27FC236}">
                <a16:creationId xmlns:a16="http://schemas.microsoft.com/office/drawing/2014/main" id="{00000000-0008-0000-1600-000085060000}"/>
              </a:ext>
            </a:extLst>
          </xdr:cNvPr>
          <xdr:cNvSpPr/>
        </xdr:nvSpPr>
        <xdr:spPr>
          <a:xfrm>
            <a:off x="1140123" y="3972780"/>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clientData/>
  </xdr:twoCellAnchor>
  <xdr:twoCellAnchor>
    <xdr:from>
      <xdr:col>2</xdr:col>
      <xdr:colOff>221796</xdr:colOff>
      <xdr:row>65</xdr:row>
      <xdr:rowOff>19049</xdr:rowOff>
    </xdr:from>
    <xdr:to>
      <xdr:col>4</xdr:col>
      <xdr:colOff>855242</xdr:colOff>
      <xdr:row>66</xdr:row>
      <xdr:rowOff>37083</xdr:rowOff>
    </xdr:to>
    <xdr:grpSp>
      <xdr:nvGrpSpPr>
        <xdr:cNvPr id="1676" name="그룹 1675">
          <a:extLst>
            <a:ext uri="{FF2B5EF4-FFF2-40B4-BE49-F238E27FC236}">
              <a16:creationId xmlns:a16="http://schemas.microsoft.com/office/drawing/2014/main" id="{00000000-0008-0000-1600-00008C060000}"/>
            </a:ext>
          </a:extLst>
        </xdr:cNvPr>
        <xdr:cNvGrpSpPr/>
      </xdr:nvGrpSpPr>
      <xdr:grpSpPr>
        <a:xfrm>
          <a:off x="569178" y="13241990"/>
          <a:ext cx="3670240" cy="230946"/>
          <a:chOff x="255013" y="3538883"/>
          <a:chExt cx="5737726" cy="597916"/>
        </a:xfrm>
      </xdr:grpSpPr>
      <xdr:grpSp>
        <xdr:nvGrpSpPr>
          <xdr:cNvPr id="1677" name="그룹 1676">
            <a:extLst>
              <a:ext uri="{FF2B5EF4-FFF2-40B4-BE49-F238E27FC236}">
                <a16:creationId xmlns:a16="http://schemas.microsoft.com/office/drawing/2014/main" id="{00000000-0008-0000-1600-00008D060000}"/>
              </a:ext>
            </a:extLst>
          </xdr:cNvPr>
          <xdr:cNvGrpSpPr/>
        </xdr:nvGrpSpPr>
        <xdr:grpSpPr>
          <a:xfrm>
            <a:off x="5707291" y="3538883"/>
            <a:ext cx="285448" cy="597916"/>
            <a:chOff x="1647825" y="3400425"/>
            <a:chExt cx="228600" cy="381000"/>
          </a:xfrm>
          <a:solidFill>
            <a:schemeClr val="bg1"/>
          </a:solidFill>
        </xdr:grpSpPr>
        <xdr:sp macro="" textlink="">
          <xdr:nvSpPr>
            <xdr:cNvPr id="1709" name="직사각형 1708">
              <a:extLst>
                <a:ext uri="{FF2B5EF4-FFF2-40B4-BE49-F238E27FC236}">
                  <a16:creationId xmlns:a16="http://schemas.microsoft.com/office/drawing/2014/main" id="{00000000-0008-0000-1600-0000AD060000}"/>
                </a:ext>
              </a:extLst>
            </xdr:cNvPr>
            <xdr:cNvSpPr/>
          </xdr:nvSpPr>
          <xdr:spPr>
            <a:xfrm>
              <a:off x="1647825" y="3400425"/>
              <a:ext cx="228600" cy="381000"/>
            </a:xfrm>
            <a:prstGeom prst="rect">
              <a:avLst/>
            </a:prstGeom>
            <a:solidFill>
              <a:schemeClr val="bg1">
                <a:lumMod val="85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710" name="모서리가 둥근 직사각형 769">
              <a:extLst>
                <a:ext uri="{FF2B5EF4-FFF2-40B4-BE49-F238E27FC236}">
                  <a16:creationId xmlns:a16="http://schemas.microsoft.com/office/drawing/2014/main" id="{00000000-0008-0000-1600-0000AE060000}"/>
                </a:ext>
              </a:extLst>
            </xdr:cNvPr>
            <xdr:cNvSpPr/>
          </xdr:nvSpPr>
          <xdr:spPr>
            <a:xfrm>
              <a:off x="1695450" y="3458519"/>
              <a:ext cx="133350" cy="76200"/>
            </a:xfrm>
            <a:prstGeom prst="roundRect">
              <a:avLst>
                <a:gd name="adj" fmla="val 50000"/>
              </a:avLst>
            </a:prstGeom>
            <a:grp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711" name="모서리가 둥근 직사각형 770">
              <a:extLst>
                <a:ext uri="{FF2B5EF4-FFF2-40B4-BE49-F238E27FC236}">
                  <a16:creationId xmlns:a16="http://schemas.microsoft.com/office/drawing/2014/main" id="{00000000-0008-0000-1600-0000AF060000}"/>
                </a:ext>
              </a:extLst>
            </xdr:cNvPr>
            <xdr:cNvSpPr/>
          </xdr:nvSpPr>
          <xdr:spPr>
            <a:xfrm>
              <a:off x="1695450" y="3636801"/>
              <a:ext cx="133350" cy="76200"/>
            </a:xfrm>
            <a:prstGeom prst="roundRect">
              <a:avLst>
                <a:gd name="adj" fmla="val 50000"/>
              </a:avLst>
            </a:prstGeom>
            <a:grp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pic>
        <xdr:nvPicPr>
          <xdr:cNvPr id="1678" name="그림 1677">
            <a:extLst>
              <a:ext uri="{FF2B5EF4-FFF2-40B4-BE49-F238E27FC236}">
                <a16:creationId xmlns:a16="http://schemas.microsoft.com/office/drawing/2014/main" id="{00000000-0008-0000-1600-00008E060000}"/>
              </a:ext>
            </a:extLst>
          </xdr:cNvPr>
          <xdr:cNvPicPr>
            <a:picLocks noChangeAspect="1"/>
          </xdr:cNvPicPr>
        </xdr:nvPicPr>
        <xdr:blipFill>
          <a:blip xmlns:r="http://schemas.openxmlformats.org/officeDocument/2006/relationships" r:embed="rId14"/>
          <a:stretch>
            <a:fillRect/>
          </a:stretch>
        </xdr:blipFill>
        <xdr:spPr>
          <a:xfrm>
            <a:off x="544925" y="3573955"/>
            <a:ext cx="5152166" cy="546929"/>
          </a:xfrm>
          <a:prstGeom prst="rect">
            <a:avLst/>
          </a:prstGeom>
          <a:ln w="12700">
            <a:solidFill>
              <a:schemeClr val="tx1"/>
            </a:solidFill>
          </a:ln>
        </xdr:spPr>
      </xdr:pic>
      <xdr:grpSp>
        <xdr:nvGrpSpPr>
          <xdr:cNvPr id="1679" name="그룹 1678">
            <a:extLst>
              <a:ext uri="{FF2B5EF4-FFF2-40B4-BE49-F238E27FC236}">
                <a16:creationId xmlns:a16="http://schemas.microsoft.com/office/drawing/2014/main" id="{00000000-0008-0000-1600-00008F060000}"/>
              </a:ext>
            </a:extLst>
          </xdr:cNvPr>
          <xdr:cNvGrpSpPr/>
        </xdr:nvGrpSpPr>
        <xdr:grpSpPr>
          <a:xfrm>
            <a:off x="255013" y="3538883"/>
            <a:ext cx="285448" cy="597916"/>
            <a:chOff x="1647825" y="3400425"/>
            <a:chExt cx="228600" cy="381000"/>
          </a:xfrm>
          <a:solidFill>
            <a:schemeClr val="bg1"/>
          </a:solidFill>
        </xdr:grpSpPr>
        <xdr:sp macro="" textlink="">
          <xdr:nvSpPr>
            <xdr:cNvPr id="1706" name="직사각형 1705">
              <a:extLst>
                <a:ext uri="{FF2B5EF4-FFF2-40B4-BE49-F238E27FC236}">
                  <a16:creationId xmlns:a16="http://schemas.microsoft.com/office/drawing/2014/main" id="{00000000-0008-0000-1600-0000AA060000}"/>
                </a:ext>
              </a:extLst>
            </xdr:cNvPr>
            <xdr:cNvSpPr/>
          </xdr:nvSpPr>
          <xdr:spPr>
            <a:xfrm>
              <a:off x="1647825" y="3400425"/>
              <a:ext cx="228600" cy="381000"/>
            </a:xfrm>
            <a:prstGeom prst="rect">
              <a:avLst/>
            </a:prstGeom>
            <a:solidFill>
              <a:schemeClr val="bg1">
                <a:lumMod val="85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707" name="모서리가 둥근 직사각형 766">
              <a:extLst>
                <a:ext uri="{FF2B5EF4-FFF2-40B4-BE49-F238E27FC236}">
                  <a16:creationId xmlns:a16="http://schemas.microsoft.com/office/drawing/2014/main" id="{00000000-0008-0000-1600-0000AB060000}"/>
                </a:ext>
              </a:extLst>
            </xdr:cNvPr>
            <xdr:cNvSpPr/>
          </xdr:nvSpPr>
          <xdr:spPr>
            <a:xfrm>
              <a:off x="1695450" y="3458519"/>
              <a:ext cx="133350" cy="76200"/>
            </a:xfrm>
            <a:prstGeom prst="roundRect">
              <a:avLst>
                <a:gd name="adj" fmla="val 50000"/>
              </a:avLst>
            </a:prstGeom>
            <a:grp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708" name="모서리가 둥근 직사각형 767">
              <a:extLst>
                <a:ext uri="{FF2B5EF4-FFF2-40B4-BE49-F238E27FC236}">
                  <a16:creationId xmlns:a16="http://schemas.microsoft.com/office/drawing/2014/main" id="{00000000-0008-0000-1600-0000AC060000}"/>
                </a:ext>
              </a:extLst>
            </xdr:cNvPr>
            <xdr:cNvSpPr/>
          </xdr:nvSpPr>
          <xdr:spPr>
            <a:xfrm>
              <a:off x="1695450" y="3636801"/>
              <a:ext cx="133350" cy="76200"/>
            </a:xfrm>
            <a:prstGeom prst="roundRect">
              <a:avLst>
                <a:gd name="adj" fmla="val 50000"/>
              </a:avLst>
            </a:prstGeom>
            <a:grp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sp macro="" textlink="">
        <xdr:nvSpPr>
          <xdr:cNvPr id="1680" name="타원 1679">
            <a:extLst>
              <a:ext uri="{FF2B5EF4-FFF2-40B4-BE49-F238E27FC236}">
                <a16:creationId xmlns:a16="http://schemas.microsoft.com/office/drawing/2014/main" id="{00000000-0008-0000-1600-000090060000}"/>
              </a:ext>
            </a:extLst>
          </xdr:cNvPr>
          <xdr:cNvSpPr/>
        </xdr:nvSpPr>
        <xdr:spPr>
          <a:xfrm>
            <a:off x="4156075" y="3783231"/>
            <a:ext cx="45719" cy="45719"/>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81" name="타원 1680">
            <a:extLst>
              <a:ext uri="{FF2B5EF4-FFF2-40B4-BE49-F238E27FC236}">
                <a16:creationId xmlns:a16="http://schemas.microsoft.com/office/drawing/2014/main" id="{00000000-0008-0000-1600-000091060000}"/>
              </a:ext>
            </a:extLst>
          </xdr:cNvPr>
          <xdr:cNvSpPr/>
        </xdr:nvSpPr>
        <xdr:spPr>
          <a:xfrm>
            <a:off x="4156074" y="3844337"/>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82" name="타원 1681">
            <a:extLst>
              <a:ext uri="{FF2B5EF4-FFF2-40B4-BE49-F238E27FC236}">
                <a16:creationId xmlns:a16="http://schemas.microsoft.com/office/drawing/2014/main" id="{00000000-0008-0000-1600-000092060000}"/>
              </a:ext>
            </a:extLst>
          </xdr:cNvPr>
          <xdr:cNvSpPr/>
        </xdr:nvSpPr>
        <xdr:spPr>
          <a:xfrm>
            <a:off x="4156073" y="3905443"/>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83" name="타원 1682">
            <a:extLst>
              <a:ext uri="{FF2B5EF4-FFF2-40B4-BE49-F238E27FC236}">
                <a16:creationId xmlns:a16="http://schemas.microsoft.com/office/drawing/2014/main" id="{00000000-0008-0000-1600-000093060000}"/>
              </a:ext>
            </a:extLst>
          </xdr:cNvPr>
          <xdr:cNvSpPr/>
        </xdr:nvSpPr>
        <xdr:spPr>
          <a:xfrm>
            <a:off x="4156072" y="3966549"/>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84" name="타원 1683">
            <a:extLst>
              <a:ext uri="{FF2B5EF4-FFF2-40B4-BE49-F238E27FC236}">
                <a16:creationId xmlns:a16="http://schemas.microsoft.com/office/drawing/2014/main" id="{00000000-0008-0000-1600-000094060000}"/>
              </a:ext>
            </a:extLst>
          </xdr:cNvPr>
          <xdr:cNvSpPr/>
        </xdr:nvSpPr>
        <xdr:spPr>
          <a:xfrm>
            <a:off x="4215540" y="3783231"/>
            <a:ext cx="45719" cy="45719"/>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85" name="타원 1684">
            <a:extLst>
              <a:ext uri="{FF2B5EF4-FFF2-40B4-BE49-F238E27FC236}">
                <a16:creationId xmlns:a16="http://schemas.microsoft.com/office/drawing/2014/main" id="{00000000-0008-0000-1600-000095060000}"/>
              </a:ext>
            </a:extLst>
          </xdr:cNvPr>
          <xdr:cNvSpPr/>
        </xdr:nvSpPr>
        <xdr:spPr>
          <a:xfrm>
            <a:off x="4215539" y="3844337"/>
            <a:ext cx="45719" cy="45719"/>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86" name="타원 1685">
            <a:extLst>
              <a:ext uri="{FF2B5EF4-FFF2-40B4-BE49-F238E27FC236}">
                <a16:creationId xmlns:a16="http://schemas.microsoft.com/office/drawing/2014/main" id="{00000000-0008-0000-1600-000096060000}"/>
              </a:ext>
            </a:extLst>
          </xdr:cNvPr>
          <xdr:cNvSpPr/>
        </xdr:nvSpPr>
        <xdr:spPr>
          <a:xfrm>
            <a:off x="4215538" y="3905443"/>
            <a:ext cx="45719" cy="45719"/>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87" name="타원 1686">
            <a:extLst>
              <a:ext uri="{FF2B5EF4-FFF2-40B4-BE49-F238E27FC236}">
                <a16:creationId xmlns:a16="http://schemas.microsoft.com/office/drawing/2014/main" id="{00000000-0008-0000-1600-000097060000}"/>
              </a:ext>
            </a:extLst>
          </xdr:cNvPr>
          <xdr:cNvSpPr/>
        </xdr:nvSpPr>
        <xdr:spPr>
          <a:xfrm>
            <a:off x="4215537" y="3966549"/>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88" name="타원 1687">
            <a:extLst>
              <a:ext uri="{FF2B5EF4-FFF2-40B4-BE49-F238E27FC236}">
                <a16:creationId xmlns:a16="http://schemas.microsoft.com/office/drawing/2014/main" id="{00000000-0008-0000-1600-000098060000}"/>
              </a:ext>
            </a:extLst>
          </xdr:cNvPr>
          <xdr:cNvSpPr/>
        </xdr:nvSpPr>
        <xdr:spPr>
          <a:xfrm>
            <a:off x="4389305" y="3783231"/>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89" name="타원 1688">
            <a:extLst>
              <a:ext uri="{FF2B5EF4-FFF2-40B4-BE49-F238E27FC236}">
                <a16:creationId xmlns:a16="http://schemas.microsoft.com/office/drawing/2014/main" id="{00000000-0008-0000-1600-000099060000}"/>
              </a:ext>
            </a:extLst>
          </xdr:cNvPr>
          <xdr:cNvSpPr/>
        </xdr:nvSpPr>
        <xdr:spPr>
          <a:xfrm>
            <a:off x="4389304" y="3844337"/>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90" name="타원 1689">
            <a:extLst>
              <a:ext uri="{FF2B5EF4-FFF2-40B4-BE49-F238E27FC236}">
                <a16:creationId xmlns:a16="http://schemas.microsoft.com/office/drawing/2014/main" id="{00000000-0008-0000-1600-00009A060000}"/>
              </a:ext>
            </a:extLst>
          </xdr:cNvPr>
          <xdr:cNvSpPr/>
        </xdr:nvSpPr>
        <xdr:spPr>
          <a:xfrm>
            <a:off x="4389303" y="3905443"/>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91" name="타원 1690">
            <a:extLst>
              <a:ext uri="{FF2B5EF4-FFF2-40B4-BE49-F238E27FC236}">
                <a16:creationId xmlns:a16="http://schemas.microsoft.com/office/drawing/2014/main" id="{00000000-0008-0000-1600-00009B060000}"/>
              </a:ext>
            </a:extLst>
          </xdr:cNvPr>
          <xdr:cNvSpPr/>
        </xdr:nvSpPr>
        <xdr:spPr>
          <a:xfrm>
            <a:off x="4389302" y="3966549"/>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92" name="타원 1691">
            <a:extLst>
              <a:ext uri="{FF2B5EF4-FFF2-40B4-BE49-F238E27FC236}">
                <a16:creationId xmlns:a16="http://schemas.microsoft.com/office/drawing/2014/main" id="{00000000-0008-0000-1600-00009C060000}"/>
              </a:ext>
            </a:extLst>
          </xdr:cNvPr>
          <xdr:cNvSpPr/>
        </xdr:nvSpPr>
        <xdr:spPr>
          <a:xfrm>
            <a:off x="4445595" y="3783231"/>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93" name="타원 1692">
            <a:extLst>
              <a:ext uri="{FF2B5EF4-FFF2-40B4-BE49-F238E27FC236}">
                <a16:creationId xmlns:a16="http://schemas.microsoft.com/office/drawing/2014/main" id="{00000000-0008-0000-1600-00009D060000}"/>
              </a:ext>
            </a:extLst>
          </xdr:cNvPr>
          <xdr:cNvSpPr/>
        </xdr:nvSpPr>
        <xdr:spPr>
          <a:xfrm>
            <a:off x="4445594" y="3844337"/>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94" name="타원 1693">
            <a:extLst>
              <a:ext uri="{FF2B5EF4-FFF2-40B4-BE49-F238E27FC236}">
                <a16:creationId xmlns:a16="http://schemas.microsoft.com/office/drawing/2014/main" id="{00000000-0008-0000-1600-00009E060000}"/>
              </a:ext>
            </a:extLst>
          </xdr:cNvPr>
          <xdr:cNvSpPr/>
        </xdr:nvSpPr>
        <xdr:spPr>
          <a:xfrm>
            <a:off x="4445593" y="3905443"/>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95" name="타원 1694">
            <a:extLst>
              <a:ext uri="{FF2B5EF4-FFF2-40B4-BE49-F238E27FC236}">
                <a16:creationId xmlns:a16="http://schemas.microsoft.com/office/drawing/2014/main" id="{00000000-0008-0000-1600-00009F060000}"/>
              </a:ext>
            </a:extLst>
          </xdr:cNvPr>
          <xdr:cNvSpPr/>
        </xdr:nvSpPr>
        <xdr:spPr>
          <a:xfrm>
            <a:off x="4445592" y="3966549"/>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96" name="타원 1695">
            <a:extLst>
              <a:ext uri="{FF2B5EF4-FFF2-40B4-BE49-F238E27FC236}">
                <a16:creationId xmlns:a16="http://schemas.microsoft.com/office/drawing/2014/main" id="{00000000-0008-0000-1600-0000A0060000}"/>
              </a:ext>
            </a:extLst>
          </xdr:cNvPr>
          <xdr:cNvSpPr/>
        </xdr:nvSpPr>
        <xdr:spPr>
          <a:xfrm>
            <a:off x="4505060" y="3783231"/>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97" name="타원 1696">
            <a:extLst>
              <a:ext uri="{FF2B5EF4-FFF2-40B4-BE49-F238E27FC236}">
                <a16:creationId xmlns:a16="http://schemas.microsoft.com/office/drawing/2014/main" id="{00000000-0008-0000-1600-0000A1060000}"/>
              </a:ext>
            </a:extLst>
          </xdr:cNvPr>
          <xdr:cNvSpPr/>
        </xdr:nvSpPr>
        <xdr:spPr>
          <a:xfrm>
            <a:off x="4505059" y="3844337"/>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98" name="타원 1697">
            <a:extLst>
              <a:ext uri="{FF2B5EF4-FFF2-40B4-BE49-F238E27FC236}">
                <a16:creationId xmlns:a16="http://schemas.microsoft.com/office/drawing/2014/main" id="{00000000-0008-0000-1600-0000A2060000}"/>
              </a:ext>
            </a:extLst>
          </xdr:cNvPr>
          <xdr:cNvSpPr/>
        </xdr:nvSpPr>
        <xdr:spPr>
          <a:xfrm>
            <a:off x="4505058" y="3905443"/>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699" name="타원 1698">
            <a:extLst>
              <a:ext uri="{FF2B5EF4-FFF2-40B4-BE49-F238E27FC236}">
                <a16:creationId xmlns:a16="http://schemas.microsoft.com/office/drawing/2014/main" id="{00000000-0008-0000-1600-0000A3060000}"/>
              </a:ext>
            </a:extLst>
          </xdr:cNvPr>
          <xdr:cNvSpPr/>
        </xdr:nvSpPr>
        <xdr:spPr>
          <a:xfrm>
            <a:off x="4505057" y="3966549"/>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700" name="타원 1699">
            <a:extLst>
              <a:ext uri="{FF2B5EF4-FFF2-40B4-BE49-F238E27FC236}">
                <a16:creationId xmlns:a16="http://schemas.microsoft.com/office/drawing/2014/main" id="{00000000-0008-0000-1600-0000A4060000}"/>
              </a:ext>
            </a:extLst>
          </xdr:cNvPr>
          <xdr:cNvSpPr/>
        </xdr:nvSpPr>
        <xdr:spPr>
          <a:xfrm>
            <a:off x="4716923" y="3905443"/>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701" name="타원 1700">
            <a:extLst>
              <a:ext uri="{FF2B5EF4-FFF2-40B4-BE49-F238E27FC236}">
                <a16:creationId xmlns:a16="http://schemas.microsoft.com/office/drawing/2014/main" id="{00000000-0008-0000-1600-0000A5060000}"/>
              </a:ext>
            </a:extLst>
          </xdr:cNvPr>
          <xdr:cNvSpPr/>
        </xdr:nvSpPr>
        <xdr:spPr>
          <a:xfrm>
            <a:off x="4716922" y="3966549"/>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702" name="타원 1701">
            <a:extLst>
              <a:ext uri="{FF2B5EF4-FFF2-40B4-BE49-F238E27FC236}">
                <a16:creationId xmlns:a16="http://schemas.microsoft.com/office/drawing/2014/main" id="{00000000-0008-0000-1600-0000A6060000}"/>
              </a:ext>
            </a:extLst>
          </xdr:cNvPr>
          <xdr:cNvSpPr/>
        </xdr:nvSpPr>
        <xdr:spPr>
          <a:xfrm>
            <a:off x="4776388" y="3905443"/>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703" name="타원 1702">
            <a:extLst>
              <a:ext uri="{FF2B5EF4-FFF2-40B4-BE49-F238E27FC236}">
                <a16:creationId xmlns:a16="http://schemas.microsoft.com/office/drawing/2014/main" id="{00000000-0008-0000-1600-0000A7060000}"/>
              </a:ext>
            </a:extLst>
          </xdr:cNvPr>
          <xdr:cNvSpPr/>
        </xdr:nvSpPr>
        <xdr:spPr>
          <a:xfrm>
            <a:off x="4776387" y="3966549"/>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704" name="타원 1703">
            <a:extLst>
              <a:ext uri="{FF2B5EF4-FFF2-40B4-BE49-F238E27FC236}">
                <a16:creationId xmlns:a16="http://schemas.microsoft.com/office/drawing/2014/main" id="{00000000-0008-0000-1600-0000A8060000}"/>
              </a:ext>
            </a:extLst>
          </xdr:cNvPr>
          <xdr:cNvSpPr/>
        </xdr:nvSpPr>
        <xdr:spPr>
          <a:xfrm>
            <a:off x="1965714" y="3969338"/>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705" name="타원 1704">
            <a:extLst>
              <a:ext uri="{FF2B5EF4-FFF2-40B4-BE49-F238E27FC236}">
                <a16:creationId xmlns:a16="http://schemas.microsoft.com/office/drawing/2014/main" id="{00000000-0008-0000-1600-0000A9060000}"/>
              </a:ext>
            </a:extLst>
          </xdr:cNvPr>
          <xdr:cNvSpPr/>
        </xdr:nvSpPr>
        <xdr:spPr>
          <a:xfrm>
            <a:off x="1140123" y="3972780"/>
            <a:ext cx="45719" cy="45719"/>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clientData/>
  </xdr:twoCellAnchor>
  <xdr:twoCellAnchor editAs="oneCell">
    <xdr:from>
      <xdr:col>2</xdr:col>
      <xdr:colOff>38100</xdr:colOff>
      <xdr:row>4</xdr:row>
      <xdr:rowOff>123826</xdr:rowOff>
    </xdr:from>
    <xdr:to>
      <xdr:col>9</xdr:col>
      <xdr:colOff>904875</xdr:colOff>
      <xdr:row>31</xdr:row>
      <xdr:rowOff>133350</xdr:rowOff>
    </xdr:to>
    <xdr:pic>
      <xdr:nvPicPr>
        <xdr:cNvPr id="3" name="그림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390525" y="762001"/>
          <a:ext cx="9639300" cy="566737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282576</xdr:colOff>
      <xdr:row>3</xdr:row>
      <xdr:rowOff>190501</xdr:rowOff>
    </xdr:from>
    <xdr:to>
      <xdr:col>8</xdr:col>
      <xdr:colOff>476590</xdr:colOff>
      <xdr:row>38</xdr:row>
      <xdr:rowOff>47625</xdr:rowOff>
    </xdr:to>
    <xdr:pic>
      <xdr:nvPicPr>
        <xdr:cNvPr id="3958" name="그림 3957">
          <a:extLst>
            <a:ext uri="{FF2B5EF4-FFF2-40B4-BE49-F238E27FC236}">
              <a16:creationId xmlns:a16="http://schemas.microsoft.com/office/drawing/2014/main" id="{00000000-0008-0000-1700-0000760F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1" y="968376"/>
          <a:ext cx="4972389" cy="7080249"/>
        </a:xfrm>
        <a:prstGeom prst="rect">
          <a:avLst/>
        </a:prstGeom>
      </xdr:spPr>
    </xdr:pic>
    <xdr:clientData/>
  </xdr:twoCellAnchor>
  <xdr:twoCellAnchor editAs="oneCell">
    <xdr:from>
      <xdr:col>13</xdr:col>
      <xdr:colOff>627530</xdr:colOff>
      <xdr:row>2</xdr:row>
      <xdr:rowOff>1</xdr:rowOff>
    </xdr:from>
    <xdr:to>
      <xdr:col>28</xdr:col>
      <xdr:colOff>432547</xdr:colOff>
      <xdr:row>32</xdr:row>
      <xdr:rowOff>119937</xdr:rowOff>
    </xdr:to>
    <xdr:pic>
      <xdr:nvPicPr>
        <xdr:cNvPr id="3" name="그림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13059" y="560295"/>
          <a:ext cx="10058400" cy="6518495"/>
        </a:xfrm>
        <a:prstGeom prst="rect">
          <a:avLst/>
        </a:prstGeom>
      </xdr:spPr>
    </xdr:pic>
    <xdr:clientData/>
  </xdr:twoCellAnchor>
  <xdr:twoCellAnchor editAs="oneCell">
    <xdr:from>
      <xdr:col>14</xdr:col>
      <xdr:colOff>484278</xdr:colOff>
      <xdr:row>15</xdr:row>
      <xdr:rowOff>134471</xdr:rowOff>
    </xdr:from>
    <xdr:to>
      <xdr:col>17</xdr:col>
      <xdr:colOff>125642</xdr:colOff>
      <xdr:row>30</xdr:row>
      <xdr:rowOff>0</xdr:rowOff>
    </xdr:to>
    <xdr:pic>
      <xdr:nvPicPr>
        <xdr:cNvPr id="3957" name="그림 3956">
          <a:extLst>
            <a:ext uri="{FF2B5EF4-FFF2-40B4-BE49-F238E27FC236}">
              <a16:creationId xmlns:a16="http://schemas.microsoft.com/office/drawing/2014/main" id="{00000000-0008-0000-1700-0000750F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3876" t="4014"/>
        <a:stretch/>
      </xdr:blipFill>
      <xdr:spPr>
        <a:xfrm rot="10800000">
          <a:off x="8653366" y="3473824"/>
          <a:ext cx="1692041" cy="305920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10</xdr:col>
      <xdr:colOff>85728</xdr:colOff>
      <xdr:row>33</xdr:row>
      <xdr:rowOff>66675</xdr:rowOff>
    </xdr:to>
    <xdr:pic>
      <xdr:nvPicPr>
        <xdr:cNvPr id="3" name="그림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1"/>
        <a:stretch>
          <a:fillRect/>
        </a:stretch>
      </xdr:blipFill>
      <xdr:spPr>
        <a:xfrm rot="16200000">
          <a:off x="2023384" y="-594634"/>
          <a:ext cx="9768568" cy="12454621"/>
        </a:xfrm>
        <a:prstGeom prst="rect">
          <a:avLst/>
        </a:prstGeom>
      </xdr:spPr>
    </xdr:pic>
    <xdr:clientData/>
  </xdr:twoCellAnchor>
  <xdr:twoCellAnchor>
    <xdr:from>
      <xdr:col>2</xdr:col>
      <xdr:colOff>1299039</xdr:colOff>
      <xdr:row>26</xdr:row>
      <xdr:rowOff>13159</xdr:rowOff>
    </xdr:from>
    <xdr:to>
      <xdr:col>2</xdr:col>
      <xdr:colOff>1352552</xdr:colOff>
      <xdr:row>26</xdr:row>
      <xdr:rowOff>100014</xdr:rowOff>
    </xdr:to>
    <xdr:sp macro="" textlink="">
      <xdr:nvSpPr>
        <xdr:cNvPr id="8" name="TextBox 7">
          <a:extLst>
            <a:ext uri="{FF2B5EF4-FFF2-40B4-BE49-F238E27FC236}">
              <a16:creationId xmlns:a16="http://schemas.microsoft.com/office/drawing/2014/main" id="{00000000-0008-0000-1800-000008000000}"/>
            </a:ext>
          </a:extLst>
        </xdr:cNvPr>
        <xdr:cNvSpPr txBox="1"/>
      </xdr:nvSpPr>
      <xdr:spPr>
        <a:xfrm>
          <a:off x="3353718" y="8272695"/>
          <a:ext cx="53513" cy="86855"/>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endParaRPr lang="en-US" altLang="ko-KR" sz="700"/>
        </a:p>
      </xdr:txBody>
    </xdr:sp>
    <xdr:clientData/>
  </xdr:twoCellAnchor>
  <xdr:twoCellAnchor>
    <xdr:from>
      <xdr:col>3</xdr:col>
      <xdr:colOff>563709</xdr:colOff>
      <xdr:row>10</xdr:row>
      <xdr:rowOff>25976</xdr:rowOff>
    </xdr:from>
    <xdr:to>
      <xdr:col>3</xdr:col>
      <xdr:colOff>1022642</xdr:colOff>
      <xdr:row>11</xdr:row>
      <xdr:rowOff>170091</xdr:rowOff>
    </xdr:to>
    <xdr:sp macro="" textlink="">
      <xdr:nvSpPr>
        <xdr:cNvPr id="12" name="TextBox 11">
          <a:extLst>
            <a:ext uri="{FF2B5EF4-FFF2-40B4-BE49-F238E27FC236}">
              <a16:creationId xmlns:a16="http://schemas.microsoft.com/office/drawing/2014/main" id="{00000000-0008-0000-1800-00000C000000}"/>
            </a:ext>
          </a:extLst>
        </xdr:cNvPr>
        <xdr:cNvSpPr txBox="1"/>
      </xdr:nvSpPr>
      <xdr:spPr>
        <a:xfrm rot="16200000">
          <a:off x="3993636" y="3277156"/>
          <a:ext cx="457079" cy="458933"/>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ko-KR" altLang="en-US" sz="600"/>
            <a:t>충천기</a:t>
          </a:r>
          <a:endParaRPr lang="en-US" altLang="ko-KR" sz="600"/>
        </a:p>
        <a:p>
          <a:pPr algn="ctr"/>
          <a:r>
            <a:rPr lang="en-US" altLang="ko-KR" sz="600"/>
            <a:t>#1</a:t>
          </a:r>
        </a:p>
      </xdr:txBody>
    </xdr:sp>
    <xdr:clientData/>
  </xdr:twoCellAnchor>
  <xdr:twoCellAnchor>
    <xdr:from>
      <xdr:col>3</xdr:col>
      <xdr:colOff>560247</xdr:colOff>
      <xdr:row>11</xdr:row>
      <xdr:rowOff>172813</xdr:rowOff>
    </xdr:from>
    <xdr:to>
      <xdr:col>3</xdr:col>
      <xdr:colOff>1023262</xdr:colOff>
      <xdr:row>13</xdr:row>
      <xdr:rowOff>94882</xdr:rowOff>
    </xdr:to>
    <xdr:sp macro="" textlink="">
      <xdr:nvSpPr>
        <xdr:cNvPr id="13" name="TextBox 12">
          <a:extLst>
            <a:ext uri="{FF2B5EF4-FFF2-40B4-BE49-F238E27FC236}">
              <a16:creationId xmlns:a16="http://schemas.microsoft.com/office/drawing/2014/main" id="{00000000-0008-0000-1800-00000D000000}"/>
            </a:ext>
          </a:extLst>
        </xdr:cNvPr>
        <xdr:cNvSpPr txBox="1"/>
      </xdr:nvSpPr>
      <xdr:spPr>
        <a:xfrm rot="16200000">
          <a:off x="3946756" y="3780375"/>
          <a:ext cx="547998" cy="463015"/>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ko-KR" altLang="en-US" sz="600"/>
            <a:t>충전기</a:t>
          </a:r>
          <a:endParaRPr lang="en-US" altLang="ko-KR" sz="600"/>
        </a:p>
        <a:p>
          <a:pPr algn="ctr"/>
          <a:r>
            <a:rPr lang="en-US" altLang="ko-KR" sz="600"/>
            <a:t>#1</a:t>
          </a:r>
        </a:p>
        <a:p>
          <a:pPr algn="ctr"/>
          <a:r>
            <a:rPr lang="en-US" altLang="ko-KR" sz="600"/>
            <a:t>BATT.</a:t>
          </a:r>
        </a:p>
      </xdr:txBody>
    </xdr:sp>
    <xdr:clientData/>
  </xdr:twoCellAnchor>
  <xdr:twoCellAnchor>
    <xdr:from>
      <xdr:col>3</xdr:col>
      <xdr:colOff>558637</xdr:colOff>
      <xdr:row>13</xdr:row>
      <xdr:rowOff>92033</xdr:rowOff>
    </xdr:from>
    <xdr:to>
      <xdr:col>3</xdr:col>
      <xdr:colOff>1023262</xdr:colOff>
      <xdr:row>15</xdr:row>
      <xdr:rowOff>14104</xdr:rowOff>
    </xdr:to>
    <xdr:sp macro="" textlink="">
      <xdr:nvSpPr>
        <xdr:cNvPr id="14" name="TextBox 13">
          <a:extLst>
            <a:ext uri="{FF2B5EF4-FFF2-40B4-BE49-F238E27FC236}">
              <a16:creationId xmlns:a16="http://schemas.microsoft.com/office/drawing/2014/main" id="{00000000-0008-0000-1800-00000E000000}"/>
            </a:ext>
          </a:extLst>
        </xdr:cNvPr>
        <xdr:cNvSpPr txBox="1"/>
      </xdr:nvSpPr>
      <xdr:spPr>
        <a:xfrm rot="16200000">
          <a:off x="3945950" y="4324720"/>
          <a:ext cx="548000" cy="464625"/>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ko-KR" altLang="en-US" sz="600"/>
            <a:t>충전기</a:t>
          </a:r>
          <a:endParaRPr lang="en-US" altLang="ko-KR" sz="600"/>
        </a:p>
        <a:p>
          <a:pPr algn="ctr"/>
          <a:r>
            <a:rPr lang="en-US" altLang="ko-KR" sz="600"/>
            <a:t>#2</a:t>
          </a:r>
        </a:p>
      </xdr:txBody>
    </xdr:sp>
    <xdr:clientData/>
  </xdr:twoCellAnchor>
  <xdr:twoCellAnchor>
    <xdr:from>
      <xdr:col>3</xdr:col>
      <xdr:colOff>559629</xdr:colOff>
      <xdr:row>15</xdr:row>
      <xdr:rowOff>15090</xdr:rowOff>
    </xdr:from>
    <xdr:to>
      <xdr:col>3</xdr:col>
      <xdr:colOff>1023262</xdr:colOff>
      <xdr:row>16</xdr:row>
      <xdr:rowOff>158262</xdr:rowOff>
    </xdr:to>
    <xdr:sp macro="" textlink="">
      <xdr:nvSpPr>
        <xdr:cNvPr id="15" name="TextBox 14">
          <a:extLst>
            <a:ext uri="{FF2B5EF4-FFF2-40B4-BE49-F238E27FC236}">
              <a16:creationId xmlns:a16="http://schemas.microsoft.com/office/drawing/2014/main" id="{00000000-0008-0000-1800-00000F000000}"/>
            </a:ext>
          </a:extLst>
        </xdr:cNvPr>
        <xdr:cNvSpPr txBox="1"/>
      </xdr:nvSpPr>
      <xdr:spPr>
        <a:xfrm rot="16200000">
          <a:off x="3992378" y="4828270"/>
          <a:ext cx="456136" cy="463633"/>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ko-KR" altLang="en-US" sz="600"/>
            <a:t>충전기</a:t>
          </a:r>
          <a:endParaRPr lang="en-US" altLang="ko-KR" sz="600"/>
        </a:p>
        <a:p>
          <a:pPr algn="ctr"/>
          <a:r>
            <a:rPr lang="en-US" altLang="ko-KR" sz="600"/>
            <a:t>#2</a:t>
          </a:r>
        </a:p>
        <a:p>
          <a:pPr algn="ctr"/>
          <a:r>
            <a:rPr lang="en-US" altLang="ko-KR" sz="600"/>
            <a:t>BATT.</a:t>
          </a:r>
        </a:p>
      </xdr:txBody>
    </xdr:sp>
    <xdr:clientData/>
  </xdr:twoCellAnchor>
  <xdr:twoCellAnchor>
    <xdr:from>
      <xdr:col>3</xdr:col>
      <xdr:colOff>562972</xdr:colOff>
      <xdr:row>16</xdr:row>
      <xdr:rowOff>154207</xdr:rowOff>
    </xdr:from>
    <xdr:to>
      <xdr:col>3</xdr:col>
      <xdr:colOff>1019180</xdr:colOff>
      <xdr:row>18</xdr:row>
      <xdr:rowOff>76770</xdr:rowOff>
    </xdr:to>
    <xdr:sp macro="" textlink="">
      <xdr:nvSpPr>
        <xdr:cNvPr id="16" name="TextBox 15">
          <a:extLst>
            <a:ext uri="{FF2B5EF4-FFF2-40B4-BE49-F238E27FC236}">
              <a16:creationId xmlns:a16="http://schemas.microsoft.com/office/drawing/2014/main" id="{00000000-0008-0000-1800-000010000000}"/>
            </a:ext>
          </a:extLst>
        </xdr:cNvPr>
        <xdr:cNvSpPr txBox="1"/>
      </xdr:nvSpPr>
      <xdr:spPr>
        <a:xfrm rot="16200000">
          <a:off x="3945830" y="5330242"/>
          <a:ext cx="548491" cy="456208"/>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en-US" altLang="ko-KR" sz="600"/>
            <a:t>UPS</a:t>
          </a:r>
        </a:p>
      </xdr:txBody>
    </xdr:sp>
    <xdr:clientData/>
  </xdr:twoCellAnchor>
  <xdr:twoCellAnchor>
    <xdr:from>
      <xdr:col>3</xdr:col>
      <xdr:colOff>561361</xdr:colOff>
      <xdr:row>18</xdr:row>
      <xdr:rowOff>74433</xdr:rowOff>
    </xdr:from>
    <xdr:to>
      <xdr:col>3</xdr:col>
      <xdr:colOff>1019176</xdr:colOff>
      <xdr:row>20</xdr:row>
      <xdr:rowOff>10019</xdr:rowOff>
    </xdr:to>
    <xdr:sp macro="" textlink="">
      <xdr:nvSpPr>
        <xdr:cNvPr id="17" name="TextBox 16">
          <a:extLst>
            <a:ext uri="{FF2B5EF4-FFF2-40B4-BE49-F238E27FC236}">
              <a16:creationId xmlns:a16="http://schemas.microsoft.com/office/drawing/2014/main" id="{00000000-0008-0000-1800-000011000000}"/>
            </a:ext>
          </a:extLst>
        </xdr:cNvPr>
        <xdr:cNvSpPr txBox="1"/>
      </xdr:nvSpPr>
      <xdr:spPr>
        <a:xfrm rot="16200000">
          <a:off x="3938511" y="5882104"/>
          <a:ext cx="561515" cy="457815"/>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en-US" altLang="ko-KR" sz="600"/>
            <a:t>UPS</a:t>
          </a:r>
        </a:p>
        <a:p>
          <a:pPr algn="ctr"/>
          <a:r>
            <a:rPr lang="en-US" altLang="ko-KR" sz="600"/>
            <a:t>BATT.</a:t>
          </a:r>
        </a:p>
      </xdr:txBody>
    </xdr:sp>
    <xdr:clientData/>
  </xdr:twoCellAnchor>
  <xdr:twoCellAnchor>
    <xdr:from>
      <xdr:col>3</xdr:col>
      <xdr:colOff>562351</xdr:colOff>
      <xdr:row>20</xdr:row>
      <xdr:rowOff>4203</xdr:rowOff>
    </xdr:from>
    <xdr:to>
      <xdr:col>3</xdr:col>
      <xdr:colOff>1019176</xdr:colOff>
      <xdr:row>21</xdr:row>
      <xdr:rowOff>148317</xdr:rowOff>
    </xdr:to>
    <xdr:sp macro="" textlink="">
      <xdr:nvSpPr>
        <xdr:cNvPr id="18" name="TextBox 17">
          <a:extLst>
            <a:ext uri="{FF2B5EF4-FFF2-40B4-BE49-F238E27FC236}">
              <a16:creationId xmlns:a16="http://schemas.microsoft.com/office/drawing/2014/main" id="{00000000-0008-0000-1800-000012000000}"/>
            </a:ext>
          </a:extLst>
        </xdr:cNvPr>
        <xdr:cNvSpPr txBox="1"/>
      </xdr:nvSpPr>
      <xdr:spPr>
        <a:xfrm rot="16200000">
          <a:off x="3991225" y="6386079"/>
          <a:ext cx="457078" cy="456825"/>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en-US" altLang="ko-KR" sz="600"/>
            <a:t>UPS</a:t>
          </a:r>
        </a:p>
        <a:p>
          <a:pPr algn="ctr"/>
          <a:r>
            <a:rPr lang="en-US" altLang="ko-KR" sz="600"/>
            <a:t>BATT.</a:t>
          </a:r>
        </a:p>
      </xdr:txBody>
    </xdr:sp>
    <xdr:clientData/>
  </xdr:twoCellAnchor>
  <xdr:twoCellAnchor>
    <xdr:from>
      <xdr:col>3</xdr:col>
      <xdr:colOff>558888</xdr:colOff>
      <xdr:row>21</xdr:row>
      <xdr:rowOff>144236</xdr:rowOff>
    </xdr:from>
    <xdr:to>
      <xdr:col>3</xdr:col>
      <xdr:colOff>1021903</xdr:colOff>
      <xdr:row>23</xdr:row>
      <xdr:rowOff>66306</xdr:rowOff>
    </xdr:to>
    <xdr:sp macro="" textlink="">
      <xdr:nvSpPr>
        <xdr:cNvPr id="19" name="TextBox 18">
          <a:extLst>
            <a:ext uri="{FF2B5EF4-FFF2-40B4-BE49-F238E27FC236}">
              <a16:creationId xmlns:a16="http://schemas.microsoft.com/office/drawing/2014/main" id="{00000000-0008-0000-1800-000013000000}"/>
            </a:ext>
          </a:extLst>
        </xdr:cNvPr>
        <xdr:cNvSpPr txBox="1"/>
      </xdr:nvSpPr>
      <xdr:spPr>
        <a:xfrm rot="16200000">
          <a:off x="3945396" y="6881442"/>
          <a:ext cx="547999" cy="463015"/>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en-US" altLang="ko-KR" sz="600"/>
            <a:t>UPS</a:t>
          </a:r>
        </a:p>
        <a:p>
          <a:pPr algn="ctr"/>
          <a:r>
            <a:rPr lang="en-US" altLang="ko-KR" sz="600"/>
            <a:t>BATT.</a:t>
          </a:r>
        </a:p>
      </xdr:txBody>
    </xdr:sp>
    <xdr:clientData/>
  </xdr:twoCellAnchor>
  <xdr:twoCellAnchor>
    <xdr:from>
      <xdr:col>3</xdr:col>
      <xdr:colOff>557279</xdr:colOff>
      <xdr:row>23</xdr:row>
      <xdr:rowOff>63955</xdr:rowOff>
    </xdr:from>
    <xdr:to>
      <xdr:col>3</xdr:col>
      <xdr:colOff>1021904</xdr:colOff>
      <xdr:row>25</xdr:row>
      <xdr:rowOff>497</xdr:rowOff>
    </xdr:to>
    <xdr:sp macro="" textlink="">
      <xdr:nvSpPr>
        <xdr:cNvPr id="20" name="TextBox 19">
          <a:extLst>
            <a:ext uri="{FF2B5EF4-FFF2-40B4-BE49-F238E27FC236}">
              <a16:creationId xmlns:a16="http://schemas.microsoft.com/office/drawing/2014/main" id="{00000000-0008-0000-1800-000014000000}"/>
            </a:ext>
          </a:extLst>
        </xdr:cNvPr>
        <xdr:cNvSpPr txBox="1"/>
      </xdr:nvSpPr>
      <xdr:spPr>
        <a:xfrm rot="16200000">
          <a:off x="3937357" y="7433520"/>
          <a:ext cx="562470" cy="464625"/>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en-US" altLang="ko-KR" sz="600"/>
            <a:t>UPS</a:t>
          </a:r>
        </a:p>
        <a:p>
          <a:pPr algn="ctr"/>
          <a:r>
            <a:rPr lang="en-US" altLang="ko-KR" sz="600"/>
            <a:t>BATT.</a:t>
          </a:r>
        </a:p>
      </xdr:txBody>
    </xdr:sp>
    <xdr:clientData/>
  </xdr:twoCellAnchor>
  <xdr:twoCellAnchor>
    <xdr:from>
      <xdr:col>4</xdr:col>
      <xdr:colOff>658960</xdr:colOff>
      <xdr:row>10</xdr:row>
      <xdr:rowOff>25978</xdr:rowOff>
    </xdr:from>
    <xdr:to>
      <xdr:col>5</xdr:col>
      <xdr:colOff>3468</xdr:colOff>
      <xdr:row>11</xdr:row>
      <xdr:rowOff>170093</xdr:rowOff>
    </xdr:to>
    <xdr:sp macro="" textlink="">
      <xdr:nvSpPr>
        <xdr:cNvPr id="21" name="TextBox 20">
          <a:extLst>
            <a:ext uri="{FF2B5EF4-FFF2-40B4-BE49-F238E27FC236}">
              <a16:creationId xmlns:a16="http://schemas.microsoft.com/office/drawing/2014/main" id="{00000000-0008-0000-1800-000015000000}"/>
            </a:ext>
          </a:extLst>
        </xdr:cNvPr>
        <xdr:cNvSpPr txBox="1"/>
      </xdr:nvSpPr>
      <xdr:spPr>
        <a:xfrm rot="16200000">
          <a:off x="5593156" y="3147210"/>
          <a:ext cx="457079" cy="718830"/>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en-US" altLang="ko-KR" sz="600"/>
            <a:t>MDF</a:t>
          </a:r>
        </a:p>
      </xdr:txBody>
    </xdr:sp>
    <xdr:clientData/>
  </xdr:twoCellAnchor>
  <xdr:twoCellAnchor>
    <xdr:from>
      <xdr:col>4</xdr:col>
      <xdr:colOff>655498</xdr:colOff>
      <xdr:row>11</xdr:row>
      <xdr:rowOff>172815</xdr:rowOff>
    </xdr:from>
    <xdr:to>
      <xdr:col>5</xdr:col>
      <xdr:colOff>4088</xdr:colOff>
      <xdr:row>13</xdr:row>
      <xdr:rowOff>94884</xdr:rowOff>
    </xdr:to>
    <xdr:sp macro="" textlink="">
      <xdr:nvSpPr>
        <xdr:cNvPr id="22" name="TextBox 21">
          <a:extLst>
            <a:ext uri="{FF2B5EF4-FFF2-40B4-BE49-F238E27FC236}">
              <a16:creationId xmlns:a16="http://schemas.microsoft.com/office/drawing/2014/main" id="{00000000-0008-0000-1800-000016000000}"/>
            </a:ext>
          </a:extLst>
        </xdr:cNvPr>
        <xdr:cNvSpPr txBox="1"/>
      </xdr:nvSpPr>
      <xdr:spPr>
        <a:xfrm rot="16200000">
          <a:off x="5546276" y="3650429"/>
          <a:ext cx="547998" cy="722912"/>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en-US" altLang="ko-KR" sz="600"/>
            <a:t>LAN</a:t>
          </a:r>
        </a:p>
        <a:p>
          <a:pPr algn="ctr"/>
          <a:r>
            <a:rPr lang="ko-KR" altLang="en-US" sz="600"/>
            <a:t>일반</a:t>
          </a:r>
          <a:endParaRPr lang="en-US" altLang="ko-KR" sz="600"/>
        </a:p>
      </xdr:txBody>
    </xdr:sp>
    <xdr:clientData/>
  </xdr:twoCellAnchor>
  <xdr:twoCellAnchor>
    <xdr:from>
      <xdr:col>4</xdr:col>
      <xdr:colOff>653888</xdr:colOff>
      <xdr:row>13</xdr:row>
      <xdr:rowOff>92035</xdr:rowOff>
    </xdr:from>
    <xdr:to>
      <xdr:col>5</xdr:col>
      <xdr:colOff>4088</xdr:colOff>
      <xdr:row>15</xdr:row>
      <xdr:rowOff>14106</xdr:rowOff>
    </xdr:to>
    <xdr:sp macro="" textlink="">
      <xdr:nvSpPr>
        <xdr:cNvPr id="23" name="TextBox 22">
          <a:extLst>
            <a:ext uri="{FF2B5EF4-FFF2-40B4-BE49-F238E27FC236}">
              <a16:creationId xmlns:a16="http://schemas.microsoft.com/office/drawing/2014/main" id="{00000000-0008-0000-1800-000017000000}"/>
            </a:ext>
          </a:extLst>
        </xdr:cNvPr>
        <xdr:cNvSpPr txBox="1"/>
      </xdr:nvSpPr>
      <xdr:spPr>
        <a:xfrm rot="16200000">
          <a:off x="5545470" y="4194774"/>
          <a:ext cx="548000" cy="724522"/>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en-US" altLang="ko-KR" sz="600"/>
            <a:t>LAN</a:t>
          </a:r>
        </a:p>
        <a:p>
          <a:pPr algn="ctr"/>
          <a:r>
            <a:rPr lang="ko-KR" altLang="en-US" sz="600"/>
            <a:t>스카다</a:t>
          </a:r>
          <a:endParaRPr lang="en-US" altLang="ko-KR" sz="600"/>
        </a:p>
      </xdr:txBody>
    </xdr:sp>
    <xdr:clientData/>
  </xdr:twoCellAnchor>
  <xdr:twoCellAnchor>
    <xdr:from>
      <xdr:col>4</xdr:col>
      <xdr:colOff>654880</xdr:colOff>
      <xdr:row>15</xdr:row>
      <xdr:rowOff>15092</xdr:rowOff>
    </xdr:from>
    <xdr:to>
      <xdr:col>5</xdr:col>
      <xdr:colOff>4088</xdr:colOff>
      <xdr:row>16</xdr:row>
      <xdr:rowOff>158264</xdr:rowOff>
    </xdr:to>
    <xdr:sp macro="" textlink="">
      <xdr:nvSpPr>
        <xdr:cNvPr id="24" name="TextBox 23">
          <a:extLst>
            <a:ext uri="{FF2B5EF4-FFF2-40B4-BE49-F238E27FC236}">
              <a16:creationId xmlns:a16="http://schemas.microsoft.com/office/drawing/2014/main" id="{00000000-0008-0000-1800-000018000000}"/>
            </a:ext>
          </a:extLst>
        </xdr:cNvPr>
        <xdr:cNvSpPr txBox="1"/>
      </xdr:nvSpPr>
      <xdr:spPr>
        <a:xfrm rot="16200000">
          <a:off x="5591898" y="4698324"/>
          <a:ext cx="456136" cy="723530"/>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ko-KR" altLang="en-US" sz="600"/>
            <a:t>방송</a:t>
          </a:r>
          <a:endParaRPr lang="en-US" altLang="ko-KR" sz="600"/>
        </a:p>
      </xdr:txBody>
    </xdr:sp>
    <xdr:clientData/>
  </xdr:twoCellAnchor>
  <xdr:twoCellAnchor>
    <xdr:from>
      <xdr:col>4</xdr:col>
      <xdr:colOff>658223</xdr:colOff>
      <xdr:row>16</xdr:row>
      <xdr:rowOff>154209</xdr:rowOff>
    </xdr:from>
    <xdr:to>
      <xdr:col>5</xdr:col>
      <xdr:colOff>6</xdr:colOff>
      <xdr:row>18</xdr:row>
      <xdr:rowOff>76772</xdr:rowOff>
    </xdr:to>
    <xdr:sp macro="" textlink="">
      <xdr:nvSpPr>
        <xdr:cNvPr id="25" name="TextBox 24">
          <a:extLst>
            <a:ext uri="{FF2B5EF4-FFF2-40B4-BE49-F238E27FC236}">
              <a16:creationId xmlns:a16="http://schemas.microsoft.com/office/drawing/2014/main" id="{00000000-0008-0000-1800-000019000000}"/>
            </a:ext>
          </a:extLst>
        </xdr:cNvPr>
        <xdr:cNvSpPr txBox="1"/>
      </xdr:nvSpPr>
      <xdr:spPr>
        <a:xfrm rot="16200000">
          <a:off x="5545351" y="5200295"/>
          <a:ext cx="548491" cy="716105"/>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ko-KR" altLang="en-US" sz="600"/>
            <a:t>통합</a:t>
          </a:r>
          <a:endParaRPr lang="en-US" altLang="ko-KR" sz="600"/>
        </a:p>
        <a:p>
          <a:pPr algn="ctr"/>
          <a:r>
            <a:rPr lang="ko-KR" altLang="en-US" sz="600"/>
            <a:t>보안</a:t>
          </a:r>
          <a:endParaRPr lang="en-US" altLang="ko-KR" sz="600"/>
        </a:p>
      </xdr:txBody>
    </xdr:sp>
    <xdr:clientData/>
  </xdr:twoCellAnchor>
  <xdr:twoCellAnchor>
    <xdr:from>
      <xdr:col>4</xdr:col>
      <xdr:colOff>656612</xdr:colOff>
      <xdr:row>18</xdr:row>
      <xdr:rowOff>74435</xdr:rowOff>
    </xdr:from>
    <xdr:to>
      <xdr:col>5</xdr:col>
      <xdr:colOff>2</xdr:colOff>
      <xdr:row>20</xdr:row>
      <xdr:rowOff>10021</xdr:rowOff>
    </xdr:to>
    <xdr:sp macro="" textlink="">
      <xdr:nvSpPr>
        <xdr:cNvPr id="26" name="TextBox 25">
          <a:extLst>
            <a:ext uri="{FF2B5EF4-FFF2-40B4-BE49-F238E27FC236}">
              <a16:creationId xmlns:a16="http://schemas.microsoft.com/office/drawing/2014/main" id="{00000000-0008-0000-1800-00001A000000}"/>
            </a:ext>
          </a:extLst>
        </xdr:cNvPr>
        <xdr:cNvSpPr txBox="1"/>
      </xdr:nvSpPr>
      <xdr:spPr>
        <a:xfrm rot="16200000">
          <a:off x="5538031" y="5752158"/>
          <a:ext cx="561515" cy="717712"/>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en-US" altLang="ko-KR" sz="600"/>
            <a:t>IP</a:t>
          </a:r>
          <a:r>
            <a:rPr lang="ko-KR" altLang="en-US" sz="600"/>
            <a:t>계통</a:t>
          </a:r>
          <a:endParaRPr lang="en-US" altLang="ko-KR" sz="600"/>
        </a:p>
      </xdr:txBody>
    </xdr:sp>
    <xdr:clientData/>
  </xdr:twoCellAnchor>
  <xdr:twoCellAnchor>
    <xdr:from>
      <xdr:col>4</xdr:col>
      <xdr:colOff>657602</xdr:colOff>
      <xdr:row>20</xdr:row>
      <xdr:rowOff>4205</xdr:rowOff>
    </xdr:from>
    <xdr:to>
      <xdr:col>5</xdr:col>
      <xdr:colOff>2</xdr:colOff>
      <xdr:row>21</xdr:row>
      <xdr:rowOff>148319</xdr:rowOff>
    </xdr:to>
    <xdr:sp macro="" textlink="">
      <xdr:nvSpPr>
        <xdr:cNvPr id="27" name="TextBox 26">
          <a:extLst>
            <a:ext uri="{FF2B5EF4-FFF2-40B4-BE49-F238E27FC236}">
              <a16:creationId xmlns:a16="http://schemas.microsoft.com/office/drawing/2014/main" id="{00000000-0008-0000-1800-00001B000000}"/>
            </a:ext>
          </a:extLst>
        </xdr:cNvPr>
        <xdr:cNvSpPr txBox="1"/>
      </xdr:nvSpPr>
      <xdr:spPr>
        <a:xfrm rot="16200000">
          <a:off x="5590745" y="6256133"/>
          <a:ext cx="457078" cy="716722"/>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ko-KR" altLang="en-US" sz="600"/>
            <a:t>예비</a:t>
          </a:r>
          <a:endParaRPr lang="en-US" altLang="ko-KR" sz="600"/>
        </a:p>
      </xdr:txBody>
    </xdr:sp>
    <xdr:clientData/>
  </xdr:twoCellAnchor>
  <xdr:twoCellAnchor>
    <xdr:from>
      <xdr:col>4</xdr:col>
      <xdr:colOff>654139</xdr:colOff>
      <xdr:row>21</xdr:row>
      <xdr:rowOff>144238</xdr:rowOff>
    </xdr:from>
    <xdr:to>
      <xdr:col>5</xdr:col>
      <xdr:colOff>2729</xdr:colOff>
      <xdr:row>23</xdr:row>
      <xdr:rowOff>66308</xdr:rowOff>
    </xdr:to>
    <xdr:sp macro="" textlink="">
      <xdr:nvSpPr>
        <xdr:cNvPr id="28" name="TextBox 27">
          <a:extLst>
            <a:ext uri="{FF2B5EF4-FFF2-40B4-BE49-F238E27FC236}">
              <a16:creationId xmlns:a16="http://schemas.microsoft.com/office/drawing/2014/main" id="{00000000-0008-0000-1800-00001C000000}"/>
            </a:ext>
          </a:extLst>
        </xdr:cNvPr>
        <xdr:cNvSpPr txBox="1"/>
      </xdr:nvSpPr>
      <xdr:spPr>
        <a:xfrm rot="16200000">
          <a:off x="5544916" y="6751496"/>
          <a:ext cx="547999" cy="722912"/>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en-US" altLang="ko-KR" sz="600"/>
            <a:t>DC</a:t>
          </a:r>
        </a:p>
        <a:p>
          <a:pPr algn="ctr"/>
          <a:r>
            <a:rPr lang="ko-KR" altLang="en-US" sz="600"/>
            <a:t>분전반</a:t>
          </a:r>
          <a:endParaRPr lang="en-US" altLang="ko-KR" sz="600"/>
        </a:p>
      </xdr:txBody>
    </xdr:sp>
    <xdr:clientData/>
  </xdr:twoCellAnchor>
  <xdr:twoCellAnchor>
    <xdr:from>
      <xdr:col>4</xdr:col>
      <xdr:colOff>663113</xdr:colOff>
      <xdr:row>23</xdr:row>
      <xdr:rowOff>63957</xdr:rowOff>
    </xdr:from>
    <xdr:to>
      <xdr:col>5</xdr:col>
      <xdr:colOff>13313</xdr:colOff>
      <xdr:row>25</xdr:row>
      <xdr:rowOff>499</xdr:rowOff>
    </xdr:to>
    <xdr:sp macro="" textlink="">
      <xdr:nvSpPr>
        <xdr:cNvPr id="29" name="TextBox 28">
          <a:extLst>
            <a:ext uri="{FF2B5EF4-FFF2-40B4-BE49-F238E27FC236}">
              <a16:creationId xmlns:a16="http://schemas.microsoft.com/office/drawing/2014/main" id="{00000000-0008-0000-1800-00001D000000}"/>
            </a:ext>
          </a:extLst>
        </xdr:cNvPr>
        <xdr:cNvSpPr txBox="1"/>
      </xdr:nvSpPr>
      <xdr:spPr>
        <a:xfrm rot="16200000">
          <a:off x="5547460" y="7303574"/>
          <a:ext cx="562470" cy="724522"/>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en-US" altLang="ko-KR" sz="600"/>
            <a:t>AC</a:t>
          </a:r>
        </a:p>
        <a:p>
          <a:pPr algn="ctr"/>
          <a:r>
            <a:rPr lang="ko-KR" altLang="en-US" sz="600"/>
            <a:t>분전반</a:t>
          </a:r>
          <a:endParaRPr lang="en-US" altLang="ko-KR" sz="600"/>
        </a:p>
      </xdr:txBody>
    </xdr:sp>
    <xdr:clientData/>
  </xdr:twoCellAnchor>
  <xdr:twoCellAnchor>
    <xdr:from>
      <xdr:col>5</xdr:col>
      <xdr:colOff>763736</xdr:colOff>
      <xdr:row>10</xdr:row>
      <xdr:rowOff>25978</xdr:rowOff>
    </xdr:from>
    <xdr:to>
      <xdr:col>5</xdr:col>
      <xdr:colOff>1222669</xdr:colOff>
      <xdr:row>11</xdr:row>
      <xdr:rowOff>170093</xdr:rowOff>
    </xdr:to>
    <xdr:sp macro="" textlink="">
      <xdr:nvSpPr>
        <xdr:cNvPr id="30" name="TextBox 29">
          <a:extLst>
            <a:ext uri="{FF2B5EF4-FFF2-40B4-BE49-F238E27FC236}">
              <a16:creationId xmlns:a16="http://schemas.microsoft.com/office/drawing/2014/main" id="{00000000-0008-0000-1800-00001E000000}"/>
            </a:ext>
          </a:extLst>
        </xdr:cNvPr>
        <xdr:cNvSpPr txBox="1"/>
      </xdr:nvSpPr>
      <xdr:spPr>
        <a:xfrm rot="16200000">
          <a:off x="6942306" y="3277158"/>
          <a:ext cx="457079" cy="458933"/>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ko-KR" altLang="en-US" sz="600"/>
            <a:t>송광치</a:t>
          </a:r>
          <a:endParaRPr lang="en-US" altLang="ko-KR" sz="600"/>
        </a:p>
        <a:p>
          <a:pPr algn="ctr"/>
          <a:r>
            <a:rPr lang="en-US" altLang="ko-KR" sz="600"/>
            <a:t>(</a:t>
          </a:r>
          <a:r>
            <a:rPr lang="ko-KR" altLang="en-US" sz="600"/>
            <a:t>서안성</a:t>
          </a:r>
          <a:r>
            <a:rPr lang="en-US" altLang="ko-KR" sz="600"/>
            <a:t>)</a:t>
          </a:r>
        </a:p>
      </xdr:txBody>
    </xdr:sp>
    <xdr:clientData/>
  </xdr:twoCellAnchor>
  <xdr:twoCellAnchor>
    <xdr:from>
      <xdr:col>6</xdr:col>
      <xdr:colOff>436425</xdr:colOff>
      <xdr:row>11</xdr:row>
      <xdr:rowOff>172815</xdr:rowOff>
    </xdr:from>
    <xdr:to>
      <xdr:col>6</xdr:col>
      <xdr:colOff>899440</xdr:colOff>
      <xdr:row>13</xdr:row>
      <xdr:rowOff>94884</xdr:rowOff>
    </xdr:to>
    <xdr:sp macro="" textlink="">
      <xdr:nvSpPr>
        <xdr:cNvPr id="31" name="TextBox 30">
          <a:extLst>
            <a:ext uri="{FF2B5EF4-FFF2-40B4-BE49-F238E27FC236}">
              <a16:creationId xmlns:a16="http://schemas.microsoft.com/office/drawing/2014/main" id="{00000000-0008-0000-1800-00001F000000}"/>
            </a:ext>
          </a:extLst>
        </xdr:cNvPr>
        <xdr:cNvSpPr txBox="1"/>
      </xdr:nvSpPr>
      <xdr:spPr>
        <a:xfrm rot="16200000">
          <a:off x="7945898" y="3780377"/>
          <a:ext cx="547998" cy="463015"/>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ko-KR" altLang="en-US" sz="600"/>
            <a:t>예비</a:t>
          </a:r>
          <a:endParaRPr lang="en-US" altLang="ko-KR" sz="600"/>
        </a:p>
      </xdr:txBody>
    </xdr:sp>
    <xdr:clientData/>
  </xdr:twoCellAnchor>
  <xdr:twoCellAnchor>
    <xdr:from>
      <xdr:col>6</xdr:col>
      <xdr:colOff>434815</xdr:colOff>
      <xdr:row>13</xdr:row>
      <xdr:rowOff>92035</xdr:rowOff>
    </xdr:from>
    <xdr:to>
      <xdr:col>6</xdr:col>
      <xdr:colOff>899440</xdr:colOff>
      <xdr:row>15</xdr:row>
      <xdr:rowOff>14106</xdr:rowOff>
    </xdr:to>
    <xdr:sp macro="" textlink="">
      <xdr:nvSpPr>
        <xdr:cNvPr id="32" name="TextBox 31">
          <a:extLst>
            <a:ext uri="{FF2B5EF4-FFF2-40B4-BE49-F238E27FC236}">
              <a16:creationId xmlns:a16="http://schemas.microsoft.com/office/drawing/2014/main" id="{00000000-0008-0000-1800-000020000000}"/>
            </a:ext>
          </a:extLst>
        </xdr:cNvPr>
        <xdr:cNvSpPr txBox="1"/>
      </xdr:nvSpPr>
      <xdr:spPr>
        <a:xfrm rot="16200000">
          <a:off x="7945092" y="4324722"/>
          <a:ext cx="548000" cy="464625"/>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ko-KR" altLang="en-US" sz="600"/>
            <a:t>예비</a:t>
          </a:r>
          <a:endParaRPr lang="en-US" altLang="ko-KR" sz="600"/>
        </a:p>
      </xdr:txBody>
    </xdr:sp>
    <xdr:clientData/>
  </xdr:twoCellAnchor>
  <xdr:twoCellAnchor>
    <xdr:from>
      <xdr:col>6</xdr:col>
      <xdr:colOff>435807</xdr:colOff>
      <xdr:row>15</xdr:row>
      <xdr:rowOff>15092</xdr:rowOff>
    </xdr:from>
    <xdr:to>
      <xdr:col>6</xdr:col>
      <xdr:colOff>899440</xdr:colOff>
      <xdr:row>16</xdr:row>
      <xdr:rowOff>158264</xdr:rowOff>
    </xdr:to>
    <xdr:sp macro="" textlink="">
      <xdr:nvSpPr>
        <xdr:cNvPr id="33" name="TextBox 32">
          <a:extLst>
            <a:ext uri="{FF2B5EF4-FFF2-40B4-BE49-F238E27FC236}">
              <a16:creationId xmlns:a16="http://schemas.microsoft.com/office/drawing/2014/main" id="{00000000-0008-0000-1800-000021000000}"/>
            </a:ext>
          </a:extLst>
        </xdr:cNvPr>
        <xdr:cNvSpPr txBox="1"/>
      </xdr:nvSpPr>
      <xdr:spPr>
        <a:xfrm rot="16200000">
          <a:off x="7991520" y="4828272"/>
          <a:ext cx="456136" cy="463633"/>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ko-KR" altLang="en-US" sz="600"/>
            <a:t>예비</a:t>
          </a:r>
          <a:endParaRPr lang="en-US" altLang="ko-KR" sz="600"/>
        </a:p>
      </xdr:txBody>
    </xdr:sp>
    <xdr:clientData/>
  </xdr:twoCellAnchor>
  <xdr:twoCellAnchor>
    <xdr:from>
      <xdr:col>6</xdr:col>
      <xdr:colOff>439150</xdr:colOff>
      <xdr:row>16</xdr:row>
      <xdr:rowOff>154209</xdr:rowOff>
    </xdr:from>
    <xdr:to>
      <xdr:col>6</xdr:col>
      <xdr:colOff>895358</xdr:colOff>
      <xdr:row>18</xdr:row>
      <xdr:rowOff>76772</xdr:rowOff>
    </xdr:to>
    <xdr:sp macro="" textlink="">
      <xdr:nvSpPr>
        <xdr:cNvPr id="34" name="TextBox 33">
          <a:extLst>
            <a:ext uri="{FF2B5EF4-FFF2-40B4-BE49-F238E27FC236}">
              <a16:creationId xmlns:a16="http://schemas.microsoft.com/office/drawing/2014/main" id="{00000000-0008-0000-1800-000022000000}"/>
            </a:ext>
          </a:extLst>
        </xdr:cNvPr>
        <xdr:cNvSpPr txBox="1"/>
      </xdr:nvSpPr>
      <xdr:spPr>
        <a:xfrm rot="16200000">
          <a:off x="7944972" y="5330244"/>
          <a:ext cx="548491" cy="456208"/>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ko-KR" altLang="en-US" sz="600"/>
            <a:t>예비</a:t>
          </a:r>
          <a:endParaRPr lang="en-US" altLang="ko-KR" sz="600"/>
        </a:p>
      </xdr:txBody>
    </xdr:sp>
    <xdr:clientData/>
  </xdr:twoCellAnchor>
  <xdr:twoCellAnchor>
    <xdr:from>
      <xdr:col>6</xdr:col>
      <xdr:colOff>437539</xdr:colOff>
      <xdr:row>18</xdr:row>
      <xdr:rowOff>74435</xdr:rowOff>
    </xdr:from>
    <xdr:to>
      <xdr:col>6</xdr:col>
      <xdr:colOff>895354</xdr:colOff>
      <xdr:row>20</xdr:row>
      <xdr:rowOff>10021</xdr:rowOff>
    </xdr:to>
    <xdr:sp macro="" textlink="">
      <xdr:nvSpPr>
        <xdr:cNvPr id="35" name="TextBox 34">
          <a:extLst>
            <a:ext uri="{FF2B5EF4-FFF2-40B4-BE49-F238E27FC236}">
              <a16:creationId xmlns:a16="http://schemas.microsoft.com/office/drawing/2014/main" id="{00000000-0008-0000-1800-000023000000}"/>
            </a:ext>
          </a:extLst>
        </xdr:cNvPr>
        <xdr:cNvSpPr txBox="1"/>
      </xdr:nvSpPr>
      <xdr:spPr>
        <a:xfrm rot="16200000">
          <a:off x="7937653" y="5882106"/>
          <a:ext cx="561515" cy="457815"/>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ko-KR" altLang="en-US" sz="600"/>
            <a:t>예비</a:t>
          </a:r>
          <a:endParaRPr lang="en-US" altLang="ko-KR" sz="600"/>
        </a:p>
      </xdr:txBody>
    </xdr:sp>
    <xdr:clientData/>
  </xdr:twoCellAnchor>
  <xdr:twoCellAnchor>
    <xdr:from>
      <xdr:col>6</xdr:col>
      <xdr:colOff>438529</xdr:colOff>
      <xdr:row>20</xdr:row>
      <xdr:rowOff>4205</xdr:rowOff>
    </xdr:from>
    <xdr:to>
      <xdr:col>6</xdr:col>
      <xdr:colOff>895354</xdr:colOff>
      <xdr:row>21</xdr:row>
      <xdr:rowOff>148319</xdr:rowOff>
    </xdr:to>
    <xdr:sp macro="" textlink="">
      <xdr:nvSpPr>
        <xdr:cNvPr id="36" name="TextBox 35">
          <a:extLst>
            <a:ext uri="{FF2B5EF4-FFF2-40B4-BE49-F238E27FC236}">
              <a16:creationId xmlns:a16="http://schemas.microsoft.com/office/drawing/2014/main" id="{00000000-0008-0000-1800-000024000000}"/>
            </a:ext>
          </a:extLst>
        </xdr:cNvPr>
        <xdr:cNvSpPr txBox="1"/>
      </xdr:nvSpPr>
      <xdr:spPr>
        <a:xfrm rot="16200000">
          <a:off x="7990367" y="6386081"/>
          <a:ext cx="457078" cy="456825"/>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ko-KR" altLang="en-US" sz="600"/>
            <a:t>예비</a:t>
          </a:r>
          <a:r>
            <a:rPr lang="en-US" altLang="ko-KR" sz="600"/>
            <a:t>.</a:t>
          </a:r>
        </a:p>
      </xdr:txBody>
    </xdr:sp>
    <xdr:clientData/>
  </xdr:twoCellAnchor>
  <xdr:twoCellAnchor>
    <xdr:from>
      <xdr:col>6</xdr:col>
      <xdr:colOff>435066</xdr:colOff>
      <xdr:row>21</xdr:row>
      <xdr:rowOff>144238</xdr:rowOff>
    </xdr:from>
    <xdr:to>
      <xdr:col>6</xdr:col>
      <xdr:colOff>898081</xdr:colOff>
      <xdr:row>23</xdr:row>
      <xdr:rowOff>66308</xdr:rowOff>
    </xdr:to>
    <xdr:sp macro="" textlink="">
      <xdr:nvSpPr>
        <xdr:cNvPr id="37" name="TextBox 36">
          <a:extLst>
            <a:ext uri="{FF2B5EF4-FFF2-40B4-BE49-F238E27FC236}">
              <a16:creationId xmlns:a16="http://schemas.microsoft.com/office/drawing/2014/main" id="{00000000-0008-0000-1800-000025000000}"/>
            </a:ext>
          </a:extLst>
        </xdr:cNvPr>
        <xdr:cNvSpPr txBox="1"/>
      </xdr:nvSpPr>
      <xdr:spPr>
        <a:xfrm rot="16200000">
          <a:off x="7944538" y="6881444"/>
          <a:ext cx="547999" cy="463015"/>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ko-KR" altLang="en-US" sz="600"/>
            <a:t>예비</a:t>
          </a:r>
          <a:endParaRPr lang="en-US" altLang="ko-KR" sz="600"/>
        </a:p>
      </xdr:txBody>
    </xdr:sp>
    <xdr:clientData/>
  </xdr:twoCellAnchor>
  <xdr:twoCellAnchor>
    <xdr:from>
      <xdr:col>5</xdr:col>
      <xdr:colOff>541916</xdr:colOff>
      <xdr:row>24</xdr:row>
      <xdr:rowOff>128645</xdr:rowOff>
    </xdr:from>
    <xdr:to>
      <xdr:col>5</xdr:col>
      <xdr:colOff>861882</xdr:colOff>
      <xdr:row>24</xdr:row>
      <xdr:rowOff>132047</xdr:rowOff>
    </xdr:to>
    <xdr:cxnSp macro="">
      <xdr:nvCxnSpPr>
        <xdr:cNvPr id="64" name="꺾인 연결선 182">
          <a:extLst>
            <a:ext uri="{FF2B5EF4-FFF2-40B4-BE49-F238E27FC236}">
              <a16:creationId xmlns:a16="http://schemas.microsoft.com/office/drawing/2014/main" id="{00000000-0008-0000-1800-000040000000}"/>
            </a:ext>
          </a:extLst>
        </xdr:cNvPr>
        <xdr:cNvCxnSpPr/>
      </xdr:nvCxnSpPr>
      <xdr:spPr>
        <a:xfrm rot="10800000">
          <a:off x="6719559" y="7762252"/>
          <a:ext cx="319966" cy="3402"/>
        </a:xfrm>
        <a:prstGeom prst="bentConnector3">
          <a:avLst>
            <a:gd name="adj1" fmla="val 50000"/>
          </a:avLst>
        </a:prstGeom>
        <a:ln w="12700">
          <a:solidFill>
            <a:schemeClr val="accent3"/>
          </a:solidFill>
          <a:tailEnd type="triangle"/>
        </a:ln>
      </xdr:spPr>
      <xdr:style>
        <a:lnRef idx="2">
          <a:schemeClr val="accent4"/>
        </a:lnRef>
        <a:fillRef idx="0">
          <a:schemeClr val="accent4"/>
        </a:fillRef>
        <a:effectRef idx="1">
          <a:schemeClr val="accent4"/>
        </a:effectRef>
        <a:fontRef idx="minor">
          <a:schemeClr val="tx1"/>
        </a:fontRef>
      </xdr:style>
    </xdr:cxnSp>
    <xdr:clientData/>
  </xdr:twoCellAnchor>
  <xdr:twoCellAnchor>
    <xdr:from>
      <xdr:col>5</xdr:col>
      <xdr:colOff>543504</xdr:colOff>
      <xdr:row>18</xdr:row>
      <xdr:rowOff>31929</xdr:rowOff>
    </xdr:from>
    <xdr:to>
      <xdr:col>5</xdr:col>
      <xdr:colOff>863470</xdr:colOff>
      <xdr:row>18</xdr:row>
      <xdr:rowOff>35331</xdr:rowOff>
    </xdr:to>
    <xdr:cxnSp macro="">
      <xdr:nvCxnSpPr>
        <xdr:cNvPr id="65" name="꺾인 연결선 184">
          <a:extLst>
            <a:ext uri="{FF2B5EF4-FFF2-40B4-BE49-F238E27FC236}">
              <a16:creationId xmlns:a16="http://schemas.microsoft.com/office/drawing/2014/main" id="{00000000-0008-0000-1800-000041000000}"/>
            </a:ext>
          </a:extLst>
        </xdr:cNvPr>
        <xdr:cNvCxnSpPr/>
      </xdr:nvCxnSpPr>
      <xdr:spPr>
        <a:xfrm rot="10800000">
          <a:off x="6721147" y="5787750"/>
          <a:ext cx="319966" cy="3402"/>
        </a:xfrm>
        <a:prstGeom prst="bentConnector3">
          <a:avLst>
            <a:gd name="adj1" fmla="val 50000"/>
          </a:avLst>
        </a:prstGeom>
        <a:ln w="12700">
          <a:solidFill>
            <a:schemeClr val="accent3"/>
          </a:solidFill>
          <a:tailEnd type="triangle"/>
        </a:ln>
      </xdr:spPr>
      <xdr:style>
        <a:lnRef idx="2">
          <a:schemeClr val="accent4"/>
        </a:lnRef>
        <a:fillRef idx="0">
          <a:schemeClr val="accent4"/>
        </a:fillRef>
        <a:effectRef idx="1">
          <a:schemeClr val="accent4"/>
        </a:effectRef>
        <a:fontRef idx="minor">
          <a:schemeClr val="tx1"/>
        </a:fontRef>
      </xdr:style>
    </xdr:cxnSp>
    <xdr:clientData/>
  </xdr:twoCellAnchor>
  <xdr:twoCellAnchor>
    <xdr:from>
      <xdr:col>5</xdr:col>
      <xdr:colOff>553029</xdr:colOff>
      <xdr:row>19</xdr:row>
      <xdr:rowOff>149526</xdr:rowOff>
    </xdr:from>
    <xdr:to>
      <xdr:col>5</xdr:col>
      <xdr:colOff>872995</xdr:colOff>
      <xdr:row>19</xdr:row>
      <xdr:rowOff>152928</xdr:rowOff>
    </xdr:to>
    <xdr:cxnSp macro="">
      <xdr:nvCxnSpPr>
        <xdr:cNvPr id="66" name="꺾인 연결선 185">
          <a:extLst>
            <a:ext uri="{FF2B5EF4-FFF2-40B4-BE49-F238E27FC236}">
              <a16:creationId xmlns:a16="http://schemas.microsoft.com/office/drawing/2014/main" id="{00000000-0008-0000-1800-000042000000}"/>
            </a:ext>
          </a:extLst>
        </xdr:cNvPr>
        <xdr:cNvCxnSpPr/>
      </xdr:nvCxnSpPr>
      <xdr:spPr>
        <a:xfrm rot="10800000">
          <a:off x="6730672" y="6218312"/>
          <a:ext cx="319966" cy="3402"/>
        </a:xfrm>
        <a:prstGeom prst="bentConnector3">
          <a:avLst>
            <a:gd name="adj1" fmla="val 50000"/>
          </a:avLst>
        </a:prstGeom>
        <a:ln w="12700">
          <a:solidFill>
            <a:schemeClr val="accent3"/>
          </a:solidFill>
          <a:tailEnd type="triangle"/>
        </a:ln>
      </xdr:spPr>
      <xdr:style>
        <a:lnRef idx="2">
          <a:schemeClr val="accent4"/>
        </a:lnRef>
        <a:fillRef idx="0">
          <a:schemeClr val="accent4"/>
        </a:fillRef>
        <a:effectRef idx="1">
          <a:schemeClr val="accent4"/>
        </a:effectRef>
        <a:fontRef idx="minor">
          <a:schemeClr val="tx1"/>
        </a:fontRef>
      </xdr:style>
    </xdr:cxnSp>
    <xdr:clientData/>
  </xdr:twoCellAnchor>
  <xdr:twoCellAnchor>
    <xdr:from>
      <xdr:col>5</xdr:col>
      <xdr:colOff>546678</xdr:colOff>
      <xdr:row>21</xdr:row>
      <xdr:rowOff>71740</xdr:rowOff>
    </xdr:from>
    <xdr:to>
      <xdr:col>5</xdr:col>
      <xdr:colOff>866644</xdr:colOff>
      <xdr:row>21</xdr:row>
      <xdr:rowOff>75142</xdr:rowOff>
    </xdr:to>
    <xdr:cxnSp macro="">
      <xdr:nvCxnSpPr>
        <xdr:cNvPr id="67" name="꺾인 연결선 186">
          <a:extLst>
            <a:ext uri="{FF2B5EF4-FFF2-40B4-BE49-F238E27FC236}">
              <a16:creationId xmlns:a16="http://schemas.microsoft.com/office/drawing/2014/main" id="{00000000-0008-0000-1800-000043000000}"/>
            </a:ext>
          </a:extLst>
        </xdr:cNvPr>
        <xdr:cNvCxnSpPr/>
      </xdr:nvCxnSpPr>
      <xdr:spPr>
        <a:xfrm rot="10800000">
          <a:off x="6724321" y="6766454"/>
          <a:ext cx="319966" cy="3402"/>
        </a:xfrm>
        <a:prstGeom prst="bentConnector3">
          <a:avLst>
            <a:gd name="adj1" fmla="val 50000"/>
          </a:avLst>
        </a:prstGeom>
        <a:ln w="12700">
          <a:solidFill>
            <a:schemeClr val="accent3"/>
          </a:solidFill>
          <a:tailEnd type="triangle"/>
        </a:ln>
      </xdr:spPr>
      <xdr:style>
        <a:lnRef idx="2">
          <a:schemeClr val="accent4"/>
        </a:lnRef>
        <a:fillRef idx="0">
          <a:schemeClr val="accent4"/>
        </a:fillRef>
        <a:effectRef idx="1">
          <a:schemeClr val="accent4"/>
        </a:effectRef>
        <a:fontRef idx="minor">
          <a:schemeClr val="tx1"/>
        </a:fontRef>
      </xdr:style>
    </xdr:cxnSp>
    <xdr:clientData/>
  </xdr:twoCellAnchor>
  <xdr:twoCellAnchor>
    <xdr:from>
      <xdr:col>5</xdr:col>
      <xdr:colOff>532392</xdr:colOff>
      <xdr:row>23</xdr:row>
      <xdr:rowOff>17763</xdr:rowOff>
    </xdr:from>
    <xdr:to>
      <xdr:col>5</xdr:col>
      <xdr:colOff>852358</xdr:colOff>
      <xdr:row>23</xdr:row>
      <xdr:rowOff>21165</xdr:rowOff>
    </xdr:to>
    <xdr:cxnSp macro="">
      <xdr:nvCxnSpPr>
        <xdr:cNvPr id="68" name="꺾인 연결선 187">
          <a:extLst>
            <a:ext uri="{FF2B5EF4-FFF2-40B4-BE49-F238E27FC236}">
              <a16:creationId xmlns:a16="http://schemas.microsoft.com/office/drawing/2014/main" id="{00000000-0008-0000-1800-000044000000}"/>
            </a:ext>
          </a:extLst>
        </xdr:cNvPr>
        <xdr:cNvCxnSpPr/>
      </xdr:nvCxnSpPr>
      <xdr:spPr>
        <a:xfrm rot="10800000">
          <a:off x="6710035" y="7338406"/>
          <a:ext cx="319966" cy="3402"/>
        </a:xfrm>
        <a:prstGeom prst="bentConnector3">
          <a:avLst>
            <a:gd name="adj1" fmla="val 50000"/>
          </a:avLst>
        </a:prstGeom>
        <a:ln w="12700">
          <a:solidFill>
            <a:schemeClr val="accent3"/>
          </a:solidFill>
          <a:tailEnd type="triangle"/>
        </a:ln>
      </xdr:spPr>
      <xdr:style>
        <a:lnRef idx="2">
          <a:schemeClr val="accent4"/>
        </a:lnRef>
        <a:fillRef idx="0">
          <a:schemeClr val="accent4"/>
        </a:fillRef>
        <a:effectRef idx="1">
          <a:schemeClr val="accent4"/>
        </a:effectRef>
        <a:fontRef idx="minor">
          <a:schemeClr val="tx1"/>
        </a:fontRef>
      </xdr:style>
    </xdr:cxnSp>
    <xdr:clientData/>
  </xdr:twoCellAnchor>
  <xdr:twoCellAnchor>
    <xdr:from>
      <xdr:col>5</xdr:col>
      <xdr:colOff>553029</xdr:colOff>
      <xdr:row>16</xdr:row>
      <xdr:rowOff>86027</xdr:rowOff>
    </xdr:from>
    <xdr:to>
      <xdr:col>5</xdr:col>
      <xdr:colOff>872995</xdr:colOff>
      <xdr:row>16</xdr:row>
      <xdr:rowOff>89429</xdr:rowOff>
    </xdr:to>
    <xdr:cxnSp macro="">
      <xdr:nvCxnSpPr>
        <xdr:cNvPr id="69" name="꺾인 연결선 188">
          <a:extLst>
            <a:ext uri="{FF2B5EF4-FFF2-40B4-BE49-F238E27FC236}">
              <a16:creationId xmlns:a16="http://schemas.microsoft.com/office/drawing/2014/main" id="{00000000-0008-0000-1800-000045000000}"/>
            </a:ext>
          </a:extLst>
        </xdr:cNvPr>
        <xdr:cNvCxnSpPr/>
      </xdr:nvCxnSpPr>
      <xdr:spPr>
        <a:xfrm rot="10800000">
          <a:off x="6730672" y="5215920"/>
          <a:ext cx="319966" cy="3402"/>
        </a:xfrm>
        <a:prstGeom prst="bentConnector3">
          <a:avLst>
            <a:gd name="adj1" fmla="val 50000"/>
          </a:avLst>
        </a:prstGeom>
        <a:ln w="12700">
          <a:solidFill>
            <a:schemeClr val="accent3"/>
          </a:solidFill>
          <a:tailEnd type="triangle"/>
        </a:ln>
      </xdr:spPr>
      <xdr:style>
        <a:lnRef idx="2">
          <a:schemeClr val="accent4"/>
        </a:lnRef>
        <a:fillRef idx="0">
          <a:schemeClr val="accent4"/>
        </a:fillRef>
        <a:effectRef idx="1">
          <a:schemeClr val="accent4"/>
        </a:effectRef>
        <a:fontRef idx="minor">
          <a:schemeClr val="tx1"/>
        </a:fontRef>
      </xdr:style>
    </xdr:cxnSp>
    <xdr:clientData/>
  </xdr:twoCellAnchor>
  <xdr:twoCellAnchor>
    <xdr:from>
      <xdr:col>5</xdr:col>
      <xdr:colOff>554617</xdr:colOff>
      <xdr:row>14</xdr:row>
      <xdr:rowOff>188970</xdr:rowOff>
    </xdr:from>
    <xdr:to>
      <xdr:col>5</xdr:col>
      <xdr:colOff>874583</xdr:colOff>
      <xdr:row>14</xdr:row>
      <xdr:rowOff>192372</xdr:rowOff>
    </xdr:to>
    <xdr:cxnSp macro="">
      <xdr:nvCxnSpPr>
        <xdr:cNvPr id="70" name="꺾인 연결선 189">
          <a:extLst>
            <a:ext uri="{FF2B5EF4-FFF2-40B4-BE49-F238E27FC236}">
              <a16:creationId xmlns:a16="http://schemas.microsoft.com/office/drawing/2014/main" id="{00000000-0008-0000-1800-000046000000}"/>
            </a:ext>
          </a:extLst>
        </xdr:cNvPr>
        <xdr:cNvCxnSpPr/>
      </xdr:nvCxnSpPr>
      <xdr:spPr>
        <a:xfrm rot="10800000">
          <a:off x="6732260" y="4692934"/>
          <a:ext cx="319966" cy="3402"/>
        </a:xfrm>
        <a:prstGeom prst="bentConnector3">
          <a:avLst>
            <a:gd name="adj1" fmla="val 50000"/>
          </a:avLst>
        </a:prstGeom>
        <a:ln w="12700">
          <a:solidFill>
            <a:schemeClr val="accent3"/>
          </a:solidFill>
          <a:tailEnd type="triangle"/>
        </a:ln>
      </xdr:spPr>
      <xdr:style>
        <a:lnRef idx="2">
          <a:schemeClr val="accent4"/>
        </a:lnRef>
        <a:fillRef idx="0">
          <a:schemeClr val="accent4"/>
        </a:fillRef>
        <a:effectRef idx="1">
          <a:schemeClr val="accent4"/>
        </a:effectRef>
        <a:fontRef idx="minor">
          <a:schemeClr val="tx1"/>
        </a:fontRef>
      </xdr:style>
    </xdr:cxnSp>
    <xdr:clientData/>
  </xdr:twoCellAnchor>
  <xdr:twoCellAnchor>
    <xdr:from>
      <xdr:col>6</xdr:col>
      <xdr:colOff>294267</xdr:colOff>
      <xdr:row>11</xdr:row>
      <xdr:rowOff>99582</xdr:rowOff>
    </xdr:from>
    <xdr:to>
      <xdr:col>6</xdr:col>
      <xdr:colOff>614233</xdr:colOff>
      <xdr:row>11</xdr:row>
      <xdr:rowOff>102984</xdr:rowOff>
    </xdr:to>
    <xdr:cxnSp macro="">
      <xdr:nvCxnSpPr>
        <xdr:cNvPr id="71" name="꺾인 연결선 190">
          <a:extLst>
            <a:ext uri="{FF2B5EF4-FFF2-40B4-BE49-F238E27FC236}">
              <a16:creationId xmlns:a16="http://schemas.microsoft.com/office/drawing/2014/main" id="{00000000-0008-0000-1800-000047000000}"/>
            </a:ext>
          </a:extLst>
        </xdr:cNvPr>
        <xdr:cNvCxnSpPr/>
      </xdr:nvCxnSpPr>
      <xdr:spPr>
        <a:xfrm rot="10800000">
          <a:off x="7846231" y="3664653"/>
          <a:ext cx="319966" cy="3402"/>
        </a:xfrm>
        <a:prstGeom prst="bentConnector3">
          <a:avLst>
            <a:gd name="adj1" fmla="val 50000"/>
          </a:avLst>
        </a:prstGeom>
        <a:ln w="12700">
          <a:solidFill>
            <a:schemeClr val="accent3"/>
          </a:solidFill>
          <a:tailEnd type="triangle"/>
        </a:ln>
      </xdr:spPr>
      <xdr:style>
        <a:lnRef idx="2">
          <a:schemeClr val="accent4"/>
        </a:lnRef>
        <a:fillRef idx="0">
          <a:schemeClr val="accent4"/>
        </a:fillRef>
        <a:effectRef idx="1">
          <a:schemeClr val="accent4"/>
        </a:effectRef>
        <a:fontRef idx="minor">
          <a:schemeClr val="tx1"/>
        </a:fontRef>
      </xdr:style>
    </xdr:cxnSp>
    <xdr:clientData/>
  </xdr:twoCellAnchor>
  <xdr:twoCellAnchor>
    <xdr:from>
      <xdr:col>6</xdr:col>
      <xdr:colOff>224417</xdr:colOff>
      <xdr:row>24</xdr:row>
      <xdr:rowOff>148794</xdr:rowOff>
    </xdr:from>
    <xdr:to>
      <xdr:col>6</xdr:col>
      <xdr:colOff>544383</xdr:colOff>
      <xdr:row>24</xdr:row>
      <xdr:rowOff>152196</xdr:rowOff>
    </xdr:to>
    <xdr:cxnSp macro="">
      <xdr:nvCxnSpPr>
        <xdr:cNvPr id="72" name="꺾인 연결선 191">
          <a:extLst>
            <a:ext uri="{FF2B5EF4-FFF2-40B4-BE49-F238E27FC236}">
              <a16:creationId xmlns:a16="http://schemas.microsoft.com/office/drawing/2014/main" id="{00000000-0008-0000-1800-000048000000}"/>
            </a:ext>
          </a:extLst>
        </xdr:cNvPr>
        <xdr:cNvCxnSpPr/>
      </xdr:nvCxnSpPr>
      <xdr:spPr>
        <a:xfrm rot="10800000">
          <a:off x="7776381" y="7782401"/>
          <a:ext cx="319966" cy="3402"/>
        </a:xfrm>
        <a:prstGeom prst="bentConnector3">
          <a:avLst>
            <a:gd name="adj1" fmla="val 50000"/>
          </a:avLst>
        </a:prstGeom>
        <a:ln w="12700">
          <a:solidFill>
            <a:schemeClr val="accent3"/>
          </a:solidFill>
          <a:tailEnd type="triangle"/>
        </a:ln>
      </xdr:spPr>
      <xdr:style>
        <a:lnRef idx="2">
          <a:schemeClr val="accent4"/>
        </a:lnRef>
        <a:fillRef idx="0">
          <a:schemeClr val="accent4"/>
        </a:fillRef>
        <a:effectRef idx="1">
          <a:schemeClr val="accent4"/>
        </a:effectRef>
        <a:fontRef idx="minor">
          <a:schemeClr val="tx1"/>
        </a:fontRef>
      </xdr:style>
    </xdr:cxnSp>
    <xdr:clientData/>
  </xdr:twoCellAnchor>
  <xdr:twoCellAnchor>
    <xdr:from>
      <xdr:col>5</xdr:col>
      <xdr:colOff>761388</xdr:colOff>
      <xdr:row>18</xdr:row>
      <xdr:rowOff>74435</xdr:rowOff>
    </xdr:from>
    <xdr:to>
      <xdr:col>5</xdr:col>
      <xdr:colOff>1219203</xdr:colOff>
      <xdr:row>20</xdr:row>
      <xdr:rowOff>10021</xdr:rowOff>
    </xdr:to>
    <xdr:sp macro="" textlink="">
      <xdr:nvSpPr>
        <xdr:cNvPr id="73" name="TextBox 72">
          <a:extLst>
            <a:ext uri="{FF2B5EF4-FFF2-40B4-BE49-F238E27FC236}">
              <a16:creationId xmlns:a16="http://schemas.microsoft.com/office/drawing/2014/main" id="{00000000-0008-0000-1800-000049000000}"/>
            </a:ext>
          </a:extLst>
        </xdr:cNvPr>
        <xdr:cNvSpPr txBox="1"/>
      </xdr:nvSpPr>
      <xdr:spPr>
        <a:xfrm rot="16200000">
          <a:off x="6887181" y="5882106"/>
          <a:ext cx="561515" cy="457815"/>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ko-KR" altLang="en-US" sz="600"/>
            <a:t>단자대</a:t>
          </a:r>
          <a:endParaRPr lang="en-US" altLang="ko-KR" sz="600"/>
        </a:p>
        <a:p>
          <a:pPr algn="ctr"/>
          <a:r>
            <a:rPr lang="en-US" altLang="ko-KR" sz="600"/>
            <a:t>2</a:t>
          </a:r>
        </a:p>
      </xdr:txBody>
    </xdr:sp>
    <xdr:clientData/>
  </xdr:twoCellAnchor>
  <xdr:twoCellAnchor>
    <xdr:from>
      <xdr:col>5</xdr:col>
      <xdr:colOff>762378</xdr:colOff>
      <xdr:row>20</xdr:row>
      <xdr:rowOff>4205</xdr:rowOff>
    </xdr:from>
    <xdr:to>
      <xdr:col>5</xdr:col>
      <xdr:colOff>1219203</xdr:colOff>
      <xdr:row>21</xdr:row>
      <xdr:rowOff>148319</xdr:rowOff>
    </xdr:to>
    <xdr:sp macro="" textlink="">
      <xdr:nvSpPr>
        <xdr:cNvPr id="74" name="TextBox 73">
          <a:extLst>
            <a:ext uri="{FF2B5EF4-FFF2-40B4-BE49-F238E27FC236}">
              <a16:creationId xmlns:a16="http://schemas.microsoft.com/office/drawing/2014/main" id="{00000000-0008-0000-1800-00004A000000}"/>
            </a:ext>
          </a:extLst>
        </xdr:cNvPr>
        <xdr:cNvSpPr txBox="1"/>
      </xdr:nvSpPr>
      <xdr:spPr>
        <a:xfrm rot="16200000">
          <a:off x="6939895" y="6386081"/>
          <a:ext cx="457078" cy="456825"/>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en-US" altLang="ko-KR" sz="600"/>
            <a:t>IDF</a:t>
          </a:r>
        </a:p>
        <a:p>
          <a:pPr algn="ctr"/>
          <a:r>
            <a:rPr lang="en-US" altLang="ko-KR" sz="600"/>
            <a:t>(QDF)</a:t>
          </a:r>
        </a:p>
      </xdr:txBody>
    </xdr:sp>
    <xdr:clientData/>
  </xdr:twoCellAnchor>
  <xdr:twoCellAnchor>
    <xdr:from>
      <xdr:col>5</xdr:col>
      <xdr:colOff>758915</xdr:colOff>
      <xdr:row>21</xdr:row>
      <xdr:rowOff>144238</xdr:rowOff>
    </xdr:from>
    <xdr:to>
      <xdr:col>5</xdr:col>
      <xdr:colOff>1221930</xdr:colOff>
      <xdr:row>23</xdr:row>
      <xdr:rowOff>66308</xdr:rowOff>
    </xdr:to>
    <xdr:sp macro="" textlink="">
      <xdr:nvSpPr>
        <xdr:cNvPr id="75" name="TextBox 74">
          <a:extLst>
            <a:ext uri="{FF2B5EF4-FFF2-40B4-BE49-F238E27FC236}">
              <a16:creationId xmlns:a16="http://schemas.microsoft.com/office/drawing/2014/main" id="{00000000-0008-0000-1800-00004B000000}"/>
            </a:ext>
          </a:extLst>
        </xdr:cNvPr>
        <xdr:cNvSpPr txBox="1"/>
      </xdr:nvSpPr>
      <xdr:spPr>
        <a:xfrm rot="16200000">
          <a:off x="6894066" y="6881444"/>
          <a:ext cx="547999" cy="463015"/>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en-US" altLang="ko-KR" sz="600"/>
            <a:t>IDF</a:t>
          </a:r>
        </a:p>
        <a:p>
          <a:pPr algn="ctr"/>
          <a:r>
            <a:rPr lang="en-US" altLang="ko-KR" sz="600"/>
            <a:t>(QDF)</a:t>
          </a:r>
        </a:p>
      </xdr:txBody>
    </xdr:sp>
    <xdr:clientData/>
  </xdr:twoCellAnchor>
  <xdr:twoCellAnchor>
    <xdr:from>
      <xdr:col>6</xdr:col>
      <xdr:colOff>439887</xdr:colOff>
      <xdr:row>10</xdr:row>
      <xdr:rowOff>25978</xdr:rowOff>
    </xdr:from>
    <xdr:to>
      <xdr:col>6</xdr:col>
      <xdr:colOff>898820</xdr:colOff>
      <xdr:row>11</xdr:row>
      <xdr:rowOff>170093</xdr:rowOff>
    </xdr:to>
    <xdr:sp macro="" textlink="">
      <xdr:nvSpPr>
        <xdr:cNvPr id="76" name="TextBox 75">
          <a:extLst>
            <a:ext uri="{FF2B5EF4-FFF2-40B4-BE49-F238E27FC236}">
              <a16:creationId xmlns:a16="http://schemas.microsoft.com/office/drawing/2014/main" id="{00000000-0008-0000-1800-00004C000000}"/>
            </a:ext>
          </a:extLst>
        </xdr:cNvPr>
        <xdr:cNvSpPr txBox="1"/>
      </xdr:nvSpPr>
      <xdr:spPr>
        <a:xfrm rot="16200000">
          <a:off x="7992778" y="3277158"/>
          <a:ext cx="457079" cy="458933"/>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en-US" altLang="ko-KR" sz="600"/>
            <a:t>OFD</a:t>
          </a:r>
        </a:p>
      </xdr:txBody>
    </xdr:sp>
    <xdr:clientData/>
  </xdr:twoCellAnchor>
  <xdr:twoCellAnchor>
    <xdr:from>
      <xdr:col>5</xdr:col>
      <xdr:colOff>760274</xdr:colOff>
      <xdr:row>11</xdr:row>
      <xdr:rowOff>172815</xdr:rowOff>
    </xdr:from>
    <xdr:to>
      <xdr:col>5</xdr:col>
      <xdr:colOff>1223289</xdr:colOff>
      <xdr:row>13</xdr:row>
      <xdr:rowOff>94884</xdr:rowOff>
    </xdr:to>
    <xdr:sp macro="" textlink="">
      <xdr:nvSpPr>
        <xdr:cNvPr id="77" name="TextBox 76">
          <a:extLst>
            <a:ext uri="{FF2B5EF4-FFF2-40B4-BE49-F238E27FC236}">
              <a16:creationId xmlns:a16="http://schemas.microsoft.com/office/drawing/2014/main" id="{00000000-0008-0000-1800-00004D000000}"/>
            </a:ext>
          </a:extLst>
        </xdr:cNvPr>
        <xdr:cNvSpPr txBox="1"/>
      </xdr:nvSpPr>
      <xdr:spPr>
        <a:xfrm rot="16200000">
          <a:off x="6895426" y="3780377"/>
          <a:ext cx="547998" cy="463015"/>
        </a:xfrm>
        <a:prstGeom prst="rect">
          <a:avLst/>
        </a:prstGeom>
        <a:solidFill>
          <a:schemeClr val="accent6">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ko-KR" altLang="en-US" sz="600"/>
            <a:t>송광치</a:t>
          </a:r>
          <a:endParaRPr lang="en-US" altLang="ko-KR" sz="600"/>
        </a:p>
        <a:p>
          <a:pPr algn="ctr"/>
          <a:r>
            <a:rPr lang="en-US" altLang="ko-KR" sz="600"/>
            <a:t>(</a:t>
          </a:r>
          <a:r>
            <a:rPr lang="ko-KR" altLang="en-US" sz="600"/>
            <a:t>서안성</a:t>
          </a:r>
          <a:r>
            <a:rPr lang="en-US" altLang="ko-KR" sz="600"/>
            <a:t>)</a:t>
          </a:r>
        </a:p>
      </xdr:txBody>
    </xdr:sp>
    <xdr:clientData/>
  </xdr:twoCellAnchor>
  <xdr:twoCellAnchor>
    <xdr:from>
      <xdr:col>6</xdr:col>
      <xdr:colOff>433457</xdr:colOff>
      <xdr:row>23</xdr:row>
      <xdr:rowOff>63957</xdr:rowOff>
    </xdr:from>
    <xdr:to>
      <xdr:col>6</xdr:col>
      <xdr:colOff>898082</xdr:colOff>
      <xdr:row>25</xdr:row>
      <xdr:rowOff>499</xdr:rowOff>
    </xdr:to>
    <xdr:sp macro="" textlink="">
      <xdr:nvSpPr>
        <xdr:cNvPr id="78" name="TextBox 77">
          <a:extLst>
            <a:ext uri="{FF2B5EF4-FFF2-40B4-BE49-F238E27FC236}">
              <a16:creationId xmlns:a16="http://schemas.microsoft.com/office/drawing/2014/main" id="{00000000-0008-0000-1800-00004E000000}"/>
            </a:ext>
          </a:extLst>
        </xdr:cNvPr>
        <xdr:cNvSpPr txBox="1"/>
      </xdr:nvSpPr>
      <xdr:spPr>
        <a:xfrm rot="16200000">
          <a:off x="7936499" y="7433522"/>
          <a:ext cx="562470" cy="464625"/>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en-US" altLang="ko-KR" sz="600"/>
            <a:t>PITR</a:t>
          </a:r>
        </a:p>
        <a:p>
          <a:pPr algn="ctr"/>
          <a:r>
            <a:rPr lang="en-US" altLang="ko-KR" sz="600"/>
            <a:t>5000</a:t>
          </a:r>
        </a:p>
        <a:p>
          <a:pPr algn="ctr"/>
          <a:r>
            <a:rPr lang="en-US" altLang="ko-KR" sz="600"/>
            <a:t>(</a:t>
          </a:r>
          <a:r>
            <a:rPr lang="ko-KR" altLang="en-US" sz="600"/>
            <a:t>평택</a:t>
          </a:r>
          <a:r>
            <a:rPr lang="en-US" altLang="ko-KR" sz="600"/>
            <a:t>)</a:t>
          </a:r>
        </a:p>
      </xdr:txBody>
    </xdr:sp>
    <xdr:clientData/>
  </xdr:twoCellAnchor>
  <xdr:twoCellAnchor>
    <xdr:from>
      <xdr:col>5</xdr:col>
      <xdr:colOff>762999</xdr:colOff>
      <xdr:row>16</xdr:row>
      <xdr:rowOff>154209</xdr:rowOff>
    </xdr:from>
    <xdr:to>
      <xdr:col>5</xdr:col>
      <xdr:colOff>1219207</xdr:colOff>
      <xdr:row>18</xdr:row>
      <xdr:rowOff>76772</xdr:rowOff>
    </xdr:to>
    <xdr:sp macro="" textlink="">
      <xdr:nvSpPr>
        <xdr:cNvPr id="79" name="TextBox 78">
          <a:extLst>
            <a:ext uri="{FF2B5EF4-FFF2-40B4-BE49-F238E27FC236}">
              <a16:creationId xmlns:a16="http://schemas.microsoft.com/office/drawing/2014/main" id="{00000000-0008-0000-1800-00004F000000}"/>
            </a:ext>
          </a:extLst>
        </xdr:cNvPr>
        <xdr:cNvSpPr txBox="1"/>
      </xdr:nvSpPr>
      <xdr:spPr>
        <a:xfrm rot="16200000">
          <a:off x="6894500" y="5330244"/>
          <a:ext cx="548491" cy="456208"/>
        </a:xfrm>
        <a:prstGeom prst="rect">
          <a:avLst/>
        </a:prstGeom>
        <a:solidFill>
          <a:schemeClr val="accent6">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ko-KR" altLang="en-US" sz="600"/>
            <a:t>단자대</a:t>
          </a:r>
          <a:endParaRPr lang="en-US" altLang="ko-KR" sz="600"/>
        </a:p>
        <a:p>
          <a:pPr algn="ctr"/>
          <a:r>
            <a:rPr lang="en-US" altLang="ko-KR" sz="600"/>
            <a:t>1</a:t>
          </a:r>
        </a:p>
      </xdr:txBody>
    </xdr:sp>
    <xdr:clientData/>
  </xdr:twoCellAnchor>
  <xdr:twoCellAnchor>
    <xdr:from>
      <xdr:col>5</xdr:col>
      <xdr:colOff>758664</xdr:colOff>
      <xdr:row>13</xdr:row>
      <xdr:rowOff>92035</xdr:rowOff>
    </xdr:from>
    <xdr:to>
      <xdr:col>5</xdr:col>
      <xdr:colOff>1223289</xdr:colOff>
      <xdr:row>15</xdr:row>
      <xdr:rowOff>14106</xdr:rowOff>
    </xdr:to>
    <xdr:sp macro="" textlink="">
      <xdr:nvSpPr>
        <xdr:cNvPr id="80" name="TextBox 79">
          <a:extLst>
            <a:ext uri="{FF2B5EF4-FFF2-40B4-BE49-F238E27FC236}">
              <a16:creationId xmlns:a16="http://schemas.microsoft.com/office/drawing/2014/main" id="{00000000-0008-0000-1800-000050000000}"/>
            </a:ext>
          </a:extLst>
        </xdr:cNvPr>
        <xdr:cNvSpPr txBox="1"/>
      </xdr:nvSpPr>
      <xdr:spPr>
        <a:xfrm rot="16200000">
          <a:off x="6894620" y="4324722"/>
          <a:ext cx="548000" cy="464625"/>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ko-KR" altLang="en-US" sz="600"/>
            <a:t>송광치</a:t>
          </a:r>
          <a:endParaRPr lang="en-US" altLang="ko-KR" sz="600"/>
        </a:p>
        <a:p>
          <a:pPr algn="ctr"/>
          <a:r>
            <a:rPr lang="en-US" altLang="ko-KR" sz="600"/>
            <a:t>(</a:t>
          </a:r>
          <a:r>
            <a:rPr lang="ko-KR" altLang="en-US" sz="600"/>
            <a:t>평택</a:t>
          </a:r>
          <a:r>
            <a:rPr lang="en-US" altLang="ko-KR" sz="600"/>
            <a:t>)</a:t>
          </a:r>
        </a:p>
      </xdr:txBody>
    </xdr:sp>
    <xdr:clientData/>
  </xdr:twoCellAnchor>
  <xdr:twoCellAnchor>
    <xdr:from>
      <xdr:col>5</xdr:col>
      <xdr:colOff>759656</xdr:colOff>
      <xdr:row>15</xdr:row>
      <xdr:rowOff>15092</xdr:rowOff>
    </xdr:from>
    <xdr:to>
      <xdr:col>5</xdr:col>
      <xdr:colOff>1223289</xdr:colOff>
      <xdr:row>16</xdr:row>
      <xdr:rowOff>158264</xdr:rowOff>
    </xdr:to>
    <xdr:sp macro="" textlink="">
      <xdr:nvSpPr>
        <xdr:cNvPr id="81" name="TextBox 80">
          <a:extLst>
            <a:ext uri="{FF2B5EF4-FFF2-40B4-BE49-F238E27FC236}">
              <a16:creationId xmlns:a16="http://schemas.microsoft.com/office/drawing/2014/main" id="{00000000-0008-0000-1800-000051000000}"/>
            </a:ext>
          </a:extLst>
        </xdr:cNvPr>
        <xdr:cNvSpPr txBox="1"/>
      </xdr:nvSpPr>
      <xdr:spPr>
        <a:xfrm rot="16200000">
          <a:off x="6941048" y="4828272"/>
          <a:ext cx="456136" cy="463633"/>
        </a:xfrm>
        <a:prstGeom prst="rect">
          <a:avLst/>
        </a:prstGeom>
        <a:solidFill>
          <a:schemeClr val="accent6">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ko-KR" altLang="en-US" sz="600"/>
            <a:t>송광치</a:t>
          </a:r>
          <a:endParaRPr lang="en-US" altLang="ko-KR" sz="600"/>
        </a:p>
        <a:p>
          <a:pPr algn="ctr"/>
          <a:r>
            <a:rPr lang="ko-KR" altLang="en-US" sz="600"/>
            <a:t>확장</a:t>
          </a:r>
          <a:endParaRPr lang="en-US" altLang="ko-KR" sz="600"/>
        </a:p>
      </xdr:txBody>
    </xdr:sp>
    <xdr:clientData/>
  </xdr:twoCellAnchor>
  <xdr:twoCellAnchor>
    <xdr:from>
      <xdr:col>4</xdr:col>
      <xdr:colOff>421267</xdr:colOff>
      <xdr:row>19</xdr:row>
      <xdr:rowOff>172815</xdr:rowOff>
    </xdr:from>
    <xdr:to>
      <xdr:col>4</xdr:col>
      <xdr:colOff>741233</xdr:colOff>
      <xdr:row>19</xdr:row>
      <xdr:rowOff>176217</xdr:rowOff>
    </xdr:to>
    <xdr:cxnSp macro="">
      <xdr:nvCxnSpPr>
        <xdr:cNvPr id="82" name="꺾인 연결선 192">
          <a:extLst>
            <a:ext uri="{FF2B5EF4-FFF2-40B4-BE49-F238E27FC236}">
              <a16:creationId xmlns:a16="http://schemas.microsoft.com/office/drawing/2014/main" id="{00000000-0008-0000-1800-000052000000}"/>
            </a:ext>
          </a:extLst>
        </xdr:cNvPr>
        <xdr:cNvCxnSpPr/>
      </xdr:nvCxnSpPr>
      <xdr:spPr>
        <a:xfrm rot="10800000">
          <a:off x="5224588" y="6241601"/>
          <a:ext cx="319966" cy="3402"/>
        </a:xfrm>
        <a:prstGeom prst="bentConnector3">
          <a:avLst>
            <a:gd name="adj1" fmla="val 50000"/>
          </a:avLst>
        </a:prstGeom>
        <a:ln w="12700">
          <a:solidFill>
            <a:schemeClr val="accent3"/>
          </a:solidFill>
          <a:tailEnd type="triangle"/>
        </a:ln>
      </xdr:spPr>
      <xdr:style>
        <a:lnRef idx="2">
          <a:schemeClr val="accent4"/>
        </a:lnRef>
        <a:fillRef idx="0">
          <a:schemeClr val="accent4"/>
        </a:fillRef>
        <a:effectRef idx="1">
          <a:schemeClr val="accent4"/>
        </a:effectRef>
        <a:fontRef idx="minor">
          <a:schemeClr val="tx1"/>
        </a:fontRef>
      </xdr:style>
    </xdr:cxnSp>
    <xdr:clientData/>
  </xdr:twoCellAnchor>
  <xdr:twoCellAnchor>
    <xdr:from>
      <xdr:col>5</xdr:col>
      <xdr:colOff>757306</xdr:colOff>
      <xdr:row>23</xdr:row>
      <xdr:rowOff>63957</xdr:rowOff>
    </xdr:from>
    <xdr:to>
      <xdr:col>5</xdr:col>
      <xdr:colOff>1221931</xdr:colOff>
      <xdr:row>25</xdr:row>
      <xdr:rowOff>499</xdr:rowOff>
    </xdr:to>
    <xdr:sp macro="" textlink="">
      <xdr:nvSpPr>
        <xdr:cNvPr id="83" name="TextBox 82">
          <a:extLst>
            <a:ext uri="{FF2B5EF4-FFF2-40B4-BE49-F238E27FC236}">
              <a16:creationId xmlns:a16="http://schemas.microsoft.com/office/drawing/2014/main" id="{00000000-0008-0000-1800-000053000000}"/>
            </a:ext>
          </a:extLst>
        </xdr:cNvPr>
        <xdr:cNvSpPr txBox="1"/>
      </xdr:nvSpPr>
      <xdr:spPr>
        <a:xfrm rot="16200000">
          <a:off x="6886027" y="7433522"/>
          <a:ext cx="562470" cy="464625"/>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lIns="36000" tIns="36000" rIns="36000" bIns="36000" rtlCol="0" anchor="ctr"/>
        <a:lstStyle/>
        <a:p>
          <a:pPr algn="ctr"/>
          <a:r>
            <a:rPr lang="en-US" altLang="ko-KR" sz="600"/>
            <a:t>VDF</a:t>
          </a:r>
        </a:p>
      </xdr:txBody>
    </xdr:sp>
    <xdr:clientData/>
  </xdr:twoCellAnchor>
  <xdr:twoCellAnchor editAs="oneCell">
    <xdr:from>
      <xdr:col>13</xdr:col>
      <xdr:colOff>0</xdr:colOff>
      <xdr:row>1</xdr:row>
      <xdr:rowOff>0</xdr:rowOff>
    </xdr:from>
    <xdr:to>
      <xdr:col>23</xdr:col>
      <xdr:colOff>571500</xdr:colOff>
      <xdr:row>30</xdr:row>
      <xdr:rowOff>2766</xdr:rowOff>
    </xdr:to>
    <xdr:pic>
      <xdr:nvPicPr>
        <xdr:cNvPr id="85" name="그림 84">
          <a:extLst>
            <a:ext uri="{FF2B5EF4-FFF2-40B4-BE49-F238E27FC236}">
              <a16:creationId xmlns:a16="http://schemas.microsoft.com/office/drawing/2014/main" id="{00000000-0008-0000-1800-00005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90750" y="428625"/>
          <a:ext cx="7397750" cy="921026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22</xdr:col>
      <xdr:colOff>42058</xdr:colOff>
      <xdr:row>93</xdr:row>
      <xdr:rowOff>100015</xdr:rowOff>
    </xdr:from>
    <xdr:to>
      <xdr:col>29</xdr:col>
      <xdr:colOff>67799</xdr:colOff>
      <xdr:row>94</xdr:row>
      <xdr:rowOff>186416</xdr:rowOff>
    </xdr:to>
    <xdr:sp macro="" textlink="">
      <xdr:nvSpPr>
        <xdr:cNvPr id="1298" name="Text Box 103">
          <a:extLst>
            <a:ext uri="{FF2B5EF4-FFF2-40B4-BE49-F238E27FC236}">
              <a16:creationId xmlns:a16="http://schemas.microsoft.com/office/drawing/2014/main" id="{00000000-0008-0000-1900-000012050000}"/>
            </a:ext>
          </a:extLst>
        </xdr:cNvPr>
        <xdr:cNvSpPr txBox="1">
          <a:spLocks noChangeArrowheads="1"/>
        </xdr:cNvSpPr>
      </xdr:nvSpPr>
      <xdr:spPr bwMode="auto">
        <a:xfrm>
          <a:off x="5879522" y="19980051"/>
          <a:ext cx="1930741" cy="290508"/>
        </a:xfrm>
        <a:prstGeom prst="rect">
          <a:avLst/>
        </a:prstGeom>
        <a:noFill/>
        <a:ln w="12700">
          <a:noFill/>
          <a:miter lim="800000"/>
          <a:headEnd/>
          <a:tailEnd/>
        </a:ln>
        <a:effectLst/>
      </xdr:spPr>
      <xdr:txBody>
        <a:bodyPr vertOverflow="clip" wrap="square" lIns="91440" tIns="45720" rIns="91440" bIns="45720" anchor="ctr" anchorCtr="0" upright="1"/>
        <a:lstStyle/>
        <a:p>
          <a:pPr algn="ctr" rtl="0">
            <a:defRPr sz="1000"/>
          </a:pPr>
          <a:r>
            <a:rPr lang="en-US" altLang="ko-KR" sz="1800" b="1" i="0" u="none" strike="noStrike" baseline="0">
              <a:solidFill>
                <a:srgbClr val="000000"/>
              </a:solidFill>
              <a:latin typeface="굴림"/>
              <a:ea typeface="굴림"/>
            </a:rPr>
            <a:t>(</a:t>
          </a:r>
          <a:r>
            <a:rPr lang="ko-KR" altLang="en-US" sz="1800" b="1" i="0" u="none" strike="noStrike" baseline="0">
              <a:solidFill>
                <a:srgbClr val="000000"/>
              </a:solidFill>
              <a:latin typeface="굴림"/>
              <a:ea typeface="굴림"/>
            </a:rPr>
            <a:t>계전기실</a:t>
          </a:r>
          <a:r>
            <a:rPr lang="en-US" altLang="ko-KR" sz="1800" b="1" i="0" u="none" strike="noStrike" baseline="0">
              <a:solidFill>
                <a:srgbClr val="000000"/>
              </a:solidFill>
              <a:latin typeface="굴림"/>
              <a:ea typeface="굴림"/>
            </a:rPr>
            <a:t>)</a:t>
          </a:r>
          <a:endParaRPr lang="ko-KR" altLang="en-US" sz="1800" b="1" i="0" u="none" strike="noStrike" baseline="0">
            <a:solidFill>
              <a:srgbClr val="000000"/>
            </a:solidFill>
            <a:latin typeface="굴림"/>
            <a:ea typeface="굴림"/>
          </a:endParaRPr>
        </a:p>
      </xdr:txBody>
    </xdr:sp>
    <xdr:clientData/>
  </xdr:twoCellAnchor>
  <xdr:twoCellAnchor>
    <xdr:from>
      <xdr:col>12</xdr:col>
      <xdr:colOff>33061</xdr:colOff>
      <xdr:row>5</xdr:row>
      <xdr:rowOff>124788</xdr:rowOff>
    </xdr:from>
    <xdr:to>
      <xdr:col>20</xdr:col>
      <xdr:colOff>141239</xdr:colOff>
      <xdr:row>37</xdr:row>
      <xdr:rowOff>146641</xdr:rowOff>
    </xdr:to>
    <xdr:grpSp>
      <xdr:nvGrpSpPr>
        <xdr:cNvPr id="1318" name="그룹 1317">
          <a:extLst>
            <a:ext uri="{FF2B5EF4-FFF2-40B4-BE49-F238E27FC236}">
              <a16:creationId xmlns:a16="http://schemas.microsoft.com/office/drawing/2014/main" id="{00000000-0008-0000-1900-000026050000}"/>
            </a:ext>
          </a:extLst>
        </xdr:cNvPr>
        <xdr:cNvGrpSpPr/>
      </xdr:nvGrpSpPr>
      <xdr:grpSpPr>
        <a:xfrm>
          <a:off x="3114679" y="1335023"/>
          <a:ext cx="2259707" cy="7025530"/>
          <a:chOff x="3976464" y="1973388"/>
          <a:chExt cx="2787190" cy="7281675"/>
        </a:xfrm>
      </xdr:grpSpPr>
      <xdr:pic>
        <xdr:nvPicPr>
          <xdr:cNvPr id="1319" name="그림 1318">
            <a:extLst>
              <a:ext uri="{FF2B5EF4-FFF2-40B4-BE49-F238E27FC236}">
                <a16:creationId xmlns:a16="http://schemas.microsoft.com/office/drawing/2014/main" id="{00000000-0008-0000-1900-000027050000}"/>
              </a:ext>
            </a:extLst>
          </xdr:cNvPr>
          <xdr:cNvPicPr>
            <a:picLocks noChangeAspect="1"/>
          </xdr:cNvPicPr>
        </xdr:nvPicPr>
        <xdr:blipFill rotWithShape="1">
          <a:blip xmlns:r="http://schemas.openxmlformats.org/officeDocument/2006/relationships" r:embed="rId1" cstate="print">
            <a:grayscl/>
            <a:extLst>
              <a:ext uri="{28A0092B-C50C-407E-A947-70E740481C1C}">
                <a14:useLocalDpi xmlns:a14="http://schemas.microsoft.com/office/drawing/2010/main" val="0"/>
              </a:ext>
            </a:extLst>
          </a:blip>
          <a:srcRect t="14441"/>
          <a:stretch/>
        </xdr:blipFill>
        <xdr:spPr>
          <a:xfrm>
            <a:off x="3989650" y="3253943"/>
            <a:ext cx="2768685" cy="3020362"/>
          </a:xfrm>
          <a:prstGeom prst="rect">
            <a:avLst/>
          </a:prstGeom>
        </xdr:spPr>
      </xdr:pic>
      <xdr:pic>
        <xdr:nvPicPr>
          <xdr:cNvPr id="1320" name="그림 1319">
            <a:extLst>
              <a:ext uri="{FF2B5EF4-FFF2-40B4-BE49-F238E27FC236}">
                <a16:creationId xmlns:a16="http://schemas.microsoft.com/office/drawing/2014/main" id="{00000000-0008-0000-1900-00002805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8333" t="31729" r="38611" b="32319"/>
          <a:stretch/>
        </xdr:blipFill>
        <xdr:spPr>
          <a:xfrm>
            <a:off x="5500129" y="3663237"/>
            <a:ext cx="301727" cy="548449"/>
          </a:xfrm>
          <a:prstGeom prst="rect">
            <a:avLst/>
          </a:prstGeom>
        </xdr:spPr>
      </xdr:pic>
      <xdr:pic>
        <xdr:nvPicPr>
          <xdr:cNvPr id="1321" name="그림 1320">
            <a:extLst>
              <a:ext uri="{FF2B5EF4-FFF2-40B4-BE49-F238E27FC236}">
                <a16:creationId xmlns:a16="http://schemas.microsoft.com/office/drawing/2014/main" id="{00000000-0008-0000-1900-000029050000}"/>
              </a:ext>
            </a:extLst>
          </xdr:cNvPr>
          <xdr:cNvPicPr>
            <a:picLocks noChangeAspect="1"/>
          </xdr:cNvPicPr>
        </xdr:nvPicPr>
        <xdr:blipFill>
          <a:blip xmlns:r="http://schemas.openxmlformats.org/officeDocument/2006/relationships" r:embed="rId3"/>
          <a:stretch>
            <a:fillRect/>
          </a:stretch>
        </xdr:blipFill>
        <xdr:spPr>
          <a:xfrm>
            <a:off x="6194087" y="3544353"/>
            <a:ext cx="358519" cy="38514"/>
          </a:xfrm>
          <a:prstGeom prst="rect">
            <a:avLst/>
          </a:prstGeom>
        </xdr:spPr>
      </xdr:pic>
      <xdr:pic>
        <xdr:nvPicPr>
          <xdr:cNvPr id="1322" name="그림 1321">
            <a:extLst>
              <a:ext uri="{FF2B5EF4-FFF2-40B4-BE49-F238E27FC236}">
                <a16:creationId xmlns:a16="http://schemas.microsoft.com/office/drawing/2014/main" id="{00000000-0008-0000-1900-00002A050000}"/>
              </a:ext>
            </a:extLst>
          </xdr:cNvPr>
          <xdr:cNvPicPr>
            <a:picLocks noChangeAspect="1"/>
          </xdr:cNvPicPr>
        </xdr:nvPicPr>
        <xdr:blipFill>
          <a:blip xmlns:r="http://schemas.openxmlformats.org/officeDocument/2006/relationships" r:embed="rId3"/>
          <a:stretch>
            <a:fillRect/>
          </a:stretch>
        </xdr:blipFill>
        <xdr:spPr>
          <a:xfrm>
            <a:off x="6213314" y="5927893"/>
            <a:ext cx="358519" cy="38514"/>
          </a:xfrm>
          <a:prstGeom prst="rect">
            <a:avLst/>
          </a:prstGeom>
        </xdr:spPr>
      </xdr:pic>
      <xdr:pic>
        <xdr:nvPicPr>
          <xdr:cNvPr id="1323" name="그림 1322">
            <a:extLst>
              <a:ext uri="{FF2B5EF4-FFF2-40B4-BE49-F238E27FC236}">
                <a16:creationId xmlns:a16="http://schemas.microsoft.com/office/drawing/2014/main" id="{00000000-0008-0000-1900-00002B050000}"/>
              </a:ext>
            </a:extLst>
          </xdr:cNvPr>
          <xdr:cNvPicPr>
            <a:picLocks noChangeAspect="1"/>
          </xdr:cNvPicPr>
        </xdr:nvPicPr>
        <xdr:blipFill rotWithShape="1">
          <a:blip xmlns:r="http://schemas.openxmlformats.org/officeDocument/2006/relationships" r:embed="rId4" cstate="print">
            <a:grayscl/>
            <a:extLst>
              <a:ext uri="{28A0092B-C50C-407E-A947-70E740481C1C}">
                <a14:useLocalDpi xmlns:a14="http://schemas.microsoft.com/office/drawing/2010/main" val="0"/>
              </a:ext>
            </a:extLst>
          </a:blip>
          <a:srcRect l="54329" t="23243" r="34283" b="59665"/>
          <a:stretch/>
        </xdr:blipFill>
        <xdr:spPr>
          <a:xfrm>
            <a:off x="6101926" y="3660066"/>
            <a:ext cx="307761" cy="543551"/>
          </a:xfrm>
          <a:prstGeom prst="rect">
            <a:avLst/>
          </a:prstGeom>
        </xdr:spPr>
      </xdr:pic>
      <xdr:pic>
        <xdr:nvPicPr>
          <xdr:cNvPr id="1324" name="그림 1323">
            <a:extLst>
              <a:ext uri="{FF2B5EF4-FFF2-40B4-BE49-F238E27FC236}">
                <a16:creationId xmlns:a16="http://schemas.microsoft.com/office/drawing/2014/main" id="{00000000-0008-0000-1900-00002C050000}"/>
              </a:ext>
            </a:extLst>
          </xdr:cNvPr>
          <xdr:cNvPicPr>
            <a:picLocks noChangeAspect="1"/>
          </xdr:cNvPicPr>
        </xdr:nvPicPr>
        <xdr:blipFill rotWithShape="1">
          <a:blip xmlns:r="http://schemas.openxmlformats.org/officeDocument/2006/relationships" r:embed="rId5" cstate="print">
            <a:grayscl/>
            <a:extLst>
              <a:ext uri="{28A0092B-C50C-407E-A947-70E740481C1C}">
                <a14:useLocalDpi xmlns:a14="http://schemas.microsoft.com/office/drawing/2010/main" val="0"/>
              </a:ext>
            </a:extLst>
          </a:blip>
          <a:srcRect l="54329" t="23243" r="34283" b="59665"/>
          <a:stretch/>
        </xdr:blipFill>
        <xdr:spPr>
          <a:xfrm>
            <a:off x="6101926" y="4205345"/>
            <a:ext cx="307761" cy="551620"/>
          </a:xfrm>
          <a:prstGeom prst="rect">
            <a:avLst/>
          </a:prstGeom>
        </xdr:spPr>
      </xdr:pic>
      <xdr:pic>
        <xdr:nvPicPr>
          <xdr:cNvPr id="1325" name="그림 1324">
            <a:extLst>
              <a:ext uri="{FF2B5EF4-FFF2-40B4-BE49-F238E27FC236}">
                <a16:creationId xmlns:a16="http://schemas.microsoft.com/office/drawing/2014/main" id="{00000000-0008-0000-1900-00002D050000}"/>
              </a:ext>
            </a:extLst>
          </xdr:cNvPr>
          <xdr:cNvPicPr>
            <a:picLocks noChangeAspect="1"/>
          </xdr:cNvPicPr>
        </xdr:nvPicPr>
        <xdr:blipFill rotWithShape="1">
          <a:blip xmlns:r="http://schemas.openxmlformats.org/officeDocument/2006/relationships" r:embed="rId5" cstate="print">
            <a:grayscl/>
            <a:extLst>
              <a:ext uri="{28A0092B-C50C-407E-A947-70E740481C1C}">
                <a14:useLocalDpi xmlns:a14="http://schemas.microsoft.com/office/drawing/2010/main" val="0"/>
              </a:ext>
            </a:extLst>
          </a:blip>
          <a:srcRect l="54329" t="23243" r="34283" b="59665"/>
          <a:stretch/>
        </xdr:blipFill>
        <xdr:spPr>
          <a:xfrm>
            <a:off x="6098501" y="4757784"/>
            <a:ext cx="307761" cy="551620"/>
          </a:xfrm>
          <a:prstGeom prst="rect">
            <a:avLst/>
          </a:prstGeom>
        </xdr:spPr>
      </xdr:pic>
      <xdr:pic>
        <xdr:nvPicPr>
          <xdr:cNvPr id="1326" name="그림 1325">
            <a:extLst>
              <a:ext uri="{FF2B5EF4-FFF2-40B4-BE49-F238E27FC236}">
                <a16:creationId xmlns:a16="http://schemas.microsoft.com/office/drawing/2014/main" id="{00000000-0008-0000-1900-00002E050000}"/>
              </a:ext>
            </a:extLst>
          </xdr:cNvPr>
          <xdr:cNvPicPr>
            <a:picLocks noChangeAspect="1"/>
          </xdr:cNvPicPr>
        </xdr:nvPicPr>
        <xdr:blipFill rotWithShape="1">
          <a:blip xmlns:r="http://schemas.openxmlformats.org/officeDocument/2006/relationships" r:embed="rId5" cstate="print">
            <a:grayscl/>
            <a:extLst>
              <a:ext uri="{28A0092B-C50C-407E-A947-70E740481C1C}">
                <a14:useLocalDpi xmlns:a14="http://schemas.microsoft.com/office/drawing/2010/main" val="0"/>
              </a:ext>
            </a:extLst>
          </a:blip>
          <a:srcRect l="54329" t="23243" r="34283" b="59665"/>
          <a:stretch/>
        </xdr:blipFill>
        <xdr:spPr>
          <a:xfrm>
            <a:off x="6101926" y="5308585"/>
            <a:ext cx="307761" cy="551620"/>
          </a:xfrm>
          <a:prstGeom prst="rect">
            <a:avLst/>
          </a:prstGeom>
        </xdr:spPr>
      </xdr:pic>
      <xdr:pic>
        <xdr:nvPicPr>
          <xdr:cNvPr id="1327" name="그림 1326">
            <a:extLst>
              <a:ext uri="{FF2B5EF4-FFF2-40B4-BE49-F238E27FC236}">
                <a16:creationId xmlns:a16="http://schemas.microsoft.com/office/drawing/2014/main" id="{00000000-0008-0000-1900-00002F050000}"/>
              </a:ext>
            </a:extLst>
          </xdr:cNvPr>
          <xdr:cNvPicPr>
            <a:picLocks noChangeAspect="1"/>
          </xdr:cNvPicPr>
        </xdr:nvPicPr>
        <xdr:blipFill rotWithShape="1">
          <a:blip xmlns:r="http://schemas.openxmlformats.org/officeDocument/2006/relationships" r:embed="rId6" cstate="print">
            <a:grayscl/>
            <a:extLst>
              <a:ext uri="{28A0092B-C50C-407E-A947-70E740481C1C}">
                <a14:useLocalDpi xmlns:a14="http://schemas.microsoft.com/office/drawing/2010/main" val="0"/>
              </a:ext>
            </a:extLst>
          </a:blip>
          <a:srcRect l="65336" t="23243" r="23553" b="59665"/>
          <a:stretch/>
        </xdr:blipFill>
        <xdr:spPr>
          <a:xfrm>
            <a:off x="6399111" y="4215502"/>
            <a:ext cx="307632" cy="551620"/>
          </a:xfrm>
          <a:prstGeom prst="rect">
            <a:avLst/>
          </a:prstGeom>
        </xdr:spPr>
      </xdr:pic>
      <xdr:pic>
        <xdr:nvPicPr>
          <xdr:cNvPr id="1328" name="그림 1327">
            <a:extLst>
              <a:ext uri="{FF2B5EF4-FFF2-40B4-BE49-F238E27FC236}">
                <a16:creationId xmlns:a16="http://schemas.microsoft.com/office/drawing/2014/main" id="{00000000-0008-0000-1900-000030050000}"/>
              </a:ext>
            </a:extLst>
          </xdr:cNvPr>
          <xdr:cNvPicPr>
            <a:picLocks noChangeAspect="1"/>
          </xdr:cNvPicPr>
        </xdr:nvPicPr>
        <xdr:blipFill rotWithShape="1">
          <a:blip xmlns:r="http://schemas.openxmlformats.org/officeDocument/2006/relationships" r:embed="rId6" cstate="print">
            <a:grayscl/>
            <a:extLst>
              <a:ext uri="{28A0092B-C50C-407E-A947-70E740481C1C}">
                <a14:useLocalDpi xmlns:a14="http://schemas.microsoft.com/office/drawing/2010/main" val="0"/>
              </a:ext>
            </a:extLst>
          </a:blip>
          <a:srcRect l="65336" t="23243" r="23553" b="59665"/>
          <a:stretch/>
        </xdr:blipFill>
        <xdr:spPr>
          <a:xfrm>
            <a:off x="6399175" y="4764984"/>
            <a:ext cx="307632" cy="551620"/>
          </a:xfrm>
          <a:prstGeom prst="rect">
            <a:avLst/>
          </a:prstGeom>
        </xdr:spPr>
      </xdr:pic>
      <xdr:pic>
        <xdr:nvPicPr>
          <xdr:cNvPr id="1329" name="그림 1328">
            <a:extLst>
              <a:ext uri="{FF2B5EF4-FFF2-40B4-BE49-F238E27FC236}">
                <a16:creationId xmlns:a16="http://schemas.microsoft.com/office/drawing/2014/main" id="{00000000-0008-0000-1900-000031050000}"/>
              </a:ext>
            </a:extLst>
          </xdr:cNvPr>
          <xdr:cNvPicPr>
            <a:picLocks noChangeAspect="1"/>
          </xdr:cNvPicPr>
        </xdr:nvPicPr>
        <xdr:blipFill rotWithShape="1">
          <a:blip xmlns:r="http://schemas.openxmlformats.org/officeDocument/2006/relationships" r:embed="rId6" cstate="print">
            <a:grayscl/>
            <a:extLst>
              <a:ext uri="{28A0092B-C50C-407E-A947-70E740481C1C}">
                <a14:useLocalDpi xmlns:a14="http://schemas.microsoft.com/office/drawing/2010/main" val="0"/>
              </a:ext>
            </a:extLst>
          </a:blip>
          <a:srcRect l="65336" t="23243" r="23553" b="59665"/>
          <a:stretch/>
        </xdr:blipFill>
        <xdr:spPr>
          <a:xfrm>
            <a:off x="6404302" y="5308209"/>
            <a:ext cx="307632" cy="551620"/>
          </a:xfrm>
          <a:prstGeom prst="rect">
            <a:avLst/>
          </a:prstGeom>
        </xdr:spPr>
      </xdr:pic>
      <xdr:pic>
        <xdr:nvPicPr>
          <xdr:cNvPr id="1330" name="그림 1329">
            <a:extLst>
              <a:ext uri="{FF2B5EF4-FFF2-40B4-BE49-F238E27FC236}">
                <a16:creationId xmlns:a16="http://schemas.microsoft.com/office/drawing/2014/main" id="{00000000-0008-0000-1900-000032050000}"/>
              </a:ext>
            </a:extLst>
          </xdr:cNvPr>
          <xdr:cNvPicPr>
            <a:picLocks noChangeAspect="1"/>
          </xdr:cNvPicPr>
        </xdr:nvPicPr>
        <xdr:blipFill rotWithShape="1">
          <a:blip xmlns:r="http://schemas.openxmlformats.org/officeDocument/2006/relationships" r:embed="rId5" cstate="print">
            <a:grayscl/>
            <a:extLst>
              <a:ext uri="{28A0092B-C50C-407E-A947-70E740481C1C}">
                <a14:useLocalDpi xmlns:a14="http://schemas.microsoft.com/office/drawing/2010/main" val="0"/>
              </a:ext>
            </a:extLst>
          </a:blip>
          <a:srcRect l="54329" t="23243" r="34283" b="59665"/>
          <a:stretch/>
        </xdr:blipFill>
        <xdr:spPr>
          <a:xfrm>
            <a:off x="5496917" y="3655839"/>
            <a:ext cx="307761" cy="551620"/>
          </a:xfrm>
          <a:prstGeom prst="rect">
            <a:avLst/>
          </a:prstGeom>
        </xdr:spPr>
      </xdr:pic>
      <xdr:pic>
        <xdr:nvPicPr>
          <xdr:cNvPr id="1331" name="그림 1330">
            <a:extLst>
              <a:ext uri="{FF2B5EF4-FFF2-40B4-BE49-F238E27FC236}">
                <a16:creationId xmlns:a16="http://schemas.microsoft.com/office/drawing/2014/main" id="{00000000-0008-0000-1900-000033050000}"/>
              </a:ext>
            </a:extLst>
          </xdr:cNvPr>
          <xdr:cNvPicPr>
            <a:picLocks noChangeAspect="1"/>
          </xdr:cNvPicPr>
        </xdr:nvPicPr>
        <xdr:blipFill rotWithShape="1">
          <a:blip xmlns:r="http://schemas.openxmlformats.org/officeDocument/2006/relationships" r:embed="rId5" cstate="print">
            <a:grayscl/>
            <a:extLst>
              <a:ext uri="{28A0092B-C50C-407E-A947-70E740481C1C}">
                <a14:useLocalDpi xmlns:a14="http://schemas.microsoft.com/office/drawing/2010/main" val="0"/>
              </a:ext>
            </a:extLst>
          </a:blip>
          <a:srcRect l="54329" t="23243" r="34283" b="59665"/>
          <a:stretch/>
        </xdr:blipFill>
        <xdr:spPr>
          <a:xfrm>
            <a:off x="5496917" y="4205345"/>
            <a:ext cx="307761" cy="551620"/>
          </a:xfrm>
          <a:prstGeom prst="rect">
            <a:avLst/>
          </a:prstGeom>
        </xdr:spPr>
      </xdr:pic>
      <xdr:pic>
        <xdr:nvPicPr>
          <xdr:cNvPr id="1332" name="그림 1331">
            <a:extLst>
              <a:ext uri="{FF2B5EF4-FFF2-40B4-BE49-F238E27FC236}">
                <a16:creationId xmlns:a16="http://schemas.microsoft.com/office/drawing/2014/main" id="{00000000-0008-0000-1900-000034050000}"/>
              </a:ext>
            </a:extLst>
          </xdr:cNvPr>
          <xdr:cNvPicPr>
            <a:picLocks noChangeAspect="1"/>
          </xdr:cNvPicPr>
        </xdr:nvPicPr>
        <xdr:blipFill rotWithShape="1">
          <a:blip xmlns:r="http://schemas.openxmlformats.org/officeDocument/2006/relationships" r:embed="rId5" cstate="print">
            <a:grayscl/>
            <a:extLst>
              <a:ext uri="{28A0092B-C50C-407E-A947-70E740481C1C}">
                <a14:useLocalDpi xmlns:a14="http://schemas.microsoft.com/office/drawing/2010/main" val="0"/>
              </a:ext>
            </a:extLst>
          </a:blip>
          <a:srcRect l="54329" t="23243" r="34283" b="59665"/>
          <a:stretch/>
        </xdr:blipFill>
        <xdr:spPr>
          <a:xfrm>
            <a:off x="5493493" y="4749331"/>
            <a:ext cx="307761" cy="551620"/>
          </a:xfrm>
          <a:prstGeom prst="rect">
            <a:avLst/>
          </a:prstGeom>
        </xdr:spPr>
      </xdr:pic>
      <xdr:pic>
        <xdr:nvPicPr>
          <xdr:cNvPr id="1333" name="그림 1332">
            <a:extLst>
              <a:ext uri="{FF2B5EF4-FFF2-40B4-BE49-F238E27FC236}">
                <a16:creationId xmlns:a16="http://schemas.microsoft.com/office/drawing/2014/main" id="{00000000-0008-0000-1900-000035050000}"/>
              </a:ext>
            </a:extLst>
          </xdr:cNvPr>
          <xdr:cNvPicPr>
            <a:picLocks noChangeAspect="1"/>
          </xdr:cNvPicPr>
        </xdr:nvPicPr>
        <xdr:blipFill rotWithShape="1">
          <a:blip xmlns:r="http://schemas.openxmlformats.org/officeDocument/2006/relationships" r:embed="rId5" cstate="print">
            <a:grayscl/>
            <a:extLst>
              <a:ext uri="{28A0092B-C50C-407E-A947-70E740481C1C}">
                <a14:useLocalDpi xmlns:a14="http://schemas.microsoft.com/office/drawing/2010/main" val="0"/>
              </a:ext>
            </a:extLst>
          </a:blip>
          <a:srcRect l="54329" t="23243" r="34283" b="59665"/>
          <a:stretch/>
        </xdr:blipFill>
        <xdr:spPr>
          <a:xfrm>
            <a:off x="5496916" y="5304357"/>
            <a:ext cx="307760" cy="551620"/>
          </a:xfrm>
          <a:prstGeom prst="rect">
            <a:avLst/>
          </a:prstGeom>
        </xdr:spPr>
      </xdr:pic>
      <xdr:pic>
        <xdr:nvPicPr>
          <xdr:cNvPr id="1334" name="그림 1333">
            <a:extLst>
              <a:ext uri="{FF2B5EF4-FFF2-40B4-BE49-F238E27FC236}">
                <a16:creationId xmlns:a16="http://schemas.microsoft.com/office/drawing/2014/main" id="{00000000-0008-0000-1900-000036050000}"/>
              </a:ext>
            </a:extLst>
          </xdr:cNvPr>
          <xdr:cNvPicPr>
            <a:picLocks noChangeAspect="1"/>
          </xdr:cNvPicPr>
        </xdr:nvPicPr>
        <xdr:blipFill rotWithShape="1">
          <a:blip xmlns:r="http://schemas.openxmlformats.org/officeDocument/2006/relationships" r:embed="rId7" cstate="print">
            <a:grayscl/>
            <a:extLst>
              <a:ext uri="{28A0092B-C50C-407E-A947-70E740481C1C}">
                <a14:useLocalDpi xmlns:a14="http://schemas.microsoft.com/office/drawing/2010/main" val="0"/>
              </a:ext>
            </a:extLst>
          </a:blip>
          <a:srcRect l="65336" t="23243" r="23553" b="59665"/>
          <a:stretch/>
        </xdr:blipFill>
        <xdr:spPr>
          <a:xfrm>
            <a:off x="5794102" y="4208702"/>
            <a:ext cx="307632" cy="545740"/>
          </a:xfrm>
          <a:prstGeom prst="rect">
            <a:avLst/>
          </a:prstGeom>
        </xdr:spPr>
      </xdr:pic>
      <xdr:pic>
        <xdr:nvPicPr>
          <xdr:cNvPr id="1335" name="그림 1334">
            <a:extLst>
              <a:ext uri="{FF2B5EF4-FFF2-40B4-BE49-F238E27FC236}">
                <a16:creationId xmlns:a16="http://schemas.microsoft.com/office/drawing/2014/main" id="{00000000-0008-0000-1900-000037050000}"/>
              </a:ext>
            </a:extLst>
          </xdr:cNvPr>
          <xdr:cNvPicPr>
            <a:picLocks noChangeAspect="1"/>
          </xdr:cNvPicPr>
        </xdr:nvPicPr>
        <xdr:blipFill rotWithShape="1">
          <a:blip xmlns:r="http://schemas.openxmlformats.org/officeDocument/2006/relationships" r:embed="rId6" cstate="print">
            <a:grayscl/>
            <a:extLst>
              <a:ext uri="{28A0092B-C50C-407E-A947-70E740481C1C}">
                <a14:useLocalDpi xmlns:a14="http://schemas.microsoft.com/office/drawing/2010/main" val="0"/>
              </a:ext>
            </a:extLst>
          </a:blip>
          <a:srcRect l="65336" t="23243" r="23553" b="59665"/>
          <a:stretch/>
        </xdr:blipFill>
        <xdr:spPr>
          <a:xfrm>
            <a:off x="5794166" y="4752303"/>
            <a:ext cx="307632" cy="551620"/>
          </a:xfrm>
          <a:prstGeom prst="rect">
            <a:avLst/>
          </a:prstGeom>
        </xdr:spPr>
      </xdr:pic>
      <xdr:pic>
        <xdr:nvPicPr>
          <xdr:cNvPr id="1336" name="그림 1335">
            <a:extLst>
              <a:ext uri="{FF2B5EF4-FFF2-40B4-BE49-F238E27FC236}">
                <a16:creationId xmlns:a16="http://schemas.microsoft.com/office/drawing/2014/main" id="{00000000-0008-0000-1900-000038050000}"/>
              </a:ext>
            </a:extLst>
          </xdr:cNvPr>
          <xdr:cNvPicPr>
            <a:picLocks noChangeAspect="1"/>
          </xdr:cNvPicPr>
        </xdr:nvPicPr>
        <xdr:blipFill rotWithShape="1">
          <a:blip xmlns:r="http://schemas.openxmlformats.org/officeDocument/2006/relationships" r:embed="rId6" cstate="print">
            <a:grayscl/>
            <a:extLst>
              <a:ext uri="{28A0092B-C50C-407E-A947-70E740481C1C}">
                <a14:useLocalDpi xmlns:a14="http://schemas.microsoft.com/office/drawing/2010/main" val="0"/>
              </a:ext>
            </a:extLst>
          </a:blip>
          <a:srcRect l="65336" t="23243" r="23553" b="59665"/>
          <a:stretch/>
        </xdr:blipFill>
        <xdr:spPr>
          <a:xfrm>
            <a:off x="5799293" y="5306035"/>
            <a:ext cx="307632" cy="551620"/>
          </a:xfrm>
          <a:prstGeom prst="rect">
            <a:avLst/>
          </a:prstGeom>
        </xdr:spPr>
      </xdr:pic>
      <xdr:pic>
        <xdr:nvPicPr>
          <xdr:cNvPr id="1337" name="그림 1336">
            <a:extLst>
              <a:ext uri="{FF2B5EF4-FFF2-40B4-BE49-F238E27FC236}">
                <a16:creationId xmlns:a16="http://schemas.microsoft.com/office/drawing/2014/main" id="{00000000-0008-0000-1900-000039050000}"/>
              </a:ext>
            </a:extLst>
          </xdr:cNvPr>
          <xdr:cNvPicPr>
            <a:picLocks noChangeAspect="1"/>
          </xdr:cNvPicPr>
        </xdr:nvPicPr>
        <xdr:blipFill rotWithShape="1">
          <a:blip xmlns:r="http://schemas.openxmlformats.org/officeDocument/2006/relationships" r:embed="rId8" cstate="print">
            <a:grayscl/>
            <a:extLst>
              <a:ext uri="{28A0092B-C50C-407E-A947-70E740481C1C}">
                <a14:useLocalDpi xmlns:a14="http://schemas.microsoft.com/office/drawing/2010/main" val="0"/>
              </a:ext>
            </a:extLst>
          </a:blip>
          <a:srcRect l="76170" t="23243" r="12616" b="59665"/>
          <a:stretch/>
        </xdr:blipFill>
        <xdr:spPr>
          <a:xfrm>
            <a:off x="5797861" y="3652431"/>
            <a:ext cx="310496" cy="558843"/>
          </a:xfrm>
          <a:prstGeom prst="rect">
            <a:avLst/>
          </a:prstGeom>
        </xdr:spPr>
      </xdr:pic>
      <xdr:pic>
        <xdr:nvPicPr>
          <xdr:cNvPr id="1338" name="그림 1337">
            <a:extLst>
              <a:ext uri="{FF2B5EF4-FFF2-40B4-BE49-F238E27FC236}">
                <a16:creationId xmlns:a16="http://schemas.microsoft.com/office/drawing/2014/main" id="{00000000-0008-0000-1900-00003A050000}"/>
              </a:ext>
            </a:extLst>
          </xdr:cNvPr>
          <xdr:cNvPicPr>
            <a:picLocks noChangeAspect="1"/>
          </xdr:cNvPicPr>
        </xdr:nvPicPr>
        <xdr:blipFill rotWithShape="1">
          <a:blip xmlns:r="http://schemas.openxmlformats.org/officeDocument/2006/relationships" r:embed="rId9" cstate="print">
            <a:grayscl/>
            <a:extLst>
              <a:ext uri="{BEBA8EAE-BF5A-486C-A8C5-ECC9F3942E4B}">
                <a14:imgProps xmlns:a14="http://schemas.microsoft.com/office/drawing/2010/main">
                  <a14:imgLayer r:embed="rId10">
                    <a14:imgEffect>
                      <a14:colorTemperature colorTemp="8800"/>
                    </a14:imgEffect>
                  </a14:imgLayer>
                </a14:imgProps>
              </a:ext>
              <a:ext uri="{28A0092B-C50C-407E-A947-70E740481C1C}">
                <a14:useLocalDpi xmlns:a14="http://schemas.microsoft.com/office/drawing/2010/main" val="0"/>
              </a:ext>
            </a:extLst>
          </a:blip>
          <a:srcRect l="208" t="35462" r="347" b="35986"/>
          <a:stretch/>
        </xdr:blipFill>
        <xdr:spPr>
          <a:xfrm rot="10800000">
            <a:off x="3976464" y="1973388"/>
            <a:ext cx="2781868" cy="490458"/>
          </a:xfrm>
          <a:prstGeom prst="rect">
            <a:avLst/>
          </a:prstGeom>
        </xdr:spPr>
      </xdr:pic>
      <xdr:pic>
        <xdr:nvPicPr>
          <xdr:cNvPr id="1339" name="그림 1338">
            <a:extLst>
              <a:ext uri="{FF2B5EF4-FFF2-40B4-BE49-F238E27FC236}">
                <a16:creationId xmlns:a16="http://schemas.microsoft.com/office/drawing/2014/main" id="{00000000-0008-0000-1900-00003B050000}"/>
              </a:ext>
            </a:extLst>
          </xdr:cNvPr>
          <xdr:cNvPicPr>
            <a:picLocks noChangeAspect="1"/>
          </xdr:cNvPicPr>
        </xdr:nvPicPr>
        <xdr:blipFill rotWithShape="1">
          <a:blip xmlns:r="http://schemas.openxmlformats.org/officeDocument/2006/relationships" r:embed="rId11" cstate="print">
            <a:grayscl/>
            <a:extLst>
              <a:ext uri="{BEBA8EAE-BF5A-486C-A8C5-ECC9F3942E4B}">
                <a14:imgProps xmlns:a14="http://schemas.microsoft.com/office/drawing/2010/main">
                  <a14:imgLayer r:embed="rId12">
                    <a14:imgEffect>
                      <a14:colorTemperature colorTemp="8800"/>
                    </a14:imgEffect>
                  </a14:imgLayer>
                </a14:imgProps>
              </a:ext>
              <a:ext uri="{28A0092B-C50C-407E-A947-70E740481C1C}">
                <a14:useLocalDpi xmlns:a14="http://schemas.microsoft.com/office/drawing/2010/main" val="0"/>
              </a:ext>
            </a:extLst>
          </a:blip>
          <a:srcRect l="208" t="35593" r="417" b="35724"/>
          <a:stretch/>
        </xdr:blipFill>
        <xdr:spPr>
          <a:xfrm rot="10800000">
            <a:off x="3976464" y="2648425"/>
            <a:ext cx="2787190" cy="496350"/>
          </a:xfrm>
          <a:prstGeom prst="rect">
            <a:avLst/>
          </a:prstGeom>
        </xdr:spPr>
      </xdr:pic>
      <xdr:pic>
        <xdr:nvPicPr>
          <xdr:cNvPr id="1340" name="그림 1339">
            <a:extLst>
              <a:ext uri="{FF2B5EF4-FFF2-40B4-BE49-F238E27FC236}">
                <a16:creationId xmlns:a16="http://schemas.microsoft.com/office/drawing/2014/main" id="{00000000-0008-0000-1900-00003C050000}"/>
              </a:ext>
            </a:extLst>
          </xdr:cNvPr>
          <xdr:cNvPicPr>
            <a:picLocks noChangeAspect="1"/>
          </xdr:cNvPicPr>
        </xdr:nvPicPr>
        <xdr:blipFill rotWithShape="1">
          <a:blip xmlns:r="http://schemas.openxmlformats.org/officeDocument/2006/relationships" r:embed="rId13" cstate="print">
            <a:grayscl/>
            <a:extLst>
              <a:ext uri="{28A0092B-C50C-407E-A947-70E740481C1C}">
                <a14:useLocalDpi xmlns:a14="http://schemas.microsoft.com/office/drawing/2010/main" val="0"/>
              </a:ext>
            </a:extLst>
          </a:blip>
          <a:srcRect t="14526"/>
          <a:stretch/>
        </xdr:blipFill>
        <xdr:spPr>
          <a:xfrm>
            <a:off x="3982502" y="6417164"/>
            <a:ext cx="2774560" cy="2837899"/>
          </a:xfrm>
          <a:prstGeom prst="rect">
            <a:avLst/>
          </a:prstGeom>
        </xdr:spPr>
      </xdr:pic>
      <xdr:pic>
        <xdr:nvPicPr>
          <xdr:cNvPr id="1341" name="그림 1340">
            <a:extLst>
              <a:ext uri="{FF2B5EF4-FFF2-40B4-BE49-F238E27FC236}">
                <a16:creationId xmlns:a16="http://schemas.microsoft.com/office/drawing/2014/main" id="{00000000-0008-0000-1900-00003D050000}"/>
              </a:ext>
            </a:extLst>
          </xdr:cNvPr>
          <xdr:cNvPicPr>
            <a:picLocks noChangeAspect="1"/>
          </xdr:cNvPicPr>
        </xdr:nvPicPr>
        <xdr:blipFill>
          <a:blip xmlns:r="http://schemas.openxmlformats.org/officeDocument/2006/relationships" r:embed="rId3"/>
          <a:stretch>
            <a:fillRect/>
          </a:stretch>
        </xdr:blipFill>
        <xdr:spPr>
          <a:xfrm>
            <a:off x="6194086" y="6546572"/>
            <a:ext cx="358519" cy="38514"/>
          </a:xfrm>
          <a:prstGeom prst="rect">
            <a:avLst/>
          </a:prstGeom>
        </xdr:spPr>
      </xdr:pic>
      <xdr:pic>
        <xdr:nvPicPr>
          <xdr:cNvPr id="1342" name="그림 1341">
            <a:extLst>
              <a:ext uri="{FF2B5EF4-FFF2-40B4-BE49-F238E27FC236}">
                <a16:creationId xmlns:a16="http://schemas.microsoft.com/office/drawing/2014/main" id="{00000000-0008-0000-1900-00003E050000}"/>
              </a:ext>
            </a:extLst>
          </xdr:cNvPr>
          <xdr:cNvPicPr>
            <a:picLocks noChangeAspect="1"/>
          </xdr:cNvPicPr>
        </xdr:nvPicPr>
        <xdr:blipFill>
          <a:blip xmlns:r="http://schemas.openxmlformats.org/officeDocument/2006/relationships" r:embed="rId3"/>
          <a:stretch>
            <a:fillRect/>
          </a:stretch>
        </xdr:blipFill>
        <xdr:spPr>
          <a:xfrm>
            <a:off x="6227731" y="8944283"/>
            <a:ext cx="358519" cy="38514"/>
          </a:xfrm>
          <a:prstGeom prst="rect">
            <a:avLst/>
          </a:prstGeom>
        </xdr:spPr>
      </xdr:pic>
    </xdr:grpSp>
    <xdr:clientData/>
  </xdr:twoCellAnchor>
  <xdr:twoCellAnchor>
    <xdr:from>
      <xdr:col>11</xdr:col>
      <xdr:colOff>180295</xdr:colOff>
      <xdr:row>5</xdr:row>
      <xdr:rowOff>13607</xdr:rowOff>
    </xdr:from>
    <xdr:to>
      <xdr:col>20</xdr:col>
      <xdr:colOff>240960</xdr:colOff>
      <xdr:row>42</xdr:row>
      <xdr:rowOff>44644</xdr:rowOff>
    </xdr:to>
    <xdr:sp macro="" textlink="">
      <xdr:nvSpPr>
        <xdr:cNvPr id="1343" name="직사각형 1342">
          <a:extLst>
            <a:ext uri="{FF2B5EF4-FFF2-40B4-BE49-F238E27FC236}">
              <a16:creationId xmlns:a16="http://schemas.microsoft.com/office/drawing/2014/main" id="{00000000-0008-0000-1900-00003F050000}"/>
            </a:ext>
          </a:extLst>
        </xdr:cNvPr>
        <xdr:cNvSpPr/>
      </xdr:nvSpPr>
      <xdr:spPr>
        <a:xfrm>
          <a:off x="3024188" y="1183821"/>
          <a:ext cx="2509951" cy="7583002"/>
        </a:xfrm>
        <a:prstGeom prst="rect">
          <a:avLst/>
        </a:prstGeom>
        <a:noFill/>
        <a:ln w="762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ko-KR" altLang="en-US" sz="1600">
            <a:ln w="57150">
              <a:solidFill>
                <a:schemeClr val="bg1"/>
              </a:solidFill>
            </a:ln>
            <a:solidFill>
              <a:schemeClr val="bg2">
                <a:lumMod val="50000"/>
              </a:schemeClr>
            </a:solidFill>
          </a:endParaRPr>
        </a:p>
      </xdr:txBody>
    </xdr:sp>
    <xdr:clientData/>
  </xdr:twoCellAnchor>
  <xdr:twoCellAnchor editAs="oneCell">
    <xdr:from>
      <xdr:col>12</xdr:col>
      <xdr:colOff>33061</xdr:colOff>
      <xdr:row>37</xdr:row>
      <xdr:rowOff>190730</xdr:rowOff>
    </xdr:from>
    <xdr:to>
      <xdr:col>20</xdr:col>
      <xdr:colOff>128963</xdr:colOff>
      <xdr:row>39</xdr:row>
      <xdr:rowOff>13656</xdr:rowOff>
    </xdr:to>
    <xdr:pic>
      <xdr:nvPicPr>
        <xdr:cNvPr id="1344" name="그림 1343">
          <a:extLst>
            <a:ext uri="{FF2B5EF4-FFF2-40B4-BE49-F238E27FC236}">
              <a16:creationId xmlns:a16="http://schemas.microsoft.com/office/drawing/2014/main" id="{00000000-0008-0000-1900-000040050000}"/>
            </a:ext>
          </a:extLst>
        </xdr:cNvPr>
        <xdr:cNvPicPr>
          <a:picLocks noChangeAspect="1"/>
        </xdr:cNvPicPr>
      </xdr:nvPicPr>
      <xdr:blipFill>
        <a:blip xmlns:r="http://schemas.openxmlformats.org/officeDocument/2006/relationships" r:embed="rId14"/>
        <a:stretch>
          <a:fillRect/>
        </a:stretch>
      </xdr:blipFill>
      <xdr:spPr>
        <a:xfrm>
          <a:off x="3149097" y="7892373"/>
          <a:ext cx="2273045" cy="231140"/>
        </a:xfrm>
        <a:prstGeom prst="rect">
          <a:avLst/>
        </a:prstGeom>
        <a:ln>
          <a:solidFill>
            <a:schemeClr val="tx1"/>
          </a:solidFill>
        </a:ln>
      </xdr:spPr>
    </xdr:pic>
    <xdr:clientData/>
  </xdr:twoCellAnchor>
  <xdr:twoCellAnchor>
    <xdr:from>
      <xdr:col>19</xdr:col>
      <xdr:colOff>173562</xdr:colOff>
      <xdr:row>30</xdr:row>
      <xdr:rowOff>54135</xdr:rowOff>
    </xdr:from>
    <xdr:to>
      <xdr:col>19</xdr:col>
      <xdr:colOff>263284</xdr:colOff>
      <xdr:row>30</xdr:row>
      <xdr:rowOff>54135</xdr:rowOff>
    </xdr:to>
    <xdr:cxnSp macro="">
      <xdr:nvCxnSpPr>
        <xdr:cNvPr id="1345" name="직선 연결선 1344">
          <a:extLst>
            <a:ext uri="{FF2B5EF4-FFF2-40B4-BE49-F238E27FC236}">
              <a16:creationId xmlns:a16="http://schemas.microsoft.com/office/drawing/2014/main" id="{00000000-0008-0000-1900-000041050000}"/>
            </a:ext>
          </a:extLst>
        </xdr:cNvPr>
        <xdr:cNvCxnSpPr/>
      </xdr:nvCxnSpPr>
      <xdr:spPr>
        <a:xfrm flipH="1">
          <a:off x="5194598" y="6327028"/>
          <a:ext cx="89722" cy="0"/>
        </a:xfrm>
        <a:prstGeom prst="line">
          <a:avLst/>
        </a:prstGeom>
        <a:ln w="57150" cap="rnd">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173562</xdr:colOff>
      <xdr:row>30</xdr:row>
      <xdr:rowOff>60143</xdr:rowOff>
    </xdr:from>
    <xdr:to>
      <xdr:col>19</xdr:col>
      <xdr:colOff>173562</xdr:colOff>
      <xdr:row>37</xdr:row>
      <xdr:rowOff>21730</xdr:rowOff>
    </xdr:to>
    <xdr:cxnSp macro="">
      <xdr:nvCxnSpPr>
        <xdr:cNvPr id="1346" name="직선 연결선 1345">
          <a:extLst>
            <a:ext uri="{FF2B5EF4-FFF2-40B4-BE49-F238E27FC236}">
              <a16:creationId xmlns:a16="http://schemas.microsoft.com/office/drawing/2014/main" id="{00000000-0008-0000-1900-000042050000}"/>
            </a:ext>
          </a:extLst>
        </xdr:cNvPr>
        <xdr:cNvCxnSpPr/>
      </xdr:nvCxnSpPr>
      <xdr:spPr>
        <a:xfrm>
          <a:off x="5194598" y="6333036"/>
          <a:ext cx="0" cy="1390337"/>
        </a:xfrm>
        <a:prstGeom prst="line">
          <a:avLst/>
        </a:prstGeom>
        <a:ln w="57150" cap="rnd">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53984</xdr:colOff>
      <xdr:row>37</xdr:row>
      <xdr:rowOff>25475</xdr:rowOff>
    </xdr:from>
    <xdr:to>
      <xdr:col>19</xdr:col>
      <xdr:colOff>173563</xdr:colOff>
      <xdr:row>37</xdr:row>
      <xdr:rowOff>25475</xdr:rowOff>
    </xdr:to>
    <xdr:cxnSp macro="">
      <xdr:nvCxnSpPr>
        <xdr:cNvPr id="1347" name="직선 연결선 1346">
          <a:extLst>
            <a:ext uri="{FF2B5EF4-FFF2-40B4-BE49-F238E27FC236}">
              <a16:creationId xmlns:a16="http://schemas.microsoft.com/office/drawing/2014/main" id="{00000000-0008-0000-1900-000043050000}"/>
            </a:ext>
          </a:extLst>
        </xdr:cNvPr>
        <xdr:cNvCxnSpPr/>
      </xdr:nvCxnSpPr>
      <xdr:spPr>
        <a:xfrm flipH="1">
          <a:off x="4258591" y="7727118"/>
          <a:ext cx="936008" cy="0"/>
        </a:xfrm>
        <a:prstGeom prst="line">
          <a:avLst/>
        </a:prstGeom>
        <a:ln w="57150" cap="rnd">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53983</xdr:colOff>
      <xdr:row>37</xdr:row>
      <xdr:rowOff>25475</xdr:rowOff>
    </xdr:from>
    <xdr:to>
      <xdr:col>16</xdr:col>
      <xdr:colOff>53983</xdr:colOff>
      <xdr:row>38</xdr:row>
      <xdr:rowOff>91986</xdr:rowOff>
    </xdr:to>
    <xdr:cxnSp macro="">
      <xdr:nvCxnSpPr>
        <xdr:cNvPr id="1348" name="직선 연결선 1347">
          <a:extLst>
            <a:ext uri="{FF2B5EF4-FFF2-40B4-BE49-F238E27FC236}">
              <a16:creationId xmlns:a16="http://schemas.microsoft.com/office/drawing/2014/main" id="{00000000-0008-0000-1900-000044050000}"/>
            </a:ext>
          </a:extLst>
        </xdr:cNvPr>
        <xdr:cNvCxnSpPr/>
      </xdr:nvCxnSpPr>
      <xdr:spPr>
        <a:xfrm>
          <a:off x="4258590" y="7727118"/>
          <a:ext cx="0" cy="270618"/>
        </a:xfrm>
        <a:prstGeom prst="line">
          <a:avLst/>
        </a:prstGeom>
        <a:ln w="57150" cap="rnd">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173562</xdr:colOff>
      <xdr:row>29</xdr:row>
      <xdr:rowOff>1879</xdr:rowOff>
    </xdr:from>
    <xdr:to>
      <xdr:col>19</xdr:col>
      <xdr:colOff>263284</xdr:colOff>
      <xdr:row>29</xdr:row>
      <xdr:rowOff>1879</xdr:rowOff>
    </xdr:to>
    <xdr:cxnSp macro="">
      <xdr:nvCxnSpPr>
        <xdr:cNvPr id="1349" name="직선 연결선 1348">
          <a:extLst>
            <a:ext uri="{FF2B5EF4-FFF2-40B4-BE49-F238E27FC236}">
              <a16:creationId xmlns:a16="http://schemas.microsoft.com/office/drawing/2014/main" id="{00000000-0008-0000-1900-000045050000}"/>
            </a:ext>
          </a:extLst>
        </xdr:cNvPr>
        <xdr:cNvCxnSpPr/>
      </xdr:nvCxnSpPr>
      <xdr:spPr>
        <a:xfrm flipH="1">
          <a:off x="5194598" y="6070665"/>
          <a:ext cx="89722" cy="0"/>
        </a:xfrm>
        <a:prstGeom prst="line">
          <a:avLst/>
        </a:prstGeom>
        <a:ln w="57150" cap="rnd">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173562</xdr:colOff>
      <xdr:row>23</xdr:row>
      <xdr:rowOff>147889</xdr:rowOff>
    </xdr:from>
    <xdr:to>
      <xdr:col>19</xdr:col>
      <xdr:colOff>173562</xdr:colOff>
      <xdr:row>29</xdr:row>
      <xdr:rowOff>410</xdr:rowOff>
    </xdr:to>
    <xdr:cxnSp macro="">
      <xdr:nvCxnSpPr>
        <xdr:cNvPr id="1350" name="직선 연결선 1349">
          <a:extLst>
            <a:ext uri="{FF2B5EF4-FFF2-40B4-BE49-F238E27FC236}">
              <a16:creationId xmlns:a16="http://schemas.microsoft.com/office/drawing/2014/main" id="{00000000-0008-0000-1900-000046050000}"/>
            </a:ext>
          </a:extLst>
        </xdr:cNvPr>
        <xdr:cNvCxnSpPr/>
      </xdr:nvCxnSpPr>
      <xdr:spPr>
        <a:xfrm>
          <a:off x="5194598" y="4992032"/>
          <a:ext cx="0" cy="1077164"/>
        </a:xfrm>
        <a:prstGeom prst="line">
          <a:avLst/>
        </a:prstGeom>
        <a:ln w="57150" cap="rnd">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147953</xdr:colOff>
      <xdr:row>23</xdr:row>
      <xdr:rowOff>147889</xdr:rowOff>
    </xdr:from>
    <xdr:to>
      <xdr:col>19</xdr:col>
      <xdr:colOff>173562</xdr:colOff>
      <xdr:row>23</xdr:row>
      <xdr:rowOff>147889</xdr:rowOff>
    </xdr:to>
    <xdr:cxnSp macro="">
      <xdr:nvCxnSpPr>
        <xdr:cNvPr id="1351" name="직선 연결선 1350">
          <a:extLst>
            <a:ext uri="{FF2B5EF4-FFF2-40B4-BE49-F238E27FC236}">
              <a16:creationId xmlns:a16="http://schemas.microsoft.com/office/drawing/2014/main" id="{00000000-0008-0000-1900-000047050000}"/>
            </a:ext>
          </a:extLst>
        </xdr:cNvPr>
        <xdr:cNvCxnSpPr/>
      </xdr:nvCxnSpPr>
      <xdr:spPr>
        <a:xfrm flipH="1">
          <a:off x="4352560" y="4992032"/>
          <a:ext cx="842038" cy="0"/>
        </a:xfrm>
        <a:prstGeom prst="line">
          <a:avLst/>
        </a:prstGeom>
        <a:ln w="57150" cap="rnd">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147953</xdr:colOff>
      <xdr:row>17</xdr:row>
      <xdr:rowOff>27768</xdr:rowOff>
    </xdr:from>
    <xdr:to>
      <xdr:col>16</xdr:col>
      <xdr:colOff>147953</xdr:colOff>
      <xdr:row>23</xdr:row>
      <xdr:rowOff>147890</xdr:rowOff>
    </xdr:to>
    <xdr:cxnSp macro="">
      <xdr:nvCxnSpPr>
        <xdr:cNvPr id="1352" name="직선 연결선 1351">
          <a:extLst>
            <a:ext uri="{FF2B5EF4-FFF2-40B4-BE49-F238E27FC236}">
              <a16:creationId xmlns:a16="http://schemas.microsoft.com/office/drawing/2014/main" id="{00000000-0008-0000-1900-000048050000}"/>
            </a:ext>
          </a:extLst>
        </xdr:cNvPr>
        <xdr:cNvCxnSpPr/>
      </xdr:nvCxnSpPr>
      <xdr:spPr>
        <a:xfrm flipV="1">
          <a:off x="4352560" y="3647268"/>
          <a:ext cx="0" cy="1344765"/>
        </a:xfrm>
        <a:prstGeom prst="line">
          <a:avLst/>
        </a:prstGeom>
        <a:ln w="57150" cap="rnd">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147953</xdr:colOff>
      <xdr:row>11</xdr:row>
      <xdr:rowOff>18089</xdr:rowOff>
    </xdr:from>
    <xdr:to>
      <xdr:col>16</xdr:col>
      <xdr:colOff>147953</xdr:colOff>
      <xdr:row>14</xdr:row>
      <xdr:rowOff>167385</xdr:rowOff>
    </xdr:to>
    <xdr:cxnSp macro="">
      <xdr:nvCxnSpPr>
        <xdr:cNvPr id="1353" name="직선 연결선 1352">
          <a:extLst>
            <a:ext uri="{FF2B5EF4-FFF2-40B4-BE49-F238E27FC236}">
              <a16:creationId xmlns:a16="http://schemas.microsoft.com/office/drawing/2014/main" id="{00000000-0008-0000-1900-000049050000}"/>
            </a:ext>
          </a:extLst>
        </xdr:cNvPr>
        <xdr:cNvCxnSpPr/>
      </xdr:nvCxnSpPr>
      <xdr:spPr>
        <a:xfrm flipV="1">
          <a:off x="4352560" y="2412946"/>
          <a:ext cx="0" cy="761618"/>
        </a:xfrm>
        <a:prstGeom prst="line">
          <a:avLst/>
        </a:prstGeom>
        <a:ln w="57150" cap="rnd">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154392</xdr:colOff>
      <xdr:row>11</xdr:row>
      <xdr:rowOff>13254</xdr:rowOff>
    </xdr:from>
    <xdr:to>
      <xdr:col>16</xdr:col>
      <xdr:colOff>147954</xdr:colOff>
      <xdr:row>11</xdr:row>
      <xdr:rowOff>13254</xdr:rowOff>
    </xdr:to>
    <xdr:cxnSp macro="">
      <xdr:nvCxnSpPr>
        <xdr:cNvPr id="1354" name="직선 연결선 1353">
          <a:extLst>
            <a:ext uri="{FF2B5EF4-FFF2-40B4-BE49-F238E27FC236}">
              <a16:creationId xmlns:a16="http://schemas.microsoft.com/office/drawing/2014/main" id="{00000000-0008-0000-1900-00004A050000}"/>
            </a:ext>
          </a:extLst>
        </xdr:cNvPr>
        <xdr:cNvCxnSpPr/>
      </xdr:nvCxnSpPr>
      <xdr:spPr>
        <a:xfrm flipH="1">
          <a:off x="3814713" y="2408111"/>
          <a:ext cx="537848" cy="0"/>
        </a:xfrm>
        <a:prstGeom prst="line">
          <a:avLst/>
        </a:prstGeom>
        <a:ln w="57150" cap="rnd">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154391</xdr:colOff>
      <xdr:row>9</xdr:row>
      <xdr:rowOff>174589</xdr:rowOff>
    </xdr:from>
    <xdr:to>
      <xdr:col>14</xdr:col>
      <xdr:colOff>154391</xdr:colOff>
      <xdr:row>11</xdr:row>
      <xdr:rowOff>13255</xdr:rowOff>
    </xdr:to>
    <xdr:cxnSp macro="">
      <xdr:nvCxnSpPr>
        <xdr:cNvPr id="1355" name="직선 연결선 1354">
          <a:extLst>
            <a:ext uri="{FF2B5EF4-FFF2-40B4-BE49-F238E27FC236}">
              <a16:creationId xmlns:a16="http://schemas.microsoft.com/office/drawing/2014/main" id="{00000000-0008-0000-1900-00004B050000}"/>
            </a:ext>
          </a:extLst>
        </xdr:cNvPr>
        <xdr:cNvCxnSpPr/>
      </xdr:nvCxnSpPr>
      <xdr:spPr>
        <a:xfrm flipV="1">
          <a:off x="3814712" y="2161232"/>
          <a:ext cx="0" cy="246880"/>
        </a:xfrm>
        <a:prstGeom prst="line">
          <a:avLst/>
        </a:prstGeom>
        <a:ln w="57150" cap="rnd">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154391</xdr:colOff>
      <xdr:row>7</xdr:row>
      <xdr:rowOff>41728</xdr:rowOff>
    </xdr:from>
    <xdr:to>
      <xdr:col>14</xdr:col>
      <xdr:colOff>154391</xdr:colOff>
      <xdr:row>8</xdr:row>
      <xdr:rowOff>86947</xdr:rowOff>
    </xdr:to>
    <xdr:cxnSp macro="">
      <xdr:nvCxnSpPr>
        <xdr:cNvPr id="1356" name="직선 연결선 1355">
          <a:extLst>
            <a:ext uri="{FF2B5EF4-FFF2-40B4-BE49-F238E27FC236}">
              <a16:creationId xmlns:a16="http://schemas.microsoft.com/office/drawing/2014/main" id="{00000000-0008-0000-1900-00004C050000}"/>
            </a:ext>
          </a:extLst>
        </xdr:cNvPr>
        <xdr:cNvCxnSpPr/>
      </xdr:nvCxnSpPr>
      <xdr:spPr>
        <a:xfrm flipV="1">
          <a:off x="3814712" y="1620157"/>
          <a:ext cx="0" cy="249326"/>
        </a:xfrm>
        <a:prstGeom prst="line">
          <a:avLst/>
        </a:prstGeom>
        <a:ln w="57150" cap="rnd">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201612</xdr:colOff>
      <xdr:row>5</xdr:row>
      <xdr:rowOff>155496</xdr:rowOff>
    </xdr:from>
    <xdr:to>
      <xdr:col>17</xdr:col>
      <xdr:colOff>124868</xdr:colOff>
      <xdr:row>7</xdr:row>
      <xdr:rowOff>75631</xdr:rowOff>
    </xdr:to>
    <xdr:sp macro="" textlink="">
      <xdr:nvSpPr>
        <xdr:cNvPr id="1357" name="TextBox 52">
          <a:extLst>
            <a:ext uri="{FF2B5EF4-FFF2-40B4-BE49-F238E27FC236}">
              <a16:creationId xmlns:a16="http://schemas.microsoft.com/office/drawing/2014/main" id="{00000000-0008-0000-1900-00004D050000}"/>
            </a:ext>
          </a:extLst>
        </xdr:cNvPr>
        <xdr:cNvSpPr txBox="1"/>
      </xdr:nvSpPr>
      <xdr:spPr>
        <a:xfrm>
          <a:off x="3283230" y="1365731"/>
          <a:ext cx="1267962" cy="345959"/>
        </a:xfrm>
        <a:prstGeom prst="rect">
          <a:avLst/>
        </a:prstGeom>
        <a:solidFill>
          <a:schemeClr val="bg1">
            <a:alpha val="59000"/>
          </a:schemeClr>
        </a:solidFill>
      </xdr:spPr>
      <xdr:txBody>
        <a:bodyPr wrap="square"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en-US" altLang="ko-KR" sz="1600">
              <a:latin typeface="KoPub돋움체 Bold" panose="02020603020101020101" pitchFamily="18" charset="-127"/>
              <a:ea typeface="KoPub돋움체 Bold" panose="02020603020101020101" pitchFamily="18" charset="-127"/>
            </a:rPr>
            <a:t>PADP-DC</a:t>
          </a:r>
          <a:endParaRPr lang="ko-KR" altLang="en-US" sz="1600">
            <a:latin typeface="KoPub돋움체 Bold" panose="02020603020101020101" pitchFamily="18" charset="-127"/>
            <a:ea typeface="KoPub돋움체 Bold" panose="02020603020101020101" pitchFamily="18" charset="-127"/>
          </a:endParaRPr>
        </a:p>
      </xdr:txBody>
    </xdr:sp>
    <xdr:clientData/>
  </xdr:twoCellAnchor>
  <xdr:twoCellAnchor>
    <xdr:from>
      <xdr:col>12</xdr:col>
      <xdr:colOff>179200</xdr:colOff>
      <xdr:row>8</xdr:row>
      <xdr:rowOff>126807</xdr:rowOff>
    </xdr:from>
    <xdr:to>
      <xdr:col>17</xdr:col>
      <xdr:colOff>102456</xdr:colOff>
      <xdr:row>10</xdr:row>
      <xdr:rowOff>48342</xdr:rowOff>
    </xdr:to>
    <xdr:sp macro="" textlink="">
      <xdr:nvSpPr>
        <xdr:cNvPr id="1358" name="TextBox 53">
          <a:extLst>
            <a:ext uri="{FF2B5EF4-FFF2-40B4-BE49-F238E27FC236}">
              <a16:creationId xmlns:a16="http://schemas.microsoft.com/office/drawing/2014/main" id="{00000000-0008-0000-1900-00004E050000}"/>
            </a:ext>
          </a:extLst>
        </xdr:cNvPr>
        <xdr:cNvSpPr txBox="1"/>
      </xdr:nvSpPr>
      <xdr:spPr>
        <a:xfrm>
          <a:off x="3260818" y="1975778"/>
          <a:ext cx="1267962" cy="347358"/>
        </a:xfrm>
        <a:prstGeom prst="rect">
          <a:avLst/>
        </a:prstGeom>
        <a:solidFill>
          <a:schemeClr val="bg1">
            <a:alpha val="59000"/>
          </a:schemeClr>
        </a:solidFill>
      </xdr:spPr>
      <xdr:txBody>
        <a:bodyPr wrap="square"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en-US" altLang="ko-KR" sz="1600">
              <a:latin typeface="KoPub돋움체 Bold" panose="02020603020101020101" pitchFamily="18" charset="-127"/>
              <a:ea typeface="KoPub돋움체 Bold" panose="02020603020101020101" pitchFamily="18" charset="-127"/>
            </a:rPr>
            <a:t>PADP-AC</a:t>
          </a:r>
          <a:endParaRPr lang="ko-KR" altLang="en-US" sz="1600">
            <a:latin typeface="KoPub돋움체 Bold" panose="02020603020101020101" pitchFamily="18" charset="-127"/>
            <a:ea typeface="KoPub돋움체 Bold" panose="02020603020101020101" pitchFamily="18" charset="-127"/>
          </a:endParaRPr>
        </a:p>
      </xdr:txBody>
    </xdr:sp>
    <xdr:clientData/>
  </xdr:twoCellAnchor>
  <xdr:twoCellAnchor>
    <xdr:from>
      <xdr:col>12</xdr:col>
      <xdr:colOff>272011</xdr:colOff>
      <xdr:row>18</xdr:row>
      <xdr:rowOff>36267</xdr:rowOff>
    </xdr:from>
    <xdr:to>
      <xdr:col>17</xdr:col>
      <xdr:colOff>14873</xdr:colOff>
      <xdr:row>19</xdr:row>
      <xdr:rowOff>113660</xdr:rowOff>
    </xdr:to>
    <xdr:sp macro="" textlink="">
      <xdr:nvSpPr>
        <xdr:cNvPr id="1359" name="TextBox 54">
          <a:extLst>
            <a:ext uri="{FF2B5EF4-FFF2-40B4-BE49-F238E27FC236}">
              <a16:creationId xmlns:a16="http://schemas.microsoft.com/office/drawing/2014/main" id="{00000000-0008-0000-1900-00004F050000}"/>
            </a:ext>
          </a:extLst>
        </xdr:cNvPr>
        <xdr:cNvSpPr txBox="1"/>
      </xdr:nvSpPr>
      <xdr:spPr>
        <a:xfrm>
          <a:off x="3388047" y="3859874"/>
          <a:ext cx="1103576" cy="281500"/>
        </a:xfrm>
        <a:prstGeom prst="rect">
          <a:avLst/>
        </a:prstGeom>
        <a:solidFill>
          <a:schemeClr val="bg1">
            <a:alpha val="59000"/>
          </a:schemeClr>
        </a:solidFill>
      </xdr:spPr>
      <xdr:txBody>
        <a:bodyPr wrap="square"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ko-KR" altLang="en-US" sz="1600">
              <a:latin typeface="KoPub돋움체 Bold" panose="02020603020101020101" pitchFamily="18" charset="-127"/>
              <a:ea typeface="KoPub돋움체 Bold" panose="02020603020101020101" pitchFamily="18" charset="-127"/>
            </a:rPr>
            <a:t>주장치</a:t>
          </a:r>
        </a:p>
      </xdr:txBody>
    </xdr:sp>
    <xdr:clientData/>
  </xdr:twoCellAnchor>
  <xdr:twoCellAnchor>
    <xdr:from>
      <xdr:col>12</xdr:col>
      <xdr:colOff>228847</xdr:colOff>
      <xdr:row>32</xdr:row>
      <xdr:rowOff>80425</xdr:rowOff>
    </xdr:from>
    <xdr:to>
      <xdr:col>17</xdr:col>
      <xdr:colOff>58038</xdr:colOff>
      <xdr:row>33</xdr:row>
      <xdr:rowOff>178229</xdr:rowOff>
    </xdr:to>
    <xdr:sp macro="" textlink="">
      <xdr:nvSpPr>
        <xdr:cNvPr id="1360" name="TextBox 55">
          <a:extLst>
            <a:ext uri="{FF2B5EF4-FFF2-40B4-BE49-F238E27FC236}">
              <a16:creationId xmlns:a16="http://schemas.microsoft.com/office/drawing/2014/main" id="{00000000-0008-0000-1900-000050050000}"/>
            </a:ext>
          </a:extLst>
        </xdr:cNvPr>
        <xdr:cNvSpPr txBox="1"/>
      </xdr:nvSpPr>
      <xdr:spPr>
        <a:xfrm>
          <a:off x="3344883" y="6761532"/>
          <a:ext cx="1189905" cy="301911"/>
        </a:xfrm>
        <a:prstGeom prst="rect">
          <a:avLst/>
        </a:prstGeom>
        <a:solidFill>
          <a:schemeClr val="bg1">
            <a:alpha val="59000"/>
          </a:schemeClr>
        </a:solidFill>
      </xdr:spPr>
      <xdr:txBody>
        <a:bodyPr wrap="square"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ko-KR" altLang="en-US" sz="1600">
              <a:latin typeface="KoPub돋움체 Bold" panose="02020603020101020101" pitchFamily="18" charset="-127"/>
              <a:ea typeface="KoPub돋움체 Bold" panose="02020603020101020101" pitchFamily="18" charset="-127"/>
            </a:rPr>
            <a:t>확장장치</a:t>
          </a:r>
        </a:p>
      </xdr:txBody>
    </xdr:sp>
    <xdr:clientData/>
  </xdr:twoCellAnchor>
  <xdr:twoCellAnchor>
    <xdr:from>
      <xdr:col>16</xdr:col>
      <xdr:colOff>226777</xdr:colOff>
      <xdr:row>37</xdr:row>
      <xdr:rowOff>139190</xdr:rowOff>
    </xdr:from>
    <xdr:to>
      <xdr:col>19</xdr:col>
      <xdr:colOff>224118</xdr:colOff>
      <xdr:row>39</xdr:row>
      <xdr:rowOff>56153</xdr:rowOff>
    </xdr:to>
    <xdr:sp macro="" textlink="">
      <xdr:nvSpPr>
        <xdr:cNvPr id="1361" name="TextBox 56">
          <a:extLst>
            <a:ext uri="{FF2B5EF4-FFF2-40B4-BE49-F238E27FC236}">
              <a16:creationId xmlns:a16="http://schemas.microsoft.com/office/drawing/2014/main" id="{00000000-0008-0000-1900-000051050000}"/>
            </a:ext>
          </a:extLst>
        </xdr:cNvPr>
        <xdr:cNvSpPr txBox="1"/>
      </xdr:nvSpPr>
      <xdr:spPr>
        <a:xfrm>
          <a:off x="4384159" y="8162602"/>
          <a:ext cx="804165" cy="342786"/>
        </a:xfrm>
        <a:prstGeom prst="rect">
          <a:avLst/>
        </a:prstGeom>
        <a:solidFill>
          <a:schemeClr val="bg1">
            <a:alpha val="59000"/>
          </a:schemeClr>
        </a:solidFill>
      </xdr:spPr>
      <xdr:txBody>
        <a:bodyPr wrap="square"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en-US" altLang="ko-KR" sz="1600"/>
            <a:t>PTPU</a:t>
          </a:r>
          <a:endParaRPr lang="ko-KR" altLang="en-US" sz="1600"/>
        </a:p>
      </xdr:txBody>
    </xdr:sp>
    <xdr:clientData/>
  </xdr:twoCellAnchor>
  <xdr:twoCellAnchor>
    <xdr:from>
      <xdr:col>13</xdr:col>
      <xdr:colOff>248690</xdr:colOff>
      <xdr:row>47</xdr:row>
      <xdr:rowOff>10405</xdr:rowOff>
    </xdr:from>
    <xdr:to>
      <xdr:col>29</xdr:col>
      <xdr:colOff>219076</xdr:colOff>
      <xdr:row>55</xdr:row>
      <xdr:rowOff>133349</xdr:rowOff>
    </xdr:to>
    <xdr:sp macro="" textlink="">
      <xdr:nvSpPr>
        <xdr:cNvPr id="3" name="직사각형 2">
          <a:extLst>
            <a:ext uri="{FF2B5EF4-FFF2-40B4-BE49-F238E27FC236}">
              <a16:creationId xmlns:a16="http://schemas.microsoft.com/office/drawing/2014/main" id="{00000000-0008-0000-1900-000003000000}"/>
            </a:ext>
          </a:extLst>
        </xdr:cNvPr>
        <xdr:cNvSpPr/>
      </xdr:nvSpPr>
      <xdr:spPr>
        <a:xfrm>
          <a:off x="3572915" y="10040230"/>
          <a:ext cx="4237586" cy="1942219"/>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18</xdr:col>
      <xdr:colOff>198824</xdr:colOff>
      <xdr:row>45</xdr:row>
      <xdr:rowOff>191061</xdr:rowOff>
    </xdr:from>
    <xdr:to>
      <xdr:col>26</xdr:col>
      <xdr:colOff>10566</xdr:colOff>
      <xdr:row>47</xdr:row>
      <xdr:rowOff>156003</xdr:rowOff>
    </xdr:to>
    <xdr:sp macro="" textlink="">
      <xdr:nvSpPr>
        <xdr:cNvPr id="5" name="직사각형 4">
          <a:extLst>
            <a:ext uri="{FF2B5EF4-FFF2-40B4-BE49-F238E27FC236}">
              <a16:creationId xmlns:a16="http://schemas.microsoft.com/office/drawing/2014/main" id="{00000000-0008-0000-1900-000005000000}"/>
            </a:ext>
          </a:extLst>
        </xdr:cNvPr>
        <xdr:cNvSpPr/>
      </xdr:nvSpPr>
      <xdr:spPr>
        <a:xfrm>
          <a:off x="4856549" y="9801786"/>
          <a:ext cx="1945342" cy="384042"/>
        </a:xfrm>
        <a:prstGeom prst="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2000" b="1">
              <a:solidFill>
                <a:schemeClr val="tx1"/>
              </a:solidFill>
            </a:rPr>
            <a:t>범</a:t>
          </a:r>
          <a:r>
            <a:rPr lang="ko-KR" altLang="en-US" sz="2000" b="1" baseline="0">
              <a:solidFill>
                <a:schemeClr val="tx1"/>
              </a:solidFill>
            </a:rPr>
            <a:t> 례</a:t>
          </a:r>
          <a:endParaRPr lang="ko-KR" altLang="en-US" sz="2000" b="1">
            <a:solidFill>
              <a:schemeClr val="tx1"/>
            </a:solidFill>
          </a:endParaRPr>
        </a:p>
      </xdr:txBody>
    </xdr:sp>
    <xdr:clientData/>
  </xdr:twoCellAnchor>
  <xdr:twoCellAnchor>
    <xdr:from>
      <xdr:col>14</xdr:col>
      <xdr:colOff>227398</xdr:colOff>
      <xdr:row>49</xdr:row>
      <xdr:rowOff>141755</xdr:rowOff>
    </xdr:from>
    <xdr:to>
      <xdr:col>17</xdr:col>
      <xdr:colOff>11927</xdr:colOff>
      <xdr:row>49</xdr:row>
      <xdr:rowOff>141755</xdr:rowOff>
    </xdr:to>
    <xdr:cxnSp macro="">
      <xdr:nvCxnSpPr>
        <xdr:cNvPr id="12" name="직선 연결선 11">
          <a:extLst>
            <a:ext uri="{FF2B5EF4-FFF2-40B4-BE49-F238E27FC236}">
              <a16:creationId xmlns:a16="http://schemas.microsoft.com/office/drawing/2014/main" id="{00000000-0008-0000-1900-00000C000000}"/>
            </a:ext>
          </a:extLst>
        </xdr:cNvPr>
        <xdr:cNvCxnSpPr/>
      </xdr:nvCxnSpPr>
      <xdr:spPr>
        <a:xfrm>
          <a:off x="3818323" y="10590680"/>
          <a:ext cx="584629" cy="0"/>
        </a:xfrm>
        <a:prstGeom prst="line">
          <a:avLst/>
        </a:prstGeom>
        <a:ln w="285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185217</xdr:colOff>
      <xdr:row>48</xdr:row>
      <xdr:rowOff>173692</xdr:rowOff>
    </xdr:from>
    <xdr:to>
      <xdr:col>26</xdr:col>
      <xdr:colOff>37780</xdr:colOff>
      <xdr:row>50</xdr:row>
      <xdr:rowOff>173692</xdr:rowOff>
    </xdr:to>
    <xdr:sp macro="" textlink="">
      <xdr:nvSpPr>
        <xdr:cNvPr id="16" name="TextBox 15">
          <a:extLst>
            <a:ext uri="{FF2B5EF4-FFF2-40B4-BE49-F238E27FC236}">
              <a16:creationId xmlns:a16="http://schemas.microsoft.com/office/drawing/2014/main" id="{00000000-0008-0000-1900-000010000000}"/>
            </a:ext>
          </a:extLst>
        </xdr:cNvPr>
        <xdr:cNvSpPr txBox="1"/>
      </xdr:nvSpPr>
      <xdr:spPr>
        <a:xfrm>
          <a:off x="4576242" y="10413067"/>
          <a:ext cx="2252863" cy="419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t>:  Alarm</a:t>
          </a:r>
          <a:r>
            <a:rPr lang="en-US" altLang="ko-KR" sz="1100" baseline="0"/>
            <a:t> Cable</a:t>
          </a:r>
          <a:endParaRPr lang="ko-KR" altLang="en-US" sz="1100"/>
        </a:p>
      </xdr:txBody>
    </xdr:sp>
    <xdr:clientData/>
  </xdr:twoCellAnchor>
  <xdr:twoCellAnchor>
    <xdr:from>
      <xdr:col>21</xdr:col>
      <xdr:colOff>91058</xdr:colOff>
      <xdr:row>7</xdr:row>
      <xdr:rowOff>123590</xdr:rowOff>
    </xdr:from>
    <xdr:to>
      <xdr:col>28</xdr:col>
      <xdr:colOff>95303</xdr:colOff>
      <xdr:row>9</xdr:row>
      <xdr:rowOff>123776</xdr:rowOff>
    </xdr:to>
    <xdr:sp macro="" textlink="">
      <xdr:nvSpPr>
        <xdr:cNvPr id="1453" name="Text Box 5">
          <a:extLst>
            <a:ext uri="{FF2B5EF4-FFF2-40B4-BE49-F238E27FC236}">
              <a16:creationId xmlns:a16="http://schemas.microsoft.com/office/drawing/2014/main" id="{00000000-0008-0000-1900-0000AD050000}"/>
            </a:ext>
          </a:extLst>
        </xdr:cNvPr>
        <xdr:cNvSpPr txBox="1">
          <a:spLocks noChangeArrowheads="1"/>
        </xdr:cNvSpPr>
      </xdr:nvSpPr>
      <xdr:spPr bwMode="auto">
        <a:xfrm>
          <a:off x="5548883" y="1733315"/>
          <a:ext cx="1871145" cy="419286"/>
        </a:xfrm>
        <a:prstGeom prst="rect">
          <a:avLst/>
        </a:prstGeom>
        <a:noFill/>
        <a:ln w="9525">
          <a:noFill/>
          <a:miter lim="800000"/>
          <a:headEnd/>
          <a:tailEnd/>
        </a:ln>
      </xdr:spPr>
      <xdr:txBody>
        <a:bodyPr wrap="none" lIns="18288" tIns="22860" rIns="18288" bIns="22860" anchor="ctr" upright="1">
          <a:noAutofit/>
        </a:bodyPr>
        <a:lstStyle/>
        <a:p>
          <a:pPr algn="ctr" rtl="0">
            <a:defRPr sz="1000"/>
          </a:pPr>
          <a:r>
            <a:rPr lang="en-US" altLang="ko-KR" sz="1100" b="0" i="0" strike="noStrike">
              <a:solidFill>
                <a:srgbClr val="000000"/>
              </a:solidFill>
              <a:latin typeface="돋움"/>
              <a:ea typeface="돋움"/>
            </a:rPr>
            <a:t>AC </a:t>
          </a:r>
          <a:r>
            <a:rPr lang="ko-KR" altLang="en-US" sz="1100" b="0" i="0" strike="noStrike">
              <a:solidFill>
                <a:srgbClr val="000000"/>
              </a:solidFill>
              <a:latin typeface="돋움"/>
              <a:ea typeface="돋움"/>
            </a:rPr>
            <a:t>전원</a:t>
          </a:r>
        </a:p>
        <a:p>
          <a:pPr algn="ctr" rtl="0">
            <a:defRPr sz="1000"/>
          </a:pPr>
          <a:r>
            <a:rPr lang="en-US" altLang="ko-KR" sz="1100" b="0" i="0" strike="noStrike">
              <a:solidFill>
                <a:srgbClr val="000000"/>
              </a:solidFill>
              <a:latin typeface="돋움"/>
              <a:ea typeface="돋움"/>
            </a:rPr>
            <a:t>(FR-CVVS 6㎟/2C) * 1</a:t>
          </a:r>
          <a:r>
            <a:rPr lang="ko-KR" altLang="en-US" sz="1100" b="0" i="0" strike="noStrike">
              <a:solidFill>
                <a:srgbClr val="000000"/>
              </a:solidFill>
              <a:latin typeface="돋움"/>
              <a:ea typeface="돋움"/>
            </a:rPr>
            <a:t>조</a:t>
          </a:r>
          <a:endParaRPr lang="en-US" altLang="ko-KR" sz="1100" b="0" i="0" strike="noStrike">
            <a:solidFill>
              <a:srgbClr val="000000"/>
            </a:solidFill>
            <a:latin typeface="돋움"/>
            <a:ea typeface="돋움"/>
          </a:endParaRPr>
        </a:p>
      </xdr:txBody>
    </xdr:sp>
    <xdr:clientData/>
  </xdr:twoCellAnchor>
  <xdr:twoCellAnchor>
    <xdr:from>
      <xdr:col>21</xdr:col>
      <xdr:colOff>206062</xdr:colOff>
      <xdr:row>4</xdr:row>
      <xdr:rowOff>153760</xdr:rowOff>
    </xdr:from>
    <xdr:to>
      <xdr:col>27</xdr:col>
      <xdr:colOff>236199</xdr:colOff>
      <xdr:row>6</xdr:row>
      <xdr:rowOff>140623</xdr:rowOff>
    </xdr:to>
    <xdr:sp macro="" textlink="">
      <xdr:nvSpPr>
        <xdr:cNvPr id="1454" name="Text Box 11">
          <a:extLst>
            <a:ext uri="{FF2B5EF4-FFF2-40B4-BE49-F238E27FC236}">
              <a16:creationId xmlns:a16="http://schemas.microsoft.com/office/drawing/2014/main" id="{00000000-0008-0000-1900-0000AE050000}"/>
            </a:ext>
          </a:extLst>
        </xdr:cNvPr>
        <xdr:cNvSpPr txBox="1">
          <a:spLocks noChangeArrowheads="1"/>
        </xdr:cNvSpPr>
      </xdr:nvSpPr>
      <xdr:spPr bwMode="auto">
        <a:xfrm>
          <a:off x="5663887" y="1134835"/>
          <a:ext cx="1630337" cy="405963"/>
        </a:xfrm>
        <a:prstGeom prst="rect">
          <a:avLst/>
        </a:prstGeom>
        <a:noFill/>
        <a:ln w="9525">
          <a:noFill/>
          <a:miter lim="800000"/>
          <a:headEnd/>
          <a:tailEnd/>
        </a:ln>
      </xdr:spPr>
      <xdr:txBody>
        <a:bodyPr wrap="none" lIns="18288" tIns="22860" rIns="18288" bIns="22860" anchor="ctr" upright="1">
          <a:noAutofit/>
        </a:bodyPr>
        <a:lstStyle/>
        <a:p>
          <a:pPr algn="ctr" rtl="0">
            <a:defRPr sz="1000"/>
          </a:pPr>
          <a:r>
            <a:rPr lang="en-US" altLang="ko-KR" sz="1100" b="0" i="0" strike="noStrike">
              <a:solidFill>
                <a:srgbClr val="000000"/>
              </a:solidFill>
              <a:latin typeface="돋움"/>
              <a:ea typeface="돋움"/>
            </a:rPr>
            <a:t>DC </a:t>
          </a:r>
          <a:r>
            <a:rPr lang="ko-KR" altLang="en-US" sz="1100" b="0" i="0" strike="noStrike">
              <a:solidFill>
                <a:srgbClr val="000000"/>
              </a:solidFill>
              <a:latin typeface="돋움"/>
              <a:ea typeface="돋움"/>
            </a:rPr>
            <a:t>전원</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altLang="ko-KR" sz="1100" b="0" i="0" strike="noStrike">
              <a:solidFill>
                <a:srgbClr val="000000"/>
              </a:solidFill>
              <a:latin typeface="돋움"/>
              <a:ea typeface="돋움"/>
            </a:rPr>
            <a:t>(FR-CVVS</a:t>
          </a:r>
          <a:r>
            <a:rPr lang="en-US" altLang="ko-KR" sz="1100" b="0" i="0" strike="noStrike" baseline="0">
              <a:solidFill>
                <a:srgbClr val="000000"/>
              </a:solidFill>
              <a:latin typeface="돋움"/>
              <a:ea typeface="돋움"/>
            </a:rPr>
            <a:t> </a:t>
          </a:r>
          <a:r>
            <a:rPr lang="en-US" altLang="ko-KR" sz="1100" b="0" i="0" strike="noStrike">
              <a:solidFill>
                <a:srgbClr val="000000"/>
              </a:solidFill>
              <a:latin typeface="돋움"/>
              <a:ea typeface="돋움"/>
            </a:rPr>
            <a:t>6㎟/2C) </a:t>
          </a:r>
          <a:r>
            <a:rPr lang="en-US" altLang="ko-KR" sz="1000" b="0" i="0">
              <a:effectLst/>
              <a:latin typeface="+mn-lt"/>
              <a:ea typeface="+mn-ea"/>
              <a:cs typeface="+mn-cs"/>
            </a:rPr>
            <a:t>*  1</a:t>
          </a:r>
          <a:r>
            <a:rPr lang="ko-KR" altLang="ko-KR" sz="1000" b="0" i="0">
              <a:effectLst/>
              <a:latin typeface="+mn-lt"/>
              <a:ea typeface="+mn-ea"/>
              <a:cs typeface="+mn-cs"/>
            </a:rPr>
            <a:t>조</a:t>
          </a:r>
          <a:endParaRPr lang="en-US" altLang="ko-KR" sz="1100" b="0" i="0" strike="noStrike">
            <a:solidFill>
              <a:srgbClr val="000000"/>
            </a:solidFill>
            <a:latin typeface="돋움"/>
            <a:ea typeface="돋움"/>
          </a:endParaRPr>
        </a:p>
      </xdr:txBody>
    </xdr:sp>
    <xdr:clientData/>
  </xdr:twoCellAnchor>
  <xdr:twoCellAnchor>
    <xdr:from>
      <xdr:col>19</xdr:col>
      <xdr:colOff>235323</xdr:colOff>
      <xdr:row>6</xdr:row>
      <xdr:rowOff>202470</xdr:rowOff>
    </xdr:from>
    <xdr:to>
      <xdr:col>28</xdr:col>
      <xdr:colOff>104774</xdr:colOff>
      <xdr:row>7</xdr:row>
      <xdr:rowOff>0</xdr:rowOff>
    </xdr:to>
    <xdr:sp macro="" textlink="">
      <xdr:nvSpPr>
        <xdr:cNvPr id="1455" name="Line 15">
          <a:extLst>
            <a:ext uri="{FF2B5EF4-FFF2-40B4-BE49-F238E27FC236}">
              <a16:creationId xmlns:a16="http://schemas.microsoft.com/office/drawing/2014/main" id="{00000000-0008-0000-1900-0000AF050000}"/>
            </a:ext>
          </a:extLst>
        </xdr:cNvPr>
        <xdr:cNvSpPr>
          <a:spLocks noChangeShapeType="1"/>
        </xdr:cNvSpPr>
      </xdr:nvSpPr>
      <xdr:spPr bwMode="auto">
        <a:xfrm>
          <a:off x="5199529" y="1625617"/>
          <a:ext cx="2289921" cy="10442"/>
        </a:xfrm>
        <a:prstGeom prst="line">
          <a:avLst/>
        </a:prstGeom>
        <a:noFill/>
        <a:ln w="19050">
          <a:solidFill>
            <a:srgbClr val="FF0000"/>
          </a:solidFill>
          <a:round/>
          <a:headEnd/>
          <a:tailEnd/>
        </a:ln>
      </xdr:spPr>
    </xdr:sp>
    <xdr:clientData/>
  </xdr:twoCellAnchor>
  <xdr:twoCellAnchor>
    <xdr:from>
      <xdr:col>20</xdr:col>
      <xdr:colOff>33618</xdr:colOff>
      <xdr:row>9</xdr:row>
      <xdr:rowOff>142875</xdr:rowOff>
    </xdr:from>
    <xdr:to>
      <xdr:col>28</xdr:col>
      <xdr:colOff>123825</xdr:colOff>
      <xdr:row>9</xdr:row>
      <xdr:rowOff>142875</xdr:rowOff>
    </xdr:to>
    <xdr:sp macro="" textlink="">
      <xdr:nvSpPr>
        <xdr:cNvPr id="1456" name="Line 16">
          <a:extLst>
            <a:ext uri="{FF2B5EF4-FFF2-40B4-BE49-F238E27FC236}">
              <a16:creationId xmlns:a16="http://schemas.microsoft.com/office/drawing/2014/main" id="{00000000-0008-0000-1900-0000B0050000}"/>
            </a:ext>
          </a:extLst>
        </xdr:cNvPr>
        <xdr:cNvSpPr>
          <a:spLocks noChangeShapeType="1"/>
        </xdr:cNvSpPr>
      </xdr:nvSpPr>
      <xdr:spPr bwMode="auto">
        <a:xfrm>
          <a:off x="5266765" y="2204757"/>
          <a:ext cx="2241736" cy="0"/>
        </a:xfrm>
        <a:prstGeom prst="line">
          <a:avLst/>
        </a:prstGeom>
        <a:noFill/>
        <a:ln w="19050">
          <a:solidFill>
            <a:srgbClr val="FF0000"/>
          </a:solidFill>
          <a:round/>
          <a:headEnd/>
          <a:tailEnd/>
        </a:ln>
      </xdr:spPr>
    </xdr:sp>
    <xdr:clientData/>
  </xdr:twoCellAnchor>
  <xdr:twoCellAnchor>
    <xdr:from>
      <xdr:col>12</xdr:col>
      <xdr:colOff>148251</xdr:colOff>
      <xdr:row>42</xdr:row>
      <xdr:rowOff>189232</xdr:rowOff>
    </xdr:from>
    <xdr:to>
      <xdr:col>19</xdr:col>
      <xdr:colOff>256442</xdr:colOff>
      <xdr:row>43</xdr:row>
      <xdr:rowOff>362498</xdr:rowOff>
    </xdr:to>
    <xdr:sp macro="" textlink="">
      <xdr:nvSpPr>
        <xdr:cNvPr id="1458" name="TextBox 55">
          <a:extLst>
            <a:ext uri="{FF2B5EF4-FFF2-40B4-BE49-F238E27FC236}">
              <a16:creationId xmlns:a16="http://schemas.microsoft.com/office/drawing/2014/main" id="{00000000-0008-0000-1900-0000B2050000}"/>
            </a:ext>
          </a:extLst>
        </xdr:cNvPr>
        <xdr:cNvSpPr txBox="1"/>
      </xdr:nvSpPr>
      <xdr:spPr>
        <a:xfrm>
          <a:off x="3174270" y="9252636"/>
          <a:ext cx="1954576" cy="385747"/>
        </a:xfrm>
        <a:prstGeom prst="rect">
          <a:avLst/>
        </a:prstGeom>
        <a:solidFill>
          <a:schemeClr val="bg1">
            <a:alpha val="59000"/>
          </a:schemeClr>
        </a:solidFill>
      </xdr:spPr>
      <xdr:txBody>
        <a:bodyPr wrap="square"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en-US" altLang="ko-KR" sz="1600">
              <a:latin typeface="KoPub돋움체 Bold" panose="02020603020101020101" pitchFamily="18" charset="-127"/>
              <a:ea typeface="KoPub돋움체 Bold" panose="02020603020101020101" pitchFamily="18" charset="-127"/>
            </a:rPr>
            <a:t>(</a:t>
          </a:r>
          <a:r>
            <a:rPr lang="ko-KR" altLang="en-US" sz="1600">
              <a:latin typeface="KoPub돋움체 Bold" panose="02020603020101020101" pitchFamily="18" charset="-127"/>
              <a:ea typeface="KoPub돋움체 Bold" panose="02020603020101020101" pitchFamily="18" charset="-127"/>
            </a:rPr>
            <a:t>광전송장치 후면 </a:t>
          </a:r>
          <a:r>
            <a:rPr lang="en-US" altLang="ko-KR" sz="1600">
              <a:latin typeface="KoPub돋움체 Bold" panose="02020603020101020101" pitchFamily="18" charset="-127"/>
              <a:ea typeface="KoPub돋움체 Bold" panose="02020603020101020101" pitchFamily="18" charset="-127"/>
            </a:rPr>
            <a:t>)</a:t>
          </a:r>
          <a:endParaRPr lang="ko-KR" altLang="en-US" sz="1600">
            <a:latin typeface="KoPub돋움체 Bold" panose="02020603020101020101" pitchFamily="18" charset="-127"/>
            <a:ea typeface="KoPub돋움체 Bold" panose="02020603020101020101" pitchFamily="18" charset="-127"/>
          </a:endParaRPr>
        </a:p>
      </xdr:txBody>
    </xdr:sp>
    <xdr:clientData/>
  </xdr:twoCellAnchor>
  <xdr:twoCellAnchor>
    <xdr:from>
      <xdr:col>20</xdr:col>
      <xdr:colOff>89648</xdr:colOff>
      <xdr:row>16</xdr:row>
      <xdr:rowOff>0</xdr:rowOff>
    </xdr:from>
    <xdr:to>
      <xdr:col>27</xdr:col>
      <xdr:colOff>81388</xdr:colOff>
      <xdr:row>16</xdr:row>
      <xdr:rowOff>13975</xdr:rowOff>
    </xdr:to>
    <xdr:sp macro="" textlink="">
      <xdr:nvSpPr>
        <xdr:cNvPr id="1459" name="Line 20">
          <a:extLst>
            <a:ext uri="{FF2B5EF4-FFF2-40B4-BE49-F238E27FC236}">
              <a16:creationId xmlns:a16="http://schemas.microsoft.com/office/drawing/2014/main" id="{00000000-0008-0000-1900-0000B3050000}"/>
            </a:ext>
          </a:extLst>
        </xdr:cNvPr>
        <xdr:cNvSpPr>
          <a:spLocks noChangeShapeType="1"/>
        </xdr:cNvSpPr>
      </xdr:nvSpPr>
      <xdr:spPr bwMode="auto">
        <a:xfrm>
          <a:off x="5322795" y="3552265"/>
          <a:ext cx="1874328" cy="13975"/>
        </a:xfrm>
        <a:prstGeom prst="line">
          <a:avLst/>
        </a:prstGeom>
        <a:noFill/>
        <a:ln w="28575">
          <a:solidFill>
            <a:srgbClr val="7030A0"/>
          </a:solidFill>
          <a:round/>
          <a:headEnd/>
          <a:tailEnd/>
        </a:ln>
      </xdr:spPr>
    </xdr:sp>
    <xdr:clientData/>
  </xdr:twoCellAnchor>
  <xdr:twoCellAnchor>
    <xdr:from>
      <xdr:col>18</xdr:col>
      <xdr:colOff>123264</xdr:colOff>
      <xdr:row>12</xdr:row>
      <xdr:rowOff>134470</xdr:rowOff>
    </xdr:from>
    <xdr:to>
      <xdr:col>20</xdr:col>
      <xdr:colOff>112059</xdr:colOff>
      <xdr:row>23</xdr:row>
      <xdr:rowOff>80511</xdr:rowOff>
    </xdr:to>
    <xdr:sp macro="" textlink="">
      <xdr:nvSpPr>
        <xdr:cNvPr id="1464" name="직사각형 1463">
          <a:extLst>
            <a:ext uri="{FF2B5EF4-FFF2-40B4-BE49-F238E27FC236}">
              <a16:creationId xmlns:a16="http://schemas.microsoft.com/office/drawing/2014/main" id="{00000000-0008-0000-1900-0000B8050000}"/>
            </a:ext>
          </a:extLst>
        </xdr:cNvPr>
        <xdr:cNvSpPr/>
      </xdr:nvSpPr>
      <xdr:spPr>
        <a:xfrm>
          <a:off x="4818529" y="2835088"/>
          <a:ext cx="526677" cy="2288070"/>
        </a:xfrm>
        <a:prstGeom prst="rect">
          <a:avLst/>
        </a:prstGeom>
        <a:noFill/>
        <a:ln w="28575">
          <a:solidFill>
            <a:schemeClr val="accent4">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100"/>
        </a:p>
      </xdr:txBody>
    </xdr:sp>
    <xdr:clientData/>
  </xdr:twoCellAnchor>
  <xdr:twoCellAnchor>
    <xdr:from>
      <xdr:col>18</xdr:col>
      <xdr:colOff>33617</xdr:colOff>
      <xdr:row>8</xdr:row>
      <xdr:rowOff>156882</xdr:rowOff>
    </xdr:from>
    <xdr:to>
      <xdr:col>20</xdr:col>
      <xdr:colOff>22412</xdr:colOff>
      <xdr:row>10</xdr:row>
      <xdr:rowOff>112059</xdr:rowOff>
    </xdr:to>
    <xdr:sp macro="" textlink="">
      <xdr:nvSpPr>
        <xdr:cNvPr id="1465" name="직사각형 1464">
          <a:extLst>
            <a:ext uri="{FF2B5EF4-FFF2-40B4-BE49-F238E27FC236}">
              <a16:creationId xmlns:a16="http://schemas.microsoft.com/office/drawing/2014/main" id="{00000000-0008-0000-1900-0000B9050000}"/>
            </a:ext>
          </a:extLst>
        </xdr:cNvPr>
        <xdr:cNvSpPr/>
      </xdr:nvSpPr>
      <xdr:spPr>
        <a:xfrm>
          <a:off x="4728882" y="2005853"/>
          <a:ext cx="526677" cy="3810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100"/>
        </a:p>
      </xdr:txBody>
    </xdr:sp>
    <xdr:clientData/>
  </xdr:twoCellAnchor>
  <xdr:twoCellAnchor>
    <xdr:from>
      <xdr:col>17</xdr:col>
      <xdr:colOff>257734</xdr:colOff>
      <xdr:row>5</xdr:row>
      <xdr:rowOff>179294</xdr:rowOff>
    </xdr:from>
    <xdr:to>
      <xdr:col>19</xdr:col>
      <xdr:colOff>246529</xdr:colOff>
      <xdr:row>7</xdr:row>
      <xdr:rowOff>134470</xdr:rowOff>
    </xdr:to>
    <xdr:sp macro="" textlink="">
      <xdr:nvSpPr>
        <xdr:cNvPr id="1466" name="직사각형 1465">
          <a:extLst>
            <a:ext uri="{FF2B5EF4-FFF2-40B4-BE49-F238E27FC236}">
              <a16:creationId xmlns:a16="http://schemas.microsoft.com/office/drawing/2014/main" id="{00000000-0008-0000-1900-0000BA050000}"/>
            </a:ext>
          </a:extLst>
        </xdr:cNvPr>
        <xdr:cNvSpPr/>
      </xdr:nvSpPr>
      <xdr:spPr>
        <a:xfrm>
          <a:off x="4684058" y="1389529"/>
          <a:ext cx="526677" cy="3810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100"/>
        </a:p>
      </xdr:txBody>
    </xdr:sp>
    <xdr:clientData/>
  </xdr:twoCellAnchor>
  <xdr:twoCellAnchor>
    <xdr:from>
      <xdr:col>12</xdr:col>
      <xdr:colOff>56029</xdr:colOff>
      <xdr:row>12</xdr:row>
      <xdr:rowOff>123264</xdr:rowOff>
    </xdr:from>
    <xdr:to>
      <xdr:col>13</xdr:col>
      <xdr:colOff>67235</xdr:colOff>
      <xdr:row>23</xdr:row>
      <xdr:rowOff>69305</xdr:rowOff>
    </xdr:to>
    <xdr:sp macro="" textlink="">
      <xdr:nvSpPr>
        <xdr:cNvPr id="1467" name="직사각형 1466">
          <a:extLst>
            <a:ext uri="{FF2B5EF4-FFF2-40B4-BE49-F238E27FC236}">
              <a16:creationId xmlns:a16="http://schemas.microsoft.com/office/drawing/2014/main" id="{00000000-0008-0000-1900-0000BB050000}"/>
            </a:ext>
          </a:extLst>
        </xdr:cNvPr>
        <xdr:cNvSpPr/>
      </xdr:nvSpPr>
      <xdr:spPr>
        <a:xfrm>
          <a:off x="3137647" y="2823882"/>
          <a:ext cx="280147" cy="2288070"/>
        </a:xfrm>
        <a:prstGeom prst="rect">
          <a:avLst/>
        </a:prstGeom>
        <a:noFill/>
        <a:ln w="28575">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100"/>
        </a:p>
      </xdr:txBody>
    </xdr:sp>
    <xdr:clientData/>
  </xdr:twoCellAnchor>
  <xdr:twoCellAnchor>
    <xdr:from>
      <xdr:col>2</xdr:col>
      <xdr:colOff>0</xdr:colOff>
      <xdr:row>15</xdr:row>
      <xdr:rowOff>0</xdr:rowOff>
    </xdr:from>
    <xdr:to>
      <xdr:col>3</xdr:col>
      <xdr:colOff>212912</xdr:colOff>
      <xdr:row>20</xdr:row>
      <xdr:rowOff>56029</xdr:rowOff>
    </xdr:to>
    <xdr:sp macro="" textlink="">
      <xdr:nvSpPr>
        <xdr:cNvPr id="1468" name="Text Box 3">
          <a:extLst>
            <a:ext uri="{FF2B5EF4-FFF2-40B4-BE49-F238E27FC236}">
              <a16:creationId xmlns:a16="http://schemas.microsoft.com/office/drawing/2014/main" id="{00000000-0008-0000-1900-0000BC050000}"/>
            </a:ext>
          </a:extLst>
        </xdr:cNvPr>
        <xdr:cNvSpPr txBox="1">
          <a:spLocks noChangeArrowheads="1"/>
        </xdr:cNvSpPr>
      </xdr:nvSpPr>
      <xdr:spPr bwMode="auto">
        <a:xfrm>
          <a:off x="392206" y="3339353"/>
          <a:ext cx="481853" cy="1120588"/>
        </a:xfrm>
        <a:prstGeom prst="rect">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27432" tIns="22860" rIns="27432" bIns="22860" anchor="ctr" upright="1"/>
        <a:lstStyle/>
        <a:p>
          <a:pPr algn="ctr" rtl="0">
            <a:defRPr sz="1000"/>
          </a:pPr>
          <a:r>
            <a:rPr lang="en-US" altLang="ko-KR" sz="1100" b="1" i="0" strike="noStrike">
              <a:solidFill>
                <a:srgbClr val="000000"/>
              </a:solidFill>
              <a:latin typeface="돋움"/>
              <a:ea typeface="돋움"/>
            </a:rPr>
            <a:t>IDF</a:t>
          </a:r>
        </a:p>
      </xdr:txBody>
    </xdr:sp>
    <xdr:clientData/>
  </xdr:twoCellAnchor>
  <xdr:twoCellAnchor>
    <xdr:from>
      <xdr:col>3</xdr:col>
      <xdr:colOff>201706</xdr:colOff>
      <xdr:row>17</xdr:row>
      <xdr:rowOff>1</xdr:rowOff>
    </xdr:from>
    <xdr:to>
      <xdr:col>12</xdr:col>
      <xdr:colOff>56028</xdr:colOff>
      <xdr:row>17</xdr:row>
      <xdr:rowOff>16962</xdr:rowOff>
    </xdr:to>
    <xdr:sp macro="" textlink="">
      <xdr:nvSpPr>
        <xdr:cNvPr id="1469" name="Line 20">
          <a:extLst>
            <a:ext uri="{FF2B5EF4-FFF2-40B4-BE49-F238E27FC236}">
              <a16:creationId xmlns:a16="http://schemas.microsoft.com/office/drawing/2014/main" id="{00000000-0008-0000-1900-0000BD050000}"/>
            </a:ext>
          </a:extLst>
        </xdr:cNvPr>
        <xdr:cNvSpPr>
          <a:spLocks noChangeShapeType="1"/>
        </xdr:cNvSpPr>
      </xdr:nvSpPr>
      <xdr:spPr bwMode="auto">
        <a:xfrm>
          <a:off x="862853" y="3765177"/>
          <a:ext cx="2274793" cy="16961"/>
        </a:xfrm>
        <a:prstGeom prst="line">
          <a:avLst/>
        </a:prstGeom>
        <a:noFill/>
        <a:ln w="28575">
          <a:solidFill>
            <a:srgbClr val="0000FF"/>
          </a:solidFill>
          <a:round/>
          <a:headEnd/>
          <a:tailEnd/>
        </a:ln>
      </xdr:spPr>
    </xdr:sp>
    <xdr:clientData/>
  </xdr:twoCellAnchor>
  <xdr:twoCellAnchor>
    <xdr:from>
      <xdr:col>12</xdr:col>
      <xdr:colOff>44823</xdr:colOff>
      <xdr:row>37</xdr:row>
      <xdr:rowOff>156882</xdr:rowOff>
    </xdr:from>
    <xdr:to>
      <xdr:col>14</xdr:col>
      <xdr:colOff>78441</xdr:colOff>
      <xdr:row>39</xdr:row>
      <xdr:rowOff>67236</xdr:rowOff>
    </xdr:to>
    <xdr:sp macro="" textlink="">
      <xdr:nvSpPr>
        <xdr:cNvPr id="1470" name="직사각형 1469">
          <a:extLst>
            <a:ext uri="{FF2B5EF4-FFF2-40B4-BE49-F238E27FC236}">
              <a16:creationId xmlns:a16="http://schemas.microsoft.com/office/drawing/2014/main" id="{00000000-0008-0000-1900-0000BE050000}"/>
            </a:ext>
          </a:extLst>
        </xdr:cNvPr>
        <xdr:cNvSpPr/>
      </xdr:nvSpPr>
      <xdr:spPr>
        <a:xfrm>
          <a:off x="3126441" y="8180294"/>
          <a:ext cx="571500" cy="336177"/>
        </a:xfrm>
        <a:prstGeom prst="rect">
          <a:avLst/>
        </a:prstGeom>
        <a:noFill/>
        <a:ln w="28575">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100"/>
        </a:p>
      </xdr:txBody>
    </xdr:sp>
    <xdr:clientData/>
  </xdr:twoCellAnchor>
  <xdr:twoCellAnchor>
    <xdr:from>
      <xdr:col>3</xdr:col>
      <xdr:colOff>156882</xdr:colOff>
      <xdr:row>38</xdr:row>
      <xdr:rowOff>112059</xdr:rowOff>
    </xdr:from>
    <xdr:to>
      <xdr:col>12</xdr:col>
      <xdr:colOff>11204</xdr:colOff>
      <xdr:row>38</xdr:row>
      <xdr:rowOff>129020</xdr:rowOff>
    </xdr:to>
    <xdr:sp macro="" textlink="">
      <xdr:nvSpPr>
        <xdr:cNvPr id="1471" name="Line 20">
          <a:extLst>
            <a:ext uri="{FF2B5EF4-FFF2-40B4-BE49-F238E27FC236}">
              <a16:creationId xmlns:a16="http://schemas.microsoft.com/office/drawing/2014/main" id="{00000000-0008-0000-1900-0000BF050000}"/>
            </a:ext>
          </a:extLst>
        </xdr:cNvPr>
        <xdr:cNvSpPr>
          <a:spLocks noChangeShapeType="1"/>
        </xdr:cNvSpPr>
      </xdr:nvSpPr>
      <xdr:spPr bwMode="auto">
        <a:xfrm>
          <a:off x="818029" y="8348383"/>
          <a:ext cx="2274793" cy="16961"/>
        </a:xfrm>
        <a:prstGeom prst="line">
          <a:avLst/>
        </a:prstGeom>
        <a:noFill/>
        <a:ln w="28575">
          <a:solidFill>
            <a:srgbClr val="0000FF"/>
          </a:solidFill>
          <a:round/>
          <a:headEnd/>
          <a:tailEnd/>
        </a:ln>
      </xdr:spPr>
    </xdr:sp>
    <xdr:clientData/>
  </xdr:twoCellAnchor>
  <xdr:twoCellAnchor>
    <xdr:from>
      <xdr:col>3</xdr:col>
      <xdr:colOff>112058</xdr:colOff>
      <xdr:row>20</xdr:row>
      <xdr:rowOff>67235</xdr:rowOff>
    </xdr:from>
    <xdr:to>
      <xdr:col>3</xdr:col>
      <xdr:colOff>145677</xdr:colOff>
      <xdr:row>38</xdr:row>
      <xdr:rowOff>123264</xdr:rowOff>
    </xdr:to>
    <xdr:sp macro="" textlink="">
      <xdr:nvSpPr>
        <xdr:cNvPr id="1472" name="Line 20">
          <a:extLst>
            <a:ext uri="{FF2B5EF4-FFF2-40B4-BE49-F238E27FC236}">
              <a16:creationId xmlns:a16="http://schemas.microsoft.com/office/drawing/2014/main" id="{00000000-0008-0000-1900-0000C0050000}"/>
            </a:ext>
          </a:extLst>
        </xdr:cNvPr>
        <xdr:cNvSpPr>
          <a:spLocks noChangeShapeType="1"/>
        </xdr:cNvSpPr>
      </xdr:nvSpPr>
      <xdr:spPr bwMode="auto">
        <a:xfrm>
          <a:off x="773205" y="4471147"/>
          <a:ext cx="33619" cy="3888441"/>
        </a:xfrm>
        <a:prstGeom prst="line">
          <a:avLst/>
        </a:prstGeom>
        <a:noFill/>
        <a:ln w="28575">
          <a:solidFill>
            <a:srgbClr val="0000FF"/>
          </a:solidFill>
          <a:round/>
          <a:headEnd/>
          <a:tailEnd/>
        </a:ln>
      </xdr:spPr>
    </xdr:sp>
    <xdr:clientData/>
  </xdr:twoCellAnchor>
  <xdr:twoCellAnchor>
    <xdr:from>
      <xdr:col>4</xdr:col>
      <xdr:colOff>145677</xdr:colOff>
      <xdr:row>14</xdr:row>
      <xdr:rowOff>134471</xdr:rowOff>
    </xdr:from>
    <xdr:to>
      <xdr:col>10</xdr:col>
      <xdr:colOff>83819</xdr:colOff>
      <xdr:row>16</xdr:row>
      <xdr:rowOff>181177</xdr:rowOff>
    </xdr:to>
    <xdr:sp macro="" textlink="">
      <xdr:nvSpPr>
        <xdr:cNvPr id="1473" name="Text Box 7">
          <a:extLst>
            <a:ext uri="{FF2B5EF4-FFF2-40B4-BE49-F238E27FC236}">
              <a16:creationId xmlns:a16="http://schemas.microsoft.com/office/drawing/2014/main" id="{00000000-0008-0000-1900-0000C1050000}"/>
            </a:ext>
          </a:extLst>
        </xdr:cNvPr>
        <xdr:cNvSpPr txBox="1">
          <a:spLocks noChangeArrowheads="1"/>
        </xdr:cNvSpPr>
      </xdr:nvSpPr>
      <xdr:spPr bwMode="auto">
        <a:xfrm>
          <a:off x="1075765" y="3260912"/>
          <a:ext cx="1551789" cy="472530"/>
        </a:xfrm>
        <a:prstGeom prst="rect">
          <a:avLst/>
        </a:prstGeom>
        <a:noFill/>
        <a:ln w="9525">
          <a:noFill/>
          <a:miter lim="800000"/>
          <a:headEnd/>
          <a:tailEnd/>
        </a:ln>
      </xdr:spPr>
      <xdr:txBody>
        <a:bodyPr wrap="none" lIns="18288" tIns="22860" rIns="18288" bIns="22860" anchor="ctr" upright="1">
          <a:noAutofit/>
        </a:bodyPr>
        <a:lstStyle/>
        <a:p>
          <a:pPr algn="ctr" rtl="0">
            <a:defRPr sz="1000"/>
          </a:pPr>
          <a:r>
            <a:rPr lang="en-US" altLang="ko-KR" sz="1100" b="0" i="0" strike="noStrike">
              <a:solidFill>
                <a:srgbClr val="000000"/>
              </a:solidFill>
              <a:latin typeface="돋움"/>
              <a:ea typeface="돋움"/>
            </a:rPr>
            <a:t>LIU(</a:t>
          </a:r>
          <a:r>
            <a:rPr lang="ko-KR" altLang="en-US" sz="1100" b="0" i="0" strike="noStrike">
              <a:solidFill>
                <a:srgbClr val="000000"/>
              </a:solidFill>
              <a:latin typeface="돋움"/>
              <a:ea typeface="돋움"/>
            </a:rPr>
            <a:t>챔프케이블</a:t>
          </a:r>
          <a:r>
            <a:rPr lang="en-US" altLang="ko-KR" sz="1100" b="0" i="0" strike="noStrike">
              <a:solidFill>
                <a:srgbClr val="000000"/>
              </a:solidFill>
              <a:latin typeface="돋움"/>
              <a:ea typeface="돋움"/>
            </a:rPr>
            <a:t>)</a:t>
          </a:r>
        </a:p>
        <a:p>
          <a:pPr algn="ctr" rtl="0">
            <a:defRPr sz="1000"/>
          </a:pPr>
          <a:r>
            <a:rPr lang="en-US" altLang="ko-KR" sz="1100" b="0" i="0" strike="noStrike">
              <a:solidFill>
                <a:srgbClr val="000000"/>
              </a:solidFill>
              <a:latin typeface="돋움" pitchFamily="50" charset="-127"/>
              <a:ea typeface="돋움" pitchFamily="50" charset="-127"/>
              <a:cs typeface="+mn-cs"/>
            </a:rPr>
            <a:t>-</a:t>
          </a:r>
          <a:r>
            <a:rPr lang="ko-KR" altLang="en-US" sz="1100" b="0" i="0" strike="noStrike">
              <a:solidFill>
                <a:srgbClr val="000000"/>
              </a:solidFill>
              <a:latin typeface="돋움" pitchFamily="50" charset="-127"/>
              <a:ea typeface="돋움" pitchFamily="50" charset="-127"/>
              <a:cs typeface="+mn-cs"/>
            </a:rPr>
            <a:t>사급</a:t>
          </a:r>
          <a:r>
            <a:rPr lang="en-US" altLang="ko-KR" sz="1100" b="0" i="0" strike="noStrike">
              <a:solidFill>
                <a:srgbClr val="000000"/>
              </a:solidFill>
              <a:latin typeface="돋움" pitchFamily="50" charset="-127"/>
              <a:ea typeface="돋움" pitchFamily="50" charset="-127"/>
              <a:cs typeface="+mn-cs"/>
            </a:rPr>
            <a:t>-</a:t>
          </a:r>
          <a:endParaRPr lang="en-US" altLang="ko-KR" sz="1100" b="0" i="0" strike="noStrike">
            <a:solidFill>
              <a:srgbClr val="000000"/>
            </a:solidFill>
            <a:latin typeface="돋움" pitchFamily="50" charset="-127"/>
            <a:ea typeface="돋움" pitchFamily="50" charset="-127"/>
          </a:endParaRPr>
        </a:p>
      </xdr:txBody>
    </xdr:sp>
    <xdr:clientData/>
  </xdr:twoCellAnchor>
  <xdr:twoCellAnchor>
    <xdr:from>
      <xdr:col>21</xdr:col>
      <xdr:colOff>123266</xdr:colOff>
      <xdr:row>16</xdr:row>
      <xdr:rowOff>134470</xdr:rowOff>
    </xdr:from>
    <xdr:to>
      <xdr:col>27</xdr:col>
      <xdr:colOff>44425</xdr:colOff>
      <xdr:row>18</xdr:row>
      <xdr:rowOff>150526</xdr:rowOff>
    </xdr:to>
    <xdr:sp macro="" textlink="">
      <xdr:nvSpPr>
        <xdr:cNvPr id="1474" name="Text Box 13">
          <a:extLst>
            <a:ext uri="{FF2B5EF4-FFF2-40B4-BE49-F238E27FC236}">
              <a16:creationId xmlns:a16="http://schemas.microsoft.com/office/drawing/2014/main" id="{00000000-0008-0000-1900-0000C2050000}"/>
            </a:ext>
          </a:extLst>
        </xdr:cNvPr>
        <xdr:cNvSpPr txBox="1">
          <a:spLocks noChangeArrowheads="1"/>
        </xdr:cNvSpPr>
      </xdr:nvSpPr>
      <xdr:spPr bwMode="auto">
        <a:xfrm>
          <a:off x="5625354" y="3686735"/>
          <a:ext cx="1534806" cy="441879"/>
        </a:xfrm>
        <a:prstGeom prst="rect">
          <a:avLst/>
        </a:prstGeom>
        <a:noFill/>
        <a:ln w="9525">
          <a:noFill/>
          <a:miter lim="800000"/>
          <a:headEnd/>
          <a:tailEnd/>
        </a:ln>
      </xdr:spPr>
      <xdr:txBody>
        <a:bodyPr wrap="none" lIns="18288" tIns="22860" rIns="18288" bIns="22860" anchor="ctr" upright="1">
          <a:noAutofit/>
        </a:bodyPr>
        <a:lstStyle/>
        <a:p>
          <a:pPr algn="ctr" rtl="0">
            <a:defRPr sz="1000"/>
          </a:pPr>
          <a:r>
            <a:rPr lang="ko-KR" altLang="en-US" sz="1100" b="0" i="0" strike="noStrike">
              <a:solidFill>
                <a:srgbClr val="000000"/>
              </a:solidFill>
              <a:latin typeface="돋움"/>
              <a:ea typeface="돋움"/>
            </a:rPr>
            <a:t>후렉시블관</a:t>
          </a:r>
          <a:r>
            <a:rPr lang="en-US" altLang="ko-KR" sz="1100" b="0" i="0" strike="noStrike">
              <a:solidFill>
                <a:srgbClr val="000000"/>
              </a:solidFill>
              <a:latin typeface="돋움"/>
              <a:ea typeface="돋움"/>
            </a:rPr>
            <a:t>(GW-22)1</a:t>
          </a:r>
          <a:r>
            <a:rPr lang="ko-KR" altLang="en-US" sz="1100" b="0" i="0" strike="noStrike">
              <a:solidFill>
                <a:srgbClr val="000000"/>
              </a:solidFill>
              <a:latin typeface="돋움"/>
              <a:ea typeface="돋움"/>
            </a:rPr>
            <a:t>조</a:t>
          </a:r>
        </a:p>
        <a:p>
          <a:pPr algn="ctr" rtl="0">
            <a:defRPr sz="1000"/>
          </a:pPr>
          <a:r>
            <a:rPr lang="en-US" altLang="ko-KR" sz="1100" b="0" i="0" strike="noStrike">
              <a:solidFill>
                <a:srgbClr val="000000"/>
              </a:solidFill>
              <a:latin typeface="돋움"/>
              <a:ea typeface="돋움"/>
            </a:rPr>
            <a:t>(</a:t>
          </a:r>
          <a:r>
            <a:rPr lang="ko-KR" altLang="en-US" sz="1100" b="0" i="0" strike="noStrike">
              <a:solidFill>
                <a:srgbClr val="000000"/>
              </a:solidFill>
              <a:latin typeface="돋움"/>
              <a:ea typeface="돋움"/>
            </a:rPr>
            <a:t>사급 </a:t>
          </a:r>
          <a:r>
            <a:rPr lang="en-US" altLang="ko-KR" sz="1100" b="0" i="0" strike="noStrike">
              <a:solidFill>
                <a:srgbClr val="000000"/>
              </a:solidFill>
              <a:latin typeface="돋움"/>
              <a:ea typeface="돋움"/>
            </a:rPr>
            <a:t>: </a:t>
          </a:r>
          <a:r>
            <a:rPr lang="ko-KR" altLang="en-US" sz="1100" b="0" i="0" strike="noStrike">
              <a:solidFill>
                <a:srgbClr val="000000"/>
              </a:solidFill>
              <a:latin typeface="돋움"/>
              <a:ea typeface="돋움"/>
            </a:rPr>
            <a:t>광점퍼코드</a:t>
          </a:r>
          <a:r>
            <a:rPr lang="en-US" altLang="ko-KR" sz="1100" b="0" i="0" strike="noStrike">
              <a:solidFill>
                <a:srgbClr val="000000"/>
              </a:solidFill>
              <a:latin typeface="돋움"/>
              <a:ea typeface="돋움"/>
            </a:rPr>
            <a:t>4</a:t>
          </a:r>
          <a:r>
            <a:rPr lang="ko-KR" altLang="en-US" sz="1100" b="0" i="0" strike="noStrike">
              <a:solidFill>
                <a:srgbClr val="000000"/>
              </a:solidFill>
              <a:latin typeface="돋움"/>
              <a:ea typeface="돋움"/>
            </a:rPr>
            <a:t>열</a:t>
          </a:r>
          <a:r>
            <a:rPr lang="en-US" altLang="ko-KR" sz="1100" b="0" i="0" strike="noStrike">
              <a:solidFill>
                <a:srgbClr val="000000"/>
              </a:solidFill>
              <a:latin typeface="돋움"/>
              <a:ea typeface="돋움"/>
            </a:rPr>
            <a:t>)</a:t>
          </a:r>
        </a:p>
      </xdr:txBody>
    </xdr:sp>
    <xdr:clientData/>
  </xdr:twoCellAnchor>
  <xdr:twoCellAnchor>
    <xdr:from>
      <xdr:col>26</xdr:col>
      <xdr:colOff>190499</xdr:colOff>
      <xdr:row>20</xdr:row>
      <xdr:rowOff>100853</xdr:rowOff>
    </xdr:from>
    <xdr:to>
      <xdr:col>29</xdr:col>
      <xdr:colOff>49583</xdr:colOff>
      <xdr:row>22</xdr:row>
      <xdr:rowOff>109472</xdr:rowOff>
    </xdr:to>
    <xdr:sp macro="" textlink="">
      <xdr:nvSpPr>
        <xdr:cNvPr id="1476" name="Text Box 12">
          <a:extLst>
            <a:ext uri="{FF2B5EF4-FFF2-40B4-BE49-F238E27FC236}">
              <a16:creationId xmlns:a16="http://schemas.microsoft.com/office/drawing/2014/main" id="{00000000-0008-0000-1900-0000C4050000}"/>
            </a:ext>
          </a:extLst>
        </xdr:cNvPr>
        <xdr:cNvSpPr txBox="1">
          <a:spLocks noChangeArrowheads="1"/>
        </xdr:cNvSpPr>
      </xdr:nvSpPr>
      <xdr:spPr bwMode="auto">
        <a:xfrm>
          <a:off x="7037293" y="4504765"/>
          <a:ext cx="665908" cy="434442"/>
        </a:xfrm>
        <a:prstGeom prst="rect">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27432" tIns="22860" rIns="27432" bIns="22860" anchor="ctr" upright="1"/>
        <a:lstStyle/>
        <a:p>
          <a:pPr algn="ctr" rtl="0">
            <a:defRPr sz="1000"/>
          </a:pPr>
          <a:r>
            <a:rPr lang="en-US" altLang="ko-KR" sz="1100" b="1" i="0" strike="noStrike">
              <a:solidFill>
                <a:srgbClr val="000000"/>
              </a:solidFill>
              <a:latin typeface="돋움"/>
              <a:ea typeface="돋움"/>
            </a:rPr>
            <a:t>EPIA</a:t>
          </a:r>
        </a:p>
        <a:p>
          <a:pPr algn="ctr" rtl="0">
            <a:defRPr sz="1000"/>
          </a:pPr>
          <a:r>
            <a:rPr lang="en-US" altLang="ko-KR" sz="1100" b="1" i="0" strike="noStrike">
              <a:solidFill>
                <a:srgbClr val="000000"/>
              </a:solidFill>
              <a:latin typeface="돋움"/>
              <a:ea typeface="돋움"/>
            </a:rPr>
            <a:t>HUB</a:t>
          </a:r>
        </a:p>
      </xdr:txBody>
    </xdr:sp>
    <xdr:clientData/>
  </xdr:twoCellAnchor>
  <xdr:twoCellAnchor>
    <xdr:from>
      <xdr:col>16</xdr:col>
      <xdr:colOff>56030</xdr:colOff>
      <xdr:row>12</xdr:row>
      <xdr:rowOff>156882</xdr:rowOff>
    </xdr:from>
    <xdr:to>
      <xdr:col>16</xdr:col>
      <xdr:colOff>235324</xdr:colOff>
      <xdr:row>23</xdr:row>
      <xdr:rowOff>102923</xdr:rowOff>
    </xdr:to>
    <xdr:sp macro="" textlink="">
      <xdr:nvSpPr>
        <xdr:cNvPr id="1477" name="직사각형 1476">
          <a:extLst>
            <a:ext uri="{FF2B5EF4-FFF2-40B4-BE49-F238E27FC236}">
              <a16:creationId xmlns:a16="http://schemas.microsoft.com/office/drawing/2014/main" id="{00000000-0008-0000-1900-0000C5050000}"/>
            </a:ext>
          </a:extLst>
        </xdr:cNvPr>
        <xdr:cNvSpPr/>
      </xdr:nvSpPr>
      <xdr:spPr>
        <a:xfrm>
          <a:off x="4213412" y="2857500"/>
          <a:ext cx="179294" cy="2288070"/>
        </a:xfrm>
        <a:prstGeom prst="rect">
          <a:avLst/>
        </a:prstGeom>
        <a:noFill/>
        <a:ln w="28575">
          <a:solidFill>
            <a:srgbClr val="9999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100"/>
        </a:p>
      </xdr:txBody>
    </xdr:sp>
    <xdr:clientData/>
  </xdr:twoCellAnchor>
  <xdr:twoCellAnchor>
    <xdr:from>
      <xdr:col>16</xdr:col>
      <xdr:colOff>246530</xdr:colOff>
      <xdr:row>21</xdr:row>
      <xdr:rowOff>134471</xdr:rowOff>
    </xdr:from>
    <xdr:to>
      <xdr:col>26</xdr:col>
      <xdr:colOff>212912</xdr:colOff>
      <xdr:row>21</xdr:row>
      <xdr:rowOff>134471</xdr:rowOff>
    </xdr:to>
    <xdr:sp macro="" textlink="">
      <xdr:nvSpPr>
        <xdr:cNvPr id="1478" name="Line 20">
          <a:extLst>
            <a:ext uri="{FF2B5EF4-FFF2-40B4-BE49-F238E27FC236}">
              <a16:creationId xmlns:a16="http://schemas.microsoft.com/office/drawing/2014/main" id="{00000000-0008-0000-1900-0000C6050000}"/>
            </a:ext>
          </a:extLst>
        </xdr:cNvPr>
        <xdr:cNvSpPr>
          <a:spLocks noChangeShapeType="1"/>
        </xdr:cNvSpPr>
      </xdr:nvSpPr>
      <xdr:spPr bwMode="auto">
        <a:xfrm>
          <a:off x="4403912" y="4751295"/>
          <a:ext cx="2655794" cy="0"/>
        </a:xfrm>
        <a:prstGeom prst="line">
          <a:avLst/>
        </a:prstGeom>
        <a:noFill/>
        <a:ln w="28575">
          <a:solidFill>
            <a:srgbClr val="9999FF"/>
          </a:solidFill>
          <a:round/>
          <a:headEnd/>
          <a:tailEnd/>
        </a:ln>
      </xdr:spPr>
    </xdr:sp>
    <xdr:clientData/>
  </xdr:twoCellAnchor>
  <xdr:twoCellAnchor>
    <xdr:from>
      <xdr:col>20</xdr:col>
      <xdr:colOff>248770</xdr:colOff>
      <xdr:row>22</xdr:row>
      <xdr:rowOff>77881</xdr:rowOff>
    </xdr:from>
    <xdr:to>
      <xdr:col>27</xdr:col>
      <xdr:colOff>208024</xdr:colOff>
      <xdr:row>24</xdr:row>
      <xdr:rowOff>63509</xdr:rowOff>
    </xdr:to>
    <xdr:sp macro="" textlink="">
      <xdr:nvSpPr>
        <xdr:cNvPr id="1479" name="Text Box 152">
          <a:extLst>
            <a:ext uri="{FF2B5EF4-FFF2-40B4-BE49-F238E27FC236}">
              <a16:creationId xmlns:a16="http://schemas.microsoft.com/office/drawing/2014/main" id="{00000000-0008-0000-1900-0000C7050000}"/>
            </a:ext>
          </a:extLst>
        </xdr:cNvPr>
        <xdr:cNvSpPr txBox="1">
          <a:spLocks noChangeArrowheads="1"/>
        </xdr:cNvSpPr>
      </xdr:nvSpPr>
      <xdr:spPr bwMode="auto">
        <a:xfrm>
          <a:off x="5439895" y="4830856"/>
          <a:ext cx="1826154" cy="404728"/>
        </a:xfrm>
        <a:prstGeom prst="rect">
          <a:avLst/>
        </a:prstGeom>
        <a:noFill/>
        <a:ln w="9525">
          <a:noFill/>
          <a:miter lim="800000"/>
          <a:headEnd/>
          <a:tailEnd/>
        </a:ln>
      </xdr:spPr>
      <xdr:txBody>
        <a:bodyPr wrap="none" lIns="18288" tIns="18288" rIns="18288" bIns="0" anchor="ctr" upright="1">
          <a:noAutofit/>
        </a:bodyPr>
        <a:lstStyle/>
        <a:p>
          <a:pPr algn="ctr" rtl="0">
            <a:defRPr sz="1000"/>
          </a:pPr>
          <a:r>
            <a:rPr lang="ko-KR" altLang="en-US" sz="1100" b="0" i="0" strike="noStrike">
              <a:solidFill>
                <a:srgbClr val="000000"/>
              </a:solidFill>
              <a:latin typeface="돋움" pitchFamily="50" charset="-127"/>
              <a:ea typeface="돋움" pitchFamily="50" charset="-127"/>
            </a:rPr>
            <a:t>후렉시블관</a:t>
          </a:r>
          <a:r>
            <a:rPr lang="en-US" altLang="ko-KR" sz="1100" b="0" i="0" strike="noStrike">
              <a:solidFill>
                <a:srgbClr val="000000"/>
              </a:solidFill>
              <a:latin typeface="돋움" pitchFamily="50" charset="-127"/>
              <a:ea typeface="돋움" pitchFamily="50" charset="-127"/>
            </a:rPr>
            <a:t>(GW-16)</a:t>
          </a:r>
          <a:r>
            <a:rPr lang="en-US" altLang="ko-KR" sz="1100" b="0" i="0" strike="noStrike" baseline="0">
              <a:solidFill>
                <a:srgbClr val="000000"/>
              </a:solidFill>
              <a:latin typeface="돋움" pitchFamily="50" charset="-127"/>
              <a:ea typeface="돋움" pitchFamily="50" charset="-127"/>
            </a:rPr>
            <a:t>2</a:t>
          </a:r>
          <a:r>
            <a:rPr lang="ko-KR" altLang="en-US" sz="1100" b="0" i="0" strike="noStrike" baseline="0">
              <a:solidFill>
                <a:srgbClr val="000000"/>
              </a:solidFill>
              <a:latin typeface="돋움" pitchFamily="50" charset="-127"/>
              <a:ea typeface="돋움" pitchFamily="50" charset="-127"/>
            </a:rPr>
            <a:t>조</a:t>
          </a:r>
          <a:endParaRPr lang="en-US" altLang="ko-KR" sz="1100" b="0" i="0" strike="noStrike" baseline="0">
            <a:solidFill>
              <a:srgbClr val="000000"/>
            </a:solidFill>
            <a:latin typeface="돋움" pitchFamily="50" charset="-127"/>
            <a:ea typeface="돋움" pitchFamily="50" charset="-127"/>
          </a:endParaRPr>
        </a:p>
        <a:p>
          <a:pPr algn="ctr" rtl="0">
            <a:defRPr sz="1000"/>
          </a:pPr>
          <a:r>
            <a:rPr lang="en-US" altLang="ko-KR" sz="1100" b="0" i="0" strike="noStrike">
              <a:solidFill>
                <a:srgbClr val="000000"/>
              </a:solidFill>
              <a:latin typeface="돋움" pitchFamily="50" charset="-127"/>
              <a:ea typeface="돋움" pitchFamily="50" charset="-127"/>
            </a:rPr>
            <a:t>UTP (CAT.5E/4P)*2</a:t>
          </a:r>
          <a:r>
            <a:rPr lang="ko-KR" altLang="en-US" sz="1100" b="0" i="0" strike="noStrike">
              <a:solidFill>
                <a:srgbClr val="000000"/>
              </a:solidFill>
              <a:latin typeface="돋움" pitchFamily="50" charset="-127"/>
              <a:ea typeface="돋움" pitchFamily="50" charset="-127"/>
            </a:rPr>
            <a:t>조</a:t>
          </a:r>
          <a:endParaRPr lang="en-US" altLang="ko-KR" sz="1100" b="0" i="0" strike="noStrike">
            <a:solidFill>
              <a:srgbClr val="000000"/>
            </a:solidFill>
            <a:latin typeface="돋움" pitchFamily="50" charset="-127"/>
            <a:ea typeface="돋움" pitchFamily="50" charset="-127"/>
          </a:endParaRPr>
        </a:p>
      </xdr:txBody>
    </xdr:sp>
    <xdr:clientData/>
  </xdr:twoCellAnchor>
  <xdr:twoCellAnchor>
    <xdr:from>
      <xdr:col>18</xdr:col>
      <xdr:colOff>111165</xdr:colOff>
      <xdr:row>10</xdr:row>
      <xdr:rowOff>204100</xdr:rowOff>
    </xdr:from>
    <xdr:to>
      <xdr:col>20</xdr:col>
      <xdr:colOff>161925</xdr:colOff>
      <xdr:row>12</xdr:row>
      <xdr:rowOff>108279</xdr:rowOff>
    </xdr:to>
    <xdr:sp macro="" textlink="">
      <xdr:nvSpPr>
        <xdr:cNvPr id="1480" name="TextBox 53">
          <a:extLst>
            <a:ext uri="{FF2B5EF4-FFF2-40B4-BE49-F238E27FC236}">
              <a16:creationId xmlns:a16="http://schemas.microsoft.com/office/drawing/2014/main" id="{00000000-0008-0000-1900-0000C8050000}"/>
            </a:ext>
          </a:extLst>
        </xdr:cNvPr>
        <xdr:cNvSpPr txBox="1"/>
      </xdr:nvSpPr>
      <xdr:spPr>
        <a:xfrm>
          <a:off x="4768890" y="2442475"/>
          <a:ext cx="584160" cy="323279"/>
        </a:xfrm>
        <a:prstGeom prst="rect">
          <a:avLst/>
        </a:prstGeom>
        <a:solidFill>
          <a:schemeClr val="bg1">
            <a:alpha val="59000"/>
          </a:schemeClr>
        </a:solidFill>
      </xdr:spPr>
      <xdr:txBody>
        <a:bodyPr wrap="square"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en-US" altLang="ko-KR" sz="1200">
              <a:latin typeface="KoPub돋움체 Bold" panose="02020603020101020101" pitchFamily="18" charset="-127"/>
              <a:ea typeface="KoPub돋움체 Bold" panose="02020603020101020101" pitchFamily="18" charset="-127"/>
            </a:rPr>
            <a:t>CTRU</a:t>
          </a:r>
          <a:endParaRPr lang="ko-KR" altLang="en-US" sz="1200">
            <a:latin typeface="KoPub돋움체 Bold" panose="02020603020101020101" pitchFamily="18" charset="-127"/>
            <a:ea typeface="KoPub돋움체 Bold" panose="02020603020101020101" pitchFamily="18" charset="-127"/>
          </a:endParaRPr>
        </a:p>
      </xdr:txBody>
    </xdr:sp>
    <xdr:clientData/>
  </xdr:twoCellAnchor>
  <xdr:twoCellAnchor>
    <xdr:from>
      <xdr:col>14</xdr:col>
      <xdr:colOff>2309</xdr:colOff>
      <xdr:row>11</xdr:row>
      <xdr:rowOff>41106</xdr:rowOff>
    </xdr:from>
    <xdr:to>
      <xdr:col>15</xdr:col>
      <xdr:colOff>231322</xdr:colOff>
      <xdr:row>12</xdr:row>
      <xdr:rowOff>149392</xdr:rowOff>
    </xdr:to>
    <xdr:sp macro="" textlink="">
      <xdr:nvSpPr>
        <xdr:cNvPr id="1481" name="TextBox 53">
          <a:extLst>
            <a:ext uri="{FF2B5EF4-FFF2-40B4-BE49-F238E27FC236}">
              <a16:creationId xmlns:a16="http://schemas.microsoft.com/office/drawing/2014/main" id="{00000000-0008-0000-1900-0000C9050000}"/>
            </a:ext>
          </a:extLst>
        </xdr:cNvPr>
        <xdr:cNvSpPr txBox="1"/>
      </xdr:nvSpPr>
      <xdr:spPr>
        <a:xfrm>
          <a:off x="3662630" y="2435963"/>
          <a:ext cx="501156" cy="312393"/>
        </a:xfrm>
        <a:prstGeom prst="rect">
          <a:avLst/>
        </a:prstGeom>
        <a:solidFill>
          <a:schemeClr val="bg1">
            <a:alpha val="59000"/>
          </a:schemeClr>
        </a:solidFill>
      </xdr:spPr>
      <xdr:txBody>
        <a:bodyPr wrap="square"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en-US" altLang="ko-KR" sz="1200">
              <a:latin typeface="KoPub돋움체 Bold" panose="02020603020101020101" pitchFamily="18" charset="-127"/>
              <a:ea typeface="KoPub돋움체 Bold" panose="02020603020101020101" pitchFamily="18" charset="-127"/>
            </a:rPr>
            <a:t>PIU</a:t>
          </a:r>
          <a:endParaRPr lang="ko-KR" altLang="en-US" sz="1200">
            <a:latin typeface="KoPub돋움체 Bold" panose="02020603020101020101" pitchFamily="18" charset="-127"/>
            <a:ea typeface="KoPub돋움체 Bold" panose="02020603020101020101" pitchFamily="18" charset="-127"/>
          </a:endParaRPr>
        </a:p>
      </xdr:txBody>
    </xdr:sp>
    <xdr:clientData/>
  </xdr:twoCellAnchor>
  <xdr:twoCellAnchor>
    <xdr:from>
      <xdr:col>15</xdr:col>
      <xdr:colOff>206416</xdr:colOff>
      <xdr:row>11</xdr:row>
      <xdr:rowOff>68031</xdr:rowOff>
    </xdr:from>
    <xdr:to>
      <xdr:col>17</xdr:col>
      <xdr:colOff>163286</xdr:colOff>
      <xdr:row>12</xdr:row>
      <xdr:rowOff>176894</xdr:rowOff>
    </xdr:to>
    <xdr:sp macro="" textlink="">
      <xdr:nvSpPr>
        <xdr:cNvPr id="1482" name="TextBox 53">
          <a:extLst>
            <a:ext uri="{FF2B5EF4-FFF2-40B4-BE49-F238E27FC236}">
              <a16:creationId xmlns:a16="http://schemas.microsoft.com/office/drawing/2014/main" id="{00000000-0008-0000-1900-0000CA050000}"/>
            </a:ext>
          </a:extLst>
        </xdr:cNvPr>
        <xdr:cNvSpPr txBox="1"/>
      </xdr:nvSpPr>
      <xdr:spPr>
        <a:xfrm>
          <a:off x="4138880" y="2462888"/>
          <a:ext cx="501156" cy="312970"/>
        </a:xfrm>
        <a:prstGeom prst="rect">
          <a:avLst/>
        </a:prstGeom>
        <a:solidFill>
          <a:schemeClr val="bg1">
            <a:alpha val="59000"/>
          </a:schemeClr>
        </a:solidFill>
      </xdr:spPr>
      <xdr:txBody>
        <a:bodyPr wrap="square"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en-US" altLang="ko-KR" sz="1200">
              <a:latin typeface="KoPub돋움체 Bold" panose="02020603020101020101" pitchFamily="18" charset="-127"/>
              <a:ea typeface="KoPub돋움체 Bold" panose="02020603020101020101" pitchFamily="18" charset="-127"/>
            </a:rPr>
            <a:t>ECU</a:t>
          </a:r>
          <a:endParaRPr lang="ko-KR" altLang="en-US" sz="1200">
            <a:latin typeface="KoPub돋움체 Bold" panose="02020603020101020101" pitchFamily="18" charset="-127"/>
            <a:ea typeface="KoPub돋움체 Bold" panose="02020603020101020101" pitchFamily="18" charset="-127"/>
          </a:endParaRPr>
        </a:p>
      </xdr:txBody>
    </xdr:sp>
    <xdr:clientData/>
  </xdr:twoCellAnchor>
  <xdr:twoCellAnchor>
    <xdr:from>
      <xdr:col>11</xdr:col>
      <xdr:colOff>247237</xdr:colOff>
      <xdr:row>11</xdr:row>
      <xdr:rowOff>27499</xdr:rowOff>
    </xdr:from>
    <xdr:to>
      <xdr:col>13</xdr:col>
      <xdr:colOff>204107</xdr:colOff>
      <xdr:row>12</xdr:row>
      <xdr:rowOff>135785</xdr:rowOff>
    </xdr:to>
    <xdr:sp macro="" textlink="">
      <xdr:nvSpPr>
        <xdr:cNvPr id="1483" name="TextBox 53">
          <a:extLst>
            <a:ext uri="{FF2B5EF4-FFF2-40B4-BE49-F238E27FC236}">
              <a16:creationId xmlns:a16="http://schemas.microsoft.com/office/drawing/2014/main" id="{00000000-0008-0000-1900-0000CB050000}"/>
            </a:ext>
          </a:extLst>
        </xdr:cNvPr>
        <xdr:cNvSpPr txBox="1"/>
      </xdr:nvSpPr>
      <xdr:spPr>
        <a:xfrm>
          <a:off x="3091130" y="2422356"/>
          <a:ext cx="501156" cy="312393"/>
        </a:xfrm>
        <a:prstGeom prst="rect">
          <a:avLst/>
        </a:prstGeom>
        <a:solidFill>
          <a:schemeClr val="bg1">
            <a:alpha val="59000"/>
          </a:schemeClr>
        </a:solidFill>
      </xdr:spPr>
      <xdr:txBody>
        <a:bodyPr wrap="square"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en-US" altLang="ko-KR" sz="1200">
              <a:latin typeface="KoPub돋움체 Bold" panose="02020603020101020101" pitchFamily="18" charset="-127"/>
              <a:ea typeface="KoPub돋움체 Bold" panose="02020603020101020101" pitchFamily="18" charset="-127"/>
            </a:rPr>
            <a:t>LIU</a:t>
          </a:r>
          <a:endParaRPr lang="ko-KR" altLang="en-US" sz="1200">
            <a:latin typeface="KoPub돋움체 Bold" panose="02020603020101020101" pitchFamily="18" charset="-127"/>
            <a:ea typeface="KoPub돋움체 Bold" panose="02020603020101020101" pitchFamily="18" charset="-127"/>
          </a:endParaRPr>
        </a:p>
      </xdr:txBody>
    </xdr:sp>
    <xdr:clientData/>
  </xdr:twoCellAnchor>
  <xdr:twoCellAnchor>
    <xdr:from>
      <xdr:col>13</xdr:col>
      <xdr:colOff>96049</xdr:colOff>
      <xdr:row>12</xdr:row>
      <xdr:rowOff>148077</xdr:rowOff>
    </xdr:from>
    <xdr:to>
      <xdr:col>16</xdr:col>
      <xdr:colOff>0</xdr:colOff>
      <xdr:row>23</xdr:row>
      <xdr:rowOff>94118</xdr:rowOff>
    </xdr:to>
    <xdr:sp macro="" textlink="">
      <xdr:nvSpPr>
        <xdr:cNvPr id="1484" name="직사각형 1483">
          <a:extLst>
            <a:ext uri="{FF2B5EF4-FFF2-40B4-BE49-F238E27FC236}">
              <a16:creationId xmlns:a16="http://schemas.microsoft.com/office/drawing/2014/main" id="{00000000-0008-0000-1900-0000CC050000}"/>
            </a:ext>
          </a:extLst>
        </xdr:cNvPr>
        <xdr:cNvSpPr/>
      </xdr:nvSpPr>
      <xdr:spPr>
        <a:xfrm>
          <a:off x="3484228" y="2747041"/>
          <a:ext cx="720379" cy="2191220"/>
        </a:xfrm>
        <a:prstGeom prst="rect">
          <a:avLst/>
        </a:prstGeom>
        <a:noFill/>
        <a:ln w="28575">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100"/>
        </a:p>
      </xdr:txBody>
    </xdr:sp>
    <xdr:clientData/>
  </xdr:twoCellAnchor>
  <xdr:twoCellAnchor>
    <xdr:from>
      <xdr:col>2</xdr:col>
      <xdr:colOff>1</xdr:colOff>
      <xdr:row>39</xdr:row>
      <xdr:rowOff>176893</xdr:rowOff>
    </xdr:from>
    <xdr:to>
      <xdr:col>10</xdr:col>
      <xdr:colOff>13607</xdr:colOff>
      <xdr:row>51</xdr:row>
      <xdr:rowOff>193221</xdr:rowOff>
    </xdr:to>
    <xdr:sp macro="" textlink="">
      <xdr:nvSpPr>
        <xdr:cNvPr id="1485" name="Rectangle 109">
          <a:extLst>
            <a:ext uri="{FF2B5EF4-FFF2-40B4-BE49-F238E27FC236}">
              <a16:creationId xmlns:a16="http://schemas.microsoft.com/office/drawing/2014/main" id="{00000000-0008-0000-1900-0000CD050000}"/>
            </a:ext>
          </a:extLst>
        </xdr:cNvPr>
        <xdr:cNvSpPr>
          <a:spLocks noChangeArrowheads="1"/>
        </xdr:cNvSpPr>
      </xdr:nvSpPr>
      <xdr:spPr bwMode="auto">
        <a:xfrm>
          <a:off x="394608" y="8286750"/>
          <a:ext cx="2190749" cy="2506435"/>
        </a:xfrm>
        <a:prstGeom prst="rect">
          <a:avLst/>
        </a:prstGeom>
        <a:solidFill>
          <a:schemeClr val="bg1">
            <a:lumMod val="95000"/>
          </a:schemeClr>
        </a:solidFill>
        <a:ln w="9525">
          <a:solidFill>
            <a:srgbClr val="000000"/>
          </a:solidFill>
          <a:miter lim="800000"/>
          <a:headEnd/>
          <a:tailEnd/>
        </a:ln>
        <a:effectLst/>
      </xdr:spPr>
    </xdr:sp>
    <xdr:clientData/>
  </xdr:twoCellAnchor>
  <xdr:twoCellAnchor>
    <xdr:from>
      <xdr:col>4</xdr:col>
      <xdr:colOff>173594</xdr:colOff>
      <xdr:row>50</xdr:row>
      <xdr:rowOff>92173</xdr:rowOff>
    </xdr:from>
    <xdr:to>
      <xdr:col>9</xdr:col>
      <xdr:colOff>143001</xdr:colOff>
      <xdr:row>51</xdr:row>
      <xdr:rowOff>178574</xdr:rowOff>
    </xdr:to>
    <xdr:sp macro="" textlink="">
      <xdr:nvSpPr>
        <xdr:cNvPr id="1486" name="Text Box 103">
          <a:extLst>
            <a:ext uri="{FF2B5EF4-FFF2-40B4-BE49-F238E27FC236}">
              <a16:creationId xmlns:a16="http://schemas.microsoft.com/office/drawing/2014/main" id="{00000000-0008-0000-1900-0000CE050000}"/>
            </a:ext>
          </a:extLst>
        </xdr:cNvPr>
        <xdr:cNvSpPr txBox="1">
          <a:spLocks noChangeArrowheads="1"/>
        </xdr:cNvSpPr>
      </xdr:nvSpPr>
      <xdr:spPr bwMode="auto">
        <a:xfrm>
          <a:off x="1112487" y="10488030"/>
          <a:ext cx="1330121" cy="290508"/>
        </a:xfrm>
        <a:prstGeom prst="rect">
          <a:avLst/>
        </a:prstGeom>
        <a:noFill/>
        <a:ln w="12700">
          <a:noFill/>
          <a:miter lim="800000"/>
          <a:headEnd/>
          <a:tailEnd/>
        </a:ln>
        <a:effectLst/>
      </xdr:spPr>
      <xdr:txBody>
        <a:bodyPr vertOverflow="clip" wrap="square" lIns="91440" tIns="45720" rIns="91440" bIns="45720" anchor="ctr" anchorCtr="0" upright="1"/>
        <a:lstStyle/>
        <a:p>
          <a:pPr algn="ctr" rtl="0">
            <a:defRPr sz="1000"/>
          </a:pPr>
          <a:r>
            <a:rPr lang="en-US" altLang="ko-KR" sz="1800" b="1" i="0" u="none" strike="noStrike" baseline="0">
              <a:solidFill>
                <a:srgbClr val="000000"/>
              </a:solidFill>
              <a:latin typeface="굴림"/>
              <a:ea typeface="굴림"/>
            </a:rPr>
            <a:t>(</a:t>
          </a:r>
          <a:r>
            <a:rPr lang="ko-KR" altLang="en-US" sz="1800" b="1" i="0" u="none" strike="noStrike" baseline="0">
              <a:solidFill>
                <a:srgbClr val="000000"/>
              </a:solidFill>
              <a:latin typeface="굴림"/>
              <a:ea typeface="굴림"/>
            </a:rPr>
            <a:t>계전기실</a:t>
          </a:r>
          <a:r>
            <a:rPr lang="en-US" altLang="ko-KR" sz="1800" b="1" i="0" u="none" strike="noStrike" baseline="0">
              <a:solidFill>
                <a:srgbClr val="000000"/>
              </a:solidFill>
              <a:latin typeface="굴림"/>
              <a:ea typeface="굴림"/>
            </a:rPr>
            <a:t>)</a:t>
          </a:r>
          <a:endParaRPr lang="ko-KR" altLang="en-US" sz="1800" b="1" i="0" u="none" strike="noStrike" baseline="0">
            <a:solidFill>
              <a:srgbClr val="000000"/>
            </a:solidFill>
            <a:latin typeface="굴림"/>
            <a:ea typeface="굴림"/>
          </a:endParaRPr>
        </a:p>
      </xdr:txBody>
    </xdr:sp>
    <xdr:clientData/>
  </xdr:twoCellAnchor>
  <xdr:twoCellAnchor>
    <xdr:from>
      <xdr:col>3</xdr:col>
      <xdr:colOff>212272</xdr:colOff>
      <xdr:row>40</xdr:row>
      <xdr:rowOff>153762</xdr:rowOff>
    </xdr:from>
    <xdr:to>
      <xdr:col>8</xdr:col>
      <xdr:colOff>136071</xdr:colOff>
      <xdr:row>43</xdr:row>
      <xdr:rowOff>115661</xdr:rowOff>
    </xdr:to>
    <xdr:sp macro="" textlink="">
      <xdr:nvSpPr>
        <xdr:cNvPr id="1487" name="Text Box 50">
          <a:extLst>
            <a:ext uri="{FF2B5EF4-FFF2-40B4-BE49-F238E27FC236}">
              <a16:creationId xmlns:a16="http://schemas.microsoft.com/office/drawing/2014/main" id="{00000000-0008-0000-1900-0000CF050000}"/>
            </a:ext>
          </a:extLst>
        </xdr:cNvPr>
        <xdr:cNvSpPr txBox="1">
          <a:spLocks noChangeArrowheads="1"/>
        </xdr:cNvSpPr>
      </xdr:nvSpPr>
      <xdr:spPr bwMode="auto">
        <a:xfrm>
          <a:off x="879022" y="8467726"/>
          <a:ext cx="1284513" cy="574221"/>
        </a:xfrm>
        <a:prstGeom prst="rect">
          <a:avLst/>
        </a:prstGeom>
        <a:solidFill>
          <a:schemeClr val="accent6">
            <a:lumMod val="20000"/>
            <a:lumOff val="80000"/>
          </a:schemeClr>
        </a:solidFill>
        <a:ln w="9525">
          <a:solidFill>
            <a:srgbClr val="000000"/>
          </a:solidFill>
          <a:miter lim="800000"/>
          <a:headEnd/>
          <a:tailEnd/>
        </a:ln>
        <a:effectLst>
          <a:outerShdw dist="35921" dir="2700000" algn="ctr" rotWithShape="0">
            <a:srgbClr val="808080"/>
          </a:outerShdw>
        </a:effectLst>
      </xdr:spPr>
      <xdr:txBody>
        <a:bodyPr vertOverflow="clip" wrap="square" lIns="27432" tIns="18288" rIns="27432" bIns="18288" anchor="ctr" upright="1"/>
        <a:lstStyle/>
        <a:p>
          <a:pPr algn="ctr" rtl="0">
            <a:defRPr sz="1000"/>
          </a:pPr>
          <a:r>
            <a:rPr lang="ko-KR" altLang="en-US" sz="1000" b="1" i="0" strike="noStrike">
              <a:solidFill>
                <a:srgbClr val="000000"/>
              </a:solidFill>
              <a:latin typeface="돋움" pitchFamily="50" charset="-127"/>
              <a:ea typeface="돋움" pitchFamily="50" charset="-127"/>
            </a:rPr>
            <a:t>보호 </a:t>
          </a:r>
          <a:r>
            <a:rPr lang="en-US" altLang="ko-KR" sz="1000" b="1" i="0" strike="noStrike">
              <a:solidFill>
                <a:srgbClr val="000000"/>
              </a:solidFill>
              <a:latin typeface="돋움" pitchFamily="50" charset="-127"/>
              <a:ea typeface="돋움" pitchFamily="50" charset="-127"/>
            </a:rPr>
            <a:t>PNL</a:t>
          </a:r>
        </a:p>
      </xdr:txBody>
    </xdr:sp>
    <xdr:clientData/>
  </xdr:twoCellAnchor>
  <xdr:twoCellAnchor>
    <xdr:from>
      <xdr:col>6</xdr:col>
      <xdr:colOff>108857</xdr:colOff>
      <xdr:row>23</xdr:row>
      <xdr:rowOff>108857</xdr:rowOff>
    </xdr:from>
    <xdr:to>
      <xdr:col>14</xdr:col>
      <xdr:colOff>108858</xdr:colOff>
      <xdr:row>40</xdr:row>
      <xdr:rowOff>13607</xdr:rowOff>
    </xdr:to>
    <xdr:sp macro="" textlink="">
      <xdr:nvSpPr>
        <xdr:cNvPr id="18" name="자유형 17">
          <a:extLst>
            <a:ext uri="{FF2B5EF4-FFF2-40B4-BE49-F238E27FC236}">
              <a16:creationId xmlns:a16="http://schemas.microsoft.com/office/drawing/2014/main" id="{00000000-0008-0000-1900-000012000000}"/>
            </a:ext>
          </a:extLst>
        </xdr:cNvPr>
        <xdr:cNvSpPr/>
      </xdr:nvSpPr>
      <xdr:spPr>
        <a:xfrm>
          <a:off x="1592036" y="4953000"/>
          <a:ext cx="2177143" cy="3374571"/>
        </a:xfrm>
        <a:custGeom>
          <a:avLst/>
          <a:gdLst>
            <a:gd name="connsiteX0" fmla="*/ 2177143 w 2177143"/>
            <a:gd name="connsiteY0" fmla="*/ 0 h 3374571"/>
            <a:gd name="connsiteX1" fmla="*/ 2177143 w 2177143"/>
            <a:gd name="connsiteY1" fmla="*/ 353786 h 3374571"/>
            <a:gd name="connsiteX2" fmla="*/ 0 w 2177143"/>
            <a:gd name="connsiteY2" fmla="*/ 353786 h 3374571"/>
            <a:gd name="connsiteX3" fmla="*/ 0 w 2177143"/>
            <a:gd name="connsiteY3" fmla="*/ 3374571 h 3374571"/>
          </a:gdLst>
          <a:ahLst/>
          <a:cxnLst>
            <a:cxn ang="0">
              <a:pos x="connsiteX0" y="connsiteY0"/>
            </a:cxn>
            <a:cxn ang="0">
              <a:pos x="connsiteX1" y="connsiteY1"/>
            </a:cxn>
            <a:cxn ang="0">
              <a:pos x="connsiteX2" y="connsiteY2"/>
            </a:cxn>
            <a:cxn ang="0">
              <a:pos x="connsiteX3" y="connsiteY3"/>
            </a:cxn>
          </a:cxnLst>
          <a:rect l="l" t="t" r="r" b="b"/>
          <a:pathLst>
            <a:path w="2177143" h="3374571">
              <a:moveTo>
                <a:pt x="2177143" y="0"/>
              </a:moveTo>
              <a:lnTo>
                <a:pt x="2177143" y="353786"/>
              </a:lnTo>
              <a:lnTo>
                <a:pt x="0" y="353786"/>
              </a:lnTo>
              <a:lnTo>
                <a:pt x="0" y="3374571"/>
              </a:lnTo>
            </a:path>
          </a:pathLst>
        </a:custGeom>
        <a:no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xdr:col>
      <xdr:colOff>244612</xdr:colOff>
      <xdr:row>26</xdr:row>
      <xdr:rowOff>86999</xdr:rowOff>
    </xdr:from>
    <xdr:to>
      <xdr:col>11</xdr:col>
      <xdr:colOff>136939</xdr:colOff>
      <xdr:row>29</xdr:row>
      <xdr:rowOff>161543</xdr:rowOff>
    </xdr:to>
    <xdr:sp macro="" textlink="">
      <xdr:nvSpPr>
        <xdr:cNvPr id="1488" name="Text Box 68">
          <a:extLst>
            <a:ext uri="{FF2B5EF4-FFF2-40B4-BE49-F238E27FC236}">
              <a16:creationId xmlns:a16="http://schemas.microsoft.com/office/drawing/2014/main" id="{00000000-0008-0000-1900-0000D0050000}"/>
            </a:ext>
          </a:extLst>
        </xdr:cNvPr>
        <xdr:cNvSpPr txBox="1">
          <a:spLocks noChangeArrowheads="1"/>
        </xdr:cNvSpPr>
      </xdr:nvSpPr>
      <xdr:spPr bwMode="auto">
        <a:xfrm>
          <a:off x="1183505" y="5543463"/>
          <a:ext cx="1797327" cy="686866"/>
        </a:xfrm>
        <a:prstGeom prst="rect">
          <a:avLst/>
        </a:prstGeom>
        <a:noFill/>
        <a:ln w="9525">
          <a:noFill/>
          <a:miter lim="800000"/>
          <a:headEnd/>
          <a:tailEnd/>
        </a:ln>
      </xdr:spPr>
      <xdr:txBody>
        <a:bodyPr wrap="none" lIns="18288" tIns="18288" rIns="18288" bIns="0" anchor="ctr" upright="1">
          <a:noAutofit/>
        </a:bodyPr>
        <a:lstStyle/>
        <a:p>
          <a:pPr algn="ctr" rtl="0">
            <a:defRPr sz="1000"/>
          </a:pPr>
          <a:r>
            <a:rPr lang="ko-KR" altLang="en-US" sz="1100" b="0" i="0" strike="noStrike">
              <a:solidFill>
                <a:sysClr val="windowText" lastClr="000000"/>
              </a:solidFill>
              <a:latin typeface="돋움" pitchFamily="50" charset="-127"/>
              <a:ea typeface="돋움" pitchFamily="50" charset="-127"/>
            </a:rPr>
            <a:t>제어케이블</a:t>
          </a:r>
          <a:endParaRPr lang="en-US" altLang="ko-KR" sz="1100" b="0" i="0" strike="noStrike">
            <a:solidFill>
              <a:sysClr val="windowText" lastClr="000000"/>
            </a:solidFill>
            <a:latin typeface="돋움" pitchFamily="50" charset="-127"/>
            <a:ea typeface="돋움" pitchFamily="50" charset="-127"/>
          </a:endParaRPr>
        </a:p>
        <a:p>
          <a:pPr algn="ctr" rtl="0">
            <a:defRPr sz="1000"/>
          </a:pPr>
          <a:r>
            <a:rPr lang="en-US" altLang="ko-KR" sz="1100" b="0" i="0" strike="noStrike">
              <a:solidFill>
                <a:sysClr val="windowText" lastClr="000000"/>
              </a:solidFill>
              <a:latin typeface="돋움" pitchFamily="50" charset="-127"/>
              <a:ea typeface="돋움" pitchFamily="50" charset="-127"/>
            </a:rPr>
            <a:t>(FR-CVVS 1.5SQ/4,2C)</a:t>
          </a:r>
        </a:p>
        <a:p>
          <a:pPr algn="ctr" rtl="0">
            <a:defRPr sz="1000"/>
          </a:pPr>
          <a:r>
            <a:rPr lang="en-US" altLang="ko-KR" sz="1100" b="0" i="0" strike="noStrike">
              <a:solidFill>
                <a:sysClr val="windowText" lastClr="000000"/>
              </a:solidFill>
              <a:latin typeface="돋움" pitchFamily="50" charset="-127"/>
              <a:ea typeface="돋움" pitchFamily="50" charset="-127"/>
            </a:rPr>
            <a:t>GMU/ALM </a:t>
          </a:r>
          <a:r>
            <a:rPr lang="ko-KR" altLang="en-US" sz="1100" b="0" i="0" strike="noStrike">
              <a:solidFill>
                <a:sysClr val="windowText" lastClr="000000"/>
              </a:solidFill>
              <a:latin typeface="돋움" pitchFamily="50" charset="-127"/>
              <a:ea typeface="돋움" pitchFamily="50" charset="-127"/>
            </a:rPr>
            <a:t>用</a:t>
          </a:r>
        </a:p>
      </xdr:txBody>
    </xdr:sp>
    <xdr:clientData/>
  </xdr:twoCellAnchor>
  <xdr:twoCellAnchor>
    <xdr:from>
      <xdr:col>4</xdr:col>
      <xdr:colOff>26307</xdr:colOff>
      <xdr:row>21</xdr:row>
      <xdr:rowOff>192901</xdr:rowOff>
    </xdr:from>
    <xdr:to>
      <xdr:col>11</xdr:col>
      <xdr:colOff>76313</xdr:colOff>
      <xdr:row>25</xdr:row>
      <xdr:rowOff>16008</xdr:rowOff>
    </xdr:to>
    <xdr:sp macro="" textlink="">
      <xdr:nvSpPr>
        <xdr:cNvPr id="1489" name="Text Box 132">
          <a:extLst>
            <a:ext uri="{FF2B5EF4-FFF2-40B4-BE49-F238E27FC236}">
              <a16:creationId xmlns:a16="http://schemas.microsoft.com/office/drawing/2014/main" id="{00000000-0008-0000-1900-0000D1050000}"/>
            </a:ext>
          </a:extLst>
        </xdr:cNvPr>
        <xdr:cNvSpPr txBox="1">
          <a:spLocks noChangeArrowheads="1"/>
        </xdr:cNvSpPr>
      </xdr:nvSpPr>
      <xdr:spPr bwMode="auto">
        <a:xfrm>
          <a:off x="965200" y="4628830"/>
          <a:ext cx="1955006" cy="639535"/>
        </a:xfrm>
        <a:prstGeom prst="rect">
          <a:avLst/>
        </a:prstGeom>
        <a:noFill/>
        <a:ln w="9525">
          <a:noFill/>
          <a:miter lim="800000"/>
          <a:headEnd/>
          <a:tailEnd/>
        </a:ln>
      </xdr:spPr>
      <xdr:txBody>
        <a:bodyPr wrap="none" lIns="18288" tIns="18288" rIns="18288" bIns="0" anchor="t" upright="1">
          <a:noAutofit/>
        </a:bodyPr>
        <a:lstStyle/>
        <a:p>
          <a:pPr algn="ctr" rtl="0">
            <a:defRPr sz="1000"/>
          </a:pPr>
          <a:r>
            <a:rPr lang="ko-KR" altLang="en-US" sz="1100" b="0" i="0" strike="noStrike">
              <a:solidFill>
                <a:sysClr val="windowText" lastClr="000000"/>
              </a:solidFill>
              <a:latin typeface="돋움" pitchFamily="50" charset="-127"/>
              <a:ea typeface="돋움" pitchFamily="50" charset="-127"/>
            </a:rPr>
            <a:t>후렉시블관</a:t>
          </a:r>
          <a:r>
            <a:rPr lang="en-US" altLang="ko-KR" sz="1100" b="0" i="0">
              <a:solidFill>
                <a:sysClr val="windowText" lastClr="000000"/>
              </a:solidFill>
              <a:latin typeface="돋움" pitchFamily="50" charset="-127"/>
              <a:ea typeface="돋움" pitchFamily="50" charset="-127"/>
              <a:cs typeface="+mn-cs"/>
            </a:rPr>
            <a:t>(GW-22)</a:t>
          </a:r>
          <a:r>
            <a:rPr lang="ko-KR" altLang="en-US" sz="1100" b="0" i="0" strike="noStrike">
              <a:solidFill>
                <a:sysClr val="windowText" lastClr="000000"/>
              </a:solidFill>
              <a:latin typeface="돋움" pitchFamily="50" charset="-127"/>
              <a:ea typeface="돋움" pitchFamily="50" charset="-127"/>
            </a:rPr>
            <a:t>  ＊ </a:t>
          </a:r>
          <a:r>
            <a:rPr lang="en-US" altLang="ko-KR" sz="1100" b="0" i="0" strike="noStrike">
              <a:solidFill>
                <a:sysClr val="windowText" lastClr="000000"/>
              </a:solidFill>
              <a:latin typeface="돋움" pitchFamily="50" charset="-127"/>
              <a:ea typeface="돋움" pitchFamily="50" charset="-127"/>
            </a:rPr>
            <a:t>1</a:t>
          </a:r>
          <a:r>
            <a:rPr lang="ko-KR" altLang="en-US" sz="1100" b="0" i="0" strike="noStrike">
              <a:solidFill>
                <a:sysClr val="windowText" lastClr="000000"/>
              </a:solidFill>
              <a:latin typeface="돋움" pitchFamily="50" charset="-127"/>
              <a:ea typeface="돋움" pitchFamily="50" charset="-127"/>
            </a:rPr>
            <a:t>조</a:t>
          </a:r>
          <a:endParaRPr lang="en-US" altLang="ko-KR" sz="1100" b="0" i="0" strike="noStrike">
            <a:solidFill>
              <a:sysClr val="windowText" lastClr="000000"/>
            </a:solidFill>
            <a:latin typeface="돋움" pitchFamily="50" charset="-127"/>
            <a:ea typeface="돋움" pitchFamily="50" charset="-127"/>
          </a:endParaRPr>
        </a:p>
        <a:p>
          <a:pPr algn="ctr" rtl="0">
            <a:defRPr sz="1000"/>
          </a:pPr>
          <a:r>
            <a:rPr lang="ko-KR" altLang="en-US" sz="1100" b="0" i="0">
              <a:solidFill>
                <a:sysClr val="windowText" lastClr="000000"/>
              </a:solidFill>
              <a:latin typeface="돋움" pitchFamily="50" charset="-127"/>
              <a:ea typeface="돋움" pitchFamily="50" charset="-127"/>
              <a:cs typeface="+mn-cs"/>
            </a:rPr>
            <a:t>광점퍼케이블</a:t>
          </a:r>
          <a:r>
            <a:rPr lang="en-US" altLang="ko-KR" sz="1100" b="0" i="0">
              <a:solidFill>
                <a:sysClr val="windowText" lastClr="000000"/>
              </a:solidFill>
              <a:latin typeface="돋움" pitchFamily="50" charset="-127"/>
              <a:ea typeface="돋움" pitchFamily="50" charset="-127"/>
              <a:cs typeface="+mn-cs"/>
            </a:rPr>
            <a:t>(OJC-MM) </a:t>
          </a:r>
          <a:r>
            <a:rPr lang="ko-KR" altLang="en-US" sz="1100" b="0" i="0">
              <a:solidFill>
                <a:sysClr val="windowText" lastClr="000000"/>
              </a:solidFill>
              <a:latin typeface="돋움" pitchFamily="50" charset="-127"/>
              <a:ea typeface="돋움" pitchFamily="50" charset="-127"/>
              <a:cs typeface="+mn-cs"/>
            </a:rPr>
            <a:t>＊ </a:t>
          </a:r>
          <a:r>
            <a:rPr lang="en-US" altLang="ko-KR" sz="1100" b="0" i="0">
              <a:solidFill>
                <a:sysClr val="windowText" lastClr="000000"/>
              </a:solidFill>
              <a:latin typeface="돋움" pitchFamily="50" charset="-127"/>
              <a:ea typeface="돋움" pitchFamily="50" charset="-127"/>
              <a:cs typeface="+mn-cs"/>
            </a:rPr>
            <a:t>2</a:t>
          </a:r>
          <a:r>
            <a:rPr lang="ko-KR" altLang="en-US" sz="1100" b="0" i="0">
              <a:solidFill>
                <a:sysClr val="windowText" lastClr="000000"/>
              </a:solidFill>
              <a:latin typeface="돋움" pitchFamily="50" charset="-127"/>
              <a:ea typeface="돋움" pitchFamily="50" charset="-127"/>
              <a:cs typeface="+mn-cs"/>
            </a:rPr>
            <a:t>열</a:t>
          </a:r>
          <a:endParaRPr lang="ko-KR" altLang="en-US" sz="1100" b="0" i="0" strike="noStrike">
            <a:solidFill>
              <a:sysClr val="windowText" lastClr="000000"/>
            </a:solidFill>
            <a:latin typeface="돋움" pitchFamily="50" charset="-127"/>
            <a:ea typeface="돋움" pitchFamily="50" charset="-127"/>
          </a:endParaRPr>
        </a:p>
        <a:p>
          <a:pPr algn="ctr" rtl="0">
            <a:defRPr sz="1000"/>
          </a:pPr>
          <a:r>
            <a:rPr lang="en-US" altLang="ko-KR" sz="1100" b="0" i="0" strike="noStrike">
              <a:solidFill>
                <a:sysClr val="windowText" lastClr="000000"/>
              </a:solidFill>
              <a:latin typeface="돋움" pitchFamily="50" charset="-127"/>
              <a:ea typeface="돋움" pitchFamily="50" charset="-127"/>
            </a:rPr>
            <a:t>OR  B/O 4C </a:t>
          </a:r>
          <a:r>
            <a:rPr lang="ko-KR" altLang="en-US" sz="1100" b="0" i="0" strike="noStrike">
              <a:solidFill>
                <a:sysClr val="windowText" lastClr="000000"/>
              </a:solidFill>
              <a:latin typeface="돋움" pitchFamily="50" charset="-127"/>
              <a:ea typeface="돋움" pitchFamily="50" charset="-127"/>
            </a:rPr>
            <a:t>用</a:t>
          </a:r>
        </a:p>
      </xdr:txBody>
    </xdr:sp>
    <xdr:clientData/>
  </xdr:twoCellAnchor>
  <xdr:twoCellAnchor>
    <xdr:from>
      <xdr:col>24</xdr:col>
      <xdr:colOff>246156</xdr:colOff>
      <xdr:row>39</xdr:row>
      <xdr:rowOff>102607</xdr:rowOff>
    </xdr:from>
    <xdr:to>
      <xdr:col>27</xdr:col>
      <xdr:colOff>258964</xdr:colOff>
      <xdr:row>41</xdr:row>
      <xdr:rowOff>73664</xdr:rowOff>
    </xdr:to>
    <xdr:sp macro="" textlink="">
      <xdr:nvSpPr>
        <xdr:cNvPr id="1490" name="Text Box 14">
          <a:extLst>
            <a:ext uri="{FF2B5EF4-FFF2-40B4-BE49-F238E27FC236}">
              <a16:creationId xmlns:a16="http://schemas.microsoft.com/office/drawing/2014/main" id="{00000000-0008-0000-1900-0000D2050000}"/>
            </a:ext>
          </a:extLst>
        </xdr:cNvPr>
        <xdr:cNvSpPr txBox="1">
          <a:spLocks noChangeArrowheads="1"/>
        </xdr:cNvSpPr>
      </xdr:nvSpPr>
      <xdr:spPr bwMode="auto">
        <a:xfrm>
          <a:off x="6627906" y="8212464"/>
          <a:ext cx="829237" cy="379271"/>
        </a:xfrm>
        <a:prstGeom prst="rect">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27432" tIns="22860" rIns="27432" bIns="22860" anchor="ctr" upright="1"/>
        <a:lstStyle/>
        <a:p>
          <a:pPr algn="ctr" rtl="0">
            <a:defRPr sz="1000"/>
          </a:pPr>
          <a:r>
            <a:rPr lang="ko-KR" altLang="en-US" sz="1100" b="0" i="0" strike="noStrike">
              <a:solidFill>
                <a:srgbClr val="000000"/>
              </a:solidFill>
              <a:latin typeface="돋움"/>
              <a:ea typeface="돋움"/>
            </a:rPr>
            <a:t>접지함체</a:t>
          </a:r>
        </a:p>
      </xdr:txBody>
    </xdr:sp>
    <xdr:clientData/>
  </xdr:twoCellAnchor>
  <xdr:twoCellAnchor>
    <xdr:from>
      <xdr:col>21</xdr:col>
      <xdr:colOff>84184</xdr:colOff>
      <xdr:row>39</xdr:row>
      <xdr:rowOff>1797</xdr:rowOff>
    </xdr:from>
    <xdr:to>
      <xdr:col>24</xdr:col>
      <xdr:colOff>197850</xdr:colOff>
      <xdr:row>40</xdr:row>
      <xdr:rowOff>186879</xdr:rowOff>
    </xdr:to>
    <xdr:sp macro="" textlink="">
      <xdr:nvSpPr>
        <xdr:cNvPr id="1491" name="Text Box 6">
          <a:extLst>
            <a:ext uri="{FF2B5EF4-FFF2-40B4-BE49-F238E27FC236}">
              <a16:creationId xmlns:a16="http://schemas.microsoft.com/office/drawing/2014/main" id="{00000000-0008-0000-1900-0000D3050000}"/>
            </a:ext>
          </a:extLst>
        </xdr:cNvPr>
        <xdr:cNvSpPr txBox="1">
          <a:spLocks noChangeArrowheads="1"/>
        </xdr:cNvSpPr>
      </xdr:nvSpPr>
      <xdr:spPr bwMode="auto">
        <a:xfrm>
          <a:off x="5649505" y="8111654"/>
          <a:ext cx="930095" cy="389189"/>
        </a:xfrm>
        <a:prstGeom prst="rect">
          <a:avLst/>
        </a:prstGeom>
        <a:noFill/>
        <a:ln w="9525">
          <a:noFill/>
          <a:miter lim="800000"/>
          <a:headEnd/>
          <a:tailEnd/>
        </a:ln>
      </xdr:spPr>
      <xdr:txBody>
        <a:bodyPr wrap="none" lIns="18288" tIns="22860" rIns="18288" bIns="22860" anchor="ctr" upright="1">
          <a:noAutofit/>
        </a:bodyPr>
        <a:lstStyle/>
        <a:p>
          <a:pPr algn="ctr" rtl="0">
            <a:defRPr sz="1000"/>
          </a:pPr>
          <a:r>
            <a:rPr lang="ko-KR" altLang="en-US" sz="1100" b="0" i="0" strike="noStrike">
              <a:solidFill>
                <a:srgbClr val="000000"/>
              </a:solidFill>
              <a:latin typeface="돋움"/>
              <a:ea typeface="돋움"/>
            </a:rPr>
            <a:t>접지선</a:t>
          </a:r>
        </a:p>
        <a:p>
          <a:pPr algn="ctr" rtl="0">
            <a:defRPr sz="1000"/>
          </a:pPr>
          <a:r>
            <a:rPr lang="en-US" altLang="ko-KR" sz="1100" b="0" i="0" strike="noStrike">
              <a:solidFill>
                <a:srgbClr val="000000"/>
              </a:solidFill>
              <a:latin typeface="돋움"/>
              <a:ea typeface="돋움"/>
            </a:rPr>
            <a:t>(F-GV 16㎟)</a:t>
          </a:r>
        </a:p>
      </xdr:txBody>
    </xdr:sp>
    <xdr:clientData/>
  </xdr:twoCellAnchor>
  <xdr:twoCellAnchor editAs="oneCell">
    <xdr:from>
      <xdr:col>11</xdr:col>
      <xdr:colOff>201509</xdr:colOff>
      <xdr:row>40</xdr:row>
      <xdr:rowOff>81643</xdr:rowOff>
    </xdr:from>
    <xdr:to>
      <xdr:col>20</xdr:col>
      <xdr:colOff>204107</xdr:colOff>
      <xdr:row>41</xdr:row>
      <xdr:rowOff>122465</xdr:rowOff>
    </xdr:to>
    <xdr:pic>
      <xdr:nvPicPr>
        <xdr:cNvPr id="1493" name="_x734516856" descr="EMB00007c842b49">
          <a:extLst>
            <a:ext uri="{FF2B5EF4-FFF2-40B4-BE49-F238E27FC236}">
              <a16:creationId xmlns:a16="http://schemas.microsoft.com/office/drawing/2014/main" id="{00000000-0008-0000-1900-0000D5050000}"/>
            </a:ext>
          </a:extLst>
        </xdr:cNvPr>
        <xdr:cNvPicPr>
          <a:picLocks noChangeAspect="1" noChangeArrowheads="1"/>
        </xdr:cNvPicPr>
      </xdr:nvPicPr>
      <xdr:blipFill rotWithShape="1">
        <a:blip xmlns:r="http://schemas.openxmlformats.org/officeDocument/2006/relationships" r:embed="rId15" cstate="print">
          <a:grayscl/>
          <a:extLst>
            <a:ext uri="{28A0092B-C50C-407E-A947-70E740481C1C}">
              <a14:useLocalDpi xmlns:a14="http://schemas.microsoft.com/office/drawing/2010/main" val="0"/>
            </a:ext>
          </a:extLst>
        </a:blip>
        <a:srcRect t="85612" b="10767"/>
        <a:stretch/>
      </xdr:blipFill>
      <xdr:spPr bwMode="auto">
        <a:xfrm>
          <a:off x="3045402" y="8395607"/>
          <a:ext cx="2451884" cy="2449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257628</xdr:colOff>
      <xdr:row>41</xdr:row>
      <xdr:rowOff>29713</xdr:rowOff>
    </xdr:from>
    <xdr:to>
      <xdr:col>24</xdr:col>
      <xdr:colOff>266433</xdr:colOff>
      <xdr:row>41</xdr:row>
      <xdr:rowOff>29713</xdr:rowOff>
    </xdr:to>
    <xdr:sp macro="" textlink="">
      <xdr:nvSpPr>
        <xdr:cNvPr id="1492" name="Line 19">
          <a:extLst>
            <a:ext uri="{FF2B5EF4-FFF2-40B4-BE49-F238E27FC236}">
              <a16:creationId xmlns:a16="http://schemas.microsoft.com/office/drawing/2014/main" id="{00000000-0008-0000-1900-0000D4050000}"/>
            </a:ext>
          </a:extLst>
        </xdr:cNvPr>
        <xdr:cNvSpPr>
          <a:spLocks noChangeShapeType="1"/>
        </xdr:cNvSpPr>
      </xdr:nvSpPr>
      <xdr:spPr bwMode="auto">
        <a:xfrm flipH="1">
          <a:off x="5006521" y="8547784"/>
          <a:ext cx="1641662" cy="0"/>
        </a:xfrm>
        <a:prstGeom prst="line">
          <a:avLst/>
        </a:prstGeom>
        <a:noFill/>
        <a:ln w="28575">
          <a:solidFill>
            <a:srgbClr val="00B050"/>
          </a:solidFill>
          <a:round/>
          <a:headEnd/>
          <a:tailEnd/>
        </a:ln>
      </xdr:spPr>
    </xdr:sp>
    <xdr:clientData/>
  </xdr:twoCellAnchor>
  <xdr:twoCellAnchor>
    <xdr:from>
      <xdr:col>12</xdr:col>
      <xdr:colOff>41621</xdr:colOff>
      <xdr:row>40</xdr:row>
      <xdr:rowOff>40822</xdr:rowOff>
    </xdr:from>
    <xdr:to>
      <xdr:col>20</xdr:col>
      <xdr:colOff>204107</xdr:colOff>
      <xdr:row>41</xdr:row>
      <xdr:rowOff>121333</xdr:rowOff>
    </xdr:to>
    <xdr:sp macro="" textlink="">
      <xdr:nvSpPr>
        <xdr:cNvPr id="1494" name="직사각형 1493">
          <a:extLst>
            <a:ext uri="{FF2B5EF4-FFF2-40B4-BE49-F238E27FC236}">
              <a16:creationId xmlns:a16="http://schemas.microsoft.com/office/drawing/2014/main" id="{00000000-0008-0000-1900-0000D6050000}"/>
            </a:ext>
          </a:extLst>
        </xdr:cNvPr>
        <xdr:cNvSpPr/>
      </xdr:nvSpPr>
      <xdr:spPr>
        <a:xfrm>
          <a:off x="3157657" y="8354786"/>
          <a:ext cx="2339629" cy="284618"/>
        </a:xfrm>
        <a:prstGeom prst="rect">
          <a:avLst/>
        </a:prstGeom>
        <a:noFill/>
        <a:ln w="285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100"/>
        </a:p>
      </xdr:txBody>
    </xdr:sp>
    <xdr:clientData/>
  </xdr:twoCellAnchor>
  <xdr:twoCellAnchor>
    <xdr:from>
      <xdr:col>22</xdr:col>
      <xdr:colOff>198484</xdr:colOff>
      <xdr:row>36</xdr:row>
      <xdr:rowOff>97047</xdr:rowOff>
    </xdr:from>
    <xdr:to>
      <xdr:col>25</xdr:col>
      <xdr:colOff>209550</xdr:colOff>
      <xdr:row>38</xdr:row>
      <xdr:rowOff>0</xdr:rowOff>
    </xdr:to>
    <xdr:sp macro="" textlink="">
      <xdr:nvSpPr>
        <xdr:cNvPr id="1496" name="Text Box 6">
          <a:extLst>
            <a:ext uri="{FF2B5EF4-FFF2-40B4-BE49-F238E27FC236}">
              <a16:creationId xmlns:a16="http://schemas.microsoft.com/office/drawing/2014/main" id="{00000000-0008-0000-1900-0000D8050000}"/>
            </a:ext>
          </a:extLst>
        </xdr:cNvPr>
        <xdr:cNvSpPr txBox="1">
          <a:spLocks noChangeArrowheads="1"/>
        </xdr:cNvSpPr>
      </xdr:nvSpPr>
      <xdr:spPr bwMode="auto">
        <a:xfrm>
          <a:off x="5923009" y="7783722"/>
          <a:ext cx="811166" cy="322053"/>
        </a:xfrm>
        <a:prstGeom prst="rect">
          <a:avLst/>
        </a:prstGeom>
        <a:noFill/>
        <a:ln w="9525">
          <a:noFill/>
          <a:miter lim="800000"/>
          <a:headEnd/>
          <a:tailEnd/>
        </a:ln>
      </xdr:spPr>
      <xdr:txBody>
        <a:bodyPr wrap="none" lIns="18288" tIns="22860" rIns="18288" bIns="22860" anchor="ctr" upright="1">
          <a:noAutofit/>
        </a:bodyPr>
        <a:lstStyle/>
        <a:p>
          <a:pPr algn="ctr" rtl="0">
            <a:defRPr sz="1000"/>
          </a:pPr>
          <a:r>
            <a:rPr lang="en-US" altLang="ko-KR" sz="1100" b="0" i="0" strike="noStrike">
              <a:solidFill>
                <a:srgbClr val="000000"/>
              </a:solidFill>
              <a:latin typeface="돋움"/>
              <a:ea typeface="돋움"/>
            </a:rPr>
            <a:t>PTP </a:t>
          </a:r>
          <a:r>
            <a:rPr lang="ko-KR" altLang="en-US" sz="1100" b="0" i="0" strike="noStrike">
              <a:solidFill>
                <a:srgbClr val="000000"/>
              </a:solidFill>
              <a:latin typeface="돋움"/>
              <a:ea typeface="돋움"/>
            </a:rPr>
            <a:t>전면</a:t>
          </a:r>
          <a:endParaRPr lang="en-US" altLang="ko-KR" sz="1100" b="0" i="0" strike="noStrike">
            <a:solidFill>
              <a:srgbClr val="000000"/>
            </a:solidFill>
            <a:latin typeface="돋움"/>
            <a:ea typeface="돋움"/>
          </a:endParaRPr>
        </a:p>
      </xdr:txBody>
    </xdr:sp>
    <xdr:clientData/>
  </xdr:twoCellAnchor>
  <xdr:twoCellAnchor>
    <xdr:from>
      <xdr:col>26</xdr:col>
      <xdr:colOff>0</xdr:colOff>
      <xdr:row>31</xdr:row>
      <xdr:rowOff>0</xdr:rowOff>
    </xdr:from>
    <xdr:to>
      <xdr:col>28</xdr:col>
      <xdr:colOff>60760</xdr:colOff>
      <xdr:row>32</xdr:row>
      <xdr:rowOff>126993</xdr:rowOff>
    </xdr:to>
    <xdr:sp macro="" textlink="">
      <xdr:nvSpPr>
        <xdr:cNvPr id="1497" name="모서리가 둥근 직사각형 1496">
          <a:extLst>
            <a:ext uri="{FF2B5EF4-FFF2-40B4-BE49-F238E27FC236}">
              <a16:creationId xmlns:a16="http://schemas.microsoft.com/office/drawing/2014/main" id="{00000000-0008-0000-1900-0000D9050000}"/>
            </a:ext>
          </a:extLst>
        </xdr:cNvPr>
        <xdr:cNvSpPr/>
      </xdr:nvSpPr>
      <xdr:spPr>
        <a:xfrm>
          <a:off x="6791325" y="6638925"/>
          <a:ext cx="594160" cy="336543"/>
        </a:xfrm>
        <a:prstGeom prst="roundRect">
          <a:avLst/>
        </a:prstGeom>
        <a:no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ko-KR" altLang="en-US" sz="1200">
            <a:latin typeface="KoPub돋움체 Bold" panose="02020603020101020101" pitchFamily="18" charset="-127"/>
            <a:ea typeface="KoPub돋움체 Bold" panose="02020603020101020101" pitchFamily="18" charset="-127"/>
          </a:endParaRPr>
        </a:p>
      </xdr:txBody>
    </xdr:sp>
    <xdr:clientData/>
  </xdr:twoCellAnchor>
  <xdr:twoCellAnchor editAs="oneCell">
    <xdr:from>
      <xdr:col>21</xdr:col>
      <xdr:colOff>19051</xdr:colOff>
      <xdr:row>37</xdr:row>
      <xdr:rowOff>190501</xdr:rowOff>
    </xdr:from>
    <xdr:to>
      <xdr:col>29</xdr:col>
      <xdr:colOff>38100</xdr:colOff>
      <xdr:row>39</xdr:row>
      <xdr:rowOff>27347</xdr:rowOff>
    </xdr:to>
    <xdr:pic>
      <xdr:nvPicPr>
        <xdr:cNvPr id="1498" name="_x171240416" descr="EMB0000520805bb">
          <a:extLst>
            <a:ext uri="{FF2B5EF4-FFF2-40B4-BE49-F238E27FC236}">
              <a16:creationId xmlns:a16="http://schemas.microsoft.com/office/drawing/2014/main" id="{00000000-0008-0000-1900-0000DA050000}"/>
            </a:ext>
          </a:extLst>
        </xdr:cNvPr>
        <xdr:cNvPicPr>
          <a:picLocks noChangeAspect="1" noChangeArrowheads="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rcRect l="6181" t="89449" r="7832" b="4534"/>
        <a:stretch/>
      </xdr:blipFill>
      <xdr:spPr bwMode="auto">
        <a:xfrm>
          <a:off x="5476876" y="8086726"/>
          <a:ext cx="2152649" cy="255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27</xdr:col>
      <xdr:colOff>66675</xdr:colOff>
      <xdr:row>37</xdr:row>
      <xdr:rowOff>161925</xdr:rowOff>
    </xdr:from>
    <xdr:to>
      <xdr:col>28</xdr:col>
      <xdr:colOff>197784</xdr:colOff>
      <xdr:row>39</xdr:row>
      <xdr:rowOff>38100</xdr:rowOff>
    </xdr:to>
    <xdr:sp macro="" textlink="">
      <xdr:nvSpPr>
        <xdr:cNvPr id="1495" name="직사각형 1494">
          <a:extLst>
            <a:ext uri="{FF2B5EF4-FFF2-40B4-BE49-F238E27FC236}">
              <a16:creationId xmlns:a16="http://schemas.microsoft.com/office/drawing/2014/main" id="{00000000-0008-0000-1900-0000D7050000}"/>
            </a:ext>
          </a:extLst>
        </xdr:cNvPr>
        <xdr:cNvSpPr/>
      </xdr:nvSpPr>
      <xdr:spPr>
        <a:xfrm>
          <a:off x="7124700" y="8058150"/>
          <a:ext cx="397809" cy="295275"/>
        </a:xfrm>
        <a:prstGeom prst="rect">
          <a:avLst/>
        </a:prstGeom>
        <a:noFill/>
        <a:ln w="28575">
          <a:solidFill>
            <a:schemeClr val="accent4">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100"/>
        </a:p>
      </xdr:txBody>
    </xdr:sp>
    <xdr:clientData/>
  </xdr:twoCellAnchor>
  <xdr:twoCellAnchor>
    <xdr:from>
      <xdr:col>28</xdr:col>
      <xdr:colOff>209550</xdr:colOff>
      <xdr:row>17</xdr:row>
      <xdr:rowOff>28575</xdr:rowOff>
    </xdr:from>
    <xdr:to>
      <xdr:col>30</xdr:col>
      <xdr:colOff>95250</xdr:colOff>
      <xdr:row>38</xdr:row>
      <xdr:rowOff>114300</xdr:rowOff>
    </xdr:to>
    <xdr:sp macro="" textlink="">
      <xdr:nvSpPr>
        <xdr:cNvPr id="19" name="자유형 18">
          <a:extLst>
            <a:ext uri="{FF2B5EF4-FFF2-40B4-BE49-F238E27FC236}">
              <a16:creationId xmlns:a16="http://schemas.microsoft.com/office/drawing/2014/main" id="{00000000-0008-0000-1900-000013000000}"/>
            </a:ext>
          </a:extLst>
        </xdr:cNvPr>
        <xdr:cNvSpPr/>
      </xdr:nvSpPr>
      <xdr:spPr>
        <a:xfrm>
          <a:off x="7534275" y="3733800"/>
          <a:ext cx="419100" cy="4486275"/>
        </a:xfrm>
        <a:custGeom>
          <a:avLst/>
          <a:gdLst>
            <a:gd name="connsiteX0" fmla="*/ 0 w 419100"/>
            <a:gd name="connsiteY0" fmla="*/ 4486275 h 4486275"/>
            <a:gd name="connsiteX1" fmla="*/ 419100 w 419100"/>
            <a:gd name="connsiteY1" fmla="*/ 4486275 h 4486275"/>
            <a:gd name="connsiteX2" fmla="*/ 419100 w 419100"/>
            <a:gd name="connsiteY2" fmla="*/ 0 h 4486275"/>
          </a:gdLst>
          <a:ahLst/>
          <a:cxnLst>
            <a:cxn ang="0">
              <a:pos x="connsiteX0" y="connsiteY0"/>
            </a:cxn>
            <a:cxn ang="0">
              <a:pos x="connsiteX1" y="connsiteY1"/>
            </a:cxn>
            <a:cxn ang="0">
              <a:pos x="connsiteX2" y="connsiteY2"/>
            </a:cxn>
          </a:cxnLst>
          <a:rect l="l" t="t" r="r" b="b"/>
          <a:pathLst>
            <a:path w="419100" h="4486275">
              <a:moveTo>
                <a:pt x="0" y="4486275"/>
              </a:moveTo>
              <a:lnTo>
                <a:pt x="419100" y="4486275"/>
              </a:lnTo>
              <a:lnTo>
                <a:pt x="419100" y="0"/>
              </a:lnTo>
            </a:path>
          </a:pathLst>
        </a:custGeom>
        <a:noFill/>
        <a:ln w="28575">
          <a:solidFill>
            <a:srgbClr val="7030A0"/>
          </a:solidFill>
          <a:round/>
          <a:headEnd/>
          <a:tailEnd/>
        </a:ln>
      </xdr:spPr>
      <xdr:txBody>
        <a:bodyPr vertOverflow="clip" horzOverflow="clip" rtlCol="0" anchor="t"/>
        <a:lstStyle/>
        <a:p>
          <a:pPr algn="l"/>
          <a:endParaRPr lang="ko-KR" altLang="en-US" sz="1100"/>
        </a:p>
      </xdr:txBody>
    </xdr:sp>
    <xdr:clientData/>
  </xdr:twoCellAnchor>
  <xdr:twoCellAnchor>
    <xdr:from>
      <xdr:col>24</xdr:col>
      <xdr:colOff>56591</xdr:colOff>
      <xdr:row>28</xdr:row>
      <xdr:rowOff>182095</xdr:rowOff>
    </xdr:from>
    <xdr:to>
      <xdr:col>29</xdr:col>
      <xdr:colOff>244450</xdr:colOff>
      <xdr:row>30</xdr:row>
      <xdr:rowOff>198151</xdr:rowOff>
    </xdr:to>
    <xdr:sp macro="" textlink="">
      <xdr:nvSpPr>
        <xdr:cNvPr id="1499" name="Text Box 13">
          <a:extLst>
            <a:ext uri="{FF2B5EF4-FFF2-40B4-BE49-F238E27FC236}">
              <a16:creationId xmlns:a16="http://schemas.microsoft.com/office/drawing/2014/main" id="{00000000-0008-0000-1900-0000DB050000}"/>
            </a:ext>
          </a:extLst>
        </xdr:cNvPr>
        <xdr:cNvSpPr txBox="1">
          <a:spLocks noChangeArrowheads="1"/>
        </xdr:cNvSpPr>
      </xdr:nvSpPr>
      <xdr:spPr bwMode="auto">
        <a:xfrm>
          <a:off x="6314516" y="6192370"/>
          <a:ext cx="1521359" cy="435156"/>
        </a:xfrm>
        <a:prstGeom prst="rect">
          <a:avLst/>
        </a:prstGeom>
        <a:noFill/>
        <a:ln w="9525">
          <a:noFill/>
          <a:miter lim="800000"/>
          <a:headEnd/>
          <a:tailEnd/>
        </a:ln>
      </xdr:spPr>
      <xdr:txBody>
        <a:bodyPr wrap="none" lIns="18288" tIns="22860" rIns="18288" bIns="22860" anchor="ctr" upright="1">
          <a:noAutofit/>
        </a:bodyPr>
        <a:lstStyle/>
        <a:p>
          <a:pPr algn="ctr" rtl="0">
            <a:defRPr sz="1000"/>
          </a:pPr>
          <a:r>
            <a:rPr lang="ko-KR" altLang="en-US" sz="1100" b="0" i="0" strike="noStrike">
              <a:solidFill>
                <a:srgbClr val="000000"/>
              </a:solidFill>
              <a:latin typeface="돋움"/>
              <a:ea typeface="돋움"/>
            </a:rPr>
            <a:t>후렉시블관</a:t>
          </a:r>
          <a:r>
            <a:rPr lang="en-US" altLang="ko-KR" sz="1100" b="0" i="0" strike="noStrike">
              <a:solidFill>
                <a:srgbClr val="000000"/>
              </a:solidFill>
              <a:latin typeface="돋움"/>
              <a:ea typeface="돋움"/>
            </a:rPr>
            <a:t>(GW-22)1</a:t>
          </a:r>
          <a:r>
            <a:rPr lang="ko-KR" altLang="en-US" sz="1100" b="0" i="0" strike="noStrike">
              <a:solidFill>
                <a:srgbClr val="000000"/>
              </a:solidFill>
              <a:latin typeface="돋움"/>
              <a:ea typeface="돋움"/>
            </a:rPr>
            <a:t>조</a:t>
          </a:r>
        </a:p>
        <a:p>
          <a:pPr algn="ctr" rtl="0">
            <a:defRPr sz="1000"/>
          </a:pPr>
          <a:r>
            <a:rPr lang="en-US" altLang="ko-KR" sz="1100" b="0" i="0" strike="noStrike">
              <a:solidFill>
                <a:srgbClr val="000000"/>
              </a:solidFill>
              <a:latin typeface="돋움"/>
              <a:ea typeface="돋움"/>
            </a:rPr>
            <a:t>(</a:t>
          </a:r>
          <a:r>
            <a:rPr lang="ko-KR" altLang="en-US" sz="1100" b="0" i="0" strike="noStrike">
              <a:solidFill>
                <a:srgbClr val="000000"/>
              </a:solidFill>
              <a:latin typeface="돋움"/>
              <a:ea typeface="돋움"/>
            </a:rPr>
            <a:t>사급 </a:t>
          </a:r>
          <a:r>
            <a:rPr lang="en-US" altLang="ko-KR" sz="1100" b="0" i="0" strike="noStrike">
              <a:solidFill>
                <a:srgbClr val="000000"/>
              </a:solidFill>
              <a:latin typeface="돋움"/>
              <a:ea typeface="돋움"/>
            </a:rPr>
            <a:t>: </a:t>
          </a:r>
          <a:r>
            <a:rPr lang="ko-KR" altLang="en-US" sz="1100" b="0" i="0" strike="noStrike">
              <a:solidFill>
                <a:srgbClr val="000000"/>
              </a:solidFill>
              <a:latin typeface="돋움"/>
              <a:ea typeface="돋움"/>
            </a:rPr>
            <a:t>광점퍼코드</a:t>
          </a:r>
          <a:r>
            <a:rPr lang="en-US" altLang="ko-KR" sz="1100" b="0" i="0" strike="noStrike">
              <a:solidFill>
                <a:srgbClr val="000000"/>
              </a:solidFill>
              <a:latin typeface="돋움"/>
              <a:ea typeface="돋움"/>
            </a:rPr>
            <a:t>4</a:t>
          </a:r>
          <a:r>
            <a:rPr lang="ko-KR" altLang="en-US" sz="1100" b="0" i="0" strike="noStrike">
              <a:solidFill>
                <a:srgbClr val="000000"/>
              </a:solidFill>
              <a:latin typeface="돋움"/>
              <a:ea typeface="돋움"/>
            </a:rPr>
            <a:t>열</a:t>
          </a:r>
          <a:r>
            <a:rPr lang="en-US" altLang="ko-KR" sz="1100" b="0" i="0" strike="noStrike">
              <a:solidFill>
                <a:srgbClr val="000000"/>
              </a:solidFill>
              <a:latin typeface="돋움"/>
              <a:ea typeface="돋움"/>
            </a:rPr>
            <a:t>)</a:t>
          </a:r>
        </a:p>
      </xdr:txBody>
    </xdr:sp>
    <xdr:clientData/>
  </xdr:twoCellAnchor>
  <xdr:twoCellAnchor>
    <xdr:from>
      <xdr:col>14</xdr:col>
      <xdr:colOff>236923</xdr:colOff>
      <xdr:row>51</xdr:row>
      <xdr:rowOff>17930</xdr:rowOff>
    </xdr:from>
    <xdr:to>
      <xdr:col>17</xdr:col>
      <xdr:colOff>21452</xdr:colOff>
      <xdr:row>51</xdr:row>
      <xdr:rowOff>17930</xdr:rowOff>
    </xdr:to>
    <xdr:cxnSp macro="">
      <xdr:nvCxnSpPr>
        <xdr:cNvPr id="1500" name="직선 연결선 1499">
          <a:extLst>
            <a:ext uri="{FF2B5EF4-FFF2-40B4-BE49-F238E27FC236}">
              <a16:creationId xmlns:a16="http://schemas.microsoft.com/office/drawing/2014/main" id="{00000000-0008-0000-1900-0000DC050000}"/>
            </a:ext>
          </a:extLst>
        </xdr:cNvPr>
        <xdr:cNvCxnSpPr/>
      </xdr:nvCxnSpPr>
      <xdr:spPr>
        <a:xfrm>
          <a:off x="3827848" y="10885955"/>
          <a:ext cx="584629" cy="0"/>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185217</xdr:colOff>
      <xdr:row>50</xdr:row>
      <xdr:rowOff>49867</xdr:rowOff>
    </xdr:from>
    <xdr:to>
      <xdr:col>26</xdr:col>
      <xdr:colOff>37780</xdr:colOff>
      <xdr:row>52</xdr:row>
      <xdr:rowOff>2242</xdr:rowOff>
    </xdr:to>
    <xdr:sp macro="" textlink="">
      <xdr:nvSpPr>
        <xdr:cNvPr id="1502" name="TextBox 1501">
          <a:extLst>
            <a:ext uri="{FF2B5EF4-FFF2-40B4-BE49-F238E27FC236}">
              <a16:creationId xmlns:a16="http://schemas.microsoft.com/office/drawing/2014/main" id="{00000000-0008-0000-1900-0000DE050000}"/>
            </a:ext>
          </a:extLst>
        </xdr:cNvPr>
        <xdr:cNvSpPr txBox="1"/>
      </xdr:nvSpPr>
      <xdr:spPr>
        <a:xfrm>
          <a:off x="4576242" y="10708342"/>
          <a:ext cx="2252863" cy="419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t>: </a:t>
          </a:r>
          <a:r>
            <a:rPr lang="ko-KR" altLang="en-US" sz="1100"/>
            <a:t>전원선</a:t>
          </a:r>
        </a:p>
      </xdr:txBody>
    </xdr:sp>
    <xdr:clientData/>
  </xdr:twoCellAnchor>
  <xdr:twoCellAnchor>
    <xdr:from>
      <xdr:col>14</xdr:col>
      <xdr:colOff>246448</xdr:colOff>
      <xdr:row>51</xdr:row>
      <xdr:rowOff>313205</xdr:rowOff>
    </xdr:from>
    <xdr:to>
      <xdr:col>17</xdr:col>
      <xdr:colOff>30977</xdr:colOff>
      <xdr:row>51</xdr:row>
      <xdr:rowOff>313205</xdr:rowOff>
    </xdr:to>
    <xdr:cxnSp macro="">
      <xdr:nvCxnSpPr>
        <xdr:cNvPr id="1503" name="직선 연결선 1502">
          <a:extLst>
            <a:ext uri="{FF2B5EF4-FFF2-40B4-BE49-F238E27FC236}">
              <a16:creationId xmlns:a16="http://schemas.microsoft.com/office/drawing/2014/main" id="{00000000-0008-0000-1900-0000DF050000}"/>
            </a:ext>
          </a:extLst>
        </xdr:cNvPr>
        <xdr:cNvCxnSpPr/>
      </xdr:nvCxnSpPr>
      <xdr:spPr>
        <a:xfrm>
          <a:off x="3837373" y="11371730"/>
          <a:ext cx="584629" cy="0"/>
        </a:xfrm>
        <a:prstGeom prst="line">
          <a:avLst/>
        </a:prstGeom>
        <a:ln w="28575">
          <a:solidFill>
            <a:srgbClr val="0000F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194742</xdr:colOff>
      <xdr:row>51</xdr:row>
      <xdr:rowOff>126067</xdr:rowOff>
    </xdr:from>
    <xdr:to>
      <xdr:col>26</xdr:col>
      <xdr:colOff>47305</xdr:colOff>
      <xdr:row>53</xdr:row>
      <xdr:rowOff>30817</xdr:rowOff>
    </xdr:to>
    <xdr:sp macro="" textlink="">
      <xdr:nvSpPr>
        <xdr:cNvPr id="1504" name="TextBox 1503">
          <a:extLst>
            <a:ext uri="{FF2B5EF4-FFF2-40B4-BE49-F238E27FC236}">
              <a16:creationId xmlns:a16="http://schemas.microsoft.com/office/drawing/2014/main" id="{00000000-0008-0000-1900-0000E0050000}"/>
            </a:ext>
          </a:extLst>
        </xdr:cNvPr>
        <xdr:cNvSpPr txBox="1"/>
      </xdr:nvSpPr>
      <xdr:spPr>
        <a:xfrm>
          <a:off x="4585767" y="10994092"/>
          <a:ext cx="2252863" cy="419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t>: </a:t>
          </a:r>
          <a:r>
            <a:rPr lang="ko-KR" altLang="en-US" sz="1100"/>
            <a:t>챔프케이블</a:t>
          </a:r>
        </a:p>
      </xdr:txBody>
    </xdr:sp>
    <xdr:clientData/>
  </xdr:twoCellAnchor>
  <xdr:twoCellAnchor>
    <xdr:from>
      <xdr:col>14</xdr:col>
      <xdr:colOff>217873</xdr:colOff>
      <xdr:row>52</xdr:row>
      <xdr:rowOff>84605</xdr:rowOff>
    </xdr:from>
    <xdr:to>
      <xdr:col>17</xdr:col>
      <xdr:colOff>2402</xdr:colOff>
      <xdr:row>52</xdr:row>
      <xdr:rowOff>84605</xdr:rowOff>
    </xdr:to>
    <xdr:cxnSp macro="">
      <xdr:nvCxnSpPr>
        <xdr:cNvPr id="1505" name="직선 연결선 1504">
          <a:extLst>
            <a:ext uri="{FF2B5EF4-FFF2-40B4-BE49-F238E27FC236}">
              <a16:creationId xmlns:a16="http://schemas.microsoft.com/office/drawing/2014/main" id="{00000000-0008-0000-1900-0000E1050000}"/>
            </a:ext>
          </a:extLst>
        </xdr:cNvPr>
        <xdr:cNvCxnSpPr/>
      </xdr:nvCxnSpPr>
      <xdr:spPr>
        <a:xfrm>
          <a:off x="3808798" y="11657480"/>
          <a:ext cx="584629" cy="0"/>
        </a:xfrm>
        <a:prstGeom prst="line">
          <a:avLst/>
        </a:prstGeom>
        <a:ln w="28575">
          <a:solidFill>
            <a:srgbClr val="FFC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194742</xdr:colOff>
      <xdr:row>51</xdr:row>
      <xdr:rowOff>411817</xdr:rowOff>
    </xdr:from>
    <xdr:to>
      <xdr:col>26</xdr:col>
      <xdr:colOff>47305</xdr:colOff>
      <xdr:row>53</xdr:row>
      <xdr:rowOff>59392</xdr:rowOff>
    </xdr:to>
    <xdr:sp macro="" textlink="">
      <xdr:nvSpPr>
        <xdr:cNvPr id="1506" name="TextBox 1505">
          <a:extLst>
            <a:ext uri="{FF2B5EF4-FFF2-40B4-BE49-F238E27FC236}">
              <a16:creationId xmlns:a16="http://schemas.microsoft.com/office/drawing/2014/main" id="{00000000-0008-0000-1900-0000E2050000}"/>
            </a:ext>
          </a:extLst>
        </xdr:cNvPr>
        <xdr:cNvSpPr txBox="1"/>
      </xdr:nvSpPr>
      <xdr:spPr>
        <a:xfrm>
          <a:off x="4585767" y="11470342"/>
          <a:ext cx="2252863" cy="419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t>: PIU</a:t>
          </a:r>
          <a:r>
            <a:rPr lang="ko-KR" altLang="en-US" sz="1100"/>
            <a:t>용 케이블</a:t>
          </a:r>
          <a:r>
            <a:rPr lang="en-US" altLang="ko-KR" sz="1100"/>
            <a:t>(</a:t>
          </a:r>
          <a:r>
            <a:rPr lang="ko-KR" altLang="en-US" sz="1100"/>
            <a:t>광</a:t>
          </a:r>
          <a:r>
            <a:rPr lang="en-US" altLang="ko-KR" sz="1100"/>
            <a:t>/</a:t>
          </a:r>
          <a:r>
            <a:rPr lang="ko-KR" altLang="en-US" sz="1100"/>
            <a:t>제어</a:t>
          </a:r>
          <a:r>
            <a:rPr lang="en-US" altLang="ko-KR" sz="1100"/>
            <a:t>)</a:t>
          </a:r>
          <a:endParaRPr lang="ko-KR" altLang="en-US" sz="1100"/>
        </a:p>
      </xdr:txBody>
    </xdr:sp>
    <xdr:clientData/>
  </xdr:twoCellAnchor>
  <xdr:twoCellAnchor>
    <xdr:from>
      <xdr:col>14</xdr:col>
      <xdr:colOff>217873</xdr:colOff>
      <xdr:row>53</xdr:row>
      <xdr:rowOff>160805</xdr:rowOff>
    </xdr:from>
    <xdr:to>
      <xdr:col>17</xdr:col>
      <xdr:colOff>2402</xdr:colOff>
      <xdr:row>53</xdr:row>
      <xdr:rowOff>160805</xdr:rowOff>
    </xdr:to>
    <xdr:cxnSp macro="">
      <xdr:nvCxnSpPr>
        <xdr:cNvPr id="1507" name="직선 연결선 1506">
          <a:extLst>
            <a:ext uri="{FF2B5EF4-FFF2-40B4-BE49-F238E27FC236}">
              <a16:creationId xmlns:a16="http://schemas.microsoft.com/office/drawing/2014/main" id="{00000000-0008-0000-1900-0000E3050000}"/>
            </a:ext>
          </a:extLst>
        </xdr:cNvPr>
        <xdr:cNvCxnSpPr/>
      </xdr:nvCxnSpPr>
      <xdr:spPr>
        <a:xfrm>
          <a:off x="3808798" y="11990855"/>
          <a:ext cx="584629" cy="0"/>
        </a:xfrm>
        <a:prstGeom prst="line">
          <a:avLst/>
        </a:prstGeom>
        <a:ln w="28575">
          <a:solidFill>
            <a:srgbClr val="7030A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194742</xdr:colOff>
      <xdr:row>52</xdr:row>
      <xdr:rowOff>202267</xdr:rowOff>
    </xdr:from>
    <xdr:to>
      <xdr:col>26</xdr:col>
      <xdr:colOff>47305</xdr:colOff>
      <xdr:row>54</xdr:row>
      <xdr:rowOff>107017</xdr:rowOff>
    </xdr:to>
    <xdr:sp macro="" textlink="">
      <xdr:nvSpPr>
        <xdr:cNvPr id="1508" name="TextBox 1507">
          <a:extLst>
            <a:ext uri="{FF2B5EF4-FFF2-40B4-BE49-F238E27FC236}">
              <a16:creationId xmlns:a16="http://schemas.microsoft.com/office/drawing/2014/main" id="{00000000-0008-0000-1900-0000E4050000}"/>
            </a:ext>
          </a:extLst>
        </xdr:cNvPr>
        <xdr:cNvSpPr txBox="1"/>
      </xdr:nvSpPr>
      <xdr:spPr>
        <a:xfrm>
          <a:off x="4585767" y="11775142"/>
          <a:ext cx="2252863"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t>: </a:t>
          </a:r>
          <a:r>
            <a:rPr lang="ko-KR" altLang="en-US" sz="1100"/>
            <a:t>광점퍼코드</a:t>
          </a:r>
        </a:p>
      </xdr:txBody>
    </xdr:sp>
    <xdr:clientData/>
  </xdr:twoCellAnchor>
  <xdr:twoCellAnchor>
    <xdr:from>
      <xdr:col>21</xdr:col>
      <xdr:colOff>16566</xdr:colOff>
      <xdr:row>10</xdr:row>
      <xdr:rowOff>86969</xdr:rowOff>
    </xdr:from>
    <xdr:to>
      <xdr:col>29</xdr:col>
      <xdr:colOff>35496</xdr:colOff>
      <xdr:row>15</xdr:row>
      <xdr:rowOff>32540</xdr:rowOff>
    </xdr:to>
    <xdr:grpSp>
      <xdr:nvGrpSpPr>
        <xdr:cNvPr id="1541" name="그룹 1540">
          <a:extLst>
            <a:ext uri="{FF2B5EF4-FFF2-40B4-BE49-F238E27FC236}">
              <a16:creationId xmlns:a16="http://schemas.microsoft.com/office/drawing/2014/main" id="{00000000-0008-0000-1900-000005060000}"/>
            </a:ext>
          </a:extLst>
        </xdr:cNvPr>
        <xdr:cNvGrpSpPr/>
      </xdr:nvGrpSpPr>
      <xdr:grpSpPr>
        <a:xfrm>
          <a:off x="5518654" y="2361763"/>
          <a:ext cx="2170460" cy="1010130"/>
          <a:chOff x="18138948" y="4095748"/>
          <a:chExt cx="4151003" cy="3161016"/>
        </a:xfrm>
      </xdr:grpSpPr>
      <xdr:cxnSp macro="">
        <xdr:nvCxnSpPr>
          <xdr:cNvPr id="1542" name="직선 연결선 1541">
            <a:extLst>
              <a:ext uri="{FF2B5EF4-FFF2-40B4-BE49-F238E27FC236}">
                <a16:creationId xmlns:a16="http://schemas.microsoft.com/office/drawing/2014/main" id="{00000000-0008-0000-1900-000006060000}"/>
              </a:ext>
            </a:extLst>
          </xdr:cNvPr>
          <xdr:cNvCxnSpPr/>
        </xdr:nvCxnSpPr>
        <xdr:spPr>
          <a:xfrm flipH="1">
            <a:off x="18852901" y="5114891"/>
            <a:ext cx="337316" cy="0"/>
          </a:xfrm>
          <a:prstGeom prst="line">
            <a:avLst/>
          </a:prstGeom>
          <a:ln>
            <a:solidFill>
              <a:srgbClr val="B2B2B2"/>
            </a:solidFill>
          </a:ln>
        </xdr:spPr>
        <xdr:style>
          <a:lnRef idx="1">
            <a:schemeClr val="accent1"/>
          </a:lnRef>
          <a:fillRef idx="0">
            <a:schemeClr val="accent1"/>
          </a:fillRef>
          <a:effectRef idx="0">
            <a:schemeClr val="accent1"/>
          </a:effectRef>
          <a:fontRef idx="minor">
            <a:schemeClr val="tx1"/>
          </a:fontRef>
        </xdr:style>
      </xdr:cxnSp>
      <xdr:sp macro="" textlink="">
        <xdr:nvSpPr>
          <xdr:cNvPr id="1543" name="TextBox 89">
            <a:extLst>
              <a:ext uri="{FF2B5EF4-FFF2-40B4-BE49-F238E27FC236}">
                <a16:creationId xmlns:a16="http://schemas.microsoft.com/office/drawing/2014/main" id="{00000000-0008-0000-1900-000007060000}"/>
              </a:ext>
            </a:extLst>
          </xdr:cNvPr>
          <xdr:cNvSpPr txBox="1"/>
        </xdr:nvSpPr>
        <xdr:spPr>
          <a:xfrm>
            <a:off x="18206382" y="4916609"/>
            <a:ext cx="758669" cy="55373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r>
              <a:rPr lang="en-US" altLang="ko-KR" sz="500">
                <a:solidFill>
                  <a:schemeClr val="tx1"/>
                </a:solidFill>
              </a:rPr>
              <a:t>1 RING</a:t>
            </a:r>
            <a:endParaRPr lang="ko-KR" altLang="en-US" sz="500">
              <a:solidFill>
                <a:schemeClr val="tx1"/>
              </a:solidFill>
            </a:endParaRPr>
          </a:p>
        </xdr:txBody>
      </xdr:sp>
      <xdr:pic>
        <xdr:nvPicPr>
          <xdr:cNvPr id="1544" name="_x131184216" descr="EMB000011707086">
            <a:extLst>
              <a:ext uri="{FF2B5EF4-FFF2-40B4-BE49-F238E27FC236}">
                <a16:creationId xmlns:a16="http://schemas.microsoft.com/office/drawing/2014/main" id="{00000000-0008-0000-1900-000008060000}"/>
              </a:ext>
            </a:extLst>
          </xdr:cNvPr>
          <xdr:cNvPicPr>
            <a:picLocks noChangeAspect="1" noChangeArrowheads="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l="6915" t="33475" r="12750" b="3891"/>
          <a:stretch/>
        </xdr:blipFill>
        <xdr:spPr bwMode="auto">
          <a:xfrm>
            <a:off x="19190761" y="4108038"/>
            <a:ext cx="3099190" cy="3148726"/>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1547" name="직선 연결선 1546">
            <a:extLst>
              <a:ext uri="{FF2B5EF4-FFF2-40B4-BE49-F238E27FC236}">
                <a16:creationId xmlns:a16="http://schemas.microsoft.com/office/drawing/2014/main" id="{00000000-0008-0000-1900-00000B060000}"/>
              </a:ext>
            </a:extLst>
          </xdr:cNvPr>
          <xdr:cNvCxnSpPr/>
        </xdr:nvCxnSpPr>
        <xdr:spPr>
          <a:xfrm flipH="1" flipV="1">
            <a:off x="19184023" y="5111549"/>
            <a:ext cx="409026" cy="196495"/>
          </a:xfrm>
          <a:prstGeom prst="line">
            <a:avLst/>
          </a:prstGeom>
          <a:ln>
            <a:solidFill>
              <a:srgbClr val="B2B2B2"/>
            </a:solidFill>
          </a:ln>
        </xdr:spPr>
        <xdr:style>
          <a:lnRef idx="1">
            <a:schemeClr val="accent1"/>
          </a:lnRef>
          <a:fillRef idx="0">
            <a:schemeClr val="accent1"/>
          </a:fillRef>
          <a:effectRef idx="0">
            <a:schemeClr val="accent1"/>
          </a:effectRef>
          <a:fontRef idx="minor">
            <a:schemeClr val="tx1"/>
          </a:fontRef>
        </xdr:style>
      </xdr:cxnSp>
      <xdr:grpSp>
        <xdr:nvGrpSpPr>
          <xdr:cNvPr id="1551" name="그룹 1550">
            <a:extLst>
              <a:ext uri="{FF2B5EF4-FFF2-40B4-BE49-F238E27FC236}">
                <a16:creationId xmlns:a16="http://schemas.microsoft.com/office/drawing/2014/main" id="{00000000-0008-0000-1900-00000F060000}"/>
              </a:ext>
            </a:extLst>
          </xdr:cNvPr>
          <xdr:cNvGrpSpPr/>
        </xdr:nvGrpSpPr>
        <xdr:grpSpPr>
          <a:xfrm>
            <a:off x="18855993" y="4117563"/>
            <a:ext cx="337319" cy="254247"/>
            <a:chOff x="1787362" y="1723039"/>
            <a:chExt cx="336590" cy="257968"/>
          </a:xfrm>
        </xdr:grpSpPr>
        <xdr:cxnSp macro="">
          <xdr:nvCxnSpPr>
            <xdr:cNvPr id="1557" name="직선 연결선 1556">
              <a:extLst>
                <a:ext uri="{FF2B5EF4-FFF2-40B4-BE49-F238E27FC236}">
                  <a16:creationId xmlns:a16="http://schemas.microsoft.com/office/drawing/2014/main" id="{00000000-0008-0000-1900-000015060000}"/>
                </a:ext>
              </a:extLst>
            </xdr:cNvPr>
            <xdr:cNvCxnSpPr/>
          </xdr:nvCxnSpPr>
          <xdr:spPr>
            <a:xfrm flipH="1">
              <a:off x="1787362" y="1723039"/>
              <a:ext cx="336588" cy="0"/>
            </a:xfrm>
            <a:prstGeom prst="line">
              <a:avLst/>
            </a:prstGeom>
            <a:ln>
              <a:solidFill>
                <a:srgbClr val="B2B2B2"/>
              </a:solidFill>
            </a:ln>
          </xdr:spPr>
          <xdr:style>
            <a:lnRef idx="1">
              <a:schemeClr val="accent1"/>
            </a:lnRef>
            <a:fillRef idx="0">
              <a:schemeClr val="accent1"/>
            </a:fillRef>
            <a:effectRef idx="0">
              <a:schemeClr val="accent1"/>
            </a:effectRef>
            <a:fontRef idx="minor">
              <a:schemeClr val="tx1"/>
            </a:fontRef>
          </xdr:style>
        </xdr:cxnSp>
        <xdr:cxnSp macro="">
          <xdr:nvCxnSpPr>
            <xdr:cNvPr id="1558" name="직선 연결선 1557">
              <a:extLst>
                <a:ext uri="{FF2B5EF4-FFF2-40B4-BE49-F238E27FC236}">
                  <a16:creationId xmlns:a16="http://schemas.microsoft.com/office/drawing/2014/main" id="{00000000-0008-0000-1900-000016060000}"/>
                </a:ext>
              </a:extLst>
            </xdr:cNvPr>
            <xdr:cNvCxnSpPr/>
          </xdr:nvCxnSpPr>
          <xdr:spPr>
            <a:xfrm flipH="1">
              <a:off x="1787364" y="1981007"/>
              <a:ext cx="336588" cy="0"/>
            </a:xfrm>
            <a:prstGeom prst="line">
              <a:avLst/>
            </a:prstGeom>
            <a:ln>
              <a:solidFill>
                <a:srgbClr val="B2B2B2"/>
              </a:solidFill>
            </a:ln>
          </xdr:spPr>
          <xdr:style>
            <a:lnRef idx="1">
              <a:schemeClr val="accent1"/>
            </a:lnRef>
            <a:fillRef idx="0">
              <a:schemeClr val="accent1"/>
            </a:fillRef>
            <a:effectRef idx="0">
              <a:schemeClr val="accent1"/>
            </a:effectRef>
            <a:fontRef idx="minor">
              <a:schemeClr val="tx1"/>
            </a:fontRef>
          </xdr:style>
        </xdr:cxnSp>
        <xdr:cxnSp macro="">
          <xdr:nvCxnSpPr>
            <xdr:cNvPr id="1559" name="직선 화살표 연결선 1558">
              <a:extLst>
                <a:ext uri="{FF2B5EF4-FFF2-40B4-BE49-F238E27FC236}">
                  <a16:creationId xmlns:a16="http://schemas.microsoft.com/office/drawing/2014/main" id="{00000000-0008-0000-1900-000017060000}"/>
                </a:ext>
              </a:extLst>
            </xdr:cNvPr>
            <xdr:cNvCxnSpPr/>
          </xdr:nvCxnSpPr>
          <xdr:spPr>
            <a:xfrm>
              <a:off x="1974706" y="1723039"/>
              <a:ext cx="0" cy="257968"/>
            </a:xfrm>
            <a:prstGeom prst="straightConnector1">
              <a:avLst/>
            </a:prstGeom>
            <a:ln>
              <a:solidFill>
                <a:srgbClr val="B2B2B2"/>
              </a:solidFill>
              <a:headEnd type="triangle"/>
              <a:tailEnd type="triangle"/>
            </a:ln>
          </xdr:spPr>
          <xdr:style>
            <a:lnRef idx="1">
              <a:schemeClr val="accent1"/>
            </a:lnRef>
            <a:fillRef idx="0">
              <a:schemeClr val="accent1"/>
            </a:fillRef>
            <a:effectRef idx="0">
              <a:schemeClr val="accent1"/>
            </a:effectRef>
            <a:fontRef idx="minor">
              <a:schemeClr val="tx1"/>
            </a:fontRef>
          </xdr:style>
        </xdr:cxnSp>
      </xdr:grpSp>
      <xdr:sp macro="" textlink="">
        <xdr:nvSpPr>
          <xdr:cNvPr id="1552" name="TextBox 100">
            <a:extLst>
              <a:ext uri="{FF2B5EF4-FFF2-40B4-BE49-F238E27FC236}">
                <a16:creationId xmlns:a16="http://schemas.microsoft.com/office/drawing/2014/main" id="{00000000-0008-0000-1900-000010060000}"/>
              </a:ext>
            </a:extLst>
          </xdr:cNvPr>
          <xdr:cNvSpPr txBox="1"/>
        </xdr:nvSpPr>
        <xdr:spPr>
          <a:xfrm>
            <a:off x="18138948" y="4095748"/>
            <a:ext cx="814364" cy="46709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r>
              <a:rPr lang="en-US" altLang="ko-KR" sz="500">
                <a:solidFill>
                  <a:schemeClr val="tx1"/>
                </a:solidFill>
              </a:rPr>
              <a:t>FAN </a:t>
            </a:r>
            <a:r>
              <a:rPr lang="ko-KR" altLang="en-US" sz="500">
                <a:solidFill>
                  <a:schemeClr val="tx1"/>
                </a:solidFill>
              </a:rPr>
              <a:t>반</a:t>
            </a:r>
          </a:p>
        </xdr:txBody>
      </xdr:sp>
      <xdr:grpSp>
        <xdr:nvGrpSpPr>
          <xdr:cNvPr id="1553" name="그룹 1552">
            <a:extLst>
              <a:ext uri="{FF2B5EF4-FFF2-40B4-BE49-F238E27FC236}">
                <a16:creationId xmlns:a16="http://schemas.microsoft.com/office/drawing/2014/main" id="{00000000-0008-0000-1900-000011060000}"/>
              </a:ext>
            </a:extLst>
          </xdr:cNvPr>
          <xdr:cNvGrpSpPr/>
        </xdr:nvGrpSpPr>
        <xdr:grpSpPr>
          <a:xfrm>
            <a:off x="18834506" y="6968845"/>
            <a:ext cx="337319" cy="254247"/>
            <a:chOff x="1787362" y="1723039"/>
            <a:chExt cx="336590" cy="257968"/>
          </a:xfrm>
        </xdr:grpSpPr>
        <xdr:cxnSp macro="">
          <xdr:nvCxnSpPr>
            <xdr:cNvPr id="1554" name="직선 연결선 1553">
              <a:extLst>
                <a:ext uri="{FF2B5EF4-FFF2-40B4-BE49-F238E27FC236}">
                  <a16:creationId xmlns:a16="http://schemas.microsoft.com/office/drawing/2014/main" id="{00000000-0008-0000-1900-000012060000}"/>
                </a:ext>
              </a:extLst>
            </xdr:cNvPr>
            <xdr:cNvCxnSpPr/>
          </xdr:nvCxnSpPr>
          <xdr:spPr>
            <a:xfrm flipH="1">
              <a:off x="1787362" y="1723039"/>
              <a:ext cx="336588" cy="0"/>
            </a:xfrm>
            <a:prstGeom prst="line">
              <a:avLst/>
            </a:prstGeom>
            <a:ln>
              <a:solidFill>
                <a:srgbClr val="B2B2B2"/>
              </a:solidFill>
            </a:ln>
          </xdr:spPr>
          <xdr:style>
            <a:lnRef idx="1">
              <a:schemeClr val="accent1"/>
            </a:lnRef>
            <a:fillRef idx="0">
              <a:schemeClr val="accent1"/>
            </a:fillRef>
            <a:effectRef idx="0">
              <a:schemeClr val="accent1"/>
            </a:effectRef>
            <a:fontRef idx="minor">
              <a:schemeClr val="tx1"/>
            </a:fontRef>
          </xdr:style>
        </xdr:cxnSp>
        <xdr:cxnSp macro="">
          <xdr:nvCxnSpPr>
            <xdr:cNvPr id="1555" name="직선 연결선 1554">
              <a:extLst>
                <a:ext uri="{FF2B5EF4-FFF2-40B4-BE49-F238E27FC236}">
                  <a16:creationId xmlns:a16="http://schemas.microsoft.com/office/drawing/2014/main" id="{00000000-0008-0000-1900-000013060000}"/>
                </a:ext>
              </a:extLst>
            </xdr:cNvPr>
            <xdr:cNvCxnSpPr/>
          </xdr:nvCxnSpPr>
          <xdr:spPr>
            <a:xfrm flipH="1">
              <a:off x="1787364" y="1981007"/>
              <a:ext cx="336588" cy="0"/>
            </a:xfrm>
            <a:prstGeom prst="line">
              <a:avLst/>
            </a:prstGeom>
            <a:ln>
              <a:solidFill>
                <a:srgbClr val="B2B2B2"/>
              </a:solidFill>
            </a:ln>
          </xdr:spPr>
          <xdr:style>
            <a:lnRef idx="1">
              <a:schemeClr val="accent1"/>
            </a:lnRef>
            <a:fillRef idx="0">
              <a:schemeClr val="accent1"/>
            </a:fillRef>
            <a:effectRef idx="0">
              <a:schemeClr val="accent1"/>
            </a:effectRef>
            <a:fontRef idx="minor">
              <a:schemeClr val="tx1"/>
            </a:fontRef>
          </xdr:style>
        </xdr:cxnSp>
        <xdr:cxnSp macro="">
          <xdr:nvCxnSpPr>
            <xdr:cNvPr id="1556" name="직선 화살표 연결선 1555">
              <a:extLst>
                <a:ext uri="{FF2B5EF4-FFF2-40B4-BE49-F238E27FC236}">
                  <a16:creationId xmlns:a16="http://schemas.microsoft.com/office/drawing/2014/main" id="{00000000-0008-0000-1900-000014060000}"/>
                </a:ext>
              </a:extLst>
            </xdr:cNvPr>
            <xdr:cNvCxnSpPr/>
          </xdr:nvCxnSpPr>
          <xdr:spPr>
            <a:xfrm>
              <a:off x="1974706" y="1723039"/>
              <a:ext cx="0" cy="257968"/>
            </a:xfrm>
            <a:prstGeom prst="straightConnector1">
              <a:avLst/>
            </a:prstGeom>
            <a:ln>
              <a:solidFill>
                <a:srgbClr val="B2B2B2"/>
              </a:solidFill>
              <a:headEnd type="triangle"/>
              <a:tailEnd type="triangle"/>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28</xdr:col>
      <xdr:colOff>102054</xdr:colOff>
      <xdr:row>5</xdr:row>
      <xdr:rowOff>92669</xdr:rowOff>
    </xdr:from>
    <xdr:to>
      <xdr:col>30</xdr:col>
      <xdr:colOff>166461</xdr:colOff>
      <xdr:row>10</xdr:row>
      <xdr:rowOff>180975</xdr:rowOff>
    </xdr:to>
    <xdr:sp macro="" textlink="">
      <xdr:nvSpPr>
        <xdr:cNvPr id="1457" name="Text Box 1">
          <a:extLst>
            <a:ext uri="{FF2B5EF4-FFF2-40B4-BE49-F238E27FC236}">
              <a16:creationId xmlns:a16="http://schemas.microsoft.com/office/drawing/2014/main" id="{00000000-0008-0000-1900-0000B1050000}"/>
            </a:ext>
          </a:extLst>
        </xdr:cNvPr>
        <xdr:cNvSpPr txBox="1">
          <a:spLocks noChangeArrowheads="1"/>
        </xdr:cNvSpPr>
      </xdr:nvSpPr>
      <xdr:spPr bwMode="auto">
        <a:xfrm>
          <a:off x="7426779" y="1283294"/>
          <a:ext cx="597807" cy="1136056"/>
        </a:xfrm>
        <a:prstGeom prst="rect">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36576" tIns="27432" rIns="36576" bIns="27432" anchor="ctr" upright="1"/>
        <a:lstStyle/>
        <a:p>
          <a:pPr algn="ctr" rtl="0">
            <a:defRPr sz="1000"/>
          </a:pPr>
          <a:r>
            <a:rPr lang="ko-KR" altLang="en-US" sz="1100" b="1" i="0" strike="noStrike">
              <a:solidFill>
                <a:srgbClr val="000000"/>
              </a:solidFill>
              <a:latin typeface="돋움"/>
              <a:ea typeface="돋움"/>
            </a:rPr>
            <a:t>전원</a:t>
          </a:r>
        </a:p>
        <a:p>
          <a:pPr algn="ctr" rtl="0">
            <a:defRPr sz="1000"/>
          </a:pPr>
          <a:r>
            <a:rPr lang="ko-KR" altLang="en-US" sz="1100" b="1" i="0" strike="noStrike">
              <a:solidFill>
                <a:srgbClr val="000000"/>
              </a:solidFill>
              <a:latin typeface="돋움"/>
              <a:ea typeface="돋움"/>
            </a:rPr>
            <a:t>분전반      </a:t>
          </a:r>
        </a:p>
      </xdr:txBody>
    </xdr:sp>
    <xdr:clientData/>
  </xdr:twoCellAnchor>
  <xdr:twoCellAnchor>
    <xdr:from>
      <xdr:col>23</xdr:col>
      <xdr:colOff>140803</xdr:colOff>
      <xdr:row>13</xdr:row>
      <xdr:rowOff>51644</xdr:rowOff>
    </xdr:from>
    <xdr:to>
      <xdr:col>24</xdr:col>
      <xdr:colOff>165651</xdr:colOff>
      <xdr:row>14</xdr:row>
      <xdr:rowOff>132522</xdr:rowOff>
    </xdr:to>
    <xdr:sp macro="" textlink="">
      <xdr:nvSpPr>
        <xdr:cNvPr id="1560" name="직사각형 1559">
          <a:extLst>
            <a:ext uri="{FF2B5EF4-FFF2-40B4-BE49-F238E27FC236}">
              <a16:creationId xmlns:a16="http://schemas.microsoft.com/office/drawing/2014/main" id="{00000000-0008-0000-1900-000018060000}"/>
            </a:ext>
          </a:extLst>
        </xdr:cNvPr>
        <xdr:cNvSpPr/>
      </xdr:nvSpPr>
      <xdr:spPr>
        <a:xfrm>
          <a:off x="6095999" y="2884296"/>
          <a:ext cx="289891" cy="287943"/>
        </a:xfrm>
        <a:prstGeom prst="rect">
          <a:avLst/>
        </a:prstGeom>
        <a:noFill/>
        <a:ln w="28575">
          <a:solidFill>
            <a:schemeClr val="accent4">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100"/>
        </a:p>
      </xdr:txBody>
    </xdr:sp>
    <xdr:clientData/>
  </xdr:twoCellAnchor>
  <xdr:twoCellAnchor>
    <xdr:from>
      <xdr:col>24</xdr:col>
      <xdr:colOff>154820</xdr:colOff>
      <xdr:row>13</xdr:row>
      <xdr:rowOff>200526</xdr:rowOff>
    </xdr:from>
    <xdr:to>
      <xdr:col>27</xdr:col>
      <xdr:colOff>260684</xdr:colOff>
      <xdr:row>13</xdr:row>
      <xdr:rowOff>207341</xdr:rowOff>
    </xdr:to>
    <xdr:sp macro="" textlink="">
      <xdr:nvSpPr>
        <xdr:cNvPr id="1561" name="Line 20">
          <a:extLst>
            <a:ext uri="{FF2B5EF4-FFF2-40B4-BE49-F238E27FC236}">
              <a16:creationId xmlns:a16="http://schemas.microsoft.com/office/drawing/2014/main" id="{00000000-0008-0000-1900-000019060000}"/>
            </a:ext>
          </a:extLst>
        </xdr:cNvPr>
        <xdr:cNvSpPr>
          <a:spLocks noChangeShapeType="1"/>
        </xdr:cNvSpPr>
      </xdr:nvSpPr>
      <xdr:spPr bwMode="auto">
        <a:xfrm>
          <a:off x="6391188" y="3078079"/>
          <a:ext cx="902957" cy="6815"/>
        </a:xfrm>
        <a:prstGeom prst="line">
          <a:avLst/>
        </a:prstGeom>
        <a:noFill/>
        <a:ln w="28575">
          <a:solidFill>
            <a:srgbClr val="7030A0"/>
          </a:solidFill>
          <a:round/>
          <a:headEnd/>
          <a:tailEnd/>
        </a:ln>
      </xdr:spPr>
    </xdr:sp>
    <xdr:clientData/>
  </xdr:twoCellAnchor>
  <xdr:twoCellAnchor>
    <xdr:from>
      <xdr:col>27</xdr:col>
      <xdr:colOff>89648</xdr:colOff>
      <xdr:row>13</xdr:row>
      <xdr:rowOff>15039</xdr:rowOff>
    </xdr:from>
    <xdr:to>
      <xdr:col>31</xdr:col>
      <xdr:colOff>62006</xdr:colOff>
      <xdr:row>16</xdr:row>
      <xdr:rowOff>210322</xdr:rowOff>
    </xdr:to>
    <xdr:sp macro="" textlink="">
      <xdr:nvSpPr>
        <xdr:cNvPr id="1461" name="Text Box 12">
          <a:extLst>
            <a:ext uri="{FF2B5EF4-FFF2-40B4-BE49-F238E27FC236}">
              <a16:creationId xmlns:a16="http://schemas.microsoft.com/office/drawing/2014/main" id="{00000000-0008-0000-1900-0000B5050000}"/>
            </a:ext>
          </a:extLst>
        </xdr:cNvPr>
        <xdr:cNvSpPr txBox="1">
          <a:spLocks noChangeArrowheads="1"/>
        </xdr:cNvSpPr>
      </xdr:nvSpPr>
      <xdr:spPr bwMode="auto">
        <a:xfrm>
          <a:off x="7123109" y="2892592"/>
          <a:ext cx="1035147" cy="826941"/>
        </a:xfrm>
        <a:prstGeom prst="rect">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27432" tIns="22860" rIns="27432" bIns="22860" anchor="ctr" upright="1"/>
        <a:lstStyle/>
        <a:p>
          <a:pPr algn="ctr" rtl="0">
            <a:defRPr sz="1000"/>
          </a:pPr>
          <a:r>
            <a:rPr lang="en-US" altLang="ko-KR" sz="1100" b="1" i="0" strike="noStrike">
              <a:solidFill>
                <a:srgbClr val="000000"/>
              </a:solidFill>
              <a:latin typeface="돋움"/>
              <a:ea typeface="돋움"/>
            </a:rPr>
            <a:t>O F D</a:t>
          </a:r>
        </a:p>
      </xdr:txBody>
    </xdr:sp>
    <xdr:clientData/>
  </xdr:twoCellAnchor>
  <xdr:twoCellAnchor>
    <xdr:from>
      <xdr:col>27</xdr:col>
      <xdr:colOff>187279</xdr:colOff>
      <xdr:row>11</xdr:row>
      <xdr:rowOff>63429</xdr:rowOff>
    </xdr:from>
    <xdr:to>
      <xdr:col>30</xdr:col>
      <xdr:colOff>198345</xdr:colOff>
      <xdr:row>12</xdr:row>
      <xdr:rowOff>179294</xdr:rowOff>
    </xdr:to>
    <xdr:sp macro="" textlink="">
      <xdr:nvSpPr>
        <xdr:cNvPr id="1562" name="Text Box 6">
          <a:extLst>
            <a:ext uri="{FF2B5EF4-FFF2-40B4-BE49-F238E27FC236}">
              <a16:creationId xmlns:a16="http://schemas.microsoft.com/office/drawing/2014/main" id="{00000000-0008-0000-1900-00001A060000}"/>
            </a:ext>
          </a:extLst>
        </xdr:cNvPr>
        <xdr:cNvSpPr txBox="1">
          <a:spLocks noChangeArrowheads="1"/>
        </xdr:cNvSpPr>
      </xdr:nvSpPr>
      <xdr:spPr bwMode="auto">
        <a:xfrm>
          <a:off x="7303014" y="2551135"/>
          <a:ext cx="817890" cy="328777"/>
        </a:xfrm>
        <a:prstGeom prst="rect">
          <a:avLst/>
        </a:prstGeom>
        <a:noFill/>
        <a:ln w="9525">
          <a:noFill/>
          <a:miter lim="800000"/>
          <a:headEnd/>
          <a:tailEnd/>
        </a:ln>
      </xdr:spPr>
      <xdr:txBody>
        <a:bodyPr wrap="none" lIns="18288" tIns="22860" rIns="18288" bIns="22860" anchor="ctr" upright="1">
          <a:noAutofit/>
        </a:bodyPr>
        <a:lstStyle/>
        <a:p>
          <a:pPr algn="ctr" rtl="0">
            <a:defRPr sz="1000"/>
          </a:pPr>
          <a:r>
            <a:rPr lang="ko-KR" altLang="en-US" sz="1100" b="0" i="0" strike="noStrike">
              <a:solidFill>
                <a:srgbClr val="000000"/>
              </a:solidFill>
              <a:latin typeface="돋움"/>
              <a:ea typeface="돋움"/>
            </a:rPr>
            <a:t>전면</a:t>
          </a:r>
          <a:endParaRPr lang="en-US" altLang="ko-KR" sz="1100" b="0" i="0" strike="noStrike">
            <a:solidFill>
              <a:srgbClr val="000000"/>
            </a:solidFill>
            <a:latin typeface="돋움"/>
            <a:ea typeface="돋움"/>
          </a:endParaRPr>
        </a:p>
      </xdr:txBody>
    </xdr:sp>
    <xdr:clientData/>
  </xdr:twoCellAnchor>
  <xdr:twoCellAnchor>
    <xdr:from>
      <xdr:col>14</xdr:col>
      <xdr:colOff>145677</xdr:colOff>
      <xdr:row>39</xdr:row>
      <xdr:rowOff>165502</xdr:rowOff>
    </xdr:from>
    <xdr:to>
      <xdr:col>18</xdr:col>
      <xdr:colOff>123266</xdr:colOff>
      <xdr:row>41</xdr:row>
      <xdr:rowOff>186723</xdr:rowOff>
    </xdr:to>
    <xdr:sp macro="" textlink="">
      <xdr:nvSpPr>
        <xdr:cNvPr id="1563" name="TextBox 56">
          <a:extLst>
            <a:ext uri="{FF2B5EF4-FFF2-40B4-BE49-F238E27FC236}">
              <a16:creationId xmlns:a16="http://schemas.microsoft.com/office/drawing/2014/main" id="{00000000-0008-0000-1900-00001B060000}"/>
            </a:ext>
          </a:extLst>
        </xdr:cNvPr>
        <xdr:cNvSpPr txBox="1"/>
      </xdr:nvSpPr>
      <xdr:spPr>
        <a:xfrm>
          <a:off x="3765177" y="8614737"/>
          <a:ext cx="1053354" cy="447045"/>
        </a:xfrm>
        <a:prstGeom prst="rect">
          <a:avLst/>
        </a:prstGeom>
        <a:solidFill>
          <a:schemeClr val="bg1">
            <a:alpha val="59000"/>
          </a:schemeClr>
        </a:solidFill>
      </xdr:spPr>
      <xdr:txBody>
        <a:bodyPr wrap="square"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ko-KR" altLang="en-US" sz="1600"/>
            <a:t>접지단자</a:t>
          </a:r>
        </a:p>
      </xdr:txBody>
    </xdr:sp>
    <xdr:clientData/>
  </xdr:twoCellAnchor>
</xdr:wsDr>
</file>

<file path=xl/drawings/drawing12.xml><?xml version="1.0" encoding="utf-8"?>
<xdr:wsDr xmlns:xdr="http://schemas.openxmlformats.org/drawingml/2006/spreadsheetDrawing" xmlns:a="http://schemas.openxmlformats.org/drawingml/2006/main">
  <xdr:oneCellAnchor>
    <xdr:from>
      <xdr:col>87</xdr:col>
      <xdr:colOff>79013</xdr:colOff>
      <xdr:row>63</xdr:row>
      <xdr:rowOff>202216</xdr:rowOff>
    </xdr:from>
    <xdr:ext cx="1365175" cy="178409"/>
    <xdr:sp macro="" textlink="">
      <xdr:nvSpPr>
        <xdr:cNvPr id="305" name="Rectangle 179">
          <a:extLst>
            <a:ext uri="{FF2B5EF4-FFF2-40B4-BE49-F238E27FC236}">
              <a16:creationId xmlns:a16="http://schemas.microsoft.com/office/drawing/2014/main" id="{00000000-0008-0000-1A00-000031010000}"/>
            </a:ext>
          </a:extLst>
        </xdr:cNvPr>
        <xdr:cNvSpPr>
          <a:spLocks noChangeArrowheads="1"/>
        </xdr:cNvSpPr>
      </xdr:nvSpPr>
      <xdr:spPr bwMode="auto">
        <a:xfrm>
          <a:off x="19252278" y="13772540"/>
          <a:ext cx="1365175" cy="178409"/>
        </a:xfrm>
        <a:prstGeom prst="rect">
          <a:avLst/>
        </a:prstGeom>
        <a:solidFill>
          <a:srgbClr val="FFFFFF"/>
        </a:solidFill>
        <a:ln w="9525">
          <a:noFill/>
          <a:miter lim="800000"/>
          <a:headEnd/>
          <a:tailEnd/>
        </a:ln>
      </xdr:spPr>
      <xdr:txBody>
        <a:bodyPr wrap="none" lIns="11585" tIns="5792" rIns="11585" bIns="5792" anchor="ctr" upright="1">
          <a:spAutoFit/>
        </a:bodyPr>
        <a:lstStyle/>
        <a:p>
          <a:pPr algn="ctr" rtl="1">
            <a:defRPr sz="1000"/>
          </a:pPr>
          <a:r>
            <a:rPr lang="en-US" altLang="ko-KR" sz="1000" b="1" i="0" strike="noStrike">
              <a:solidFill>
                <a:sysClr val="windowText" lastClr="000000"/>
              </a:solidFill>
              <a:latin typeface="굴림"/>
              <a:ea typeface="굴림"/>
            </a:rPr>
            <a:t>PDAS(</a:t>
          </a:r>
          <a:r>
            <a:rPr lang="ko-KR" altLang="en-US" sz="1000" b="1" i="0" strike="noStrike">
              <a:solidFill>
                <a:sysClr val="windowText" lastClr="000000"/>
              </a:solidFill>
              <a:latin typeface="굴림"/>
              <a:ea typeface="굴림"/>
            </a:rPr>
            <a:t>데이터수집장치</a:t>
          </a:r>
          <a:r>
            <a:rPr lang="en-US" altLang="ko-KR" sz="1000" b="1" i="0" strike="noStrike">
              <a:solidFill>
                <a:sysClr val="windowText" lastClr="000000"/>
              </a:solidFill>
              <a:latin typeface="굴림"/>
              <a:ea typeface="굴림"/>
            </a:rPr>
            <a:t>)</a:t>
          </a:r>
        </a:p>
      </xdr:txBody>
    </xdr:sp>
    <xdr:clientData/>
  </xdr:oneCellAnchor>
  <xdr:twoCellAnchor>
    <xdr:from>
      <xdr:col>80</xdr:col>
      <xdr:colOff>80043</xdr:colOff>
      <xdr:row>62</xdr:row>
      <xdr:rowOff>80043</xdr:rowOff>
    </xdr:from>
    <xdr:to>
      <xdr:col>80</xdr:col>
      <xdr:colOff>80043</xdr:colOff>
      <xdr:row>67</xdr:row>
      <xdr:rowOff>134470</xdr:rowOff>
    </xdr:to>
    <xdr:sp macro="" textlink="">
      <xdr:nvSpPr>
        <xdr:cNvPr id="336" name="Line 5">
          <a:extLst>
            <a:ext uri="{FF2B5EF4-FFF2-40B4-BE49-F238E27FC236}">
              <a16:creationId xmlns:a16="http://schemas.microsoft.com/office/drawing/2014/main" id="{00000000-0008-0000-1A00-000050010000}"/>
            </a:ext>
          </a:extLst>
        </xdr:cNvPr>
        <xdr:cNvSpPr>
          <a:spLocks noChangeShapeType="1"/>
        </xdr:cNvSpPr>
      </xdr:nvSpPr>
      <xdr:spPr bwMode="auto">
        <a:xfrm>
          <a:off x="17370719" y="13437455"/>
          <a:ext cx="0" cy="1118986"/>
        </a:xfrm>
        <a:prstGeom prst="line">
          <a:avLst/>
        </a:prstGeom>
        <a:noFill/>
        <a:ln w="9525">
          <a:solidFill>
            <a:srgbClr val="000000"/>
          </a:solidFill>
          <a:prstDash val="lgDash"/>
          <a:round/>
          <a:headEnd/>
          <a:tailEnd/>
        </a:ln>
      </xdr:spPr>
    </xdr:sp>
    <xdr:clientData/>
  </xdr:twoCellAnchor>
  <xdr:twoCellAnchor>
    <xdr:from>
      <xdr:col>91</xdr:col>
      <xdr:colOff>192013</xdr:colOff>
      <xdr:row>62</xdr:row>
      <xdr:rowOff>82910</xdr:rowOff>
    </xdr:from>
    <xdr:to>
      <xdr:col>91</xdr:col>
      <xdr:colOff>192013</xdr:colOff>
      <xdr:row>67</xdr:row>
      <xdr:rowOff>112059</xdr:rowOff>
    </xdr:to>
    <xdr:sp macro="" textlink="">
      <xdr:nvSpPr>
        <xdr:cNvPr id="337" name="Line 5">
          <a:extLst>
            <a:ext uri="{FF2B5EF4-FFF2-40B4-BE49-F238E27FC236}">
              <a16:creationId xmlns:a16="http://schemas.microsoft.com/office/drawing/2014/main" id="{00000000-0008-0000-1A00-000051010000}"/>
            </a:ext>
          </a:extLst>
        </xdr:cNvPr>
        <xdr:cNvSpPr>
          <a:spLocks noChangeShapeType="1"/>
        </xdr:cNvSpPr>
      </xdr:nvSpPr>
      <xdr:spPr bwMode="auto">
        <a:xfrm>
          <a:off x="20441042" y="13440322"/>
          <a:ext cx="0" cy="1093708"/>
        </a:xfrm>
        <a:prstGeom prst="line">
          <a:avLst/>
        </a:prstGeom>
        <a:noFill/>
        <a:ln w="9525">
          <a:solidFill>
            <a:srgbClr val="000000"/>
          </a:solidFill>
          <a:prstDash val="lgDash"/>
          <a:round/>
          <a:headEnd/>
          <a:tailEnd/>
        </a:ln>
      </xdr:spPr>
    </xdr:sp>
    <xdr:clientData/>
  </xdr:twoCellAnchor>
  <xdr:twoCellAnchor>
    <xdr:from>
      <xdr:col>80</xdr:col>
      <xdr:colOff>111522</xdr:colOff>
      <xdr:row>62</xdr:row>
      <xdr:rowOff>85777</xdr:rowOff>
    </xdr:from>
    <xdr:to>
      <xdr:col>91</xdr:col>
      <xdr:colOff>189388</xdr:colOff>
      <xdr:row>62</xdr:row>
      <xdr:rowOff>85777</xdr:rowOff>
    </xdr:to>
    <xdr:sp macro="" textlink="">
      <xdr:nvSpPr>
        <xdr:cNvPr id="338" name="Line 5">
          <a:extLst>
            <a:ext uri="{FF2B5EF4-FFF2-40B4-BE49-F238E27FC236}">
              <a16:creationId xmlns:a16="http://schemas.microsoft.com/office/drawing/2014/main" id="{00000000-0008-0000-1A00-000052010000}"/>
            </a:ext>
          </a:extLst>
        </xdr:cNvPr>
        <xdr:cNvSpPr>
          <a:spLocks noChangeShapeType="1"/>
        </xdr:cNvSpPr>
      </xdr:nvSpPr>
      <xdr:spPr bwMode="auto">
        <a:xfrm rot="5400000">
          <a:off x="18920308" y="11925079"/>
          <a:ext cx="0" cy="3036219"/>
        </a:xfrm>
        <a:prstGeom prst="line">
          <a:avLst/>
        </a:prstGeom>
        <a:noFill/>
        <a:ln w="9525">
          <a:solidFill>
            <a:srgbClr val="000000"/>
          </a:solidFill>
          <a:prstDash val="lgDash"/>
          <a:round/>
          <a:headEnd/>
          <a:tailEnd/>
        </a:ln>
      </xdr:spPr>
    </xdr:sp>
    <xdr:clientData/>
  </xdr:twoCellAnchor>
  <xdr:twoCellAnchor>
    <xdr:from>
      <xdr:col>84</xdr:col>
      <xdr:colOff>213697</xdr:colOff>
      <xdr:row>75</xdr:row>
      <xdr:rowOff>110228</xdr:rowOff>
    </xdr:from>
    <xdr:to>
      <xdr:col>87</xdr:col>
      <xdr:colOff>63499</xdr:colOff>
      <xdr:row>76</xdr:row>
      <xdr:rowOff>83242</xdr:rowOff>
    </xdr:to>
    <xdr:sp macro="" textlink="">
      <xdr:nvSpPr>
        <xdr:cNvPr id="306" name="Rectangle 189">
          <a:extLst>
            <a:ext uri="{FF2B5EF4-FFF2-40B4-BE49-F238E27FC236}">
              <a16:creationId xmlns:a16="http://schemas.microsoft.com/office/drawing/2014/main" id="{00000000-0008-0000-1A00-000032010000}"/>
            </a:ext>
          </a:extLst>
        </xdr:cNvPr>
        <xdr:cNvSpPr>
          <a:spLocks noChangeArrowheads="1"/>
        </xdr:cNvSpPr>
      </xdr:nvSpPr>
      <xdr:spPr bwMode="auto">
        <a:xfrm>
          <a:off x="18580138" y="16235493"/>
          <a:ext cx="656626" cy="185925"/>
        </a:xfrm>
        <a:prstGeom prst="rect">
          <a:avLst/>
        </a:prstGeom>
        <a:solidFill>
          <a:srgbClr val="FFFFFF"/>
        </a:solidFill>
        <a:ln w="9525">
          <a:noFill/>
          <a:miter lim="800000"/>
          <a:headEnd/>
          <a:tailEnd/>
        </a:ln>
      </xdr:spPr>
      <xdr:txBody>
        <a:bodyPr wrap="none" lIns="11585" tIns="5792" rIns="11585" bIns="5792" anchor="ctr" upright="1">
          <a:noAutofit/>
        </a:bodyPr>
        <a:lstStyle/>
        <a:p>
          <a:pPr algn="ctr" rtl="1">
            <a:defRPr sz="1000"/>
          </a:pPr>
          <a:r>
            <a:rPr lang="ko-KR" altLang="en-US" sz="1000" b="0" i="0" strike="noStrike">
              <a:solidFill>
                <a:srgbClr val="000000"/>
              </a:solidFill>
              <a:latin typeface="굴림"/>
              <a:ea typeface="굴림"/>
            </a:rPr>
            <a:t>보호계전기</a:t>
          </a:r>
        </a:p>
      </xdr:txBody>
    </xdr:sp>
    <xdr:clientData/>
  </xdr:twoCellAnchor>
  <xdr:twoCellAnchor>
    <xdr:from>
      <xdr:col>87</xdr:col>
      <xdr:colOff>87191</xdr:colOff>
      <xdr:row>62</xdr:row>
      <xdr:rowOff>17297</xdr:rowOff>
    </xdr:from>
    <xdr:to>
      <xdr:col>90</xdr:col>
      <xdr:colOff>45327</xdr:colOff>
      <xdr:row>62</xdr:row>
      <xdr:rowOff>167767</xdr:rowOff>
    </xdr:to>
    <xdr:sp macro="" textlink="">
      <xdr:nvSpPr>
        <xdr:cNvPr id="307" name="Rectangle 220">
          <a:extLst>
            <a:ext uri="{FF2B5EF4-FFF2-40B4-BE49-F238E27FC236}">
              <a16:creationId xmlns:a16="http://schemas.microsoft.com/office/drawing/2014/main" id="{00000000-0008-0000-1A00-000033010000}"/>
            </a:ext>
          </a:extLst>
        </xdr:cNvPr>
        <xdr:cNvSpPr>
          <a:spLocks noChangeArrowheads="1"/>
        </xdr:cNvSpPr>
      </xdr:nvSpPr>
      <xdr:spPr bwMode="auto">
        <a:xfrm>
          <a:off x="19260456" y="13374709"/>
          <a:ext cx="764959" cy="150470"/>
        </a:xfrm>
        <a:prstGeom prst="rect">
          <a:avLst/>
        </a:prstGeom>
        <a:solidFill>
          <a:srgbClr val="FFFFFF"/>
        </a:solidFill>
        <a:ln w="9525">
          <a:noFill/>
          <a:miter lim="800000"/>
          <a:headEnd/>
          <a:tailEnd/>
        </a:ln>
      </xdr:spPr>
      <xdr:txBody>
        <a:bodyPr wrap="none" lIns="11585" tIns="5792" rIns="11585" bIns="5792" anchor="ctr" upright="1">
          <a:noAutofit/>
        </a:bodyPr>
        <a:lstStyle/>
        <a:p>
          <a:pPr algn="l" rtl="1">
            <a:defRPr sz="1000"/>
          </a:pPr>
          <a:r>
            <a:rPr lang="ko-KR" altLang="en-US" sz="1000" b="0" i="0" strike="noStrike">
              <a:solidFill>
                <a:srgbClr val="000000"/>
              </a:solidFill>
              <a:latin typeface="굴림"/>
              <a:ea typeface="굴림"/>
            </a:rPr>
            <a:t>계전기실</a:t>
          </a:r>
        </a:p>
      </xdr:txBody>
    </xdr:sp>
    <xdr:clientData/>
  </xdr:twoCellAnchor>
  <xdr:twoCellAnchor>
    <xdr:from>
      <xdr:col>83</xdr:col>
      <xdr:colOff>235322</xdr:colOff>
      <xdr:row>67</xdr:row>
      <xdr:rowOff>67234</xdr:rowOff>
    </xdr:from>
    <xdr:to>
      <xdr:col>83</xdr:col>
      <xdr:colOff>240643</xdr:colOff>
      <xdr:row>76</xdr:row>
      <xdr:rowOff>207415</xdr:rowOff>
    </xdr:to>
    <xdr:sp macro="" textlink="">
      <xdr:nvSpPr>
        <xdr:cNvPr id="310" name="Line 250">
          <a:extLst>
            <a:ext uri="{FF2B5EF4-FFF2-40B4-BE49-F238E27FC236}">
              <a16:creationId xmlns:a16="http://schemas.microsoft.com/office/drawing/2014/main" id="{00000000-0008-0000-1A00-000036010000}"/>
            </a:ext>
          </a:extLst>
        </xdr:cNvPr>
        <xdr:cNvSpPr>
          <a:spLocks noChangeShapeType="1"/>
        </xdr:cNvSpPr>
      </xdr:nvSpPr>
      <xdr:spPr bwMode="auto">
        <a:xfrm flipH="1" flipV="1">
          <a:off x="18332822" y="14489205"/>
          <a:ext cx="5321" cy="2056386"/>
        </a:xfrm>
        <a:prstGeom prst="line">
          <a:avLst/>
        </a:prstGeom>
        <a:noFill/>
        <a:ln w="17145">
          <a:solidFill>
            <a:srgbClr val="0000FF"/>
          </a:solidFill>
          <a:round/>
          <a:headEnd/>
          <a:tailEnd/>
        </a:ln>
      </xdr:spPr>
    </xdr:sp>
    <xdr:clientData/>
  </xdr:twoCellAnchor>
  <xdr:twoCellAnchor>
    <xdr:from>
      <xdr:col>87</xdr:col>
      <xdr:colOff>81759</xdr:colOff>
      <xdr:row>77</xdr:row>
      <xdr:rowOff>42484</xdr:rowOff>
    </xdr:from>
    <xdr:to>
      <xdr:col>90</xdr:col>
      <xdr:colOff>234254</xdr:colOff>
      <xdr:row>78</xdr:row>
      <xdr:rowOff>15497</xdr:rowOff>
    </xdr:to>
    <xdr:sp macro="" textlink="">
      <xdr:nvSpPr>
        <xdr:cNvPr id="315" name="Rectangle 192">
          <a:extLst>
            <a:ext uri="{FF2B5EF4-FFF2-40B4-BE49-F238E27FC236}">
              <a16:creationId xmlns:a16="http://schemas.microsoft.com/office/drawing/2014/main" id="{00000000-0008-0000-1A00-00003B010000}"/>
            </a:ext>
          </a:extLst>
        </xdr:cNvPr>
        <xdr:cNvSpPr>
          <a:spLocks noChangeArrowheads="1"/>
        </xdr:cNvSpPr>
      </xdr:nvSpPr>
      <xdr:spPr bwMode="auto">
        <a:xfrm>
          <a:off x="19255024" y="16593572"/>
          <a:ext cx="959318" cy="185925"/>
        </a:xfrm>
        <a:prstGeom prst="rect">
          <a:avLst/>
        </a:prstGeom>
        <a:solidFill>
          <a:srgbClr val="FFFFFF"/>
        </a:solidFill>
        <a:ln w="9525">
          <a:noFill/>
          <a:miter lim="800000"/>
          <a:headEnd/>
          <a:tailEnd/>
        </a:ln>
      </xdr:spPr>
      <xdr:txBody>
        <a:bodyPr wrap="none" lIns="11585" tIns="5792" rIns="11585" bIns="5792" anchor="ctr" upright="1">
          <a:noAutofit/>
        </a:bodyPr>
        <a:lstStyle/>
        <a:p>
          <a:pPr algn="l" rtl="1">
            <a:defRPr sz="1000"/>
          </a:pPr>
          <a:r>
            <a:rPr lang="en-US" altLang="ko-KR" sz="1000" b="0" i="0" strike="noStrike">
              <a:solidFill>
                <a:srgbClr val="000000"/>
              </a:solidFill>
              <a:latin typeface="굴림"/>
              <a:ea typeface="굴림"/>
            </a:rPr>
            <a:t>T/L</a:t>
          </a:r>
          <a:r>
            <a:rPr lang="ko-KR" altLang="en-US" sz="1000" b="0" i="0" strike="noStrike">
              <a:solidFill>
                <a:srgbClr val="000000"/>
              </a:solidFill>
              <a:latin typeface="굴림"/>
              <a:ea typeface="굴림"/>
            </a:rPr>
            <a:t>보호</a:t>
          </a:r>
          <a:r>
            <a:rPr lang="en-US" altLang="ko-KR" sz="1000" b="0" i="0" strike="noStrike">
              <a:solidFill>
                <a:srgbClr val="000000"/>
              </a:solidFill>
              <a:latin typeface="굴림"/>
              <a:ea typeface="굴림"/>
            </a:rPr>
            <a:t>PNL</a:t>
          </a:r>
          <a:r>
            <a:rPr lang="en-US" altLang="ko-KR" sz="1000" b="0" i="0" strike="noStrike" baseline="0">
              <a:solidFill>
                <a:srgbClr val="000000"/>
              </a:solidFill>
              <a:latin typeface="굴림"/>
              <a:ea typeface="굴림"/>
            </a:rPr>
            <a:t> (87)</a:t>
          </a:r>
          <a:endParaRPr lang="ko-KR" altLang="en-US" sz="1000" b="0" i="0" strike="noStrike">
            <a:solidFill>
              <a:srgbClr val="000000"/>
            </a:solidFill>
            <a:latin typeface="굴림"/>
            <a:ea typeface="굴림"/>
          </a:endParaRPr>
        </a:p>
      </xdr:txBody>
    </xdr:sp>
    <xdr:clientData/>
  </xdr:twoCellAnchor>
  <xdr:twoCellAnchor>
    <xdr:from>
      <xdr:col>87</xdr:col>
      <xdr:colOff>14171</xdr:colOff>
      <xdr:row>78</xdr:row>
      <xdr:rowOff>110844</xdr:rowOff>
    </xdr:from>
    <xdr:to>
      <xdr:col>90</xdr:col>
      <xdr:colOff>246529</xdr:colOff>
      <xdr:row>79</xdr:row>
      <xdr:rowOff>168087</xdr:rowOff>
    </xdr:to>
    <xdr:sp macro="" textlink="">
      <xdr:nvSpPr>
        <xdr:cNvPr id="316" name="Rectangle 193">
          <a:extLst>
            <a:ext uri="{FF2B5EF4-FFF2-40B4-BE49-F238E27FC236}">
              <a16:creationId xmlns:a16="http://schemas.microsoft.com/office/drawing/2014/main" id="{00000000-0008-0000-1A00-00003C010000}"/>
            </a:ext>
          </a:extLst>
        </xdr:cNvPr>
        <xdr:cNvSpPr>
          <a:spLocks noChangeArrowheads="1"/>
        </xdr:cNvSpPr>
      </xdr:nvSpPr>
      <xdr:spPr bwMode="auto">
        <a:xfrm>
          <a:off x="19187436" y="16874844"/>
          <a:ext cx="1039181" cy="270155"/>
        </a:xfrm>
        <a:prstGeom prst="rect">
          <a:avLst/>
        </a:prstGeom>
        <a:solidFill>
          <a:srgbClr val="FFFFFF"/>
        </a:solidFill>
        <a:ln w="9525">
          <a:noFill/>
          <a:miter lim="800000"/>
          <a:headEnd/>
          <a:tailEnd/>
        </a:ln>
      </xdr:spPr>
      <xdr:txBody>
        <a:bodyPr wrap="none" lIns="11585" tIns="5792" rIns="11585" bIns="5792" anchor="ctr" upright="1">
          <a:noAutofit/>
        </a:bodyPr>
        <a:lstStyle/>
        <a:p>
          <a:pPr rtl="1"/>
          <a:r>
            <a:rPr lang="en-US" altLang="ko-KR" sz="1100" b="0" i="0">
              <a:latin typeface="+mn-lt"/>
              <a:ea typeface="+mn-ea"/>
              <a:cs typeface="+mn-cs"/>
            </a:rPr>
            <a:t>T/L</a:t>
          </a:r>
          <a:r>
            <a:rPr lang="ko-KR" altLang="ko-KR" sz="1100" b="0" i="0">
              <a:latin typeface="+mn-lt"/>
              <a:ea typeface="+mn-ea"/>
              <a:cs typeface="+mn-cs"/>
            </a:rPr>
            <a:t>보호</a:t>
          </a:r>
          <a:r>
            <a:rPr lang="en-US" altLang="ko-KR" sz="1100" b="0" i="0">
              <a:latin typeface="+mn-lt"/>
              <a:ea typeface="+mn-ea"/>
              <a:cs typeface="+mn-cs"/>
            </a:rPr>
            <a:t>PNL</a:t>
          </a:r>
          <a:r>
            <a:rPr lang="en-US" altLang="ko-KR" sz="1100" b="0" i="0" baseline="0">
              <a:latin typeface="+mn-lt"/>
              <a:ea typeface="+mn-ea"/>
              <a:cs typeface="+mn-cs"/>
            </a:rPr>
            <a:t>  (21)</a:t>
          </a:r>
          <a:endParaRPr lang="ko-KR" altLang="ko-KR" sz="1100" b="0" i="0">
            <a:latin typeface="+mn-lt"/>
            <a:ea typeface="+mn-ea"/>
            <a:cs typeface="+mn-cs"/>
          </a:endParaRPr>
        </a:p>
      </xdr:txBody>
    </xdr:sp>
    <xdr:clientData/>
  </xdr:twoCellAnchor>
  <xdr:twoCellAnchor>
    <xdr:from>
      <xdr:col>84</xdr:col>
      <xdr:colOff>224453</xdr:colOff>
      <xdr:row>77</xdr:row>
      <xdr:rowOff>141982</xdr:rowOff>
    </xdr:from>
    <xdr:to>
      <xdr:col>86</xdr:col>
      <xdr:colOff>240458</xdr:colOff>
      <xdr:row>77</xdr:row>
      <xdr:rowOff>141982</xdr:rowOff>
    </xdr:to>
    <xdr:sp macro="" textlink="">
      <xdr:nvSpPr>
        <xdr:cNvPr id="317" name="Line 194">
          <a:extLst>
            <a:ext uri="{FF2B5EF4-FFF2-40B4-BE49-F238E27FC236}">
              <a16:creationId xmlns:a16="http://schemas.microsoft.com/office/drawing/2014/main" id="{00000000-0008-0000-1A00-00003D010000}"/>
            </a:ext>
          </a:extLst>
        </xdr:cNvPr>
        <xdr:cNvSpPr>
          <a:spLocks noChangeShapeType="1"/>
        </xdr:cNvSpPr>
      </xdr:nvSpPr>
      <xdr:spPr bwMode="auto">
        <a:xfrm>
          <a:off x="18590894" y="16693070"/>
          <a:ext cx="553888" cy="0"/>
        </a:xfrm>
        <a:prstGeom prst="line">
          <a:avLst/>
        </a:prstGeom>
        <a:noFill/>
        <a:ln w="17145">
          <a:solidFill>
            <a:srgbClr val="000000"/>
          </a:solidFill>
          <a:round/>
          <a:headEnd/>
          <a:tailEnd/>
        </a:ln>
      </xdr:spPr>
    </xdr:sp>
    <xdr:clientData/>
  </xdr:twoCellAnchor>
  <xdr:twoCellAnchor>
    <xdr:from>
      <xdr:col>84</xdr:col>
      <xdr:colOff>224452</xdr:colOff>
      <xdr:row>79</xdr:row>
      <xdr:rowOff>33797</xdr:rowOff>
    </xdr:from>
    <xdr:to>
      <xdr:col>86</xdr:col>
      <xdr:colOff>253901</xdr:colOff>
      <xdr:row>79</xdr:row>
      <xdr:rowOff>33797</xdr:rowOff>
    </xdr:to>
    <xdr:sp macro="" textlink="">
      <xdr:nvSpPr>
        <xdr:cNvPr id="318" name="Line 195">
          <a:extLst>
            <a:ext uri="{FF2B5EF4-FFF2-40B4-BE49-F238E27FC236}">
              <a16:creationId xmlns:a16="http://schemas.microsoft.com/office/drawing/2014/main" id="{00000000-0008-0000-1A00-00003E010000}"/>
            </a:ext>
          </a:extLst>
        </xdr:cNvPr>
        <xdr:cNvSpPr>
          <a:spLocks noChangeShapeType="1"/>
        </xdr:cNvSpPr>
      </xdr:nvSpPr>
      <xdr:spPr bwMode="auto">
        <a:xfrm>
          <a:off x="18590893" y="17010709"/>
          <a:ext cx="567332" cy="0"/>
        </a:xfrm>
        <a:prstGeom prst="line">
          <a:avLst/>
        </a:prstGeom>
        <a:noFill/>
        <a:ln w="17145">
          <a:solidFill>
            <a:srgbClr val="000000"/>
          </a:solidFill>
          <a:round/>
          <a:headEnd/>
          <a:tailEnd/>
        </a:ln>
      </xdr:spPr>
    </xdr:sp>
    <xdr:clientData/>
  </xdr:twoCellAnchor>
  <xdr:twoCellAnchor>
    <xdr:from>
      <xdr:col>75</xdr:col>
      <xdr:colOff>120583</xdr:colOff>
      <xdr:row>75</xdr:row>
      <xdr:rowOff>27981</xdr:rowOff>
    </xdr:from>
    <xdr:to>
      <xdr:col>77</xdr:col>
      <xdr:colOff>239327</xdr:colOff>
      <xdr:row>76</xdr:row>
      <xdr:rowOff>995</xdr:rowOff>
    </xdr:to>
    <xdr:sp macro="" textlink="">
      <xdr:nvSpPr>
        <xdr:cNvPr id="322" name="Rectangle 189">
          <a:extLst>
            <a:ext uri="{FF2B5EF4-FFF2-40B4-BE49-F238E27FC236}">
              <a16:creationId xmlns:a16="http://schemas.microsoft.com/office/drawing/2014/main" id="{00000000-0008-0000-1A00-000042010000}"/>
            </a:ext>
          </a:extLst>
        </xdr:cNvPr>
        <xdr:cNvSpPr>
          <a:spLocks noChangeArrowheads="1"/>
        </xdr:cNvSpPr>
      </xdr:nvSpPr>
      <xdr:spPr bwMode="auto">
        <a:xfrm>
          <a:off x="16357907" y="16153246"/>
          <a:ext cx="656626" cy="185925"/>
        </a:xfrm>
        <a:prstGeom prst="rect">
          <a:avLst/>
        </a:prstGeom>
        <a:solidFill>
          <a:srgbClr val="FFFFFF"/>
        </a:solidFill>
        <a:ln w="9525">
          <a:noFill/>
          <a:miter lim="800000"/>
          <a:headEnd/>
          <a:tailEnd/>
        </a:ln>
      </xdr:spPr>
      <xdr:txBody>
        <a:bodyPr wrap="none" lIns="11585" tIns="5792" rIns="11585" bIns="5792" anchor="ctr" upright="1">
          <a:noAutofit/>
        </a:bodyPr>
        <a:lstStyle/>
        <a:p>
          <a:pPr algn="ctr" rtl="1">
            <a:defRPr sz="1000"/>
          </a:pPr>
          <a:r>
            <a:rPr lang="ko-KR" altLang="en-US" sz="1000" b="0" i="0" strike="noStrike">
              <a:solidFill>
                <a:srgbClr val="000000"/>
              </a:solidFill>
              <a:latin typeface="굴림"/>
              <a:ea typeface="굴림"/>
            </a:rPr>
            <a:t>보호계전기</a:t>
          </a:r>
        </a:p>
      </xdr:txBody>
    </xdr:sp>
    <xdr:clientData/>
  </xdr:twoCellAnchor>
  <xdr:twoCellAnchor>
    <xdr:from>
      <xdr:col>88</xdr:col>
      <xdr:colOff>259157</xdr:colOff>
      <xdr:row>70</xdr:row>
      <xdr:rowOff>200976</xdr:rowOff>
    </xdr:from>
    <xdr:to>
      <xdr:col>92</xdr:col>
      <xdr:colOff>236660</xdr:colOff>
      <xdr:row>71</xdr:row>
      <xdr:rowOff>173989</xdr:rowOff>
    </xdr:to>
    <xdr:sp macro="" textlink="">
      <xdr:nvSpPr>
        <xdr:cNvPr id="324" name="Rectangle 192">
          <a:extLst>
            <a:ext uri="{FF2B5EF4-FFF2-40B4-BE49-F238E27FC236}">
              <a16:creationId xmlns:a16="http://schemas.microsoft.com/office/drawing/2014/main" id="{00000000-0008-0000-1A00-000044010000}"/>
            </a:ext>
          </a:extLst>
        </xdr:cNvPr>
        <xdr:cNvSpPr>
          <a:spLocks noChangeArrowheads="1"/>
        </xdr:cNvSpPr>
      </xdr:nvSpPr>
      <xdr:spPr bwMode="auto">
        <a:xfrm>
          <a:off x="19701363" y="15261682"/>
          <a:ext cx="1053268" cy="185925"/>
        </a:xfrm>
        <a:prstGeom prst="rect">
          <a:avLst/>
        </a:prstGeom>
        <a:solidFill>
          <a:srgbClr val="FFFFFF"/>
        </a:solidFill>
        <a:ln w="9525">
          <a:noFill/>
          <a:miter lim="800000"/>
          <a:headEnd/>
          <a:tailEnd/>
        </a:ln>
      </xdr:spPr>
      <xdr:txBody>
        <a:bodyPr wrap="square" lIns="11585" tIns="5792" rIns="11585" bIns="5792" anchor="ctr" upright="1">
          <a:noAutofit/>
        </a:bodyPr>
        <a:lstStyle/>
        <a:p>
          <a:pPr algn="l" rtl="1">
            <a:defRPr sz="1000"/>
          </a:pPr>
          <a:r>
            <a:rPr lang="en-US" altLang="ko-KR" sz="1000" b="0" i="0" strike="noStrike">
              <a:solidFill>
                <a:srgbClr val="000000"/>
              </a:solidFill>
              <a:latin typeface="굴림"/>
              <a:ea typeface="굴림"/>
            </a:rPr>
            <a:t>BUS</a:t>
          </a:r>
          <a:r>
            <a:rPr lang="ko-KR" altLang="en-US" sz="1000" b="0" i="0" strike="noStrike">
              <a:solidFill>
                <a:srgbClr val="000000"/>
              </a:solidFill>
              <a:latin typeface="굴림"/>
              <a:ea typeface="굴림"/>
            </a:rPr>
            <a:t>보호</a:t>
          </a:r>
          <a:r>
            <a:rPr lang="en-US" altLang="ko-KR" sz="1000" b="0" i="0" strike="noStrike">
              <a:solidFill>
                <a:srgbClr val="000000"/>
              </a:solidFill>
              <a:latin typeface="굴림"/>
              <a:ea typeface="굴림"/>
            </a:rPr>
            <a:t>PNL</a:t>
          </a:r>
          <a:endParaRPr lang="ko-KR" altLang="en-US" sz="1000" b="0" i="0" strike="noStrike">
            <a:solidFill>
              <a:srgbClr val="000000"/>
            </a:solidFill>
            <a:latin typeface="굴림"/>
            <a:ea typeface="굴림"/>
          </a:endParaRPr>
        </a:p>
      </xdr:txBody>
    </xdr:sp>
    <xdr:clientData/>
  </xdr:twoCellAnchor>
  <xdr:twoCellAnchor>
    <xdr:from>
      <xdr:col>86</xdr:col>
      <xdr:colOff>213570</xdr:colOff>
      <xdr:row>71</xdr:row>
      <xdr:rowOff>80827</xdr:rowOff>
    </xdr:from>
    <xdr:to>
      <xdr:col>89</xdr:col>
      <xdr:colOff>0</xdr:colOff>
      <xdr:row>71</xdr:row>
      <xdr:rowOff>80827</xdr:rowOff>
    </xdr:to>
    <xdr:sp macro="" textlink="">
      <xdr:nvSpPr>
        <xdr:cNvPr id="325" name="Line 194">
          <a:extLst>
            <a:ext uri="{FF2B5EF4-FFF2-40B4-BE49-F238E27FC236}">
              <a16:creationId xmlns:a16="http://schemas.microsoft.com/office/drawing/2014/main" id="{00000000-0008-0000-1A00-000045010000}"/>
            </a:ext>
          </a:extLst>
        </xdr:cNvPr>
        <xdr:cNvSpPr>
          <a:spLocks noChangeShapeType="1"/>
        </xdr:cNvSpPr>
      </xdr:nvSpPr>
      <xdr:spPr bwMode="auto">
        <a:xfrm flipV="1">
          <a:off x="19117894" y="15354445"/>
          <a:ext cx="593253" cy="0"/>
        </a:xfrm>
        <a:prstGeom prst="line">
          <a:avLst/>
        </a:prstGeom>
        <a:noFill/>
        <a:ln w="17145">
          <a:solidFill>
            <a:srgbClr val="000000"/>
          </a:solidFill>
          <a:round/>
          <a:headEnd/>
          <a:tailEnd/>
        </a:ln>
      </xdr:spPr>
    </xdr:sp>
    <xdr:clientData/>
  </xdr:twoCellAnchor>
  <xdr:twoCellAnchor>
    <xdr:from>
      <xdr:col>81</xdr:col>
      <xdr:colOff>227326</xdr:colOff>
      <xdr:row>76</xdr:row>
      <xdr:rowOff>120472</xdr:rowOff>
    </xdr:from>
    <xdr:to>
      <xdr:col>84</xdr:col>
      <xdr:colOff>240582</xdr:colOff>
      <xdr:row>80</xdr:row>
      <xdr:rowOff>105464</xdr:rowOff>
    </xdr:to>
    <xdr:pic>
      <xdr:nvPicPr>
        <xdr:cNvPr id="328" name="Picture 8">
          <a:extLst>
            <a:ext uri="{FF2B5EF4-FFF2-40B4-BE49-F238E27FC236}">
              <a16:creationId xmlns:a16="http://schemas.microsoft.com/office/drawing/2014/main" id="{00000000-0008-0000-1A00-00004801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786944" y="16458648"/>
          <a:ext cx="820079" cy="836640"/>
        </a:xfrm>
        <a:prstGeom prst="rect">
          <a:avLst/>
        </a:prstGeom>
        <a:noFill/>
        <a:ln w="9525">
          <a:noFill/>
          <a:miter lim="800000"/>
          <a:headEnd/>
          <a:tailEnd/>
        </a:ln>
      </xdr:spPr>
    </xdr:pic>
    <xdr:clientData/>
  </xdr:twoCellAnchor>
  <xdr:twoCellAnchor>
    <xdr:from>
      <xdr:col>73</xdr:col>
      <xdr:colOff>103267</xdr:colOff>
      <xdr:row>76</xdr:row>
      <xdr:rowOff>168448</xdr:rowOff>
    </xdr:from>
    <xdr:to>
      <xdr:col>77</xdr:col>
      <xdr:colOff>52643</xdr:colOff>
      <xdr:row>77</xdr:row>
      <xdr:rowOff>141461</xdr:rowOff>
    </xdr:to>
    <xdr:sp macro="" textlink="">
      <xdr:nvSpPr>
        <xdr:cNvPr id="329" name="Rectangle 192">
          <a:extLst>
            <a:ext uri="{FF2B5EF4-FFF2-40B4-BE49-F238E27FC236}">
              <a16:creationId xmlns:a16="http://schemas.microsoft.com/office/drawing/2014/main" id="{00000000-0008-0000-1A00-000049010000}"/>
            </a:ext>
          </a:extLst>
        </xdr:cNvPr>
        <xdr:cNvSpPr>
          <a:spLocks noChangeArrowheads="1"/>
        </xdr:cNvSpPr>
      </xdr:nvSpPr>
      <xdr:spPr bwMode="auto">
        <a:xfrm>
          <a:off x="15802708" y="16506624"/>
          <a:ext cx="1025141" cy="185925"/>
        </a:xfrm>
        <a:prstGeom prst="rect">
          <a:avLst/>
        </a:prstGeom>
        <a:solidFill>
          <a:srgbClr val="FFFFFF"/>
        </a:solidFill>
        <a:ln w="9525">
          <a:noFill/>
          <a:miter lim="800000"/>
          <a:headEnd/>
          <a:tailEnd/>
        </a:ln>
      </xdr:spPr>
      <xdr:txBody>
        <a:bodyPr wrap="none" lIns="11585" tIns="5792" rIns="11585" bIns="5792" anchor="ctr" upright="1">
          <a:noAutofit/>
        </a:bodyPr>
        <a:lstStyle/>
        <a:p>
          <a:pPr algn="ctr" rtl="1">
            <a:defRPr sz="1000"/>
          </a:pPr>
          <a:r>
            <a:rPr lang="en-US" altLang="ko-KR" sz="1000" b="0" i="0" strike="noStrike">
              <a:solidFill>
                <a:srgbClr val="000000"/>
              </a:solidFill>
              <a:latin typeface="굴림"/>
              <a:ea typeface="굴림"/>
            </a:rPr>
            <a:t>M.Tr</a:t>
          </a:r>
          <a:r>
            <a:rPr lang="ko-KR" altLang="en-US" sz="1000" b="0" i="0" strike="noStrike">
              <a:solidFill>
                <a:srgbClr val="000000"/>
              </a:solidFill>
              <a:latin typeface="굴림"/>
              <a:ea typeface="굴림"/>
            </a:rPr>
            <a:t>보호</a:t>
          </a:r>
          <a:r>
            <a:rPr lang="en-US" altLang="ko-KR" sz="1000" b="0" i="0" strike="noStrike">
              <a:solidFill>
                <a:srgbClr val="000000"/>
              </a:solidFill>
              <a:latin typeface="굴림"/>
              <a:ea typeface="굴림"/>
            </a:rPr>
            <a:t>PNL</a:t>
          </a:r>
          <a:endParaRPr lang="ko-KR" altLang="en-US" sz="1000" b="0" i="0" strike="noStrike">
            <a:solidFill>
              <a:srgbClr val="000000"/>
            </a:solidFill>
            <a:latin typeface="굴림"/>
            <a:ea typeface="굴림"/>
          </a:endParaRPr>
        </a:p>
      </xdr:txBody>
    </xdr:sp>
    <xdr:clientData/>
  </xdr:twoCellAnchor>
  <xdr:twoCellAnchor>
    <xdr:from>
      <xdr:col>73</xdr:col>
      <xdr:colOff>15605</xdr:colOff>
      <xdr:row>78</xdr:row>
      <xdr:rowOff>9716</xdr:rowOff>
    </xdr:from>
    <xdr:to>
      <xdr:col>77</xdr:col>
      <xdr:colOff>54241</xdr:colOff>
      <xdr:row>79</xdr:row>
      <xdr:rowOff>63182</xdr:rowOff>
    </xdr:to>
    <xdr:sp macro="" textlink="">
      <xdr:nvSpPr>
        <xdr:cNvPr id="330" name="Rectangle 193">
          <a:extLst>
            <a:ext uri="{FF2B5EF4-FFF2-40B4-BE49-F238E27FC236}">
              <a16:creationId xmlns:a16="http://schemas.microsoft.com/office/drawing/2014/main" id="{00000000-0008-0000-1A00-00004A010000}"/>
            </a:ext>
          </a:extLst>
        </xdr:cNvPr>
        <xdr:cNvSpPr>
          <a:spLocks noChangeArrowheads="1"/>
        </xdr:cNvSpPr>
      </xdr:nvSpPr>
      <xdr:spPr bwMode="auto">
        <a:xfrm>
          <a:off x="15715046" y="16773716"/>
          <a:ext cx="1114401" cy="266378"/>
        </a:xfrm>
        <a:prstGeom prst="rect">
          <a:avLst/>
        </a:prstGeom>
        <a:solidFill>
          <a:srgbClr val="FFFFFF"/>
        </a:solidFill>
        <a:ln w="9525">
          <a:noFill/>
          <a:miter lim="800000"/>
          <a:headEnd/>
          <a:tailEnd/>
        </a:ln>
      </xdr:spPr>
      <xdr:txBody>
        <a:bodyPr wrap="none" lIns="11585" tIns="5792" rIns="11585" bIns="5792" anchor="ctr" upright="1">
          <a:noAutofit/>
        </a:bodyPr>
        <a:lstStyle/>
        <a:p>
          <a:pPr algn="ctr" rtl="1"/>
          <a:r>
            <a:rPr lang="en-US" altLang="ko-KR" sz="1100" b="0" i="0">
              <a:latin typeface="+mn-lt"/>
              <a:ea typeface="+mn-ea"/>
              <a:cs typeface="+mn-cs"/>
            </a:rPr>
            <a:t>BFP PNL</a:t>
          </a:r>
          <a:endParaRPr lang="ko-KR" altLang="ko-KR" sz="1100" b="0" i="0">
            <a:latin typeface="+mn-lt"/>
            <a:ea typeface="+mn-ea"/>
            <a:cs typeface="+mn-cs"/>
          </a:endParaRPr>
        </a:p>
      </xdr:txBody>
    </xdr:sp>
    <xdr:clientData/>
  </xdr:twoCellAnchor>
  <xdr:twoCellAnchor>
    <xdr:from>
      <xdr:col>85</xdr:col>
      <xdr:colOff>249926</xdr:colOff>
      <xdr:row>66</xdr:row>
      <xdr:rowOff>54336</xdr:rowOff>
    </xdr:from>
    <xdr:to>
      <xdr:col>88</xdr:col>
      <xdr:colOff>83565</xdr:colOff>
      <xdr:row>67</xdr:row>
      <xdr:rowOff>54128</xdr:rowOff>
    </xdr:to>
    <xdr:pic>
      <xdr:nvPicPr>
        <xdr:cNvPr id="127" name="Picture 99" descr="허브">
          <a:extLst>
            <a:ext uri="{FF2B5EF4-FFF2-40B4-BE49-F238E27FC236}">
              <a16:creationId xmlns:a16="http://schemas.microsoft.com/office/drawing/2014/main" id="{00000000-0008-0000-1A00-00007F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8885308" y="14263395"/>
          <a:ext cx="640463" cy="212704"/>
        </a:xfrm>
        <a:prstGeom prst="rect">
          <a:avLst/>
        </a:prstGeom>
        <a:noFill/>
        <a:ln w="9525">
          <a:noFill/>
          <a:miter lim="800000"/>
          <a:headEnd/>
          <a:tailEnd/>
        </a:ln>
      </xdr:spPr>
    </xdr:pic>
    <xdr:clientData/>
  </xdr:twoCellAnchor>
  <xdr:twoCellAnchor>
    <xdr:from>
      <xdr:col>80</xdr:col>
      <xdr:colOff>171282</xdr:colOff>
      <xdr:row>66</xdr:row>
      <xdr:rowOff>41538</xdr:rowOff>
    </xdr:from>
    <xdr:to>
      <xdr:col>83</xdr:col>
      <xdr:colOff>47625</xdr:colOff>
      <xdr:row>67</xdr:row>
      <xdr:rowOff>55512</xdr:rowOff>
    </xdr:to>
    <xdr:pic>
      <xdr:nvPicPr>
        <xdr:cNvPr id="255" name="Picture 99" descr="허브">
          <a:extLst>
            <a:ext uri="{FF2B5EF4-FFF2-40B4-BE49-F238E27FC236}">
              <a16:creationId xmlns:a16="http://schemas.microsoft.com/office/drawing/2014/main" id="{00000000-0008-0000-1A00-0000FF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7461958" y="14250597"/>
          <a:ext cx="683167" cy="226886"/>
        </a:xfrm>
        <a:prstGeom prst="rect">
          <a:avLst/>
        </a:prstGeom>
        <a:noFill/>
        <a:ln w="9525">
          <a:noFill/>
          <a:miter lim="800000"/>
          <a:headEnd/>
          <a:tailEnd/>
        </a:ln>
      </xdr:spPr>
    </xdr:pic>
    <xdr:clientData/>
  </xdr:twoCellAnchor>
  <xdr:twoCellAnchor>
    <xdr:from>
      <xdr:col>77</xdr:col>
      <xdr:colOff>63994</xdr:colOff>
      <xdr:row>76</xdr:row>
      <xdr:rowOff>77932</xdr:rowOff>
    </xdr:from>
    <xdr:to>
      <xdr:col>81</xdr:col>
      <xdr:colOff>99661</xdr:colOff>
      <xdr:row>80</xdr:row>
      <xdr:rowOff>62924</xdr:rowOff>
    </xdr:to>
    <xdr:pic>
      <xdr:nvPicPr>
        <xdr:cNvPr id="140" name="Picture 8">
          <a:extLst>
            <a:ext uri="{FF2B5EF4-FFF2-40B4-BE49-F238E27FC236}">
              <a16:creationId xmlns:a16="http://schemas.microsoft.com/office/drawing/2014/main" id="{00000000-0008-0000-1A00-00008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839200" y="16416108"/>
          <a:ext cx="820079" cy="836640"/>
        </a:xfrm>
        <a:prstGeom prst="rect">
          <a:avLst/>
        </a:prstGeom>
        <a:noFill/>
        <a:ln w="9525">
          <a:noFill/>
          <a:miter lim="800000"/>
          <a:headEnd/>
          <a:tailEnd/>
        </a:ln>
      </xdr:spPr>
    </xdr:pic>
    <xdr:clientData/>
  </xdr:twoCellAnchor>
  <xdr:twoCellAnchor>
    <xdr:from>
      <xdr:col>75</xdr:col>
      <xdr:colOff>262374</xdr:colOff>
      <xdr:row>68</xdr:row>
      <xdr:rowOff>25543</xdr:rowOff>
    </xdr:from>
    <xdr:to>
      <xdr:col>80</xdr:col>
      <xdr:colOff>34480</xdr:colOff>
      <xdr:row>69</xdr:row>
      <xdr:rowOff>99232</xdr:rowOff>
    </xdr:to>
    <xdr:sp macro="" textlink="">
      <xdr:nvSpPr>
        <xdr:cNvPr id="145" name="Rectangle 252">
          <a:extLst>
            <a:ext uri="{FF2B5EF4-FFF2-40B4-BE49-F238E27FC236}">
              <a16:creationId xmlns:a16="http://schemas.microsoft.com/office/drawing/2014/main" id="{00000000-0008-0000-1A00-000091000000}"/>
            </a:ext>
          </a:extLst>
        </xdr:cNvPr>
        <xdr:cNvSpPr>
          <a:spLocks noChangeArrowheads="1"/>
        </xdr:cNvSpPr>
      </xdr:nvSpPr>
      <xdr:spPr bwMode="auto">
        <a:xfrm>
          <a:off x="16499698" y="14660425"/>
          <a:ext cx="825458" cy="286601"/>
        </a:xfrm>
        <a:prstGeom prst="rect">
          <a:avLst/>
        </a:prstGeom>
        <a:solidFill>
          <a:srgbClr val="FFFFFF"/>
        </a:solidFill>
        <a:ln w="9525">
          <a:noFill/>
          <a:miter lim="800000"/>
          <a:headEnd/>
          <a:tailEnd/>
        </a:ln>
      </xdr:spPr>
      <xdr:txBody>
        <a:bodyPr wrap="none" lIns="11585" tIns="5792" rIns="11585" bIns="5792" anchor="ctr" upright="1">
          <a:noAutofit/>
        </a:bodyPr>
        <a:lstStyle/>
        <a:p>
          <a:pPr algn="ctr" rtl="1">
            <a:defRPr sz="1000"/>
          </a:pPr>
          <a:r>
            <a:rPr lang="ko-KR" altLang="en-US" sz="1000" b="1" i="0" strike="noStrike">
              <a:solidFill>
                <a:srgbClr val="FF6600"/>
              </a:solidFill>
              <a:latin typeface="굴림"/>
              <a:ea typeface="굴림"/>
            </a:rPr>
            <a:t>지상</a:t>
          </a:r>
          <a:r>
            <a:rPr lang="en-US" altLang="ko-KR" sz="1000" b="1" i="0" strike="noStrike">
              <a:solidFill>
                <a:srgbClr val="FF6600"/>
              </a:solidFill>
              <a:latin typeface="굴림"/>
              <a:ea typeface="굴림"/>
            </a:rPr>
            <a:t>2</a:t>
          </a:r>
          <a:r>
            <a:rPr lang="ko-KR" altLang="en-US" sz="1000" b="1" i="0" strike="noStrike">
              <a:solidFill>
                <a:srgbClr val="FF6600"/>
              </a:solidFill>
              <a:latin typeface="굴림"/>
              <a:ea typeface="굴림"/>
            </a:rPr>
            <a:t>층 계전기실</a:t>
          </a:r>
        </a:p>
      </xdr:txBody>
    </xdr:sp>
    <xdr:clientData/>
  </xdr:twoCellAnchor>
  <xdr:twoCellAnchor>
    <xdr:from>
      <xdr:col>83</xdr:col>
      <xdr:colOff>74796</xdr:colOff>
      <xdr:row>66</xdr:row>
      <xdr:rowOff>39875</xdr:rowOff>
    </xdr:from>
    <xdr:to>
      <xdr:col>85</xdr:col>
      <xdr:colOff>220081</xdr:colOff>
      <xdr:row>67</xdr:row>
      <xdr:rowOff>53849</xdr:rowOff>
    </xdr:to>
    <xdr:pic>
      <xdr:nvPicPr>
        <xdr:cNvPr id="136" name="Picture 99" descr="허브">
          <a:extLst>
            <a:ext uri="{FF2B5EF4-FFF2-40B4-BE49-F238E27FC236}">
              <a16:creationId xmlns:a16="http://schemas.microsoft.com/office/drawing/2014/main" id="{00000000-0008-0000-1A00-000088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8172296" y="14248934"/>
          <a:ext cx="683167" cy="226886"/>
        </a:xfrm>
        <a:prstGeom prst="rect">
          <a:avLst/>
        </a:prstGeom>
        <a:noFill/>
        <a:ln w="9525">
          <a:noFill/>
          <a:miter lim="800000"/>
          <a:headEnd/>
          <a:tailEnd/>
        </a:ln>
      </xdr:spPr>
    </xdr:pic>
    <xdr:clientData/>
  </xdr:twoCellAnchor>
  <xdr:twoCellAnchor>
    <xdr:from>
      <xdr:col>80</xdr:col>
      <xdr:colOff>107258</xdr:colOff>
      <xdr:row>67</xdr:row>
      <xdr:rowOff>100659</xdr:rowOff>
    </xdr:from>
    <xdr:to>
      <xdr:col>91</xdr:col>
      <xdr:colOff>240130</xdr:colOff>
      <xdr:row>67</xdr:row>
      <xdr:rowOff>121663</xdr:rowOff>
    </xdr:to>
    <xdr:sp macro="" textlink="">
      <xdr:nvSpPr>
        <xdr:cNvPr id="131" name="Line 5">
          <a:extLst>
            <a:ext uri="{FF2B5EF4-FFF2-40B4-BE49-F238E27FC236}">
              <a16:creationId xmlns:a16="http://schemas.microsoft.com/office/drawing/2014/main" id="{00000000-0008-0000-1A00-000083000000}"/>
            </a:ext>
          </a:extLst>
        </xdr:cNvPr>
        <xdr:cNvSpPr>
          <a:spLocks noChangeShapeType="1"/>
        </xdr:cNvSpPr>
      </xdr:nvSpPr>
      <xdr:spPr bwMode="auto">
        <a:xfrm rot="5400000" flipH="1" flipV="1">
          <a:off x="18933045" y="12987519"/>
          <a:ext cx="21004" cy="3091225"/>
        </a:xfrm>
        <a:prstGeom prst="line">
          <a:avLst/>
        </a:prstGeom>
        <a:noFill/>
        <a:ln w="9525">
          <a:solidFill>
            <a:srgbClr val="000000"/>
          </a:solidFill>
          <a:prstDash val="lgDash"/>
          <a:round/>
          <a:headEnd/>
          <a:tailEnd/>
        </a:ln>
      </xdr:spPr>
    </xdr:sp>
    <xdr:clientData/>
  </xdr:twoCellAnchor>
  <xdr:twoCellAnchor editAs="oneCell">
    <xdr:from>
      <xdr:col>81</xdr:col>
      <xdr:colOff>188899</xdr:colOff>
      <xdr:row>62</xdr:row>
      <xdr:rowOff>115520</xdr:rowOff>
    </xdr:from>
    <xdr:to>
      <xdr:col>86</xdr:col>
      <xdr:colOff>206587</xdr:colOff>
      <xdr:row>65</xdr:row>
      <xdr:rowOff>156882</xdr:rowOff>
    </xdr:to>
    <xdr:pic>
      <xdr:nvPicPr>
        <xdr:cNvPr id="334" name="Picture 5">
          <a:extLst>
            <a:ext uri="{FF2B5EF4-FFF2-40B4-BE49-F238E27FC236}">
              <a16:creationId xmlns:a16="http://schemas.microsoft.com/office/drawing/2014/main" id="{00000000-0008-0000-1A00-00004E01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7748517" y="13472932"/>
          <a:ext cx="1362394" cy="680097"/>
        </a:xfrm>
        <a:prstGeom prst="rect">
          <a:avLst/>
        </a:prstGeom>
        <a:noFill/>
        <a:ln w="9525">
          <a:noFill/>
          <a:miter lim="800000"/>
          <a:headEnd/>
          <a:tailEnd/>
        </a:ln>
      </xdr:spPr>
    </xdr:pic>
    <xdr:clientData/>
  </xdr:twoCellAnchor>
  <xdr:twoCellAnchor>
    <xdr:from>
      <xdr:col>80</xdr:col>
      <xdr:colOff>253252</xdr:colOff>
      <xdr:row>67</xdr:row>
      <xdr:rowOff>6722</xdr:rowOff>
    </xdr:from>
    <xdr:to>
      <xdr:col>80</xdr:col>
      <xdr:colOff>258573</xdr:colOff>
      <xdr:row>76</xdr:row>
      <xdr:rowOff>146903</xdr:rowOff>
    </xdr:to>
    <xdr:sp macro="" textlink="">
      <xdr:nvSpPr>
        <xdr:cNvPr id="114" name="Line 250">
          <a:extLst>
            <a:ext uri="{FF2B5EF4-FFF2-40B4-BE49-F238E27FC236}">
              <a16:creationId xmlns:a16="http://schemas.microsoft.com/office/drawing/2014/main" id="{00000000-0008-0000-1A00-000072000000}"/>
            </a:ext>
          </a:extLst>
        </xdr:cNvPr>
        <xdr:cNvSpPr>
          <a:spLocks noChangeShapeType="1"/>
        </xdr:cNvSpPr>
      </xdr:nvSpPr>
      <xdr:spPr bwMode="auto">
        <a:xfrm flipH="1" flipV="1">
          <a:off x="17543928" y="14428693"/>
          <a:ext cx="5321" cy="2056386"/>
        </a:xfrm>
        <a:prstGeom prst="line">
          <a:avLst/>
        </a:prstGeom>
        <a:noFill/>
        <a:ln w="17145">
          <a:solidFill>
            <a:srgbClr val="0000FF"/>
          </a:solidFill>
          <a:round/>
          <a:headEnd/>
          <a:tailEnd/>
        </a:ln>
      </xdr:spPr>
    </xdr:sp>
    <xdr:clientData/>
  </xdr:twoCellAnchor>
  <xdr:twoCellAnchor>
    <xdr:from>
      <xdr:col>84</xdr:col>
      <xdr:colOff>155609</xdr:colOff>
      <xdr:row>69</xdr:row>
      <xdr:rowOff>194431</xdr:rowOff>
    </xdr:from>
    <xdr:to>
      <xdr:col>87</xdr:col>
      <xdr:colOff>168864</xdr:colOff>
      <xdr:row>73</xdr:row>
      <xdr:rowOff>179424</xdr:rowOff>
    </xdr:to>
    <xdr:pic>
      <xdr:nvPicPr>
        <xdr:cNvPr id="115" name="Picture 8">
          <a:extLst>
            <a:ext uri="{FF2B5EF4-FFF2-40B4-BE49-F238E27FC236}">
              <a16:creationId xmlns:a16="http://schemas.microsoft.com/office/drawing/2014/main" id="{00000000-0008-0000-1A00-00007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8522050" y="15042225"/>
          <a:ext cx="820079" cy="836640"/>
        </a:xfrm>
        <a:prstGeom prst="rect">
          <a:avLst/>
        </a:prstGeom>
        <a:noFill/>
        <a:ln w="9525">
          <a:noFill/>
          <a:miter lim="800000"/>
          <a:headEnd/>
          <a:tailEnd/>
        </a:ln>
      </xdr:spPr>
    </xdr:pic>
    <xdr:clientData/>
  </xdr:twoCellAnchor>
  <xdr:twoCellAnchor>
    <xdr:from>
      <xdr:col>86</xdr:col>
      <xdr:colOff>197221</xdr:colOff>
      <xdr:row>67</xdr:row>
      <xdr:rowOff>40340</xdr:rowOff>
    </xdr:from>
    <xdr:to>
      <xdr:col>86</xdr:col>
      <xdr:colOff>197221</xdr:colOff>
      <xdr:row>70</xdr:row>
      <xdr:rowOff>67235</xdr:rowOff>
    </xdr:to>
    <xdr:sp macro="" textlink="">
      <xdr:nvSpPr>
        <xdr:cNvPr id="116" name="Line 250">
          <a:extLst>
            <a:ext uri="{FF2B5EF4-FFF2-40B4-BE49-F238E27FC236}">
              <a16:creationId xmlns:a16="http://schemas.microsoft.com/office/drawing/2014/main" id="{00000000-0008-0000-1A00-000074000000}"/>
            </a:ext>
          </a:extLst>
        </xdr:cNvPr>
        <xdr:cNvSpPr>
          <a:spLocks noChangeShapeType="1"/>
        </xdr:cNvSpPr>
      </xdr:nvSpPr>
      <xdr:spPr bwMode="auto">
        <a:xfrm flipH="1" flipV="1">
          <a:off x="19101545" y="14462311"/>
          <a:ext cx="0" cy="665630"/>
        </a:xfrm>
        <a:prstGeom prst="line">
          <a:avLst/>
        </a:prstGeom>
        <a:noFill/>
        <a:ln w="17145">
          <a:solidFill>
            <a:srgbClr val="0000FF"/>
          </a:solidFill>
          <a:round/>
          <a:headEnd/>
          <a:tailEnd/>
        </a:ln>
      </xdr:spPr>
    </xdr:sp>
    <xdr:clientData/>
  </xdr:twoCellAnchor>
  <xdr:twoCellAnchor>
    <xdr:from>
      <xdr:col>87</xdr:col>
      <xdr:colOff>85950</xdr:colOff>
      <xdr:row>69</xdr:row>
      <xdr:rowOff>4893</xdr:rowOff>
    </xdr:from>
    <xdr:to>
      <xdr:col>89</xdr:col>
      <xdr:colOff>204694</xdr:colOff>
      <xdr:row>69</xdr:row>
      <xdr:rowOff>190818</xdr:rowOff>
    </xdr:to>
    <xdr:sp macro="" textlink="">
      <xdr:nvSpPr>
        <xdr:cNvPr id="117" name="Rectangle 189">
          <a:extLst>
            <a:ext uri="{FF2B5EF4-FFF2-40B4-BE49-F238E27FC236}">
              <a16:creationId xmlns:a16="http://schemas.microsoft.com/office/drawing/2014/main" id="{00000000-0008-0000-1A00-000075000000}"/>
            </a:ext>
          </a:extLst>
        </xdr:cNvPr>
        <xdr:cNvSpPr>
          <a:spLocks noChangeArrowheads="1"/>
        </xdr:cNvSpPr>
      </xdr:nvSpPr>
      <xdr:spPr bwMode="auto">
        <a:xfrm>
          <a:off x="19259215" y="14852687"/>
          <a:ext cx="656626" cy="185925"/>
        </a:xfrm>
        <a:prstGeom prst="rect">
          <a:avLst/>
        </a:prstGeom>
        <a:solidFill>
          <a:srgbClr val="FFFFFF"/>
        </a:solidFill>
        <a:ln w="9525">
          <a:noFill/>
          <a:miter lim="800000"/>
          <a:headEnd/>
          <a:tailEnd/>
        </a:ln>
      </xdr:spPr>
      <xdr:txBody>
        <a:bodyPr wrap="none" lIns="11585" tIns="5792" rIns="11585" bIns="5792" anchor="ctr" upright="1">
          <a:noAutofit/>
        </a:bodyPr>
        <a:lstStyle/>
        <a:p>
          <a:pPr algn="ctr" rtl="1">
            <a:defRPr sz="1000"/>
          </a:pPr>
          <a:r>
            <a:rPr lang="ko-KR" altLang="en-US" sz="1000" b="0" i="0" strike="noStrike">
              <a:solidFill>
                <a:srgbClr val="000000"/>
              </a:solidFill>
              <a:latin typeface="굴림"/>
              <a:ea typeface="굴림"/>
            </a:rPr>
            <a:t>보호계전기</a:t>
          </a:r>
        </a:p>
      </xdr:txBody>
    </xdr:sp>
    <xdr:clientData/>
  </xdr:twoCellAnchor>
  <xdr:twoCellAnchor editAs="oneCell">
    <xdr:from>
      <xdr:col>47</xdr:col>
      <xdr:colOff>0</xdr:colOff>
      <xdr:row>60</xdr:row>
      <xdr:rowOff>1</xdr:rowOff>
    </xdr:from>
    <xdr:to>
      <xdr:col>69</xdr:col>
      <xdr:colOff>264246</xdr:colOff>
      <xdr:row>91</xdr:row>
      <xdr:rowOff>112060</xdr:rowOff>
    </xdr:to>
    <xdr:pic>
      <xdr:nvPicPr>
        <xdr:cNvPr id="3" name="그림 2">
          <a:extLst>
            <a:ext uri="{FF2B5EF4-FFF2-40B4-BE49-F238E27FC236}">
              <a16:creationId xmlns:a16="http://schemas.microsoft.com/office/drawing/2014/main" id="{00000000-0008-0000-1A00-000003000000}"/>
            </a:ext>
          </a:extLst>
        </xdr:cNvPr>
        <xdr:cNvPicPr>
          <a:picLocks noChangeAspect="1"/>
        </xdr:cNvPicPr>
      </xdr:nvPicPr>
      <xdr:blipFill>
        <a:blip xmlns:r="http://schemas.openxmlformats.org/officeDocument/2006/relationships" r:embed="rId4"/>
        <a:stretch>
          <a:fillRect/>
        </a:stretch>
      </xdr:blipFill>
      <xdr:spPr>
        <a:xfrm>
          <a:off x="8706971" y="12931589"/>
          <a:ext cx="6180952" cy="6712324"/>
        </a:xfrm>
        <a:prstGeom prst="rect">
          <a:avLst/>
        </a:prstGeom>
      </xdr:spPr>
    </xdr:pic>
    <xdr:clientData/>
  </xdr:twoCellAnchor>
  <xdr:twoCellAnchor editAs="oneCell">
    <xdr:from>
      <xdr:col>1</xdr:col>
      <xdr:colOff>224517</xdr:colOff>
      <xdr:row>59</xdr:row>
      <xdr:rowOff>81644</xdr:rowOff>
    </xdr:from>
    <xdr:to>
      <xdr:col>25</xdr:col>
      <xdr:colOff>147678</xdr:colOff>
      <xdr:row>87</xdr:row>
      <xdr:rowOff>71094</xdr:rowOff>
    </xdr:to>
    <xdr:pic>
      <xdr:nvPicPr>
        <xdr:cNvPr id="157" name="그림 156">
          <a:extLst>
            <a:ext uri="{FF2B5EF4-FFF2-40B4-BE49-F238E27FC236}">
              <a16:creationId xmlns:a16="http://schemas.microsoft.com/office/drawing/2014/main" id="{00000000-0008-0000-1A00-00009D000000}"/>
            </a:ext>
          </a:extLst>
        </xdr:cNvPr>
        <xdr:cNvPicPr>
          <a:picLocks noChangeAspect="1"/>
        </xdr:cNvPicPr>
      </xdr:nvPicPr>
      <xdr:blipFill>
        <a:blip xmlns:r="http://schemas.openxmlformats.org/officeDocument/2006/relationships" r:embed="rId5"/>
        <a:stretch>
          <a:fillRect/>
        </a:stretch>
      </xdr:blipFill>
      <xdr:spPr>
        <a:xfrm>
          <a:off x="346981" y="12491358"/>
          <a:ext cx="6454590" cy="5704450"/>
        </a:xfrm>
        <a:prstGeom prst="rect">
          <a:avLst/>
        </a:prstGeom>
      </xdr:spPr>
    </xdr:pic>
    <xdr:clientData/>
  </xdr:twoCellAnchor>
  <xdr:twoCellAnchor>
    <xdr:from>
      <xdr:col>49</xdr:col>
      <xdr:colOff>126544</xdr:colOff>
      <xdr:row>11</xdr:row>
      <xdr:rowOff>181157</xdr:rowOff>
    </xdr:from>
    <xdr:to>
      <xdr:col>55</xdr:col>
      <xdr:colOff>120035</xdr:colOff>
      <xdr:row>12</xdr:row>
      <xdr:rowOff>186988</xdr:rowOff>
    </xdr:to>
    <xdr:sp macro="" textlink="">
      <xdr:nvSpPr>
        <xdr:cNvPr id="456" name="Rectangle 254">
          <a:extLst>
            <a:ext uri="{FF2B5EF4-FFF2-40B4-BE49-F238E27FC236}">
              <a16:creationId xmlns:a16="http://schemas.microsoft.com/office/drawing/2014/main" id="{00000000-0008-0000-1A00-0000C8010000}"/>
            </a:ext>
          </a:extLst>
        </xdr:cNvPr>
        <xdr:cNvSpPr>
          <a:spLocks noChangeArrowheads="1"/>
        </xdr:cNvSpPr>
      </xdr:nvSpPr>
      <xdr:spPr bwMode="auto">
        <a:xfrm>
          <a:off x="9299119" y="2629082"/>
          <a:ext cx="1593691" cy="215381"/>
        </a:xfrm>
        <a:prstGeom prst="rect">
          <a:avLst/>
        </a:prstGeom>
        <a:solidFill>
          <a:srgbClr val="FFFFFF"/>
        </a:solidFill>
        <a:ln w="9525">
          <a:noFill/>
          <a:miter lim="800000"/>
          <a:headEnd/>
          <a:tailEnd/>
        </a:ln>
      </xdr:spPr>
      <xdr:txBody>
        <a:bodyPr wrap="none" lIns="11585" tIns="5792" rIns="11585" bIns="5792" anchor="ctr" upright="1">
          <a:noAutofit/>
        </a:bodyPr>
        <a:lstStyle/>
        <a:p>
          <a:pPr algn="ctr" rtl="1">
            <a:defRPr sz="1000"/>
          </a:pPr>
          <a:r>
            <a:rPr lang="en-US" altLang="ko-KR" sz="1200" b="0" i="0" strike="noStrike">
              <a:solidFill>
                <a:srgbClr val="FF00FF"/>
              </a:solidFill>
              <a:latin typeface="굴림"/>
              <a:ea typeface="굴림"/>
            </a:rPr>
            <a:t>LAN</a:t>
          </a:r>
          <a:endParaRPr lang="ko-KR" altLang="en-US" sz="1200" b="0" i="0" strike="noStrike">
            <a:solidFill>
              <a:srgbClr val="FF00FF"/>
            </a:solidFill>
            <a:latin typeface="굴림"/>
            <a:ea typeface="굴림"/>
          </a:endParaRPr>
        </a:p>
      </xdr:txBody>
    </xdr:sp>
    <xdr:clientData/>
  </xdr:twoCellAnchor>
  <xdr:twoCellAnchor>
    <xdr:from>
      <xdr:col>50</xdr:col>
      <xdr:colOff>175531</xdr:colOff>
      <xdr:row>8</xdr:row>
      <xdr:rowOff>136071</xdr:rowOff>
    </xdr:from>
    <xdr:to>
      <xdr:col>50</xdr:col>
      <xdr:colOff>175531</xdr:colOff>
      <xdr:row>14</xdr:row>
      <xdr:rowOff>155121</xdr:rowOff>
    </xdr:to>
    <xdr:sp macro="" textlink="">
      <xdr:nvSpPr>
        <xdr:cNvPr id="457" name="Line 52">
          <a:extLst>
            <a:ext uri="{FF2B5EF4-FFF2-40B4-BE49-F238E27FC236}">
              <a16:creationId xmlns:a16="http://schemas.microsoft.com/office/drawing/2014/main" id="{00000000-0008-0000-1A00-0000C9010000}"/>
            </a:ext>
          </a:extLst>
        </xdr:cNvPr>
        <xdr:cNvSpPr>
          <a:spLocks noChangeShapeType="1"/>
        </xdr:cNvSpPr>
      </xdr:nvSpPr>
      <xdr:spPr bwMode="auto">
        <a:xfrm flipH="1">
          <a:off x="9614806" y="1955346"/>
          <a:ext cx="0" cy="1276350"/>
        </a:xfrm>
        <a:prstGeom prst="line">
          <a:avLst/>
        </a:prstGeom>
        <a:noFill/>
        <a:ln w="19050">
          <a:solidFill>
            <a:srgbClr val="FF0000"/>
          </a:solidFill>
          <a:round/>
          <a:headEnd/>
          <a:tailEnd/>
        </a:ln>
      </xdr:spPr>
    </xdr:sp>
    <xdr:clientData/>
  </xdr:twoCellAnchor>
  <xdr:twoCellAnchor>
    <xdr:from>
      <xdr:col>48</xdr:col>
      <xdr:colOff>145595</xdr:colOff>
      <xdr:row>21</xdr:row>
      <xdr:rowOff>84364</xdr:rowOff>
    </xdr:from>
    <xdr:to>
      <xdr:col>52</xdr:col>
      <xdr:colOff>243566</xdr:colOff>
      <xdr:row>24</xdr:row>
      <xdr:rowOff>141515</xdr:rowOff>
    </xdr:to>
    <xdr:pic>
      <xdr:nvPicPr>
        <xdr:cNvPr id="458" name="Picture 94" descr="1500_02">
          <a:extLst>
            <a:ext uri="{FF2B5EF4-FFF2-40B4-BE49-F238E27FC236}">
              <a16:creationId xmlns:a16="http://schemas.microsoft.com/office/drawing/2014/main" id="{00000000-0008-0000-1A00-0000CA01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9051470" y="4627789"/>
          <a:ext cx="1164771" cy="685801"/>
        </a:xfrm>
        <a:prstGeom prst="rect">
          <a:avLst/>
        </a:prstGeom>
        <a:noFill/>
        <a:ln w="9525">
          <a:noFill/>
          <a:miter lim="800000"/>
          <a:headEnd/>
          <a:tailEnd/>
        </a:ln>
      </xdr:spPr>
    </xdr:pic>
    <xdr:clientData/>
  </xdr:twoCellAnchor>
  <xdr:twoCellAnchor>
    <xdr:from>
      <xdr:col>53</xdr:col>
      <xdr:colOff>157841</xdr:colOff>
      <xdr:row>12</xdr:row>
      <xdr:rowOff>40823</xdr:rowOff>
    </xdr:from>
    <xdr:to>
      <xdr:col>58</xdr:col>
      <xdr:colOff>176893</xdr:colOff>
      <xdr:row>15</xdr:row>
      <xdr:rowOff>84365</xdr:rowOff>
    </xdr:to>
    <xdr:grpSp>
      <xdr:nvGrpSpPr>
        <xdr:cNvPr id="459" name="Group 178">
          <a:extLst>
            <a:ext uri="{FF2B5EF4-FFF2-40B4-BE49-F238E27FC236}">
              <a16:creationId xmlns:a16="http://schemas.microsoft.com/office/drawing/2014/main" id="{00000000-0008-0000-1A00-0000CB010000}"/>
            </a:ext>
          </a:extLst>
        </xdr:cNvPr>
        <xdr:cNvGrpSpPr>
          <a:grpSpLocks/>
        </xdr:cNvGrpSpPr>
      </xdr:nvGrpSpPr>
      <xdr:grpSpPr bwMode="auto">
        <a:xfrm>
          <a:off x="13982698" y="2639787"/>
          <a:ext cx="1379766" cy="655864"/>
          <a:chOff x="511" y="433"/>
          <a:chExt cx="99" cy="206"/>
        </a:xfrm>
      </xdr:grpSpPr>
      <xdr:sp macro="" textlink="">
        <xdr:nvSpPr>
          <xdr:cNvPr id="460" name="Line 122">
            <a:extLst>
              <a:ext uri="{FF2B5EF4-FFF2-40B4-BE49-F238E27FC236}">
                <a16:creationId xmlns:a16="http://schemas.microsoft.com/office/drawing/2014/main" id="{00000000-0008-0000-1A00-0000CC010000}"/>
              </a:ext>
            </a:extLst>
          </xdr:cNvPr>
          <xdr:cNvSpPr>
            <a:spLocks noChangeShapeType="1"/>
          </xdr:cNvSpPr>
        </xdr:nvSpPr>
        <xdr:spPr bwMode="auto">
          <a:xfrm>
            <a:off x="511" y="639"/>
            <a:ext cx="51" cy="0"/>
          </a:xfrm>
          <a:prstGeom prst="line">
            <a:avLst/>
          </a:prstGeom>
          <a:noFill/>
          <a:ln w="9525">
            <a:solidFill>
              <a:srgbClr val="000000"/>
            </a:solidFill>
            <a:round/>
            <a:headEnd/>
            <a:tailEnd/>
          </a:ln>
        </xdr:spPr>
      </xdr:sp>
      <xdr:sp macro="" textlink="">
        <xdr:nvSpPr>
          <xdr:cNvPr id="461" name="Line 123">
            <a:extLst>
              <a:ext uri="{FF2B5EF4-FFF2-40B4-BE49-F238E27FC236}">
                <a16:creationId xmlns:a16="http://schemas.microsoft.com/office/drawing/2014/main" id="{00000000-0008-0000-1A00-0000CD010000}"/>
              </a:ext>
            </a:extLst>
          </xdr:cNvPr>
          <xdr:cNvSpPr>
            <a:spLocks noChangeShapeType="1"/>
          </xdr:cNvSpPr>
        </xdr:nvSpPr>
        <xdr:spPr bwMode="auto">
          <a:xfrm flipH="1" flipV="1">
            <a:off x="562" y="433"/>
            <a:ext cx="0" cy="206"/>
          </a:xfrm>
          <a:prstGeom prst="line">
            <a:avLst/>
          </a:prstGeom>
          <a:noFill/>
          <a:ln w="9525">
            <a:solidFill>
              <a:srgbClr val="000000"/>
            </a:solidFill>
            <a:round/>
            <a:headEnd/>
            <a:tailEnd/>
          </a:ln>
        </xdr:spPr>
      </xdr:sp>
      <xdr:sp macro="" textlink="">
        <xdr:nvSpPr>
          <xdr:cNvPr id="462" name="Line 124">
            <a:extLst>
              <a:ext uri="{FF2B5EF4-FFF2-40B4-BE49-F238E27FC236}">
                <a16:creationId xmlns:a16="http://schemas.microsoft.com/office/drawing/2014/main" id="{00000000-0008-0000-1A00-0000CE010000}"/>
              </a:ext>
            </a:extLst>
          </xdr:cNvPr>
          <xdr:cNvSpPr>
            <a:spLocks noChangeShapeType="1"/>
          </xdr:cNvSpPr>
        </xdr:nvSpPr>
        <xdr:spPr bwMode="auto">
          <a:xfrm>
            <a:off x="562" y="433"/>
            <a:ext cx="48" cy="0"/>
          </a:xfrm>
          <a:prstGeom prst="line">
            <a:avLst/>
          </a:prstGeom>
          <a:noFill/>
          <a:ln w="9525">
            <a:solidFill>
              <a:srgbClr val="000000"/>
            </a:solidFill>
            <a:round/>
            <a:headEnd/>
            <a:tailEnd/>
          </a:ln>
        </xdr:spPr>
      </xdr:sp>
    </xdr:grpSp>
    <xdr:clientData/>
  </xdr:twoCellAnchor>
  <xdr:twoCellAnchor>
    <xdr:from>
      <xdr:col>50</xdr:col>
      <xdr:colOff>175531</xdr:colOff>
      <xdr:row>16</xdr:row>
      <xdr:rowOff>100693</xdr:rowOff>
    </xdr:from>
    <xdr:to>
      <xdr:col>50</xdr:col>
      <xdr:colOff>175531</xdr:colOff>
      <xdr:row>21</xdr:row>
      <xdr:rowOff>160564</xdr:rowOff>
    </xdr:to>
    <xdr:sp macro="" textlink="">
      <xdr:nvSpPr>
        <xdr:cNvPr id="463" name="Line 170">
          <a:extLst>
            <a:ext uri="{FF2B5EF4-FFF2-40B4-BE49-F238E27FC236}">
              <a16:creationId xmlns:a16="http://schemas.microsoft.com/office/drawing/2014/main" id="{00000000-0008-0000-1A00-0000CF010000}"/>
            </a:ext>
          </a:extLst>
        </xdr:cNvPr>
        <xdr:cNvSpPr>
          <a:spLocks noChangeShapeType="1"/>
        </xdr:cNvSpPr>
      </xdr:nvSpPr>
      <xdr:spPr bwMode="auto">
        <a:xfrm flipH="1">
          <a:off x="9614806" y="3596368"/>
          <a:ext cx="0" cy="1107621"/>
        </a:xfrm>
        <a:prstGeom prst="line">
          <a:avLst/>
        </a:prstGeom>
        <a:noFill/>
        <a:ln w="19050">
          <a:solidFill>
            <a:srgbClr val="FF0000"/>
          </a:solidFill>
          <a:round/>
          <a:headEnd/>
          <a:tailEnd/>
        </a:ln>
      </xdr:spPr>
    </xdr:sp>
    <xdr:clientData/>
  </xdr:twoCellAnchor>
  <xdr:twoCellAnchor>
    <xdr:from>
      <xdr:col>50</xdr:col>
      <xdr:colOff>261256</xdr:colOff>
      <xdr:row>16</xdr:row>
      <xdr:rowOff>183825</xdr:rowOff>
    </xdr:from>
    <xdr:to>
      <xdr:col>53</xdr:col>
      <xdr:colOff>62184</xdr:colOff>
      <xdr:row>17</xdr:row>
      <xdr:rowOff>157220</xdr:rowOff>
    </xdr:to>
    <xdr:sp macro="" textlink="">
      <xdr:nvSpPr>
        <xdr:cNvPr id="464" name="Rectangle 173">
          <a:extLst>
            <a:ext uri="{FF2B5EF4-FFF2-40B4-BE49-F238E27FC236}">
              <a16:creationId xmlns:a16="http://schemas.microsoft.com/office/drawing/2014/main" id="{00000000-0008-0000-1A00-0000D0010000}"/>
            </a:ext>
          </a:extLst>
        </xdr:cNvPr>
        <xdr:cNvSpPr>
          <a:spLocks noChangeArrowheads="1"/>
        </xdr:cNvSpPr>
      </xdr:nvSpPr>
      <xdr:spPr bwMode="auto">
        <a:xfrm>
          <a:off x="9700531" y="3679500"/>
          <a:ext cx="601028" cy="182945"/>
        </a:xfrm>
        <a:prstGeom prst="rect">
          <a:avLst/>
        </a:prstGeom>
        <a:solidFill>
          <a:srgbClr val="FFFFFF"/>
        </a:solidFill>
        <a:ln w="9525">
          <a:noFill/>
          <a:miter lim="800000"/>
          <a:headEnd/>
          <a:tailEnd/>
        </a:ln>
      </xdr:spPr>
      <xdr:txBody>
        <a:bodyPr wrap="none" lIns="11585" tIns="5792" rIns="11585" bIns="5792" anchor="ctr" upright="1">
          <a:noAutofit/>
        </a:bodyPr>
        <a:lstStyle/>
        <a:p>
          <a:pPr algn="ctr" rtl="1">
            <a:defRPr sz="1000"/>
          </a:pPr>
          <a:r>
            <a:rPr lang="ko-KR" altLang="en-US" sz="1000" b="1" i="0" strike="noStrike">
              <a:solidFill>
                <a:srgbClr val="FF6600"/>
              </a:solidFill>
              <a:latin typeface="굴림"/>
              <a:ea typeface="굴림"/>
            </a:rPr>
            <a:t>허브</a:t>
          </a:r>
        </a:p>
      </xdr:txBody>
    </xdr:sp>
    <xdr:clientData/>
  </xdr:twoCellAnchor>
  <xdr:twoCellAnchor>
    <xdr:from>
      <xdr:col>50</xdr:col>
      <xdr:colOff>261256</xdr:colOff>
      <xdr:row>24</xdr:row>
      <xdr:rowOff>143004</xdr:rowOff>
    </xdr:from>
    <xdr:to>
      <xdr:col>52</xdr:col>
      <xdr:colOff>4354</xdr:colOff>
      <xdr:row>25</xdr:row>
      <xdr:rowOff>116399</xdr:rowOff>
    </xdr:to>
    <xdr:sp macro="" textlink="">
      <xdr:nvSpPr>
        <xdr:cNvPr id="465" name="Rectangle 174">
          <a:extLst>
            <a:ext uri="{FF2B5EF4-FFF2-40B4-BE49-F238E27FC236}">
              <a16:creationId xmlns:a16="http://schemas.microsoft.com/office/drawing/2014/main" id="{00000000-0008-0000-1A00-0000D1010000}"/>
            </a:ext>
          </a:extLst>
        </xdr:cNvPr>
        <xdr:cNvSpPr>
          <a:spLocks noChangeArrowheads="1"/>
        </xdr:cNvSpPr>
      </xdr:nvSpPr>
      <xdr:spPr bwMode="auto">
        <a:xfrm>
          <a:off x="9700531" y="5315079"/>
          <a:ext cx="276498" cy="182945"/>
        </a:xfrm>
        <a:prstGeom prst="rect">
          <a:avLst/>
        </a:prstGeom>
        <a:solidFill>
          <a:srgbClr val="FFFFFF"/>
        </a:solidFill>
        <a:ln w="9525">
          <a:noFill/>
          <a:miter lim="800000"/>
          <a:headEnd/>
          <a:tailEnd/>
        </a:ln>
      </xdr:spPr>
      <xdr:txBody>
        <a:bodyPr wrap="none" lIns="11585" tIns="5792" rIns="11585" bIns="5792" anchor="ctr" upright="1">
          <a:noAutofit/>
        </a:bodyPr>
        <a:lstStyle/>
        <a:p>
          <a:pPr algn="ctr" rtl="1">
            <a:defRPr sz="1000"/>
          </a:pPr>
          <a:r>
            <a:rPr lang="en-US" altLang="ko-KR" sz="1000" b="1" i="0" strike="noStrike">
              <a:solidFill>
                <a:srgbClr val="FF6600"/>
              </a:solidFill>
              <a:latin typeface="굴림"/>
              <a:ea typeface="굴림"/>
            </a:rPr>
            <a:t>NAC</a:t>
          </a:r>
        </a:p>
      </xdr:txBody>
    </xdr:sp>
    <xdr:clientData/>
  </xdr:twoCellAnchor>
  <xdr:twoCellAnchor>
    <xdr:from>
      <xdr:col>48</xdr:col>
      <xdr:colOff>40822</xdr:colOff>
      <xdr:row>4</xdr:row>
      <xdr:rowOff>168134</xdr:rowOff>
    </xdr:from>
    <xdr:to>
      <xdr:col>53</xdr:col>
      <xdr:colOff>52527</xdr:colOff>
      <xdr:row>8</xdr:row>
      <xdr:rowOff>176893</xdr:rowOff>
    </xdr:to>
    <xdr:pic>
      <xdr:nvPicPr>
        <xdr:cNvPr id="466" name="Picture 2">
          <a:extLst>
            <a:ext uri="{FF2B5EF4-FFF2-40B4-BE49-F238E27FC236}">
              <a16:creationId xmlns:a16="http://schemas.microsoft.com/office/drawing/2014/main" id="{00000000-0008-0000-1A00-0000D201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8946697" y="1149209"/>
          <a:ext cx="1345205" cy="846959"/>
        </a:xfrm>
        <a:prstGeom prst="rect">
          <a:avLst/>
        </a:prstGeom>
        <a:noFill/>
        <a:ln w="9525">
          <a:noFill/>
          <a:miter lim="800000"/>
          <a:headEnd/>
          <a:tailEnd/>
        </a:ln>
        <a:effectLst/>
      </xdr:spPr>
    </xdr:pic>
    <xdr:clientData/>
  </xdr:twoCellAnchor>
  <xdr:oneCellAnchor>
    <xdr:from>
      <xdr:col>50</xdr:col>
      <xdr:colOff>228936</xdr:colOff>
      <xdr:row>9</xdr:row>
      <xdr:rowOff>79475</xdr:rowOff>
    </xdr:from>
    <xdr:ext cx="1030339" cy="345122"/>
    <xdr:sp macro="" textlink="">
      <xdr:nvSpPr>
        <xdr:cNvPr id="467" name="Rectangle 173">
          <a:extLst>
            <a:ext uri="{FF2B5EF4-FFF2-40B4-BE49-F238E27FC236}">
              <a16:creationId xmlns:a16="http://schemas.microsoft.com/office/drawing/2014/main" id="{00000000-0008-0000-1A00-0000D3010000}"/>
            </a:ext>
          </a:extLst>
        </xdr:cNvPr>
        <xdr:cNvSpPr>
          <a:spLocks noChangeArrowheads="1"/>
        </xdr:cNvSpPr>
      </xdr:nvSpPr>
      <xdr:spPr bwMode="auto">
        <a:xfrm>
          <a:off x="9668211" y="2108300"/>
          <a:ext cx="1030339" cy="345122"/>
        </a:xfrm>
        <a:prstGeom prst="rect">
          <a:avLst/>
        </a:prstGeom>
        <a:solidFill>
          <a:srgbClr val="FFFFFF"/>
        </a:solidFill>
        <a:ln w="9525">
          <a:noFill/>
          <a:miter lim="800000"/>
          <a:headEnd/>
          <a:tailEnd/>
        </a:ln>
      </xdr:spPr>
      <xdr:txBody>
        <a:bodyPr wrap="none" lIns="11585" tIns="5792" rIns="11585" bIns="5792" anchor="ctr" upright="1">
          <a:spAutoFit/>
        </a:bodyPr>
        <a:lstStyle/>
        <a:p>
          <a:pPr algn="ctr" rtl="1">
            <a:defRPr sz="1000"/>
          </a:pPr>
          <a:r>
            <a:rPr lang="ko-KR" altLang="en-US" sz="1000" b="1" i="0" strike="noStrike">
              <a:solidFill>
                <a:srgbClr val="FF6600"/>
              </a:solidFill>
              <a:latin typeface="굴림"/>
              <a:ea typeface="굴림"/>
            </a:rPr>
            <a:t>송변전광단말장치</a:t>
          </a:r>
          <a:endParaRPr lang="en-US" altLang="ko-KR" sz="1000" b="1" i="0" strike="noStrike">
            <a:solidFill>
              <a:srgbClr val="FF6600"/>
            </a:solidFill>
            <a:latin typeface="굴림"/>
            <a:ea typeface="굴림"/>
          </a:endParaRPr>
        </a:p>
        <a:p>
          <a:pPr algn="ctr" rtl="1">
            <a:defRPr sz="1000"/>
          </a:pPr>
          <a:r>
            <a:rPr lang="en-US" altLang="ko-KR" sz="1000" b="1" i="0" strike="noStrike">
              <a:solidFill>
                <a:srgbClr val="FF6600"/>
              </a:solidFill>
              <a:latin typeface="굴림"/>
              <a:ea typeface="굴림"/>
            </a:rPr>
            <a:t>L3SW</a:t>
          </a:r>
          <a:endParaRPr lang="ko-KR" altLang="en-US" sz="1000" b="1" i="0" strike="noStrike">
            <a:solidFill>
              <a:srgbClr val="FF6600"/>
            </a:solidFill>
            <a:latin typeface="굴림"/>
            <a:ea typeface="굴림"/>
          </a:endParaRPr>
        </a:p>
      </xdr:txBody>
    </xdr:sp>
    <xdr:clientData/>
  </xdr:oneCellAnchor>
  <xdr:twoCellAnchor>
    <xdr:from>
      <xdr:col>62</xdr:col>
      <xdr:colOff>258536</xdr:colOff>
      <xdr:row>21</xdr:row>
      <xdr:rowOff>6931</xdr:rowOff>
    </xdr:from>
    <xdr:to>
      <xdr:col>66</xdr:col>
      <xdr:colOff>127810</xdr:colOff>
      <xdr:row>21</xdr:row>
      <xdr:rowOff>184433</xdr:rowOff>
    </xdr:to>
    <xdr:sp macro="" textlink="">
      <xdr:nvSpPr>
        <xdr:cNvPr id="468" name="Rectangle 138">
          <a:extLst>
            <a:ext uri="{FF2B5EF4-FFF2-40B4-BE49-F238E27FC236}">
              <a16:creationId xmlns:a16="http://schemas.microsoft.com/office/drawing/2014/main" id="{00000000-0008-0000-1A00-0000D4010000}"/>
            </a:ext>
          </a:extLst>
        </xdr:cNvPr>
        <xdr:cNvSpPr>
          <a:spLocks noChangeArrowheads="1"/>
        </xdr:cNvSpPr>
      </xdr:nvSpPr>
      <xdr:spPr bwMode="auto">
        <a:xfrm>
          <a:off x="12898211" y="4550356"/>
          <a:ext cx="936074" cy="177502"/>
        </a:xfrm>
        <a:prstGeom prst="rect">
          <a:avLst/>
        </a:prstGeom>
        <a:solidFill>
          <a:srgbClr val="FFFFFF"/>
        </a:solidFill>
        <a:ln w="9525">
          <a:noFill/>
          <a:miter lim="800000"/>
          <a:headEnd/>
          <a:tailEnd/>
        </a:ln>
      </xdr:spPr>
      <xdr:txBody>
        <a:bodyPr wrap="none" lIns="11585" tIns="5792" rIns="11585" bIns="5792" anchor="ctr" upright="1">
          <a:noAutofit/>
        </a:bodyPr>
        <a:lstStyle/>
        <a:p>
          <a:pPr algn="l" rtl="1">
            <a:defRPr sz="1000"/>
          </a:pPr>
          <a:r>
            <a:rPr lang="ko-KR" altLang="en-US" sz="1000" b="0" i="0" strike="noStrike">
              <a:solidFill>
                <a:srgbClr val="000000"/>
              </a:solidFill>
              <a:latin typeface="굴림"/>
              <a:ea typeface="굴림"/>
            </a:rPr>
            <a:t>전압검출기</a:t>
          </a:r>
          <a:r>
            <a:rPr lang="en-US" altLang="ko-KR" sz="1000" b="0" i="0" strike="noStrike">
              <a:solidFill>
                <a:srgbClr val="000000"/>
              </a:solidFill>
              <a:latin typeface="굴림"/>
              <a:ea typeface="굴림"/>
            </a:rPr>
            <a:t>(ACS)</a:t>
          </a:r>
        </a:p>
      </xdr:txBody>
    </xdr:sp>
    <xdr:clientData/>
  </xdr:twoCellAnchor>
  <xdr:twoCellAnchor>
    <xdr:from>
      <xdr:col>63</xdr:col>
      <xdr:colOff>270783</xdr:colOff>
      <xdr:row>11</xdr:row>
      <xdr:rowOff>64836</xdr:rowOff>
    </xdr:from>
    <xdr:to>
      <xdr:col>67</xdr:col>
      <xdr:colOff>194261</xdr:colOff>
      <xdr:row>12</xdr:row>
      <xdr:rowOff>38231</xdr:rowOff>
    </xdr:to>
    <xdr:sp macro="" textlink="">
      <xdr:nvSpPr>
        <xdr:cNvPr id="469" name="Rectangle 179">
          <a:extLst>
            <a:ext uri="{FF2B5EF4-FFF2-40B4-BE49-F238E27FC236}">
              <a16:creationId xmlns:a16="http://schemas.microsoft.com/office/drawing/2014/main" id="{00000000-0008-0000-1A00-0000D5010000}"/>
            </a:ext>
          </a:extLst>
        </xdr:cNvPr>
        <xdr:cNvSpPr>
          <a:spLocks noChangeArrowheads="1"/>
        </xdr:cNvSpPr>
      </xdr:nvSpPr>
      <xdr:spPr bwMode="auto">
        <a:xfrm>
          <a:off x="13177158" y="2512761"/>
          <a:ext cx="990278" cy="182945"/>
        </a:xfrm>
        <a:prstGeom prst="rect">
          <a:avLst/>
        </a:prstGeom>
        <a:solidFill>
          <a:srgbClr val="FFFFFF"/>
        </a:solidFill>
        <a:ln w="9525">
          <a:noFill/>
          <a:miter lim="800000"/>
          <a:headEnd/>
          <a:tailEnd/>
        </a:ln>
      </xdr:spPr>
      <xdr:txBody>
        <a:bodyPr wrap="none" lIns="11585" tIns="5792" rIns="11585" bIns="5792" anchor="ctr" upright="1">
          <a:noAutofit/>
        </a:bodyPr>
        <a:lstStyle/>
        <a:p>
          <a:pPr algn="ctr" rtl="1">
            <a:defRPr sz="1000"/>
          </a:pPr>
          <a:r>
            <a:rPr lang="ko-KR" altLang="en-US" sz="1000" b="1" i="0" strike="noStrike">
              <a:solidFill>
                <a:srgbClr val="FF6600"/>
              </a:solidFill>
              <a:latin typeface="굴림"/>
              <a:ea typeface="굴림"/>
            </a:rPr>
            <a:t>원격단말장치</a:t>
          </a:r>
          <a:r>
            <a:rPr lang="en-US" altLang="ko-KR" sz="1000" b="1" i="0" strike="noStrike">
              <a:solidFill>
                <a:srgbClr val="FF6600"/>
              </a:solidFill>
              <a:latin typeface="굴림"/>
              <a:ea typeface="굴림"/>
            </a:rPr>
            <a:t>(EPIA)</a:t>
          </a:r>
        </a:p>
      </xdr:txBody>
    </xdr:sp>
    <xdr:clientData/>
  </xdr:twoCellAnchor>
  <xdr:twoCellAnchor>
    <xdr:from>
      <xdr:col>63</xdr:col>
      <xdr:colOff>14968</xdr:colOff>
      <xdr:row>19</xdr:row>
      <xdr:rowOff>35378</xdr:rowOff>
    </xdr:from>
    <xdr:to>
      <xdr:col>64</xdr:col>
      <xdr:colOff>103415</xdr:colOff>
      <xdr:row>21</xdr:row>
      <xdr:rowOff>5442</xdr:rowOff>
    </xdr:to>
    <xdr:pic>
      <xdr:nvPicPr>
        <xdr:cNvPr id="470" name="Picture 180" descr="td">
          <a:extLst>
            <a:ext uri="{FF2B5EF4-FFF2-40B4-BE49-F238E27FC236}">
              <a16:creationId xmlns:a16="http://schemas.microsoft.com/office/drawing/2014/main" id="{00000000-0008-0000-1A00-0000D601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12921343" y="4159703"/>
          <a:ext cx="355147" cy="389164"/>
        </a:xfrm>
        <a:prstGeom prst="rect">
          <a:avLst/>
        </a:prstGeom>
        <a:noFill/>
        <a:ln w="9525">
          <a:noFill/>
          <a:miter lim="800000"/>
          <a:headEnd/>
          <a:tailEnd/>
        </a:ln>
      </xdr:spPr>
    </xdr:pic>
    <xdr:clientData/>
  </xdr:twoCellAnchor>
  <xdr:twoCellAnchor>
    <xdr:from>
      <xdr:col>65</xdr:col>
      <xdr:colOff>122464</xdr:colOff>
      <xdr:row>16</xdr:row>
      <xdr:rowOff>143757</xdr:rowOff>
    </xdr:from>
    <xdr:to>
      <xdr:col>67</xdr:col>
      <xdr:colOff>79157</xdr:colOff>
      <xdr:row>17</xdr:row>
      <xdr:rowOff>117152</xdr:rowOff>
    </xdr:to>
    <xdr:sp macro="" textlink="">
      <xdr:nvSpPr>
        <xdr:cNvPr id="471" name="Rectangle 189">
          <a:extLst>
            <a:ext uri="{FF2B5EF4-FFF2-40B4-BE49-F238E27FC236}">
              <a16:creationId xmlns:a16="http://schemas.microsoft.com/office/drawing/2014/main" id="{00000000-0008-0000-1A00-0000D7010000}"/>
            </a:ext>
          </a:extLst>
        </xdr:cNvPr>
        <xdr:cNvSpPr>
          <a:spLocks noChangeArrowheads="1"/>
        </xdr:cNvSpPr>
      </xdr:nvSpPr>
      <xdr:spPr bwMode="auto">
        <a:xfrm>
          <a:off x="13562239" y="3639432"/>
          <a:ext cx="490093" cy="182945"/>
        </a:xfrm>
        <a:prstGeom prst="rect">
          <a:avLst/>
        </a:prstGeom>
        <a:solidFill>
          <a:srgbClr val="FFFFFF"/>
        </a:solidFill>
        <a:ln w="9525">
          <a:noFill/>
          <a:miter lim="800000"/>
          <a:headEnd/>
          <a:tailEnd/>
        </a:ln>
      </xdr:spPr>
      <xdr:txBody>
        <a:bodyPr wrap="none" lIns="11585" tIns="5792" rIns="11585" bIns="5792" anchor="ctr" upright="1">
          <a:noAutofit/>
        </a:bodyPr>
        <a:lstStyle/>
        <a:p>
          <a:pPr algn="l" rtl="1">
            <a:defRPr sz="1000"/>
          </a:pPr>
          <a:r>
            <a:rPr lang="ko-KR" altLang="en-US" sz="1000" b="0" i="0" strike="noStrike">
              <a:solidFill>
                <a:srgbClr val="000000"/>
              </a:solidFill>
              <a:latin typeface="굴림"/>
              <a:ea typeface="굴림"/>
            </a:rPr>
            <a:t>온도센서</a:t>
          </a:r>
        </a:p>
      </xdr:txBody>
    </xdr:sp>
    <xdr:clientData/>
  </xdr:twoCellAnchor>
  <xdr:twoCellAnchor>
    <xdr:from>
      <xdr:col>63</xdr:col>
      <xdr:colOff>219075</xdr:colOff>
      <xdr:row>15</xdr:row>
      <xdr:rowOff>119742</xdr:rowOff>
    </xdr:from>
    <xdr:to>
      <xdr:col>65</xdr:col>
      <xdr:colOff>35379</xdr:colOff>
      <xdr:row>17</xdr:row>
      <xdr:rowOff>84363</xdr:rowOff>
    </xdr:to>
    <xdr:pic>
      <xdr:nvPicPr>
        <xdr:cNvPr id="472" name="Picture 191" descr="temp">
          <a:extLst>
            <a:ext uri="{FF2B5EF4-FFF2-40B4-BE49-F238E27FC236}">
              <a16:creationId xmlns:a16="http://schemas.microsoft.com/office/drawing/2014/main" id="{00000000-0008-0000-1A00-0000D801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13125450" y="3405867"/>
          <a:ext cx="349704" cy="383721"/>
        </a:xfrm>
        <a:prstGeom prst="rect">
          <a:avLst/>
        </a:prstGeom>
        <a:noFill/>
        <a:ln w="9525">
          <a:noFill/>
          <a:miter lim="800000"/>
          <a:headEnd/>
          <a:tailEnd/>
        </a:ln>
      </xdr:spPr>
    </xdr:pic>
    <xdr:clientData/>
  </xdr:twoCellAnchor>
  <xdr:twoCellAnchor>
    <xdr:from>
      <xdr:col>70</xdr:col>
      <xdr:colOff>122465</xdr:colOff>
      <xdr:row>19</xdr:row>
      <xdr:rowOff>21998</xdr:rowOff>
    </xdr:from>
    <xdr:to>
      <xdr:col>72</xdr:col>
      <xdr:colOff>250101</xdr:colOff>
      <xdr:row>19</xdr:row>
      <xdr:rowOff>199500</xdr:rowOff>
    </xdr:to>
    <xdr:sp macro="" textlink="">
      <xdr:nvSpPr>
        <xdr:cNvPr id="473" name="Rectangle 192">
          <a:extLst>
            <a:ext uri="{FF2B5EF4-FFF2-40B4-BE49-F238E27FC236}">
              <a16:creationId xmlns:a16="http://schemas.microsoft.com/office/drawing/2014/main" id="{00000000-0008-0000-1A00-0000D9010000}"/>
            </a:ext>
          </a:extLst>
        </xdr:cNvPr>
        <xdr:cNvSpPr>
          <a:spLocks noChangeArrowheads="1"/>
        </xdr:cNvSpPr>
      </xdr:nvSpPr>
      <xdr:spPr bwMode="auto">
        <a:xfrm>
          <a:off x="14895740" y="4146323"/>
          <a:ext cx="661036" cy="177502"/>
        </a:xfrm>
        <a:prstGeom prst="rect">
          <a:avLst/>
        </a:prstGeom>
        <a:solidFill>
          <a:srgbClr val="FFFFFF"/>
        </a:solidFill>
        <a:ln w="9525">
          <a:noFill/>
          <a:miter lim="800000"/>
          <a:headEnd/>
          <a:tailEnd/>
        </a:ln>
      </xdr:spPr>
      <xdr:txBody>
        <a:bodyPr wrap="none" lIns="11585" tIns="5792" rIns="11585" bIns="5792" anchor="ctr" upright="1">
          <a:noAutofit/>
        </a:bodyPr>
        <a:lstStyle/>
        <a:p>
          <a:pPr algn="l" rtl="1">
            <a:defRPr sz="1000"/>
          </a:pPr>
          <a:r>
            <a:rPr lang="ko-KR" altLang="en-US" sz="1000" b="0" i="0" strike="noStrike">
              <a:solidFill>
                <a:srgbClr val="000000"/>
              </a:solidFill>
              <a:latin typeface="굴림"/>
              <a:ea typeface="굴림"/>
            </a:rPr>
            <a:t>충전기 입력</a:t>
          </a:r>
        </a:p>
      </xdr:txBody>
    </xdr:sp>
    <xdr:clientData/>
  </xdr:twoCellAnchor>
  <xdr:twoCellAnchor>
    <xdr:from>
      <xdr:col>70</xdr:col>
      <xdr:colOff>122465</xdr:colOff>
      <xdr:row>20</xdr:row>
      <xdr:rowOff>71966</xdr:rowOff>
    </xdr:from>
    <xdr:to>
      <xdr:col>72</xdr:col>
      <xdr:colOff>119361</xdr:colOff>
      <xdr:row>21</xdr:row>
      <xdr:rowOff>45360</xdr:rowOff>
    </xdr:to>
    <xdr:sp macro="" textlink="">
      <xdr:nvSpPr>
        <xdr:cNvPr id="474" name="Rectangle 193">
          <a:extLst>
            <a:ext uri="{FF2B5EF4-FFF2-40B4-BE49-F238E27FC236}">
              <a16:creationId xmlns:a16="http://schemas.microsoft.com/office/drawing/2014/main" id="{00000000-0008-0000-1A00-0000DA010000}"/>
            </a:ext>
          </a:extLst>
        </xdr:cNvPr>
        <xdr:cNvSpPr>
          <a:spLocks noChangeArrowheads="1"/>
        </xdr:cNvSpPr>
      </xdr:nvSpPr>
      <xdr:spPr bwMode="auto">
        <a:xfrm>
          <a:off x="14895740" y="4405841"/>
          <a:ext cx="530296" cy="182944"/>
        </a:xfrm>
        <a:prstGeom prst="rect">
          <a:avLst/>
        </a:prstGeom>
        <a:solidFill>
          <a:srgbClr val="FFFFFF"/>
        </a:solidFill>
        <a:ln w="9525">
          <a:noFill/>
          <a:miter lim="800000"/>
          <a:headEnd/>
          <a:tailEnd/>
        </a:ln>
      </xdr:spPr>
      <xdr:txBody>
        <a:bodyPr wrap="none" lIns="11585" tIns="5792" rIns="11585" bIns="5792" anchor="ctr" upright="1">
          <a:noAutofit/>
        </a:bodyPr>
        <a:lstStyle/>
        <a:p>
          <a:pPr algn="l" rtl="1">
            <a:defRPr sz="1000"/>
          </a:pPr>
          <a:r>
            <a:rPr lang="en-US" altLang="ko-KR" sz="1000" b="0" i="0" strike="noStrike">
              <a:solidFill>
                <a:srgbClr val="000000"/>
              </a:solidFill>
              <a:latin typeface="굴림"/>
              <a:ea typeface="굴림"/>
            </a:rPr>
            <a:t>UPS </a:t>
          </a:r>
          <a:r>
            <a:rPr lang="ko-KR" altLang="en-US" sz="1000" b="0" i="0" strike="noStrike">
              <a:solidFill>
                <a:srgbClr val="000000"/>
              </a:solidFill>
              <a:latin typeface="굴림"/>
              <a:ea typeface="굴림"/>
            </a:rPr>
            <a:t>입력</a:t>
          </a:r>
        </a:p>
      </xdr:txBody>
    </xdr:sp>
    <xdr:clientData/>
  </xdr:twoCellAnchor>
  <xdr:twoCellAnchor>
    <xdr:from>
      <xdr:col>64</xdr:col>
      <xdr:colOff>103415</xdr:colOff>
      <xdr:row>19</xdr:row>
      <xdr:rowOff>117021</xdr:rowOff>
    </xdr:from>
    <xdr:to>
      <xdr:col>70</xdr:col>
      <xdr:colOff>103415</xdr:colOff>
      <xdr:row>19</xdr:row>
      <xdr:rowOff>117021</xdr:rowOff>
    </xdr:to>
    <xdr:sp macro="" textlink="">
      <xdr:nvSpPr>
        <xdr:cNvPr id="475" name="Line 194">
          <a:extLst>
            <a:ext uri="{FF2B5EF4-FFF2-40B4-BE49-F238E27FC236}">
              <a16:creationId xmlns:a16="http://schemas.microsoft.com/office/drawing/2014/main" id="{00000000-0008-0000-1A00-0000DB010000}"/>
            </a:ext>
          </a:extLst>
        </xdr:cNvPr>
        <xdr:cNvSpPr>
          <a:spLocks noChangeShapeType="1"/>
        </xdr:cNvSpPr>
      </xdr:nvSpPr>
      <xdr:spPr bwMode="auto">
        <a:xfrm>
          <a:off x="13276490" y="4241346"/>
          <a:ext cx="1600200" cy="0"/>
        </a:xfrm>
        <a:prstGeom prst="line">
          <a:avLst/>
        </a:prstGeom>
        <a:noFill/>
        <a:ln w="17145">
          <a:solidFill>
            <a:srgbClr val="000000"/>
          </a:solidFill>
          <a:round/>
          <a:headEnd/>
          <a:tailEnd/>
        </a:ln>
      </xdr:spPr>
    </xdr:sp>
    <xdr:clientData/>
  </xdr:twoCellAnchor>
  <xdr:twoCellAnchor>
    <xdr:from>
      <xdr:col>64</xdr:col>
      <xdr:colOff>103415</xdr:colOff>
      <xdr:row>20</xdr:row>
      <xdr:rowOff>108857</xdr:rowOff>
    </xdr:from>
    <xdr:to>
      <xdr:col>70</xdr:col>
      <xdr:colOff>103415</xdr:colOff>
      <xdr:row>20</xdr:row>
      <xdr:rowOff>108857</xdr:rowOff>
    </xdr:to>
    <xdr:sp macro="" textlink="">
      <xdr:nvSpPr>
        <xdr:cNvPr id="476" name="Line 195">
          <a:extLst>
            <a:ext uri="{FF2B5EF4-FFF2-40B4-BE49-F238E27FC236}">
              <a16:creationId xmlns:a16="http://schemas.microsoft.com/office/drawing/2014/main" id="{00000000-0008-0000-1A00-0000DC010000}"/>
            </a:ext>
          </a:extLst>
        </xdr:cNvPr>
        <xdr:cNvSpPr>
          <a:spLocks noChangeShapeType="1"/>
        </xdr:cNvSpPr>
      </xdr:nvSpPr>
      <xdr:spPr bwMode="auto">
        <a:xfrm>
          <a:off x="13276490" y="4442732"/>
          <a:ext cx="1600200" cy="0"/>
        </a:xfrm>
        <a:prstGeom prst="line">
          <a:avLst/>
        </a:prstGeom>
        <a:noFill/>
        <a:ln w="17145">
          <a:solidFill>
            <a:srgbClr val="000000"/>
          </a:solidFill>
          <a:round/>
          <a:headEnd/>
          <a:tailEnd/>
        </a:ln>
      </xdr:spPr>
    </xdr:sp>
    <xdr:clientData/>
  </xdr:twoCellAnchor>
  <xdr:twoCellAnchor>
    <xdr:from>
      <xdr:col>71</xdr:col>
      <xdr:colOff>83004</xdr:colOff>
      <xdr:row>16</xdr:row>
      <xdr:rowOff>10733</xdr:rowOff>
    </xdr:from>
    <xdr:to>
      <xdr:col>72</xdr:col>
      <xdr:colOff>195392</xdr:colOff>
      <xdr:row>16</xdr:row>
      <xdr:rowOff>188235</xdr:rowOff>
    </xdr:to>
    <xdr:sp macro="" textlink="">
      <xdr:nvSpPr>
        <xdr:cNvPr id="477" name="Rectangle 220">
          <a:extLst>
            <a:ext uri="{FF2B5EF4-FFF2-40B4-BE49-F238E27FC236}">
              <a16:creationId xmlns:a16="http://schemas.microsoft.com/office/drawing/2014/main" id="{00000000-0008-0000-1A00-0000DD010000}"/>
            </a:ext>
          </a:extLst>
        </xdr:cNvPr>
        <xdr:cNvSpPr>
          <a:spLocks noChangeArrowheads="1"/>
        </xdr:cNvSpPr>
      </xdr:nvSpPr>
      <xdr:spPr bwMode="auto">
        <a:xfrm>
          <a:off x="15122979" y="3506408"/>
          <a:ext cx="379088" cy="177502"/>
        </a:xfrm>
        <a:prstGeom prst="rect">
          <a:avLst/>
        </a:prstGeom>
        <a:solidFill>
          <a:srgbClr val="FFFFFF"/>
        </a:solidFill>
        <a:ln w="9525">
          <a:noFill/>
          <a:miter lim="800000"/>
          <a:headEnd/>
          <a:tailEnd/>
        </a:ln>
      </xdr:spPr>
      <xdr:txBody>
        <a:bodyPr wrap="none" lIns="11585" tIns="5792" rIns="11585" bIns="5792" anchor="ctr" upright="1">
          <a:noAutofit/>
        </a:bodyPr>
        <a:lstStyle/>
        <a:p>
          <a:pPr algn="l" rtl="1">
            <a:defRPr sz="1000"/>
          </a:pPr>
          <a:r>
            <a:rPr lang="en-US" altLang="ko-KR" sz="1000" b="0" i="0" strike="noStrike">
              <a:solidFill>
                <a:srgbClr val="000000"/>
              </a:solidFill>
              <a:latin typeface="굴림"/>
              <a:ea typeface="굴림"/>
            </a:rPr>
            <a:t>ICT</a:t>
          </a:r>
          <a:r>
            <a:rPr lang="ko-KR" altLang="en-US" sz="1000" b="0" i="0" strike="noStrike">
              <a:solidFill>
                <a:srgbClr val="000000"/>
              </a:solidFill>
              <a:latin typeface="굴림"/>
              <a:ea typeface="굴림"/>
            </a:rPr>
            <a:t>실</a:t>
          </a:r>
        </a:p>
      </xdr:txBody>
    </xdr:sp>
    <xdr:clientData/>
  </xdr:twoCellAnchor>
  <xdr:twoCellAnchor>
    <xdr:from>
      <xdr:col>65</xdr:col>
      <xdr:colOff>44904</xdr:colOff>
      <xdr:row>16</xdr:row>
      <xdr:rowOff>104774</xdr:rowOff>
    </xdr:from>
    <xdr:to>
      <xdr:col>71</xdr:col>
      <xdr:colOff>44904</xdr:colOff>
      <xdr:row>16</xdr:row>
      <xdr:rowOff>104774</xdr:rowOff>
    </xdr:to>
    <xdr:sp macro="" textlink="">
      <xdr:nvSpPr>
        <xdr:cNvPr id="478" name="Line 221">
          <a:extLst>
            <a:ext uri="{FF2B5EF4-FFF2-40B4-BE49-F238E27FC236}">
              <a16:creationId xmlns:a16="http://schemas.microsoft.com/office/drawing/2014/main" id="{00000000-0008-0000-1A00-0000DE010000}"/>
            </a:ext>
          </a:extLst>
        </xdr:cNvPr>
        <xdr:cNvSpPr>
          <a:spLocks noChangeShapeType="1"/>
        </xdr:cNvSpPr>
      </xdr:nvSpPr>
      <xdr:spPr bwMode="auto">
        <a:xfrm>
          <a:off x="13484679" y="3600449"/>
          <a:ext cx="1600200" cy="0"/>
        </a:xfrm>
        <a:prstGeom prst="line">
          <a:avLst/>
        </a:prstGeom>
        <a:noFill/>
        <a:ln w="17145">
          <a:solidFill>
            <a:srgbClr val="000000"/>
          </a:solidFill>
          <a:round/>
          <a:headEnd/>
          <a:tailEnd/>
        </a:ln>
      </xdr:spPr>
    </xdr:sp>
    <xdr:clientData/>
  </xdr:twoCellAnchor>
  <xdr:twoCellAnchor>
    <xdr:from>
      <xdr:col>63</xdr:col>
      <xdr:colOff>14968</xdr:colOff>
      <xdr:row>16</xdr:row>
      <xdr:rowOff>121103</xdr:rowOff>
    </xdr:from>
    <xdr:to>
      <xdr:col>63</xdr:col>
      <xdr:colOff>209550</xdr:colOff>
      <xdr:row>16</xdr:row>
      <xdr:rowOff>121103</xdr:rowOff>
    </xdr:to>
    <xdr:sp macro="" textlink="">
      <xdr:nvSpPr>
        <xdr:cNvPr id="479" name="Line 227">
          <a:extLst>
            <a:ext uri="{FF2B5EF4-FFF2-40B4-BE49-F238E27FC236}">
              <a16:creationId xmlns:a16="http://schemas.microsoft.com/office/drawing/2014/main" id="{00000000-0008-0000-1A00-0000DF010000}"/>
            </a:ext>
          </a:extLst>
        </xdr:cNvPr>
        <xdr:cNvSpPr>
          <a:spLocks noChangeShapeType="1"/>
        </xdr:cNvSpPr>
      </xdr:nvSpPr>
      <xdr:spPr bwMode="auto">
        <a:xfrm flipH="1">
          <a:off x="12921343" y="3616778"/>
          <a:ext cx="194582" cy="0"/>
        </a:xfrm>
        <a:prstGeom prst="line">
          <a:avLst/>
        </a:prstGeom>
        <a:noFill/>
        <a:ln w="17145">
          <a:solidFill>
            <a:srgbClr val="000000"/>
          </a:solidFill>
          <a:round/>
          <a:headEnd/>
          <a:tailEnd/>
        </a:ln>
      </xdr:spPr>
    </xdr:sp>
    <xdr:clientData/>
  </xdr:twoCellAnchor>
  <xdr:twoCellAnchor>
    <xdr:from>
      <xdr:col>63</xdr:col>
      <xdr:colOff>14968</xdr:colOff>
      <xdr:row>24</xdr:row>
      <xdr:rowOff>194430</xdr:rowOff>
    </xdr:from>
    <xdr:to>
      <xdr:col>68</xdr:col>
      <xdr:colOff>114812</xdr:colOff>
      <xdr:row>25</xdr:row>
      <xdr:rowOff>167825</xdr:rowOff>
    </xdr:to>
    <xdr:sp macro="" textlink="">
      <xdr:nvSpPr>
        <xdr:cNvPr id="480" name="Rectangle 240">
          <a:extLst>
            <a:ext uri="{FF2B5EF4-FFF2-40B4-BE49-F238E27FC236}">
              <a16:creationId xmlns:a16="http://schemas.microsoft.com/office/drawing/2014/main" id="{00000000-0008-0000-1A00-0000E0010000}"/>
            </a:ext>
          </a:extLst>
        </xdr:cNvPr>
        <xdr:cNvSpPr>
          <a:spLocks noChangeArrowheads="1"/>
        </xdr:cNvSpPr>
      </xdr:nvSpPr>
      <xdr:spPr bwMode="auto">
        <a:xfrm>
          <a:off x="12921343" y="5366505"/>
          <a:ext cx="1433344" cy="182945"/>
        </a:xfrm>
        <a:prstGeom prst="rect">
          <a:avLst/>
        </a:prstGeom>
        <a:solidFill>
          <a:srgbClr val="FFFFFF"/>
        </a:solidFill>
        <a:ln w="9525">
          <a:noFill/>
          <a:miter lim="800000"/>
          <a:headEnd/>
          <a:tailEnd/>
        </a:ln>
      </xdr:spPr>
      <xdr:txBody>
        <a:bodyPr wrap="none" lIns="11585" tIns="5792" rIns="11585" bIns="5792" anchor="ctr" upright="1">
          <a:noAutofit/>
        </a:bodyPr>
        <a:lstStyle/>
        <a:p>
          <a:pPr algn="l" rtl="1">
            <a:defRPr sz="1000"/>
          </a:pPr>
          <a:r>
            <a:rPr lang="ko-KR" altLang="en-US" sz="1000" b="0" i="0" strike="noStrike">
              <a:solidFill>
                <a:srgbClr val="000000"/>
              </a:solidFill>
              <a:latin typeface="굴림"/>
              <a:ea typeface="굴림"/>
            </a:rPr>
            <a:t>광단국 </a:t>
          </a:r>
          <a:r>
            <a:rPr lang="en-US" altLang="ko-KR" sz="1000" b="0" i="0" strike="noStrike">
              <a:solidFill>
                <a:srgbClr val="000000"/>
              </a:solidFill>
              <a:latin typeface="굴림"/>
              <a:ea typeface="굴림"/>
            </a:rPr>
            <a:t>Major/Critical </a:t>
          </a:r>
          <a:r>
            <a:rPr lang="ko-KR" altLang="en-US" sz="1000" b="0" i="0" strike="noStrike">
              <a:solidFill>
                <a:srgbClr val="000000"/>
              </a:solidFill>
              <a:latin typeface="굴림"/>
              <a:ea typeface="굴림"/>
            </a:rPr>
            <a:t>경보</a:t>
          </a:r>
        </a:p>
      </xdr:txBody>
    </xdr:sp>
    <xdr:clientData/>
  </xdr:twoCellAnchor>
  <xdr:twoCellAnchor>
    <xdr:from>
      <xdr:col>63</xdr:col>
      <xdr:colOff>5443</xdr:colOff>
      <xdr:row>28</xdr:row>
      <xdr:rowOff>84212</xdr:rowOff>
    </xdr:from>
    <xdr:to>
      <xdr:col>65</xdr:col>
      <xdr:colOff>24589</xdr:colOff>
      <xdr:row>29</xdr:row>
      <xdr:rowOff>57607</xdr:rowOff>
    </xdr:to>
    <xdr:sp macro="" textlink="">
      <xdr:nvSpPr>
        <xdr:cNvPr id="481" name="Rectangle 241">
          <a:extLst>
            <a:ext uri="{FF2B5EF4-FFF2-40B4-BE49-F238E27FC236}">
              <a16:creationId xmlns:a16="http://schemas.microsoft.com/office/drawing/2014/main" id="{00000000-0008-0000-1A00-0000E1010000}"/>
            </a:ext>
          </a:extLst>
        </xdr:cNvPr>
        <xdr:cNvSpPr>
          <a:spLocks noChangeArrowheads="1"/>
        </xdr:cNvSpPr>
      </xdr:nvSpPr>
      <xdr:spPr bwMode="auto">
        <a:xfrm>
          <a:off x="12911818" y="6094487"/>
          <a:ext cx="552546" cy="182945"/>
        </a:xfrm>
        <a:prstGeom prst="rect">
          <a:avLst/>
        </a:prstGeom>
        <a:solidFill>
          <a:srgbClr val="FFFFFF"/>
        </a:solidFill>
        <a:ln w="9525">
          <a:noFill/>
          <a:miter lim="800000"/>
          <a:headEnd/>
          <a:tailEnd/>
        </a:ln>
      </xdr:spPr>
      <xdr:txBody>
        <a:bodyPr wrap="none" lIns="11585" tIns="5792" rIns="11585" bIns="5792" anchor="ctr" upright="1">
          <a:noAutofit/>
        </a:bodyPr>
        <a:lstStyle/>
        <a:p>
          <a:pPr algn="l" rtl="1">
            <a:defRPr sz="1000"/>
          </a:pPr>
          <a:r>
            <a:rPr lang="en-US" altLang="ko-KR" sz="1000" b="0" i="0" strike="noStrike">
              <a:solidFill>
                <a:srgbClr val="000000"/>
              </a:solidFill>
              <a:latin typeface="굴림"/>
              <a:ea typeface="굴림"/>
            </a:rPr>
            <a:t>PITR </a:t>
          </a:r>
          <a:r>
            <a:rPr lang="ko-KR" altLang="en-US" sz="1000" b="0" i="0" strike="noStrike">
              <a:solidFill>
                <a:srgbClr val="000000"/>
              </a:solidFill>
              <a:latin typeface="굴림"/>
              <a:ea typeface="굴림"/>
            </a:rPr>
            <a:t>경보</a:t>
          </a:r>
        </a:p>
      </xdr:txBody>
    </xdr:sp>
    <xdr:clientData/>
  </xdr:twoCellAnchor>
  <xdr:twoCellAnchor>
    <xdr:from>
      <xdr:col>62</xdr:col>
      <xdr:colOff>73479</xdr:colOff>
      <xdr:row>16</xdr:row>
      <xdr:rowOff>118381</xdr:rowOff>
    </xdr:from>
    <xdr:to>
      <xdr:col>63</xdr:col>
      <xdr:colOff>24493</xdr:colOff>
      <xdr:row>16</xdr:row>
      <xdr:rowOff>118381</xdr:rowOff>
    </xdr:to>
    <xdr:sp macro="" textlink="">
      <xdr:nvSpPr>
        <xdr:cNvPr id="482" name="Line 242">
          <a:extLst>
            <a:ext uri="{FF2B5EF4-FFF2-40B4-BE49-F238E27FC236}">
              <a16:creationId xmlns:a16="http://schemas.microsoft.com/office/drawing/2014/main" id="{00000000-0008-0000-1A00-0000E2010000}"/>
            </a:ext>
          </a:extLst>
        </xdr:cNvPr>
        <xdr:cNvSpPr>
          <a:spLocks noChangeShapeType="1"/>
        </xdr:cNvSpPr>
      </xdr:nvSpPr>
      <xdr:spPr bwMode="auto">
        <a:xfrm flipH="1">
          <a:off x="12713154" y="3614056"/>
          <a:ext cx="217714" cy="0"/>
        </a:xfrm>
        <a:prstGeom prst="line">
          <a:avLst/>
        </a:prstGeom>
        <a:noFill/>
        <a:ln w="17145">
          <a:solidFill>
            <a:srgbClr val="000000"/>
          </a:solidFill>
          <a:round/>
          <a:headEnd/>
          <a:tailEnd/>
        </a:ln>
      </xdr:spPr>
    </xdr:sp>
    <xdr:clientData/>
  </xdr:twoCellAnchor>
  <xdr:twoCellAnchor>
    <xdr:from>
      <xdr:col>62</xdr:col>
      <xdr:colOff>73479</xdr:colOff>
      <xdr:row>13</xdr:row>
      <xdr:rowOff>5443</xdr:rowOff>
    </xdr:from>
    <xdr:to>
      <xdr:col>62</xdr:col>
      <xdr:colOff>73479</xdr:colOff>
      <xdr:row>16</xdr:row>
      <xdr:rowOff>136071</xdr:rowOff>
    </xdr:to>
    <xdr:sp macro="" textlink="">
      <xdr:nvSpPr>
        <xdr:cNvPr id="483" name="Line 243">
          <a:extLst>
            <a:ext uri="{FF2B5EF4-FFF2-40B4-BE49-F238E27FC236}">
              <a16:creationId xmlns:a16="http://schemas.microsoft.com/office/drawing/2014/main" id="{00000000-0008-0000-1A00-0000E3010000}"/>
            </a:ext>
          </a:extLst>
        </xdr:cNvPr>
        <xdr:cNvSpPr>
          <a:spLocks noChangeShapeType="1"/>
        </xdr:cNvSpPr>
      </xdr:nvSpPr>
      <xdr:spPr bwMode="auto">
        <a:xfrm flipV="1">
          <a:off x="12713154" y="2872468"/>
          <a:ext cx="0" cy="759278"/>
        </a:xfrm>
        <a:prstGeom prst="line">
          <a:avLst/>
        </a:prstGeom>
        <a:noFill/>
        <a:ln w="17145">
          <a:solidFill>
            <a:srgbClr val="000000"/>
          </a:solidFill>
          <a:round/>
          <a:headEnd/>
          <a:tailEnd/>
        </a:ln>
      </xdr:spPr>
    </xdr:sp>
    <xdr:clientData/>
  </xdr:twoCellAnchor>
  <xdr:twoCellAnchor>
    <xdr:from>
      <xdr:col>62</xdr:col>
      <xdr:colOff>83004</xdr:colOff>
      <xdr:row>20</xdr:row>
      <xdr:rowOff>23132</xdr:rowOff>
    </xdr:from>
    <xdr:to>
      <xdr:col>63</xdr:col>
      <xdr:colOff>5443</xdr:colOff>
      <xdr:row>20</xdr:row>
      <xdr:rowOff>23132</xdr:rowOff>
    </xdr:to>
    <xdr:sp macro="" textlink="">
      <xdr:nvSpPr>
        <xdr:cNvPr id="484" name="Line 245">
          <a:extLst>
            <a:ext uri="{FF2B5EF4-FFF2-40B4-BE49-F238E27FC236}">
              <a16:creationId xmlns:a16="http://schemas.microsoft.com/office/drawing/2014/main" id="{00000000-0008-0000-1A00-0000E4010000}"/>
            </a:ext>
          </a:extLst>
        </xdr:cNvPr>
        <xdr:cNvSpPr>
          <a:spLocks noChangeShapeType="1"/>
        </xdr:cNvSpPr>
      </xdr:nvSpPr>
      <xdr:spPr bwMode="auto">
        <a:xfrm flipH="1">
          <a:off x="12722679" y="4357007"/>
          <a:ext cx="189139" cy="0"/>
        </a:xfrm>
        <a:prstGeom prst="line">
          <a:avLst/>
        </a:prstGeom>
        <a:noFill/>
        <a:ln w="17145">
          <a:solidFill>
            <a:srgbClr val="000000"/>
          </a:solidFill>
          <a:round/>
          <a:headEnd/>
          <a:tailEnd/>
        </a:ln>
      </xdr:spPr>
    </xdr:sp>
    <xdr:clientData/>
  </xdr:twoCellAnchor>
  <xdr:twoCellAnchor>
    <xdr:from>
      <xdr:col>62</xdr:col>
      <xdr:colOff>83004</xdr:colOff>
      <xdr:row>20</xdr:row>
      <xdr:rowOff>23131</xdr:rowOff>
    </xdr:from>
    <xdr:to>
      <xdr:col>62</xdr:col>
      <xdr:colOff>83004</xdr:colOff>
      <xdr:row>33</xdr:row>
      <xdr:rowOff>190499</xdr:rowOff>
    </xdr:to>
    <xdr:sp macro="" textlink="">
      <xdr:nvSpPr>
        <xdr:cNvPr id="485" name="Line 246">
          <a:extLst>
            <a:ext uri="{FF2B5EF4-FFF2-40B4-BE49-F238E27FC236}">
              <a16:creationId xmlns:a16="http://schemas.microsoft.com/office/drawing/2014/main" id="{00000000-0008-0000-1A00-0000E5010000}"/>
            </a:ext>
          </a:extLst>
        </xdr:cNvPr>
        <xdr:cNvSpPr>
          <a:spLocks noChangeShapeType="1"/>
        </xdr:cNvSpPr>
      </xdr:nvSpPr>
      <xdr:spPr bwMode="auto">
        <a:xfrm>
          <a:off x="12722679" y="4357006"/>
          <a:ext cx="0" cy="2891518"/>
        </a:xfrm>
        <a:prstGeom prst="line">
          <a:avLst/>
        </a:prstGeom>
        <a:noFill/>
        <a:ln w="17145">
          <a:solidFill>
            <a:srgbClr val="000000"/>
          </a:solidFill>
          <a:round/>
          <a:headEnd/>
          <a:tailEnd/>
        </a:ln>
      </xdr:spPr>
    </xdr:sp>
    <xdr:clientData/>
  </xdr:twoCellAnchor>
  <xdr:twoCellAnchor>
    <xdr:from>
      <xdr:col>62</xdr:col>
      <xdr:colOff>83004</xdr:colOff>
      <xdr:row>33</xdr:row>
      <xdr:rowOff>186417</xdr:rowOff>
    </xdr:from>
    <xdr:to>
      <xdr:col>63</xdr:col>
      <xdr:colOff>5443</xdr:colOff>
      <xdr:row>33</xdr:row>
      <xdr:rowOff>186417</xdr:rowOff>
    </xdr:to>
    <xdr:sp macro="" textlink="">
      <xdr:nvSpPr>
        <xdr:cNvPr id="486" name="Line 247">
          <a:extLst>
            <a:ext uri="{FF2B5EF4-FFF2-40B4-BE49-F238E27FC236}">
              <a16:creationId xmlns:a16="http://schemas.microsoft.com/office/drawing/2014/main" id="{00000000-0008-0000-1A00-0000E6010000}"/>
            </a:ext>
          </a:extLst>
        </xdr:cNvPr>
        <xdr:cNvSpPr>
          <a:spLocks noChangeShapeType="1"/>
        </xdr:cNvSpPr>
      </xdr:nvSpPr>
      <xdr:spPr bwMode="auto">
        <a:xfrm flipH="1">
          <a:off x="12722679" y="7244442"/>
          <a:ext cx="189139" cy="0"/>
        </a:xfrm>
        <a:prstGeom prst="line">
          <a:avLst/>
        </a:prstGeom>
        <a:noFill/>
        <a:ln w="17145">
          <a:solidFill>
            <a:srgbClr val="000000"/>
          </a:solidFill>
          <a:round/>
          <a:headEnd/>
          <a:tailEnd/>
        </a:ln>
      </xdr:spPr>
    </xdr:sp>
    <xdr:clientData/>
  </xdr:twoCellAnchor>
  <xdr:twoCellAnchor>
    <xdr:from>
      <xdr:col>63</xdr:col>
      <xdr:colOff>14968</xdr:colOff>
      <xdr:row>33</xdr:row>
      <xdr:rowOff>95519</xdr:rowOff>
    </xdr:from>
    <xdr:to>
      <xdr:col>69</xdr:col>
      <xdr:colOff>208421</xdr:colOff>
      <xdr:row>34</xdr:row>
      <xdr:rowOff>68914</xdr:rowOff>
    </xdr:to>
    <xdr:sp macro="" textlink="">
      <xdr:nvSpPr>
        <xdr:cNvPr id="487" name="Rectangle 248">
          <a:extLst>
            <a:ext uri="{FF2B5EF4-FFF2-40B4-BE49-F238E27FC236}">
              <a16:creationId xmlns:a16="http://schemas.microsoft.com/office/drawing/2014/main" id="{00000000-0008-0000-1A00-0000E7010000}"/>
            </a:ext>
          </a:extLst>
        </xdr:cNvPr>
        <xdr:cNvSpPr>
          <a:spLocks noChangeArrowheads="1"/>
        </xdr:cNvSpPr>
      </xdr:nvSpPr>
      <xdr:spPr bwMode="auto">
        <a:xfrm>
          <a:off x="12921343" y="7153544"/>
          <a:ext cx="1793653" cy="182945"/>
        </a:xfrm>
        <a:prstGeom prst="rect">
          <a:avLst/>
        </a:prstGeom>
        <a:solidFill>
          <a:srgbClr val="FFFFFF"/>
        </a:solidFill>
        <a:ln w="9525">
          <a:noFill/>
          <a:miter lim="800000"/>
          <a:headEnd/>
          <a:tailEnd/>
        </a:ln>
      </xdr:spPr>
      <xdr:txBody>
        <a:bodyPr wrap="none" lIns="11585" tIns="5792" rIns="11585" bIns="5792" anchor="ctr" upright="1">
          <a:noAutofit/>
        </a:bodyPr>
        <a:lstStyle/>
        <a:p>
          <a:pPr algn="l" rtl="1">
            <a:defRPr sz="1000"/>
          </a:pPr>
          <a:r>
            <a:rPr lang="ko-KR" altLang="en-US" sz="1000" b="0" i="0" strike="noStrike">
              <a:solidFill>
                <a:srgbClr val="000000"/>
              </a:solidFill>
              <a:latin typeface="굴림"/>
              <a:ea typeface="굴림"/>
            </a:rPr>
            <a:t>기타 정보통신설비 주요 </a:t>
          </a:r>
          <a:r>
            <a:rPr lang="en-US" altLang="ko-KR" sz="1000" b="0" i="0" strike="noStrike">
              <a:solidFill>
                <a:srgbClr val="000000"/>
              </a:solidFill>
              <a:latin typeface="굴림"/>
              <a:ea typeface="굴림"/>
            </a:rPr>
            <a:t>Dry </a:t>
          </a:r>
          <a:r>
            <a:rPr lang="ko-KR" altLang="en-US" sz="1000" b="0" i="0" strike="noStrike">
              <a:solidFill>
                <a:srgbClr val="000000"/>
              </a:solidFill>
              <a:latin typeface="굴림"/>
              <a:ea typeface="굴림"/>
            </a:rPr>
            <a:t>접점</a:t>
          </a:r>
        </a:p>
      </xdr:txBody>
    </xdr:sp>
    <xdr:clientData/>
  </xdr:twoCellAnchor>
  <xdr:twoCellAnchor>
    <xdr:from>
      <xdr:col>60</xdr:col>
      <xdr:colOff>24493</xdr:colOff>
      <xdr:row>25</xdr:row>
      <xdr:rowOff>29935</xdr:rowOff>
    </xdr:from>
    <xdr:to>
      <xdr:col>62</xdr:col>
      <xdr:colOff>63954</xdr:colOff>
      <xdr:row>25</xdr:row>
      <xdr:rowOff>29935</xdr:rowOff>
    </xdr:to>
    <xdr:sp macro="" textlink="">
      <xdr:nvSpPr>
        <xdr:cNvPr id="488" name="Line 249">
          <a:extLst>
            <a:ext uri="{FF2B5EF4-FFF2-40B4-BE49-F238E27FC236}">
              <a16:creationId xmlns:a16="http://schemas.microsoft.com/office/drawing/2014/main" id="{00000000-0008-0000-1A00-0000E8010000}"/>
            </a:ext>
          </a:extLst>
        </xdr:cNvPr>
        <xdr:cNvSpPr>
          <a:spLocks noChangeShapeType="1"/>
        </xdr:cNvSpPr>
      </xdr:nvSpPr>
      <xdr:spPr bwMode="auto">
        <a:xfrm flipH="1">
          <a:off x="12130768" y="5411560"/>
          <a:ext cx="572861" cy="0"/>
        </a:xfrm>
        <a:prstGeom prst="line">
          <a:avLst/>
        </a:prstGeom>
        <a:noFill/>
        <a:ln w="17145">
          <a:solidFill>
            <a:srgbClr val="000000"/>
          </a:solidFill>
          <a:round/>
          <a:headEnd/>
          <a:tailEnd/>
        </a:ln>
      </xdr:spPr>
    </xdr:sp>
    <xdr:clientData/>
  </xdr:twoCellAnchor>
  <xdr:twoCellAnchor>
    <xdr:from>
      <xdr:col>60</xdr:col>
      <xdr:colOff>24493</xdr:colOff>
      <xdr:row>12</xdr:row>
      <xdr:rowOff>180974</xdr:rowOff>
    </xdr:from>
    <xdr:to>
      <xdr:col>60</xdr:col>
      <xdr:colOff>24493</xdr:colOff>
      <xdr:row>25</xdr:row>
      <xdr:rowOff>40820</xdr:rowOff>
    </xdr:to>
    <xdr:sp macro="" textlink="">
      <xdr:nvSpPr>
        <xdr:cNvPr id="489" name="Line 250">
          <a:extLst>
            <a:ext uri="{FF2B5EF4-FFF2-40B4-BE49-F238E27FC236}">
              <a16:creationId xmlns:a16="http://schemas.microsoft.com/office/drawing/2014/main" id="{00000000-0008-0000-1A00-0000E9010000}"/>
            </a:ext>
          </a:extLst>
        </xdr:cNvPr>
        <xdr:cNvSpPr>
          <a:spLocks noChangeShapeType="1"/>
        </xdr:cNvSpPr>
      </xdr:nvSpPr>
      <xdr:spPr bwMode="auto">
        <a:xfrm flipV="1">
          <a:off x="12130768" y="2838449"/>
          <a:ext cx="0" cy="2583996"/>
        </a:xfrm>
        <a:prstGeom prst="line">
          <a:avLst/>
        </a:prstGeom>
        <a:noFill/>
        <a:ln w="17145">
          <a:solidFill>
            <a:srgbClr val="000000"/>
          </a:solidFill>
          <a:round/>
          <a:headEnd/>
          <a:tailEnd/>
        </a:ln>
      </xdr:spPr>
    </xdr:sp>
    <xdr:clientData/>
  </xdr:twoCellAnchor>
  <xdr:twoCellAnchor>
    <xdr:from>
      <xdr:col>58</xdr:col>
      <xdr:colOff>179614</xdr:colOff>
      <xdr:row>11</xdr:row>
      <xdr:rowOff>21771</xdr:rowOff>
    </xdr:from>
    <xdr:to>
      <xdr:col>63</xdr:col>
      <xdr:colOff>209550</xdr:colOff>
      <xdr:row>13</xdr:row>
      <xdr:rowOff>24493</xdr:rowOff>
    </xdr:to>
    <xdr:pic>
      <xdr:nvPicPr>
        <xdr:cNvPr id="490" name="Picture 177" descr="PIA">
          <a:extLst>
            <a:ext uri="{FF2B5EF4-FFF2-40B4-BE49-F238E27FC236}">
              <a16:creationId xmlns:a16="http://schemas.microsoft.com/office/drawing/2014/main" id="{00000000-0008-0000-1A00-0000EA010000}"/>
            </a:ext>
          </a:extLst>
        </xdr:cNvPr>
        <xdr:cNvPicPr>
          <a:picLocks noChangeAspect="1" noChangeArrowheads="1"/>
        </xdr:cNvPicPr>
      </xdr:nvPicPr>
      <xdr:blipFill>
        <a:blip xmlns:r="http://schemas.openxmlformats.org/officeDocument/2006/relationships" r:embed="rId10" cstate="print"/>
        <a:srcRect/>
        <a:stretch>
          <a:fillRect/>
        </a:stretch>
      </xdr:blipFill>
      <xdr:spPr bwMode="auto">
        <a:xfrm>
          <a:off x="11752489" y="2469696"/>
          <a:ext cx="1363436" cy="421822"/>
        </a:xfrm>
        <a:prstGeom prst="rect">
          <a:avLst/>
        </a:prstGeom>
        <a:noFill/>
        <a:ln w="9525">
          <a:noFill/>
          <a:miter lim="800000"/>
          <a:headEnd/>
          <a:tailEnd/>
        </a:ln>
      </xdr:spPr>
    </xdr:pic>
    <xdr:clientData/>
  </xdr:twoCellAnchor>
  <xdr:twoCellAnchor>
    <xdr:from>
      <xdr:col>58</xdr:col>
      <xdr:colOff>54428</xdr:colOff>
      <xdr:row>8</xdr:row>
      <xdr:rowOff>141513</xdr:rowOff>
    </xdr:from>
    <xdr:to>
      <xdr:col>77</xdr:col>
      <xdr:colOff>27214</xdr:colOff>
      <xdr:row>37</xdr:row>
      <xdr:rowOff>13607</xdr:rowOff>
    </xdr:to>
    <xdr:sp macro="" textlink="">
      <xdr:nvSpPr>
        <xdr:cNvPr id="491" name="Rectangle 251">
          <a:extLst>
            <a:ext uri="{FF2B5EF4-FFF2-40B4-BE49-F238E27FC236}">
              <a16:creationId xmlns:a16="http://schemas.microsoft.com/office/drawing/2014/main" id="{00000000-0008-0000-1A00-0000EB010000}"/>
            </a:ext>
          </a:extLst>
        </xdr:cNvPr>
        <xdr:cNvSpPr>
          <a:spLocks noChangeArrowheads="1"/>
        </xdr:cNvSpPr>
      </xdr:nvSpPr>
      <xdr:spPr bwMode="auto">
        <a:xfrm>
          <a:off x="11627303" y="1960788"/>
          <a:ext cx="5040086" cy="5949044"/>
        </a:xfrm>
        <a:prstGeom prst="rect">
          <a:avLst/>
        </a:prstGeom>
        <a:noFill/>
        <a:ln w="9525">
          <a:solidFill>
            <a:srgbClr val="000000"/>
          </a:solidFill>
          <a:prstDash val="lgDashDotDot"/>
          <a:miter lim="800000"/>
          <a:headEnd/>
          <a:tailEnd/>
        </a:ln>
      </xdr:spPr>
    </xdr:sp>
    <xdr:clientData/>
  </xdr:twoCellAnchor>
  <xdr:twoCellAnchor>
    <xdr:from>
      <xdr:col>60</xdr:col>
      <xdr:colOff>171450</xdr:colOff>
      <xdr:row>16</xdr:row>
      <xdr:rowOff>2569</xdr:rowOff>
    </xdr:from>
    <xdr:to>
      <xdr:col>61</xdr:col>
      <xdr:colOff>266206</xdr:colOff>
      <xdr:row>16</xdr:row>
      <xdr:rowOff>180071</xdr:rowOff>
    </xdr:to>
    <xdr:sp macro="" textlink="">
      <xdr:nvSpPr>
        <xdr:cNvPr id="492" name="Rectangle 252">
          <a:extLst>
            <a:ext uri="{FF2B5EF4-FFF2-40B4-BE49-F238E27FC236}">
              <a16:creationId xmlns:a16="http://schemas.microsoft.com/office/drawing/2014/main" id="{00000000-0008-0000-1A00-0000EC010000}"/>
            </a:ext>
          </a:extLst>
        </xdr:cNvPr>
        <xdr:cNvSpPr>
          <a:spLocks noChangeArrowheads="1"/>
        </xdr:cNvSpPr>
      </xdr:nvSpPr>
      <xdr:spPr bwMode="auto">
        <a:xfrm>
          <a:off x="12277725" y="3498244"/>
          <a:ext cx="361456" cy="177502"/>
        </a:xfrm>
        <a:prstGeom prst="rect">
          <a:avLst/>
        </a:prstGeom>
        <a:solidFill>
          <a:srgbClr val="FFFFFF"/>
        </a:solidFill>
        <a:ln w="9525">
          <a:noFill/>
          <a:miter lim="800000"/>
          <a:headEnd/>
          <a:tailEnd/>
        </a:ln>
      </xdr:spPr>
      <xdr:txBody>
        <a:bodyPr wrap="none" lIns="11585" tIns="5792" rIns="11585" bIns="5792" anchor="ctr" upright="1">
          <a:noAutofit/>
        </a:bodyPr>
        <a:lstStyle/>
        <a:p>
          <a:pPr algn="ctr" rtl="1">
            <a:defRPr sz="1000"/>
          </a:pPr>
          <a:r>
            <a:rPr lang="en-US" altLang="ko-KR" sz="1000" b="1" i="0" strike="noStrike">
              <a:solidFill>
                <a:srgbClr val="FF6600"/>
              </a:solidFill>
              <a:latin typeface="굴림"/>
              <a:ea typeface="굴림"/>
            </a:rPr>
            <a:t>AI</a:t>
          </a:r>
          <a:r>
            <a:rPr lang="ko-KR" altLang="en-US" sz="1000" b="1" i="0" strike="noStrike">
              <a:solidFill>
                <a:srgbClr val="FF6600"/>
              </a:solidFill>
              <a:latin typeface="굴림"/>
              <a:ea typeface="굴림"/>
            </a:rPr>
            <a:t>접점</a:t>
          </a:r>
        </a:p>
      </xdr:txBody>
    </xdr:sp>
    <xdr:clientData/>
  </xdr:twoCellAnchor>
  <xdr:twoCellAnchor>
    <xdr:from>
      <xdr:col>60</xdr:col>
      <xdr:colOff>157843</xdr:colOff>
      <xdr:row>25</xdr:row>
      <xdr:rowOff>111426</xdr:rowOff>
    </xdr:from>
    <xdr:to>
      <xdr:col>61</xdr:col>
      <xdr:colOff>262216</xdr:colOff>
      <xdr:row>26</xdr:row>
      <xdr:rowOff>84821</xdr:rowOff>
    </xdr:to>
    <xdr:sp macro="" textlink="">
      <xdr:nvSpPr>
        <xdr:cNvPr id="493" name="Rectangle 253">
          <a:extLst>
            <a:ext uri="{FF2B5EF4-FFF2-40B4-BE49-F238E27FC236}">
              <a16:creationId xmlns:a16="http://schemas.microsoft.com/office/drawing/2014/main" id="{00000000-0008-0000-1A00-0000ED010000}"/>
            </a:ext>
          </a:extLst>
        </xdr:cNvPr>
        <xdr:cNvSpPr>
          <a:spLocks noChangeArrowheads="1"/>
        </xdr:cNvSpPr>
      </xdr:nvSpPr>
      <xdr:spPr bwMode="auto">
        <a:xfrm>
          <a:off x="12264118" y="5493051"/>
          <a:ext cx="371073" cy="182945"/>
        </a:xfrm>
        <a:prstGeom prst="rect">
          <a:avLst/>
        </a:prstGeom>
        <a:solidFill>
          <a:srgbClr val="FFFFFF"/>
        </a:solidFill>
        <a:ln w="9525">
          <a:noFill/>
          <a:miter lim="800000"/>
          <a:headEnd/>
          <a:tailEnd/>
        </a:ln>
      </xdr:spPr>
      <xdr:txBody>
        <a:bodyPr wrap="none" lIns="11585" tIns="5792" rIns="11585" bIns="5792" anchor="ctr" upright="1">
          <a:noAutofit/>
        </a:bodyPr>
        <a:lstStyle/>
        <a:p>
          <a:pPr algn="ctr" rtl="1">
            <a:defRPr sz="1000"/>
          </a:pPr>
          <a:r>
            <a:rPr lang="en-US" altLang="ko-KR" sz="1000" b="1" i="0" strike="noStrike">
              <a:solidFill>
                <a:srgbClr val="FF6600"/>
              </a:solidFill>
              <a:latin typeface="굴림"/>
              <a:ea typeface="굴림"/>
            </a:rPr>
            <a:t>DI</a:t>
          </a:r>
          <a:r>
            <a:rPr lang="ko-KR" altLang="en-US" sz="1000" b="1" i="0" strike="noStrike">
              <a:solidFill>
                <a:srgbClr val="FF6600"/>
              </a:solidFill>
              <a:latin typeface="굴림"/>
              <a:ea typeface="굴림"/>
            </a:rPr>
            <a:t>접점</a:t>
          </a:r>
        </a:p>
      </xdr:txBody>
    </xdr:sp>
    <xdr:clientData/>
  </xdr:twoCellAnchor>
  <xdr:twoCellAnchor>
    <xdr:from>
      <xdr:col>64</xdr:col>
      <xdr:colOff>65315</xdr:colOff>
      <xdr:row>9</xdr:row>
      <xdr:rowOff>1543</xdr:rowOff>
    </xdr:from>
    <xdr:to>
      <xdr:col>70</xdr:col>
      <xdr:colOff>49281</xdr:colOff>
      <xdr:row>10</xdr:row>
      <xdr:rowOff>7374</xdr:rowOff>
    </xdr:to>
    <xdr:sp macro="" textlink="">
      <xdr:nvSpPr>
        <xdr:cNvPr id="494" name="Rectangle 254">
          <a:extLst>
            <a:ext uri="{FF2B5EF4-FFF2-40B4-BE49-F238E27FC236}">
              <a16:creationId xmlns:a16="http://schemas.microsoft.com/office/drawing/2014/main" id="{00000000-0008-0000-1A00-0000EE010000}"/>
            </a:ext>
          </a:extLst>
        </xdr:cNvPr>
        <xdr:cNvSpPr>
          <a:spLocks noChangeArrowheads="1"/>
        </xdr:cNvSpPr>
      </xdr:nvSpPr>
      <xdr:spPr bwMode="auto">
        <a:xfrm>
          <a:off x="13238390" y="2030368"/>
          <a:ext cx="1584166" cy="215381"/>
        </a:xfrm>
        <a:prstGeom prst="rect">
          <a:avLst/>
        </a:prstGeom>
        <a:solidFill>
          <a:srgbClr val="FFFFFF"/>
        </a:solidFill>
        <a:ln w="9525">
          <a:noFill/>
          <a:miter lim="800000"/>
          <a:headEnd/>
          <a:tailEnd/>
        </a:ln>
      </xdr:spPr>
      <xdr:txBody>
        <a:bodyPr wrap="none" lIns="11585" tIns="5792" rIns="11585" bIns="5792" anchor="ctr" upright="1">
          <a:noAutofit/>
        </a:bodyPr>
        <a:lstStyle/>
        <a:p>
          <a:pPr algn="ctr" rtl="1">
            <a:defRPr sz="1000"/>
          </a:pPr>
          <a:r>
            <a:rPr lang="ko-KR" altLang="en-US" sz="1200" b="0" i="0" strike="noStrike">
              <a:solidFill>
                <a:srgbClr val="FF00FF"/>
              </a:solidFill>
              <a:latin typeface="굴림"/>
              <a:ea typeface="굴림"/>
            </a:rPr>
            <a:t>원격단말장치</a:t>
          </a:r>
          <a:r>
            <a:rPr lang="en-US" altLang="ko-KR" sz="1200" b="0" i="0" strike="noStrike">
              <a:solidFill>
                <a:srgbClr val="FF00FF"/>
              </a:solidFill>
              <a:latin typeface="굴림"/>
              <a:ea typeface="굴림"/>
            </a:rPr>
            <a:t>(EPIA) </a:t>
          </a:r>
          <a:endParaRPr lang="ko-KR" altLang="en-US" sz="1200" b="0" i="0" strike="noStrike">
            <a:solidFill>
              <a:srgbClr val="FF00FF"/>
            </a:solidFill>
            <a:latin typeface="굴림"/>
            <a:ea typeface="굴림"/>
          </a:endParaRPr>
        </a:p>
      </xdr:txBody>
    </xdr:sp>
    <xdr:clientData/>
  </xdr:twoCellAnchor>
  <xdr:twoCellAnchor>
    <xdr:from>
      <xdr:col>62</xdr:col>
      <xdr:colOff>99333</xdr:colOff>
      <xdr:row>31</xdr:row>
      <xdr:rowOff>12245</xdr:rowOff>
    </xdr:from>
    <xdr:to>
      <xdr:col>63</xdr:col>
      <xdr:colOff>21772</xdr:colOff>
      <xdr:row>31</xdr:row>
      <xdr:rowOff>12245</xdr:rowOff>
    </xdr:to>
    <xdr:sp macro="" textlink="">
      <xdr:nvSpPr>
        <xdr:cNvPr id="495" name="Line 247">
          <a:extLst>
            <a:ext uri="{FF2B5EF4-FFF2-40B4-BE49-F238E27FC236}">
              <a16:creationId xmlns:a16="http://schemas.microsoft.com/office/drawing/2014/main" id="{00000000-0008-0000-1A00-0000EF010000}"/>
            </a:ext>
          </a:extLst>
        </xdr:cNvPr>
        <xdr:cNvSpPr>
          <a:spLocks noChangeShapeType="1"/>
        </xdr:cNvSpPr>
      </xdr:nvSpPr>
      <xdr:spPr bwMode="auto">
        <a:xfrm flipH="1">
          <a:off x="12739008" y="6651170"/>
          <a:ext cx="189139" cy="0"/>
        </a:xfrm>
        <a:prstGeom prst="line">
          <a:avLst/>
        </a:prstGeom>
        <a:noFill/>
        <a:ln w="17145">
          <a:solidFill>
            <a:srgbClr val="000000"/>
          </a:solidFill>
          <a:round/>
          <a:headEnd/>
          <a:tailEnd/>
        </a:ln>
      </xdr:spPr>
    </xdr:sp>
    <xdr:clientData/>
  </xdr:twoCellAnchor>
  <xdr:twoCellAnchor>
    <xdr:from>
      <xdr:col>62</xdr:col>
      <xdr:colOff>88447</xdr:colOff>
      <xdr:row>23</xdr:row>
      <xdr:rowOff>191860</xdr:rowOff>
    </xdr:from>
    <xdr:to>
      <xdr:col>63</xdr:col>
      <xdr:colOff>10886</xdr:colOff>
      <xdr:row>23</xdr:row>
      <xdr:rowOff>191860</xdr:rowOff>
    </xdr:to>
    <xdr:sp macro="" textlink="">
      <xdr:nvSpPr>
        <xdr:cNvPr id="496" name="Line 247">
          <a:extLst>
            <a:ext uri="{FF2B5EF4-FFF2-40B4-BE49-F238E27FC236}">
              <a16:creationId xmlns:a16="http://schemas.microsoft.com/office/drawing/2014/main" id="{00000000-0008-0000-1A00-0000F0010000}"/>
            </a:ext>
          </a:extLst>
        </xdr:cNvPr>
        <xdr:cNvSpPr>
          <a:spLocks noChangeShapeType="1"/>
        </xdr:cNvSpPr>
      </xdr:nvSpPr>
      <xdr:spPr bwMode="auto">
        <a:xfrm flipH="1">
          <a:off x="12728122" y="5154385"/>
          <a:ext cx="189139" cy="0"/>
        </a:xfrm>
        <a:prstGeom prst="line">
          <a:avLst/>
        </a:prstGeom>
        <a:noFill/>
        <a:ln w="17145">
          <a:solidFill>
            <a:srgbClr val="000000"/>
          </a:solidFill>
          <a:round/>
          <a:headEnd/>
          <a:tailEnd/>
        </a:ln>
      </xdr:spPr>
    </xdr:sp>
    <xdr:clientData/>
  </xdr:twoCellAnchor>
  <xdr:twoCellAnchor>
    <xdr:from>
      <xdr:col>63</xdr:col>
      <xdr:colOff>4081</xdr:colOff>
      <xdr:row>29</xdr:row>
      <xdr:rowOff>149677</xdr:rowOff>
    </xdr:from>
    <xdr:to>
      <xdr:col>64</xdr:col>
      <xdr:colOff>262616</xdr:colOff>
      <xdr:row>32</xdr:row>
      <xdr:rowOff>68034</xdr:rowOff>
    </xdr:to>
    <xdr:pic>
      <xdr:nvPicPr>
        <xdr:cNvPr id="497" name="그림 496" descr="imagesCAOURFEX.jpg">
          <a:extLst>
            <a:ext uri="{FF2B5EF4-FFF2-40B4-BE49-F238E27FC236}">
              <a16:creationId xmlns:a16="http://schemas.microsoft.com/office/drawing/2014/main" id="{00000000-0008-0000-1A00-0000F1010000}"/>
            </a:ext>
          </a:extLst>
        </xdr:cNvPr>
        <xdr:cNvPicPr>
          <a:picLocks noChangeAspect="1"/>
        </xdr:cNvPicPr>
      </xdr:nvPicPr>
      <xdr:blipFill>
        <a:blip xmlns:r="http://schemas.openxmlformats.org/officeDocument/2006/relationships" r:embed="rId11" cstate="print"/>
        <a:stretch>
          <a:fillRect/>
        </a:stretch>
      </xdr:blipFill>
      <xdr:spPr>
        <a:xfrm>
          <a:off x="12910456" y="6369502"/>
          <a:ext cx="525235" cy="547007"/>
        </a:xfrm>
        <a:prstGeom prst="rect">
          <a:avLst/>
        </a:prstGeom>
      </xdr:spPr>
    </xdr:pic>
    <xdr:clientData/>
  </xdr:twoCellAnchor>
  <xdr:twoCellAnchor>
    <xdr:from>
      <xdr:col>70</xdr:col>
      <xdr:colOff>263979</xdr:colOff>
      <xdr:row>30</xdr:row>
      <xdr:rowOff>13607</xdr:rowOff>
    </xdr:from>
    <xdr:to>
      <xdr:col>73</xdr:col>
      <xdr:colOff>119472</xdr:colOff>
      <xdr:row>30</xdr:row>
      <xdr:rowOff>191109</xdr:rowOff>
    </xdr:to>
    <xdr:sp macro="" textlink="">
      <xdr:nvSpPr>
        <xdr:cNvPr id="498" name="Rectangle 192">
          <a:extLst>
            <a:ext uri="{FF2B5EF4-FFF2-40B4-BE49-F238E27FC236}">
              <a16:creationId xmlns:a16="http://schemas.microsoft.com/office/drawing/2014/main" id="{00000000-0008-0000-1A00-0000F2010000}"/>
            </a:ext>
          </a:extLst>
        </xdr:cNvPr>
        <xdr:cNvSpPr>
          <a:spLocks noChangeArrowheads="1"/>
        </xdr:cNvSpPr>
      </xdr:nvSpPr>
      <xdr:spPr bwMode="auto">
        <a:xfrm>
          <a:off x="15037254" y="6442982"/>
          <a:ext cx="655593" cy="177502"/>
        </a:xfrm>
        <a:prstGeom prst="rect">
          <a:avLst/>
        </a:prstGeom>
        <a:solidFill>
          <a:srgbClr val="FFFFFF"/>
        </a:solidFill>
        <a:ln w="9525">
          <a:noFill/>
          <a:miter lim="800000"/>
          <a:headEnd/>
          <a:tailEnd/>
        </a:ln>
      </xdr:spPr>
      <xdr:txBody>
        <a:bodyPr wrap="none" lIns="11585" tIns="5792" rIns="11585" bIns="5792" anchor="ctr" upright="1">
          <a:noAutofit/>
        </a:bodyPr>
        <a:lstStyle/>
        <a:p>
          <a:pPr algn="l" rtl="1">
            <a:defRPr sz="1000"/>
          </a:pPr>
          <a:r>
            <a:rPr lang="en-US" altLang="ko-KR" sz="1000" b="0" i="0" strike="noStrike">
              <a:solidFill>
                <a:srgbClr val="000000"/>
              </a:solidFill>
              <a:latin typeface="굴림"/>
              <a:ea typeface="굴림"/>
            </a:rPr>
            <a:t>ICT</a:t>
          </a:r>
          <a:r>
            <a:rPr lang="ko-KR" altLang="en-US" sz="1000" b="0" i="0" strike="noStrike">
              <a:solidFill>
                <a:srgbClr val="000000"/>
              </a:solidFill>
              <a:latin typeface="굴림"/>
              <a:ea typeface="굴림"/>
            </a:rPr>
            <a:t>실 출입문</a:t>
          </a:r>
        </a:p>
      </xdr:txBody>
    </xdr:sp>
    <xdr:clientData/>
  </xdr:twoCellAnchor>
  <xdr:twoCellAnchor>
    <xdr:from>
      <xdr:col>70</xdr:col>
      <xdr:colOff>263979</xdr:colOff>
      <xdr:row>31</xdr:row>
      <xdr:rowOff>63575</xdr:rowOff>
    </xdr:from>
    <xdr:to>
      <xdr:col>72</xdr:col>
      <xdr:colOff>260875</xdr:colOff>
      <xdr:row>32</xdr:row>
      <xdr:rowOff>36970</xdr:rowOff>
    </xdr:to>
    <xdr:sp macro="" textlink="">
      <xdr:nvSpPr>
        <xdr:cNvPr id="499" name="Rectangle 193">
          <a:extLst>
            <a:ext uri="{FF2B5EF4-FFF2-40B4-BE49-F238E27FC236}">
              <a16:creationId xmlns:a16="http://schemas.microsoft.com/office/drawing/2014/main" id="{00000000-0008-0000-1A00-0000F3010000}"/>
            </a:ext>
          </a:extLst>
        </xdr:cNvPr>
        <xdr:cNvSpPr>
          <a:spLocks noChangeArrowheads="1"/>
        </xdr:cNvSpPr>
      </xdr:nvSpPr>
      <xdr:spPr bwMode="auto">
        <a:xfrm>
          <a:off x="15037254" y="6702500"/>
          <a:ext cx="530296" cy="182945"/>
        </a:xfrm>
        <a:prstGeom prst="rect">
          <a:avLst/>
        </a:prstGeom>
        <a:solidFill>
          <a:srgbClr val="FFFFFF"/>
        </a:solidFill>
        <a:ln w="9525">
          <a:noFill/>
          <a:miter lim="800000"/>
          <a:headEnd/>
          <a:tailEnd/>
        </a:ln>
      </xdr:spPr>
      <xdr:txBody>
        <a:bodyPr wrap="none" lIns="11585" tIns="5792" rIns="11585" bIns="5792" anchor="ctr" upright="1">
          <a:noAutofit/>
        </a:bodyPr>
        <a:lstStyle/>
        <a:p>
          <a:pPr algn="l" rtl="1">
            <a:defRPr sz="1000"/>
          </a:pPr>
          <a:r>
            <a:rPr lang="en-US" altLang="ko-KR" sz="1000" b="0" i="0" strike="noStrike">
              <a:solidFill>
                <a:srgbClr val="000000"/>
              </a:solidFill>
              <a:latin typeface="굴림"/>
              <a:ea typeface="굴림"/>
            </a:rPr>
            <a:t>OFD</a:t>
          </a:r>
          <a:r>
            <a:rPr lang="ko-KR" altLang="en-US" sz="1000" b="0" i="0" strike="noStrike">
              <a:solidFill>
                <a:srgbClr val="000000"/>
              </a:solidFill>
              <a:latin typeface="굴림"/>
              <a:ea typeface="굴림"/>
            </a:rPr>
            <a:t>랙 문</a:t>
          </a:r>
        </a:p>
      </xdr:txBody>
    </xdr:sp>
    <xdr:clientData/>
  </xdr:twoCellAnchor>
  <xdr:twoCellAnchor>
    <xdr:from>
      <xdr:col>64</xdr:col>
      <xdr:colOff>244929</xdr:colOff>
      <xdr:row>30</xdr:row>
      <xdr:rowOff>108630</xdr:rowOff>
    </xdr:from>
    <xdr:to>
      <xdr:col>70</xdr:col>
      <xdr:colOff>244929</xdr:colOff>
      <xdr:row>30</xdr:row>
      <xdr:rowOff>108630</xdr:rowOff>
    </xdr:to>
    <xdr:sp macro="" textlink="">
      <xdr:nvSpPr>
        <xdr:cNvPr id="500" name="Line 194">
          <a:extLst>
            <a:ext uri="{FF2B5EF4-FFF2-40B4-BE49-F238E27FC236}">
              <a16:creationId xmlns:a16="http://schemas.microsoft.com/office/drawing/2014/main" id="{00000000-0008-0000-1A00-0000F4010000}"/>
            </a:ext>
          </a:extLst>
        </xdr:cNvPr>
        <xdr:cNvSpPr>
          <a:spLocks noChangeShapeType="1"/>
        </xdr:cNvSpPr>
      </xdr:nvSpPr>
      <xdr:spPr bwMode="auto">
        <a:xfrm>
          <a:off x="13418004" y="6538005"/>
          <a:ext cx="1600200" cy="0"/>
        </a:xfrm>
        <a:prstGeom prst="line">
          <a:avLst/>
        </a:prstGeom>
        <a:noFill/>
        <a:ln w="17145">
          <a:solidFill>
            <a:srgbClr val="000000"/>
          </a:solidFill>
          <a:round/>
          <a:headEnd/>
          <a:tailEnd/>
        </a:ln>
      </xdr:spPr>
    </xdr:sp>
    <xdr:clientData/>
  </xdr:twoCellAnchor>
  <xdr:twoCellAnchor>
    <xdr:from>
      <xdr:col>64</xdr:col>
      <xdr:colOff>244929</xdr:colOff>
      <xdr:row>31</xdr:row>
      <xdr:rowOff>100466</xdr:rowOff>
    </xdr:from>
    <xdr:to>
      <xdr:col>70</xdr:col>
      <xdr:colOff>244929</xdr:colOff>
      <xdr:row>31</xdr:row>
      <xdr:rowOff>100466</xdr:rowOff>
    </xdr:to>
    <xdr:sp macro="" textlink="">
      <xdr:nvSpPr>
        <xdr:cNvPr id="501" name="Line 195">
          <a:extLst>
            <a:ext uri="{FF2B5EF4-FFF2-40B4-BE49-F238E27FC236}">
              <a16:creationId xmlns:a16="http://schemas.microsoft.com/office/drawing/2014/main" id="{00000000-0008-0000-1A00-0000F5010000}"/>
            </a:ext>
          </a:extLst>
        </xdr:cNvPr>
        <xdr:cNvSpPr>
          <a:spLocks noChangeShapeType="1"/>
        </xdr:cNvSpPr>
      </xdr:nvSpPr>
      <xdr:spPr bwMode="auto">
        <a:xfrm>
          <a:off x="13418004" y="6739391"/>
          <a:ext cx="1600200" cy="0"/>
        </a:xfrm>
        <a:prstGeom prst="line">
          <a:avLst/>
        </a:prstGeom>
        <a:noFill/>
        <a:ln w="17145">
          <a:solidFill>
            <a:srgbClr val="000000"/>
          </a:solidFill>
          <a:round/>
          <a:headEnd/>
          <a:tailEnd/>
        </a:ln>
      </xdr:spPr>
    </xdr:sp>
    <xdr:clientData/>
  </xdr:twoCellAnchor>
  <xdr:twoCellAnchor>
    <xdr:from>
      <xdr:col>62</xdr:col>
      <xdr:colOff>88449</xdr:colOff>
      <xdr:row>27</xdr:row>
      <xdr:rowOff>178255</xdr:rowOff>
    </xdr:from>
    <xdr:to>
      <xdr:col>63</xdr:col>
      <xdr:colOff>10888</xdr:colOff>
      <xdr:row>27</xdr:row>
      <xdr:rowOff>178255</xdr:rowOff>
    </xdr:to>
    <xdr:sp macro="" textlink="">
      <xdr:nvSpPr>
        <xdr:cNvPr id="502" name="Line 247">
          <a:extLst>
            <a:ext uri="{FF2B5EF4-FFF2-40B4-BE49-F238E27FC236}">
              <a16:creationId xmlns:a16="http://schemas.microsoft.com/office/drawing/2014/main" id="{00000000-0008-0000-1A00-0000F6010000}"/>
            </a:ext>
          </a:extLst>
        </xdr:cNvPr>
        <xdr:cNvSpPr>
          <a:spLocks noChangeShapeType="1"/>
        </xdr:cNvSpPr>
      </xdr:nvSpPr>
      <xdr:spPr bwMode="auto">
        <a:xfrm flipH="1">
          <a:off x="12728124" y="5978980"/>
          <a:ext cx="189139" cy="0"/>
        </a:xfrm>
        <a:prstGeom prst="line">
          <a:avLst/>
        </a:prstGeom>
        <a:noFill/>
        <a:ln w="17145">
          <a:solidFill>
            <a:srgbClr val="000000"/>
          </a:solidFill>
          <a:round/>
          <a:headEnd/>
          <a:tailEnd/>
        </a:ln>
      </xdr:spPr>
    </xdr:sp>
    <xdr:clientData/>
  </xdr:twoCellAnchor>
  <xdr:twoCellAnchor>
    <xdr:from>
      <xdr:col>47</xdr:col>
      <xdr:colOff>54429</xdr:colOff>
      <xdr:row>11</xdr:row>
      <xdr:rowOff>117020</xdr:rowOff>
    </xdr:from>
    <xdr:to>
      <xdr:col>57</xdr:col>
      <xdr:colOff>244929</xdr:colOff>
      <xdr:row>37</xdr:row>
      <xdr:rowOff>13607</xdr:rowOff>
    </xdr:to>
    <xdr:sp macro="" textlink="">
      <xdr:nvSpPr>
        <xdr:cNvPr id="507" name="Rectangle 251">
          <a:extLst>
            <a:ext uri="{FF2B5EF4-FFF2-40B4-BE49-F238E27FC236}">
              <a16:creationId xmlns:a16="http://schemas.microsoft.com/office/drawing/2014/main" id="{00000000-0008-0000-1A00-0000FB010000}"/>
            </a:ext>
          </a:extLst>
        </xdr:cNvPr>
        <xdr:cNvSpPr>
          <a:spLocks noChangeArrowheads="1"/>
        </xdr:cNvSpPr>
      </xdr:nvSpPr>
      <xdr:spPr bwMode="auto">
        <a:xfrm>
          <a:off x="8693604" y="2564945"/>
          <a:ext cx="2857500" cy="5344887"/>
        </a:xfrm>
        <a:prstGeom prst="rect">
          <a:avLst/>
        </a:prstGeom>
        <a:noFill/>
        <a:ln w="9525">
          <a:solidFill>
            <a:srgbClr val="000000"/>
          </a:solidFill>
          <a:prstDash val="lgDashDotDot"/>
          <a:miter lim="800000"/>
          <a:headEnd/>
          <a:tailEnd/>
        </a:ln>
      </xdr:spPr>
    </xdr:sp>
    <xdr:clientData/>
  </xdr:twoCellAnchor>
  <xdr:oneCellAnchor>
    <xdr:from>
      <xdr:col>65</xdr:col>
      <xdr:colOff>135043</xdr:colOff>
      <xdr:row>40</xdr:row>
      <xdr:rowOff>45334</xdr:rowOff>
    </xdr:from>
    <xdr:ext cx="1365175" cy="178409"/>
    <xdr:sp macro="" textlink="">
      <xdr:nvSpPr>
        <xdr:cNvPr id="508" name="Rectangle 179">
          <a:extLst>
            <a:ext uri="{FF2B5EF4-FFF2-40B4-BE49-F238E27FC236}">
              <a16:creationId xmlns:a16="http://schemas.microsoft.com/office/drawing/2014/main" id="{00000000-0008-0000-1A00-0000FC010000}"/>
            </a:ext>
          </a:extLst>
        </xdr:cNvPr>
        <xdr:cNvSpPr>
          <a:spLocks noChangeArrowheads="1"/>
        </xdr:cNvSpPr>
      </xdr:nvSpPr>
      <xdr:spPr bwMode="auto">
        <a:xfrm>
          <a:off x="13574818" y="8570209"/>
          <a:ext cx="1365175" cy="178409"/>
        </a:xfrm>
        <a:prstGeom prst="rect">
          <a:avLst/>
        </a:prstGeom>
        <a:solidFill>
          <a:srgbClr val="FFFFFF"/>
        </a:solidFill>
        <a:ln w="9525">
          <a:noFill/>
          <a:miter lim="800000"/>
          <a:headEnd/>
          <a:tailEnd/>
        </a:ln>
      </xdr:spPr>
      <xdr:txBody>
        <a:bodyPr wrap="none" lIns="11585" tIns="5792" rIns="11585" bIns="5792" anchor="ctr" upright="1">
          <a:spAutoFit/>
        </a:bodyPr>
        <a:lstStyle/>
        <a:p>
          <a:pPr algn="ctr" rtl="1">
            <a:defRPr sz="1000"/>
          </a:pPr>
          <a:r>
            <a:rPr lang="en-US" altLang="ko-KR" sz="1000" b="1" i="0" strike="noStrike">
              <a:solidFill>
                <a:sysClr val="windowText" lastClr="000000"/>
              </a:solidFill>
              <a:latin typeface="굴림"/>
              <a:ea typeface="굴림"/>
            </a:rPr>
            <a:t>PDAS(</a:t>
          </a:r>
          <a:r>
            <a:rPr lang="ko-KR" altLang="en-US" sz="1000" b="1" i="0" strike="noStrike">
              <a:solidFill>
                <a:sysClr val="windowText" lastClr="000000"/>
              </a:solidFill>
              <a:latin typeface="굴림"/>
              <a:ea typeface="굴림"/>
            </a:rPr>
            <a:t>데이터수집장치</a:t>
          </a:r>
          <a:r>
            <a:rPr lang="en-US" altLang="ko-KR" sz="1000" b="1" i="0" strike="noStrike">
              <a:solidFill>
                <a:sysClr val="windowText" lastClr="000000"/>
              </a:solidFill>
              <a:latin typeface="굴림"/>
              <a:ea typeface="굴림"/>
            </a:rPr>
            <a:t>)</a:t>
          </a:r>
        </a:p>
      </xdr:txBody>
    </xdr:sp>
    <xdr:clientData/>
  </xdr:oneCellAnchor>
  <xdr:twoCellAnchor>
    <xdr:from>
      <xdr:col>47</xdr:col>
      <xdr:colOff>59531</xdr:colOff>
      <xdr:row>37</xdr:row>
      <xdr:rowOff>68035</xdr:rowOff>
    </xdr:from>
    <xdr:to>
      <xdr:col>77</xdr:col>
      <xdr:colOff>40822</xdr:colOff>
      <xdr:row>57</xdr:row>
      <xdr:rowOff>163285</xdr:rowOff>
    </xdr:to>
    <xdr:sp macro="" textlink="">
      <xdr:nvSpPr>
        <xdr:cNvPr id="509" name="Rectangle 251">
          <a:extLst>
            <a:ext uri="{FF2B5EF4-FFF2-40B4-BE49-F238E27FC236}">
              <a16:creationId xmlns:a16="http://schemas.microsoft.com/office/drawing/2014/main" id="{00000000-0008-0000-1A00-0000FD010000}"/>
            </a:ext>
          </a:extLst>
        </xdr:cNvPr>
        <xdr:cNvSpPr>
          <a:spLocks noChangeArrowheads="1"/>
        </xdr:cNvSpPr>
      </xdr:nvSpPr>
      <xdr:spPr bwMode="auto">
        <a:xfrm>
          <a:off x="8698706" y="7964260"/>
          <a:ext cx="7982291" cy="4286250"/>
        </a:xfrm>
        <a:prstGeom prst="rect">
          <a:avLst/>
        </a:prstGeom>
        <a:noFill/>
        <a:ln w="9525">
          <a:solidFill>
            <a:srgbClr val="000000"/>
          </a:solidFill>
          <a:prstDash val="lgDashDotDot"/>
          <a:miter lim="800000"/>
          <a:headEnd/>
          <a:tailEnd/>
        </a:ln>
      </xdr:spPr>
    </xdr:sp>
    <xdr:clientData/>
  </xdr:twoCellAnchor>
  <xdr:oneCellAnchor>
    <xdr:from>
      <xdr:col>64</xdr:col>
      <xdr:colOff>185789</xdr:colOff>
      <xdr:row>37</xdr:row>
      <xdr:rowOff>36015</xdr:rowOff>
    </xdr:from>
    <xdr:ext cx="2083447" cy="211752"/>
    <xdr:sp macro="" textlink="">
      <xdr:nvSpPr>
        <xdr:cNvPr id="510" name="Rectangle 254">
          <a:extLst>
            <a:ext uri="{FF2B5EF4-FFF2-40B4-BE49-F238E27FC236}">
              <a16:creationId xmlns:a16="http://schemas.microsoft.com/office/drawing/2014/main" id="{00000000-0008-0000-1A00-0000FE010000}"/>
            </a:ext>
          </a:extLst>
        </xdr:cNvPr>
        <xdr:cNvSpPr>
          <a:spLocks noChangeArrowheads="1"/>
        </xdr:cNvSpPr>
      </xdr:nvSpPr>
      <xdr:spPr bwMode="auto">
        <a:xfrm>
          <a:off x="13358864" y="7932240"/>
          <a:ext cx="2083447" cy="211752"/>
        </a:xfrm>
        <a:prstGeom prst="rect">
          <a:avLst/>
        </a:prstGeom>
        <a:solidFill>
          <a:srgbClr val="FFFFFF"/>
        </a:solidFill>
        <a:ln w="9525">
          <a:noFill/>
          <a:miter lim="800000"/>
          <a:headEnd/>
          <a:tailEnd/>
        </a:ln>
      </xdr:spPr>
      <xdr:txBody>
        <a:bodyPr wrap="none" lIns="11585" tIns="5792" rIns="11585" bIns="5792" anchor="ctr" upright="1">
          <a:spAutoFit/>
        </a:bodyPr>
        <a:lstStyle/>
        <a:p>
          <a:pPr algn="ctr" rtl="1">
            <a:defRPr sz="1000"/>
          </a:pPr>
          <a:r>
            <a:rPr lang="en-US" altLang="ko-KR" sz="1200" b="0" i="0" strike="noStrike">
              <a:solidFill>
                <a:sysClr val="windowText" lastClr="000000"/>
              </a:solidFill>
              <a:latin typeface="굴림"/>
              <a:ea typeface="굴림"/>
            </a:rPr>
            <a:t>PDAS(</a:t>
          </a:r>
          <a:r>
            <a:rPr lang="ko-KR" altLang="en-US" sz="1200" b="0" i="0" strike="noStrike">
              <a:solidFill>
                <a:sysClr val="windowText" lastClr="000000"/>
              </a:solidFill>
              <a:latin typeface="굴림"/>
              <a:ea typeface="굴림"/>
            </a:rPr>
            <a:t>데이터원격취득시스템</a:t>
          </a:r>
          <a:r>
            <a:rPr lang="en-US" altLang="ko-KR" sz="1200" b="0" i="0" strike="noStrike">
              <a:solidFill>
                <a:sysClr val="windowText" lastClr="000000"/>
              </a:solidFill>
              <a:latin typeface="굴림"/>
              <a:ea typeface="굴림"/>
            </a:rPr>
            <a:t>)</a:t>
          </a:r>
          <a:endParaRPr lang="ko-KR" altLang="en-US" sz="1200" b="0" i="0" strike="noStrike">
            <a:solidFill>
              <a:sysClr val="windowText" lastClr="000000"/>
            </a:solidFill>
            <a:latin typeface="굴림"/>
            <a:ea typeface="굴림"/>
          </a:endParaRPr>
        </a:p>
      </xdr:txBody>
    </xdr:sp>
    <xdr:clientData/>
  </xdr:oneCellAnchor>
  <xdr:twoCellAnchor>
    <xdr:from>
      <xdr:col>47</xdr:col>
      <xdr:colOff>242206</xdr:colOff>
      <xdr:row>14</xdr:row>
      <xdr:rowOff>136071</xdr:rowOff>
    </xdr:from>
    <xdr:to>
      <xdr:col>53</xdr:col>
      <xdr:colOff>185055</xdr:colOff>
      <xdr:row>16</xdr:row>
      <xdr:rowOff>148318</xdr:rowOff>
    </xdr:to>
    <xdr:pic>
      <xdr:nvPicPr>
        <xdr:cNvPr id="511" name="Picture 62" descr="허브">
          <a:extLst>
            <a:ext uri="{FF2B5EF4-FFF2-40B4-BE49-F238E27FC236}">
              <a16:creationId xmlns:a16="http://schemas.microsoft.com/office/drawing/2014/main" id="{00000000-0008-0000-1A00-0000FF01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8881381" y="3212646"/>
          <a:ext cx="1543049" cy="431347"/>
        </a:xfrm>
        <a:prstGeom prst="rect">
          <a:avLst/>
        </a:prstGeom>
        <a:noFill/>
        <a:ln w="9525">
          <a:noFill/>
          <a:miter lim="800000"/>
          <a:headEnd/>
          <a:tailEnd/>
        </a:ln>
      </xdr:spPr>
    </xdr:pic>
    <xdr:clientData/>
  </xdr:twoCellAnchor>
  <xdr:twoCellAnchor>
    <xdr:from>
      <xdr:col>58</xdr:col>
      <xdr:colOff>136072</xdr:colOff>
      <xdr:row>38</xdr:row>
      <xdr:rowOff>136072</xdr:rowOff>
    </xdr:from>
    <xdr:to>
      <xdr:col>58</xdr:col>
      <xdr:colOff>136072</xdr:colOff>
      <xdr:row>43</xdr:row>
      <xdr:rowOff>190500</xdr:rowOff>
    </xdr:to>
    <xdr:sp macro="" textlink="">
      <xdr:nvSpPr>
        <xdr:cNvPr id="512" name="Line 5">
          <a:extLst>
            <a:ext uri="{FF2B5EF4-FFF2-40B4-BE49-F238E27FC236}">
              <a16:creationId xmlns:a16="http://schemas.microsoft.com/office/drawing/2014/main" id="{00000000-0008-0000-1A00-000000020000}"/>
            </a:ext>
          </a:extLst>
        </xdr:cNvPr>
        <xdr:cNvSpPr>
          <a:spLocks noChangeShapeType="1"/>
        </xdr:cNvSpPr>
      </xdr:nvSpPr>
      <xdr:spPr bwMode="auto">
        <a:xfrm>
          <a:off x="11708947" y="8241847"/>
          <a:ext cx="0" cy="1102178"/>
        </a:xfrm>
        <a:prstGeom prst="line">
          <a:avLst/>
        </a:prstGeom>
        <a:noFill/>
        <a:ln w="9525">
          <a:solidFill>
            <a:srgbClr val="000000"/>
          </a:solidFill>
          <a:prstDash val="lgDash"/>
          <a:round/>
          <a:headEnd/>
          <a:tailEnd/>
        </a:ln>
      </xdr:spPr>
    </xdr:sp>
    <xdr:clientData/>
  </xdr:twoCellAnchor>
  <xdr:twoCellAnchor>
    <xdr:from>
      <xdr:col>69</xdr:col>
      <xdr:colOff>248043</xdr:colOff>
      <xdr:row>38</xdr:row>
      <xdr:rowOff>138939</xdr:rowOff>
    </xdr:from>
    <xdr:to>
      <xdr:col>69</xdr:col>
      <xdr:colOff>248043</xdr:colOff>
      <xdr:row>43</xdr:row>
      <xdr:rowOff>168089</xdr:rowOff>
    </xdr:to>
    <xdr:sp macro="" textlink="">
      <xdr:nvSpPr>
        <xdr:cNvPr id="513" name="Line 5">
          <a:extLst>
            <a:ext uri="{FF2B5EF4-FFF2-40B4-BE49-F238E27FC236}">
              <a16:creationId xmlns:a16="http://schemas.microsoft.com/office/drawing/2014/main" id="{00000000-0008-0000-1A00-000001020000}"/>
            </a:ext>
          </a:extLst>
        </xdr:cNvPr>
        <xdr:cNvSpPr>
          <a:spLocks noChangeShapeType="1"/>
        </xdr:cNvSpPr>
      </xdr:nvSpPr>
      <xdr:spPr bwMode="auto">
        <a:xfrm>
          <a:off x="14754618" y="8244714"/>
          <a:ext cx="0" cy="1076900"/>
        </a:xfrm>
        <a:prstGeom prst="line">
          <a:avLst/>
        </a:prstGeom>
        <a:noFill/>
        <a:ln w="9525">
          <a:solidFill>
            <a:srgbClr val="000000"/>
          </a:solidFill>
          <a:prstDash val="lgDash"/>
          <a:round/>
          <a:headEnd/>
          <a:tailEnd/>
        </a:ln>
      </xdr:spPr>
    </xdr:sp>
    <xdr:clientData/>
  </xdr:twoCellAnchor>
  <xdr:twoCellAnchor>
    <xdr:from>
      <xdr:col>58</xdr:col>
      <xdr:colOff>167551</xdr:colOff>
      <xdr:row>38</xdr:row>
      <xdr:rowOff>141806</xdr:rowOff>
    </xdr:from>
    <xdr:to>
      <xdr:col>69</xdr:col>
      <xdr:colOff>245418</xdr:colOff>
      <xdr:row>38</xdr:row>
      <xdr:rowOff>141806</xdr:rowOff>
    </xdr:to>
    <xdr:sp macro="" textlink="">
      <xdr:nvSpPr>
        <xdr:cNvPr id="514" name="Line 5">
          <a:extLst>
            <a:ext uri="{FF2B5EF4-FFF2-40B4-BE49-F238E27FC236}">
              <a16:creationId xmlns:a16="http://schemas.microsoft.com/office/drawing/2014/main" id="{00000000-0008-0000-1A00-000002020000}"/>
            </a:ext>
          </a:extLst>
        </xdr:cNvPr>
        <xdr:cNvSpPr>
          <a:spLocks noChangeShapeType="1"/>
        </xdr:cNvSpPr>
      </xdr:nvSpPr>
      <xdr:spPr bwMode="auto">
        <a:xfrm rot="5400000">
          <a:off x="13246210" y="6741797"/>
          <a:ext cx="0" cy="3011567"/>
        </a:xfrm>
        <a:prstGeom prst="line">
          <a:avLst/>
        </a:prstGeom>
        <a:noFill/>
        <a:ln w="9525">
          <a:solidFill>
            <a:srgbClr val="000000"/>
          </a:solidFill>
          <a:prstDash val="lgDash"/>
          <a:round/>
          <a:headEnd/>
          <a:tailEnd/>
        </a:ln>
      </xdr:spPr>
    </xdr:sp>
    <xdr:clientData/>
  </xdr:twoCellAnchor>
  <xdr:twoCellAnchor>
    <xdr:from>
      <xdr:col>80</xdr:col>
      <xdr:colOff>68035</xdr:colOff>
      <xdr:row>9</xdr:row>
      <xdr:rowOff>107758</xdr:rowOff>
    </xdr:from>
    <xdr:to>
      <xdr:col>93</xdr:col>
      <xdr:colOff>130578</xdr:colOff>
      <xdr:row>29</xdr:row>
      <xdr:rowOff>58063</xdr:rowOff>
    </xdr:to>
    <xdr:sp macro="" textlink="">
      <xdr:nvSpPr>
        <xdr:cNvPr id="515" name="직사각형 514">
          <a:extLst>
            <a:ext uri="{FF2B5EF4-FFF2-40B4-BE49-F238E27FC236}">
              <a16:creationId xmlns:a16="http://schemas.microsoft.com/office/drawing/2014/main" id="{00000000-0008-0000-1A00-000003020000}"/>
            </a:ext>
          </a:extLst>
        </xdr:cNvPr>
        <xdr:cNvSpPr/>
      </xdr:nvSpPr>
      <xdr:spPr>
        <a:xfrm>
          <a:off x="17222560" y="2136583"/>
          <a:ext cx="3529643" cy="4141305"/>
        </a:xfrm>
        <a:prstGeom prst="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ko-KR"/>
          </a:defPPr>
          <a:lvl1pPr marL="0" algn="l" defTabSz="914400" rtl="0" eaLnBrk="1" latinLnBrk="1" hangingPunct="1">
            <a:defRPr sz="1800" kern="1200">
              <a:solidFill>
                <a:schemeClr val="dk1"/>
              </a:solidFill>
              <a:latin typeface="+mn-lt"/>
              <a:ea typeface="+mn-ea"/>
              <a:cs typeface="+mn-cs"/>
            </a:defRPr>
          </a:lvl1pPr>
          <a:lvl2pPr marL="457200" algn="l" defTabSz="914400" rtl="0" eaLnBrk="1" latinLnBrk="1" hangingPunct="1">
            <a:defRPr sz="1800" kern="1200">
              <a:solidFill>
                <a:schemeClr val="dk1"/>
              </a:solidFill>
              <a:latin typeface="+mn-lt"/>
              <a:ea typeface="+mn-ea"/>
              <a:cs typeface="+mn-cs"/>
            </a:defRPr>
          </a:lvl2pPr>
          <a:lvl3pPr marL="914400" algn="l" defTabSz="914400" rtl="0" eaLnBrk="1" latinLnBrk="1" hangingPunct="1">
            <a:defRPr sz="1800" kern="1200">
              <a:solidFill>
                <a:schemeClr val="dk1"/>
              </a:solidFill>
              <a:latin typeface="+mn-lt"/>
              <a:ea typeface="+mn-ea"/>
              <a:cs typeface="+mn-cs"/>
            </a:defRPr>
          </a:lvl3pPr>
          <a:lvl4pPr marL="1371600" algn="l" defTabSz="914400" rtl="0" eaLnBrk="1" latinLnBrk="1" hangingPunct="1">
            <a:defRPr sz="1800" kern="1200">
              <a:solidFill>
                <a:schemeClr val="dk1"/>
              </a:solidFill>
              <a:latin typeface="+mn-lt"/>
              <a:ea typeface="+mn-ea"/>
              <a:cs typeface="+mn-cs"/>
            </a:defRPr>
          </a:lvl4pPr>
          <a:lvl5pPr marL="1828800" algn="l" defTabSz="914400" rtl="0" eaLnBrk="1" latinLnBrk="1" hangingPunct="1">
            <a:defRPr sz="1800" kern="1200">
              <a:solidFill>
                <a:schemeClr val="dk1"/>
              </a:solidFill>
              <a:latin typeface="+mn-lt"/>
              <a:ea typeface="+mn-ea"/>
              <a:cs typeface="+mn-cs"/>
            </a:defRPr>
          </a:lvl5pPr>
          <a:lvl6pPr marL="2286000" algn="l" defTabSz="914400" rtl="0" eaLnBrk="1" latinLnBrk="1" hangingPunct="1">
            <a:defRPr sz="1800" kern="1200">
              <a:solidFill>
                <a:schemeClr val="dk1"/>
              </a:solidFill>
              <a:latin typeface="+mn-lt"/>
              <a:ea typeface="+mn-ea"/>
              <a:cs typeface="+mn-cs"/>
            </a:defRPr>
          </a:lvl6pPr>
          <a:lvl7pPr marL="2743200" algn="l" defTabSz="914400" rtl="0" eaLnBrk="1" latinLnBrk="1" hangingPunct="1">
            <a:defRPr sz="1800" kern="1200">
              <a:solidFill>
                <a:schemeClr val="dk1"/>
              </a:solidFill>
              <a:latin typeface="+mn-lt"/>
              <a:ea typeface="+mn-ea"/>
              <a:cs typeface="+mn-cs"/>
            </a:defRPr>
          </a:lvl7pPr>
          <a:lvl8pPr marL="3200400" algn="l" defTabSz="914400" rtl="0" eaLnBrk="1" latinLnBrk="1" hangingPunct="1">
            <a:defRPr sz="1800" kern="1200">
              <a:solidFill>
                <a:schemeClr val="dk1"/>
              </a:solidFill>
              <a:latin typeface="+mn-lt"/>
              <a:ea typeface="+mn-ea"/>
              <a:cs typeface="+mn-cs"/>
            </a:defRPr>
          </a:lvl8pPr>
          <a:lvl9pPr marL="3657600" algn="l" defTabSz="914400" rtl="0" eaLnBrk="1" latinLnBrk="1" hangingPunct="1">
            <a:defRPr sz="1800" kern="1200">
              <a:solidFill>
                <a:schemeClr val="dk1"/>
              </a:solidFill>
              <a:latin typeface="+mn-lt"/>
              <a:ea typeface="+mn-ea"/>
              <a:cs typeface="+mn-cs"/>
            </a:defRPr>
          </a:lvl9pPr>
        </a:lstStyle>
        <a:p>
          <a:pPr algn="ctr"/>
          <a:endParaRPr lang="ko-KR" altLang="en-US"/>
        </a:p>
      </xdr:txBody>
    </xdr:sp>
    <xdr:clientData/>
  </xdr:twoCellAnchor>
  <xdr:twoCellAnchor>
    <xdr:from>
      <xdr:col>84</xdr:col>
      <xdr:colOff>1754</xdr:colOff>
      <xdr:row>19</xdr:row>
      <xdr:rowOff>1269</xdr:rowOff>
    </xdr:from>
    <xdr:to>
      <xdr:col>89</xdr:col>
      <xdr:colOff>166687</xdr:colOff>
      <xdr:row>27</xdr:row>
      <xdr:rowOff>89647</xdr:rowOff>
    </xdr:to>
    <xdr:sp macro="" textlink="">
      <xdr:nvSpPr>
        <xdr:cNvPr id="516" name="TextBox 3">
          <a:extLst>
            <a:ext uri="{FF2B5EF4-FFF2-40B4-BE49-F238E27FC236}">
              <a16:creationId xmlns:a16="http://schemas.microsoft.com/office/drawing/2014/main" id="{00000000-0008-0000-1A00-000004020000}"/>
            </a:ext>
          </a:extLst>
        </xdr:cNvPr>
        <xdr:cNvSpPr txBox="1"/>
      </xdr:nvSpPr>
      <xdr:spPr>
        <a:xfrm>
          <a:off x="17884942" y="4382769"/>
          <a:ext cx="1474620" cy="1802878"/>
        </a:xfrm>
        <a:prstGeom prst="rect">
          <a:avLst/>
        </a:prstGeom>
      </xdr:spPr>
      <xdr:style>
        <a:lnRef idx="1">
          <a:schemeClr val="accent1"/>
        </a:lnRef>
        <a:fillRef idx="2">
          <a:schemeClr val="accent1"/>
        </a:fillRef>
        <a:effectRef idx="1">
          <a:schemeClr val="accent1"/>
        </a:effectRef>
        <a:fontRef idx="minor">
          <a:schemeClr val="dk1"/>
        </a:fontRef>
      </xdr:style>
      <xdr:txBody>
        <a:bodyPr wrap="square" rtlCol="0">
          <a:noAutofit/>
        </a:bodyPr>
        <a:lstStyle>
          <a:defPPr>
            <a:defRPr lang="ko-KR"/>
          </a:defPPr>
          <a:lvl1pPr marL="0" algn="l" defTabSz="914400" rtl="0" eaLnBrk="1" latinLnBrk="1" hangingPunct="1">
            <a:defRPr sz="1800" kern="1200">
              <a:solidFill>
                <a:schemeClr val="dk1"/>
              </a:solidFill>
              <a:latin typeface="+mn-lt"/>
              <a:ea typeface="+mn-ea"/>
              <a:cs typeface="+mn-cs"/>
            </a:defRPr>
          </a:lvl1pPr>
          <a:lvl2pPr marL="457200" algn="l" defTabSz="914400" rtl="0" eaLnBrk="1" latinLnBrk="1" hangingPunct="1">
            <a:defRPr sz="1800" kern="1200">
              <a:solidFill>
                <a:schemeClr val="dk1"/>
              </a:solidFill>
              <a:latin typeface="+mn-lt"/>
              <a:ea typeface="+mn-ea"/>
              <a:cs typeface="+mn-cs"/>
            </a:defRPr>
          </a:lvl2pPr>
          <a:lvl3pPr marL="914400" algn="l" defTabSz="914400" rtl="0" eaLnBrk="1" latinLnBrk="1" hangingPunct="1">
            <a:defRPr sz="1800" kern="1200">
              <a:solidFill>
                <a:schemeClr val="dk1"/>
              </a:solidFill>
              <a:latin typeface="+mn-lt"/>
              <a:ea typeface="+mn-ea"/>
              <a:cs typeface="+mn-cs"/>
            </a:defRPr>
          </a:lvl3pPr>
          <a:lvl4pPr marL="1371600" algn="l" defTabSz="914400" rtl="0" eaLnBrk="1" latinLnBrk="1" hangingPunct="1">
            <a:defRPr sz="1800" kern="1200">
              <a:solidFill>
                <a:schemeClr val="dk1"/>
              </a:solidFill>
              <a:latin typeface="+mn-lt"/>
              <a:ea typeface="+mn-ea"/>
              <a:cs typeface="+mn-cs"/>
            </a:defRPr>
          </a:lvl4pPr>
          <a:lvl5pPr marL="1828800" algn="l" defTabSz="914400" rtl="0" eaLnBrk="1" latinLnBrk="1" hangingPunct="1">
            <a:defRPr sz="1800" kern="1200">
              <a:solidFill>
                <a:schemeClr val="dk1"/>
              </a:solidFill>
              <a:latin typeface="+mn-lt"/>
              <a:ea typeface="+mn-ea"/>
              <a:cs typeface="+mn-cs"/>
            </a:defRPr>
          </a:lvl5pPr>
          <a:lvl6pPr marL="2286000" algn="l" defTabSz="914400" rtl="0" eaLnBrk="1" latinLnBrk="1" hangingPunct="1">
            <a:defRPr sz="1800" kern="1200">
              <a:solidFill>
                <a:schemeClr val="dk1"/>
              </a:solidFill>
              <a:latin typeface="+mn-lt"/>
              <a:ea typeface="+mn-ea"/>
              <a:cs typeface="+mn-cs"/>
            </a:defRPr>
          </a:lvl6pPr>
          <a:lvl7pPr marL="2743200" algn="l" defTabSz="914400" rtl="0" eaLnBrk="1" latinLnBrk="1" hangingPunct="1">
            <a:defRPr sz="1800" kern="1200">
              <a:solidFill>
                <a:schemeClr val="dk1"/>
              </a:solidFill>
              <a:latin typeface="+mn-lt"/>
              <a:ea typeface="+mn-ea"/>
              <a:cs typeface="+mn-cs"/>
            </a:defRPr>
          </a:lvl7pPr>
          <a:lvl8pPr marL="3200400" algn="l" defTabSz="914400" rtl="0" eaLnBrk="1" latinLnBrk="1" hangingPunct="1">
            <a:defRPr sz="1800" kern="1200">
              <a:solidFill>
                <a:schemeClr val="dk1"/>
              </a:solidFill>
              <a:latin typeface="+mn-lt"/>
              <a:ea typeface="+mn-ea"/>
              <a:cs typeface="+mn-cs"/>
            </a:defRPr>
          </a:lvl8pPr>
          <a:lvl9pPr marL="3657600" algn="l" defTabSz="914400" rtl="0" eaLnBrk="1" latinLnBrk="1" hangingPunct="1">
            <a:defRPr sz="1800" kern="1200">
              <a:solidFill>
                <a:schemeClr val="dk1"/>
              </a:solidFill>
              <a:latin typeface="+mn-lt"/>
              <a:ea typeface="+mn-ea"/>
              <a:cs typeface="+mn-cs"/>
            </a:defRPr>
          </a:lvl9pPr>
        </a:lstStyle>
        <a:p>
          <a:pPr algn="ctr"/>
          <a:r>
            <a:rPr lang="en-US" altLang="ko-KR" sz="2400"/>
            <a:t>IP</a:t>
          </a:r>
          <a:r>
            <a:rPr lang="ko-KR" altLang="en-US" sz="2400"/>
            <a:t>계통</a:t>
          </a:r>
          <a:endParaRPr lang="en-US" altLang="ko-KR" sz="2400"/>
        </a:p>
        <a:p>
          <a:pPr algn="ctr"/>
          <a:r>
            <a:rPr lang="ko-KR" altLang="en-US" sz="2400"/>
            <a:t>운영통신</a:t>
          </a:r>
          <a:endParaRPr lang="en-US" altLang="ko-KR" sz="2400"/>
        </a:p>
        <a:p>
          <a:pPr algn="ctr"/>
          <a:r>
            <a:rPr lang="ko-KR" altLang="en-US" sz="2400"/>
            <a:t>주장치</a:t>
          </a:r>
          <a:endParaRPr lang="ko-KR" altLang="en-US" sz="2000"/>
        </a:p>
      </xdr:txBody>
    </xdr:sp>
    <xdr:clientData/>
  </xdr:twoCellAnchor>
  <xdr:twoCellAnchor>
    <xdr:from>
      <xdr:col>82</xdr:col>
      <xdr:colOff>55020</xdr:colOff>
      <xdr:row>11</xdr:row>
      <xdr:rowOff>199392</xdr:rowOff>
    </xdr:from>
    <xdr:to>
      <xdr:col>91</xdr:col>
      <xdr:colOff>33002</xdr:colOff>
      <xdr:row>15</xdr:row>
      <xdr:rowOff>120970</xdr:rowOff>
    </xdr:to>
    <xdr:sp macro="" textlink="">
      <xdr:nvSpPr>
        <xdr:cNvPr id="517" name="TextBox 5">
          <a:extLst>
            <a:ext uri="{FF2B5EF4-FFF2-40B4-BE49-F238E27FC236}">
              <a16:creationId xmlns:a16="http://schemas.microsoft.com/office/drawing/2014/main" id="{00000000-0008-0000-1A00-000005020000}"/>
            </a:ext>
          </a:extLst>
        </xdr:cNvPr>
        <xdr:cNvSpPr txBox="1"/>
      </xdr:nvSpPr>
      <xdr:spPr>
        <a:xfrm>
          <a:off x="17742945" y="2647317"/>
          <a:ext cx="2378282" cy="759778"/>
        </a:xfrm>
        <a:prstGeom prst="rect">
          <a:avLst/>
        </a:prstGeom>
      </xdr:spPr>
      <xdr:style>
        <a:lnRef idx="1">
          <a:schemeClr val="accent1"/>
        </a:lnRef>
        <a:fillRef idx="2">
          <a:schemeClr val="accent1"/>
        </a:fillRef>
        <a:effectRef idx="1">
          <a:schemeClr val="accent1"/>
        </a:effectRef>
        <a:fontRef idx="minor">
          <a:schemeClr val="dk1"/>
        </a:fontRef>
      </xdr:style>
      <xdr:txBody>
        <a:bodyPr wrap="square" rtlCol="0" anchor="ctr">
          <a:spAutoFit/>
        </a:bodyPr>
        <a:lstStyle>
          <a:defPPr>
            <a:defRPr lang="ko-KR"/>
          </a:defPPr>
          <a:lvl1pPr marL="0" algn="l" defTabSz="914400" rtl="0" eaLnBrk="1" latinLnBrk="1" hangingPunct="1">
            <a:defRPr sz="1800" kern="1200">
              <a:solidFill>
                <a:schemeClr val="dk1"/>
              </a:solidFill>
              <a:latin typeface="+mn-lt"/>
              <a:ea typeface="+mn-ea"/>
              <a:cs typeface="+mn-cs"/>
            </a:defRPr>
          </a:lvl1pPr>
          <a:lvl2pPr marL="457200" algn="l" defTabSz="914400" rtl="0" eaLnBrk="1" latinLnBrk="1" hangingPunct="1">
            <a:defRPr sz="1800" kern="1200">
              <a:solidFill>
                <a:schemeClr val="dk1"/>
              </a:solidFill>
              <a:latin typeface="+mn-lt"/>
              <a:ea typeface="+mn-ea"/>
              <a:cs typeface="+mn-cs"/>
            </a:defRPr>
          </a:lvl2pPr>
          <a:lvl3pPr marL="914400" algn="l" defTabSz="914400" rtl="0" eaLnBrk="1" latinLnBrk="1" hangingPunct="1">
            <a:defRPr sz="1800" kern="1200">
              <a:solidFill>
                <a:schemeClr val="dk1"/>
              </a:solidFill>
              <a:latin typeface="+mn-lt"/>
              <a:ea typeface="+mn-ea"/>
              <a:cs typeface="+mn-cs"/>
            </a:defRPr>
          </a:lvl3pPr>
          <a:lvl4pPr marL="1371600" algn="l" defTabSz="914400" rtl="0" eaLnBrk="1" latinLnBrk="1" hangingPunct="1">
            <a:defRPr sz="1800" kern="1200">
              <a:solidFill>
                <a:schemeClr val="dk1"/>
              </a:solidFill>
              <a:latin typeface="+mn-lt"/>
              <a:ea typeface="+mn-ea"/>
              <a:cs typeface="+mn-cs"/>
            </a:defRPr>
          </a:lvl4pPr>
          <a:lvl5pPr marL="1828800" algn="l" defTabSz="914400" rtl="0" eaLnBrk="1" latinLnBrk="1" hangingPunct="1">
            <a:defRPr sz="1800" kern="1200">
              <a:solidFill>
                <a:schemeClr val="dk1"/>
              </a:solidFill>
              <a:latin typeface="+mn-lt"/>
              <a:ea typeface="+mn-ea"/>
              <a:cs typeface="+mn-cs"/>
            </a:defRPr>
          </a:lvl5pPr>
          <a:lvl6pPr marL="2286000" algn="l" defTabSz="914400" rtl="0" eaLnBrk="1" latinLnBrk="1" hangingPunct="1">
            <a:defRPr sz="1800" kern="1200">
              <a:solidFill>
                <a:schemeClr val="dk1"/>
              </a:solidFill>
              <a:latin typeface="+mn-lt"/>
              <a:ea typeface="+mn-ea"/>
              <a:cs typeface="+mn-cs"/>
            </a:defRPr>
          </a:lvl6pPr>
          <a:lvl7pPr marL="2743200" algn="l" defTabSz="914400" rtl="0" eaLnBrk="1" latinLnBrk="1" hangingPunct="1">
            <a:defRPr sz="1800" kern="1200">
              <a:solidFill>
                <a:schemeClr val="dk1"/>
              </a:solidFill>
              <a:latin typeface="+mn-lt"/>
              <a:ea typeface="+mn-ea"/>
              <a:cs typeface="+mn-cs"/>
            </a:defRPr>
          </a:lvl7pPr>
          <a:lvl8pPr marL="3200400" algn="l" defTabSz="914400" rtl="0" eaLnBrk="1" latinLnBrk="1" hangingPunct="1">
            <a:defRPr sz="1800" kern="1200">
              <a:solidFill>
                <a:schemeClr val="dk1"/>
              </a:solidFill>
              <a:latin typeface="+mn-lt"/>
              <a:ea typeface="+mn-ea"/>
              <a:cs typeface="+mn-cs"/>
            </a:defRPr>
          </a:lvl8pPr>
          <a:lvl9pPr marL="3657600" algn="l" defTabSz="914400" rtl="0" eaLnBrk="1" latinLnBrk="1" hangingPunct="1">
            <a:defRPr sz="1800" kern="1200">
              <a:solidFill>
                <a:schemeClr val="dk1"/>
              </a:solidFill>
              <a:latin typeface="+mn-lt"/>
              <a:ea typeface="+mn-ea"/>
              <a:cs typeface="+mn-cs"/>
            </a:defRPr>
          </a:lvl9pPr>
        </a:lstStyle>
        <a:p>
          <a:pPr algn="ctr"/>
          <a:r>
            <a:rPr lang="ko-KR" altLang="en-US"/>
            <a:t>송변전광단말장치 </a:t>
          </a:r>
          <a:endParaRPr lang="en-US" altLang="ko-KR"/>
        </a:p>
        <a:p>
          <a:pPr algn="ctr"/>
          <a:r>
            <a:rPr lang="en-US" altLang="ko-KR"/>
            <a:t>L3 SW</a:t>
          </a:r>
          <a:endParaRPr lang="ko-KR" altLang="en-US"/>
        </a:p>
      </xdr:txBody>
    </xdr:sp>
    <xdr:clientData/>
  </xdr:twoCellAnchor>
  <xdr:twoCellAnchor>
    <xdr:from>
      <xdr:col>96</xdr:col>
      <xdr:colOff>252370</xdr:colOff>
      <xdr:row>9</xdr:row>
      <xdr:rowOff>107758</xdr:rowOff>
    </xdr:from>
    <xdr:to>
      <xdr:col>110</xdr:col>
      <xdr:colOff>190500</xdr:colOff>
      <xdr:row>29</xdr:row>
      <xdr:rowOff>58063</xdr:rowOff>
    </xdr:to>
    <xdr:sp macro="" textlink="">
      <xdr:nvSpPr>
        <xdr:cNvPr id="518" name="직사각형 517">
          <a:extLst>
            <a:ext uri="{FF2B5EF4-FFF2-40B4-BE49-F238E27FC236}">
              <a16:creationId xmlns:a16="http://schemas.microsoft.com/office/drawing/2014/main" id="{00000000-0008-0000-1A00-000006020000}"/>
            </a:ext>
          </a:extLst>
        </xdr:cNvPr>
        <xdr:cNvSpPr/>
      </xdr:nvSpPr>
      <xdr:spPr>
        <a:xfrm>
          <a:off x="21674095" y="2136583"/>
          <a:ext cx="3671930" cy="4141305"/>
        </a:xfrm>
        <a:prstGeom prst="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ko-KR"/>
          </a:defPPr>
          <a:lvl1pPr marL="0" algn="l" defTabSz="914400" rtl="0" eaLnBrk="1" latinLnBrk="1" hangingPunct="1">
            <a:defRPr sz="1800" kern="1200">
              <a:solidFill>
                <a:schemeClr val="dk1"/>
              </a:solidFill>
              <a:latin typeface="+mn-lt"/>
              <a:ea typeface="+mn-ea"/>
              <a:cs typeface="+mn-cs"/>
            </a:defRPr>
          </a:lvl1pPr>
          <a:lvl2pPr marL="457200" algn="l" defTabSz="914400" rtl="0" eaLnBrk="1" latinLnBrk="1" hangingPunct="1">
            <a:defRPr sz="1800" kern="1200">
              <a:solidFill>
                <a:schemeClr val="dk1"/>
              </a:solidFill>
              <a:latin typeface="+mn-lt"/>
              <a:ea typeface="+mn-ea"/>
              <a:cs typeface="+mn-cs"/>
            </a:defRPr>
          </a:lvl2pPr>
          <a:lvl3pPr marL="914400" algn="l" defTabSz="914400" rtl="0" eaLnBrk="1" latinLnBrk="1" hangingPunct="1">
            <a:defRPr sz="1800" kern="1200">
              <a:solidFill>
                <a:schemeClr val="dk1"/>
              </a:solidFill>
              <a:latin typeface="+mn-lt"/>
              <a:ea typeface="+mn-ea"/>
              <a:cs typeface="+mn-cs"/>
            </a:defRPr>
          </a:lvl3pPr>
          <a:lvl4pPr marL="1371600" algn="l" defTabSz="914400" rtl="0" eaLnBrk="1" latinLnBrk="1" hangingPunct="1">
            <a:defRPr sz="1800" kern="1200">
              <a:solidFill>
                <a:schemeClr val="dk1"/>
              </a:solidFill>
              <a:latin typeface="+mn-lt"/>
              <a:ea typeface="+mn-ea"/>
              <a:cs typeface="+mn-cs"/>
            </a:defRPr>
          </a:lvl4pPr>
          <a:lvl5pPr marL="1828800" algn="l" defTabSz="914400" rtl="0" eaLnBrk="1" latinLnBrk="1" hangingPunct="1">
            <a:defRPr sz="1800" kern="1200">
              <a:solidFill>
                <a:schemeClr val="dk1"/>
              </a:solidFill>
              <a:latin typeface="+mn-lt"/>
              <a:ea typeface="+mn-ea"/>
              <a:cs typeface="+mn-cs"/>
            </a:defRPr>
          </a:lvl5pPr>
          <a:lvl6pPr marL="2286000" algn="l" defTabSz="914400" rtl="0" eaLnBrk="1" latinLnBrk="1" hangingPunct="1">
            <a:defRPr sz="1800" kern="1200">
              <a:solidFill>
                <a:schemeClr val="dk1"/>
              </a:solidFill>
              <a:latin typeface="+mn-lt"/>
              <a:ea typeface="+mn-ea"/>
              <a:cs typeface="+mn-cs"/>
            </a:defRPr>
          </a:lvl6pPr>
          <a:lvl7pPr marL="2743200" algn="l" defTabSz="914400" rtl="0" eaLnBrk="1" latinLnBrk="1" hangingPunct="1">
            <a:defRPr sz="1800" kern="1200">
              <a:solidFill>
                <a:schemeClr val="dk1"/>
              </a:solidFill>
              <a:latin typeface="+mn-lt"/>
              <a:ea typeface="+mn-ea"/>
              <a:cs typeface="+mn-cs"/>
            </a:defRPr>
          </a:lvl7pPr>
          <a:lvl8pPr marL="3200400" algn="l" defTabSz="914400" rtl="0" eaLnBrk="1" latinLnBrk="1" hangingPunct="1">
            <a:defRPr sz="1800" kern="1200">
              <a:solidFill>
                <a:schemeClr val="dk1"/>
              </a:solidFill>
              <a:latin typeface="+mn-lt"/>
              <a:ea typeface="+mn-ea"/>
              <a:cs typeface="+mn-cs"/>
            </a:defRPr>
          </a:lvl8pPr>
          <a:lvl9pPr marL="3657600" algn="l" defTabSz="914400" rtl="0" eaLnBrk="1" latinLnBrk="1" hangingPunct="1">
            <a:defRPr sz="1800" kern="1200">
              <a:solidFill>
                <a:schemeClr val="dk1"/>
              </a:solidFill>
              <a:latin typeface="+mn-lt"/>
              <a:ea typeface="+mn-ea"/>
              <a:cs typeface="+mn-cs"/>
            </a:defRPr>
          </a:lvl9pPr>
        </a:lstStyle>
        <a:p>
          <a:pPr algn="ctr"/>
          <a:endParaRPr lang="ko-KR" altLang="en-US"/>
        </a:p>
      </xdr:txBody>
    </xdr:sp>
    <xdr:clientData/>
  </xdr:twoCellAnchor>
  <xdr:twoCellAnchor>
    <xdr:from>
      <xdr:col>85</xdr:col>
      <xdr:colOff>79446</xdr:colOff>
      <xdr:row>6</xdr:row>
      <xdr:rowOff>0</xdr:rowOff>
    </xdr:from>
    <xdr:to>
      <xdr:col>88</xdr:col>
      <xdr:colOff>140181</xdr:colOff>
      <xdr:row>8</xdr:row>
      <xdr:rowOff>83202</xdr:rowOff>
    </xdr:to>
    <xdr:sp macro="" textlink="">
      <xdr:nvSpPr>
        <xdr:cNvPr id="519" name="TextBox 8">
          <a:extLst>
            <a:ext uri="{FF2B5EF4-FFF2-40B4-BE49-F238E27FC236}">
              <a16:creationId xmlns:a16="http://schemas.microsoft.com/office/drawing/2014/main" id="{00000000-0008-0000-1A00-000007020000}"/>
            </a:ext>
          </a:extLst>
        </xdr:cNvPr>
        <xdr:cNvSpPr txBox="1"/>
      </xdr:nvSpPr>
      <xdr:spPr>
        <a:xfrm>
          <a:off x="18567471" y="1400175"/>
          <a:ext cx="860835" cy="502302"/>
        </a:xfrm>
        <a:prstGeom prst="rect">
          <a:avLst/>
        </a:prstGeom>
      </xdr:spPr>
      <xdr:style>
        <a:lnRef idx="1">
          <a:schemeClr val="accent1"/>
        </a:lnRef>
        <a:fillRef idx="2">
          <a:schemeClr val="accent1"/>
        </a:fillRef>
        <a:effectRef idx="1">
          <a:schemeClr val="accent1"/>
        </a:effectRef>
        <a:fontRef idx="minor">
          <a:schemeClr val="dk1"/>
        </a:fontRef>
      </xdr:style>
      <xdr:txBody>
        <a:bodyPr wrap="square" rtlCol="0" anchor="ctr">
          <a:spAutoFit/>
        </a:bodyPr>
        <a:lstStyle>
          <a:defPPr>
            <a:defRPr lang="ko-KR"/>
          </a:defPPr>
          <a:lvl1pPr marL="0" algn="l" defTabSz="914400" rtl="0" eaLnBrk="1" latinLnBrk="1" hangingPunct="1">
            <a:defRPr sz="1800" kern="1200">
              <a:solidFill>
                <a:schemeClr val="dk1"/>
              </a:solidFill>
              <a:latin typeface="+mn-lt"/>
              <a:ea typeface="+mn-ea"/>
              <a:cs typeface="+mn-cs"/>
            </a:defRPr>
          </a:lvl1pPr>
          <a:lvl2pPr marL="457200" algn="l" defTabSz="914400" rtl="0" eaLnBrk="1" latinLnBrk="1" hangingPunct="1">
            <a:defRPr sz="1800" kern="1200">
              <a:solidFill>
                <a:schemeClr val="dk1"/>
              </a:solidFill>
              <a:latin typeface="+mn-lt"/>
              <a:ea typeface="+mn-ea"/>
              <a:cs typeface="+mn-cs"/>
            </a:defRPr>
          </a:lvl2pPr>
          <a:lvl3pPr marL="914400" algn="l" defTabSz="914400" rtl="0" eaLnBrk="1" latinLnBrk="1" hangingPunct="1">
            <a:defRPr sz="1800" kern="1200">
              <a:solidFill>
                <a:schemeClr val="dk1"/>
              </a:solidFill>
              <a:latin typeface="+mn-lt"/>
              <a:ea typeface="+mn-ea"/>
              <a:cs typeface="+mn-cs"/>
            </a:defRPr>
          </a:lvl3pPr>
          <a:lvl4pPr marL="1371600" algn="l" defTabSz="914400" rtl="0" eaLnBrk="1" latinLnBrk="1" hangingPunct="1">
            <a:defRPr sz="1800" kern="1200">
              <a:solidFill>
                <a:schemeClr val="dk1"/>
              </a:solidFill>
              <a:latin typeface="+mn-lt"/>
              <a:ea typeface="+mn-ea"/>
              <a:cs typeface="+mn-cs"/>
            </a:defRPr>
          </a:lvl4pPr>
          <a:lvl5pPr marL="1828800" algn="l" defTabSz="914400" rtl="0" eaLnBrk="1" latinLnBrk="1" hangingPunct="1">
            <a:defRPr sz="1800" kern="1200">
              <a:solidFill>
                <a:schemeClr val="dk1"/>
              </a:solidFill>
              <a:latin typeface="+mn-lt"/>
              <a:ea typeface="+mn-ea"/>
              <a:cs typeface="+mn-cs"/>
            </a:defRPr>
          </a:lvl5pPr>
          <a:lvl6pPr marL="2286000" algn="l" defTabSz="914400" rtl="0" eaLnBrk="1" latinLnBrk="1" hangingPunct="1">
            <a:defRPr sz="1800" kern="1200">
              <a:solidFill>
                <a:schemeClr val="dk1"/>
              </a:solidFill>
              <a:latin typeface="+mn-lt"/>
              <a:ea typeface="+mn-ea"/>
              <a:cs typeface="+mn-cs"/>
            </a:defRPr>
          </a:lvl6pPr>
          <a:lvl7pPr marL="2743200" algn="l" defTabSz="914400" rtl="0" eaLnBrk="1" latinLnBrk="1" hangingPunct="1">
            <a:defRPr sz="1800" kern="1200">
              <a:solidFill>
                <a:schemeClr val="dk1"/>
              </a:solidFill>
              <a:latin typeface="+mn-lt"/>
              <a:ea typeface="+mn-ea"/>
              <a:cs typeface="+mn-cs"/>
            </a:defRPr>
          </a:lvl7pPr>
          <a:lvl8pPr marL="3200400" algn="l" defTabSz="914400" rtl="0" eaLnBrk="1" latinLnBrk="1" hangingPunct="1">
            <a:defRPr sz="1800" kern="1200">
              <a:solidFill>
                <a:schemeClr val="dk1"/>
              </a:solidFill>
              <a:latin typeface="+mn-lt"/>
              <a:ea typeface="+mn-ea"/>
              <a:cs typeface="+mn-cs"/>
            </a:defRPr>
          </a:lvl8pPr>
          <a:lvl9pPr marL="3657600" algn="l" defTabSz="914400" rtl="0" eaLnBrk="1" latinLnBrk="1" hangingPunct="1">
            <a:defRPr sz="1800" kern="1200">
              <a:solidFill>
                <a:schemeClr val="dk1"/>
              </a:solidFill>
              <a:latin typeface="+mn-lt"/>
              <a:ea typeface="+mn-ea"/>
              <a:cs typeface="+mn-cs"/>
            </a:defRPr>
          </a:lvl9pPr>
        </a:lstStyle>
        <a:p>
          <a:pPr algn="ctr"/>
          <a:r>
            <a:rPr lang="en-US" altLang="ko-KR"/>
            <a:t>ICT</a:t>
          </a:r>
          <a:r>
            <a:rPr lang="ko-KR" altLang="en-US"/>
            <a:t>실</a:t>
          </a:r>
        </a:p>
      </xdr:txBody>
    </xdr:sp>
    <xdr:clientData/>
  </xdr:twoCellAnchor>
  <xdr:twoCellAnchor>
    <xdr:from>
      <xdr:col>101</xdr:col>
      <xdr:colOff>157139</xdr:colOff>
      <xdr:row>6</xdr:row>
      <xdr:rowOff>0</xdr:rowOff>
    </xdr:from>
    <xdr:to>
      <xdr:col>105</xdr:col>
      <xdr:colOff>154781</xdr:colOff>
      <xdr:row>8</xdr:row>
      <xdr:rowOff>83202</xdr:rowOff>
    </xdr:to>
    <xdr:sp macro="" textlink="">
      <xdr:nvSpPr>
        <xdr:cNvPr id="520" name="TextBox 9">
          <a:extLst>
            <a:ext uri="{FF2B5EF4-FFF2-40B4-BE49-F238E27FC236}">
              <a16:creationId xmlns:a16="http://schemas.microsoft.com/office/drawing/2014/main" id="{00000000-0008-0000-1A00-000008020000}"/>
            </a:ext>
          </a:extLst>
        </xdr:cNvPr>
        <xdr:cNvSpPr txBox="1"/>
      </xdr:nvSpPr>
      <xdr:spPr>
        <a:xfrm>
          <a:off x="22912364" y="1400175"/>
          <a:ext cx="1064442" cy="502302"/>
        </a:xfrm>
        <a:prstGeom prst="rect">
          <a:avLst/>
        </a:prstGeom>
      </xdr:spPr>
      <xdr:style>
        <a:lnRef idx="1">
          <a:schemeClr val="accent1"/>
        </a:lnRef>
        <a:fillRef idx="2">
          <a:schemeClr val="accent1"/>
        </a:fillRef>
        <a:effectRef idx="1">
          <a:schemeClr val="accent1"/>
        </a:effectRef>
        <a:fontRef idx="minor">
          <a:schemeClr val="dk1"/>
        </a:fontRef>
      </xdr:style>
      <xdr:txBody>
        <a:bodyPr wrap="square" rtlCol="0" anchor="ctr">
          <a:noAutofit/>
        </a:bodyPr>
        <a:lstStyle>
          <a:defPPr>
            <a:defRPr lang="ko-KR"/>
          </a:defPPr>
          <a:lvl1pPr marL="0" algn="l" defTabSz="914400" rtl="0" eaLnBrk="1" latinLnBrk="1" hangingPunct="1">
            <a:defRPr sz="1800" kern="1200">
              <a:solidFill>
                <a:schemeClr val="dk1"/>
              </a:solidFill>
              <a:latin typeface="+mn-lt"/>
              <a:ea typeface="+mn-ea"/>
              <a:cs typeface="+mn-cs"/>
            </a:defRPr>
          </a:lvl1pPr>
          <a:lvl2pPr marL="457200" algn="l" defTabSz="914400" rtl="0" eaLnBrk="1" latinLnBrk="1" hangingPunct="1">
            <a:defRPr sz="1800" kern="1200">
              <a:solidFill>
                <a:schemeClr val="dk1"/>
              </a:solidFill>
              <a:latin typeface="+mn-lt"/>
              <a:ea typeface="+mn-ea"/>
              <a:cs typeface="+mn-cs"/>
            </a:defRPr>
          </a:lvl2pPr>
          <a:lvl3pPr marL="914400" algn="l" defTabSz="914400" rtl="0" eaLnBrk="1" latinLnBrk="1" hangingPunct="1">
            <a:defRPr sz="1800" kern="1200">
              <a:solidFill>
                <a:schemeClr val="dk1"/>
              </a:solidFill>
              <a:latin typeface="+mn-lt"/>
              <a:ea typeface="+mn-ea"/>
              <a:cs typeface="+mn-cs"/>
            </a:defRPr>
          </a:lvl3pPr>
          <a:lvl4pPr marL="1371600" algn="l" defTabSz="914400" rtl="0" eaLnBrk="1" latinLnBrk="1" hangingPunct="1">
            <a:defRPr sz="1800" kern="1200">
              <a:solidFill>
                <a:schemeClr val="dk1"/>
              </a:solidFill>
              <a:latin typeface="+mn-lt"/>
              <a:ea typeface="+mn-ea"/>
              <a:cs typeface="+mn-cs"/>
            </a:defRPr>
          </a:lvl4pPr>
          <a:lvl5pPr marL="1828800" algn="l" defTabSz="914400" rtl="0" eaLnBrk="1" latinLnBrk="1" hangingPunct="1">
            <a:defRPr sz="1800" kern="1200">
              <a:solidFill>
                <a:schemeClr val="dk1"/>
              </a:solidFill>
              <a:latin typeface="+mn-lt"/>
              <a:ea typeface="+mn-ea"/>
              <a:cs typeface="+mn-cs"/>
            </a:defRPr>
          </a:lvl5pPr>
          <a:lvl6pPr marL="2286000" algn="l" defTabSz="914400" rtl="0" eaLnBrk="1" latinLnBrk="1" hangingPunct="1">
            <a:defRPr sz="1800" kern="1200">
              <a:solidFill>
                <a:schemeClr val="dk1"/>
              </a:solidFill>
              <a:latin typeface="+mn-lt"/>
              <a:ea typeface="+mn-ea"/>
              <a:cs typeface="+mn-cs"/>
            </a:defRPr>
          </a:lvl6pPr>
          <a:lvl7pPr marL="2743200" algn="l" defTabSz="914400" rtl="0" eaLnBrk="1" latinLnBrk="1" hangingPunct="1">
            <a:defRPr sz="1800" kern="1200">
              <a:solidFill>
                <a:schemeClr val="dk1"/>
              </a:solidFill>
              <a:latin typeface="+mn-lt"/>
              <a:ea typeface="+mn-ea"/>
              <a:cs typeface="+mn-cs"/>
            </a:defRPr>
          </a:lvl7pPr>
          <a:lvl8pPr marL="3200400" algn="l" defTabSz="914400" rtl="0" eaLnBrk="1" latinLnBrk="1" hangingPunct="1">
            <a:defRPr sz="1800" kern="1200">
              <a:solidFill>
                <a:schemeClr val="dk1"/>
              </a:solidFill>
              <a:latin typeface="+mn-lt"/>
              <a:ea typeface="+mn-ea"/>
              <a:cs typeface="+mn-cs"/>
            </a:defRPr>
          </a:lvl8pPr>
          <a:lvl9pPr marL="3657600" algn="l" defTabSz="914400" rtl="0" eaLnBrk="1" latinLnBrk="1" hangingPunct="1">
            <a:defRPr sz="1800" kern="1200">
              <a:solidFill>
                <a:schemeClr val="dk1"/>
              </a:solidFill>
              <a:latin typeface="+mn-lt"/>
              <a:ea typeface="+mn-ea"/>
              <a:cs typeface="+mn-cs"/>
            </a:defRPr>
          </a:lvl9pPr>
        </a:lstStyle>
        <a:p>
          <a:pPr algn="ctr"/>
          <a:r>
            <a:rPr lang="ko-KR" altLang="en-US"/>
            <a:t>감시실</a:t>
          </a:r>
        </a:p>
      </xdr:txBody>
    </xdr:sp>
    <xdr:clientData/>
  </xdr:twoCellAnchor>
  <xdr:twoCellAnchor>
    <xdr:from>
      <xdr:col>105</xdr:col>
      <xdr:colOff>34358</xdr:colOff>
      <xdr:row>14</xdr:row>
      <xdr:rowOff>136155</xdr:rowOff>
    </xdr:from>
    <xdr:to>
      <xdr:col>108</xdr:col>
      <xdr:colOff>10016</xdr:colOff>
      <xdr:row>16</xdr:row>
      <xdr:rowOff>102082</xdr:rowOff>
    </xdr:to>
    <xdr:sp macro="" textlink="">
      <xdr:nvSpPr>
        <xdr:cNvPr id="521" name="TextBox 10">
          <a:extLst>
            <a:ext uri="{FF2B5EF4-FFF2-40B4-BE49-F238E27FC236}">
              <a16:creationId xmlns:a16="http://schemas.microsoft.com/office/drawing/2014/main" id="{00000000-0008-0000-1A00-000009020000}"/>
            </a:ext>
          </a:extLst>
        </xdr:cNvPr>
        <xdr:cNvSpPr txBox="1"/>
      </xdr:nvSpPr>
      <xdr:spPr>
        <a:xfrm>
          <a:off x="23856383" y="3212730"/>
          <a:ext cx="775758" cy="385027"/>
        </a:xfrm>
        <a:prstGeom prst="rect">
          <a:avLst/>
        </a:prstGeom>
      </xdr:spPr>
      <xdr:style>
        <a:lnRef idx="1">
          <a:schemeClr val="accent1"/>
        </a:lnRef>
        <a:fillRef idx="2">
          <a:schemeClr val="accent1"/>
        </a:fillRef>
        <a:effectRef idx="1">
          <a:schemeClr val="accent1"/>
        </a:effectRef>
        <a:fontRef idx="minor">
          <a:schemeClr val="dk1"/>
        </a:fontRef>
      </xdr:style>
      <xdr:txBody>
        <a:bodyPr wrap="square" rtlCol="0" anchor="ctr">
          <a:spAutoFit/>
        </a:bodyPr>
        <a:lstStyle>
          <a:defPPr>
            <a:defRPr lang="ko-KR"/>
          </a:defPPr>
          <a:lvl1pPr marL="0" algn="l" defTabSz="914400" rtl="0" eaLnBrk="1" latinLnBrk="1" hangingPunct="1">
            <a:defRPr sz="1800" kern="1200">
              <a:solidFill>
                <a:schemeClr val="dk1"/>
              </a:solidFill>
              <a:latin typeface="+mn-lt"/>
              <a:ea typeface="+mn-ea"/>
              <a:cs typeface="+mn-cs"/>
            </a:defRPr>
          </a:lvl1pPr>
          <a:lvl2pPr marL="457200" algn="l" defTabSz="914400" rtl="0" eaLnBrk="1" latinLnBrk="1" hangingPunct="1">
            <a:defRPr sz="1800" kern="1200">
              <a:solidFill>
                <a:schemeClr val="dk1"/>
              </a:solidFill>
              <a:latin typeface="+mn-lt"/>
              <a:ea typeface="+mn-ea"/>
              <a:cs typeface="+mn-cs"/>
            </a:defRPr>
          </a:lvl2pPr>
          <a:lvl3pPr marL="914400" algn="l" defTabSz="914400" rtl="0" eaLnBrk="1" latinLnBrk="1" hangingPunct="1">
            <a:defRPr sz="1800" kern="1200">
              <a:solidFill>
                <a:schemeClr val="dk1"/>
              </a:solidFill>
              <a:latin typeface="+mn-lt"/>
              <a:ea typeface="+mn-ea"/>
              <a:cs typeface="+mn-cs"/>
            </a:defRPr>
          </a:lvl3pPr>
          <a:lvl4pPr marL="1371600" algn="l" defTabSz="914400" rtl="0" eaLnBrk="1" latinLnBrk="1" hangingPunct="1">
            <a:defRPr sz="1800" kern="1200">
              <a:solidFill>
                <a:schemeClr val="dk1"/>
              </a:solidFill>
              <a:latin typeface="+mn-lt"/>
              <a:ea typeface="+mn-ea"/>
              <a:cs typeface="+mn-cs"/>
            </a:defRPr>
          </a:lvl4pPr>
          <a:lvl5pPr marL="1828800" algn="l" defTabSz="914400" rtl="0" eaLnBrk="1" latinLnBrk="1" hangingPunct="1">
            <a:defRPr sz="1800" kern="1200">
              <a:solidFill>
                <a:schemeClr val="dk1"/>
              </a:solidFill>
              <a:latin typeface="+mn-lt"/>
              <a:ea typeface="+mn-ea"/>
              <a:cs typeface="+mn-cs"/>
            </a:defRPr>
          </a:lvl5pPr>
          <a:lvl6pPr marL="2286000" algn="l" defTabSz="914400" rtl="0" eaLnBrk="1" latinLnBrk="1" hangingPunct="1">
            <a:defRPr sz="1800" kern="1200">
              <a:solidFill>
                <a:schemeClr val="dk1"/>
              </a:solidFill>
              <a:latin typeface="+mn-lt"/>
              <a:ea typeface="+mn-ea"/>
              <a:cs typeface="+mn-cs"/>
            </a:defRPr>
          </a:lvl6pPr>
          <a:lvl7pPr marL="2743200" algn="l" defTabSz="914400" rtl="0" eaLnBrk="1" latinLnBrk="1" hangingPunct="1">
            <a:defRPr sz="1800" kern="1200">
              <a:solidFill>
                <a:schemeClr val="dk1"/>
              </a:solidFill>
              <a:latin typeface="+mn-lt"/>
              <a:ea typeface="+mn-ea"/>
              <a:cs typeface="+mn-cs"/>
            </a:defRPr>
          </a:lvl7pPr>
          <a:lvl8pPr marL="3200400" algn="l" defTabSz="914400" rtl="0" eaLnBrk="1" latinLnBrk="1" hangingPunct="1">
            <a:defRPr sz="1800" kern="1200">
              <a:solidFill>
                <a:schemeClr val="dk1"/>
              </a:solidFill>
              <a:latin typeface="+mn-lt"/>
              <a:ea typeface="+mn-ea"/>
              <a:cs typeface="+mn-cs"/>
            </a:defRPr>
          </a:lvl8pPr>
          <a:lvl9pPr marL="3657600" algn="l" defTabSz="914400" rtl="0" eaLnBrk="1" latinLnBrk="1" hangingPunct="1">
            <a:defRPr sz="1800" kern="1200">
              <a:solidFill>
                <a:schemeClr val="dk1"/>
              </a:solidFill>
              <a:latin typeface="+mn-lt"/>
              <a:ea typeface="+mn-ea"/>
              <a:cs typeface="+mn-cs"/>
            </a:defRPr>
          </a:lvl9pPr>
        </a:lstStyle>
        <a:p>
          <a:pPr algn="ctr"/>
          <a:r>
            <a:rPr lang="en-US" altLang="ko-KR"/>
            <a:t>AOM</a:t>
          </a:r>
          <a:endParaRPr lang="ko-KR" altLang="en-US"/>
        </a:p>
      </xdr:txBody>
    </xdr:sp>
    <xdr:clientData/>
  </xdr:twoCellAnchor>
  <xdr:twoCellAnchor>
    <xdr:from>
      <xdr:col>98</xdr:col>
      <xdr:colOff>232167</xdr:colOff>
      <xdr:row>14</xdr:row>
      <xdr:rowOff>95334</xdr:rowOff>
    </xdr:from>
    <xdr:to>
      <xdr:col>104</xdr:col>
      <xdr:colOff>226218</xdr:colOff>
      <xdr:row>16</xdr:row>
      <xdr:rowOff>178537</xdr:rowOff>
    </xdr:to>
    <xdr:sp macro="" textlink="">
      <xdr:nvSpPr>
        <xdr:cNvPr id="522" name="TextBox 11">
          <a:extLst>
            <a:ext uri="{FF2B5EF4-FFF2-40B4-BE49-F238E27FC236}">
              <a16:creationId xmlns:a16="http://schemas.microsoft.com/office/drawing/2014/main" id="{00000000-0008-0000-1A00-00000A020000}"/>
            </a:ext>
          </a:extLst>
        </xdr:cNvPr>
        <xdr:cNvSpPr txBox="1"/>
      </xdr:nvSpPr>
      <xdr:spPr>
        <a:xfrm>
          <a:off x="22187292" y="3171909"/>
          <a:ext cx="1594251" cy="502303"/>
        </a:xfrm>
        <a:prstGeom prst="rect">
          <a:avLst/>
        </a:prstGeom>
      </xdr:spPr>
      <xdr:style>
        <a:lnRef idx="1">
          <a:schemeClr val="accent1"/>
        </a:lnRef>
        <a:fillRef idx="2">
          <a:schemeClr val="accent1"/>
        </a:fillRef>
        <a:effectRef idx="1">
          <a:schemeClr val="accent1"/>
        </a:effectRef>
        <a:fontRef idx="minor">
          <a:schemeClr val="dk1"/>
        </a:fontRef>
      </xdr:style>
      <xdr:txBody>
        <a:bodyPr wrap="square" rtlCol="0" anchor="ctr">
          <a:noAutofit/>
        </a:bodyPr>
        <a:lstStyle>
          <a:defPPr>
            <a:defRPr lang="ko-KR"/>
          </a:defPPr>
          <a:lvl1pPr marL="0" algn="l" defTabSz="914400" rtl="0" eaLnBrk="1" latinLnBrk="1" hangingPunct="1">
            <a:defRPr sz="1800" kern="1200">
              <a:solidFill>
                <a:schemeClr val="dk1"/>
              </a:solidFill>
              <a:latin typeface="+mn-lt"/>
              <a:ea typeface="+mn-ea"/>
              <a:cs typeface="+mn-cs"/>
            </a:defRPr>
          </a:lvl1pPr>
          <a:lvl2pPr marL="457200" algn="l" defTabSz="914400" rtl="0" eaLnBrk="1" latinLnBrk="1" hangingPunct="1">
            <a:defRPr sz="1800" kern="1200">
              <a:solidFill>
                <a:schemeClr val="dk1"/>
              </a:solidFill>
              <a:latin typeface="+mn-lt"/>
              <a:ea typeface="+mn-ea"/>
              <a:cs typeface="+mn-cs"/>
            </a:defRPr>
          </a:lvl2pPr>
          <a:lvl3pPr marL="914400" algn="l" defTabSz="914400" rtl="0" eaLnBrk="1" latinLnBrk="1" hangingPunct="1">
            <a:defRPr sz="1800" kern="1200">
              <a:solidFill>
                <a:schemeClr val="dk1"/>
              </a:solidFill>
              <a:latin typeface="+mn-lt"/>
              <a:ea typeface="+mn-ea"/>
              <a:cs typeface="+mn-cs"/>
            </a:defRPr>
          </a:lvl3pPr>
          <a:lvl4pPr marL="1371600" algn="l" defTabSz="914400" rtl="0" eaLnBrk="1" latinLnBrk="1" hangingPunct="1">
            <a:defRPr sz="1800" kern="1200">
              <a:solidFill>
                <a:schemeClr val="dk1"/>
              </a:solidFill>
              <a:latin typeface="+mn-lt"/>
              <a:ea typeface="+mn-ea"/>
              <a:cs typeface="+mn-cs"/>
            </a:defRPr>
          </a:lvl4pPr>
          <a:lvl5pPr marL="1828800" algn="l" defTabSz="914400" rtl="0" eaLnBrk="1" latinLnBrk="1" hangingPunct="1">
            <a:defRPr sz="1800" kern="1200">
              <a:solidFill>
                <a:schemeClr val="dk1"/>
              </a:solidFill>
              <a:latin typeface="+mn-lt"/>
              <a:ea typeface="+mn-ea"/>
              <a:cs typeface="+mn-cs"/>
            </a:defRPr>
          </a:lvl5pPr>
          <a:lvl6pPr marL="2286000" algn="l" defTabSz="914400" rtl="0" eaLnBrk="1" latinLnBrk="1" hangingPunct="1">
            <a:defRPr sz="1800" kern="1200">
              <a:solidFill>
                <a:schemeClr val="dk1"/>
              </a:solidFill>
              <a:latin typeface="+mn-lt"/>
              <a:ea typeface="+mn-ea"/>
              <a:cs typeface="+mn-cs"/>
            </a:defRPr>
          </a:lvl6pPr>
          <a:lvl7pPr marL="2743200" algn="l" defTabSz="914400" rtl="0" eaLnBrk="1" latinLnBrk="1" hangingPunct="1">
            <a:defRPr sz="1800" kern="1200">
              <a:solidFill>
                <a:schemeClr val="dk1"/>
              </a:solidFill>
              <a:latin typeface="+mn-lt"/>
              <a:ea typeface="+mn-ea"/>
              <a:cs typeface="+mn-cs"/>
            </a:defRPr>
          </a:lvl7pPr>
          <a:lvl8pPr marL="3200400" algn="l" defTabSz="914400" rtl="0" eaLnBrk="1" latinLnBrk="1" hangingPunct="1">
            <a:defRPr sz="1800" kern="1200">
              <a:solidFill>
                <a:schemeClr val="dk1"/>
              </a:solidFill>
              <a:latin typeface="+mn-lt"/>
              <a:ea typeface="+mn-ea"/>
              <a:cs typeface="+mn-cs"/>
            </a:defRPr>
          </a:lvl8pPr>
          <a:lvl9pPr marL="3657600" algn="l" defTabSz="914400" rtl="0" eaLnBrk="1" latinLnBrk="1" hangingPunct="1">
            <a:defRPr sz="1800" kern="1200">
              <a:solidFill>
                <a:schemeClr val="dk1"/>
              </a:solidFill>
              <a:latin typeface="+mn-lt"/>
              <a:ea typeface="+mn-ea"/>
              <a:cs typeface="+mn-cs"/>
            </a:defRPr>
          </a:lvl9pPr>
        </a:lstStyle>
        <a:p>
          <a:pPr algn="ctr"/>
          <a:r>
            <a:rPr lang="ko-KR" altLang="en-US"/>
            <a:t>사령원 콘솔</a:t>
          </a:r>
        </a:p>
      </xdr:txBody>
    </xdr:sp>
    <xdr:clientData/>
  </xdr:twoCellAnchor>
  <xdr:twoCellAnchor>
    <xdr:from>
      <xdr:col>100</xdr:col>
      <xdr:colOff>121029</xdr:colOff>
      <xdr:row>25</xdr:row>
      <xdr:rowOff>17963</xdr:rowOff>
    </xdr:from>
    <xdr:to>
      <xdr:col>107</xdr:col>
      <xdr:colOff>214313</xdr:colOff>
      <xdr:row>27</xdr:row>
      <xdr:rowOff>101166</xdr:rowOff>
    </xdr:to>
    <xdr:sp macro="" textlink="">
      <xdr:nvSpPr>
        <xdr:cNvPr id="523" name="TextBox 13">
          <a:extLst>
            <a:ext uri="{FF2B5EF4-FFF2-40B4-BE49-F238E27FC236}">
              <a16:creationId xmlns:a16="http://schemas.microsoft.com/office/drawing/2014/main" id="{00000000-0008-0000-1A00-00000B020000}"/>
            </a:ext>
          </a:extLst>
        </xdr:cNvPr>
        <xdr:cNvSpPr txBox="1"/>
      </xdr:nvSpPr>
      <xdr:spPr>
        <a:xfrm>
          <a:off x="22609554" y="5399588"/>
          <a:ext cx="1960184" cy="502303"/>
        </a:xfrm>
        <a:prstGeom prst="rect">
          <a:avLst/>
        </a:prstGeom>
      </xdr:spPr>
      <xdr:style>
        <a:lnRef idx="1">
          <a:schemeClr val="accent1"/>
        </a:lnRef>
        <a:fillRef idx="2">
          <a:schemeClr val="accent1"/>
        </a:fillRef>
        <a:effectRef idx="1">
          <a:schemeClr val="accent1"/>
        </a:effectRef>
        <a:fontRef idx="minor">
          <a:schemeClr val="dk1"/>
        </a:fontRef>
      </xdr:style>
      <xdr:txBody>
        <a:bodyPr wrap="square" rtlCol="0" anchor="ctr">
          <a:noAutofit/>
        </a:bodyPr>
        <a:lstStyle>
          <a:defPPr>
            <a:defRPr lang="ko-KR"/>
          </a:defPPr>
          <a:lvl1pPr marL="0" algn="l" defTabSz="914400" rtl="0" eaLnBrk="1" latinLnBrk="1" hangingPunct="1">
            <a:defRPr sz="1800" kern="1200">
              <a:solidFill>
                <a:schemeClr val="dk1"/>
              </a:solidFill>
              <a:latin typeface="+mn-lt"/>
              <a:ea typeface="+mn-ea"/>
              <a:cs typeface="+mn-cs"/>
            </a:defRPr>
          </a:lvl1pPr>
          <a:lvl2pPr marL="457200" algn="l" defTabSz="914400" rtl="0" eaLnBrk="1" latinLnBrk="1" hangingPunct="1">
            <a:defRPr sz="1800" kern="1200">
              <a:solidFill>
                <a:schemeClr val="dk1"/>
              </a:solidFill>
              <a:latin typeface="+mn-lt"/>
              <a:ea typeface="+mn-ea"/>
              <a:cs typeface="+mn-cs"/>
            </a:defRPr>
          </a:lvl2pPr>
          <a:lvl3pPr marL="914400" algn="l" defTabSz="914400" rtl="0" eaLnBrk="1" latinLnBrk="1" hangingPunct="1">
            <a:defRPr sz="1800" kern="1200">
              <a:solidFill>
                <a:schemeClr val="dk1"/>
              </a:solidFill>
              <a:latin typeface="+mn-lt"/>
              <a:ea typeface="+mn-ea"/>
              <a:cs typeface="+mn-cs"/>
            </a:defRPr>
          </a:lvl3pPr>
          <a:lvl4pPr marL="1371600" algn="l" defTabSz="914400" rtl="0" eaLnBrk="1" latinLnBrk="1" hangingPunct="1">
            <a:defRPr sz="1800" kern="1200">
              <a:solidFill>
                <a:schemeClr val="dk1"/>
              </a:solidFill>
              <a:latin typeface="+mn-lt"/>
              <a:ea typeface="+mn-ea"/>
              <a:cs typeface="+mn-cs"/>
            </a:defRPr>
          </a:lvl4pPr>
          <a:lvl5pPr marL="1828800" algn="l" defTabSz="914400" rtl="0" eaLnBrk="1" latinLnBrk="1" hangingPunct="1">
            <a:defRPr sz="1800" kern="1200">
              <a:solidFill>
                <a:schemeClr val="dk1"/>
              </a:solidFill>
              <a:latin typeface="+mn-lt"/>
              <a:ea typeface="+mn-ea"/>
              <a:cs typeface="+mn-cs"/>
            </a:defRPr>
          </a:lvl5pPr>
          <a:lvl6pPr marL="2286000" algn="l" defTabSz="914400" rtl="0" eaLnBrk="1" latinLnBrk="1" hangingPunct="1">
            <a:defRPr sz="1800" kern="1200">
              <a:solidFill>
                <a:schemeClr val="dk1"/>
              </a:solidFill>
              <a:latin typeface="+mn-lt"/>
              <a:ea typeface="+mn-ea"/>
              <a:cs typeface="+mn-cs"/>
            </a:defRPr>
          </a:lvl6pPr>
          <a:lvl7pPr marL="2743200" algn="l" defTabSz="914400" rtl="0" eaLnBrk="1" latinLnBrk="1" hangingPunct="1">
            <a:defRPr sz="1800" kern="1200">
              <a:solidFill>
                <a:schemeClr val="dk1"/>
              </a:solidFill>
              <a:latin typeface="+mn-lt"/>
              <a:ea typeface="+mn-ea"/>
              <a:cs typeface="+mn-cs"/>
            </a:defRPr>
          </a:lvl7pPr>
          <a:lvl8pPr marL="3200400" algn="l" defTabSz="914400" rtl="0" eaLnBrk="1" latinLnBrk="1" hangingPunct="1">
            <a:defRPr sz="1800" kern="1200">
              <a:solidFill>
                <a:schemeClr val="dk1"/>
              </a:solidFill>
              <a:latin typeface="+mn-lt"/>
              <a:ea typeface="+mn-ea"/>
              <a:cs typeface="+mn-cs"/>
            </a:defRPr>
          </a:lvl8pPr>
          <a:lvl9pPr marL="3657600" algn="l" defTabSz="914400" rtl="0" eaLnBrk="1" latinLnBrk="1" hangingPunct="1">
            <a:defRPr sz="1800" kern="1200">
              <a:solidFill>
                <a:schemeClr val="dk1"/>
              </a:solidFill>
              <a:latin typeface="+mn-lt"/>
              <a:ea typeface="+mn-ea"/>
              <a:cs typeface="+mn-cs"/>
            </a:defRPr>
          </a:lvl9pPr>
        </a:lstStyle>
        <a:p>
          <a:pPr algn="ctr"/>
          <a:r>
            <a:rPr lang="ko-KR" altLang="en-US"/>
            <a:t>일반전화기 무선</a:t>
          </a:r>
        </a:p>
      </xdr:txBody>
    </xdr:sp>
    <xdr:clientData/>
  </xdr:twoCellAnchor>
  <xdr:twoCellAnchor>
    <xdr:from>
      <xdr:col>89</xdr:col>
      <xdr:colOff>70995</xdr:colOff>
      <xdr:row>26</xdr:row>
      <xdr:rowOff>59564</xdr:rowOff>
    </xdr:from>
    <xdr:to>
      <xdr:col>100</xdr:col>
      <xdr:colOff>121029</xdr:colOff>
      <xdr:row>26</xdr:row>
      <xdr:rowOff>59564</xdr:rowOff>
    </xdr:to>
    <xdr:cxnSp macro="">
      <xdr:nvCxnSpPr>
        <xdr:cNvPr id="524" name="직선 화살표 연결선 523">
          <a:extLst>
            <a:ext uri="{FF2B5EF4-FFF2-40B4-BE49-F238E27FC236}">
              <a16:creationId xmlns:a16="http://schemas.microsoft.com/office/drawing/2014/main" id="{00000000-0008-0000-1A00-00000C020000}"/>
            </a:ext>
          </a:extLst>
        </xdr:cNvPr>
        <xdr:cNvCxnSpPr>
          <a:endCxn id="523" idx="1"/>
        </xdr:cNvCxnSpPr>
      </xdr:nvCxnSpPr>
      <xdr:spPr>
        <a:xfrm>
          <a:off x="19625820" y="5650739"/>
          <a:ext cx="2983734" cy="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89</xdr:col>
      <xdr:colOff>70995</xdr:colOff>
      <xdr:row>19</xdr:row>
      <xdr:rowOff>154919</xdr:rowOff>
    </xdr:from>
    <xdr:to>
      <xdr:col>101</xdr:col>
      <xdr:colOff>231321</xdr:colOff>
      <xdr:row>19</xdr:row>
      <xdr:rowOff>154919</xdr:rowOff>
    </xdr:to>
    <xdr:cxnSp macro="">
      <xdr:nvCxnSpPr>
        <xdr:cNvPr id="525" name="직선 연결선 524">
          <a:extLst>
            <a:ext uri="{FF2B5EF4-FFF2-40B4-BE49-F238E27FC236}">
              <a16:creationId xmlns:a16="http://schemas.microsoft.com/office/drawing/2014/main" id="{00000000-0008-0000-1A00-00000D020000}"/>
            </a:ext>
          </a:extLst>
        </xdr:cNvPr>
        <xdr:cNvCxnSpPr/>
      </xdr:nvCxnSpPr>
      <xdr:spPr>
        <a:xfrm>
          <a:off x="19625820" y="4279244"/>
          <a:ext cx="3360726"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89</xdr:col>
      <xdr:colOff>70995</xdr:colOff>
      <xdr:row>21</xdr:row>
      <xdr:rowOff>23813</xdr:rowOff>
    </xdr:from>
    <xdr:to>
      <xdr:col>106</xdr:col>
      <xdr:colOff>130968</xdr:colOff>
      <xdr:row>21</xdr:row>
      <xdr:rowOff>34736</xdr:rowOff>
    </xdr:to>
    <xdr:cxnSp macro="">
      <xdr:nvCxnSpPr>
        <xdr:cNvPr id="526" name="직선 연결선 525">
          <a:extLst>
            <a:ext uri="{FF2B5EF4-FFF2-40B4-BE49-F238E27FC236}">
              <a16:creationId xmlns:a16="http://schemas.microsoft.com/office/drawing/2014/main" id="{00000000-0008-0000-1A00-00000E020000}"/>
            </a:ext>
          </a:extLst>
        </xdr:cNvPr>
        <xdr:cNvCxnSpPr/>
      </xdr:nvCxnSpPr>
      <xdr:spPr>
        <a:xfrm flipV="1">
          <a:off x="19625820" y="4567238"/>
          <a:ext cx="4593873" cy="10923"/>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101</xdr:col>
      <xdr:colOff>229193</xdr:colOff>
      <xdr:row>16</xdr:row>
      <xdr:rowOff>178537</xdr:rowOff>
    </xdr:from>
    <xdr:to>
      <xdr:col>101</xdr:col>
      <xdr:colOff>244085</xdr:colOff>
      <xdr:row>19</xdr:row>
      <xdr:rowOff>154920</xdr:rowOff>
    </xdr:to>
    <xdr:cxnSp macro="">
      <xdr:nvCxnSpPr>
        <xdr:cNvPr id="527" name="직선 화살표 연결선 526">
          <a:extLst>
            <a:ext uri="{FF2B5EF4-FFF2-40B4-BE49-F238E27FC236}">
              <a16:creationId xmlns:a16="http://schemas.microsoft.com/office/drawing/2014/main" id="{00000000-0008-0000-1A00-00000F020000}"/>
            </a:ext>
          </a:extLst>
        </xdr:cNvPr>
        <xdr:cNvCxnSpPr>
          <a:endCxn id="522" idx="2"/>
        </xdr:cNvCxnSpPr>
      </xdr:nvCxnSpPr>
      <xdr:spPr>
        <a:xfrm flipH="1" flipV="1">
          <a:off x="22984418" y="3674212"/>
          <a:ext cx="14892" cy="605033"/>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106</xdr:col>
      <xdr:colOff>148053</xdr:colOff>
      <xdr:row>16</xdr:row>
      <xdr:rowOff>102082</xdr:rowOff>
    </xdr:from>
    <xdr:to>
      <xdr:col>106</xdr:col>
      <xdr:colOff>159881</xdr:colOff>
      <xdr:row>21</xdr:row>
      <xdr:rowOff>54428</xdr:rowOff>
    </xdr:to>
    <xdr:cxnSp macro="">
      <xdr:nvCxnSpPr>
        <xdr:cNvPr id="528" name="직선 화살표 연결선 527">
          <a:extLst>
            <a:ext uri="{FF2B5EF4-FFF2-40B4-BE49-F238E27FC236}">
              <a16:creationId xmlns:a16="http://schemas.microsoft.com/office/drawing/2014/main" id="{00000000-0008-0000-1A00-000010020000}"/>
            </a:ext>
          </a:extLst>
        </xdr:cNvPr>
        <xdr:cNvCxnSpPr>
          <a:endCxn id="521" idx="2"/>
        </xdr:cNvCxnSpPr>
      </xdr:nvCxnSpPr>
      <xdr:spPr>
        <a:xfrm flipH="1" flipV="1">
          <a:off x="24236778" y="3597757"/>
          <a:ext cx="11828" cy="1000096"/>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98</xdr:col>
      <xdr:colOff>109796</xdr:colOff>
      <xdr:row>10</xdr:row>
      <xdr:rowOff>61154</xdr:rowOff>
    </xdr:from>
    <xdr:to>
      <xdr:col>109</xdr:col>
      <xdr:colOff>190500</xdr:colOff>
      <xdr:row>13</xdr:row>
      <xdr:rowOff>122465</xdr:rowOff>
    </xdr:to>
    <xdr:sp macro="" textlink="">
      <xdr:nvSpPr>
        <xdr:cNvPr id="529" name="TextBox 45">
          <a:extLst>
            <a:ext uri="{FF2B5EF4-FFF2-40B4-BE49-F238E27FC236}">
              <a16:creationId xmlns:a16="http://schemas.microsoft.com/office/drawing/2014/main" id="{00000000-0008-0000-1A00-000011020000}"/>
            </a:ext>
          </a:extLst>
        </xdr:cNvPr>
        <xdr:cNvSpPr txBox="1"/>
      </xdr:nvSpPr>
      <xdr:spPr>
        <a:xfrm>
          <a:off x="22064921" y="2299529"/>
          <a:ext cx="3014404" cy="689961"/>
        </a:xfrm>
        <a:prstGeom prst="rect">
          <a:avLst/>
        </a:prstGeom>
      </xdr:spPr>
      <xdr:style>
        <a:lnRef idx="2">
          <a:schemeClr val="dk1"/>
        </a:lnRef>
        <a:fillRef idx="1">
          <a:schemeClr val="lt1"/>
        </a:fillRef>
        <a:effectRef idx="0">
          <a:schemeClr val="dk1"/>
        </a:effectRef>
        <a:fontRef idx="minor">
          <a:schemeClr val="dk1"/>
        </a:fontRef>
      </xdr:style>
      <xdr:txBody>
        <a:bodyPr wrap="square" rtlCol="0" anchor="ctr">
          <a:noAutofit/>
        </a:bodyPr>
        <a:lstStyle>
          <a:defPPr>
            <a:defRPr lang="ko-KR"/>
          </a:defPPr>
          <a:lvl1pPr marL="0" algn="l" defTabSz="914400" rtl="0" eaLnBrk="1" latinLnBrk="1" hangingPunct="1">
            <a:defRPr sz="1800" kern="1200">
              <a:solidFill>
                <a:schemeClr val="dk1"/>
              </a:solidFill>
              <a:latin typeface="+mn-lt"/>
              <a:ea typeface="+mn-ea"/>
              <a:cs typeface="+mn-cs"/>
            </a:defRPr>
          </a:lvl1pPr>
          <a:lvl2pPr marL="457200" algn="l" defTabSz="914400" rtl="0" eaLnBrk="1" latinLnBrk="1" hangingPunct="1">
            <a:defRPr sz="1800" kern="1200">
              <a:solidFill>
                <a:schemeClr val="dk1"/>
              </a:solidFill>
              <a:latin typeface="+mn-lt"/>
              <a:ea typeface="+mn-ea"/>
              <a:cs typeface="+mn-cs"/>
            </a:defRPr>
          </a:lvl2pPr>
          <a:lvl3pPr marL="914400" algn="l" defTabSz="914400" rtl="0" eaLnBrk="1" latinLnBrk="1" hangingPunct="1">
            <a:defRPr sz="1800" kern="1200">
              <a:solidFill>
                <a:schemeClr val="dk1"/>
              </a:solidFill>
              <a:latin typeface="+mn-lt"/>
              <a:ea typeface="+mn-ea"/>
              <a:cs typeface="+mn-cs"/>
            </a:defRPr>
          </a:lvl3pPr>
          <a:lvl4pPr marL="1371600" algn="l" defTabSz="914400" rtl="0" eaLnBrk="1" latinLnBrk="1" hangingPunct="1">
            <a:defRPr sz="1800" kern="1200">
              <a:solidFill>
                <a:schemeClr val="dk1"/>
              </a:solidFill>
              <a:latin typeface="+mn-lt"/>
              <a:ea typeface="+mn-ea"/>
              <a:cs typeface="+mn-cs"/>
            </a:defRPr>
          </a:lvl4pPr>
          <a:lvl5pPr marL="1828800" algn="l" defTabSz="914400" rtl="0" eaLnBrk="1" latinLnBrk="1" hangingPunct="1">
            <a:defRPr sz="1800" kern="1200">
              <a:solidFill>
                <a:schemeClr val="dk1"/>
              </a:solidFill>
              <a:latin typeface="+mn-lt"/>
              <a:ea typeface="+mn-ea"/>
              <a:cs typeface="+mn-cs"/>
            </a:defRPr>
          </a:lvl5pPr>
          <a:lvl6pPr marL="2286000" algn="l" defTabSz="914400" rtl="0" eaLnBrk="1" latinLnBrk="1" hangingPunct="1">
            <a:defRPr sz="1800" kern="1200">
              <a:solidFill>
                <a:schemeClr val="dk1"/>
              </a:solidFill>
              <a:latin typeface="+mn-lt"/>
              <a:ea typeface="+mn-ea"/>
              <a:cs typeface="+mn-cs"/>
            </a:defRPr>
          </a:lvl6pPr>
          <a:lvl7pPr marL="2743200" algn="l" defTabSz="914400" rtl="0" eaLnBrk="1" latinLnBrk="1" hangingPunct="1">
            <a:defRPr sz="1800" kern="1200">
              <a:solidFill>
                <a:schemeClr val="dk1"/>
              </a:solidFill>
              <a:latin typeface="+mn-lt"/>
              <a:ea typeface="+mn-ea"/>
              <a:cs typeface="+mn-cs"/>
            </a:defRPr>
          </a:lvl7pPr>
          <a:lvl8pPr marL="3200400" algn="l" defTabSz="914400" rtl="0" eaLnBrk="1" latinLnBrk="1" hangingPunct="1">
            <a:defRPr sz="1800" kern="1200">
              <a:solidFill>
                <a:schemeClr val="dk1"/>
              </a:solidFill>
              <a:latin typeface="+mn-lt"/>
              <a:ea typeface="+mn-ea"/>
              <a:cs typeface="+mn-cs"/>
            </a:defRPr>
          </a:lvl8pPr>
          <a:lvl9pPr marL="3657600" algn="l" defTabSz="914400" rtl="0" eaLnBrk="1" latinLnBrk="1" hangingPunct="1">
            <a:defRPr sz="1800" kern="1200">
              <a:solidFill>
                <a:schemeClr val="dk1"/>
              </a:solidFill>
              <a:latin typeface="+mn-lt"/>
              <a:ea typeface="+mn-ea"/>
              <a:cs typeface="+mn-cs"/>
            </a:defRPr>
          </a:lvl9pPr>
        </a:lstStyle>
        <a:p>
          <a:pPr algn="ctr"/>
          <a:r>
            <a:rPr lang="ko-KR" altLang="en-US" sz="1200"/>
            <a:t>사령원콘솔</a:t>
          </a:r>
          <a:r>
            <a:rPr lang="en-US" altLang="ko-KR" sz="1200"/>
            <a:t>,AOM</a:t>
          </a:r>
          <a:r>
            <a:rPr lang="ko-KR" altLang="en-US" sz="1200"/>
            <a:t> 전원</a:t>
          </a:r>
          <a:endParaRPr lang="en-US" altLang="ko-KR" sz="1200"/>
        </a:p>
        <a:p>
          <a:pPr algn="ctr"/>
          <a:r>
            <a:rPr lang="en-US" altLang="ko-KR" sz="1200"/>
            <a:t>FR-CVVS</a:t>
          </a:r>
          <a:r>
            <a:rPr lang="en-US" altLang="ko-KR" sz="1200" baseline="0"/>
            <a:t> 2.5sq/2C(FROM ICT</a:t>
          </a:r>
          <a:r>
            <a:rPr lang="ko-KR" altLang="en-US" sz="1200" baseline="0"/>
            <a:t>실 </a:t>
          </a:r>
          <a:r>
            <a:rPr lang="en-US" altLang="ko-KR" sz="1200" baseline="0"/>
            <a:t>UPS</a:t>
          </a:r>
          <a:r>
            <a:rPr lang="ko-KR" altLang="en-US" sz="1200" baseline="0"/>
            <a:t>분전반</a:t>
          </a:r>
          <a:r>
            <a:rPr lang="en-US" altLang="ko-KR" sz="1200" baseline="0"/>
            <a:t>)</a:t>
          </a:r>
          <a:endParaRPr lang="ko-KR" altLang="en-US" sz="1200"/>
        </a:p>
      </xdr:txBody>
    </xdr:sp>
    <xdr:clientData/>
  </xdr:twoCellAnchor>
  <xdr:twoCellAnchor>
    <xdr:from>
      <xdr:col>86</xdr:col>
      <xdr:colOff>177845</xdr:colOff>
      <xdr:row>16</xdr:row>
      <xdr:rowOff>0</xdr:rowOff>
    </xdr:from>
    <xdr:to>
      <xdr:col>86</xdr:col>
      <xdr:colOff>177845</xdr:colOff>
      <xdr:row>19</xdr:row>
      <xdr:rowOff>10903</xdr:rowOff>
    </xdr:to>
    <xdr:cxnSp macro="">
      <xdr:nvCxnSpPr>
        <xdr:cNvPr id="530" name="직선 화살표 연결선 529">
          <a:extLst>
            <a:ext uri="{FF2B5EF4-FFF2-40B4-BE49-F238E27FC236}">
              <a16:creationId xmlns:a16="http://schemas.microsoft.com/office/drawing/2014/main" id="{00000000-0008-0000-1A00-000012020000}"/>
            </a:ext>
          </a:extLst>
        </xdr:cNvPr>
        <xdr:cNvCxnSpPr/>
      </xdr:nvCxnSpPr>
      <xdr:spPr>
        <a:xfrm>
          <a:off x="18932570" y="3495675"/>
          <a:ext cx="0" cy="639553"/>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oneCellAnchor>
    <xdr:from>
      <xdr:col>83</xdr:col>
      <xdr:colOff>190501</xdr:colOff>
      <xdr:row>17</xdr:row>
      <xdr:rowOff>23918</xdr:rowOff>
    </xdr:from>
    <xdr:ext cx="668324" cy="281808"/>
    <xdr:sp macro="" textlink="">
      <xdr:nvSpPr>
        <xdr:cNvPr id="531" name="TextBox 59">
          <a:extLst>
            <a:ext uri="{FF2B5EF4-FFF2-40B4-BE49-F238E27FC236}">
              <a16:creationId xmlns:a16="http://schemas.microsoft.com/office/drawing/2014/main" id="{00000000-0008-0000-1A00-000013020000}"/>
            </a:ext>
          </a:extLst>
        </xdr:cNvPr>
        <xdr:cNvSpPr txBox="1"/>
      </xdr:nvSpPr>
      <xdr:spPr>
        <a:xfrm>
          <a:off x="18145126" y="3729143"/>
          <a:ext cx="668324" cy="281808"/>
        </a:xfrm>
        <a:prstGeom prst="rect">
          <a:avLst/>
        </a:prstGeom>
        <a:noFill/>
      </xdr:spPr>
      <xdr:txBody>
        <a:bodyPr wrap="none" lIns="0" tIns="0" rIns="0" bIns="0" rtlCol="0" anchor="ctr" anchorCtr="0">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en-US" altLang="ko-KR"/>
            <a:t>UTP 4P</a:t>
          </a:r>
          <a:endParaRPr lang="ko-KR" altLang="en-US"/>
        </a:p>
      </xdr:txBody>
    </xdr:sp>
    <xdr:clientData/>
  </xdr:oneCellAnchor>
  <xdr:oneCellAnchor>
    <xdr:from>
      <xdr:col>93</xdr:col>
      <xdr:colOff>236765</xdr:colOff>
      <xdr:row>21</xdr:row>
      <xdr:rowOff>83789</xdr:rowOff>
    </xdr:from>
    <xdr:ext cx="668324" cy="281808"/>
    <xdr:sp macro="" textlink="">
      <xdr:nvSpPr>
        <xdr:cNvPr id="532" name="TextBox 59">
          <a:extLst>
            <a:ext uri="{FF2B5EF4-FFF2-40B4-BE49-F238E27FC236}">
              <a16:creationId xmlns:a16="http://schemas.microsoft.com/office/drawing/2014/main" id="{00000000-0008-0000-1A00-000014020000}"/>
            </a:ext>
          </a:extLst>
        </xdr:cNvPr>
        <xdr:cNvSpPr txBox="1"/>
      </xdr:nvSpPr>
      <xdr:spPr>
        <a:xfrm>
          <a:off x="20858390" y="4627214"/>
          <a:ext cx="668324" cy="281808"/>
        </a:xfrm>
        <a:prstGeom prst="rect">
          <a:avLst/>
        </a:prstGeom>
        <a:noFill/>
      </xdr:spPr>
      <xdr:txBody>
        <a:bodyPr wrap="none" lIns="0" tIns="0" rIns="0" bIns="0" rtlCol="0" anchor="ctr" anchorCtr="0">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en-US" altLang="ko-KR"/>
            <a:t>UTP 4P</a:t>
          </a:r>
          <a:endParaRPr lang="ko-KR" altLang="en-US"/>
        </a:p>
      </xdr:txBody>
    </xdr:sp>
    <xdr:clientData/>
  </xdr:oneCellAnchor>
  <xdr:oneCellAnchor>
    <xdr:from>
      <xdr:col>93</xdr:col>
      <xdr:colOff>225879</xdr:colOff>
      <xdr:row>18</xdr:row>
      <xdr:rowOff>18476</xdr:rowOff>
    </xdr:from>
    <xdr:ext cx="668324" cy="281808"/>
    <xdr:sp macro="" textlink="">
      <xdr:nvSpPr>
        <xdr:cNvPr id="533" name="TextBox 59">
          <a:extLst>
            <a:ext uri="{FF2B5EF4-FFF2-40B4-BE49-F238E27FC236}">
              <a16:creationId xmlns:a16="http://schemas.microsoft.com/office/drawing/2014/main" id="{00000000-0008-0000-1A00-000015020000}"/>
            </a:ext>
          </a:extLst>
        </xdr:cNvPr>
        <xdr:cNvSpPr txBox="1"/>
      </xdr:nvSpPr>
      <xdr:spPr>
        <a:xfrm>
          <a:off x="20847504" y="3933251"/>
          <a:ext cx="668324" cy="281808"/>
        </a:xfrm>
        <a:prstGeom prst="rect">
          <a:avLst/>
        </a:prstGeom>
        <a:noFill/>
      </xdr:spPr>
      <xdr:txBody>
        <a:bodyPr wrap="none" lIns="0" tIns="0" rIns="0" bIns="0" rtlCol="0" anchor="ctr" anchorCtr="0">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en-US" altLang="ko-KR"/>
            <a:t>UTP 4P</a:t>
          </a:r>
          <a:endParaRPr lang="ko-KR" altLang="en-US"/>
        </a:p>
      </xdr:txBody>
    </xdr:sp>
    <xdr:clientData/>
  </xdr:oneCellAnchor>
  <xdr:oneCellAnchor>
    <xdr:from>
      <xdr:col>93</xdr:col>
      <xdr:colOff>225879</xdr:colOff>
      <xdr:row>26</xdr:row>
      <xdr:rowOff>86510</xdr:rowOff>
    </xdr:from>
    <xdr:ext cx="668324" cy="281808"/>
    <xdr:sp macro="" textlink="">
      <xdr:nvSpPr>
        <xdr:cNvPr id="534" name="TextBox 59">
          <a:extLst>
            <a:ext uri="{FF2B5EF4-FFF2-40B4-BE49-F238E27FC236}">
              <a16:creationId xmlns:a16="http://schemas.microsoft.com/office/drawing/2014/main" id="{00000000-0008-0000-1A00-000016020000}"/>
            </a:ext>
          </a:extLst>
        </xdr:cNvPr>
        <xdr:cNvSpPr txBox="1"/>
      </xdr:nvSpPr>
      <xdr:spPr>
        <a:xfrm>
          <a:off x="20847504" y="5677685"/>
          <a:ext cx="668324" cy="281808"/>
        </a:xfrm>
        <a:prstGeom prst="rect">
          <a:avLst/>
        </a:prstGeom>
        <a:noFill/>
      </xdr:spPr>
      <xdr:txBody>
        <a:bodyPr wrap="none" lIns="0" tIns="0" rIns="0" bIns="0" rtlCol="0" anchor="ctr" anchorCtr="0">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en-US" altLang="ko-KR"/>
            <a:t>UTP 4P</a:t>
          </a:r>
          <a:endParaRPr lang="ko-KR" altLang="en-US"/>
        </a:p>
      </xdr:txBody>
    </xdr:sp>
    <xdr:clientData/>
  </xdr:oneCellAnchor>
  <xdr:twoCellAnchor>
    <xdr:from>
      <xdr:col>63</xdr:col>
      <xdr:colOff>786</xdr:colOff>
      <xdr:row>51</xdr:row>
      <xdr:rowOff>166258</xdr:rowOff>
    </xdr:from>
    <xdr:to>
      <xdr:col>65</xdr:col>
      <xdr:colOff>119529</xdr:colOff>
      <xdr:row>52</xdr:row>
      <xdr:rowOff>139271</xdr:rowOff>
    </xdr:to>
    <xdr:sp macro="" textlink="">
      <xdr:nvSpPr>
        <xdr:cNvPr id="535" name="Rectangle 189">
          <a:extLst>
            <a:ext uri="{FF2B5EF4-FFF2-40B4-BE49-F238E27FC236}">
              <a16:creationId xmlns:a16="http://schemas.microsoft.com/office/drawing/2014/main" id="{00000000-0008-0000-1A00-000017020000}"/>
            </a:ext>
          </a:extLst>
        </xdr:cNvPr>
        <xdr:cNvSpPr>
          <a:spLocks noChangeArrowheads="1"/>
        </xdr:cNvSpPr>
      </xdr:nvSpPr>
      <xdr:spPr bwMode="auto">
        <a:xfrm>
          <a:off x="12907161" y="10996183"/>
          <a:ext cx="652143" cy="182563"/>
        </a:xfrm>
        <a:prstGeom prst="rect">
          <a:avLst/>
        </a:prstGeom>
        <a:solidFill>
          <a:srgbClr val="FFFFFF"/>
        </a:solidFill>
        <a:ln w="9525">
          <a:noFill/>
          <a:miter lim="800000"/>
          <a:headEnd/>
          <a:tailEnd/>
        </a:ln>
      </xdr:spPr>
      <xdr:txBody>
        <a:bodyPr wrap="none" lIns="11585" tIns="5792" rIns="11585" bIns="5792" anchor="ctr" upright="1">
          <a:noAutofit/>
        </a:bodyPr>
        <a:lstStyle/>
        <a:p>
          <a:pPr algn="ctr" rtl="1">
            <a:defRPr sz="1000"/>
          </a:pPr>
          <a:r>
            <a:rPr lang="ko-KR" altLang="en-US" sz="1000" b="0" i="0" strike="noStrike">
              <a:solidFill>
                <a:srgbClr val="000000"/>
              </a:solidFill>
              <a:latin typeface="굴림"/>
              <a:ea typeface="굴림"/>
            </a:rPr>
            <a:t>보호계전기</a:t>
          </a:r>
        </a:p>
      </xdr:txBody>
    </xdr:sp>
    <xdr:clientData/>
  </xdr:twoCellAnchor>
  <xdr:twoCellAnchor>
    <xdr:from>
      <xdr:col>65</xdr:col>
      <xdr:colOff>143221</xdr:colOff>
      <xdr:row>38</xdr:row>
      <xdr:rowOff>73326</xdr:rowOff>
    </xdr:from>
    <xdr:to>
      <xdr:col>68</xdr:col>
      <xdr:colOff>101357</xdr:colOff>
      <xdr:row>39</xdr:row>
      <xdr:rowOff>10885</xdr:rowOff>
    </xdr:to>
    <xdr:sp macro="" textlink="">
      <xdr:nvSpPr>
        <xdr:cNvPr id="536" name="Rectangle 220">
          <a:extLst>
            <a:ext uri="{FF2B5EF4-FFF2-40B4-BE49-F238E27FC236}">
              <a16:creationId xmlns:a16="http://schemas.microsoft.com/office/drawing/2014/main" id="{00000000-0008-0000-1A00-000018020000}"/>
            </a:ext>
          </a:extLst>
        </xdr:cNvPr>
        <xdr:cNvSpPr>
          <a:spLocks noChangeArrowheads="1"/>
        </xdr:cNvSpPr>
      </xdr:nvSpPr>
      <xdr:spPr bwMode="auto">
        <a:xfrm>
          <a:off x="13582996" y="8179101"/>
          <a:ext cx="758236" cy="147109"/>
        </a:xfrm>
        <a:prstGeom prst="rect">
          <a:avLst/>
        </a:prstGeom>
        <a:solidFill>
          <a:srgbClr val="FFFFFF"/>
        </a:solidFill>
        <a:ln w="9525">
          <a:noFill/>
          <a:miter lim="800000"/>
          <a:headEnd/>
          <a:tailEnd/>
        </a:ln>
      </xdr:spPr>
      <xdr:txBody>
        <a:bodyPr wrap="none" lIns="11585" tIns="5792" rIns="11585" bIns="5792" anchor="ctr" upright="1">
          <a:noAutofit/>
        </a:bodyPr>
        <a:lstStyle/>
        <a:p>
          <a:pPr algn="l" rtl="1">
            <a:defRPr sz="1000"/>
          </a:pPr>
          <a:r>
            <a:rPr lang="ko-KR" altLang="en-US" sz="1000" b="0" i="0" strike="noStrike">
              <a:solidFill>
                <a:srgbClr val="000000"/>
              </a:solidFill>
              <a:latin typeface="굴림"/>
              <a:ea typeface="굴림"/>
            </a:rPr>
            <a:t>계전기실</a:t>
          </a:r>
        </a:p>
      </xdr:txBody>
    </xdr:sp>
    <xdr:clientData/>
  </xdr:twoCellAnchor>
  <xdr:twoCellAnchor>
    <xdr:from>
      <xdr:col>62</xdr:col>
      <xdr:colOff>22411</xdr:colOff>
      <xdr:row>43</xdr:row>
      <xdr:rowOff>123264</xdr:rowOff>
    </xdr:from>
    <xdr:to>
      <xdr:col>62</xdr:col>
      <xdr:colOff>27732</xdr:colOff>
      <xdr:row>53</xdr:row>
      <xdr:rowOff>50532</xdr:rowOff>
    </xdr:to>
    <xdr:sp macro="" textlink="">
      <xdr:nvSpPr>
        <xdr:cNvPr id="537" name="Line 250">
          <a:extLst>
            <a:ext uri="{FF2B5EF4-FFF2-40B4-BE49-F238E27FC236}">
              <a16:creationId xmlns:a16="http://schemas.microsoft.com/office/drawing/2014/main" id="{00000000-0008-0000-1A00-000019020000}"/>
            </a:ext>
          </a:extLst>
        </xdr:cNvPr>
        <xdr:cNvSpPr>
          <a:spLocks noChangeShapeType="1"/>
        </xdr:cNvSpPr>
      </xdr:nvSpPr>
      <xdr:spPr bwMode="auto">
        <a:xfrm flipH="1" flipV="1">
          <a:off x="12662086" y="9276789"/>
          <a:ext cx="5321" cy="2022768"/>
        </a:xfrm>
        <a:prstGeom prst="line">
          <a:avLst/>
        </a:prstGeom>
        <a:noFill/>
        <a:ln w="17145">
          <a:solidFill>
            <a:srgbClr val="0000FF"/>
          </a:solidFill>
          <a:round/>
          <a:headEnd/>
          <a:tailEnd/>
        </a:ln>
      </xdr:spPr>
    </xdr:sp>
    <xdr:clientData/>
  </xdr:twoCellAnchor>
  <xdr:twoCellAnchor>
    <xdr:from>
      <xdr:col>65</xdr:col>
      <xdr:colOff>137789</xdr:colOff>
      <xdr:row>53</xdr:row>
      <xdr:rowOff>98513</xdr:rowOff>
    </xdr:from>
    <xdr:to>
      <xdr:col>69</xdr:col>
      <xdr:colOff>21343</xdr:colOff>
      <xdr:row>54</xdr:row>
      <xdr:rowOff>71526</xdr:rowOff>
    </xdr:to>
    <xdr:sp macro="" textlink="">
      <xdr:nvSpPr>
        <xdr:cNvPr id="538" name="Rectangle 192">
          <a:extLst>
            <a:ext uri="{FF2B5EF4-FFF2-40B4-BE49-F238E27FC236}">
              <a16:creationId xmlns:a16="http://schemas.microsoft.com/office/drawing/2014/main" id="{00000000-0008-0000-1A00-00001A020000}"/>
            </a:ext>
          </a:extLst>
        </xdr:cNvPr>
        <xdr:cNvSpPr>
          <a:spLocks noChangeArrowheads="1"/>
        </xdr:cNvSpPr>
      </xdr:nvSpPr>
      <xdr:spPr bwMode="auto">
        <a:xfrm>
          <a:off x="13577564" y="11347538"/>
          <a:ext cx="950354" cy="182563"/>
        </a:xfrm>
        <a:prstGeom prst="rect">
          <a:avLst/>
        </a:prstGeom>
        <a:solidFill>
          <a:srgbClr val="FFFFFF"/>
        </a:solidFill>
        <a:ln w="9525">
          <a:noFill/>
          <a:miter lim="800000"/>
          <a:headEnd/>
          <a:tailEnd/>
        </a:ln>
      </xdr:spPr>
      <xdr:txBody>
        <a:bodyPr wrap="none" lIns="11585" tIns="5792" rIns="11585" bIns="5792" anchor="ctr" upright="1">
          <a:noAutofit/>
        </a:bodyPr>
        <a:lstStyle/>
        <a:p>
          <a:pPr algn="l" rtl="1">
            <a:defRPr sz="1000"/>
          </a:pPr>
          <a:r>
            <a:rPr lang="en-US" altLang="ko-KR" sz="1000" b="0" i="0" strike="noStrike">
              <a:solidFill>
                <a:srgbClr val="000000"/>
              </a:solidFill>
              <a:latin typeface="굴림"/>
              <a:ea typeface="굴림"/>
            </a:rPr>
            <a:t>T/L</a:t>
          </a:r>
          <a:r>
            <a:rPr lang="ko-KR" altLang="en-US" sz="1000" b="0" i="0" strike="noStrike">
              <a:solidFill>
                <a:srgbClr val="000000"/>
              </a:solidFill>
              <a:latin typeface="굴림"/>
              <a:ea typeface="굴림"/>
            </a:rPr>
            <a:t>보호</a:t>
          </a:r>
          <a:r>
            <a:rPr lang="en-US" altLang="ko-KR" sz="1000" b="0" i="0" strike="noStrike">
              <a:solidFill>
                <a:srgbClr val="000000"/>
              </a:solidFill>
              <a:latin typeface="굴림"/>
              <a:ea typeface="굴림"/>
            </a:rPr>
            <a:t>PNL</a:t>
          </a:r>
          <a:r>
            <a:rPr lang="en-US" altLang="ko-KR" sz="1000" b="0" i="0" strike="noStrike" baseline="0">
              <a:solidFill>
                <a:srgbClr val="000000"/>
              </a:solidFill>
              <a:latin typeface="굴림"/>
              <a:ea typeface="굴림"/>
            </a:rPr>
            <a:t> (87)</a:t>
          </a:r>
          <a:endParaRPr lang="ko-KR" altLang="en-US" sz="1000" b="0" i="0" strike="noStrike">
            <a:solidFill>
              <a:srgbClr val="000000"/>
            </a:solidFill>
            <a:latin typeface="굴림"/>
            <a:ea typeface="굴림"/>
          </a:endParaRPr>
        </a:p>
      </xdr:txBody>
    </xdr:sp>
    <xdr:clientData/>
  </xdr:twoCellAnchor>
  <xdr:twoCellAnchor>
    <xdr:from>
      <xdr:col>65</xdr:col>
      <xdr:colOff>70201</xdr:colOff>
      <xdr:row>54</xdr:row>
      <xdr:rowOff>166873</xdr:rowOff>
    </xdr:from>
    <xdr:to>
      <xdr:col>69</xdr:col>
      <xdr:colOff>33618</xdr:colOff>
      <xdr:row>56</xdr:row>
      <xdr:rowOff>11205</xdr:rowOff>
    </xdr:to>
    <xdr:sp macro="" textlink="">
      <xdr:nvSpPr>
        <xdr:cNvPr id="539" name="Rectangle 193">
          <a:extLst>
            <a:ext uri="{FF2B5EF4-FFF2-40B4-BE49-F238E27FC236}">
              <a16:creationId xmlns:a16="http://schemas.microsoft.com/office/drawing/2014/main" id="{00000000-0008-0000-1A00-00001B020000}"/>
            </a:ext>
          </a:extLst>
        </xdr:cNvPr>
        <xdr:cNvSpPr>
          <a:spLocks noChangeArrowheads="1"/>
        </xdr:cNvSpPr>
      </xdr:nvSpPr>
      <xdr:spPr bwMode="auto">
        <a:xfrm>
          <a:off x="13509976" y="11625448"/>
          <a:ext cx="1030217" cy="263432"/>
        </a:xfrm>
        <a:prstGeom prst="rect">
          <a:avLst/>
        </a:prstGeom>
        <a:solidFill>
          <a:srgbClr val="FFFFFF"/>
        </a:solidFill>
        <a:ln w="9525">
          <a:noFill/>
          <a:miter lim="800000"/>
          <a:headEnd/>
          <a:tailEnd/>
        </a:ln>
      </xdr:spPr>
      <xdr:txBody>
        <a:bodyPr wrap="none" lIns="11585" tIns="5792" rIns="11585" bIns="5792" anchor="ctr" upright="1">
          <a:noAutofit/>
        </a:bodyPr>
        <a:lstStyle/>
        <a:p>
          <a:pPr rtl="1"/>
          <a:r>
            <a:rPr lang="en-US" altLang="ko-KR" sz="1100" b="0" i="0">
              <a:latin typeface="+mn-lt"/>
              <a:ea typeface="+mn-ea"/>
              <a:cs typeface="+mn-cs"/>
            </a:rPr>
            <a:t>T/L</a:t>
          </a:r>
          <a:r>
            <a:rPr lang="ko-KR" altLang="ko-KR" sz="1100" b="0" i="0">
              <a:latin typeface="+mn-lt"/>
              <a:ea typeface="+mn-ea"/>
              <a:cs typeface="+mn-cs"/>
            </a:rPr>
            <a:t>보호</a:t>
          </a:r>
          <a:r>
            <a:rPr lang="en-US" altLang="ko-KR" sz="1100" b="0" i="0">
              <a:latin typeface="+mn-lt"/>
              <a:ea typeface="+mn-ea"/>
              <a:cs typeface="+mn-cs"/>
            </a:rPr>
            <a:t>PNL</a:t>
          </a:r>
          <a:r>
            <a:rPr lang="en-US" altLang="ko-KR" sz="1100" b="0" i="0" baseline="0">
              <a:latin typeface="+mn-lt"/>
              <a:ea typeface="+mn-ea"/>
              <a:cs typeface="+mn-cs"/>
            </a:rPr>
            <a:t>  (21)</a:t>
          </a:r>
          <a:endParaRPr lang="ko-KR" altLang="ko-KR" sz="1100" b="0" i="0">
            <a:latin typeface="+mn-lt"/>
            <a:ea typeface="+mn-ea"/>
            <a:cs typeface="+mn-cs"/>
          </a:endParaRPr>
        </a:p>
      </xdr:txBody>
    </xdr:sp>
    <xdr:clientData/>
  </xdr:twoCellAnchor>
  <xdr:twoCellAnchor>
    <xdr:from>
      <xdr:col>63</xdr:col>
      <xdr:colOff>11542</xdr:colOff>
      <xdr:row>53</xdr:row>
      <xdr:rowOff>198011</xdr:rowOff>
    </xdr:from>
    <xdr:to>
      <xdr:col>65</xdr:col>
      <xdr:colOff>27547</xdr:colOff>
      <xdr:row>53</xdr:row>
      <xdr:rowOff>198011</xdr:rowOff>
    </xdr:to>
    <xdr:sp macro="" textlink="">
      <xdr:nvSpPr>
        <xdr:cNvPr id="540" name="Line 194">
          <a:extLst>
            <a:ext uri="{FF2B5EF4-FFF2-40B4-BE49-F238E27FC236}">
              <a16:creationId xmlns:a16="http://schemas.microsoft.com/office/drawing/2014/main" id="{00000000-0008-0000-1A00-00001C020000}"/>
            </a:ext>
          </a:extLst>
        </xdr:cNvPr>
        <xdr:cNvSpPr>
          <a:spLocks noChangeShapeType="1"/>
        </xdr:cNvSpPr>
      </xdr:nvSpPr>
      <xdr:spPr bwMode="auto">
        <a:xfrm>
          <a:off x="12917917" y="11447036"/>
          <a:ext cx="549405" cy="0"/>
        </a:xfrm>
        <a:prstGeom prst="line">
          <a:avLst/>
        </a:prstGeom>
        <a:noFill/>
        <a:ln w="17145">
          <a:solidFill>
            <a:srgbClr val="000000"/>
          </a:solidFill>
          <a:round/>
          <a:headEnd/>
          <a:tailEnd/>
        </a:ln>
      </xdr:spPr>
    </xdr:sp>
    <xdr:clientData/>
  </xdr:twoCellAnchor>
  <xdr:twoCellAnchor>
    <xdr:from>
      <xdr:col>63</xdr:col>
      <xdr:colOff>11541</xdr:colOff>
      <xdr:row>55</xdr:row>
      <xdr:rowOff>89826</xdr:rowOff>
    </xdr:from>
    <xdr:to>
      <xdr:col>65</xdr:col>
      <xdr:colOff>40990</xdr:colOff>
      <xdr:row>55</xdr:row>
      <xdr:rowOff>89826</xdr:rowOff>
    </xdr:to>
    <xdr:sp macro="" textlink="">
      <xdr:nvSpPr>
        <xdr:cNvPr id="541" name="Line 195">
          <a:extLst>
            <a:ext uri="{FF2B5EF4-FFF2-40B4-BE49-F238E27FC236}">
              <a16:creationId xmlns:a16="http://schemas.microsoft.com/office/drawing/2014/main" id="{00000000-0008-0000-1A00-00001D020000}"/>
            </a:ext>
          </a:extLst>
        </xdr:cNvPr>
        <xdr:cNvSpPr>
          <a:spLocks noChangeShapeType="1"/>
        </xdr:cNvSpPr>
      </xdr:nvSpPr>
      <xdr:spPr bwMode="auto">
        <a:xfrm>
          <a:off x="12917916" y="11757951"/>
          <a:ext cx="562849" cy="0"/>
        </a:xfrm>
        <a:prstGeom prst="line">
          <a:avLst/>
        </a:prstGeom>
        <a:noFill/>
        <a:ln w="17145">
          <a:solidFill>
            <a:srgbClr val="000000"/>
          </a:solidFill>
          <a:round/>
          <a:headEnd/>
          <a:tailEnd/>
        </a:ln>
      </xdr:spPr>
    </xdr:sp>
    <xdr:clientData/>
  </xdr:twoCellAnchor>
  <xdr:twoCellAnchor>
    <xdr:from>
      <xdr:col>54</xdr:col>
      <xdr:colOff>199025</xdr:colOff>
      <xdr:row>51</xdr:row>
      <xdr:rowOff>84011</xdr:rowOff>
    </xdr:from>
    <xdr:to>
      <xdr:col>57</xdr:col>
      <xdr:colOff>48828</xdr:colOff>
      <xdr:row>52</xdr:row>
      <xdr:rowOff>57024</xdr:rowOff>
    </xdr:to>
    <xdr:sp macro="" textlink="">
      <xdr:nvSpPr>
        <xdr:cNvPr id="542" name="Rectangle 189">
          <a:extLst>
            <a:ext uri="{FF2B5EF4-FFF2-40B4-BE49-F238E27FC236}">
              <a16:creationId xmlns:a16="http://schemas.microsoft.com/office/drawing/2014/main" id="{00000000-0008-0000-1A00-00001E020000}"/>
            </a:ext>
          </a:extLst>
        </xdr:cNvPr>
        <xdr:cNvSpPr>
          <a:spLocks noChangeArrowheads="1"/>
        </xdr:cNvSpPr>
      </xdr:nvSpPr>
      <xdr:spPr bwMode="auto">
        <a:xfrm>
          <a:off x="10705100" y="10913936"/>
          <a:ext cx="649903" cy="182563"/>
        </a:xfrm>
        <a:prstGeom prst="rect">
          <a:avLst/>
        </a:prstGeom>
        <a:solidFill>
          <a:srgbClr val="FFFFFF"/>
        </a:solidFill>
        <a:ln w="9525">
          <a:noFill/>
          <a:miter lim="800000"/>
          <a:headEnd/>
          <a:tailEnd/>
        </a:ln>
      </xdr:spPr>
      <xdr:txBody>
        <a:bodyPr wrap="none" lIns="11585" tIns="5792" rIns="11585" bIns="5792" anchor="ctr" upright="1">
          <a:noAutofit/>
        </a:bodyPr>
        <a:lstStyle/>
        <a:p>
          <a:pPr algn="ctr" rtl="1">
            <a:defRPr sz="1000"/>
          </a:pPr>
          <a:r>
            <a:rPr lang="ko-KR" altLang="en-US" sz="1000" b="0" i="0" strike="noStrike">
              <a:solidFill>
                <a:srgbClr val="000000"/>
              </a:solidFill>
              <a:latin typeface="굴림"/>
              <a:ea typeface="굴림"/>
            </a:rPr>
            <a:t>보호계전기</a:t>
          </a:r>
        </a:p>
      </xdr:txBody>
    </xdr:sp>
    <xdr:clientData/>
  </xdr:twoCellAnchor>
  <xdr:twoCellAnchor>
    <xdr:from>
      <xdr:col>67</xdr:col>
      <xdr:colOff>46246</xdr:colOff>
      <xdr:row>47</xdr:row>
      <xdr:rowOff>44094</xdr:rowOff>
    </xdr:from>
    <xdr:to>
      <xdr:col>71</xdr:col>
      <xdr:colOff>23749</xdr:colOff>
      <xdr:row>48</xdr:row>
      <xdr:rowOff>17107</xdr:rowOff>
    </xdr:to>
    <xdr:sp macro="" textlink="">
      <xdr:nvSpPr>
        <xdr:cNvPr id="543" name="Rectangle 192">
          <a:extLst>
            <a:ext uri="{FF2B5EF4-FFF2-40B4-BE49-F238E27FC236}">
              <a16:creationId xmlns:a16="http://schemas.microsoft.com/office/drawing/2014/main" id="{00000000-0008-0000-1A00-00001F020000}"/>
            </a:ext>
          </a:extLst>
        </xdr:cNvPr>
        <xdr:cNvSpPr>
          <a:spLocks noChangeArrowheads="1"/>
        </xdr:cNvSpPr>
      </xdr:nvSpPr>
      <xdr:spPr bwMode="auto">
        <a:xfrm>
          <a:off x="14019421" y="10035819"/>
          <a:ext cx="1044303" cy="182563"/>
        </a:xfrm>
        <a:prstGeom prst="rect">
          <a:avLst/>
        </a:prstGeom>
        <a:solidFill>
          <a:srgbClr val="FFFFFF"/>
        </a:solidFill>
        <a:ln w="9525">
          <a:noFill/>
          <a:miter lim="800000"/>
          <a:headEnd/>
          <a:tailEnd/>
        </a:ln>
      </xdr:spPr>
      <xdr:txBody>
        <a:bodyPr wrap="square" lIns="11585" tIns="5792" rIns="11585" bIns="5792" anchor="ctr" upright="1">
          <a:noAutofit/>
        </a:bodyPr>
        <a:lstStyle/>
        <a:p>
          <a:pPr algn="l" rtl="1">
            <a:defRPr sz="1000"/>
          </a:pPr>
          <a:r>
            <a:rPr lang="en-US" altLang="ko-KR" sz="1000" b="0" i="0" strike="noStrike">
              <a:solidFill>
                <a:srgbClr val="000000"/>
              </a:solidFill>
              <a:latin typeface="굴림"/>
              <a:ea typeface="굴림"/>
            </a:rPr>
            <a:t>BUS</a:t>
          </a:r>
          <a:r>
            <a:rPr lang="ko-KR" altLang="en-US" sz="1000" b="0" i="0" strike="noStrike">
              <a:solidFill>
                <a:srgbClr val="000000"/>
              </a:solidFill>
              <a:latin typeface="굴림"/>
              <a:ea typeface="굴림"/>
            </a:rPr>
            <a:t>보호</a:t>
          </a:r>
          <a:r>
            <a:rPr lang="en-US" altLang="ko-KR" sz="1000" b="0" i="0" strike="noStrike">
              <a:solidFill>
                <a:srgbClr val="000000"/>
              </a:solidFill>
              <a:latin typeface="굴림"/>
              <a:ea typeface="굴림"/>
            </a:rPr>
            <a:t>PNL</a:t>
          </a:r>
          <a:endParaRPr lang="ko-KR" altLang="en-US" sz="1000" b="0" i="0" strike="noStrike">
            <a:solidFill>
              <a:srgbClr val="000000"/>
            </a:solidFill>
            <a:latin typeface="굴림"/>
            <a:ea typeface="굴림"/>
          </a:endParaRPr>
        </a:p>
      </xdr:txBody>
    </xdr:sp>
    <xdr:clientData/>
  </xdr:twoCellAnchor>
  <xdr:twoCellAnchor>
    <xdr:from>
      <xdr:col>65</xdr:col>
      <xdr:colOff>659</xdr:colOff>
      <xdr:row>47</xdr:row>
      <xdr:rowOff>136857</xdr:rowOff>
    </xdr:from>
    <xdr:to>
      <xdr:col>67</xdr:col>
      <xdr:colOff>56030</xdr:colOff>
      <xdr:row>47</xdr:row>
      <xdr:rowOff>136857</xdr:rowOff>
    </xdr:to>
    <xdr:sp macro="" textlink="">
      <xdr:nvSpPr>
        <xdr:cNvPr id="544" name="Line 194">
          <a:extLst>
            <a:ext uri="{FF2B5EF4-FFF2-40B4-BE49-F238E27FC236}">
              <a16:creationId xmlns:a16="http://schemas.microsoft.com/office/drawing/2014/main" id="{00000000-0008-0000-1A00-000020020000}"/>
            </a:ext>
          </a:extLst>
        </xdr:cNvPr>
        <xdr:cNvSpPr>
          <a:spLocks noChangeShapeType="1"/>
        </xdr:cNvSpPr>
      </xdr:nvSpPr>
      <xdr:spPr bwMode="auto">
        <a:xfrm flipV="1">
          <a:off x="13440434" y="10128582"/>
          <a:ext cx="588771" cy="0"/>
        </a:xfrm>
        <a:prstGeom prst="line">
          <a:avLst/>
        </a:prstGeom>
        <a:noFill/>
        <a:ln w="17145">
          <a:solidFill>
            <a:srgbClr val="000000"/>
          </a:solidFill>
          <a:round/>
          <a:headEnd/>
          <a:tailEnd/>
        </a:ln>
      </xdr:spPr>
    </xdr:sp>
    <xdr:clientData/>
  </xdr:twoCellAnchor>
  <xdr:twoCellAnchor>
    <xdr:from>
      <xdr:col>60</xdr:col>
      <xdr:colOff>14415</xdr:colOff>
      <xdr:row>52</xdr:row>
      <xdr:rowOff>176501</xdr:rowOff>
    </xdr:from>
    <xdr:to>
      <xdr:col>63</xdr:col>
      <xdr:colOff>27671</xdr:colOff>
      <xdr:row>56</xdr:row>
      <xdr:rowOff>161494</xdr:rowOff>
    </xdr:to>
    <xdr:pic>
      <xdr:nvPicPr>
        <xdr:cNvPr id="545" name="Picture 8">
          <a:extLst>
            <a:ext uri="{FF2B5EF4-FFF2-40B4-BE49-F238E27FC236}">
              <a16:creationId xmlns:a16="http://schemas.microsoft.com/office/drawing/2014/main" id="{00000000-0008-0000-1A00-000021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120690" y="11215976"/>
          <a:ext cx="813356" cy="823193"/>
        </a:xfrm>
        <a:prstGeom prst="rect">
          <a:avLst/>
        </a:prstGeom>
        <a:noFill/>
        <a:ln w="9525">
          <a:noFill/>
          <a:miter lim="800000"/>
          <a:headEnd/>
          <a:tailEnd/>
        </a:ln>
      </xdr:spPr>
    </xdr:pic>
    <xdr:clientData/>
  </xdr:twoCellAnchor>
  <xdr:twoCellAnchor>
    <xdr:from>
      <xdr:col>52</xdr:col>
      <xdr:colOff>181709</xdr:colOff>
      <xdr:row>53</xdr:row>
      <xdr:rowOff>11565</xdr:rowOff>
    </xdr:from>
    <xdr:to>
      <xdr:col>56</xdr:col>
      <xdr:colOff>131085</xdr:colOff>
      <xdr:row>53</xdr:row>
      <xdr:rowOff>197490</xdr:rowOff>
    </xdr:to>
    <xdr:sp macro="" textlink="">
      <xdr:nvSpPr>
        <xdr:cNvPr id="546" name="Rectangle 192">
          <a:extLst>
            <a:ext uri="{FF2B5EF4-FFF2-40B4-BE49-F238E27FC236}">
              <a16:creationId xmlns:a16="http://schemas.microsoft.com/office/drawing/2014/main" id="{00000000-0008-0000-1A00-000022020000}"/>
            </a:ext>
          </a:extLst>
        </xdr:cNvPr>
        <xdr:cNvSpPr>
          <a:spLocks noChangeArrowheads="1"/>
        </xdr:cNvSpPr>
      </xdr:nvSpPr>
      <xdr:spPr bwMode="auto">
        <a:xfrm>
          <a:off x="10154384" y="11260590"/>
          <a:ext cx="1016176" cy="185925"/>
        </a:xfrm>
        <a:prstGeom prst="rect">
          <a:avLst/>
        </a:prstGeom>
        <a:solidFill>
          <a:srgbClr val="FFFFFF"/>
        </a:solidFill>
        <a:ln w="9525">
          <a:noFill/>
          <a:miter lim="800000"/>
          <a:headEnd/>
          <a:tailEnd/>
        </a:ln>
      </xdr:spPr>
      <xdr:txBody>
        <a:bodyPr wrap="none" lIns="11585" tIns="5792" rIns="11585" bIns="5792" anchor="ctr" upright="1">
          <a:noAutofit/>
        </a:bodyPr>
        <a:lstStyle/>
        <a:p>
          <a:pPr algn="ctr" rtl="1">
            <a:defRPr sz="1000"/>
          </a:pPr>
          <a:r>
            <a:rPr lang="en-US" altLang="ko-KR" sz="1000" b="0" i="0" strike="noStrike">
              <a:solidFill>
                <a:srgbClr val="000000"/>
              </a:solidFill>
              <a:latin typeface="굴림"/>
              <a:ea typeface="굴림"/>
            </a:rPr>
            <a:t>M.Tr</a:t>
          </a:r>
          <a:r>
            <a:rPr lang="ko-KR" altLang="en-US" sz="1000" b="0" i="0" strike="noStrike">
              <a:solidFill>
                <a:srgbClr val="000000"/>
              </a:solidFill>
              <a:latin typeface="굴림"/>
              <a:ea typeface="굴림"/>
            </a:rPr>
            <a:t>보호</a:t>
          </a:r>
          <a:r>
            <a:rPr lang="en-US" altLang="ko-KR" sz="1000" b="0" i="0" strike="noStrike">
              <a:solidFill>
                <a:srgbClr val="000000"/>
              </a:solidFill>
              <a:latin typeface="굴림"/>
              <a:ea typeface="굴림"/>
            </a:rPr>
            <a:t>PNL</a:t>
          </a:r>
          <a:endParaRPr lang="ko-KR" altLang="en-US" sz="1000" b="0" i="0" strike="noStrike">
            <a:solidFill>
              <a:srgbClr val="000000"/>
            </a:solidFill>
            <a:latin typeface="굴림"/>
            <a:ea typeface="굴림"/>
          </a:endParaRPr>
        </a:p>
      </xdr:txBody>
    </xdr:sp>
    <xdr:clientData/>
  </xdr:twoCellAnchor>
  <xdr:twoCellAnchor>
    <xdr:from>
      <xdr:col>52</xdr:col>
      <xdr:colOff>94047</xdr:colOff>
      <xdr:row>54</xdr:row>
      <xdr:rowOff>65745</xdr:rowOff>
    </xdr:from>
    <xdr:to>
      <xdr:col>56</xdr:col>
      <xdr:colOff>132683</xdr:colOff>
      <xdr:row>55</xdr:row>
      <xdr:rowOff>119211</xdr:rowOff>
    </xdr:to>
    <xdr:sp macro="" textlink="">
      <xdr:nvSpPr>
        <xdr:cNvPr id="547" name="Rectangle 193">
          <a:extLst>
            <a:ext uri="{FF2B5EF4-FFF2-40B4-BE49-F238E27FC236}">
              <a16:creationId xmlns:a16="http://schemas.microsoft.com/office/drawing/2014/main" id="{00000000-0008-0000-1A00-000023020000}"/>
            </a:ext>
          </a:extLst>
        </xdr:cNvPr>
        <xdr:cNvSpPr>
          <a:spLocks noChangeArrowheads="1"/>
        </xdr:cNvSpPr>
      </xdr:nvSpPr>
      <xdr:spPr bwMode="auto">
        <a:xfrm>
          <a:off x="10066722" y="11524320"/>
          <a:ext cx="1105436" cy="263016"/>
        </a:xfrm>
        <a:prstGeom prst="rect">
          <a:avLst/>
        </a:prstGeom>
        <a:solidFill>
          <a:srgbClr val="FFFFFF"/>
        </a:solidFill>
        <a:ln w="9525">
          <a:noFill/>
          <a:miter lim="800000"/>
          <a:headEnd/>
          <a:tailEnd/>
        </a:ln>
      </xdr:spPr>
      <xdr:txBody>
        <a:bodyPr wrap="none" lIns="11585" tIns="5792" rIns="11585" bIns="5792" anchor="ctr" upright="1">
          <a:noAutofit/>
        </a:bodyPr>
        <a:lstStyle/>
        <a:p>
          <a:pPr algn="ctr" rtl="1"/>
          <a:r>
            <a:rPr lang="en-US" altLang="ko-KR" sz="1100" b="0" i="0">
              <a:latin typeface="+mn-lt"/>
              <a:ea typeface="+mn-ea"/>
              <a:cs typeface="+mn-cs"/>
            </a:rPr>
            <a:t>BFP PNL</a:t>
          </a:r>
          <a:endParaRPr lang="ko-KR" altLang="ko-KR" sz="1100" b="0" i="0">
            <a:latin typeface="+mn-lt"/>
            <a:ea typeface="+mn-ea"/>
            <a:cs typeface="+mn-cs"/>
          </a:endParaRPr>
        </a:p>
      </xdr:txBody>
    </xdr:sp>
    <xdr:clientData/>
  </xdr:twoCellAnchor>
  <xdr:twoCellAnchor>
    <xdr:from>
      <xdr:col>64</xdr:col>
      <xdr:colOff>37014</xdr:colOff>
      <xdr:row>42</xdr:row>
      <xdr:rowOff>110365</xdr:rowOff>
    </xdr:from>
    <xdr:to>
      <xdr:col>66</xdr:col>
      <xdr:colOff>139595</xdr:colOff>
      <xdr:row>43</xdr:row>
      <xdr:rowOff>110158</xdr:rowOff>
    </xdr:to>
    <xdr:pic>
      <xdr:nvPicPr>
        <xdr:cNvPr id="548" name="Picture 99" descr="허브">
          <a:extLst>
            <a:ext uri="{FF2B5EF4-FFF2-40B4-BE49-F238E27FC236}">
              <a16:creationId xmlns:a16="http://schemas.microsoft.com/office/drawing/2014/main" id="{00000000-0008-0000-1A00-00002402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3210089" y="9054340"/>
          <a:ext cx="635981" cy="209343"/>
        </a:xfrm>
        <a:prstGeom prst="rect">
          <a:avLst/>
        </a:prstGeom>
        <a:noFill/>
        <a:ln w="9525">
          <a:noFill/>
          <a:miter lim="800000"/>
          <a:headEnd/>
          <a:tailEnd/>
        </a:ln>
      </xdr:spPr>
    </xdr:pic>
    <xdr:clientData/>
  </xdr:twoCellAnchor>
  <xdr:twoCellAnchor>
    <xdr:from>
      <xdr:col>58</xdr:col>
      <xdr:colOff>227311</xdr:colOff>
      <xdr:row>42</xdr:row>
      <xdr:rowOff>97567</xdr:rowOff>
    </xdr:from>
    <xdr:to>
      <xdr:col>61</xdr:col>
      <xdr:colOff>103655</xdr:colOff>
      <xdr:row>43</xdr:row>
      <xdr:rowOff>111542</xdr:rowOff>
    </xdr:to>
    <xdr:pic>
      <xdr:nvPicPr>
        <xdr:cNvPr id="549" name="Picture 99" descr="허브">
          <a:extLst>
            <a:ext uri="{FF2B5EF4-FFF2-40B4-BE49-F238E27FC236}">
              <a16:creationId xmlns:a16="http://schemas.microsoft.com/office/drawing/2014/main" id="{00000000-0008-0000-1A00-00002502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1800186" y="9041542"/>
          <a:ext cx="676444" cy="223525"/>
        </a:xfrm>
        <a:prstGeom prst="rect">
          <a:avLst/>
        </a:prstGeom>
        <a:noFill/>
        <a:ln w="9525">
          <a:noFill/>
          <a:miter lim="800000"/>
          <a:headEnd/>
          <a:tailEnd/>
        </a:ln>
      </xdr:spPr>
    </xdr:pic>
    <xdr:clientData/>
  </xdr:twoCellAnchor>
  <xdr:twoCellAnchor>
    <xdr:from>
      <xdr:col>56</xdr:col>
      <xdr:colOff>142436</xdr:colOff>
      <xdr:row>52</xdr:row>
      <xdr:rowOff>133961</xdr:rowOff>
    </xdr:from>
    <xdr:to>
      <xdr:col>59</xdr:col>
      <xdr:colOff>155691</xdr:colOff>
      <xdr:row>56</xdr:row>
      <xdr:rowOff>118954</xdr:rowOff>
    </xdr:to>
    <xdr:pic>
      <xdr:nvPicPr>
        <xdr:cNvPr id="550" name="Picture 8">
          <a:extLst>
            <a:ext uri="{FF2B5EF4-FFF2-40B4-BE49-F238E27FC236}">
              <a16:creationId xmlns:a16="http://schemas.microsoft.com/office/drawing/2014/main" id="{00000000-0008-0000-1A00-000026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181911" y="11173436"/>
          <a:ext cx="813355" cy="823193"/>
        </a:xfrm>
        <a:prstGeom prst="rect">
          <a:avLst/>
        </a:prstGeom>
        <a:noFill/>
        <a:ln w="9525">
          <a:noFill/>
          <a:miter lim="800000"/>
          <a:headEnd/>
          <a:tailEnd/>
        </a:ln>
      </xdr:spPr>
    </xdr:pic>
    <xdr:clientData/>
  </xdr:twoCellAnchor>
  <xdr:twoCellAnchor>
    <xdr:from>
      <xdr:col>55</xdr:col>
      <xdr:colOff>71875</xdr:colOff>
      <xdr:row>44</xdr:row>
      <xdr:rowOff>81572</xdr:rowOff>
    </xdr:from>
    <xdr:to>
      <xdr:col>58</xdr:col>
      <xdr:colOff>90509</xdr:colOff>
      <xdr:row>45</xdr:row>
      <xdr:rowOff>155261</xdr:rowOff>
    </xdr:to>
    <xdr:sp macro="" textlink="">
      <xdr:nvSpPr>
        <xdr:cNvPr id="551" name="Rectangle 252">
          <a:extLst>
            <a:ext uri="{FF2B5EF4-FFF2-40B4-BE49-F238E27FC236}">
              <a16:creationId xmlns:a16="http://schemas.microsoft.com/office/drawing/2014/main" id="{00000000-0008-0000-1A00-000027020000}"/>
            </a:ext>
          </a:extLst>
        </xdr:cNvPr>
        <xdr:cNvSpPr>
          <a:spLocks noChangeArrowheads="1"/>
        </xdr:cNvSpPr>
      </xdr:nvSpPr>
      <xdr:spPr bwMode="auto">
        <a:xfrm>
          <a:off x="10844650" y="9444647"/>
          <a:ext cx="818734" cy="283239"/>
        </a:xfrm>
        <a:prstGeom prst="rect">
          <a:avLst/>
        </a:prstGeom>
        <a:solidFill>
          <a:srgbClr val="FFFFFF"/>
        </a:solidFill>
        <a:ln w="9525">
          <a:noFill/>
          <a:miter lim="800000"/>
          <a:headEnd/>
          <a:tailEnd/>
        </a:ln>
      </xdr:spPr>
      <xdr:txBody>
        <a:bodyPr wrap="none" lIns="11585" tIns="5792" rIns="11585" bIns="5792" anchor="ctr" upright="1">
          <a:noAutofit/>
        </a:bodyPr>
        <a:lstStyle/>
        <a:p>
          <a:pPr algn="ctr" rtl="1">
            <a:defRPr sz="1000"/>
          </a:pPr>
          <a:r>
            <a:rPr lang="ko-KR" altLang="en-US" sz="1000" b="1" i="0" strike="noStrike">
              <a:solidFill>
                <a:srgbClr val="FF6600"/>
              </a:solidFill>
              <a:latin typeface="굴림"/>
              <a:ea typeface="굴림"/>
            </a:rPr>
            <a:t>지상</a:t>
          </a:r>
          <a:r>
            <a:rPr lang="en-US" altLang="ko-KR" sz="1000" b="1" i="0" strike="noStrike">
              <a:solidFill>
                <a:srgbClr val="FF6600"/>
              </a:solidFill>
              <a:latin typeface="굴림"/>
              <a:ea typeface="굴림"/>
            </a:rPr>
            <a:t>1</a:t>
          </a:r>
          <a:r>
            <a:rPr lang="ko-KR" altLang="en-US" sz="1000" b="1" i="0" strike="noStrike">
              <a:solidFill>
                <a:srgbClr val="FF6600"/>
              </a:solidFill>
              <a:latin typeface="굴림"/>
              <a:ea typeface="굴림"/>
            </a:rPr>
            <a:t>층 계전기실</a:t>
          </a:r>
        </a:p>
      </xdr:txBody>
    </xdr:sp>
    <xdr:clientData/>
  </xdr:twoCellAnchor>
  <xdr:twoCellAnchor>
    <xdr:from>
      <xdr:col>61</xdr:col>
      <xdr:colOff>130826</xdr:colOff>
      <xdr:row>42</xdr:row>
      <xdr:rowOff>95904</xdr:rowOff>
    </xdr:from>
    <xdr:to>
      <xdr:col>64</xdr:col>
      <xdr:colOff>7169</xdr:colOff>
      <xdr:row>43</xdr:row>
      <xdr:rowOff>109879</xdr:rowOff>
    </xdr:to>
    <xdr:pic>
      <xdr:nvPicPr>
        <xdr:cNvPr id="552" name="Picture 99" descr="허브">
          <a:extLst>
            <a:ext uri="{FF2B5EF4-FFF2-40B4-BE49-F238E27FC236}">
              <a16:creationId xmlns:a16="http://schemas.microsoft.com/office/drawing/2014/main" id="{00000000-0008-0000-1A00-00002802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2503801" y="9039879"/>
          <a:ext cx="676443" cy="223525"/>
        </a:xfrm>
        <a:prstGeom prst="rect">
          <a:avLst/>
        </a:prstGeom>
        <a:noFill/>
        <a:ln w="9525">
          <a:noFill/>
          <a:miter lim="800000"/>
          <a:headEnd/>
          <a:tailEnd/>
        </a:ln>
      </xdr:spPr>
    </xdr:pic>
    <xdr:clientData/>
  </xdr:twoCellAnchor>
  <xdr:twoCellAnchor>
    <xdr:from>
      <xdr:col>58</xdr:col>
      <xdr:colOff>163287</xdr:colOff>
      <xdr:row>43</xdr:row>
      <xdr:rowOff>156689</xdr:rowOff>
    </xdr:from>
    <xdr:to>
      <xdr:col>70</xdr:col>
      <xdr:colOff>27218</xdr:colOff>
      <xdr:row>43</xdr:row>
      <xdr:rowOff>177693</xdr:rowOff>
    </xdr:to>
    <xdr:sp macro="" textlink="">
      <xdr:nvSpPr>
        <xdr:cNvPr id="553" name="Line 5">
          <a:extLst>
            <a:ext uri="{FF2B5EF4-FFF2-40B4-BE49-F238E27FC236}">
              <a16:creationId xmlns:a16="http://schemas.microsoft.com/office/drawing/2014/main" id="{00000000-0008-0000-1A00-000029020000}"/>
            </a:ext>
          </a:extLst>
        </xdr:cNvPr>
        <xdr:cNvSpPr>
          <a:spLocks noChangeShapeType="1"/>
        </xdr:cNvSpPr>
      </xdr:nvSpPr>
      <xdr:spPr bwMode="auto">
        <a:xfrm rot="5400000" flipH="1" flipV="1">
          <a:off x="13257826" y="7788550"/>
          <a:ext cx="21004" cy="3064331"/>
        </a:xfrm>
        <a:prstGeom prst="line">
          <a:avLst/>
        </a:prstGeom>
        <a:noFill/>
        <a:ln w="9525">
          <a:solidFill>
            <a:srgbClr val="000000"/>
          </a:solidFill>
          <a:prstDash val="lgDash"/>
          <a:round/>
          <a:headEnd/>
          <a:tailEnd/>
        </a:ln>
      </xdr:spPr>
    </xdr:sp>
    <xdr:clientData/>
  </xdr:twoCellAnchor>
  <xdr:twoCellAnchor editAs="oneCell">
    <xdr:from>
      <xdr:col>59</xdr:col>
      <xdr:colOff>244929</xdr:colOff>
      <xdr:row>38</xdr:row>
      <xdr:rowOff>171549</xdr:rowOff>
    </xdr:from>
    <xdr:to>
      <xdr:col>64</xdr:col>
      <xdr:colOff>262616</xdr:colOff>
      <xdr:row>42</xdr:row>
      <xdr:rowOff>3174</xdr:rowOff>
    </xdr:to>
    <xdr:pic>
      <xdr:nvPicPr>
        <xdr:cNvPr id="554" name="Picture 5">
          <a:extLst>
            <a:ext uri="{FF2B5EF4-FFF2-40B4-BE49-F238E27FC236}">
              <a16:creationId xmlns:a16="http://schemas.microsoft.com/office/drawing/2014/main" id="{00000000-0008-0000-1A00-00002A02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2084504" y="8277324"/>
          <a:ext cx="1351188" cy="666650"/>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62</xdr:col>
          <xdr:colOff>247650</xdr:colOff>
          <xdr:row>23</xdr:row>
          <xdr:rowOff>38100</xdr:rowOff>
        </xdr:from>
        <xdr:to>
          <xdr:col>65</xdr:col>
          <xdr:colOff>47625</xdr:colOff>
          <xdr:row>24</xdr:row>
          <xdr:rowOff>171450</xdr:rowOff>
        </xdr:to>
        <xdr:sp macro="" textlink="">
          <xdr:nvSpPr>
            <xdr:cNvPr id="8203" name="Object 11" hidden="1">
              <a:extLst>
                <a:ext uri="{63B3BB69-23CF-44E3-9099-C40C66FF867C}">
                  <a14:compatExt spid="_x0000_s8203"/>
                </a:ext>
                <a:ext uri="{FF2B5EF4-FFF2-40B4-BE49-F238E27FC236}">
                  <a16:creationId xmlns:a16="http://schemas.microsoft.com/office/drawing/2014/main" id="{00000000-0008-0000-1A00-00000B200000}"/>
                </a:ext>
              </a:extLst>
            </xdr:cNvPr>
            <xdr:cNvSpPr/>
          </xdr:nvSpPr>
          <xdr:spPr bwMode="auto">
            <a:xfrm>
              <a:off x="0" y="0"/>
              <a:ext cx="0" cy="0"/>
            </a:xfrm>
            <a:prstGeom prst="rect">
              <a:avLst/>
            </a:prstGeom>
            <a:noFill/>
            <a:extLst>
              <a:ext uri="{909E8E84-426E-40DD-AFC4-6F175D3DCCD1}">
                <a14:hiddenFill>
                  <a:solidFill>
                    <a:srgbClr val="CC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63</xdr:col>
          <xdr:colOff>0</xdr:colOff>
          <xdr:row>27</xdr:row>
          <xdr:rowOff>66675</xdr:rowOff>
        </xdr:from>
        <xdr:to>
          <xdr:col>66</xdr:col>
          <xdr:colOff>104775</xdr:colOff>
          <xdr:row>28</xdr:row>
          <xdr:rowOff>104775</xdr:rowOff>
        </xdr:to>
        <xdr:sp macro="" textlink="">
          <xdr:nvSpPr>
            <xdr:cNvPr id="8204" name="Object 12" hidden="1">
              <a:extLst>
                <a:ext uri="{63B3BB69-23CF-44E3-9099-C40C66FF867C}">
                  <a14:compatExt spid="_x0000_s8204"/>
                </a:ext>
                <a:ext uri="{FF2B5EF4-FFF2-40B4-BE49-F238E27FC236}">
                  <a16:creationId xmlns:a16="http://schemas.microsoft.com/office/drawing/2014/main" id="{00000000-0008-0000-1A00-00000C200000}"/>
                </a:ext>
              </a:extLst>
            </xdr:cNvPr>
            <xdr:cNvSpPr/>
          </xdr:nvSpPr>
          <xdr:spPr bwMode="auto">
            <a:xfrm>
              <a:off x="0" y="0"/>
              <a:ext cx="0" cy="0"/>
            </a:xfrm>
            <a:prstGeom prst="rect">
              <a:avLst/>
            </a:prstGeom>
            <a:noFill/>
            <a:ln>
              <a:noFill/>
            </a:ln>
            <a:effectLst/>
            <a:extLst>
              <a:ext uri="{909E8E84-426E-40DD-AFC4-6F175D3DCCD1}">
                <a14:hiddenFill>
                  <a:solidFill>
                    <a:srgbClr val="99CC99"/>
                  </a:solidFill>
                </a14:hiddenFill>
              </a:ext>
              <a:ext uri="{91240B29-F687-4F45-9708-019B960494DF}">
                <a14:hiddenLine w="9525">
                  <a:solidFill>
                    <a:srgbClr val="003366"/>
                  </a:solidFill>
                  <a:miter lim="800000"/>
                  <a:headEnd/>
                  <a:tailEnd/>
                </a14:hiddenLine>
              </a:ext>
              <a:ext uri="{AF507438-7753-43E0-B8FC-AC1667EBCBE1}">
                <a14:hiddenEffects>
                  <a:effectLst>
                    <a:outerShdw dist="35921" dir="2700000" algn="ctr" rotWithShape="0">
                      <a:srgbClr val="003366"/>
                    </a:outerShdw>
                  </a:effectLst>
                </a14:hiddenEffects>
              </a:ext>
            </a:extLst>
          </xdr:spPr>
        </xdr:sp>
        <xdr:clientData/>
      </xdr:twoCellAnchor>
    </mc:Choice>
    <mc:Fallback/>
  </mc:AlternateContent>
  <xdr:twoCellAnchor>
    <xdr:from>
      <xdr:col>59</xdr:col>
      <xdr:colOff>40340</xdr:colOff>
      <xdr:row>43</xdr:row>
      <xdr:rowOff>62752</xdr:rowOff>
    </xdr:from>
    <xdr:to>
      <xdr:col>59</xdr:col>
      <xdr:colOff>45661</xdr:colOff>
      <xdr:row>52</xdr:row>
      <xdr:rowOff>202932</xdr:rowOff>
    </xdr:to>
    <xdr:sp macro="" textlink="">
      <xdr:nvSpPr>
        <xdr:cNvPr id="556" name="Line 250">
          <a:extLst>
            <a:ext uri="{FF2B5EF4-FFF2-40B4-BE49-F238E27FC236}">
              <a16:creationId xmlns:a16="http://schemas.microsoft.com/office/drawing/2014/main" id="{00000000-0008-0000-1A00-00002C020000}"/>
            </a:ext>
          </a:extLst>
        </xdr:cNvPr>
        <xdr:cNvSpPr>
          <a:spLocks noChangeShapeType="1"/>
        </xdr:cNvSpPr>
      </xdr:nvSpPr>
      <xdr:spPr bwMode="auto">
        <a:xfrm flipH="1" flipV="1">
          <a:off x="11879915" y="9216277"/>
          <a:ext cx="5321" cy="2026130"/>
        </a:xfrm>
        <a:prstGeom prst="line">
          <a:avLst/>
        </a:prstGeom>
        <a:noFill/>
        <a:ln w="17145">
          <a:solidFill>
            <a:srgbClr val="0000FF"/>
          </a:solidFill>
          <a:round/>
          <a:headEnd/>
          <a:tailEnd/>
        </a:ln>
      </xdr:spPr>
    </xdr:sp>
    <xdr:clientData/>
  </xdr:twoCellAnchor>
  <xdr:twoCellAnchor>
    <xdr:from>
      <xdr:col>62</xdr:col>
      <xdr:colOff>211639</xdr:colOff>
      <xdr:row>46</xdr:row>
      <xdr:rowOff>37548</xdr:rowOff>
    </xdr:from>
    <xdr:to>
      <xdr:col>65</xdr:col>
      <xdr:colOff>224894</xdr:colOff>
      <xdr:row>50</xdr:row>
      <xdr:rowOff>22541</xdr:rowOff>
    </xdr:to>
    <xdr:pic>
      <xdr:nvPicPr>
        <xdr:cNvPr id="557" name="Picture 8">
          <a:extLst>
            <a:ext uri="{FF2B5EF4-FFF2-40B4-BE49-F238E27FC236}">
              <a16:creationId xmlns:a16="http://schemas.microsoft.com/office/drawing/2014/main" id="{00000000-0008-0000-1A00-00002D02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851314" y="9819723"/>
          <a:ext cx="813355" cy="823193"/>
        </a:xfrm>
        <a:prstGeom prst="rect">
          <a:avLst/>
        </a:prstGeom>
        <a:noFill/>
        <a:ln w="9525">
          <a:noFill/>
          <a:miter lim="800000"/>
          <a:headEnd/>
          <a:tailEnd/>
        </a:ln>
      </xdr:spPr>
    </xdr:pic>
    <xdr:clientData/>
  </xdr:twoCellAnchor>
  <xdr:twoCellAnchor>
    <xdr:from>
      <xdr:col>64</xdr:col>
      <xdr:colOff>253251</xdr:colOff>
      <xdr:row>43</xdr:row>
      <xdr:rowOff>96370</xdr:rowOff>
    </xdr:from>
    <xdr:to>
      <xdr:col>64</xdr:col>
      <xdr:colOff>253251</xdr:colOff>
      <xdr:row>46</xdr:row>
      <xdr:rowOff>123264</xdr:rowOff>
    </xdr:to>
    <xdr:sp macro="" textlink="">
      <xdr:nvSpPr>
        <xdr:cNvPr id="558" name="Line 250">
          <a:extLst>
            <a:ext uri="{FF2B5EF4-FFF2-40B4-BE49-F238E27FC236}">
              <a16:creationId xmlns:a16="http://schemas.microsoft.com/office/drawing/2014/main" id="{00000000-0008-0000-1A00-00002E020000}"/>
            </a:ext>
          </a:extLst>
        </xdr:cNvPr>
        <xdr:cNvSpPr>
          <a:spLocks noChangeShapeType="1"/>
        </xdr:cNvSpPr>
      </xdr:nvSpPr>
      <xdr:spPr bwMode="auto">
        <a:xfrm flipH="1" flipV="1">
          <a:off x="13426326" y="9249895"/>
          <a:ext cx="0" cy="655544"/>
        </a:xfrm>
        <a:prstGeom prst="line">
          <a:avLst/>
        </a:prstGeom>
        <a:noFill/>
        <a:ln w="17145">
          <a:solidFill>
            <a:srgbClr val="0000FF"/>
          </a:solidFill>
          <a:round/>
          <a:headEnd/>
          <a:tailEnd/>
        </a:ln>
      </xdr:spPr>
    </xdr:sp>
    <xdr:clientData/>
  </xdr:twoCellAnchor>
  <xdr:twoCellAnchor>
    <xdr:from>
      <xdr:col>65</xdr:col>
      <xdr:colOff>141980</xdr:colOff>
      <xdr:row>45</xdr:row>
      <xdr:rowOff>60922</xdr:rowOff>
    </xdr:from>
    <xdr:to>
      <xdr:col>67</xdr:col>
      <xdr:colOff>260724</xdr:colOff>
      <xdr:row>46</xdr:row>
      <xdr:rowOff>33935</xdr:rowOff>
    </xdr:to>
    <xdr:sp macro="" textlink="">
      <xdr:nvSpPr>
        <xdr:cNvPr id="559" name="Rectangle 189">
          <a:extLst>
            <a:ext uri="{FF2B5EF4-FFF2-40B4-BE49-F238E27FC236}">
              <a16:creationId xmlns:a16="http://schemas.microsoft.com/office/drawing/2014/main" id="{00000000-0008-0000-1A00-00002F020000}"/>
            </a:ext>
          </a:extLst>
        </xdr:cNvPr>
        <xdr:cNvSpPr>
          <a:spLocks noChangeArrowheads="1"/>
        </xdr:cNvSpPr>
      </xdr:nvSpPr>
      <xdr:spPr bwMode="auto">
        <a:xfrm>
          <a:off x="13581755" y="9633547"/>
          <a:ext cx="652144" cy="182563"/>
        </a:xfrm>
        <a:prstGeom prst="rect">
          <a:avLst/>
        </a:prstGeom>
        <a:solidFill>
          <a:srgbClr val="FFFFFF"/>
        </a:solidFill>
        <a:ln w="9525">
          <a:noFill/>
          <a:miter lim="800000"/>
          <a:headEnd/>
          <a:tailEnd/>
        </a:ln>
      </xdr:spPr>
      <xdr:txBody>
        <a:bodyPr wrap="none" lIns="11585" tIns="5792" rIns="11585" bIns="5792" anchor="ctr" upright="1">
          <a:noAutofit/>
        </a:bodyPr>
        <a:lstStyle/>
        <a:p>
          <a:pPr algn="ctr" rtl="1">
            <a:defRPr sz="1000"/>
          </a:pPr>
          <a:r>
            <a:rPr lang="ko-KR" altLang="en-US" sz="1000" b="0" i="0" strike="noStrike">
              <a:solidFill>
                <a:srgbClr val="000000"/>
              </a:solidFill>
              <a:latin typeface="굴림"/>
              <a:ea typeface="굴림"/>
            </a:rPr>
            <a:t>보호계전기</a:t>
          </a:r>
        </a:p>
      </xdr:txBody>
    </xdr:sp>
    <xdr:clientData/>
  </xdr:twoCellAnchor>
  <xdr:twoCellAnchor>
    <xdr:from>
      <xdr:col>121</xdr:col>
      <xdr:colOff>103927</xdr:colOff>
      <xdr:row>8</xdr:row>
      <xdr:rowOff>197024</xdr:rowOff>
    </xdr:from>
    <xdr:to>
      <xdr:col>123</xdr:col>
      <xdr:colOff>396001</xdr:colOff>
      <xdr:row>13</xdr:row>
      <xdr:rowOff>130646</xdr:rowOff>
    </xdr:to>
    <xdr:sp macro="" textlink="">
      <xdr:nvSpPr>
        <xdr:cNvPr id="138" name="Rectangle 3">
          <a:extLst>
            <a:ext uri="{FF2B5EF4-FFF2-40B4-BE49-F238E27FC236}">
              <a16:creationId xmlns:a16="http://schemas.microsoft.com/office/drawing/2014/main" id="{00000000-0008-0000-1A00-00008A000000}"/>
            </a:ext>
          </a:extLst>
        </xdr:cNvPr>
        <xdr:cNvSpPr>
          <a:spLocks noChangeArrowheads="1"/>
        </xdr:cNvSpPr>
      </xdr:nvSpPr>
      <xdr:spPr bwMode="auto">
        <a:xfrm>
          <a:off x="30996677" y="2006774"/>
          <a:ext cx="1657324" cy="965497"/>
        </a:xfrm>
        <a:prstGeom prst="rect">
          <a:avLst/>
        </a:prstGeom>
        <a:solidFill>
          <a:srgbClr val="FFCCFF"/>
        </a:solidFill>
        <a:ln w="9525">
          <a:solidFill>
            <a:schemeClr val="tx1"/>
          </a:solidFill>
          <a:miter lim="800000"/>
          <a:headEnd/>
          <a:tailEnd/>
        </a:ln>
      </xdr:spPr>
      <xdr:txBody>
        <a:bodyPr wrap="square"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endParaRPr lang="en-US" altLang="ko-KR" sz="900" b="1">
            <a:latin typeface="맑은 고딕" pitchFamily="50" charset="-127"/>
            <a:ea typeface="맑은 고딕" pitchFamily="50" charset="-127"/>
          </a:endParaRPr>
        </a:p>
        <a:p>
          <a:pPr algn="ctr"/>
          <a:endParaRPr lang="en-US" altLang="ko-KR" sz="900" b="1">
            <a:latin typeface="맑은 고딕" pitchFamily="50" charset="-127"/>
            <a:ea typeface="맑은 고딕" pitchFamily="50" charset="-127"/>
          </a:endParaRPr>
        </a:p>
        <a:p>
          <a:pPr algn="ctr"/>
          <a:endParaRPr lang="en-US" altLang="ko-KR" sz="900" b="1">
            <a:latin typeface="맑은 고딕" pitchFamily="50" charset="-127"/>
            <a:ea typeface="맑은 고딕" pitchFamily="50" charset="-127"/>
          </a:endParaRPr>
        </a:p>
        <a:p>
          <a:pPr algn="ctr"/>
          <a:endParaRPr lang="en-US" altLang="ko-KR" sz="900" b="1">
            <a:latin typeface="맑은 고딕" pitchFamily="50" charset="-127"/>
            <a:ea typeface="맑은 고딕" pitchFamily="50" charset="-127"/>
          </a:endParaRPr>
        </a:p>
        <a:p>
          <a:pPr algn="ctr"/>
          <a:r>
            <a:rPr lang="ko-KR" altLang="en-US" sz="900">
              <a:latin typeface="맑은 고딕" pitchFamily="50" charset="-127"/>
              <a:ea typeface="맑은 고딕" pitchFamily="50" charset="-127"/>
            </a:rPr>
            <a:t>항공장애등 </a:t>
          </a:r>
          <a:r>
            <a:rPr lang="en-US" altLang="ko-KR" sz="900">
              <a:latin typeface="맑은 고딕" pitchFamily="50" charset="-127"/>
              <a:ea typeface="맑은 고딕" pitchFamily="50" charset="-127"/>
            </a:rPr>
            <a:t>Controller</a:t>
          </a:r>
          <a:endParaRPr lang="en-US" altLang="ko-KR" sz="900" b="1">
            <a:latin typeface="맑은 고딕" pitchFamily="50" charset="-127"/>
            <a:ea typeface="맑은 고딕" pitchFamily="50" charset="-127"/>
          </a:endParaRPr>
        </a:p>
      </xdr:txBody>
    </xdr:sp>
    <xdr:clientData/>
  </xdr:twoCellAnchor>
  <xdr:twoCellAnchor>
    <xdr:from>
      <xdr:col>115</xdr:col>
      <xdr:colOff>178003</xdr:colOff>
      <xdr:row>10</xdr:row>
      <xdr:rowOff>60558</xdr:rowOff>
    </xdr:from>
    <xdr:to>
      <xdr:col>116</xdr:col>
      <xdr:colOff>352628</xdr:colOff>
      <xdr:row>11</xdr:row>
      <xdr:rowOff>82783</xdr:rowOff>
    </xdr:to>
    <xdr:sp macro="" textlink="">
      <xdr:nvSpPr>
        <xdr:cNvPr id="141" name="Rectangle 33">
          <a:extLst>
            <a:ext uri="{FF2B5EF4-FFF2-40B4-BE49-F238E27FC236}">
              <a16:creationId xmlns:a16="http://schemas.microsoft.com/office/drawing/2014/main" id="{00000000-0008-0000-1A00-00008D000000}"/>
            </a:ext>
          </a:extLst>
        </xdr:cNvPr>
        <xdr:cNvSpPr>
          <a:spLocks noChangeArrowheads="1"/>
        </xdr:cNvSpPr>
      </xdr:nvSpPr>
      <xdr:spPr bwMode="auto">
        <a:xfrm>
          <a:off x="26975003" y="2283058"/>
          <a:ext cx="857250" cy="228600"/>
        </a:xfrm>
        <a:prstGeom prst="rect">
          <a:avLst/>
        </a:prstGeom>
        <a:solidFill>
          <a:srgbClr val="66CCFF"/>
        </a:solidFill>
        <a:ln w="9525">
          <a:solidFill>
            <a:schemeClr val="tx1"/>
          </a:solidFill>
          <a:miter lim="800000"/>
          <a:headEnd/>
          <a:tailEnd/>
        </a:ln>
      </xdr:spPr>
      <xdr:txBody>
        <a:bodyPr wrap="square"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r>
            <a:rPr lang="ko-KR" altLang="en-US" sz="900">
              <a:latin typeface="맑은 고딕" pitchFamily="50" charset="-127"/>
              <a:ea typeface="맑은 고딕" pitchFamily="50" charset="-127"/>
            </a:rPr>
            <a:t>파워 링</a:t>
          </a:r>
          <a:r>
            <a:rPr lang="en-US" altLang="ko-KR" sz="900">
              <a:latin typeface="맑은 고딕" pitchFamily="50" charset="-127"/>
              <a:ea typeface="맑은 고딕" pitchFamily="50" charset="-127"/>
            </a:rPr>
            <a:t> * 2</a:t>
          </a:r>
        </a:p>
      </xdr:txBody>
    </xdr:sp>
    <xdr:clientData/>
  </xdr:twoCellAnchor>
  <xdr:twoCellAnchor>
    <xdr:from>
      <xdr:col>117</xdr:col>
      <xdr:colOff>275118</xdr:colOff>
      <xdr:row>26</xdr:row>
      <xdr:rowOff>92943</xdr:rowOff>
    </xdr:from>
    <xdr:to>
      <xdr:col>120</xdr:col>
      <xdr:colOff>256786</xdr:colOff>
      <xdr:row>31</xdr:row>
      <xdr:rowOff>139133</xdr:rowOff>
    </xdr:to>
    <xdr:grpSp>
      <xdr:nvGrpSpPr>
        <xdr:cNvPr id="142" name="그룹 141">
          <a:extLst>
            <a:ext uri="{FF2B5EF4-FFF2-40B4-BE49-F238E27FC236}">
              <a16:creationId xmlns:a16="http://schemas.microsoft.com/office/drawing/2014/main" id="{00000000-0008-0000-1A00-00008E000000}"/>
            </a:ext>
          </a:extLst>
        </xdr:cNvPr>
        <xdr:cNvGrpSpPr>
          <a:grpSpLocks/>
        </xdr:cNvGrpSpPr>
      </xdr:nvGrpSpPr>
      <xdr:grpSpPr bwMode="auto">
        <a:xfrm>
          <a:off x="31993368" y="5739907"/>
          <a:ext cx="2022739" cy="1066726"/>
          <a:chOff x="5643290" y="1571604"/>
          <a:chExt cx="2214164" cy="1285890"/>
        </a:xfrm>
      </xdr:grpSpPr>
      <xdr:sp macro="" textlink="">
        <xdr:nvSpPr>
          <xdr:cNvPr id="211" name="직사각형 210">
            <a:extLst>
              <a:ext uri="{FF2B5EF4-FFF2-40B4-BE49-F238E27FC236}">
                <a16:creationId xmlns:a16="http://schemas.microsoft.com/office/drawing/2014/main" id="{00000000-0008-0000-1A00-0000D3000000}"/>
              </a:ext>
            </a:extLst>
          </xdr:cNvPr>
          <xdr:cNvSpPr/>
        </xdr:nvSpPr>
        <xdr:spPr bwMode="auto">
          <a:xfrm>
            <a:off x="5643290" y="1571604"/>
            <a:ext cx="2214164" cy="1285890"/>
          </a:xfrm>
          <a:prstGeom prst="rect">
            <a:avLst/>
          </a:prstGeom>
          <a:solidFill>
            <a:schemeClr val="accent6">
              <a:lumMod val="20000"/>
              <a:lumOff val="8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defRPr/>
            </a:pPr>
            <a:endParaRPr lang="ko-KR" altLang="en-US" sz="900">
              <a:solidFill>
                <a:schemeClr val="tx1"/>
              </a:solidFill>
              <a:latin typeface="맑은 고딕" pitchFamily="50" charset="-127"/>
              <a:ea typeface="맑은 고딕" pitchFamily="50" charset="-127"/>
            </a:endParaRPr>
          </a:p>
        </xdr:txBody>
      </xdr:sp>
      <xdr:sp macro="" textlink="">
        <xdr:nvSpPr>
          <xdr:cNvPr id="212" name="Rectangle 11">
            <a:extLst>
              <a:ext uri="{FF2B5EF4-FFF2-40B4-BE49-F238E27FC236}">
                <a16:creationId xmlns:a16="http://schemas.microsoft.com/office/drawing/2014/main" id="{00000000-0008-0000-1A00-0000D4000000}"/>
              </a:ext>
            </a:extLst>
          </xdr:cNvPr>
          <xdr:cNvSpPr>
            <a:spLocks noChangeArrowheads="1"/>
          </xdr:cNvSpPr>
        </xdr:nvSpPr>
        <xdr:spPr bwMode="auto">
          <a:xfrm>
            <a:off x="6750371" y="1733018"/>
            <a:ext cx="928688" cy="444671"/>
          </a:xfrm>
          <a:prstGeom prst="rect">
            <a:avLst/>
          </a:prstGeom>
          <a:solidFill>
            <a:srgbClr val="66CCFF"/>
          </a:solidFill>
          <a:ln w="9525">
            <a:solidFill>
              <a:schemeClr val="tx1"/>
            </a:solidFill>
            <a:miter lim="800000"/>
            <a:headEnd/>
            <a:tailEnd/>
          </a:ln>
        </xdr:spPr>
        <xdr:txBody>
          <a:bodyPr wrap="square"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r>
              <a:rPr lang="en-US" altLang="ko-KR" sz="900">
                <a:latin typeface="맑은 고딕" pitchFamily="50" charset="-127"/>
                <a:ea typeface="맑은 고딕" pitchFamily="50" charset="-127"/>
              </a:rPr>
              <a:t>Network</a:t>
            </a:r>
          </a:p>
          <a:p>
            <a:pPr algn="ctr"/>
            <a:r>
              <a:rPr lang="en-US" altLang="ko-KR" sz="900">
                <a:latin typeface="맑은 고딕" pitchFamily="50" charset="-127"/>
                <a:ea typeface="맑은 고딕" pitchFamily="50" charset="-127"/>
              </a:rPr>
              <a:t>Control</a:t>
            </a:r>
          </a:p>
        </xdr:txBody>
      </xdr:sp>
      <xdr:sp macro="" textlink="">
        <xdr:nvSpPr>
          <xdr:cNvPr id="213" name="Rectangle 81">
            <a:extLst>
              <a:ext uri="{FF2B5EF4-FFF2-40B4-BE49-F238E27FC236}">
                <a16:creationId xmlns:a16="http://schemas.microsoft.com/office/drawing/2014/main" id="{00000000-0008-0000-1A00-0000D5000000}"/>
              </a:ext>
            </a:extLst>
          </xdr:cNvPr>
          <xdr:cNvSpPr>
            <a:spLocks noChangeArrowheads="1"/>
          </xdr:cNvSpPr>
        </xdr:nvSpPr>
        <xdr:spPr bwMode="auto">
          <a:xfrm>
            <a:off x="5701613" y="1726025"/>
            <a:ext cx="928688" cy="451663"/>
          </a:xfrm>
          <a:prstGeom prst="rect">
            <a:avLst/>
          </a:prstGeom>
          <a:solidFill>
            <a:srgbClr val="9999FF"/>
          </a:solidFill>
          <a:ln w="9525">
            <a:solidFill>
              <a:schemeClr val="tx1"/>
            </a:solidFill>
            <a:miter lim="800000"/>
            <a:headEnd/>
            <a:tailEnd/>
          </a:ln>
        </xdr:spPr>
        <xdr:txBody>
          <a:bodyPr wrap="square"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defRPr/>
            </a:pPr>
            <a:r>
              <a:rPr lang="en-US" altLang="ko-KR" sz="900">
                <a:latin typeface="맑은 고딕" pitchFamily="50" charset="-127"/>
                <a:ea typeface="맑은 고딕" pitchFamily="50" charset="-127"/>
              </a:rPr>
              <a:t>Condition</a:t>
            </a:r>
          </a:p>
          <a:p>
            <a:pPr algn="ctr">
              <a:defRPr/>
            </a:pPr>
            <a:r>
              <a:rPr lang="en-US" altLang="ko-KR" sz="900">
                <a:latin typeface="맑은 고딕" pitchFamily="50" charset="-127"/>
                <a:ea typeface="맑은 고딕" pitchFamily="50" charset="-127"/>
              </a:rPr>
              <a:t>Monitoring</a:t>
            </a:r>
          </a:p>
        </xdr:txBody>
      </xdr:sp>
    </xdr:grpSp>
    <xdr:clientData/>
  </xdr:twoCellAnchor>
  <xdr:twoCellAnchor>
    <xdr:from>
      <xdr:col>121</xdr:col>
      <xdr:colOff>103927</xdr:colOff>
      <xdr:row>13</xdr:row>
      <xdr:rowOff>190500</xdr:rowOff>
    </xdr:from>
    <xdr:to>
      <xdr:col>123</xdr:col>
      <xdr:colOff>395654</xdr:colOff>
      <xdr:row>17</xdr:row>
      <xdr:rowOff>0</xdr:rowOff>
    </xdr:to>
    <xdr:sp macro="" textlink="">
      <xdr:nvSpPr>
        <xdr:cNvPr id="143" name="Rectangle 4">
          <a:extLst>
            <a:ext uri="{FF2B5EF4-FFF2-40B4-BE49-F238E27FC236}">
              <a16:creationId xmlns:a16="http://schemas.microsoft.com/office/drawing/2014/main" id="{00000000-0008-0000-1A00-00008F000000}"/>
            </a:ext>
          </a:extLst>
        </xdr:cNvPr>
        <xdr:cNvSpPr>
          <a:spLocks noChangeArrowheads="1"/>
        </xdr:cNvSpPr>
      </xdr:nvSpPr>
      <xdr:spPr bwMode="auto">
        <a:xfrm>
          <a:off x="30452042" y="3091962"/>
          <a:ext cx="1669189" cy="659423"/>
        </a:xfrm>
        <a:prstGeom prst="rect">
          <a:avLst/>
        </a:prstGeom>
        <a:solidFill>
          <a:srgbClr val="FFCC99"/>
        </a:solidFill>
        <a:ln w="9525">
          <a:solidFill>
            <a:schemeClr val="tx1"/>
          </a:solidFill>
          <a:miter lim="800000"/>
          <a:headEnd/>
          <a:tailEnd/>
        </a:ln>
      </xdr:spPr>
      <xdr:txBody>
        <a:bodyPr wrap="square"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endParaRPr lang="en-US" altLang="ko-KR" sz="900">
            <a:latin typeface="맑은 고딕" pitchFamily="50" charset="-127"/>
            <a:ea typeface="맑은 고딕" pitchFamily="50" charset="-127"/>
          </a:endParaRPr>
        </a:p>
        <a:p>
          <a:pPr algn="ctr"/>
          <a:endParaRPr lang="en-US" altLang="ko-KR" sz="900">
            <a:latin typeface="맑은 고딕" pitchFamily="50" charset="-127"/>
            <a:ea typeface="맑은 고딕" pitchFamily="50" charset="-127"/>
          </a:endParaRPr>
        </a:p>
        <a:p>
          <a:pPr algn="ctr"/>
          <a:r>
            <a:rPr lang="ko-KR" altLang="en-US" sz="900">
              <a:latin typeface="맑은 고딕" pitchFamily="50" charset="-127"/>
              <a:ea typeface="맑은 고딕" pitchFamily="50" charset="-127"/>
            </a:rPr>
            <a:t>철탑위치 송출장치</a:t>
          </a:r>
          <a:endParaRPr lang="en-US" altLang="ko-KR" sz="900">
            <a:latin typeface="맑은 고딕" pitchFamily="50" charset="-127"/>
            <a:ea typeface="맑은 고딕" pitchFamily="50" charset="-127"/>
          </a:endParaRPr>
        </a:p>
      </xdr:txBody>
    </xdr:sp>
    <xdr:clientData/>
  </xdr:twoCellAnchor>
  <xdr:twoCellAnchor>
    <xdr:from>
      <xdr:col>121</xdr:col>
      <xdr:colOff>161967</xdr:colOff>
      <xdr:row>20</xdr:row>
      <xdr:rowOff>12</xdr:rowOff>
    </xdr:from>
    <xdr:to>
      <xdr:col>122</xdr:col>
      <xdr:colOff>313266</xdr:colOff>
      <xdr:row>22</xdr:row>
      <xdr:rowOff>44078</xdr:rowOff>
    </xdr:to>
    <xdr:sp macro="" textlink="">
      <xdr:nvSpPr>
        <xdr:cNvPr id="144" name="Rectangle 81">
          <a:extLst>
            <a:ext uri="{FF2B5EF4-FFF2-40B4-BE49-F238E27FC236}">
              <a16:creationId xmlns:a16="http://schemas.microsoft.com/office/drawing/2014/main" id="{00000000-0008-0000-1A00-000090000000}"/>
            </a:ext>
          </a:extLst>
        </xdr:cNvPr>
        <xdr:cNvSpPr>
          <a:spLocks noChangeArrowheads="1"/>
        </xdr:cNvSpPr>
      </xdr:nvSpPr>
      <xdr:spPr bwMode="auto">
        <a:xfrm>
          <a:off x="31054717" y="4286262"/>
          <a:ext cx="833924" cy="456816"/>
        </a:xfrm>
        <a:prstGeom prst="rect">
          <a:avLst/>
        </a:prstGeom>
        <a:solidFill>
          <a:schemeClr val="tx1">
            <a:lumMod val="50000"/>
            <a:lumOff val="50000"/>
          </a:schemeClr>
        </a:solidFill>
        <a:ln w="9525">
          <a:solidFill>
            <a:schemeClr val="tx1"/>
          </a:solidFill>
          <a:miter lim="800000"/>
          <a:headEnd/>
          <a:tailEnd/>
        </a:ln>
      </xdr:spPr>
      <xdr:txBody>
        <a:bodyPr wrap="square"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r>
            <a:rPr lang="ko-KR" altLang="en-US" sz="900">
              <a:latin typeface="맑은 고딕" pitchFamily="50" charset="-127"/>
              <a:ea typeface="맑은 고딕" pitchFamily="50" charset="-127"/>
            </a:rPr>
            <a:t>인산 철 </a:t>
          </a:r>
          <a:r>
            <a:rPr lang="en-US" altLang="ko-KR" sz="900">
              <a:latin typeface="맑은 고딕" pitchFamily="50" charset="-127"/>
              <a:ea typeface="맑은 고딕" pitchFamily="50" charset="-127"/>
            </a:rPr>
            <a:t>Battery</a:t>
          </a:r>
        </a:p>
        <a:p>
          <a:pPr algn="ctr"/>
          <a:r>
            <a:rPr lang="en-US" altLang="ko-KR" sz="900">
              <a:latin typeface="맑은 고딕" pitchFamily="50" charset="-127"/>
              <a:ea typeface="맑은 고딕" pitchFamily="50" charset="-127"/>
            </a:rPr>
            <a:t>DC12 100Ah*2</a:t>
          </a:r>
        </a:p>
      </xdr:txBody>
    </xdr:sp>
    <xdr:clientData/>
  </xdr:twoCellAnchor>
  <xdr:twoCellAnchor>
    <xdr:from>
      <xdr:col>121</xdr:col>
      <xdr:colOff>185779</xdr:colOff>
      <xdr:row>28</xdr:row>
      <xdr:rowOff>69575</xdr:rowOff>
    </xdr:from>
    <xdr:to>
      <xdr:col>122</xdr:col>
      <xdr:colOff>265154</xdr:colOff>
      <xdr:row>29</xdr:row>
      <xdr:rowOff>91800</xdr:rowOff>
    </xdr:to>
    <xdr:sp macro="" textlink="">
      <xdr:nvSpPr>
        <xdr:cNvPr id="146" name="Rectangle 4">
          <a:extLst>
            <a:ext uri="{FF2B5EF4-FFF2-40B4-BE49-F238E27FC236}">
              <a16:creationId xmlns:a16="http://schemas.microsoft.com/office/drawing/2014/main" id="{00000000-0008-0000-1A00-000092000000}"/>
            </a:ext>
          </a:extLst>
        </xdr:cNvPr>
        <xdr:cNvSpPr>
          <a:spLocks noChangeArrowheads="1"/>
        </xdr:cNvSpPr>
      </xdr:nvSpPr>
      <xdr:spPr bwMode="auto">
        <a:xfrm>
          <a:off x="31078529" y="6006825"/>
          <a:ext cx="762000" cy="228600"/>
        </a:xfrm>
        <a:prstGeom prst="rect">
          <a:avLst/>
        </a:prstGeom>
        <a:solidFill>
          <a:srgbClr val="FFCC99"/>
        </a:solidFill>
        <a:ln w="9525">
          <a:solidFill>
            <a:schemeClr val="tx1"/>
          </a:solidFill>
          <a:miter lim="800000"/>
          <a:headEnd/>
          <a:tailEnd/>
        </a:ln>
      </xdr:spPr>
      <xdr:txBody>
        <a:bodyPr wrap="square"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r>
            <a:rPr lang="en-US" altLang="ko-KR" sz="900">
              <a:latin typeface="맑은 고딕" pitchFamily="50" charset="-127"/>
              <a:ea typeface="맑은 고딕" pitchFamily="50" charset="-127"/>
            </a:rPr>
            <a:t>ETHERNET</a:t>
          </a:r>
        </a:p>
      </xdr:txBody>
    </xdr:sp>
    <xdr:clientData/>
  </xdr:twoCellAnchor>
  <xdr:twoCellAnchor>
    <xdr:from>
      <xdr:col>124</xdr:col>
      <xdr:colOff>511740</xdr:colOff>
      <xdr:row>9</xdr:row>
      <xdr:rowOff>40258</xdr:rowOff>
    </xdr:from>
    <xdr:to>
      <xdr:col>125</xdr:col>
      <xdr:colOff>614927</xdr:colOff>
      <xdr:row>10</xdr:row>
      <xdr:rowOff>99054</xdr:rowOff>
    </xdr:to>
    <xdr:sp macro="" textlink="">
      <xdr:nvSpPr>
        <xdr:cNvPr id="147" name="Rectangle 81">
          <a:extLst>
            <a:ext uri="{FF2B5EF4-FFF2-40B4-BE49-F238E27FC236}">
              <a16:creationId xmlns:a16="http://schemas.microsoft.com/office/drawing/2014/main" id="{00000000-0008-0000-1A00-000093000000}"/>
            </a:ext>
          </a:extLst>
        </xdr:cNvPr>
        <xdr:cNvSpPr>
          <a:spLocks noChangeArrowheads="1"/>
        </xdr:cNvSpPr>
      </xdr:nvSpPr>
      <xdr:spPr bwMode="auto">
        <a:xfrm>
          <a:off x="33452365" y="2056383"/>
          <a:ext cx="785812" cy="265171"/>
        </a:xfrm>
        <a:prstGeom prst="rect">
          <a:avLst/>
        </a:prstGeom>
        <a:solidFill>
          <a:srgbClr val="9999FF"/>
        </a:solidFill>
        <a:ln w="9525">
          <a:solidFill>
            <a:schemeClr val="tx1"/>
          </a:solidFill>
          <a:miter lim="800000"/>
          <a:headEnd/>
          <a:tailEnd/>
        </a:ln>
      </xdr:spPr>
      <xdr:txBody>
        <a:bodyPr wrap="square"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r>
            <a:rPr lang="ko-KR" altLang="en-US" sz="800">
              <a:latin typeface="맑은 고딕" pitchFamily="50" charset="-127"/>
              <a:ea typeface="맑은 고딕" pitchFamily="50" charset="-127"/>
            </a:rPr>
            <a:t>중광도</a:t>
          </a:r>
          <a:endParaRPr lang="en-US" altLang="ko-KR" sz="800">
            <a:latin typeface="맑은 고딕" pitchFamily="50" charset="-127"/>
            <a:ea typeface="맑은 고딕" pitchFamily="50" charset="-127"/>
          </a:endParaRPr>
        </a:p>
        <a:p>
          <a:pPr algn="ctr"/>
          <a:r>
            <a:rPr lang="ko-KR" altLang="en-US" sz="800">
              <a:latin typeface="맑은 고딕" pitchFamily="50" charset="-127"/>
              <a:ea typeface="맑은 고딕" pitchFamily="50" charset="-127"/>
            </a:rPr>
            <a:t>항공장애등</a:t>
          </a:r>
          <a:r>
            <a:rPr lang="en-US" altLang="ko-KR" sz="800">
              <a:latin typeface="맑은 고딕" pitchFamily="50" charset="-127"/>
              <a:ea typeface="맑은 고딕" pitchFamily="50" charset="-127"/>
            </a:rPr>
            <a:t>*1</a:t>
          </a:r>
        </a:p>
      </xdr:txBody>
    </xdr:sp>
    <xdr:clientData/>
  </xdr:twoCellAnchor>
  <xdr:twoCellAnchor>
    <xdr:from>
      <xdr:col>117</xdr:col>
      <xdr:colOff>253260</xdr:colOff>
      <xdr:row>8</xdr:row>
      <xdr:rowOff>204018</xdr:rowOff>
    </xdr:from>
    <xdr:to>
      <xdr:col>120</xdr:col>
      <xdr:colOff>209528</xdr:colOff>
      <xdr:row>23</xdr:row>
      <xdr:rowOff>147549</xdr:rowOff>
    </xdr:to>
    <xdr:sp macro="" textlink="">
      <xdr:nvSpPr>
        <xdr:cNvPr id="148" name="직사각형 147">
          <a:extLst>
            <a:ext uri="{FF2B5EF4-FFF2-40B4-BE49-F238E27FC236}">
              <a16:creationId xmlns:a16="http://schemas.microsoft.com/office/drawing/2014/main" id="{00000000-0008-0000-1A00-000094000000}"/>
            </a:ext>
          </a:extLst>
        </xdr:cNvPr>
        <xdr:cNvSpPr/>
      </xdr:nvSpPr>
      <xdr:spPr bwMode="auto">
        <a:xfrm>
          <a:off x="28415510" y="2013768"/>
          <a:ext cx="2004143" cy="3039156"/>
        </a:xfrm>
        <a:prstGeom prst="rect">
          <a:avLst/>
        </a:prstGeom>
        <a:solidFill>
          <a:schemeClr val="accent6">
            <a:lumMod val="20000"/>
            <a:lumOff val="8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defRPr/>
          </a:pPr>
          <a:endParaRPr lang="ko-KR" altLang="en-US" sz="900">
            <a:solidFill>
              <a:schemeClr val="tx1"/>
            </a:solidFill>
            <a:latin typeface="맑은 고딕" pitchFamily="50" charset="-127"/>
            <a:ea typeface="맑은 고딕" pitchFamily="50" charset="-127"/>
          </a:endParaRPr>
        </a:p>
      </xdr:txBody>
    </xdr:sp>
    <xdr:clientData/>
  </xdr:twoCellAnchor>
  <xdr:twoCellAnchor>
    <xdr:from>
      <xdr:col>117</xdr:col>
      <xdr:colOff>328578</xdr:colOff>
      <xdr:row>10</xdr:row>
      <xdr:rowOff>4288</xdr:rowOff>
    </xdr:from>
    <xdr:to>
      <xdr:col>118</xdr:col>
      <xdr:colOff>622765</xdr:colOff>
      <xdr:row>11</xdr:row>
      <xdr:rowOff>159057</xdr:rowOff>
    </xdr:to>
    <xdr:sp macro="" textlink="">
      <xdr:nvSpPr>
        <xdr:cNvPr id="149" name="Rectangle 4">
          <a:extLst>
            <a:ext uri="{FF2B5EF4-FFF2-40B4-BE49-F238E27FC236}">
              <a16:creationId xmlns:a16="http://schemas.microsoft.com/office/drawing/2014/main" id="{00000000-0008-0000-1A00-000095000000}"/>
            </a:ext>
          </a:extLst>
        </xdr:cNvPr>
        <xdr:cNvSpPr>
          <a:spLocks noChangeArrowheads="1"/>
        </xdr:cNvSpPr>
      </xdr:nvSpPr>
      <xdr:spPr bwMode="auto">
        <a:xfrm>
          <a:off x="28490828" y="2226788"/>
          <a:ext cx="976812" cy="361144"/>
        </a:xfrm>
        <a:prstGeom prst="rect">
          <a:avLst/>
        </a:prstGeom>
        <a:solidFill>
          <a:schemeClr val="accent5">
            <a:lumMod val="60000"/>
            <a:lumOff val="40000"/>
          </a:schemeClr>
        </a:solidFill>
        <a:ln w="9525">
          <a:solidFill>
            <a:schemeClr val="tx1"/>
          </a:solidFill>
          <a:miter lim="800000"/>
          <a:headEnd/>
          <a:tailEnd/>
        </a:ln>
      </xdr:spPr>
      <xdr:txBody>
        <a:bodyPr wrap="square"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defRPr/>
          </a:pPr>
          <a:r>
            <a:rPr lang="en-US" altLang="ko-KR" sz="900">
              <a:latin typeface="맑은 고딕" pitchFamily="50" charset="-127"/>
              <a:ea typeface="맑은 고딕" pitchFamily="50" charset="-127"/>
            </a:rPr>
            <a:t>Core and I/O</a:t>
          </a:r>
        </a:p>
        <a:p>
          <a:pPr algn="ctr">
            <a:defRPr/>
          </a:pPr>
          <a:r>
            <a:rPr lang="en-US" altLang="ko-KR" sz="900">
              <a:latin typeface="맑은 고딕" pitchFamily="50" charset="-127"/>
              <a:ea typeface="맑은 고딕" pitchFamily="50" charset="-127"/>
            </a:rPr>
            <a:t>Supply</a:t>
          </a:r>
        </a:p>
      </xdr:txBody>
    </xdr:sp>
    <xdr:clientData/>
  </xdr:twoCellAnchor>
  <xdr:twoCellAnchor>
    <xdr:from>
      <xdr:col>118</xdr:col>
      <xdr:colOff>569805</xdr:colOff>
      <xdr:row>10</xdr:row>
      <xdr:rowOff>298</xdr:rowOff>
    </xdr:from>
    <xdr:to>
      <xdr:col>120</xdr:col>
      <xdr:colOff>154184</xdr:colOff>
      <xdr:row>11</xdr:row>
      <xdr:rowOff>170707</xdr:rowOff>
    </xdr:to>
    <xdr:sp macro="" textlink="">
      <xdr:nvSpPr>
        <xdr:cNvPr id="150" name="Rectangle 4">
          <a:extLst>
            <a:ext uri="{FF2B5EF4-FFF2-40B4-BE49-F238E27FC236}">
              <a16:creationId xmlns:a16="http://schemas.microsoft.com/office/drawing/2014/main" id="{00000000-0008-0000-1A00-000096000000}"/>
            </a:ext>
          </a:extLst>
        </xdr:cNvPr>
        <xdr:cNvSpPr>
          <a:spLocks noChangeArrowheads="1"/>
        </xdr:cNvSpPr>
      </xdr:nvSpPr>
      <xdr:spPr bwMode="auto">
        <a:xfrm>
          <a:off x="29414680" y="2222798"/>
          <a:ext cx="949629" cy="376784"/>
        </a:xfrm>
        <a:prstGeom prst="rect">
          <a:avLst/>
        </a:prstGeom>
        <a:solidFill>
          <a:schemeClr val="accent5">
            <a:lumMod val="60000"/>
            <a:lumOff val="40000"/>
          </a:schemeClr>
        </a:solidFill>
        <a:ln w="9525">
          <a:solidFill>
            <a:schemeClr val="tx1"/>
          </a:solidFill>
          <a:miter lim="800000"/>
          <a:headEnd/>
          <a:tailEnd/>
        </a:ln>
      </xdr:spPr>
      <xdr:txBody>
        <a:bodyPr wrap="square"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defRPr/>
          </a:pPr>
          <a:r>
            <a:rPr lang="en-US" altLang="ko-KR" sz="900">
              <a:latin typeface="맑은 고딕" pitchFamily="50" charset="-127"/>
              <a:ea typeface="맑은 고딕" pitchFamily="50" charset="-127"/>
            </a:rPr>
            <a:t>System reset </a:t>
          </a:r>
        </a:p>
      </xdr:txBody>
    </xdr:sp>
    <xdr:clientData/>
  </xdr:twoCellAnchor>
  <xdr:twoCellAnchor>
    <xdr:from>
      <xdr:col>117</xdr:col>
      <xdr:colOff>328578</xdr:colOff>
      <xdr:row>11</xdr:row>
      <xdr:rowOff>155045</xdr:rowOff>
    </xdr:from>
    <xdr:to>
      <xdr:col>118</xdr:col>
      <xdr:colOff>622765</xdr:colOff>
      <xdr:row>13</xdr:row>
      <xdr:rowOff>98658</xdr:rowOff>
    </xdr:to>
    <xdr:sp macro="" textlink="">
      <xdr:nvSpPr>
        <xdr:cNvPr id="151" name="Rectangle 4">
          <a:extLst>
            <a:ext uri="{FF2B5EF4-FFF2-40B4-BE49-F238E27FC236}">
              <a16:creationId xmlns:a16="http://schemas.microsoft.com/office/drawing/2014/main" id="{00000000-0008-0000-1A00-000097000000}"/>
            </a:ext>
          </a:extLst>
        </xdr:cNvPr>
        <xdr:cNvSpPr>
          <a:spLocks noChangeArrowheads="1"/>
        </xdr:cNvSpPr>
      </xdr:nvSpPr>
      <xdr:spPr bwMode="auto">
        <a:xfrm>
          <a:off x="28490828" y="2583920"/>
          <a:ext cx="976812" cy="356363"/>
        </a:xfrm>
        <a:prstGeom prst="rect">
          <a:avLst/>
        </a:prstGeom>
        <a:solidFill>
          <a:schemeClr val="accent5">
            <a:lumMod val="60000"/>
            <a:lumOff val="40000"/>
          </a:schemeClr>
        </a:solidFill>
        <a:ln w="9525">
          <a:solidFill>
            <a:schemeClr val="tx1"/>
          </a:solidFill>
          <a:miter lim="800000"/>
          <a:headEnd/>
          <a:tailEnd/>
        </a:ln>
      </xdr:spPr>
      <xdr:txBody>
        <a:bodyPr wrap="square"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defRPr/>
          </a:pPr>
          <a:r>
            <a:rPr lang="en-US" altLang="ko-KR" sz="900">
              <a:latin typeface="맑은 고딕" pitchFamily="50" charset="-127"/>
              <a:ea typeface="맑은 고딕" pitchFamily="50" charset="-127"/>
            </a:rPr>
            <a:t>System Power</a:t>
          </a:r>
        </a:p>
      </xdr:txBody>
    </xdr:sp>
    <xdr:clientData/>
  </xdr:twoCellAnchor>
  <xdr:twoCellAnchor>
    <xdr:from>
      <xdr:col>118</xdr:col>
      <xdr:colOff>569805</xdr:colOff>
      <xdr:row>11</xdr:row>
      <xdr:rowOff>151742</xdr:rowOff>
    </xdr:from>
    <xdr:to>
      <xdr:col>120</xdr:col>
      <xdr:colOff>154184</xdr:colOff>
      <xdr:row>13</xdr:row>
      <xdr:rowOff>95303</xdr:rowOff>
    </xdr:to>
    <xdr:sp macro="" textlink="">
      <xdr:nvSpPr>
        <xdr:cNvPr id="152" name="Rectangle 4">
          <a:extLst>
            <a:ext uri="{FF2B5EF4-FFF2-40B4-BE49-F238E27FC236}">
              <a16:creationId xmlns:a16="http://schemas.microsoft.com/office/drawing/2014/main" id="{00000000-0008-0000-1A00-000098000000}"/>
            </a:ext>
          </a:extLst>
        </xdr:cNvPr>
        <xdr:cNvSpPr>
          <a:spLocks noChangeArrowheads="1"/>
        </xdr:cNvSpPr>
      </xdr:nvSpPr>
      <xdr:spPr bwMode="auto">
        <a:xfrm>
          <a:off x="29414680" y="2580617"/>
          <a:ext cx="949629" cy="356311"/>
        </a:xfrm>
        <a:prstGeom prst="rect">
          <a:avLst/>
        </a:prstGeom>
        <a:solidFill>
          <a:schemeClr val="accent5">
            <a:lumMod val="60000"/>
            <a:lumOff val="40000"/>
          </a:schemeClr>
        </a:solidFill>
        <a:ln w="9525">
          <a:solidFill>
            <a:schemeClr val="tx1"/>
          </a:solidFill>
          <a:miter lim="800000"/>
          <a:headEnd/>
          <a:tailEnd/>
        </a:ln>
      </xdr:spPr>
      <xdr:txBody>
        <a:bodyPr wrap="square"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defRPr/>
          </a:pPr>
          <a:r>
            <a:rPr lang="en-US" altLang="ko-KR" sz="900">
              <a:latin typeface="맑은 고딕" pitchFamily="50" charset="-127"/>
              <a:ea typeface="맑은 고딕" pitchFamily="50" charset="-127"/>
            </a:rPr>
            <a:t>AC/DC Supply</a:t>
          </a:r>
        </a:p>
      </xdr:txBody>
    </xdr:sp>
    <xdr:clientData/>
  </xdr:twoCellAnchor>
  <xdr:twoCellAnchor>
    <xdr:from>
      <xdr:col>117</xdr:col>
      <xdr:colOff>636822</xdr:colOff>
      <xdr:row>20</xdr:row>
      <xdr:rowOff>108714</xdr:rowOff>
    </xdr:from>
    <xdr:to>
      <xdr:col>119</xdr:col>
      <xdr:colOff>514220</xdr:colOff>
      <xdr:row>21</xdr:row>
      <xdr:rowOff>133171</xdr:rowOff>
    </xdr:to>
    <xdr:sp macro="" textlink="">
      <xdr:nvSpPr>
        <xdr:cNvPr id="153" name="Text Box 14">
          <a:extLst>
            <a:ext uri="{FF2B5EF4-FFF2-40B4-BE49-F238E27FC236}">
              <a16:creationId xmlns:a16="http://schemas.microsoft.com/office/drawing/2014/main" id="{00000000-0008-0000-1A00-000099000000}"/>
            </a:ext>
          </a:extLst>
        </xdr:cNvPr>
        <xdr:cNvSpPr txBox="1">
          <a:spLocks noChangeArrowheads="1"/>
        </xdr:cNvSpPr>
      </xdr:nvSpPr>
      <xdr:spPr bwMode="auto">
        <a:xfrm>
          <a:off x="28799072" y="4394964"/>
          <a:ext cx="1242648" cy="230832"/>
        </a:xfrm>
        <a:prstGeom prst="rect">
          <a:avLst/>
        </a:prstGeom>
        <a:noFill/>
        <a:ln w="9525">
          <a:noFill/>
          <a:miter lim="800000"/>
          <a:headEnd/>
          <a:tailEnd/>
        </a:ln>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en-US" altLang="ko-KR" sz="900">
              <a:latin typeface="맑은 고딕" pitchFamily="50" charset="-127"/>
              <a:ea typeface="맑은 고딕" pitchFamily="50" charset="-127"/>
            </a:rPr>
            <a:t>Smart Power Supply</a:t>
          </a:r>
        </a:p>
      </xdr:txBody>
    </xdr:sp>
    <xdr:clientData/>
  </xdr:twoCellAnchor>
  <xdr:twoCellAnchor>
    <xdr:from>
      <xdr:col>120</xdr:col>
      <xdr:colOff>275049</xdr:colOff>
      <xdr:row>27</xdr:row>
      <xdr:rowOff>18601</xdr:rowOff>
    </xdr:from>
    <xdr:to>
      <xdr:col>121</xdr:col>
      <xdr:colOff>125824</xdr:colOff>
      <xdr:row>27</xdr:row>
      <xdr:rowOff>18601</xdr:rowOff>
    </xdr:to>
    <xdr:sp macro="" textlink="">
      <xdr:nvSpPr>
        <xdr:cNvPr id="154" name="Line 34">
          <a:extLst>
            <a:ext uri="{FF2B5EF4-FFF2-40B4-BE49-F238E27FC236}">
              <a16:creationId xmlns:a16="http://schemas.microsoft.com/office/drawing/2014/main" id="{00000000-0008-0000-1A00-00009A000000}"/>
            </a:ext>
          </a:extLst>
        </xdr:cNvPr>
        <xdr:cNvSpPr>
          <a:spLocks noChangeShapeType="1"/>
        </xdr:cNvSpPr>
      </xdr:nvSpPr>
      <xdr:spPr bwMode="auto">
        <a:xfrm>
          <a:off x="30485174" y="5749476"/>
          <a:ext cx="533400" cy="0"/>
        </a:xfrm>
        <a:prstGeom prst="line">
          <a:avLst/>
        </a:prstGeom>
        <a:noFill/>
        <a:ln w="9525">
          <a:solidFill>
            <a:schemeClr val="tx1"/>
          </a:solidFill>
          <a:round/>
          <a:headEnd type="triangle" w="med" len="med"/>
          <a:tailEnd type="triangle" w="med" len="med"/>
        </a:ln>
      </xdr:spPr>
      <xdr:txBody>
        <a:bodyPr wrap="square"/>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900">
            <a:latin typeface="맑은 고딕" pitchFamily="50" charset="-127"/>
            <a:ea typeface="맑은 고딕" pitchFamily="50" charset="-127"/>
          </a:endParaRPr>
        </a:p>
      </xdr:txBody>
    </xdr:sp>
    <xdr:clientData/>
  </xdr:twoCellAnchor>
  <xdr:twoCellAnchor>
    <xdr:from>
      <xdr:col>116</xdr:col>
      <xdr:colOff>376713</xdr:colOff>
      <xdr:row>10</xdr:row>
      <xdr:rowOff>166921</xdr:rowOff>
    </xdr:from>
    <xdr:to>
      <xdr:col>117</xdr:col>
      <xdr:colOff>227488</xdr:colOff>
      <xdr:row>10</xdr:row>
      <xdr:rowOff>166921</xdr:rowOff>
    </xdr:to>
    <xdr:sp macro="" textlink="">
      <xdr:nvSpPr>
        <xdr:cNvPr id="155" name="Line 34">
          <a:extLst>
            <a:ext uri="{FF2B5EF4-FFF2-40B4-BE49-F238E27FC236}">
              <a16:creationId xmlns:a16="http://schemas.microsoft.com/office/drawing/2014/main" id="{00000000-0008-0000-1A00-00009B000000}"/>
            </a:ext>
          </a:extLst>
        </xdr:cNvPr>
        <xdr:cNvSpPr>
          <a:spLocks noChangeShapeType="1"/>
        </xdr:cNvSpPr>
      </xdr:nvSpPr>
      <xdr:spPr bwMode="auto">
        <a:xfrm>
          <a:off x="27856338" y="2389421"/>
          <a:ext cx="533400" cy="0"/>
        </a:xfrm>
        <a:prstGeom prst="line">
          <a:avLst/>
        </a:prstGeom>
        <a:noFill/>
        <a:ln w="9525">
          <a:solidFill>
            <a:schemeClr val="tx1"/>
          </a:solidFill>
          <a:round/>
          <a:headEnd type="none" w="med" len="med"/>
          <a:tailEnd type="triangle" w="med" len="med"/>
        </a:ln>
      </xdr:spPr>
      <xdr:txBody>
        <a:bodyPr wrap="square"/>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900">
            <a:latin typeface="맑은 고딕" pitchFamily="50" charset="-127"/>
            <a:ea typeface="맑은 고딕" pitchFamily="50" charset="-127"/>
          </a:endParaRPr>
        </a:p>
      </xdr:txBody>
    </xdr:sp>
    <xdr:clientData/>
  </xdr:twoCellAnchor>
  <xdr:twoCellAnchor>
    <xdr:from>
      <xdr:col>116</xdr:col>
      <xdr:colOff>349840</xdr:colOff>
      <xdr:row>9</xdr:row>
      <xdr:rowOff>134665</xdr:rowOff>
    </xdr:from>
    <xdr:to>
      <xdr:col>117</xdr:col>
      <xdr:colOff>90729</xdr:colOff>
      <xdr:row>10</xdr:row>
      <xdr:rowOff>159122</xdr:rowOff>
    </xdr:to>
    <xdr:sp macro="" textlink="">
      <xdr:nvSpPr>
        <xdr:cNvPr id="156" name="Text Box 14">
          <a:extLst>
            <a:ext uri="{FF2B5EF4-FFF2-40B4-BE49-F238E27FC236}">
              <a16:creationId xmlns:a16="http://schemas.microsoft.com/office/drawing/2014/main" id="{00000000-0008-0000-1A00-00009C000000}"/>
            </a:ext>
          </a:extLst>
        </xdr:cNvPr>
        <xdr:cNvSpPr txBox="1">
          <a:spLocks noChangeArrowheads="1"/>
        </xdr:cNvSpPr>
      </xdr:nvSpPr>
      <xdr:spPr bwMode="auto">
        <a:xfrm>
          <a:off x="27829465" y="2150790"/>
          <a:ext cx="423514" cy="230832"/>
        </a:xfrm>
        <a:prstGeom prst="rect">
          <a:avLst/>
        </a:prstGeom>
        <a:noFill/>
        <a:ln w="9525">
          <a:noFill/>
          <a:miter lim="800000"/>
          <a:headEnd/>
          <a:tailEnd/>
        </a:ln>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en-US" altLang="ko-KR" sz="900">
              <a:latin typeface="맑은 고딕" pitchFamily="50" charset="-127"/>
              <a:ea typeface="맑은 고딕" pitchFamily="50" charset="-127"/>
            </a:rPr>
            <a:t>40W</a:t>
          </a:r>
        </a:p>
      </xdr:txBody>
    </xdr:sp>
    <xdr:clientData/>
  </xdr:twoCellAnchor>
  <xdr:twoCellAnchor>
    <xdr:from>
      <xdr:col>123</xdr:col>
      <xdr:colOff>513996</xdr:colOff>
      <xdr:row>16</xdr:row>
      <xdr:rowOff>80578</xdr:rowOff>
    </xdr:from>
    <xdr:to>
      <xdr:col>124</xdr:col>
      <xdr:colOff>364771</xdr:colOff>
      <xdr:row>16</xdr:row>
      <xdr:rowOff>80578</xdr:rowOff>
    </xdr:to>
    <xdr:sp macro="" textlink="">
      <xdr:nvSpPr>
        <xdr:cNvPr id="162" name="Line 34">
          <a:extLst>
            <a:ext uri="{FF2B5EF4-FFF2-40B4-BE49-F238E27FC236}">
              <a16:creationId xmlns:a16="http://schemas.microsoft.com/office/drawing/2014/main" id="{00000000-0008-0000-1A00-0000A2000000}"/>
            </a:ext>
          </a:extLst>
        </xdr:cNvPr>
        <xdr:cNvSpPr>
          <a:spLocks noChangeShapeType="1"/>
        </xdr:cNvSpPr>
      </xdr:nvSpPr>
      <xdr:spPr bwMode="auto">
        <a:xfrm>
          <a:off x="32771996" y="3541328"/>
          <a:ext cx="533400" cy="0"/>
        </a:xfrm>
        <a:prstGeom prst="line">
          <a:avLst/>
        </a:prstGeom>
        <a:noFill/>
        <a:ln w="9525">
          <a:solidFill>
            <a:schemeClr val="tx1"/>
          </a:solidFill>
          <a:round/>
          <a:headEnd type="triangle" w="med" len="med"/>
          <a:tailEnd type="none" w="med" len="med"/>
        </a:ln>
      </xdr:spPr>
      <xdr:txBody>
        <a:bodyPr wrap="square"/>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900">
            <a:latin typeface="맑은 고딕" pitchFamily="50" charset="-127"/>
            <a:ea typeface="맑은 고딕" pitchFamily="50" charset="-127"/>
          </a:endParaRPr>
        </a:p>
      </xdr:txBody>
    </xdr:sp>
    <xdr:clientData/>
  </xdr:twoCellAnchor>
  <xdr:twoCellAnchor>
    <xdr:from>
      <xdr:col>121</xdr:col>
      <xdr:colOff>138640</xdr:colOff>
      <xdr:row>17</xdr:row>
      <xdr:rowOff>122436</xdr:rowOff>
    </xdr:from>
    <xdr:to>
      <xdr:col>122</xdr:col>
      <xdr:colOff>313265</xdr:colOff>
      <xdr:row>18</xdr:row>
      <xdr:rowOff>201811</xdr:rowOff>
    </xdr:to>
    <xdr:sp macro="" textlink="">
      <xdr:nvSpPr>
        <xdr:cNvPr id="163" name="Rectangle 4">
          <a:extLst>
            <a:ext uri="{FF2B5EF4-FFF2-40B4-BE49-F238E27FC236}">
              <a16:creationId xmlns:a16="http://schemas.microsoft.com/office/drawing/2014/main" id="{00000000-0008-0000-1A00-0000A3000000}"/>
            </a:ext>
          </a:extLst>
        </xdr:cNvPr>
        <xdr:cNvSpPr>
          <a:spLocks noChangeArrowheads="1"/>
        </xdr:cNvSpPr>
      </xdr:nvSpPr>
      <xdr:spPr bwMode="auto">
        <a:xfrm>
          <a:off x="31031390" y="3789561"/>
          <a:ext cx="857250" cy="285750"/>
        </a:xfrm>
        <a:prstGeom prst="rect">
          <a:avLst/>
        </a:prstGeom>
        <a:solidFill>
          <a:schemeClr val="accent5">
            <a:lumMod val="60000"/>
            <a:lumOff val="40000"/>
          </a:schemeClr>
        </a:solidFill>
        <a:ln w="9525">
          <a:solidFill>
            <a:schemeClr val="tx1"/>
          </a:solidFill>
          <a:miter lim="800000"/>
          <a:headEnd/>
          <a:tailEnd/>
        </a:ln>
      </xdr:spPr>
      <xdr:txBody>
        <a:bodyPr wrap="square"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defRPr/>
          </a:pPr>
          <a:r>
            <a:rPr lang="en-US" altLang="ko-KR" sz="900">
              <a:latin typeface="맑은 고딕" pitchFamily="50" charset="-127"/>
              <a:ea typeface="맑은 고딕" pitchFamily="50" charset="-127"/>
            </a:rPr>
            <a:t>Camera</a:t>
          </a:r>
        </a:p>
      </xdr:txBody>
    </xdr:sp>
    <xdr:clientData/>
  </xdr:twoCellAnchor>
  <xdr:twoCellAnchor>
    <xdr:from>
      <xdr:col>122</xdr:col>
      <xdr:colOff>247244</xdr:colOff>
      <xdr:row>9</xdr:row>
      <xdr:rowOff>88254</xdr:rowOff>
    </xdr:from>
    <xdr:to>
      <xdr:col>123</xdr:col>
      <xdr:colOff>345000</xdr:colOff>
      <xdr:row>10</xdr:row>
      <xdr:rowOff>193117</xdr:rowOff>
    </xdr:to>
    <xdr:sp macro="" textlink="">
      <xdr:nvSpPr>
        <xdr:cNvPr id="164" name="Rectangle 81">
          <a:extLst>
            <a:ext uri="{FF2B5EF4-FFF2-40B4-BE49-F238E27FC236}">
              <a16:creationId xmlns:a16="http://schemas.microsoft.com/office/drawing/2014/main" id="{00000000-0008-0000-1A00-0000A4000000}"/>
            </a:ext>
          </a:extLst>
        </xdr:cNvPr>
        <xdr:cNvSpPr>
          <a:spLocks noChangeArrowheads="1"/>
        </xdr:cNvSpPr>
      </xdr:nvSpPr>
      <xdr:spPr bwMode="auto">
        <a:xfrm>
          <a:off x="31822619" y="2104379"/>
          <a:ext cx="780381" cy="311238"/>
        </a:xfrm>
        <a:prstGeom prst="rect">
          <a:avLst/>
        </a:prstGeom>
        <a:solidFill>
          <a:srgbClr val="9999FF"/>
        </a:solidFill>
        <a:ln w="9525">
          <a:solidFill>
            <a:schemeClr val="tx1"/>
          </a:solidFill>
          <a:miter lim="800000"/>
          <a:headEnd/>
          <a:tailEnd/>
        </a:ln>
      </xdr:spPr>
      <xdr:txBody>
        <a:bodyPr wrap="square"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r>
            <a:rPr lang="en-US" altLang="ko-KR" sz="900">
              <a:latin typeface="맑은 고딕" pitchFamily="50" charset="-127"/>
              <a:ea typeface="맑은 고딕" pitchFamily="50" charset="-127"/>
            </a:rPr>
            <a:t>DC Output</a:t>
          </a:r>
        </a:p>
      </xdr:txBody>
    </xdr:sp>
    <xdr:clientData/>
  </xdr:twoCellAnchor>
  <xdr:twoCellAnchor>
    <xdr:from>
      <xdr:col>122</xdr:col>
      <xdr:colOff>251055</xdr:colOff>
      <xdr:row>10</xdr:row>
      <xdr:rowOff>193117</xdr:rowOff>
    </xdr:from>
    <xdr:to>
      <xdr:col>123</xdr:col>
      <xdr:colOff>338010</xdr:colOff>
      <xdr:row>12</xdr:row>
      <xdr:rowOff>91604</xdr:rowOff>
    </xdr:to>
    <xdr:sp macro="" textlink="">
      <xdr:nvSpPr>
        <xdr:cNvPr id="165" name="Rectangle 81">
          <a:extLst>
            <a:ext uri="{FF2B5EF4-FFF2-40B4-BE49-F238E27FC236}">
              <a16:creationId xmlns:a16="http://schemas.microsoft.com/office/drawing/2014/main" id="{00000000-0008-0000-1A00-0000A5000000}"/>
            </a:ext>
          </a:extLst>
        </xdr:cNvPr>
        <xdr:cNvSpPr>
          <a:spLocks noChangeArrowheads="1"/>
        </xdr:cNvSpPr>
      </xdr:nvSpPr>
      <xdr:spPr bwMode="auto">
        <a:xfrm>
          <a:off x="31826430" y="2415617"/>
          <a:ext cx="769580" cy="311237"/>
        </a:xfrm>
        <a:prstGeom prst="rect">
          <a:avLst/>
        </a:prstGeom>
        <a:solidFill>
          <a:srgbClr val="9999FF"/>
        </a:solidFill>
        <a:ln w="9525">
          <a:solidFill>
            <a:schemeClr val="tx1"/>
          </a:solidFill>
          <a:miter lim="800000"/>
          <a:headEnd/>
          <a:tailEnd/>
        </a:ln>
      </xdr:spPr>
      <xdr:txBody>
        <a:bodyPr wrap="square"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r>
            <a:rPr lang="en-US" altLang="ko-KR" sz="900">
              <a:latin typeface="맑은 고딕" pitchFamily="50" charset="-127"/>
              <a:ea typeface="맑은 고딕" pitchFamily="50" charset="-127"/>
            </a:rPr>
            <a:t>DC Output</a:t>
          </a:r>
        </a:p>
      </xdr:txBody>
    </xdr:sp>
    <xdr:clientData/>
  </xdr:twoCellAnchor>
  <xdr:twoCellAnchor>
    <xdr:from>
      <xdr:col>123</xdr:col>
      <xdr:colOff>513996</xdr:colOff>
      <xdr:row>15</xdr:row>
      <xdr:rowOff>105777</xdr:rowOff>
    </xdr:from>
    <xdr:to>
      <xdr:col>124</xdr:col>
      <xdr:colOff>188558</xdr:colOff>
      <xdr:row>15</xdr:row>
      <xdr:rowOff>107364</xdr:rowOff>
    </xdr:to>
    <xdr:cxnSp macro="">
      <xdr:nvCxnSpPr>
        <xdr:cNvPr id="167" name="직선 화살표 연결선 166">
          <a:extLst>
            <a:ext uri="{FF2B5EF4-FFF2-40B4-BE49-F238E27FC236}">
              <a16:creationId xmlns:a16="http://schemas.microsoft.com/office/drawing/2014/main" id="{00000000-0008-0000-1A00-0000A7000000}"/>
            </a:ext>
          </a:extLst>
        </xdr:cNvPr>
        <xdr:cNvCxnSpPr/>
      </xdr:nvCxnSpPr>
      <xdr:spPr>
        <a:xfrm>
          <a:off x="32771996" y="3360152"/>
          <a:ext cx="357187" cy="1587"/>
        </a:xfrm>
        <a:prstGeom prst="straightConnector1">
          <a:avLst/>
        </a:prstGeom>
        <a:ln cmpd="sng">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118</xdr:col>
      <xdr:colOff>575521</xdr:colOff>
      <xdr:row>23</xdr:row>
      <xdr:rowOff>197743</xdr:rowOff>
    </xdr:from>
    <xdr:to>
      <xdr:col>118</xdr:col>
      <xdr:colOff>575521</xdr:colOff>
      <xdr:row>26</xdr:row>
      <xdr:rowOff>14123</xdr:rowOff>
    </xdr:to>
    <xdr:cxnSp macro="">
      <xdr:nvCxnSpPr>
        <xdr:cNvPr id="168" name="직선 화살표 연결선 167">
          <a:extLst>
            <a:ext uri="{FF2B5EF4-FFF2-40B4-BE49-F238E27FC236}">
              <a16:creationId xmlns:a16="http://schemas.microsoft.com/office/drawing/2014/main" id="{00000000-0008-0000-1A00-0000A8000000}"/>
            </a:ext>
          </a:extLst>
        </xdr:cNvPr>
        <xdr:cNvCxnSpPr/>
      </xdr:nvCxnSpPr>
      <xdr:spPr>
        <a:xfrm>
          <a:off x="29420396" y="5103118"/>
          <a:ext cx="0" cy="435505"/>
        </a:xfrm>
        <a:prstGeom prst="straightConnector1">
          <a:avLst/>
        </a:prstGeom>
        <a:ln cmpd="sng">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123</xdr:col>
      <xdr:colOff>470861</xdr:colOff>
      <xdr:row>9</xdr:row>
      <xdr:rowOff>194881</xdr:rowOff>
    </xdr:from>
    <xdr:to>
      <xdr:col>124</xdr:col>
      <xdr:colOff>145424</xdr:colOff>
      <xdr:row>9</xdr:row>
      <xdr:rowOff>196469</xdr:rowOff>
    </xdr:to>
    <xdr:cxnSp macro="">
      <xdr:nvCxnSpPr>
        <xdr:cNvPr id="169" name="직선 화살표 연결선 168">
          <a:extLst>
            <a:ext uri="{FF2B5EF4-FFF2-40B4-BE49-F238E27FC236}">
              <a16:creationId xmlns:a16="http://schemas.microsoft.com/office/drawing/2014/main" id="{00000000-0008-0000-1A00-0000A9000000}"/>
            </a:ext>
          </a:extLst>
        </xdr:cNvPr>
        <xdr:cNvCxnSpPr/>
      </xdr:nvCxnSpPr>
      <xdr:spPr>
        <a:xfrm>
          <a:off x="32728861" y="2211006"/>
          <a:ext cx="357188" cy="1588"/>
        </a:xfrm>
        <a:prstGeom prst="straightConnector1">
          <a:avLst/>
        </a:prstGeom>
        <a:ln cmpd="sng">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122</xdr:col>
      <xdr:colOff>374623</xdr:colOff>
      <xdr:row>17</xdr:row>
      <xdr:rowOff>101871</xdr:rowOff>
    </xdr:from>
    <xdr:to>
      <xdr:col>123</xdr:col>
      <xdr:colOff>225398</xdr:colOff>
      <xdr:row>17</xdr:row>
      <xdr:rowOff>385353</xdr:rowOff>
    </xdr:to>
    <xdr:pic>
      <xdr:nvPicPr>
        <xdr:cNvPr id="170" name="Picture 16">
          <a:extLst>
            <a:ext uri="{FF2B5EF4-FFF2-40B4-BE49-F238E27FC236}">
              <a16:creationId xmlns:a16="http://schemas.microsoft.com/office/drawing/2014/main" id="{00000000-0008-0000-1A00-0000AA000000}"/>
            </a:ext>
          </a:extLst>
        </xdr:cNvPr>
        <xdr:cNvPicPr>
          <a:picLocks noChangeAspect="1" noChangeArrowheads="1"/>
        </xdr:cNvPicPr>
      </xdr:nvPicPr>
      <xdr:blipFill>
        <a:blip xmlns:r="http://schemas.openxmlformats.org/officeDocument/2006/relationships" r:embed="rId12" cstate="print"/>
        <a:srcRect/>
        <a:stretch>
          <a:fillRect/>
        </a:stretch>
      </xdr:blipFill>
      <xdr:spPr bwMode="auto">
        <a:xfrm>
          <a:off x="31411469" y="3853256"/>
          <a:ext cx="539506" cy="291855"/>
        </a:xfrm>
        <a:prstGeom prst="rect">
          <a:avLst/>
        </a:prstGeom>
        <a:noFill/>
        <a:ln w="9525">
          <a:noFill/>
          <a:miter lim="800000"/>
          <a:headEnd/>
          <a:tailEnd/>
        </a:ln>
      </xdr:spPr>
    </xdr:pic>
    <xdr:clientData/>
  </xdr:twoCellAnchor>
  <xdr:twoCellAnchor editAs="oneCell">
    <xdr:from>
      <xdr:col>123</xdr:col>
      <xdr:colOff>491614</xdr:colOff>
      <xdr:row>13</xdr:row>
      <xdr:rowOff>101253</xdr:rowOff>
    </xdr:from>
    <xdr:to>
      <xdr:col>124</xdr:col>
      <xdr:colOff>409852</xdr:colOff>
      <xdr:row>14</xdr:row>
      <xdr:rowOff>155451</xdr:rowOff>
    </xdr:to>
    <xdr:pic>
      <xdr:nvPicPr>
        <xdr:cNvPr id="171" name="Picture 10">
          <a:extLst>
            <a:ext uri="{FF2B5EF4-FFF2-40B4-BE49-F238E27FC236}">
              <a16:creationId xmlns:a16="http://schemas.microsoft.com/office/drawing/2014/main" id="{00000000-0008-0000-1A00-0000AB000000}"/>
            </a:ext>
          </a:extLst>
        </xdr:cNvPr>
        <xdr:cNvPicPr>
          <a:picLocks noChangeAspect="1" noChangeArrowheads="1"/>
        </xdr:cNvPicPr>
      </xdr:nvPicPr>
      <xdr:blipFill>
        <a:blip xmlns:r="http://schemas.openxmlformats.org/officeDocument/2006/relationships" r:embed="rId13" cstate="print"/>
        <a:srcRect/>
        <a:stretch>
          <a:fillRect/>
        </a:stretch>
      </xdr:blipFill>
      <xdr:spPr bwMode="auto">
        <a:xfrm flipH="1">
          <a:off x="32749614" y="2942878"/>
          <a:ext cx="600862" cy="260573"/>
        </a:xfrm>
        <a:prstGeom prst="rect">
          <a:avLst/>
        </a:prstGeom>
        <a:noFill/>
        <a:ln w="9525">
          <a:noFill/>
          <a:miter lim="800000"/>
          <a:headEnd/>
          <a:tailEnd/>
        </a:ln>
      </xdr:spPr>
    </xdr:pic>
    <xdr:clientData/>
  </xdr:twoCellAnchor>
  <xdr:twoCellAnchor>
    <xdr:from>
      <xdr:col>124</xdr:col>
      <xdr:colOff>219144</xdr:colOff>
      <xdr:row>14</xdr:row>
      <xdr:rowOff>198354</xdr:rowOff>
    </xdr:from>
    <xdr:to>
      <xdr:col>124</xdr:col>
      <xdr:colOff>433456</xdr:colOff>
      <xdr:row>15</xdr:row>
      <xdr:rowOff>192559</xdr:rowOff>
    </xdr:to>
    <xdr:sp macro="" textlink="">
      <xdr:nvSpPr>
        <xdr:cNvPr id="172" name="실행 단추: 소리 171">
          <a:extLst>
            <a:ext uri="{FF2B5EF4-FFF2-40B4-BE49-F238E27FC236}">
              <a16:creationId xmlns:a16="http://schemas.microsoft.com/office/drawing/2014/main" id="{00000000-0008-0000-1A00-0000AC000000}"/>
            </a:ext>
          </a:extLst>
        </xdr:cNvPr>
        <xdr:cNvSpPr/>
      </xdr:nvSpPr>
      <xdr:spPr>
        <a:xfrm>
          <a:off x="33159769" y="3246354"/>
          <a:ext cx="214312" cy="200580"/>
        </a:xfrm>
        <a:prstGeom prst="actionButtonSound">
          <a:avLst/>
        </a:prstGeom>
        <a:solidFill>
          <a:schemeClr val="tx1">
            <a:alpha val="0"/>
          </a:schemeClr>
        </a:solidFill>
        <a:ln>
          <a:solidFill>
            <a:schemeClr val="tx1">
              <a:lumMod val="65000"/>
              <a:lumOff val="35000"/>
            </a:schemeClr>
          </a:solidFill>
        </a:ln>
        <a:effectLst>
          <a:outerShdw blurRad="50800" dist="50800" sx="1000" sy="1000" algn="ctr" rotWithShape="0">
            <a:srgbClr val="000000"/>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defRPr/>
          </a:pPr>
          <a:endParaRPr lang="ko-KR" altLang="en-US" sz="900">
            <a:latin typeface="맑은 고딕" pitchFamily="50" charset="-127"/>
            <a:ea typeface="맑은 고딕" pitchFamily="50" charset="-127"/>
          </a:endParaRPr>
        </a:p>
      </xdr:txBody>
    </xdr:sp>
    <xdr:clientData/>
  </xdr:twoCellAnchor>
  <xdr:twoCellAnchor>
    <xdr:from>
      <xdr:col>117</xdr:col>
      <xdr:colOff>328578</xdr:colOff>
      <xdr:row>13</xdr:row>
      <xdr:rowOff>98659</xdr:rowOff>
    </xdr:from>
    <xdr:to>
      <xdr:col>118</xdr:col>
      <xdr:colOff>622765</xdr:colOff>
      <xdr:row>15</xdr:row>
      <xdr:rowOff>32423</xdr:rowOff>
    </xdr:to>
    <xdr:sp macro="" textlink="">
      <xdr:nvSpPr>
        <xdr:cNvPr id="175" name="Rectangle 4">
          <a:extLst>
            <a:ext uri="{FF2B5EF4-FFF2-40B4-BE49-F238E27FC236}">
              <a16:creationId xmlns:a16="http://schemas.microsoft.com/office/drawing/2014/main" id="{00000000-0008-0000-1A00-0000AF000000}"/>
            </a:ext>
          </a:extLst>
        </xdr:cNvPr>
        <xdr:cNvSpPr>
          <a:spLocks noChangeArrowheads="1"/>
        </xdr:cNvSpPr>
      </xdr:nvSpPr>
      <xdr:spPr bwMode="auto">
        <a:xfrm>
          <a:off x="28490828" y="2940284"/>
          <a:ext cx="976812" cy="346514"/>
        </a:xfrm>
        <a:prstGeom prst="rect">
          <a:avLst/>
        </a:prstGeom>
        <a:solidFill>
          <a:schemeClr val="accent5">
            <a:lumMod val="60000"/>
            <a:lumOff val="40000"/>
          </a:schemeClr>
        </a:solidFill>
        <a:ln w="9525">
          <a:solidFill>
            <a:schemeClr val="tx1"/>
          </a:solidFill>
          <a:miter lim="800000"/>
          <a:headEnd/>
          <a:tailEnd/>
        </a:ln>
      </xdr:spPr>
      <xdr:txBody>
        <a:bodyPr wrap="square"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defRPr/>
          </a:pPr>
          <a:r>
            <a:rPr lang="en-US" altLang="ko-KR" sz="900">
              <a:latin typeface="맑은 고딕" pitchFamily="50" charset="-127"/>
              <a:ea typeface="맑은 고딕" pitchFamily="50" charset="-127"/>
            </a:rPr>
            <a:t>AC/DC Supply</a:t>
          </a:r>
        </a:p>
      </xdr:txBody>
    </xdr:sp>
    <xdr:clientData/>
  </xdr:twoCellAnchor>
  <xdr:twoCellAnchor>
    <xdr:from>
      <xdr:col>118</xdr:col>
      <xdr:colOff>569805</xdr:colOff>
      <xdr:row>13</xdr:row>
      <xdr:rowOff>95303</xdr:rowOff>
    </xdr:from>
    <xdr:to>
      <xdr:col>120</xdr:col>
      <xdr:colOff>154184</xdr:colOff>
      <xdr:row>15</xdr:row>
      <xdr:rowOff>44074</xdr:rowOff>
    </xdr:to>
    <xdr:sp macro="" textlink="">
      <xdr:nvSpPr>
        <xdr:cNvPr id="176" name="Rectangle 4">
          <a:extLst>
            <a:ext uri="{FF2B5EF4-FFF2-40B4-BE49-F238E27FC236}">
              <a16:creationId xmlns:a16="http://schemas.microsoft.com/office/drawing/2014/main" id="{00000000-0008-0000-1A00-0000B0000000}"/>
            </a:ext>
          </a:extLst>
        </xdr:cNvPr>
        <xdr:cNvSpPr>
          <a:spLocks noChangeArrowheads="1"/>
        </xdr:cNvSpPr>
      </xdr:nvSpPr>
      <xdr:spPr bwMode="auto">
        <a:xfrm>
          <a:off x="29414680" y="2936928"/>
          <a:ext cx="949629" cy="361521"/>
        </a:xfrm>
        <a:prstGeom prst="rect">
          <a:avLst/>
        </a:prstGeom>
        <a:solidFill>
          <a:schemeClr val="accent5">
            <a:lumMod val="60000"/>
            <a:lumOff val="40000"/>
          </a:schemeClr>
        </a:solidFill>
        <a:ln w="9525">
          <a:solidFill>
            <a:schemeClr val="tx1"/>
          </a:solidFill>
          <a:miter lim="800000"/>
          <a:headEnd/>
          <a:tailEnd/>
        </a:ln>
      </xdr:spPr>
      <xdr:txBody>
        <a:bodyPr wrap="square"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defRPr/>
          </a:pPr>
          <a:r>
            <a:rPr lang="en-US" altLang="ko-KR" sz="900">
              <a:latin typeface="맑은 고딕" pitchFamily="50" charset="-127"/>
              <a:ea typeface="맑은 고딕" pitchFamily="50" charset="-127"/>
            </a:rPr>
            <a:t>Battery Control</a:t>
          </a:r>
        </a:p>
      </xdr:txBody>
    </xdr:sp>
    <xdr:clientData/>
  </xdr:twoCellAnchor>
  <xdr:twoCellAnchor>
    <xdr:from>
      <xdr:col>117</xdr:col>
      <xdr:colOff>327538</xdr:colOff>
      <xdr:row>15</xdr:row>
      <xdr:rowOff>36533</xdr:rowOff>
    </xdr:from>
    <xdr:to>
      <xdr:col>118</xdr:col>
      <xdr:colOff>568766</xdr:colOff>
      <xdr:row>16</xdr:row>
      <xdr:rowOff>202208</xdr:rowOff>
    </xdr:to>
    <xdr:sp macro="" textlink="">
      <xdr:nvSpPr>
        <xdr:cNvPr id="177" name="Rectangle 4">
          <a:extLst>
            <a:ext uri="{FF2B5EF4-FFF2-40B4-BE49-F238E27FC236}">
              <a16:creationId xmlns:a16="http://schemas.microsoft.com/office/drawing/2014/main" id="{00000000-0008-0000-1A00-0000B1000000}"/>
            </a:ext>
          </a:extLst>
        </xdr:cNvPr>
        <xdr:cNvSpPr>
          <a:spLocks noChangeArrowheads="1"/>
        </xdr:cNvSpPr>
      </xdr:nvSpPr>
      <xdr:spPr bwMode="auto">
        <a:xfrm>
          <a:off x="28489788" y="3290908"/>
          <a:ext cx="923853" cy="372050"/>
        </a:xfrm>
        <a:prstGeom prst="rect">
          <a:avLst/>
        </a:prstGeom>
        <a:solidFill>
          <a:schemeClr val="accent5">
            <a:lumMod val="60000"/>
            <a:lumOff val="40000"/>
          </a:schemeClr>
        </a:solidFill>
        <a:ln w="9525">
          <a:solidFill>
            <a:schemeClr val="tx1"/>
          </a:solidFill>
          <a:miter lim="800000"/>
          <a:headEnd/>
          <a:tailEnd/>
        </a:ln>
      </xdr:spPr>
      <xdr:txBody>
        <a:bodyPr wrap="square"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defRPr/>
          </a:pPr>
          <a:r>
            <a:rPr lang="en-US" altLang="ko-KR" sz="900">
              <a:latin typeface="맑은 고딕" pitchFamily="50" charset="-127"/>
              <a:ea typeface="맑은 고딕" pitchFamily="50" charset="-127"/>
            </a:rPr>
            <a:t>Condition</a:t>
          </a:r>
        </a:p>
        <a:p>
          <a:pPr algn="ctr">
            <a:defRPr/>
          </a:pPr>
          <a:r>
            <a:rPr lang="en-US" altLang="ko-KR" sz="900">
              <a:latin typeface="맑은 고딕" pitchFamily="50" charset="-127"/>
              <a:ea typeface="맑은 고딕" pitchFamily="50" charset="-127"/>
            </a:rPr>
            <a:t>Monitoring</a:t>
          </a:r>
        </a:p>
      </xdr:txBody>
    </xdr:sp>
    <xdr:clientData/>
  </xdr:twoCellAnchor>
  <xdr:twoCellAnchor>
    <xdr:from>
      <xdr:col>118</xdr:col>
      <xdr:colOff>568766</xdr:colOff>
      <xdr:row>15</xdr:row>
      <xdr:rowOff>39413</xdr:rowOff>
    </xdr:from>
    <xdr:to>
      <xdr:col>120</xdr:col>
      <xdr:colOff>153145</xdr:colOff>
      <xdr:row>16</xdr:row>
      <xdr:rowOff>202208</xdr:rowOff>
    </xdr:to>
    <xdr:sp macro="" textlink="">
      <xdr:nvSpPr>
        <xdr:cNvPr id="178" name="Rectangle 4">
          <a:extLst>
            <a:ext uri="{FF2B5EF4-FFF2-40B4-BE49-F238E27FC236}">
              <a16:creationId xmlns:a16="http://schemas.microsoft.com/office/drawing/2014/main" id="{00000000-0008-0000-1A00-0000B2000000}"/>
            </a:ext>
          </a:extLst>
        </xdr:cNvPr>
        <xdr:cNvSpPr>
          <a:spLocks noChangeArrowheads="1"/>
        </xdr:cNvSpPr>
      </xdr:nvSpPr>
      <xdr:spPr bwMode="auto">
        <a:xfrm>
          <a:off x="29413641" y="3293788"/>
          <a:ext cx="949629" cy="369170"/>
        </a:xfrm>
        <a:prstGeom prst="rect">
          <a:avLst/>
        </a:prstGeom>
        <a:solidFill>
          <a:schemeClr val="accent5">
            <a:lumMod val="60000"/>
            <a:lumOff val="40000"/>
          </a:schemeClr>
        </a:solidFill>
        <a:ln w="9525">
          <a:solidFill>
            <a:schemeClr val="tx1"/>
          </a:solidFill>
          <a:miter lim="800000"/>
          <a:headEnd/>
          <a:tailEnd/>
        </a:ln>
      </xdr:spPr>
      <xdr:txBody>
        <a:bodyPr wrap="square"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defRPr/>
          </a:pPr>
          <a:r>
            <a:rPr lang="en-US" altLang="ko-KR" sz="900">
              <a:latin typeface="맑은 고딕" pitchFamily="50" charset="-127"/>
              <a:ea typeface="맑은 고딕" pitchFamily="50" charset="-127"/>
            </a:rPr>
            <a:t>Remote Control</a:t>
          </a:r>
        </a:p>
      </xdr:txBody>
    </xdr:sp>
    <xdr:clientData/>
  </xdr:twoCellAnchor>
  <xdr:twoCellAnchor editAs="oneCell">
    <xdr:from>
      <xdr:col>124</xdr:col>
      <xdr:colOff>73416</xdr:colOff>
      <xdr:row>8</xdr:row>
      <xdr:rowOff>180685</xdr:rowOff>
    </xdr:from>
    <xdr:to>
      <xdr:col>124</xdr:col>
      <xdr:colOff>520416</xdr:colOff>
      <xdr:row>10</xdr:row>
      <xdr:rowOff>193923</xdr:rowOff>
    </xdr:to>
    <xdr:pic>
      <xdr:nvPicPr>
        <xdr:cNvPr id="179" name="그림 178">
          <a:extLst>
            <a:ext uri="{FF2B5EF4-FFF2-40B4-BE49-F238E27FC236}">
              <a16:creationId xmlns:a16="http://schemas.microsoft.com/office/drawing/2014/main" id="{00000000-0008-0000-1A00-0000B3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33014041" y="1990435"/>
          <a:ext cx="447000" cy="425988"/>
        </a:xfrm>
        <a:prstGeom prst="rect">
          <a:avLst/>
        </a:prstGeom>
      </xdr:spPr>
    </xdr:pic>
    <xdr:clientData/>
  </xdr:twoCellAnchor>
  <xdr:twoCellAnchor>
    <xdr:from>
      <xdr:col>123</xdr:col>
      <xdr:colOff>468009</xdr:colOff>
      <xdr:row>11</xdr:row>
      <xdr:rowOff>129976</xdr:rowOff>
    </xdr:from>
    <xdr:to>
      <xdr:col>124</xdr:col>
      <xdr:colOff>142572</xdr:colOff>
      <xdr:row>11</xdr:row>
      <xdr:rowOff>131564</xdr:rowOff>
    </xdr:to>
    <xdr:cxnSp macro="">
      <xdr:nvCxnSpPr>
        <xdr:cNvPr id="180" name="직선 화살표 연결선 179">
          <a:extLst>
            <a:ext uri="{FF2B5EF4-FFF2-40B4-BE49-F238E27FC236}">
              <a16:creationId xmlns:a16="http://schemas.microsoft.com/office/drawing/2014/main" id="{00000000-0008-0000-1A00-0000B4000000}"/>
            </a:ext>
          </a:extLst>
        </xdr:cNvPr>
        <xdr:cNvCxnSpPr/>
      </xdr:nvCxnSpPr>
      <xdr:spPr>
        <a:xfrm>
          <a:off x="32726009" y="2558851"/>
          <a:ext cx="357188" cy="1588"/>
        </a:xfrm>
        <a:prstGeom prst="straightConnector1">
          <a:avLst/>
        </a:prstGeom>
        <a:ln cmpd="sng">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124</xdr:col>
      <xdr:colOff>126675</xdr:colOff>
      <xdr:row>11</xdr:row>
      <xdr:rowOff>1661</xdr:rowOff>
    </xdr:from>
    <xdr:to>
      <xdr:col>124</xdr:col>
      <xdr:colOff>479438</xdr:colOff>
      <xdr:row>12</xdr:row>
      <xdr:rowOff>110077</xdr:rowOff>
    </xdr:to>
    <xdr:pic>
      <xdr:nvPicPr>
        <xdr:cNvPr id="181" name="그림 180">
          <a:extLst>
            <a:ext uri="{FF2B5EF4-FFF2-40B4-BE49-F238E27FC236}">
              <a16:creationId xmlns:a16="http://schemas.microsoft.com/office/drawing/2014/main" id="{00000000-0008-0000-1A00-0000B5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33067300" y="2430536"/>
          <a:ext cx="352763" cy="314791"/>
        </a:xfrm>
        <a:prstGeom prst="rect">
          <a:avLst/>
        </a:prstGeom>
      </xdr:spPr>
    </xdr:pic>
    <xdr:clientData/>
  </xdr:twoCellAnchor>
  <xdr:twoCellAnchor>
    <xdr:from>
      <xdr:col>124</xdr:col>
      <xdr:colOff>511740</xdr:colOff>
      <xdr:row>11</xdr:row>
      <xdr:rowOff>2648</xdr:rowOff>
    </xdr:from>
    <xdr:to>
      <xdr:col>125</xdr:col>
      <xdr:colOff>614927</xdr:colOff>
      <xdr:row>12</xdr:row>
      <xdr:rowOff>61444</xdr:rowOff>
    </xdr:to>
    <xdr:sp macro="" textlink="">
      <xdr:nvSpPr>
        <xdr:cNvPr id="182" name="Rectangle 81">
          <a:extLst>
            <a:ext uri="{FF2B5EF4-FFF2-40B4-BE49-F238E27FC236}">
              <a16:creationId xmlns:a16="http://schemas.microsoft.com/office/drawing/2014/main" id="{00000000-0008-0000-1A00-0000B6000000}"/>
            </a:ext>
          </a:extLst>
        </xdr:cNvPr>
        <xdr:cNvSpPr>
          <a:spLocks noChangeArrowheads="1"/>
        </xdr:cNvSpPr>
      </xdr:nvSpPr>
      <xdr:spPr bwMode="auto">
        <a:xfrm>
          <a:off x="33452365" y="2431523"/>
          <a:ext cx="785812" cy="265171"/>
        </a:xfrm>
        <a:prstGeom prst="rect">
          <a:avLst/>
        </a:prstGeom>
        <a:solidFill>
          <a:srgbClr val="9999FF"/>
        </a:solidFill>
        <a:ln w="9525">
          <a:solidFill>
            <a:schemeClr val="tx1"/>
          </a:solidFill>
          <a:miter lim="800000"/>
          <a:headEnd/>
          <a:tailEnd/>
        </a:ln>
      </xdr:spPr>
      <xdr:txBody>
        <a:bodyPr wrap="square"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r>
            <a:rPr lang="ko-KR" altLang="en-US" sz="800">
              <a:latin typeface="맑은 고딕" pitchFamily="50" charset="-127"/>
              <a:ea typeface="맑은 고딕" pitchFamily="50" charset="-127"/>
            </a:rPr>
            <a:t>저광도</a:t>
          </a:r>
          <a:endParaRPr lang="en-US" altLang="ko-KR" sz="800">
            <a:latin typeface="맑은 고딕" pitchFamily="50" charset="-127"/>
            <a:ea typeface="맑은 고딕" pitchFamily="50" charset="-127"/>
          </a:endParaRPr>
        </a:p>
        <a:p>
          <a:pPr algn="ctr"/>
          <a:r>
            <a:rPr lang="ko-KR" altLang="en-US" sz="800">
              <a:latin typeface="맑은 고딕" pitchFamily="50" charset="-127"/>
              <a:ea typeface="맑은 고딕" pitchFamily="50" charset="-127"/>
            </a:rPr>
            <a:t>항공장애등</a:t>
          </a:r>
          <a:r>
            <a:rPr lang="en-US" altLang="ko-KR" sz="800">
              <a:latin typeface="맑은 고딕" pitchFamily="50" charset="-127"/>
              <a:ea typeface="맑은 고딕" pitchFamily="50" charset="-127"/>
            </a:rPr>
            <a:t>*1</a:t>
          </a:r>
        </a:p>
      </xdr:txBody>
    </xdr:sp>
    <xdr:clientData/>
  </xdr:twoCellAnchor>
  <xdr:twoCellAnchor>
    <xdr:from>
      <xdr:col>121</xdr:col>
      <xdr:colOff>177075</xdr:colOff>
      <xdr:row>9</xdr:row>
      <xdr:rowOff>88254</xdr:rowOff>
    </xdr:from>
    <xdr:to>
      <xdr:col>122</xdr:col>
      <xdr:colOff>274831</xdr:colOff>
      <xdr:row>10</xdr:row>
      <xdr:rowOff>193117</xdr:rowOff>
    </xdr:to>
    <xdr:sp macro="" textlink="">
      <xdr:nvSpPr>
        <xdr:cNvPr id="183" name="Rectangle 81">
          <a:extLst>
            <a:ext uri="{FF2B5EF4-FFF2-40B4-BE49-F238E27FC236}">
              <a16:creationId xmlns:a16="http://schemas.microsoft.com/office/drawing/2014/main" id="{00000000-0008-0000-1A00-0000B7000000}"/>
            </a:ext>
          </a:extLst>
        </xdr:cNvPr>
        <xdr:cNvSpPr>
          <a:spLocks noChangeArrowheads="1"/>
        </xdr:cNvSpPr>
      </xdr:nvSpPr>
      <xdr:spPr bwMode="auto">
        <a:xfrm>
          <a:off x="31069825" y="2104379"/>
          <a:ext cx="780381" cy="311238"/>
        </a:xfrm>
        <a:prstGeom prst="rect">
          <a:avLst/>
        </a:prstGeom>
        <a:solidFill>
          <a:srgbClr val="9999FF"/>
        </a:solidFill>
        <a:ln w="9525">
          <a:solidFill>
            <a:schemeClr val="tx1"/>
          </a:solidFill>
          <a:miter lim="800000"/>
          <a:headEnd/>
          <a:tailEnd/>
        </a:ln>
      </xdr:spPr>
      <xdr:txBody>
        <a:bodyPr wrap="square"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r>
            <a:rPr lang="en-US" altLang="ko-KR" sz="900">
              <a:latin typeface="맑은 고딕" pitchFamily="50" charset="-127"/>
              <a:ea typeface="맑은 고딕" pitchFamily="50" charset="-127"/>
            </a:rPr>
            <a:t>DC Input</a:t>
          </a:r>
        </a:p>
      </xdr:txBody>
    </xdr:sp>
    <xdr:clientData/>
  </xdr:twoCellAnchor>
  <xdr:twoCellAnchor>
    <xdr:from>
      <xdr:col>121</xdr:col>
      <xdr:colOff>177075</xdr:colOff>
      <xdr:row>10</xdr:row>
      <xdr:rowOff>193117</xdr:rowOff>
    </xdr:from>
    <xdr:to>
      <xdr:col>122</xdr:col>
      <xdr:colOff>274831</xdr:colOff>
      <xdr:row>12</xdr:row>
      <xdr:rowOff>91604</xdr:rowOff>
    </xdr:to>
    <xdr:sp macro="" textlink="">
      <xdr:nvSpPr>
        <xdr:cNvPr id="184" name="Rectangle 81">
          <a:extLst>
            <a:ext uri="{FF2B5EF4-FFF2-40B4-BE49-F238E27FC236}">
              <a16:creationId xmlns:a16="http://schemas.microsoft.com/office/drawing/2014/main" id="{00000000-0008-0000-1A00-0000B8000000}"/>
            </a:ext>
          </a:extLst>
        </xdr:cNvPr>
        <xdr:cNvSpPr>
          <a:spLocks noChangeArrowheads="1"/>
        </xdr:cNvSpPr>
      </xdr:nvSpPr>
      <xdr:spPr bwMode="auto">
        <a:xfrm>
          <a:off x="31069825" y="2415617"/>
          <a:ext cx="780381" cy="311237"/>
        </a:xfrm>
        <a:prstGeom prst="rect">
          <a:avLst/>
        </a:prstGeom>
        <a:solidFill>
          <a:srgbClr val="9999FF"/>
        </a:solidFill>
        <a:ln w="9525">
          <a:solidFill>
            <a:schemeClr val="tx1"/>
          </a:solidFill>
          <a:miter lim="800000"/>
          <a:headEnd/>
          <a:tailEnd/>
        </a:ln>
      </xdr:spPr>
      <xdr:txBody>
        <a:bodyPr wrap="square"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r>
            <a:rPr lang="en-US" altLang="ko-KR" sz="900">
              <a:latin typeface="맑은 고딕" pitchFamily="50" charset="-127"/>
              <a:ea typeface="맑은 고딕" pitchFamily="50" charset="-127"/>
            </a:rPr>
            <a:t>Light Control</a:t>
          </a:r>
        </a:p>
      </xdr:txBody>
    </xdr:sp>
    <xdr:clientData/>
  </xdr:twoCellAnchor>
  <xdr:twoCellAnchor>
    <xdr:from>
      <xdr:col>123</xdr:col>
      <xdr:colOff>396001</xdr:colOff>
      <xdr:row>8</xdr:row>
      <xdr:rowOff>174625</xdr:rowOff>
    </xdr:from>
    <xdr:to>
      <xdr:col>124</xdr:col>
      <xdr:colOff>136890</xdr:colOff>
      <xdr:row>9</xdr:row>
      <xdr:rowOff>199082</xdr:rowOff>
    </xdr:to>
    <xdr:sp macro="" textlink="">
      <xdr:nvSpPr>
        <xdr:cNvPr id="185" name="Text Box 14">
          <a:extLst>
            <a:ext uri="{FF2B5EF4-FFF2-40B4-BE49-F238E27FC236}">
              <a16:creationId xmlns:a16="http://schemas.microsoft.com/office/drawing/2014/main" id="{00000000-0008-0000-1A00-0000B9000000}"/>
            </a:ext>
          </a:extLst>
        </xdr:cNvPr>
        <xdr:cNvSpPr txBox="1">
          <a:spLocks noChangeArrowheads="1"/>
        </xdr:cNvSpPr>
      </xdr:nvSpPr>
      <xdr:spPr bwMode="auto">
        <a:xfrm>
          <a:off x="32654001" y="1984375"/>
          <a:ext cx="423514" cy="230832"/>
        </a:xfrm>
        <a:prstGeom prst="rect">
          <a:avLst/>
        </a:prstGeom>
        <a:noFill/>
        <a:ln w="9525">
          <a:noFill/>
          <a:miter lim="800000"/>
          <a:headEnd/>
          <a:tailEnd/>
        </a:ln>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en-US" altLang="ko-KR" sz="900">
              <a:latin typeface="맑은 고딕" pitchFamily="50" charset="-127"/>
              <a:ea typeface="맑은 고딕" pitchFamily="50" charset="-127"/>
            </a:rPr>
            <a:t>45W</a:t>
          </a:r>
        </a:p>
      </xdr:txBody>
    </xdr:sp>
    <xdr:clientData/>
  </xdr:twoCellAnchor>
  <xdr:twoCellAnchor>
    <xdr:from>
      <xdr:col>123</xdr:col>
      <xdr:colOff>396001</xdr:colOff>
      <xdr:row>10</xdr:row>
      <xdr:rowOff>106313</xdr:rowOff>
    </xdr:from>
    <xdr:to>
      <xdr:col>124</xdr:col>
      <xdr:colOff>162538</xdr:colOff>
      <xdr:row>11</xdr:row>
      <xdr:rowOff>130770</xdr:rowOff>
    </xdr:to>
    <xdr:sp macro="" textlink="">
      <xdr:nvSpPr>
        <xdr:cNvPr id="186" name="Text Box 14">
          <a:extLst>
            <a:ext uri="{FF2B5EF4-FFF2-40B4-BE49-F238E27FC236}">
              <a16:creationId xmlns:a16="http://schemas.microsoft.com/office/drawing/2014/main" id="{00000000-0008-0000-1A00-0000BA000000}"/>
            </a:ext>
          </a:extLst>
        </xdr:cNvPr>
        <xdr:cNvSpPr txBox="1">
          <a:spLocks noChangeArrowheads="1"/>
        </xdr:cNvSpPr>
      </xdr:nvSpPr>
      <xdr:spPr bwMode="auto">
        <a:xfrm>
          <a:off x="32654001" y="2328813"/>
          <a:ext cx="449162" cy="230832"/>
        </a:xfrm>
        <a:prstGeom prst="rect">
          <a:avLst/>
        </a:prstGeom>
        <a:noFill/>
        <a:ln w="9525">
          <a:noFill/>
          <a:miter lim="800000"/>
          <a:headEnd/>
          <a:tailEnd/>
        </a:ln>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en-US" altLang="ko-KR" sz="900">
              <a:latin typeface="맑은 고딕" pitchFamily="50" charset="-127"/>
              <a:ea typeface="맑은 고딕" pitchFamily="50" charset="-127"/>
            </a:rPr>
            <a:t>1.5W</a:t>
          </a:r>
        </a:p>
      </xdr:txBody>
    </xdr:sp>
    <xdr:clientData/>
  </xdr:twoCellAnchor>
  <xdr:twoCellAnchor>
    <xdr:from>
      <xdr:col>120</xdr:col>
      <xdr:colOff>225738</xdr:colOff>
      <xdr:row>11</xdr:row>
      <xdr:rowOff>81955</xdr:rowOff>
    </xdr:from>
    <xdr:to>
      <xdr:col>121</xdr:col>
      <xdr:colOff>76513</xdr:colOff>
      <xdr:row>11</xdr:row>
      <xdr:rowOff>81955</xdr:rowOff>
    </xdr:to>
    <xdr:sp macro="" textlink="">
      <xdr:nvSpPr>
        <xdr:cNvPr id="187" name="Line 34">
          <a:extLst>
            <a:ext uri="{FF2B5EF4-FFF2-40B4-BE49-F238E27FC236}">
              <a16:creationId xmlns:a16="http://schemas.microsoft.com/office/drawing/2014/main" id="{00000000-0008-0000-1A00-0000BB000000}"/>
            </a:ext>
          </a:extLst>
        </xdr:cNvPr>
        <xdr:cNvSpPr>
          <a:spLocks noChangeShapeType="1"/>
        </xdr:cNvSpPr>
      </xdr:nvSpPr>
      <xdr:spPr bwMode="auto">
        <a:xfrm>
          <a:off x="30435863" y="2510830"/>
          <a:ext cx="533400" cy="0"/>
        </a:xfrm>
        <a:prstGeom prst="line">
          <a:avLst/>
        </a:prstGeom>
        <a:noFill/>
        <a:ln w="9525">
          <a:solidFill>
            <a:schemeClr val="tx1"/>
          </a:solidFill>
          <a:round/>
          <a:headEnd type="none" w="med" len="med"/>
          <a:tailEnd type="triangle" w="med" len="med"/>
        </a:ln>
      </xdr:spPr>
      <xdr:txBody>
        <a:bodyPr wrap="square"/>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900">
            <a:latin typeface="맑은 고딕" pitchFamily="50" charset="-127"/>
            <a:ea typeface="맑은 고딕" pitchFamily="50" charset="-127"/>
          </a:endParaRPr>
        </a:p>
      </xdr:txBody>
    </xdr:sp>
    <xdr:clientData/>
  </xdr:twoCellAnchor>
  <xdr:twoCellAnchor>
    <xdr:from>
      <xdr:col>120</xdr:col>
      <xdr:colOff>154185</xdr:colOff>
      <xdr:row>10</xdr:row>
      <xdr:rowOff>57498</xdr:rowOff>
    </xdr:from>
    <xdr:to>
      <xdr:col>121</xdr:col>
      <xdr:colOff>105067</xdr:colOff>
      <xdr:row>11</xdr:row>
      <xdr:rowOff>81955</xdr:rowOff>
    </xdr:to>
    <xdr:sp macro="" textlink="">
      <xdr:nvSpPr>
        <xdr:cNvPr id="188" name="Text Box 14">
          <a:extLst>
            <a:ext uri="{FF2B5EF4-FFF2-40B4-BE49-F238E27FC236}">
              <a16:creationId xmlns:a16="http://schemas.microsoft.com/office/drawing/2014/main" id="{00000000-0008-0000-1A00-0000BC000000}"/>
            </a:ext>
          </a:extLst>
        </xdr:cNvPr>
        <xdr:cNvSpPr txBox="1">
          <a:spLocks noChangeArrowheads="1"/>
        </xdr:cNvSpPr>
      </xdr:nvSpPr>
      <xdr:spPr bwMode="auto">
        <a:xfrm>
          <a:off x="30364310" y="2279998"/>
          <a:ext cx="633507" cy="230832"/>
        </a:xfrm>
        <a:prstGeom prst="rect">
          <a:avLst/>
        </a:prstGeom>
        <a:noFill/>
        <a:ln w="9525">
          <a:noFill/>
          <a:miter lim="800000"/>
          <a:headEnd/>
          <a:tailEnd/>
        </a:ln>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en-US" altLang="ko-KR" sz="900">
              <a:latin typeface="맑은 고딕" pitchFamily="50" charset="-127"/>
              <a:ea typeface="맑은 고딕" pitchFamily="50" charset="-127"/>
            </a:rPr>
            <a:t>DC14.5V</a:t>
          </a:r>
        </a:p>
      </xdr:txBody>
    </xdr:sp>
    <xdr:clientData/>
  </xdr:twoCellAnchor>
  <xdr:twoCellAnchor>
    <xdr:from>
      <xdr:col>120</xdr:col>
      <xdr:colOff>254292</xdr:colOff>
      <xdr:row>18</xdr:row>
      <xdr:rowOff>58936</xdr:rowOff>
    </xdr:from>
    <xdr:to>
      <xdr:col>121</xdr:col>
      <xdr:colOff>105067</xdr:colOff>
      <xdr:row>18</xdr:row>
      <xdr:rowOff>58936</xdr:rowOff>
    </xdr:to>
    <xdr:sp macro="" textlink="">
      <xdr:nvSpPr>
        <xdr:cNvPr id="189" name="Line 34">
          <a:extLst>
            <a:ext uri="{FF2B5EF4-FFF2-40B4-BE49-F238E27FC236}">
              <a16:creationId xmlns:a16="http://schemas.microsoft.com/office/drawing/2014/main" id="{00000000-0008-0000-1A00-0000BD000000}"/>
            </a:ext>
          </a:extLst>
        </xdr:cNvPr>
        <xdr:cNvSpPr>
          <a:spLocks noChangeShapeType="1"/>
        </xdr:cNvSpPr>
      </xdr:nvSpPr>
      <xdr:spPr bwMode="auto">
        <a:xfrm>
          <a:off x="30464417" y="3932436"/>
          <a:ext cx="533400" cy="0"/>
        </a:xfrm>
        <a:prstGeom prst="line">
          <a:avLst/>
        </a:prstGeom>
        <a:noFill/>
        <a:ln w="9525">
          <a:solidFill>
            <a:schemeClr val="tx1"/>
          </a:solidFill>
          <a:round/>
          <a:headEnd type="none" w="med" len="med"/>
          <a:tailEnd type="triangle" w="med" len="med"/>
        </a:ln>
      </xdr:spPr>
      <xdr:txBody>
        <a:bodyPr wrap="square"/>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900">
            <a:latin typeface="맑은 고딕" pitchFamily="50" charset="-127"/>
            <a:ea typeface="맑은 고딕" pitchFamily="50" charset="-127"/>
          </a:endParaRPr>
        </a:p>
      </xdr:txBody>
    </xdr:sp>
    <xdr:clientData/>
  </xdr:twoCellAnchor>
  <xdr:twoCellAnchor>
    <xdr:from>
      <xdr:col>120</xdr:col>
      <xdr:colOff>211628</xdr:colOff>
      <xdr:row>17</xdr:row>
      <xdr:rowOff>53033</xdr:rowOff>
    </xdr:from>
    <xdr:to>
      <xdr:col>121</xdr:col>
      <xdr:colOff>64727</xdr:colOff>
      <xdr:row>18</xdr:row>
      <xdr:rowOff>77490</xdr:rowOff>
    </xdr:to>
    <xdr:sp macro="" textlink="">
      <xdr:nvSpPr>
        <xdr:cNvPr id="190" name="Text Box 14">
          <a:extLst>
            <a:ext uri="{FF2B5EF4-FFF2-40B4-BE49-F238E27FC236}">
              <a16:creationId xmlns:a16="http://schemas.microsoft.com/office/drawing/2014/main" id="{00000000-0008-0000-1A00-0000BE000000}"/>
            </a:ext>
          </a:extLst>
        </xdr:cNvPr>
        <xdr:cNvSpPr txBox="1">
          <a:spLocks noChangeArrowheads="1"/>
        </xdr:cNvSpPr>
      </xdr:nvSpPr>
      <xdr:spPr bwMode="auto">
        <a:xfrm>
          <a:off x="30421753" y="3720158"/>
          <a:ext cx="535724" cy="230832"/>
        </a:xfrm>
        <a:prstGeom prst="rect">
          <a:avLst/>
        </a:prstGeom>
        <a:noFill/>
        <a:ln w="9525">
          <a:noFill/>
          <a:miter lim="800000"/>
          <a:headEnd/>
          <a:tailEnd/>
        </a:ln>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en-US" altLang="ko-KR" sz="900">
              <a:latin typeface="맑은 고딕" pitchFamily="50" charset="-127"/>
              <a:ea typeface="맑은 고딕" pitchFamily="50" charset="-127"/>
            </a:rPr>
            <a:t>AC24V</a:t>
          </a:r>
        </a:p>
      </xdr:txBody>
    </xdr:sp>
    <xdr:clientData/>
  </xdr:twoCellAnchor>
  <xdr:twoCellAnchor>
    <xdr:from>
      <xdr:col>116</xdr:col>
      <xdr:colOff>406703</xdr:colOff>
      <xdr:row>29</xdr:row>
      <xdr:rowOff>102629</xdr:rowOff>
    </xdr:from>
    <xdr:to>
      <xdr:col>117</xdr:col>
      <xdr:colOff>248244</xdr:colOff>
      <xdr:row>29</xdr:row>
      <xdr:rowOff>102629</xdr:rowOff>
    </xdr:to>
    <xdr:sp macro="" textlink="">
      <xdr:nvSpPr>
        <xdr:cNvPr id="191" name="Line 34">
          <a:extLst>
            <a:ext uri="{FF2B5EF4-FFF2-40B4-BE49-F238E27FC236}">
              <a16:creationId xmlns:a16="http://schemas.microsoft.com/office/drawing/2014/main" id="{00000000-0008-0000-1A00-0000BF000000}"/>
            </a:ext>
          </a:extLst>
        </xdr:cNvPr>
        <xdr:cNvSpPr>
          <a:spLocks noChangeShapeType="1"/>
        </xdr:cNvSpPr>
      </xdr:nvSpPr>
      <xdr:spPr bwMode="auto">
        <a:xfrm>
          <a:off x="27886328" y="6246254"/>
          <a:ext cx="524166" cy="0"/>
        </a:xfrm>
        <a:prstGeom prst="line">
          <a:avLst/>
        </a:prstGeom>
        <a:noFill/>
        <a:ln w="9525">
          <a:solidFill>
            <a:schemeClr val="tx1"/>
          </a:solidFill>
          <a:round/>
          <a:headEnd type="none" w="med" len="med"/>
          <a:tailEnd type="triangle" w="med" len="med"/>
        </a:ln>
      </xdr:spPr>
      <xdr:txBody>
        <a:bodyPr wrap="square"/>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900">
            <a:latin typeface="맑은 고딕" pitchFamily="50" charset="-127"/>
            <a:ea typeface="맑은 고딕" pitchFamily="50" charset="-127"/>
          </a:endParaRPr>
        </a:p>
      </xdr:txBody>
    </xdr:sp>
    <xdr:clientData/>
  </xdr:twoCellAnchor>
  <xdr:twoCellAnchor>
    <xdr:from>
      <xdr:col>115</xdr:col>
      <xdr:colOff>297338</xdr:colOff>
      <xdr:row>28</xdr:row>
      <xdr:rowOff>158077</xdr:rowOff>
    </xdr:from>
    <xdr:to>
      <xdr:col>116</xdr:col>
      <xdr:colOff>376713</xdr:colOff>
      <xdr:row>30</xdr:row>
      <xdr:rowOff>31077</xdr:rowOff>
    </xdr:to>
    <xdr:sp macro="" textlink="">
      <xdr:nvSpPr>
        <xdr:cNvPr id="192" name="Rectangle 11">
          <a:extLst>
            <a:ext uri="{FF2B5EF4-FFF2-40B4-BE49-F238E27FC236}">
              <a16:creationId xmlns:a16="http://schemas.microsoft.com/office/drawing/2014/main" id="{00000000-0008-0000-1A00-0000C0000000}"/>
            </a:ext>
          </a:extLst>
        </xdr:cNvPr>
        <xdr:cNvSpPr>
          <a:spLocks noChangeArrowheads="1"/>
        </xdr:cNvSpPr>
      </xdr:nvSpPr>
      <xdr:spPr bwMode="auto">
        <a:xfrm>
          <a:off x="27094338" y="6095327"/>
          <a:ext cx="762000" cy="285750"/>
        </a:xfrm>
        <a:prstGeom prst="rect">
          <a:avLst/>
        </a:prstGeom>
        <a:solidFill>
          <a:srgbClr val="66CCFF"/>
        </a:solidFill>
        <a:ln w="9525">
          <a:solidFill>
            <a:schemeClr val="tx1"/>
          </a:solidFill>
          <a:miter lim="800000"/>
          <a:headEnd/>
          <a:tailEnd/>
        </a:ln>
      </xdr:spPr>
      <xdr:txBody>
        <a:bodyPr wrap="square"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r>
            <a:rPr lang="en-US" altLang="ko-KR" sz="900">
              <a:latin typeface="맑은 고딕" pitchFamily="50" charset="-127"/>
              <a:ea typeface="맑은 고딕" pitchFamily="50" charset="-127"/>
            </a:rPr>
            <a:t>OPGW</a:t>
          </a:r>
        </a:p>
      </xdr:txBody>
    </xdr:sp>
    <xdr:clientData/>
  </xdr:twoCellAnchor>
  <xdr:twoCellAnchor>
    <xdr:from>
      <xdr:col>117</xdr:col>
      <xdr:colOff>327200</xdr:colOff>
      <xdr:row>16</xdr:row>
      <xdr:rowOff>206088</xdr:rowOff>
    </xdr:from>
    <xdr:to>
      <xdr:col>118</xdr:col>
      <xdr:colOff>627440</xdr:colOff>
      <xdr:row>18</xdr:row>
      <xdr:rowOff>144612</xdr:rowOff>
    </xdr:to>
    <xdr:sp macro="" textlink="">
      <xdr:nvSpPr>
        <xdr:cNvPr id="193" name="Rectangle 4">
          <a:extLst>
            <a:ext uri="{FF2B5EF4-FFF2-40B4-BE49-F238E27FC236}">
              <a16:creationId xmlns:a16="http://schemas.microsoft.com/office/drawing/2014/main" id="{00000000-0008-0000-1A00-0000C1000000}"/>
            </a:ext>
          </a:extLst>
        </xdr:cNvPr>
        <xdr:cNvSpPr>
          <a:spLocks noChangeArrowheads="1"/>
        </xdr:cNvSpPr>
      </xdr:nvSpPr>
      <xdr:spPr bwMode="auto">
        <a:xfrm>
          <a:off x="28489450" y="3666838"/>
          <a:ext cx="982865" cy="351274"/>
        </a:xfrm>
        <a:prstGeom prst="rect">
          <a:avLst/>
        </a:prstGeom>
        <a:solidFill>
          <a:schemeClr val="accent5">
            <a:lumMod val="60000"/>
            <a:lumOff val="40000"/>
          </a:schemeClr>
        </a:solidFill>
        <a:ln w="9525">
          <a:solidFill>
            <a:schemeClr val="tx1"/>
          </a:solidFill>
          <a:miter lim="800000"/>
          <a:headEnd/>
          <a:tailEnd/>
        </a:ln>
      </xdr:spPr>
      <xdr:txBody>
        <a:bodyPr wrap="square"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defRPr/>
          </a:pPr>
          <a:r>
            <a:rPr lang="en-US" altLang="ko-KR" sz="900">
              <a:latin typeface="맑은 고딕" pitchFamily="50" charset="-127"/>
              <a:ea typeface="맑은 고딕" pitchFamily="50" charset="-127"/>
            </a:rPr>
            <a:t>RS-485</a:t>
          </a:r>
        </a:p>
      </xdr:txBody>
    </xdr:sp>
    <xdr:clientData/>
  </xdr:twoCellAnchor>
  <xdr:twoCellAnchor>
    <xdr:from>
      <xdr:col>118</xdr:col>
      <xdr:colOff>574086</xdr:colOff>
      <xdr:row>16</xdr:row>
      <xdr:rowOff>202526</xdr:rowOff>
    </xdr:from>
    <xdr:to>
      <xdr:col>120</xdr:col>
      <xdr:colOff>153145</xdr:colOff>
      <xdr:row>18</xdr:row>
      <xdr:rowOff>144612</xdr:rowOff>
    </xdr:to>
    <xdr:sp macro="" textlink="">
      <xdr:nvSpPr>
        <xdr:cNvPr id="194" name="Rectangle 4">
          <a:extLst>
            <a:ext uri="{FF2B5EF4-FFF2-40B4-BE49-F238E27FC236}">
              <a16:creationId xmlns:a16="http://schemas.microsoft.com/office/drawing/2014/main" id="{00000000-0008-0000-1A00-0000C2000000}"/>
            </a:ext>
          </a:extLst>
        </xdr:cNvPr>
        <xdr:cNvSpPr>
          <a:spLocks noChangeArrowheads="1"/>
        </xdr:cNvSpPr>
      </xdr:nvSpPr>
      <xdr:spPr bwMode="auto">
        <a:xfrm>
          <a:off x="29418961" y="3663276"/>
          <a:ext cx="944309" cy="354836"/>
        </a:xfrm>
        <a:prstGeom prst="rect">
          <a:avLst/>
        </a:prstGeom>
        <a:solidFill>
          <a:schemeClr val="accent5">
            <a:lumMod val="60000"/>
            <a:lumOff val="40000"/>
          </a:schemeClr>
        </a:solidFill>
        <a:ln w="9525">
          <a:solidFill>
            <a:schemeClr val="tx1"/>
          </a:solidFill>
          <a:miter lim="800000"/>
          <a:headEnd/>
          <a:tailEnd/>
        </a:ln>
      </xdr:spPr>
      <xdr:txBody>
        <a:bodyPr wrap="square"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defRPr/>
          </a:pPr>
          <a:r>
            <a:rPr lang="en-US" altLang="ko-KR" sz="900">
              <a:latin typeface="맑은 고딕" pitchFamily="50" charset="-127"/>
              <a:ea typeface="맑은 고딕" pitchFamily="50" charset="-127"/>
            </a:rPr>
            <a:t>ETHERNET</a:t>
          </a:r>
        </a:p>
      </xdr:txBody>
    </xdr:sp>
    <xdr:clientData/>
  </xdr:twoCellAnchor>
  <xdr:twoCellAnchor>
    <xdr:from>
      <xdr:col>122</xdr:col>
      <xdr:colOff>240253</xdr:colOff>
      <xdr:row>14</xdr:row>
      <xdr:rowOff>68997</xdr:rowOff>
    </xdr:from>
    <xdr:to>
      <xdr:col>123</xdr:col>
      <xdr:colOff>338009</xdr:colOff>
      <xdr:row>15</xdr:row>
      <xdr:rowOff>173860</xdr:rowOff>
    </xdr:to>
    <xdr:sp macro="" textlink="">
      <xdr:nvSpPr>
        <xdr:cNvPr id="195" name="Rectangle 81">
          <a:extLst>
            <a:ext uri="{FF2B5EF4-FFF2-40B4-BE49-F238E27FC236}">
              <a16:creationId xmlns:a16="http://schemas.microsoft.com/office/drawing/2014/main" id="{00000000-0008-0000-1A00-0000C3000000}"/>
            </a:ext>
          </a:extLst>
        </xdr:cNvPr>
        <xdr:cNvSpPr>
          <a:spLocks noChangeArrowheads="1"/>
        </xdr:cNvSpPr>
      </xdr:nvSpPr>
      <xdr:spPr bwMode="auto">
        <a:xfrm>
          <a:off x="31815628" y="3116997"/>
          <a:ext cx="780381" cy="311238"/>
        </a:xfrm>
        <a:prstGeom prst="rect">
          <a:avLst/>
        </a:prstGeom>
        <a:solidFill>
          <a:schemeClr val="accent6">
            <a:lumMod val="40000"/>
            <a:lumOff val="60000"/>
          </a:schemeClr>
        </a:solidFill>
        <a:ln w="9525">
          <a:solidFill>
            <a:schemeClr val="tx1"/>
          </a:solidFill>
          <a:miter lim="800000"/>
          <a:headEnd/>
          <a:tailEnd/>
        </a:ln>
      </xdr:spPr>
      <xdr:txBody>
        <a:bodyPr wrap="square"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r>
            <a:rPr lang="en-US" altLang="ko-KR" sz="900">
              <a:latin typeface="맑은 고딕" pitchFamily="50" charset="-127"/>
              <a:ea typeface="맑은 고딕" pitchFamily="50" charset="-127"/>
            </a:rPr>
            <a:t>PS-LTE</a:t>
          </a:r>
        </a:p>
      </xdr:txBody>
    </xdr:sp>
    <xdr:clientData/>
  </xdr:twoCellAnchor>
  <xdr:twoCellAnchor>
    <xdr:from>
      <xdr:col>121</xdr:col>
      <xdr:colOff>170084</xdr:colOff>
      <xdr:row>14</xdr:row>
      <xdr:rowOff>68997</xdr:rowOff>
    </xdr:from>
    <xdr:to>
      <xdr:col>122</xdr:col>
      <xdr:colOff>267840</xdr:colOff>
      <xdr:row>15</xdr:row>
      <xdr:rowOff>173860</xdr:rowOff>
    </xdr:to>
    <xdr:sp macro="" textlink="">
      <xdr:nvSpPr>
        <xdr:cNvPr id="196" name="Rectangle 81">
          <a:extLst>
            <a:ext uri="{FF2B5EF4-FFF2-40B4-BE49-F238E27FC236}">
              <a16:creationId xmlns:a16="http://schemas.microsoft.com/office/drawing/2014/main" id="{00000000-0008-0000-1A00-0000C4000000}"/>
            </a:ext>
          </a:extLst>
        </xdr:cNvPr>
        <xdr:cNvSpPr>
          <a:spLocks noChangeArrowheads="1"/>
        </xdr:cNvSpPr>
      </xdr:nvSpPr>
      <xdr:spPr bwMode="auto">
        <a:xfrm>
          <a:off x="31062834" y="3116997"/>
          <a:ext cx="780381" cy="311238"/>
        </a:xfrm>
        <a:prstGeom prst="rect">
          <a:avLst/>
        </a:prstGeom>
        <a:solidFill>
          <a:schemeClr val="accent6">
            <a:lumMod val="40000"/>
            <a:lumOff val="60000"/>
          </a:schemeClr>
        </a:solidFill>
        <a:ln w="9525">
          <a:solidFill>
            <a:schemeClr val="tx1"/>
          </a:solidFill>
          <a:miter lim="800000"/>
          <a:headEnd/>
          <a:tailEnd/>
        </a:ln>
      </xdr:spPr>
      <xdr:txBody>
        <a:bodyPr wrap="square"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r>
            <a:rPr lang="en-US" altLang="ko-KR" sz="900">
              <a:latin typeface="맑은 고딕" pitchFamily="50" charset="-127"/>
              <a:ea typeface="맑은 고딕" pitchFamily="50" charset="-127"/>
            </a:rPr>
            <a:t>Control</a:t>
          </a:r>
        </a:p>
      </xdr:txBody>
    </xdr:sp>
    <xdr:clientData/>
  </xdr:twoCellAnchor>
  <xdr:twoCellAnchor>
    <xdr:from>
      <xdr:col>120</xdr:col>
      <xdr:colOff>225738</xdr:colOff>
      <xdr:row>15</xdr:row>
      <xdr:rowOff>116954</xdr:rowOff>
    </xdr:from>
    <xdr:to>
      <xdr:col>121</xdr:col>
      <xdr:colOff>76513</xdr:colOff>
      <xdr:row>15</xdr:row>
      <xdr:rowOff>116954</xdr:rowOff>
    </xdr:to>
    <xdr:sp macro="" textlink="">
      <xdr:nvSpPr>
        <xdr:cNvPr id="197" name="Line 34">
          <a:extLst>
            <a:ext uri="{FF2B5EF4-FFF2-40B4-BE49-F238E27FC236}">
              <a16:creationId xmlns:a16="http://schemas.microsoft.com/office/drawing/2014/main" id="{00000000-0008-0000-1A00-0000C5000000}"/>
            </a:ext>
          </a:extLst>
        </xdr:cNvPr>
        <xdr:cNvSpPr>
          <a:spLocks noChangeShapeType="1"/>
        </xdr:cNvSpPr>
      </xdr:nvSpPr>
      <xdr:spPr bwMode="auto">
        <a:xfrm>
          <a:off x="30435863" y="3371329"/>
          <a:ext cx="533400" cy="0"/>
        </a:xfrm>
        <a:prstGeom prst="line">
          <a:avLst/>
        </a:prstGeom>
        <a:noFill/>
        <a:ln w="9525">
          <a:solidFill>
            <a:schemeClr val="tx1"/>
          </a:solidFill>
          <a:round/>
          <a:headEnd type="none" w="med" len="med"/>
          <a:tailEnd type="triangle" w="med" len="med"/>
        </a:ln>
      </xdr:spPr>
      <xdr:txBody>
        <a:bodyPr wrap="square"/>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900">
            <a:latin typeface="맑은 고딕" pitchFamily="50" charset="-127"/>
            <a:ea typeface="맑은 고딕" pitchFamily="50" charset="-127"/>
          </a:endParaRPr>
        </a:p>
      </xdr:txBody>
    </xdr:sp>
    <xdr:clientData/>
  </xdr:twoCellAnchor>
  <xdr:twoCellAnchor>
    <xdr:from>
      <xdr:col>120</xdr:col>
      <xdr:colOff>171945</xdr:colOff>
      <xdr:row>14</xdr:row>
      <xdr:rowOff>92497</xdr:rowOff>
    </xdr:from>
    <xdr:to>
      <xdr:col>121</xdr:col>
      <xdr:colOff>33059</xdr:colOff>
      <xdr:row>15</xdr:row>
      <xdr:rowOff>116954</xdr:rowOff>
    </xdr:to>
    <xdr:sp macro="" textlink="">
      <xdr:nvSpPr>
        <xdr:cNvPr id="198" name="Text Box 14">
          <a:extLst>
            <a:ext uri="{FF2B5EF4-FFF2-40B4-BE49-F238E27FC236}">
              <a16:creationId xmlns:a16="http://schemas.microsoft.com/office/drawing/2014/main" id="{00000000-0008-0000-1A00-0000C6000000}"/>
            </a:ext>
          </a:extLst>
        </xdr:cNvPr>
        <xdr:cNvSpPr txBox="1">
          <a:spLocks noChangeArrowheads="1"/>
        </xdr:cNvSpPr>
      </xdr:nvSpPr>
      <xdr:spPr bwMode="auto">
        <a:xfrm>
          <a:off x="30382070" y="3140497"/>
          <a:ext cx="543739" cy="230832"/>
        </a:xfrm>
        <a:prstGeom prst="rect">
          <a:avLst/>
        </a:prstGeom>
        <a:noFill/>
        <a:ln w="9525">
          <a:noFill/>
          <a:miter lim="800000"/>
          <a:headEnd/>
          <a:tailEnd/>
        </a:ln>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en-US" altLang="ko-KR" sz="900">
              <a:latin typeface="맑은 고딕" pitchFamily="50" charset="-127"/>
              <a:ea typeface="맑은 고딕" pitchFamily="50" charset="-127"/>
            </a:rPr>
            <a:t>DC12V</a:t>
          </a:r>
        </a:p>
      </xdr:txBody>
    </xdr:sp>
    <xdr:clientData/>
  </xdr:twoCellAnchor>
  <xdr:twoCellAnchor>
    <xdr:from>
      <xdr:col>120</xdr:col>
      <xdr:colOff>187758</xdr:colOff>
      <xdr:row>19</xdr:row>
      <xdr:rowOff>87139</xdr:rowOff>
    </xdr:from>
    <xdr:to>
      <xdr:col>121</xdr:col>
      <xdr:colOff>138640</xdr:colOff>
      <xdr:row>20</xdr:row>
      <xdr:rowOff>111596</xdr:rowOff>
    </xdr:to>
    <xdr:sp macro="" textlink="">
      <xdr:nvSpPr>
        <xdr:cNvPr id="199" name="Text Box 14">
          <a:extLst>
            <a:ext uri="{FF2B5EF4-FFF2-40B4-BE49-F238E27FC236}">
              <a16:creationId xmlns:a16="http://schemas.microsoft.com/office/drawing/2014/main" id="{00000000-0008-0000-1A00-0000C7000000}"/>
            </a:ext>
          </a:extLst>
        </xdr:cNvPr>
        <xdr:cNvSpPr txBox="1">
          <a:spLocks noChangeArrowheads="1"/>
        </xdr:cNvSpPr>
      </xdr:nvSpPr>
      <xdr:spPr bwMode="auto">
        <a:xfrm>
          <a:off x="30397883" y="4167014"/>
          <a:ext cx="633507" cy="230832"/>
        </a:xfrm>
        <a:prstGeom prst="rect">
          <a:avLst/>
        </a:prstGeom>
        <a:noFill/>
        <a:ln w="9525">
          <a:noFill/>
          <a:miter lim="800000"/>
          <a:headEnd/>
          <a:tailEnd/>
        </a:ln>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en-US" altLang="ko-KR" sz="900">
              <a:latin typeface="맑은 고딕" pitchFamily="50" charset="-127"/>
              <a:ea typeface="맑은 고딕" pitchFamily="50" charset="-127"/>
            </a:rPr>
            <a:t>DC14.5V</a:t>
          </a:r>
        </a:p>
      </xdr:txBody>
    </xdr:sp>
    <xdr:clientData/>
  </xdr:twoCellAnchor>
  <xdr:twoCellAnchor>
    <xdr:from>
      <xdr:col>120</xdr:col>
      <xdr:colOff>287865</xdr:colOff>
      <xdr:row>20</xdr:row>
      <xdr:rowOff>111596</xdr:rowOff>
    </xdr:from>
    <xdr:to>
      <xdr:col>121</xdr:col>
      <xdr:colOff>138640</xdr:colOff>
      <xdr:row>20</xdr:row>
      <xdr:rowOff>111596</xdr:rowOff>
    </xdr:to>
    <xdr:sp macro="" textlink="">
      <xdr:nvSpPr>
        <xdr:cNvPr id="200" name="Line 34">
          <a:extLst>
            <a:ext uri="{FF2B5EF4-FFF2-40B4-BE49-F238E27FC236}">
              <a16:creationId xmlns:a16="http://schemas.microsoft.com/office/drawing/2014/main" id="{00000000-0008-0000-1A00-0000C8000000}"/>
            </a:ext>
          </a:extLst>
        </xdr:cNvPr>
        <xdr:cNvSpPr>
          <a:spLocks noChangeShapeType="1"/>
        </xdr:cNvSpPr>
      </xdr:nvSpPr>
      <xdr:spPr bwMode="auto">
        <a:xfrm>
          <a:off x="30497990" y="4397846"/>
          <a:ext cx="533400" cy="0"/>
        </a:xfrm>
        <a:prstGeom prst="line">
          <a:avLst/>
        </a:prstGeom>
        <a:noFill/>
        <a:ln w="9525">
          <a:solidFill>
            <a:schemeClr val="tx1"/>
          </a:solidFill>
          <a:round/>
          <a:headEnd type="none" w="med" len="med"/>
          <a:tailEnd type="triangle" w="med" len="med"/>
        </a:ln>
      </xdr:spPr>
      <xdr:txBody>
        <a:bodyPr wrap="square"/>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900">
            <a:latin typeface="맑은 고딕" pitchFamily="50" charset="-127"/>
            <a:ea typeface="맑은 고딕" pitchFamily="50" charset="-127"/>
          </a:endParaRPr>
        </a:p>
      </xdr:txBody>
    </xdr:sp>
    <xdr:clientData/>
  </xdr:twoCellAnchor>
  <xdr:twoCellAnchor>
    <xdr:from>
      <xdr:col>120</xdr:col>
      <xdr:colOff>287865</xdr:colOff>
      <xdr:row>21</xdr:row>
      <xdr:rowOff>120927</xdr:rowOff>
    </xdr:from>
    <xdr:to>
      <xdr:col>121</xdr:col>
      <xdr:colOff>138640</xdr:colOff>
      <xdr:row>21</xdr:row>
      <xdr:rowOff>120927</xdr:rowOff>
    </xdr:to>
    <xdr:sp macro="" textlink="">
      <xdr:nvSpPr>
        <xdr:cNvPr id="201" name="Line 34">
          <a:extLst>
            <a:ext uri="{FF2B5EF4-FFF2-40B4-BE49-F238E27FC236}">
              <a16:creationId xmlns:a16="http://schemas.microsoft.com/office/drawing/2014/main" id="{00000000-0008-0000-1A00-0000C9000000}"/>
            </a:ext>
          </a:extLst>
        </xdr:cNvPr>
        <xdr:cNvSpPr>
          <a:spLocks noChangeShapeType="1"/>
        </xdr:cNvSpPr>
      </xdr:nvSpPr>
      <xdr:spPr bwMode="auto">
        <a:xfrm>
          <a:off x="30497990" y="4613552"/>
          <a:ext cx="533400" cy="0"/>
        </a:xfrm>
        <a:prstGeom prst="line">
          <a:avLst/>
        </a:prstGeom>
        <a:noFill/>
        <a:ln w="9525">
          <a:solidFill>
            <a:schemeClr val="tx1"/>
          </a:solidFill>
          <a:round/>
          <a:headEnd type="triangle" w="med" len="med"/>
          <a:tailEnd type="none" w="med" len="med"/>
        </a:ln>
      </xdr:spPr>
      <xdr:txBody>
        <a:bodyPr wrap="square"/>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900">
            <a:latin typeface="맑은 고딕" pitchFamily="50" charset="-127"/>
            <a:ea typeface="맑은 고딕" pitchFamily="50" charset="-127"/>
          </a:endParaRPr>
        </a:p>
      </xdr:txBody>
    </xdr:sp>
    <xdr:clientData/>
  </xdr:twoCellAnchor>
  <xdr:twoCellAnchor>
    <xdr:from>
      <xdr:col>120</xdr:col>
      <xdr:colOff>211628</xdr:colOff>
      <xdr:row>20</xdr:row>
      <xdr:rowOff>96788</xdr:rowOff>
    </xdr:from>
    <xdr:to>
      <xdr:col>121</xdr:col>
      <xdr:colOff>72742</xdr:colOff>
      <xdr:row>21</xdr:row>
      <xdr:rowOff>121245</xdr:rowOff>
    </xdr:to>
    <xdr:sp macro="" textlink="">
      <xdr:nvSpPr>
        <xdr:cNvPr id="202" name="Text Box 14">
          <a:extLst>
            <a:ext uri="{FF2B5EF4-FFF2-40B4-BE49-F238E27FC236}">
              <a16:creationId xmlns:a16="http://schemas.microsoft.com/office/drawing/2014/main" id="{00000000-0008-0000-1A00-0000CA000000}"/>
            </a:ext>
          </a:extLst>
        </xdr:cNvPr>
        <xdr:cNvSpPr txBox="1">
          <a:spLocks noChangeArrowheads="1"/>
        </xdr:cNvSpPr>
      </xdr:nvSpPr>
      <xdr:spPr bwMode="auto">
        <a:xfrm>
          <a:off x="30421753" y="4383038"/>
          <a:ext cx="543739" cy="230832"/>
        </a:xfrm>
        <a:prstGeom prst="rect">
          <a:avLst/>
        </a:prstGeom>
        <a:noFill/>
        <a:ln w="9525">
          <a:noFill/>
          <a:miter lim="800000"/>
          <a:headEnd/>
          <a:tailEnd/>
        </a:ln>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en-US" altLang="ko-KR" sz="900">
              <a:latin typeface="맑은 고딕" pitchFamily="50" charset="-127"/>
              <a:ea typeface="맑은 고딕" pitchFamily="50" charset="-127"/>
            </a:rPr>
            <a:t>DC12V</a:t>
          </a:r>
        </a:p>
      </xdr:txBody>
    </xdr:sp>
    <xdr:clientData/>
  </xdr:twoCellAnchor>
  <xdr:twoCellAnchor>
    <xdr:from>
      <xdr:col>118</xdr:col>
      <xdr:colOff>28692</xdr:colOff>
      <xdr:row>30</xdr:row>
      <xdr:rowOff>49262</xdr:rowOff>
    </xdr:from>
    <xdr:to>
      <xdr:col>119</xdr:col>
      <xdr:colOff>534213</xdr:colOff>
      <xdr:row>31</xdr:row>
      <xdr:rowOff>73719</xdr:rowOff>
    </xdr:to>
    <xdr:sp macro="" textlink="">
      <xdr:nvSpPr>
        <xdr:cNvPr id="203" name="Text Box 14">
          <a:extLst>
            <a:ext uri="{FF2B5EF4-FFF2-40B4-BE49-F238E27FC236}">
              <a16:creationId xmlns:a16="http://schemas.microsoft.com/office/drawing/2014/main" id="{00000000-0008-0000-1A00-0000CB000000}"/>
            </a:ext>
          </a:extLst>
        </xdr:cNvPr>
        <xdr:cNvSpPr txBox="1">
          <a:spLocks noChangeArrowheads="1"/>
        </xdr:cNvSpPr>
      </xdr:nvSpPr>
      <xdr:spPr bwMode="auto">
        <a:xfrm>
          <a:off x="28873567" y="6399262"/>
          <a:ext cx="1188146" cy="230832"/>
        </a:xfrm>
        <a:prstGeom prst="rect">
          <a:avLst/>
        </a:prstGeom>
        <a:noFill/>
        <a:ln w="9525">
          <a:noFill/>
          <a:miter lim="800000"/>
          <a:headEnd/>
          <a:tailEnd/>
        </a:ln>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ko-KR" altLang="en-US" sz="900">
              <a:latin typeface="맑은 고딕" pitchFamily="50" charset="-127"/>
              <a:ea typeface="맑은 고딕" pitchFamily="50" charset="-127"/>
            </a:rPr>
            <a:t>지능형 광 전송장치</a:t>
          </a:r>
          <a:endParaRPr lang="en-US" altLang="ko-KR" sz="900">
            <a:latin typeface="맑은 고딕" pitchFamily="50" charset="-127"/>
            <a:ea typeface="맑은 고딕" pitchFamily="50" charset="-127"/>
          </a:endParaRPr>
        </a:p>
      </xdr:txBody>
    </xdr:sp>
    <xdr:clientData/>
  </xdr:twoCellAnchor>
  <xdr:twoCellAnchor>
    <xdr:from>
      <xdr:col>116</xdr:col>
      <xdr:colOff>349840</xdr:colOff>
      <xdr:row>27</xdr:row>
      <xdr:rowOff>83735</xdr:rowOff>
    </xdr:from>
    <xdr:to>
      <xdr:col>117</xdr:col>
      <xdr:colOff>210954</xdr:colOff>
      <xdr:row>29</xdr:row>
      <xdr:rowOff>40317</xdr:rowOff>
    </xdr:to>
    <xdr:sp macro="" textlink="">
      <xdr:nvSpPr>
        <xdr:cNvPr id="204" name="Text Box 14">
          <a:extLst>
            <a:ext uri="{FF2B5EF4-FFF2-40B4-BE49-F238E27FC236}">
              <a16:creationId xmlns:a16="http://schemas.microsoft.com/office/drawing/2014/main" id="{00000000-0008-0000-1A00-0000CC000000}"/>
            </a:ext>
          </a:extLst>
        </xdr:cNvPr>
        <xdr:cNvSpPr txBox="1">
          <a:spLocks noChangeArrowheads="1"/>
        </xdr:cNvSpPr>
      </xdr:nvSpPr>
      <xdr:spPr bwMode="auto">
        <a:xfrm>
          <a:off x="27254302" y="5959927"/>
          <a:ext cx="549844" cy="381544"/>
        </a:xfrm>
        <a:prstGeom prst="rect">
          <a:avLst/>
        </a:prstGeom>
        <a:noFill/>
        <a:ln w="9525">
          <a:noFill/>
          <a:miter lim="800000"/>
          <a:headEnd/>
          <a:tailEnd/>
        </a:ln>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r>
            <a:rPr lang="ko-KR" altLang="en-US" sz="900">
              <a:latin typeface="맑은 고딕" pitchFamily="50" charset="-127"/>
              <a:ea typeface="맑은 고딕" pitchFamily="50" charset="-127"/>
            </a:rPr>
            <a:t>광</a:t>
          </a:r>
          <a:endParaRPr lang="en-US" altLang="ko-KR" sz="900">
            <a:latin typeface="맑은 고딕" pitchFamily="50" charset="-127"/>
            <a:ea typeface="맑은 고딕" pitchFamily="50" charset="-127"/>
          </a:endParaRPr>
        </a:p>
        <a:p>
          <a:pPr algn="ctr"/>
          <a:r>
            <a:rPr lang="en-US" altLang="ko-KR" sz="900">
              <a:latin typeface="맑은 고딕" pitchFamily="50" charset="-127"/>
              <a:ea typeface="맑은 고딕" pitchFamily="50" charset="-127"/>
            </a:rPr>
            <a:t>Core*1</a:t>
          </a:r>
        </a:p>
      </xdr:txBody>
    </xdr:sp>
    <xdr:clientData/>
  </xdr:twoCellAnchor>
  <xdr:twoCellAnchor>
    <xdr:from>
      <xdr:col>121</xdr:col>
      <xdr:colOff>180384</xdr:colOff>
      <xdr:row>26</xdr:row>
      <xdr:rowOff>82674</xdr:rowOff>
    </xdr:from>
    <xdr:to>
      <xdr:col>122</xdr:col>
      <xdr:colOff>259759</xdr:colOff>
      <xdr:row>27</xdr:row>
      <xdr:rowOff>104899</xdr:rowOff>
    </xdr:to>
    <xdr:sp macro="" textlink="">
      <xdr:nvSpPr>
        <xdr:cNvPr id="205" name="Rectangle 4">
          <a:extLst>
            <a:ext uri="{FF2B5EF4-FFF2-40B4-BE49-F238E27FC236}">
              <a16:creationId xmlns:a16="http://schemas.microsoft.com/office/drawing/2014/main" id="{00000000-0008-0000-1A00-0000CD000000}"/>
            </a:ext>
          </a:extLst>
        </xdr:cNvPr>
        <xdr:cNvSpPr>
          <a:spLocks noChangeArrowheads="1"/>
        </xdr:cNvSpPr>
      </xdr:nvSpPr>
      <xdr:spPr bwMode="auto">
        <a:xfrm>
          <a:off x="31073134" y="5607174"/>
          <a:ext cx="762000" cy="228600"/>
        </a:xfrm>
        <a:prstGeom prst="rect">
          <a:avLst/>
        </a:prstGeom>
        <a:solidFill>
          <a:srgbClr val="FFCC99"/>
        </a:solidFill>
        <a:ln w="9525">
          <a:solidFill>
            <a:schemeClr val="tx1"/>
          </a:solidFill>
          <a:miter lim="800000"/>
          <a:headEnd/>
          <a:tailEnd/>
        </a:ln>
      </xdr:spPr>
      <xdr:txBody>
        <a:bodyPr wrap="square"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r>
            <a:rPr lang="en-US" altLang="ko-KR" sz="900">
              <a:latin typeface="맑은 고딕" pitchFamily="50" charset="-127"/>
              <a:ea typeface="맑은 고딕" pitchFamily="50" charset="-127"/>
            </a:rPr>
            <a:t>ETHERNET</a:t>
          </a:r>
        </a:p>
      </xdr:txBody>
    </xdr:sp>
    <xdr:clientData/>
  </xdr:twoCellAnchor>
  <xdr:twoCellAnchor>
    <xdr:from>
      <xdr:col>120</xdr:col>
      <xdr:colOff>287865</xdr:colOff>
      <xdr:row>23</xdr:row>
      <xdr:rowOff>34835</xdr:rowOff>
    </xdr:from>
    <xdr:to>
      <xdr:col>122</xdr:col>
      <xdr:colOff>259759</xdr:colOff>
      <xdr:row>26</xdr:row>
      <xdr:rowOff>196974</xdr:rowOff>
    </xdr:to>
    <xdr:cxnSp macro="">
      <xdr:nvCxnSpPr>
        <xdr:cNvPr id="206" name="꺾인 연결선 122">
          <a:extLst>
            <a:ext uri="{FF2B5EF4-FFF2-40B4-BE49-F238E27FC236}">
              <a16:creationId xmlns:a16="http://schemas.microsoft.com/office/drawing/2014/main" id="{00000000-0008-0000-1A00-0000CE000000}"/>
            </a:ext>
          </a:extLst>
        </xdr:cNvPr>
        <xdr:cNvCxnSpPr>
          <a:stCxn id="205" idx="3"/>
        </xdr:cNvCxnSpPr>
      </xdr:nvCxnSpPr>
      <xdr:spPr>
        <a:xfrm flipH="1" flipV="1">
          <a:off x="30497990" y="4940210"/>
          <a:ext cx="1337144" cy="781264"/>
        </a:xfrm>
        <a:prstGeom prst="bentConnector3">
          <a:avLst>
            <a:gd name="adj1" fmla="val -17096"/>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120</xdr:col>
      <xdr:colOff>287865</xdr:colOff>
      <xdr:row>28</xdr:row>
      <xdr:rowOff>180995</xdr:rowOff>
    </xdr:from>
    <xdr:to>
      <xdr:col>121</xdr:col>
      <xdr:colOff>138640</xdr:colOff>
      <xdr:row>28</xdr:row>
      <xdr:rowOff>180995</xdr:rowOff>
    </xdr:to>
    <xdr:sp macro="" textlink="">
      <xdr:nvSpPr>
        <xdr:cNvPr id="207" name="Line 34">
          <a:extLst>
            <a:ext uri="{FF2B5EF4-FFF2-40B4-BE49-F238E27FC236}">
              <a16:creationId xmlns:a16="http://schemas.microsoft.com/office/drawing/2014/main" id="{00000000-0008-0000-1A00-0000CF000000}"/>
            </a:ext>
          </a:extLst>
        </xdr:cNvPr>
        <xdr:cNvSpPr>
          <a:spLocks noChangeShapeType="1"/>
        </xdr:cNvSpPr>
      </xdr:nvSpPr>
      <xdr:spPr bwMode="auto">
        <a:xfrm>
          <a:off x="30497990" y="6118245"/>
          <a:ext cx="533400" cy="0"/>
        </a:xfrm>
        <a:prstGeom prst="line">
          <a:avLst/>
        </a:prstGeom>
        <a:noFill/>
        <a:ln w="9525">
          <a:solidFill>
            <a:schemeClr val="tx1"/>
          </a:solidFill>
          <a:round/>
          <a:headEnd type="triangle" w="med" len="med"/>
          <a:tailEnd type="triangle" w="med" len="med"/>
        </a:ln>
      </xdr:spPr>
      <xdr:txBody>
        <a:bodyPr wrap="square"/>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900">
            <a:latin typeface="맑은 고딕" pitchFamily="50" charset="-127"/>
            <a:ea typeface="맑은 고딕" pitchFamily="50" charset="-127"/>
          </a:endParaRPr>
        </a:p>
      </xdr:txBody>
    </xdr:sp>
    <xdr:clientData/>
  </xdr:twoCellAnchor>
  <xdr:twoCellAnchor>
    <xdr:from>
      <xdr:col>121</xdr:col>
      <xdr:colOff>185779</xdr:colOff>
      <xdr:row>30</xdr:row>
      <xdr:rowOff>24366</xdr:rowOff>
    </xdr:from>
    <xdr:to>
      <xdr:col>122</xdr:col>
      <xdr:colOff>265154</xdr:colOff>
      <xdr:row>31</xdr:row>
      <xdr:rowOff>46591</xdr:rowOff>
    </xdr:to>
    <xdr:sp macro="" textlink="">
      <xdr:nvSpPr>
        <xdr:cNvPr id="208" name="Rectangle 4">
          <a:extLst>
            <a:ext uri="{FF2B5EF4-FFF2-40B4-BE49-F238E27FC236}">
              <a16:creationId xmlns:a16="http://schemas.microsoft.com/office/drawing/2014/main" id="{00000000-0008-0000-1A00-0000D0000000}"/>
            </a:ext>
          </a:extLst>
        </xdr:cNvPr>
        <xdr:cNvSpPr>
          <a:spLocks noChangeArrowheads="1"/>
        </xdr:cNvSpPr>
      </xdr:nvSpPr>
      <xdr:spPr bwMode="auto">
        <a:xfrm>
          <a:off x="31078529" y="6374366"/>
          <a:ext cx="762000" cy="228600"/>
        </a:xfrm>
        <a:prstGeom prst="rect">
          <a:avLst/>
        </a:prstGeom>
        <a:solidFill>
          <a:srgbClr val="FFCC99"/>
        </a:solidFill>
        <a:ln w="9525">
          <a:solidFill>
            <a:schemeClr val="tx1"/>
          </a:solidFill>
          <a:miter lim="800000"/>
          <a:headEnd/>
          <a:tailEnd/>
        </a:ln>
      </xdr:spPr>
      <xdr:txBody>
        <a:bodyPr wrap="square" anchor="ct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r>
            <a:rPr lang="en-US" altLang="ko-KR" sz="900">
              <a:latin typeface="맑은 고딕" pitchFamily="50" charset="-127"/>
              <a:ea typeface="맑은 고딕" pitchFamily="50" charset="-127"/>
            </a:rPr>
            <a:t>ETHERNET</a:t>
          </a:r>
        </a:p>
      </xdr:txBody>
    </xdr:sp>
    <xdr:clientData/>
  </xdr:twoCellAnchor>
  <xdr:twoCellAnchor>
    <xdr:from>
      <xdr:col>120</xdr:col>
      <xdr:colOff>283636</xdr:colOff>
      <xdr:row>30</xdr:row>
      <xdr:rowOff>138666</xdr:rowOff>
    </xdr:from>
    <xdr:to>
      <xdr:col>121</xdr:col>
      <xdr:colOff>134411</xdr:colOff>
      <xdr:row>30</xdr:row>
      <xdr:rowOff>138666</xdr:rowOff>
    </xdr:to>
    <xdr:sp macro="" textlink="">
      <xdr:nvSpPr>
        <xdr:cNvPr id="209" name="Line 34">
          <a:extLst>
            <a:ext uri="{FF2B5EF4-FFF2-40B4-BE49-F238E27FC236}">
              <a16:creationId xmlns:a16="http://schemas.microsoft.com/office/drawing/2014/main" id="{00000000-0008-0000-1A00-0000D1000000}"/>
            </a:ext>
          </a:extLst>
        </xdr:cNvPr>
        <xdr:cNvSpPr>
          <a:spLocks noChangeShapeType="1"/>
        </xdr:cNvSpPr>
      </xdr:nvSpPr>
      <xdr:spPr bwMode="auto">
        <a:xfrm>
          <a:off x="30493761" y="6488666"/>
          <a:ext cx="533400" cy="0"/>
        </a:xfrm>
        <a:prstGeom prst="line">
          <a:avLst/>
        </a:prstGeom>
        <a:noFill/>
        <a:ln w="9525">
          <a:solidFill>
            <a:schemeClr val="tx1"/>
          </a:solidFill>
          <a:round/>
          <a:headEnd type="triangle" w="med" len="med"/>
          <a:tailEnd type="triangle" w="med" len="med"/>
        </a:ln>
      </xdr:spPr>
      <xdr:txBody>
        <a:bodyPr wrap="square"/>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900">
            <a:latin typeface="맑은 고딕" pitchFamily="50" charset="-127"/>
            <a:ea typeface="맑은 고딕" pitchFamily="50" charset="-127"/>
          </a:endParaRPr>
        </a:p>
      </xdr:txBody>
    </xdr:sp>
    <xdr:clientData/>
  </xdr:twoCellAnchor>
  <xdr:twoCellAnchor>
    <xdr:from>
      <xdr:col>118</xdr:col>
      <xdr:colOff>604459</xdr:colOff>
      <xdr:row>24</xdr:row>
      <xdr:rowOff>84048</xdr:rowOff>
    </xdr:from>
    <xdr:to>
      <xdr:col>119</xdr:col>
      <xdr:colOff>465573</xdr:colOff>
      <xdr:row>25</xdr:row>
      <xdr:rowOff>108505</xdr:rowOff>
    </xdr:to>
    <xdr:sp macro="" textlink="">
      <xdr:nvSpPr>
        <xdr:cNvPr id="210" name="Text Box 14">
          <a:extLst>
            <a:ext uri="{FF2B5EF4-FFF2-40B4-BE49-F238E27FC236}">
              <a16:creationId xmlns:a16="http://schemas.microsoft.com/office/drawing/2014/main" id="{00000000-0008-0000-1A00-0000D2000000}"/>
            </a:ext>
          </a:extLst>
        </xdr:cNvPr>
        <xdr:cNvSpPr txBox="1">
          <a:spLocks noChangeArrowheads="1"/>
        </xdr:cNvSpPr>
      </xdr:nvSpPr>
      <xdr:spPr bwMode="auto">
        <a:xfrm>
          <a:off x="29449334" y="5195798"/>
          <a:ext cx="543739" cy="230832"/>
        </a:xfrm>
        <a:prstGeom prst="rect">
          <a:avLst/>
        </a:prstGeom>
        <a:noFill/>
        <a:ln w="9525">
          <a:noFill/>
          <a:miter lim="800000"/>
          <a:headEnd/>
          <a:tailEnd/>
        </a:ln>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en-US" altLang="ko-KR" sz="900">
              <a:latin typeface="맑은 고딕" pitchFamily="50" charset="-127"/>
              <a:ea typeface="맑은 고딕" pitchFamily="50" charset="-127"/>
            </a:rPr>
            <a:t>DC12V</a:t>
          </a:r>
        </a:p>
      </xdr:txBody>
    </xdr:sp>
    <xdr:clientData/>
  </xdr:twoCellAnchor>
  <xdr:twoCellAnchor>
    <xdr:from>
      <xdr:col>46</xdr:col>
      <xdr:colOff>108857</xdr:colOff>
      <xdr:row>36</xdr:row>
      <xdr:rowOff>40821</xdr:rowOff>
    </xdr:from>
    <xdr:to>
      <xdr:col>77</xdr:col>
      <xdr:colOff>54428</xdr:colOff>
      <xdr:row>57</xdr:row>
      <xdr:rowOff>149678</xdr:rowOff>
    </xdr:to>
    <xdr:sp macro="" textlink="">
      <xdr:nvSpPr>
        <xdr:cNvPr id="2" name="직사각형 1">
          <a:extLst>
            <a:ext uri="{FF2B5EF4-FFF2-40B4-BE49-F238E27FC236}">
              <a16:creationId xmlns:a16="http://schemas.microsoft.com/office/drawing/2014/main" id="{00000000-0008-0000-1A00-000002000000}"/>
            </a:ext>
          </a:extLst>
        </xdr:cNvPr>
        <xdr:cNvSpPr/>
      </xdr:nvSpPr>
      <xdr:spPr>
        <a:xfrm>
          <a:off x="12178393" y="7728857"/>
          <a:ext cx="8232321" cy="4408714"/>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114</xdr:col>
      <xdr:colOff>8662</xdr:colOff>
      <xdr:row>0</xdr:row>
      <xdr:rowOff>75766</xdr:rowOff>
    </xdr:from>
    <xdr:to>
      <xdr:col>126</xdr:col>
      <xdr:colOff>8662</xdr:colOff>
      <xdr:row>58</xdr:row>
      <xdr:rowOff>17317</xdr:rowOff>
    </xdr:to>
    <xdr:sp macro="" textlink="">
      <xdr:nvSpPr>
        <xdr:cNvPr id="214" name="직사각형 213">
          <a:extLst>
            <a:ext uri="{FF2B5EF4-FFF2-40B4-BE49-F238E27FC236}">
              <a16:creationId xmlns:a16="http://schemas.microsoft.com/office/drawing/2014/main" id="{00000000-0008-0000-1A00-0000D6000000}"/>
            </a:ext>
          </a:extLst>
        </xdr:cNvPr>
        <xdr:cNvSpPr/>
      </xdr:nvSpPr>
      <xdr:spPr>
        <a:xfrm>
          <a:off x="28375844" y="75766"/>
          <a:ext cx="8312727" cy="12376006"/>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242049</xdr:colOff>
      <xdr:row>5</xdr:row>
      <xdr:rowOff>11211</xdr:rowOff>
    </xdr:from>
    <xdr:to>
      <xdr:col>10</xdr:col>
      <xdr:colOff>190500</xdr:colOff>
      <xdr:row>33</xdr:row>
      <xdr:rowOff>28575</xdr:rowOff>
    </xdr:to>
    <xdr:grpSp>
      <xdr:nvGrpSpPr>
        <xdr:cNvPr id="295" name="그룹 294">
          <a:extLst>
            <a:ext uri="{FF2B5EF4-FFF2-40B4-BE49-F238E27FC236}">
              <a16:creationId xmlns:a16="http://schemas.microsoft.com/office/drawing/2014/main" id="{00000000-0008-0000-1A00-000027010000}"/>
            </a:ext>
          </a:extLst>
        </xdr:cNvPr>
        <xdr:cNvGrpSpPr/>
      </xdr:nvGrpSpPr>
      <xdr:grpSpPr>
        <a:xfrm>
          <a:off x="364513" y="1181425"/>
          <a:ext cx="2397737" cy="5922864"/>
          <a:chOff x="365314" y="829236"/>
          <a:chExt cx="2369450" cy="6161819"/>
        </a:xfrm>
      </xdr:grpSpPr>
      <xdr:sp macro="" textlink="">
        <xdr:nvSpPr>
          <xdr:cNvPr id="296" name="TextBox 295">
            <a:extLst>
              <a:ext uri="{FF2B5EF4-FFF2-40B4-BE49-F238E27FC236}">
                <a16:creationId xmlns:a16="http://schemas.microsoft.com/office/drawing/2014/main" id="{00000000-0008-0000-1A00-000028010000}"/>
              </a:ext>
            </a:extLst>
          </xdr:cNvPr>
          <xdr:cNvSpPr txBox="1"/>
        </xdr:nvSpPr>
        <xdr:spPr>
          <a:xfrm>
            <a:off x="392207" y="840439"/>
            <a:ext cx="1176618"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ko-KR" altLang="en-US" sz="1200" b="1"/>
              <a:t>계전기실</a:t>
            </a:r>
          </a:p>
        </xdr:txBody>
      </xdr:sp>
      <xdr:grpSp>
        <xdr:nvGrpSpPr>
          <xdr:cNvPr id="297" name="그룹 296">
            <a:extLst>
              <a:ext uri="{FF2B5EF4-FFF2-40B4-BE49-F238E27FC236}">
                <a16:creationId xmlns:a16="http://schemas.microsoft.com/office/drawing/2014/main" id="{00000000-0008-0000-1A00-000029010000}"/>
              </a:ext>
            </a:extLst>
          </xdr:cNvPr>
          <xdr:cNvGrpSpPr/>
        </xdr:nvGrpSpPr>
        <xdr:grpSpPr>
          <a:xfrm>
            <a:off x="365314" y="2700617"/>
            <a:ext cx="1176618" cy="1418734"/>
            <a:chOff x="365314" y="2061882"/>
            <a:chExt cx="1176618" cy="1418734"/>
          </a:xfrm>
        </xdr:grpSpPr>
        <xdr:sp macro="" textlink="">
          <xdr:nvSpPr>
            <xdr:cNvPr id="302" name="직사각형 301">
              <a:extLst>
                <a:ext uri="{FF2B5EF4-FFF2-40B4-BE49-F238E27FC236}">
                  <a16:creationId xmlns:a16="http://schemas.microsoft.com/office/drawing/2014/main" id="{00000000-0008-0000-1A00-00002E010000}"/>
                </a:ext>
              </a:extLst>
            </xdr:cNvPr>
            <xdr:cNvSpPr/>
          </xdr:nvSpPr>
          <xdr:spPr>
            <a:xfrm>
              <a:off x="459442" y="2476500"/>
              <a:ext cx="986117" cy="649942"/>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chemeClr val="tx1"/>
                  </a:solidFill>
                </a:rPr>
                <a:t>AC</a:t>
              </a:r>
              <a:r>
                <a:rPr lang="en-US" altLang="ko-KR" sz="1100" baseline="0">
                  <a:solidFill>
                    <a:schemeClr val="tx1"/>
                  </a:solidFill>
                </a:rPr>
                <a:t> PL-MA1</a:t>
              </a:r>
            </a:p>
            <a:p>
              <a:pPr algn="ctr"/>
              <a:r>
                <a:rPr lang="en-US" altLang="ko-KR" sz="1100" baseline="0">
                  <a:solidFill>
                    <a:schemeClr val="tx1"/>
                  </a:solidFill>
                </a:rPr>
                <a:t>(MCCB)</a:t>
              </a:r>
            </a:p>
            <a:p>
              <a:pPr algn="ctr"/>
              <a:r>
                <a:rPr lang="en-US" altLang="ko-KR" sz="1100" baseline="0">
                  <a:solidFill>
                    <a:schemeClr val="tx1"/>
                  </a:solidFill>
                </a:rPr>
                <a:t>(225AF 100AT)</a:t>
              </a:r>
              <a:endParaRPr lang="ko-KR" altLang="en-US" sz="1100">
                <a:solidFill>
                  <a:schemeClr val="tx1"/>
                </a:solidFill>
              </a:endParaRPr>
            </a:p>
          </xdr:txBody>
        </xdr:sp>
        <xdr:sp macro="" textlink="">
          <xdr:nvSpPr>
            <xdr:cNvPr id="303" name="직사각형 302">
              <a:extLst>
                <a:ext uri="{FF2B5EF4-FFF2-40B4-BE49-F238E27FC236}">
                  <a16:creationId xmlns:a16="http://schemas.microsoft.com/office/drawing/2014/main" id="{00000000-0008-0000-1A00-00002F010000}"/>
                </a:ext>
              </a:extLst>
            </xdr:cNvPr>
            <xdr:cNvSpPr/>
          </xdr:nvSpPr>
          <xdr:spPr>
            <a:xfrm>
              <a:off x="454960" y="2061882"/>
              <a:ext cx="986117" cy="410135"/>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100" b="1">
                  <a:solidFill>
                    <a:schemeClr val="tx1"/>
                  </a:solidFill>
                </a:rPr>
                <a:t>변전 배전반</a:t>
              </a:r>
            </a:p>
          </xdr:txBody>
        </xdr:sp>
        <xdr:sp macro="" textlink="">
          <xdr:nvSpPr>
            <xdr:cNvPr id="304" name="TextBox 303">
              <a:extLst>
                <a:ext uri="{FF2B5EF4-FFF2-40B4-BE49-F238E27FC236}">
                  <a16:creationId xmlns:a16="http://schemas.microsoft.com/office/drawing/2014/main" id="{00000000-0008-0000-1A00-000030010000}"/>
                </a:ext>
              </a:extLst>
            </xdr:cNvPr>
            <xdr:cNvSpPr txBox="1"/>
          </xdr:nvSpPr>
          <xdr:spPr>
            <a:xfrm>
              <a:off x="365314" y="3144370"/>
              <a:ext cx="1176618" cy="3362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altLang="ko-KR" sz="1100" b="0"/>
                <a:t>(3</a:t>
              </a:r>
              <a:r>
                <a:rPr lang="ko-KR" altLang="en-US" sz="1100" b="0"/>
                <a:t>상</a:t>
              </a:r>
              <a:r>
                <a:rPr lang="en-US" altLang="ko-KR" sz="1100" b="0"/>
                <a:t>4</a:t>
              </a:r>
              <a:r>
                <a:rPr lang="ko-KR" altLang="en-US" sz="1100" b="0"/>
                <a:t>선</a:t>
              </a:r>
              <a:r>
                <a:rPr lang="en-US" altLang="ko-KR" sz="1100" b="0"/>
                <a:t>, RSTN)</a:t>
              </a:r>
              <a:endParaRPr lang="ko-KR" altLang="en-US" sz="1100" b="0"/>
            </a:p>
          </xdr:txBody>
        </xdr:sp>
      </xdr:grpSp>
      <xdr:grpSp>
        <xdr:nvGrpSpPr>
          <xdr:cNvPr id="298" name="그룹 297">
            <a:extLst>
              <a:ext uri="{FF2B5EF4-FFF2-40B4-BE49-F238E27FC236}">
                <a16:creationId xmlns:a16="http://schemas.microsoft.com/office/drawing/2014/main" id="{00000000-0008-0000-1A00-00002A010000}"/>
              </a:ext>
            </a:extLst>
          </xdr:cNvPr>
          <xdr:cNvGrpSpPr/>
        </xdr:nvGrpSpPr>
        <xdr:grpSpPr>
          <a:xfrm>
            <a:off x="376518" y="829236"/>
            <a:ext cx="2358246" cy="6161819"/>
            <a:chOff x="376518" y="829236"/>
            <a:chExt cx="2358246" cy="6161819"/>
          </a:xfrm>
        </xdr:grpSpPr>
        <xdr:sp macro="" textlink="">
          <xdr:nvSpPr>
            <xdr:cNvPr id="299" name="Rectangle 251">
              <a:extLst>
                <a:ext uri="{FF2B5EF4-FFF2-40B4-BE49-F238E27FC236}">
                  <a16:creationId xmlns:a16="http://schemas.microsoft.com/office/drawing/2014/main" id="{00000000-0008-0000-1A00-00002B010000}"/>
                </a:ext>
              </a:extLst>
            </xdr:cNvPr>
            <xdr:cNvSpPr>
              <a:spLocks noChangeArrowheads="1"/>
            </xdr:cNvSpPr>
          </xdr:nvSpPr>
          <xdr:spPr bwMode="auto">
            <a:xfrm>
              <a:off x="376518" y="829236"/>
              <a:ext cx="1181100" cy="6161819"/>
            </a:xfrm>
            <a:prstGeom prst="rect">
              <a:avLst/>
            </a:prstGeom>
            <a:noFill/>
            <a:ln w="9525">
              <a:solidFill>
                <a:srgbClr val="000000"/>
              </a:solidFill>
              <a:prstDash val="lgDash"/>
              <a:miter lim="800000"/>
              <a:headEnd/>
              <a:tailEnd/>
            </a:ln>
          </xdr:spPr>
        </xdr:sp>
        <xdr:cxnSp macro="">
          <xdr:nvCxnSpPr>
            <xdr:cNvPr id="300" name="직선 화살표 연결선 299">
              <a:extLst>
                <a:ext uri="{FF2B5EF4-FFF2-40B4-BE49-F238E27FC236}">
                  <a16:creationId xmlns:a16="http://schemas.microsoft.com/office/drawing/2014/main" id="{00000000-0008-0000-1A00-00002C010000}"/>
                </a:ext>
              </a:extLst>
            </xdr:cNvPr>
            <xdr:cNvCxnSpPr>
              <a:stCxn id="302" idx="3"/>
            </xdr:cNvCxnSpPr>
          </xdr:nvCxnSpPr>
          <xdr:spPr>
            <a:xfrm>
              <a:off x="1445560" y="3440206"/>
              <a:ext cx="1289204" cy="10404"/>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01" name="TextBox 300">
              <a:extLst>
                <a:ext uri="{FF2B5EF4-FFF2-40B4-BE49-F238E27FC236}">
                  <a16:creationId xmlns:a16="http://schemas.microsoft.com/office/drawing/2014/main" id="{00000000-0008-0000-1A00-00002D010000}"/>
                </a:ext>
              </a:extLst>
            </xdr:cNvPr>
            <xdr:cNvSpPr txBox="1"/>
          </xdr:nvSpPr>
          <xdr:spPr>
            <a:xfrm>
              <a:off x="1546415" y="3160059"/>
              <a:ext cx="108696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ko-KR" sz="1200" b="0">
                  <a:solidFill>
                    <a:srgbClr val="FF0000"/>
                  </a:solidFill>
                </a:rPr>
                <a:t>F-CV</a:t>
              </a:r>
              <a:r>
                <a:rPr lang="en-US" altLang="ko-KR" sz="1200" b="0" baseline="0">
                  <a:solidFill>
                    <a:srgbClr val="FF0000"/>
                  </a:solidFill>
                </a:rPr>
                <a:t> 4C / 35</a:t>
              </a:r>
              <a:r>
                <a:rPr lang="ko-KR" altLang="en-US" sz="1100" b="0">
                  <a:solidFill>
                    <a:srgbClr val="FF0000"/>
                  </a:solidFill>
                  <a:effectLst/>
                  <a:latin typeface="+mn-lt"/>
                  <a:ea typeface="+mn-ea"/>
                  <a:cs typeface="+mn-cs"/>
                </a:rPr>
                <a:t>㎟</a:t>
              </a:r>
            </a:p>
            <a:p>
              <a:pPr marL="0" marR="0" lvl="0" indent="0" algn="ctr" defTabSz="914400" eaLnBrk="1" fontAlgn="auto" latinLnBrk="0" hangingPunct="1">
                <a:lnSpc>
                  <a:spcPct val="100000"/>
                </a:lnSpc>
                <a:spcBef>
                  <a:spcPts val="0"/>
                </a:spcBef>
                <a:spcAft>
                  <a:spcPts val="0"/>
                </a:spcAft>
                <a:buClrTx/>
                <a:buSzTx/>
                <a:buFontTx/>
                <a:buNone/>
                <a:tabLst/>
                <a:defRPr/>
              </a:pPr>
              <a:endParaRPr lang="ko-KR" altLang="en-US" sz="1200" b="0">
                <a:solidFill>
                  <a:srgbClr val="FF0000"/>
                </a:solidFill>
              </a:endParaRPr>
            </a:p>
          </xdr:txBody>
        </xdr:sp>
      </xdr:grpSp>
    </xdr:grpSp>
    <xdr:clientData/>
  </xdr:twoCellAnchor>
  <xdr:twoCellAnchor>
    <xdr:from>
      <xdr:col>8</xdr:col>
      <xdr:colOff>181535</xdr:colOff>
      <xdr:row>5</xdr:row>
      <xdr:rowOff>2245</xdr:rowOff>
    </xdr:from>
    <xdr:to>
      <xdr:col>43</xdr:col>
      <xdr:colOff>0</xdr:colOff>
      <xdr:row>49</xdr:row>
      <xdr:rowOff>122464</xdr:rowOff>
    </xdr:to>
    <xdr:grpSp>
      <xdr:nvGrpSpPr>
        <xdr:cNvPr id="308" name="그룹 307">
          <a:extLst>
            <a:ext uri="{FF2B5EF4-FFF2-40B4-BE49-F238E27FC236}">
              <a16:creationId xmlns:a16="http://schemas.microsoft.com/office/drawing/2014/main" id="{00000000-0008-0000-1A00-000034010000}"/>
            </a:ext>
          </a:extLst>
        </xdr:cNvPr>
        <xdr:cNvGrpSpPr/>
      </xdr:nvGrpSpPr>
      <xdr:grpSpPr>
        <a:xfrm>
          <a:off x="2208999" y="1172459"/>
          <a:ext cx="9343465" cy="9291434"/>
          <a:chOff x="2187388" y="820270"/>
          <a:chExt cx="9231406" cy="9178663"/>
        </a:xfrm>
      </xdr:grpSpPr>
      <xdr:grpSp>
        <xdr:nvGrpSpPr>
          <xdr:cNvPr id="309" name="그룹 308">
            <a:extLst>
              <a:ext uri="{FF2B5EF4-FFF2-40B4-BE49-F238E27FC236}">
                <a16:creationId xmlns:a16="http://schemas.microsoft.com/office/drawing/2014/main" id="{00000000-0008-0000-1A00-000035010000}"/>
              </a:ext>
            </a:extLst>
          </xdr:cNvPr>
          <xdr:cNvGrpSpPr/>
        </xdr:nvGrpSpPr>
        <xdr:grpSpPr>
          <a:xfrm>
            <a:off x="2187388" y="820270"/>
            <a:ext cx="9220200" cy="9178663"/>
            <a:chOff x="2187388" y="820270"/>
            <a:chExt cx="9220200" cy="9178663"/>
          </a:xfrm>
        </xdr:grpSpPr>
        <xdr:sp macro="" textlink="">
          <xdr:nvSpPr>
            <xdr:cNvPr id="312" name="Rectangle 251">
              <a:extLst>
                <a:ext uri="{FF2B5EF4-FFF2-40B4-BE49-F238E27FC236}">
                  <a16:creationId xmlns:a16="http://schemas.microsoft.com/office/drawing/2014/main" id="{00000000-0008-0000-1A00-000038010000}"/>
                </a:ext>
              </a:extLst>
            </xdr:cNvPr>
            <xdr:cNvSpPr>
              <a:spLocks noChangeArrowheads="1"/>
            </xdr:cNvSpPr>
          </xdr:nvSpPr>
          <xdr:spPr bwMode="auto">
            <a:xfrm>
              <a:off x="2187388" y="820270"/>
              <a:ext cx="9220200" cy="9178663"/>
            </a:xfrm>
            <a:prstGeom prst="rect">
              <a:avLst/>
            </a:prstGeom>
            <a:noFill/>
            <a:ln w="9525">
              <a:solidFill>
                <a:srgbClr val="000000"/>
              </a:solidFill>
              <a:prstDash val="lgDashDotDot"/>
              <a:miter lim="800000"/>
              <a:headEnd/>
              <a:tailEnd/>
            </a:ln>
          </xdr:spPr>
        </xdr:sp>
        <xdr:grpSp>
          <xdr:nvGrpSpPr>
            <xdr:cNvPr id="313" name="그룹 312">
              <a:extLst>
                <a:ext uri="{FF2B5EF4-FFF2-40B4-BE49-F238E27FC236}">
                  <a16:creationId xmlns:a16="http://schemas.microsoft.com/office/drawing/2014/main" id="{00000000-0008-0000-1A00-000039010000}"/>
                </a:ext>
              </a:extLst>
            </xdr:cNvPr>
            <xdr:cNvGrpSpPr/>
          </xdr:nvGrpSpPr>
          <xdr:grpSpPr>
            <a:xfrm>
              <a:off x="2622183" y="1548650"/>
              <a:ext cx="8236317" cy="8342747"/>
              <a:chOff x="2622183" y="1548650"/>
              <a:chExt cx="8236317" cy="8342747"/>
            </a:xfrm>
          </xdr:grpSpPr>
          <xdr:grpSp>
            <xdr:nvGrpSpPr>
              <xdr:cNvPr id="314" name="그룹 313">
                <a:extLst>
                  <a:ext uri="{FF2B5EF4-FFF2-40B4-BE49-F238E27FC236}">
                    <a16:creationId xmlns:a16="http://schemas.microsoft.com/office/drawing/2014/main" id="{00000000-0008-0000-1A00-00003A010000}"/>
                  </a:ext>
                </a:extLst>
              </xdr:cNvPr>
              <xdr:cNvGrpSpPr/>
            </xdr:nvGrpSpPr>
            <xdr:grpSpPr>
              <a:xfrm>
                <a:off x="2785790" y="1548650"/>
                <a:ext cx="8072710" cy="4259356"/>
                <a:chOff x="2785790" y="909918"/>
                <a:chExt cx="8072710" cy="4259356"/>
              </a:xfrm>
            </xdr:grpSpPr>
            <xdr:cxnSp macro="">
              <xdr:nvCxnSpPr>
                <xdr:cNvPr id="353" name="연결선: 꺾임 352">
                  <a:extLst>
                    <a:ext uri="{FF2B5EF4-FFF2-40B4-BE49-F238E27FC236}">
                      <a16:creationId xmlns:a16="http://schemas.microsoft.com/office/drawing/2014/main" id="{00000000-0008-0000-1A00-000061010000}"/>
                    </a:ext>
                  </a:extLst>
                </xdr:cNvPr>
                <xdr:cNvCxnSpPr>
                  <a:stCxn id="370" idx="3"/>
                  <a:endCxn id="345" idx="1"/>
                </xdr:cNvCxnSpPr>
              </xdr:nvCxnSpPr>
              <xdr:spPr>
                <a:xfrm flipH="1">
                  <a:off x="2785790" y="2961714"/>
                  <a:ext cx="7008162" cy="2207560"/>
                </a:xfrm>
                <a:prstGeom prst="bentConnector5">
                  <a:avLst>
                    <a:gd name="adj1" fmla="val -19252"/>
                    <a:gd name="adj2" fmla="val -93655"/>
                    <a:gd name="adj3" fmla="val 103262"/>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54" name="TextBox 353">
                  <a:extLst>
                    <a:ext uri="{FF2B5EF4-FFF2-40B4-BE49-F238E27FC236}">
                      <a16:creationId xmlns:a16="http://schemas.microsoft.com/office/drawing/2014/main" id="{00000000-0008-0000-1A00-000062010000}"/>
                    </a:ext>
                  </a:extLst>
                </xdr:cNvPr>
                <xdr:cNvSpPr txBox="1"/>
              </xdr:nvSpPr>
              <xdr:spPr>
                <a:xfrm>
                  <a:off x="7436224" y="909918"/>
                  <a:ext cx="1472452"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ko-KR" sz="1200" b="0">
                      <a:solidFill>
                        <a:srgbClr val="FF0000"/>
                      </a:solidFill>
                    </a:rPr>
                    <a:t>F-CV</a:t>
                  </a:r>
                  <a:r>
                    <a:rPr lang="en-US" altLang="ko-KR" sz="1200" b="0" baseline="0">
                      <a:solidFill>
                        <a:srgbClr val="FF0000"/>
                      </a:solidFill>
                    </a:rPr>
                    <a:t> 2C / 16</a:t>
                  </a:r>
                  <a:r>
                    <a:rPr lang="ko-KR" altLang="en-US" sz="1100">
                      <a:solidFill>
                        <a:srgbClr val="FF0000"/>
                      </a:solidFill>
                      <a:effectLst/>
                      <a:latin typeface="+mn-lt"/>
                      <a:ea typeface="+mn-ea"/>
                      <a:cs typeface="+mn-cs"/>
                    </a:rPr>
                    <a:t>㎟</a:t>
                  </a:r>
                </a:p>
                <a:p>
                  <a:pPr marL="0" marR="0" lvl="0" indent="0" algn="ctr" defTabSz="914400" eaLnBrk="1" fontAlgn="auto" latinLnBrk="0" hangingPunct="1">
                    <a:lnSpc>
                      <a:spcPct val="100000"/>
                    </a:lnSpc>
                    <a:spcBef>
                      <a:spcPts val="0"/>
                    </a:spcBef>
                    <a:spcAft>
                      <a:spcPts val="0"/>
                    </a:spcAft>
                    <a:buClrTx/>
                    <a:buSzTx/>
                    <a:buFontTx/>
                    <a:buNone/>
                    <a:tabLst/>
                    <a:defRPr/>
                  </a:pPr>
                  <a:endParaRPr lang="ko-KR" altLang="en-US" sz="1200" b="0">
                    <a:solidFill>
                      <a:srgbClr val="FF0000"/>
                    </a:solidFill>
                  </a:endParaRPr>
                </a:p>
              </xdr:txBody>
            </xdr:sp>
            <xdr:grpSp>
              <xdr:nvGrpSpPr>
                <xdr:cNvPr id="355" name="그룹 354">
                  <a:extLst>
                    <a:ext uri="{FF2B5EF4-FFF2-40B4-BE49-F238E27FC236}">
                      <a16:creationId xmlns:a16="http://schemas.microsoft.com/office/drawing/2014/main" id="{00000000-0008-0000-1A00-000063010000}"/>
                    </a:ext>
                  </a:extLst>
                </xdr:cNvPr>
                <xdr:cNvGrpSpPr/>
              </xdr:nvGrpSpPr>
              <xdr:grpSpPr>
                <a:xfrm>
                  <a:off x="7653618" y="2023784"/>
                  <a:ext cx="3204882" cy="2940420"/>
                  <a:chOff x="7037288" y="2023784"/>
                  <a:chExt cx="3204882" cy="2940420"/>
                </a:xfrm>
              </xdr:grpSpPr>
              <xdr:grpSp>
                <xdr:nvGrpSpPr>
                  <xdr:cNvPr id="356" name="그룹 355">
                    <a:extLst>
                      <a:ext uri="{FF2B5EF4-FFF2-40B4-BE49-F238E27FC236}">
                        <a16:creationId xmlns:a16="http://schemas.microsoft.com/office/drawing/2014/main" id="{00000000-0008-0000-1A00-000064010000}"/>
                      </a:ext>
                    </a:extLst>
                  </xdr:cNvPr>
                  <xdr:cNvGrpSpPr/>
                </xdr:nvGrpSpPr>
                <xdr:grpSpPr>
                  <a:xfrm>
                    <a:off x="7037288" y="2023784"/>
                    <a:ext cx="3193676" cy="2940420"/>
                    <a:chOff x="6129607" y="1452285"/>
                    <a:chExt cx="3193676" cy="2940420"/>
                  </a:xfrm>
                </xdr:grpSpPr>
                <xdr:sp macro="" textlink="">
                  <xdr:nvSpPr>
                    <xdr:cNvPr id="361" name="직사각형 360">
                      <a:extLst>
                        <a:ext uri="{FF2B5EF4-FFF2-40B4-BE49-F238E27FC236}">
                          <a16:creationId xmlns:a16="http://schemas.microsoft.com/office/drawing/2014/main" id="{00000000-0008-0000-1A00-000069010000}"/>
                        </a:ext>
                      </a:extLst>
                    </xdr:cNvPr>
                    <xdr:cNvSpPr/>
                  </xdr:nvSpPr>
                  <xdr:spPr>
                    <a:xfrm>
                      <a:off x="6129607" y="1456764"/>
                      <a:ext cx="3193676" cy="2935941"/>
                    </a:xfrm>
                    <a:prstGeom prst="rect">
                      <a:avLst/>
                    </a:prstGeom>
                    <a:noFill/>
                    <a:ln w="9525">
                      <a:solidFill>
                        <a:srgbClr val="FF00FF"/>
                      </a:solidFill>
                      <a:prstDash val="lgDashDot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nvGrpSpPr>
                    <xdr:cNvPr id="362" name="그룹 361">
                      <a:extLst>
                        <a:ext uri="{FF2B5EF4-FFF2-40B4-BE49-F238E27FC236}">
                          <a16:creationId xmlns:a16="http://schemas.microsoft.com/office/drawing/2014/main" id="{00000000-0008-0000-1A00-00006A010000}"/>
                        </a:ext>
                      </a:extLst>
                    </xdr:cNvPr>
                    <xdr:cNvGrpSpPr/>
                  </xdr:nvGrpSpPr>
                  <xdr:grpSpPr>
                    <a:xfrm>
                      <a:off x="7200901" y="1732429"/>
                      <a:ext cx="1069040" cy="912159"/>
                      <a:chOff x="7200901" y="1732429"/>
                      <a:chExt cx="1069040" cy="912159"/>
                    </a:xfrm>
                  </xdr:grpSpPr>
                  <xdr:grpSp>
                    <xdr:nvGrpSpPr>
                      <xdr:cNvPr id="368" name="그룹 367">
                        <a:extLst>
                          <a:ext uri="{FF2B5EF4-FFF2-40B4-BE49-F238E27FC236}">
                            <a16:creationId xmlns:a16="http://schemas.microsoft.com/office/drawing/2014/main" id="{00000000-0008-0000-1A00-000070010000}"/>
                          </a:ext>
                        </a:extLst>
                      </xdr:cNvPr>
                      <xdr:cNvGrpSpPr/>
                    </xdr:nvGrpSpPr>
                    <xdr:grpSpPr>
                      <a:xfrm>
                        <a:off x="7200901" y="1732429"/>
                        <a:ext cx="1069040" cy="912159"/>
                        <a:chOff x="7200901" y="1732429"/>
                        <a:chExt cx="1069040" cy="912159"/>
                      </a:xfrm>
                    </xdr:grpSpPr>
                    <xdr:sp macro="" textlink="">
                      <xdr:nvSpPr>
                        <xdr:cNvPr id="370" name="직사각형 369">
                          <a:extLst>
                            <a:ext uri="{FF2B5EF4-FFF2-40B4-BE49-F238E27FC236}">
                              <a16:creationId xmlns:a16="http://schemas.microsoft.com/office/drawing/2014/main" id="{00000000-0008-0000-1A00-000072010000}"/>
                            </a:ext>
                          </a:extLst>
                        </xdr:cNvPr>
                        <xdr:cNvSpPr/>
                      </xdr:nvSpPr>
                      <xdr:spPr>
                        <a:xfrm>
                          <a:off x="7200901" y="2135841"/>
                          <a:ext cx="1069040" cy="508747"/>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ko-KR" altLang="en-US" sz="1100">
                            <a:solidFill>
                              <a:schemeClr val="tx1"/>
                            </a:solidFill>
                          </a:endParaRPr>
                        </a:p>
                      </xdr:txBody>
                    </xdr:sp>
                    <xdr:sp macro="" textlink="">
                      <xdr:nvSpPr>
                        <xdr:cNvPr id="371" name="직사각형 370">
                          <a:extLst>
                            <a:ext uri="{FF2B5EF4-FFF2-40B4-BE49-F238E27FC236}">
                              <a16:creationId xmlns:a16="http://schemas.microsoft.com/office/drawing/2014/main" id="{00000000-0008-0000-1A00-000073010000}"/>
                            </a:ext>
                          </a:extLst>
                        </xdr:cNvPr>
                        <xdr:cNvSpPr/>
                      </xdr:nvSpPr>
                      <xdr:spPr>
                        <a:xfrm>
                          <a:off x="7207625" y="1732429"/>
                          <a:ext cx="1062316" cy="410135"/>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100" b="1">
                              <a:solidFill>
                                <a:schemeClr val="tx1"/>
                              </a:solidFill>
                            </a:rPr>
                            <a:t>통신 </a:t>
                          </a:r>
                          <a:r>
                            <a:rPr lang="en-US" altLang="ko-KR" sz="1100" b="1">
                              <a:solidFill>
                                <a:schemeClr val="tx1"/>
                              </a:solidFill>
                            </a:rPr>
                            <a:t>UPS</a:t>
                          </a:r>
                          <a:endParaRPr lang="ko-KR" altLang="en-US" sz="1100" b="1">
                            <a:solidFill>
                              <a:schemeClr val="tx1"/>
                            </a:solidFill>
                          </a:endParaRPr>
                        </a:p>
                      </xdr:txBody>
                    </xdr:sp>
                    <xdr:sp macro="" textlink="">
                      <xdr:nvSpPr>
                        <xdr:cNvPr id="372" name="직사각형 371">
                          <a:extLst>
                            <a:ext uri="{FF2B5EF4-FFF2-40B4-BE49-F238E27FC236}">
                              <a16:creationId xmlns:a16="http://schemas.microsoft.com/office/drawing/2014/main" id="{00000000-0008-0000-1A00-000074010000}"/>
                            </a:ext>
                          </a:extLst>
                        </xdr:cNvPr>
                        <xdr:cNvSpPr/>
                      </xdr:nvSpPr>
                      <xdr:spPr>
                        <a:xfrm>
                          <a:off x="7250208" y="2196353"/>
                          <a:ext cx="419098" cy="392205"/>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altLang="ko-KR" sz="1200">
                              <a:solidFill>
                                <a:sysClr val="windowText" lastClr="000000"/>
                              </a:solidFill>
                              <a:latin typeface="+mn-ea"/>
                              <a:ea typeface="+mn-ea"/>
                            </a:rPr>
                            <a:t>~/-</a:t>
                          </a:r>
                          <a:endParaRPr lang="ko-KR" altLang="en-US" sz="1200">
                            <a:solidFill>
                              <a:sysClr val="windowText" lastClr="000000"/>
                            </a:solidFill>
                            <a:latin typeface="+mn-ea"/>
                            <a:ea typeface="+mn-ea"/>
                          </a:endParaRPr>
                        </a:p>
                      </xdr:txBody>
                    </xdr:sp>
                    <xdr:sp macro="" textlink="">
                      <xdr:nvSpPr>
                        <xdr:cNvPr id="373" name="직사각형 372">
                          <a:extLst>
                            <a:ext uri="{FF2B5EF4-FFF2-40B4-BE49-F238E27FC236}">
                              <a16:creationId xmlns:a16="http://schemas.microsoft.com/office/drawing/2014/main" id="{00000000-0008-0000-1A00-000075010000}"/>
                            </a:ext>
                          </a:extLst>
                        </xdr:cNvPr>
                        <xdr:cNvSpPr/>
                      </xdr:nvSpPr>
                      <xdr:spPr>
                        <a:xfrm>
                          <a:off x="7783608" y="2191871"/>
                          <a:ext cx="419098" cy="392205"/>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altLang="ko-KR" sz="1200">
                              <a:solidFill>
                                <a:sysClr val="windowText" lastClr="000000"/>
                              </a:solidFill>
                              <a:latin typeface="+mn-ea"/>
                              <a:ea typeface="+mn-ea"/>
                            </a:rPr>
                            <a:t>~/-</a:t>
                          </a:r>
                          <a:endParaRPr lang="ko-KR" altLang="en-US" sz="1200">
                            <a:solidFill>
                              <a:sysClr val="windowText" lastClr="000000"/>
                            </a:solidFill>
                            <a:latin typeface="+mn-ea"/>
                            <a:ea typeface="+mn-ea"/>
                          </a:endParaRPr>
                        </a:p>
                      </xdr:txBody>
                    </xdr:sp>
                  </xdr:grpSp>
                  <xdr:cxnSp macro="">
                    <xdr:nvCxnSpPr>
                      <xdr:cNvPr id="369" name="직선 연결선 368">
                        <a:extLst>
                          <a:ext uri="{FF2B5EF4-FFF2-40B4-BE49-F238E27FC236}">
                            <a16:creationId xmlns:a16="http://schemas.microsoft.com/office/drawing/2014/main" id="{00000000-0008-0000-1A00-000071010000}"/>
                          </a:ext>
                        </a:extLst>
                      </xdr:cNvPr>
                      <xdr:cNvCxnSpPr>
                        <a:stCxn id="372" idx="3"/>
                        <a:endCxn id="373" idx="1"/>
                      </xdr:cNvCxnSpPr>
                    </xdr:nvCxnSpPr>
                    <xdr:spPr>
                      <a:xfrm flipV="1">
                        <a:off x="7669306" y="2387974"/>
                        <a:ext cx="114302" cy="4482"/>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363" name="그룹 362">
                      <a:extLst>
                        <a:ext uri="{FF2B5EF4-FFF2-40B4-BE49-F238E27FC236}">
                          <a16:creationId xmlns:a16="http://schemas.microsoft.com/office/drawing/2014/main" id="{00000000-0008-0000-1A00-00006B010000}"/>
                        </a:ext>
                      </a:extLst>
                    </xdr:cNvPr>
                    <xdr:cNvGrpSpPr/>
                  </xdr:nvGrpSpPr>
                  <xdr:grpSpPr>
                    <a:xfrm>
                      <a:off x="7203143" y="3126442"/>
                      <a:ext cx="1066798" cy="862853"/>
                      <a:chOff x="7207625" y="1629335"/>
                      <a:chExt cx="1066798" cy="862853"/>
                    </a:xfrm>
                  </xdr:grpSpPr>
                  <xdr:sp macro="" textlink="">
                    <xdr:nvSpPr>
                      <xdr:cNvPr id="366" name="직사각형 365">
                        <a:extLst>
                          <a:ext uri="{FF2B5EF4-FFF2-40B4-BE49-F238E27FC236}">
                            <a16:creationId xmlns:a16="http://schemas.microsoft.com/office/drawing/2014/main" id="{00000000-0008-0000-1A00-00006E010000}"/>
                          </a:ext>
                        </a:extLst>
                      </xdr:cNvPr>
                      <xdr:cNvSpPr/>
                    </xdr:nvSpPr>
                    <xdr:spPr>
                      <a:xfrm>
                        <a:off x="7212107" y="2147047"/>
                        <a:ext cx="1062316" cy="345141"/>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tx1"/>
                            </a:solidFill>
                          </a:rPr>
                          <a:t>BATTERY</a:t>
                        </a:r>
                        <a:endParaRPr lang="ko-KR" altLang="en-US" sz="1400">
                          <a:solidFill>
                            <a:schemeClr val="tx1"/>
                          </a:solidFill>
                        </a:endParaRPr>
                      </a:p>
                    </xdr:txBody>
                  </xdr:sp>
                  <xdr:sp macro="" textlink="">
                    <xdr:nvSpPr>
                      <xdr:cNvPr id="367" name="직사각형 366">
                        <a:extLst>
                          <a:ext uri="{FF2B5EF4-FFF2-40B4-BE49-F238E27FC236}">
                            <a16:creationId xmlns:a16="http://schemas.microsoft.com/office/drawing/2014/main" id="{00000000-0008-0000-1A00-00006F010000}"/>
                          </a:ext>
                        </a:extLst>
                      </xdr:cNvPr>
                      <xdr:cNvSpPr/>
                    </xdr:nvSpPr>
                    <xdr:spPr>
                      <a:xfrm>
                        <a:off x="7207625" y="1629335"/>
                        <a:ext cx="1062316" cy="513229"/>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b="1">
                            <a:solidFill>
                              <a:schemeClr val="tx1"/>
                            </a:solidFill>
                          </a:rPr>
                          <a:t>192VDC</a:t>
                        </a:r>
                      </a:p>
                      <a:p>
                        <a:pPr algn="ctr"/>
                        <a:r>
                          <a:rPr lang="en-US" altLang="ko-KR" sz="1000" b="0">
                            <a:solidFill>
                              <a:schemeClr val="tx1"/>
                            </a:solidFill>
                          </a:rPr>
                          <a:t>12V 100AH(16</a:t>
                        </a:r>
                        <a:r>
                          <a:rPr lang="ko-KR" altLang="en-US" sz="1000" b="0">
                            <a:solidFill>
                              <a:schemeClr val="tx1"/>
                            </a:solidFill>
                          </a:rPr>
                          <a:t>개</a:t>
                        </a:r>
                        <a:r>
                          <a:rPr lang="en-US" altLang="ko-KR" sz="1000" b="0">
                            <a:solidFill>
                              <a:schemeClr val="tx1"/>
                            </a:solidFill>
                          </a:rPr>
                          <a:t>)</a:t>
                        </a:r>
                        <a:endParaRPr lang="ko-KR" altLang="en-US" sz="1000" b="0">
                          <a:solidFill>
                            <a:schemeClr val="tx1"/>
                          </a:solidFill>
                        </a:endParaRPr>
                      </a:p>
                    </xdr:txBody>
                  </xdr:sp>
                </xdr:grpSp>
                <xdr:cxnSp macro="">
                  <xdr:nvCxnSpPr>
                    <xdr:cNvPr id="364" name="직선 화살표 연결선 363">
                      <a:extLst>
                        <a:ext uri="{FF2B5EF4-FFF2-40B4-BE49-F238E27FC236}">
                          <a16:creationId xmlns:a16="http://schemas.microsoft.com/office/drawing/2014/main" id="{00000000-0008-0000-1A00-00006C010000}"/>
                        </a:ext>
                      </a:extLst>
                    </xdr:cNvPr>
                    <xdr:cNvCxnSpPr>
                      <a:stCxn id="370" idx="2"/>
                      <a:endCxn id="367" idx="0"/>
                    </xdr:cNvCxnSpPr>
                  </xdr:nvCxnSpPr>
                  <xdr:spPr>
                    <a:xfrm flipH="1">
                      <a:off x="7734301" y="2644588"/>
                      <a:ext cx="1120" cy="481854"/>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65" name="TextBox 364">
                      <a:extLst>
                        <a:ext uri="{FF2B5EF4-FFF2-40B4-BE49-F238E27FC236}">
                          <a16:creationId xmlns:a16="http://schemas.microsoft.com/office/drawing/2014/main" id="{00000000-0008-0000-1A00-00006D010000}"/>
                        </a:ext>
                      </a:extLst>
                    </xdr:cNvPr>
                    <xdr:cNvSpPr txBox="1"/>
                  </xdr:nvSpPr>
                  <xdr:spPr>
                    <a:xfrm>
                      <a:off x="7044019" y="1452285"/>
                      <a:ext cx="1472452"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altLang="ko-KR" sz="1200" b="0"/>
                        <a:t>15kVA</a:t>
                      </a:r>
                      <a:endParaRPr lang="ko-KR" altLang="en-US" sz="1200" b="0"/>
                    </a:p>
                  </xdr:txBody>
                </xdr:sp>
              </xdr:grpSp>
              <xdr:sp macro="" textlink="">
                <xdr:nvSpPr>
                  <xdr:cNvPr id="357" name="TextBox 356">
                    <a:extLst>
                      <a:ext uri="{FF2B5EF4-FFF2-40B4-BE49-F238E27FC236}">
                        <a16:creationId xmlns:a16="http://schemas.microsoft.com/office/drawing/2014/main" id="{00000000-0008-0000-1A00-000065010000}"/>
                      </a:ext>
                    </a:extLst>
                  </xdr:cNvPr>
                  <xdr:cNvSpPr txBox="1"/>
                </xdr:nvSpPr>
                <xdr:spPr>
                  <a:xfrm>
                    <a:off x="7048494" y="2680449"/>
                    <a:ext cx="106457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ko-KR" sz="1200" b="0">
                        <a:solidFill>
                          <a:sysClr val="windowText" lastClr="000000"/>
                        </a:solidFill>
                      </a:rPr>
                      <a:t>3</a:t>
                    </a:r>
                    <a:r>
                      <a:rPr lang="ko-KR" altLang="en-US" sz="1200" b="0">
                        <a:solidFill>
                          <a:sysClr val="windowText" lastClr="000000"/>
                        </a:solidFill>
                      </a:rPr>
                      <a:t>상</a:t>
                    </a:r>
                    <a:r>
                      <a:rPr lang="en-US" altLang="ko-KR" sz="1200" b="0">
                        <a:solidFill>
                          <a:sysClr val="windowText" lastClr="000000"/>
                        </a:solidFill>
                      </a:rPr>
                      <a:t>4</a:t>
                    </a:r>
                    <a:r>
                      <a:rPr lang="ko-KR" altLang="en-US" sz="1200" b="0">
                        <a:solidFill>
                          <a:sysClr val="windowText" lastClr="000000"/>
                        </a:solidFill>
                      </a:rPr>
                      <a:t>선</a:t>
                    </a:r>
                  </a:p>
                </xdr:txBody>
              </xdr:sp>
              <xdr:sp macro="" textlink="">
                <xdr:nvSpPr>
                  <xdr:cNvPr id="358" name="TextBox 357">
                    <a:extLst>
                      <a:ext uri="{FF2B5EF4-FFF2-40B4-BE49-F238E27FC236}">
                        <a16:creationId xmlns:a16="http://schemas.microsoft.com/office/drawing/2014/main" id="{00000000-0008-0000-1A00-000066010000}"/>
                      </a:ext>
                    </a:extLst>
                  </xdr:cNvPr>
                  <xdr:cNvSpPr txBox="1"/>
                </xdr:nvSpPr>
                <xdr:spPr>
                  <a:xfrm>
                    <a:off x="9184342" y="2967320"/>
                    <a:ext cx="105782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ko-KR" sz="1200" b="0">
                        <a:solidFill>
                          <a:sysClr val="windowText" lastClr="000000"/>
                        </a:solidFill>
                      </a:rPr>
                      <a:t>125AF/100AT</a:t>
                    </a:r>
                    <a:endParaRPr lang="ko-KR" altLang="en-US" sz="1200" b="0">
                      <a:solidFill>
                        <a:sysClr val="windowText" lastClr="000000"/>
                      </a:solidFill>
                    </a:endParaRPr>
                  </a:p>
                </xdr:txBody>
              </xdr:sp>
              <xdr:sp macro="" textlink="">
                <xdr:nvSpPr>
                  <xdr:cNvPr id="359" name="TextBox 358">
                    <a:extLst>
                      <a:ext uri="{FF2B5EF4-FFF2-40B4-BE49-F238E27FC236}">
                        <a16:creationId xmlns:a16="http://schemas.microsoft.com/office/drawing/2014/main" id="{00000000-0008-0000-1A00-000067010000}"/>
                      </a:ext>
                    </a:extLst>
                  </xdr:cNvPr>
                  <xdr:cNvSpPr txBox="1"/>
                </xdr:nvSpPr>
                <xdr:spPr>
                  <a:xfrm>
                    <a:off x="7059699" y="2974043"/>
                    <a:ext cx="104887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ko-KR" sz="1200" b="0">
                        <a:solidFill>
                          <a:sysClr val="windowText" lastClr="000000"/>
                        </a:solidFill>
                      </a:rPr>
                      <a:t>125AF/50AT</a:t>
                    </a:r>
                    <a:endParaRPr lang="ko-KR" altLang="en-US" sz="1200" b="0">
                      <a:solidFill>
                        <a:sysClr val="windowText" lastClr="000000"/>
                      </a:solidFill>
                    </a:endParaRPr>
                  </a:p>
                </xdr:txBody>
              </xdr:sp>
              <xdr:sp macro="" textlink="">
                <xdr:nvSpPr>
                  <xdr:cNvPr id="360" name="TextBox 359">
                    <a:extLst>
                      <a:ext uri="{FF2B5EF4-FFF2-40B4-BE49-F238E27FC236}">
                        <a16:creationId xmlns:a16="http://schemas.microsoft.com/office/drawing/2014/main" id="{00000000-0008-0000-1A00-000068010000}"/>
                      </a:ext>
                    </a:extLst>
                  </xdr:cNvPr>
                  <xdr:cNvSpPr txBox="1"/>
                </xdr:nvSpPr>
                <xdr:spPr>
                  <a:xfrm>
                    <a:off x="9184341" y="2675966"/>
                    <a:ext cx="102421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ko-KR" sz="1200" b="0">
                        <a:solidFill>
                          <a:sysClr val="windowText" lastClr="000000"/>
                        </a:solidFill>
                      </a:rPr>
                      <a:t>1</a:t>
                    </a:r>
                    <a:r>
                      <a:rPr lang="ko-KR" altLang="en-US" sz="1200" b="0">
                        <a:solidFill>
                          <a:sysClr val="windowText" lastClr="000000"/>
                        </a:solidFill>
                      </a:rPr>
                      <a:t>상</a:t>
                    </a:r>
                    <a:r>
                      <a:rPr lang="en-US" altLang="ko-KR" sz="1200" b="0">
                        <a:solidFill>
                          <a:sysClr val="windowText" lastClr="000000"/>
                        </a:solidFill>
                      </a:rPr>
                      <a:t>2</a:t>
                    </a:r>
                    <a:r>
                      <a:rPr lang="ko-KR" altLang="en-US" sz="1200" b="0">
                        <a:solidFill>
                          <a:sysClr val="windowText" lastClr="000000"/>
                        </a:solidFill>
                      </a:rPr>
                      <a:t>선</a:t>
                    </a:r>
                  </a:p>
                </xdr:txBody>
              </xdr:sp>
            </xdr:grpSp>
          </xdr:grpSp>
          <xdr:grpSp>
            <xdr:nvGrpSpPr>
              <xdr:cNvPr id="319" name="그룹 318">
                <a:extLst>
                  <a:ext uri="{FF2B5EF4-FFF2-40B4-BE49-F238E27FC236}">
                    <a16:creationId xmlns:a16="http://schemas.microsoft.com/office/drawing/2014/main" id="{00000000-0008-0000-1A00-00003F010000}"/>
                  </a:ext>
                </a:extLst>
              </xdr:cNvPr>
              <xdr:cNvGrpSpPr/>
            </xdr:nvGrpSpPr>
            <xdr:grpSpPr>
              <a:xfrm>
                <a:off x="9380911" y="8672914"/>
                <a:ext cx="1411942" cy="768463"/>
                <a:chOff x="9224029" y="8796183"/>
                <a:chExt cx="1411942" cy="768463"/>
              </a:xfrm>
            </xdr:grpSpPr>
            <xdr:sp macro="" textlink="">
              <xdr:nvSpPr>
                <xdr:cNvPr id="347" name="직사각형 346">
                  <a:extLst>
                    <a:ext uri="{FF2B5EF4-FFF2-40B4-BE49-F238E27FC236}">
                      <a16:creationId xmlns:a16="http://schemas.microsoft.com/office/drawing/2014/main" id="{00000000-0008-0000-1A00-00005B010000}"/>
                    </a:ext>
                  </a:extLst>
                </xdr:cNvPr>
                <xdr:cNvSpPr/>
              </xdr:nvSpPr>
              <xdr:spPr>
                <a:xfrm>
                  <a:off x="9224029" y="9002958"/>
                  <a:ext cx="1411942" cy="536026"/>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xnSp macro="">
              <xdr:nvCxnSpPr>
                <xdr:cNvPr id="348" name="직선 연결선 347">
                  <a:extLst>
                    <a:ext uri="{FF2B5EF4-FFF2-40B4-BE49-F238E27FC236}">
                      <a16:creationId xmlns:a16="http://schemas.microsoft.com/office/drawing/2014/main" id="{00000000-0008-0000-1A00-00005C010000}"/>
                    </a:ext>
                  </a:extLst>
                </xdr:cNvPr>
                <xdr:cNvCxnSpPr/>
              </xdr:nvCxnSpPr>
              <xdr:spPr>
                <a:xfrm>
                  <a:off x="9350497" y="9193602"/>
                  <a:ext cx="784412"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349" name="직선 연결선 348">
                  <a:extLst>
                    <a:ext uri="{FF2B5EF4-FFF2-40B4-BE49-F238E27FC236}">
                      <a16:creationId xmlns:a16="http://schemas.microsoft.com/office/drawing/2014/main" id="{00000000-0008-0000-1A00-00005D010000}"/>
                    </a:ext>
                  </a:extLst>
                </xdr:cNvPr>
                <xdr:cNvCxnSpPr/>
              </xdr:nvCxnSpPr>
              <xdr:spPr>
                <a:xfrm>
                  <a:off x="9355620" y="9430118"/>
                  <a:ext cx="784412" cy="0"/>
                </a:xfrm>
                <a:prstGeom prst="line">
                  <a:avLst/>
                </a:prstGeom>
                <a:ln w="19050">
                  <a:solidFill>
                    <a:srgbClr val="0000FF"/>
                  </a:solidFill>
                </a:ln>
              </xdr:spPr>
              <xdr:style>
                <a:lnRef idx="1">
                  <a:schemeClr val="accent1"/>
                </a:lnRef>
                <a:fillRef idx="0">
                  <a:schemeClr val="accent1"/>
                </a:fillRef>
                <a:effectRef idx="0">
                  <a:schemeClr val="accent1"/>
                </a:effectRef>
                <a:fontRef idx="minor">
                  <a:schemeClr val="tx1"/>
                </a:fontRef>
              </xdr:style>
            </xdr:cxnSp>
            <xdr:sp macro="" textlink="">
              <xdr:nvSpPr>
                <xdr:cNvPr id="350" name="TextBox 349">
                  <a:extLst>
                    <a:ext uri="{FF2B5EF4-FFF2-40B4-BE49-F238E27FC236}">
                      <a16:creationId xmlns:a16="http://schemas.microsoft.com/office/drawing/2014/main" id="{00000000-0008-0000-1A00-00005E010000}"/>
                    </a:ext>
                  </a:extLst>
                </xdr:cNvPr>
                <xdr:cNvSpPr txBox="1"/>
              </xdr:nvSpPr>
              <xdr:spPr>
                <a:xfrm>
                  <a:off x="10213346" y="9047925"/>
                  <a:ext cx="35932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200" b="1">
                      <a:solidFill>
                        <a:srgbClr val="FF0000"/>
                      </a:solidFill>
                    </a:rPr>
                    <a:t>AC</a:t>
                  </a:r>
                  <a:endParaRPr lang="ko-KR" altLang="en-US" sz="1200" b="1">
                    <a:solidFill>
                      <a:srgbClr val="FF0000"/>
                    </a:solidFill>
                  </a:endParaRPr>
                </a:p>
              </xdr:txBody>
            </xdr:sp>
            <xdr:sp macro="" textlink="">
              <xdr:nvSpPr>
                <xdr:cNvPr id="351" name="TextBox 350">
                  <a:extLst>
                    <a:ext uri="{FF2B5EF4-FFF2-40B4-BE49-F238E27FC236}">
                      <a16:creationId xmlns:a16="http://schemas.microsoft.com/office/drawing/2014/main" id="{00000000-0008-0000-1A00-00005F010000}"/>
                    </a:ext>
                  </a:extLst>
                </xdr:cNvPr>
                <xdr:cNvSpPr txBox="1"/>
              </xdr:nvSpPr>
              <xdr:spPr>
                <a:xfrm>
                  <a:off x="10218467" y="9284441"/>
                  <a:ext cx="36311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200" b="1">
                      <a:solidFill>
                        <a:srgbClr val="0000FF"/>
                      </a:solidFill>
                    </a:rPr>
                    <a:t>DC</a:t>
                  </a:r>
                  <a:endParaRPr lang="ko-KR" altLang="en-US" sz="1200" b="1">
                    <a:solidFill>
                      <a:srgbClr val="0000FF"/>
                    </a:solidFill>
                  </a:endParaRPr>
                </a:p>
              </xdr:txBody>
            </xdr:sp>
            <xdr:sp macro="" textlink="">
              <xdr:nvSpPr>
                <xdr:cNvPr id="352" name="직사각형 351">
                  <a:extLst>
                    <a:ext uri="{FF2B5EF4-FFF2-40B4-BE49-F238E27FC236}">
                      <a16:creationId xmlns:a16="http://schemas.microsoft.com/office/drawing/2014/main" id="{00000000-0008-0000-1A00-000060010000}"/>
                    </a:ext>
                  </a:extLst>
                </xdr:cNvPr>
                <xdr:cNvSpPr/>
              </xdr:nvSpPr>
              <xdr:spPr>
                <a:xfrm>
                  <a:off x="9504175" y="8796183"/>
                  <a:ext cx="862853" cy="33617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200" b="1">
                      <a:solidFill>
                        <a:schemeClr val="tx1"/>
                      </a:solidFill>
                    </a:rPr>
                    <a:t>* NOTE *</a:t>
                  </a:r>
                  <a:endParaRPr lang="ko-KR" altLang="en-US" sz="1200" b="1">
                    <a:solidFill>
                      <a:schemeClr val="tx1"/>
                    </a:solidFill>
                  </a:endParaRPr>
                </a:p>
              </xdr:txBody>
            </xdr:sp>
          </xdr:grpSp>
          <xdr:grpSp>
            <xdr:nvGrpSpPr>
              <xdr:cNvPr id="320" name="그룹 319">
                <a:extLst>
                  <a:ext uri="{FF2B5EF4-FFF2-40B4-BE49-F238E27FC236}">
                    <a16:creationId xmlns:a16="http://schemas.microsoft.com/office/drawing/2014/main" id="{00000000-0008-0000-1A00-000040010000}"/>
                  </a:ext>
                </a:extLst>
              </xdr:cNvPr>
              <xdr:cNvGrpSpPr/>
            </xdr:nvGrpSpPr>
            <xdr:grpSpPr>
              <a:xfrm>
                <a:off x="2622183" y="1631575"/>
                <a:ext cx="6102729" cy="8259822"/>
                <a:chOff x="2622183" y="992843"/>
                <a:chExt cx="6102729" cy="8259822"/>
              </a:xfrm>
            </xdr:grpSpPr>
            <xdr:cxnSp macro="">
              <xdr:nvCxnSpPr>
                <xdr:cNvPr id="321" name="직선 화살표 연결선 320">
                  <a:extLst>
                    <a:ext uri="{FF2B5EF4-FFF2-40B4-BE49-F238E27FC236}">
                      <a16:creationId xmlns:a16="http://schemas.microsoft.com/office/drawing/2014/main" id="{00000000-0008-0000-1A00-000041010000}"/>
                    </a:ext>
                  </a:extLst>
                </xdr:cNvPr>
                <xdr:cNvCxnSpPr>
                  <a:stCxn id="344" idx="3"/>
                  <a:endCxn id="370" idx="1"/>
                </xdr:cNvCxnSpPr>
              </xdr:nvCxnSpPr>
              <xdr:spPr>
                <a:xfrm flipV="1">
                  <a:off x="4392712" y="2961714"/>
                  <a:ext cx="4332200" cy="5603"/>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23" name="TextBox 322">
                  <a:extLst>
                    <a:ext uri="{FF2B5EF4-FFF2-40B4-BE49-F238E27FC236}">
                      <a16:creationId xmlns:a16="http://schemas.microsoft.com/office/drawing/2014/main" id="{00000000-0008-0000-1A00-000043010000}"/>
                    </a:ext>
                  </a:extLst>
                </xdr:cNvPr>
                <xdr:cNvSpPr txBox="1"/>
              </xdr:nvSpPr>
              <xdr:spPr>
                <a:xfrm>
                  <a:off x="4807324" y="2673725"/>
                  <a:ext cx="229720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ko-KR" sz="1200" b="0">
                      <a:solidFill>
                        <a:srgbClr val="FF0000"/>
                      </a:solidFill>
                    </a:rPr>
                    <a:t>F-CV</a:t>
                  </a:r>
                  <a:r>
                    <a:rPr lang="en-US" altLang="ko-KR" sz="1200" b="0" baseline="0">
                      <a:solidFill>
                        <a:srgbClr val="FF0000"/>
                      </a:solidFill>
                    </a:rPr>
                    <a:t> 4C / 16</a:t>
                  </a:r>
                  <a:r>
                    <a:rPr lang="ko-KR" altLang="en-US" sz="1100" b="0">
                      <a:solidFill>
                        <a:srgbClr val="FF0000"/>
                      </a:solidFill>
                      <a:effectLst/>
                      <a:latin typeface="+mn-lt"/>
                      <a:ea typeface="+mn-ea"/>
                      <a:cs typeface="+mn-cs"/>
                    </a:rPr>
                    <a:t>㎟</a:t>
                  </a:r>
                </a:p>
                <a:p>
                  <a:pPr marL="0" marR="0" lvl="0" indent="0" algn="ctr" defTabSz="914400" eaLnBrk="1" fontAlgn="auto" latinLnBrk="0" hangingPunct="1">
                    <a:lnSpc>
                      <a:spcPct val="100000"/>
                    </a:lnSpc>
                    <a:spcBef>
                      <a:spcPts val="0"/>
                    </a:spcBef>
                    <a:spcAft>
                      <a:spcPts val="0"/>
                    </a:spcAft>
                    <a:buClrTx/>
                    <a:buSzTx/>
                    <a:buFontTx/>
                    <a:buNone/>
                    <a:tabLst/>
                    <a:defRPr/>
                  </a:pPr>
                  <a:endParaRPr lang="ko-KR" altLang="en-US" sz="1200" b="0">
                    <a:solidFill>
                      <a:srgbClr val="FF0000"/>
                    </a:solidFill>
                  </a:endParaRPr>
                </a:p>
              </xdr:txBody>
            </xdr:sp>
            <xdr:grpSp>
              <xdr:nvGrpSpPr>
                <xdr:cNvPr id="326" name="그룹 325">
                  <a:extLst>
                    <a:ext uri="{FF2B5EF4-FFF2-40B4-BE49-F238E27FC236}">
                      <a16:creationId xmlns:a16="http://schemas.microsoft.com/office/drawing/2014/main" id="{00000000-0008-0000-1A00-000046010000}"/>
                    </a:ext>
                  </a:extLst>
                </xdr:cNvPr>
                <xdr:cNvGrpSpPr/>
              </xdr:nvGrpSpPr>
              <xdr:grpSpPr>
                <a:xfrm>
                  <a:off x="2622183" y="992843"/>
                  <a:ext cx="4493559" cy="8259822"/>
                  <a:chOff x="3518647" y="1261784"/>
                  <a:chExt cx="4493559" cy="8259822"/>
                </a:xfrm>
              </xdr:grpSpPr>
              <xdr:sp macro="" textlink="">
                <xdr:nvSpPr>
                  <xdr:cNvPr id="327" name="Rectangle 251">
                    <a:extLst>
                      <a:ext uri="{FF2B5EF4-FFF2-40B4-BE49-F238E27FC236}">
                        <a16:creationId xmlns:a16="http://schemas.microsoft.com/office/drawing/2014/main" id="{00000000-0008-0000-1A00-000047010000}"/>
                      </a:ext>
                    </a:extLst>
                  </xdr:cNvPr>
                  <xdr:cNvSpPr>
                    <a:spLocks noChangeArrowheads="1"/>
                  </xdr:cNvSpPr>
                </xdr:nvSpPr>
                <xdr:spPr bwMode="auto">
                  <a:xfrm>
                    <a:off x="3518647" y="1266264"/>
                    <a:ext cx="4493559" cy="8255342"/>
                  </a:xfrm>
                  <a:prstGeom prst="rect">
                    <a:avLst/>
                  </a:prstGeom>
                  <a:noFill/>
                  <a:ln w="9525">
                    <a:solidFill>
                      <a:srgbClr val="0000FF"/>
                    </a:solidFill>
                    <a:prstDash val="sysDash"/>
                    <a:miter lim="800000"/>
                    <a:headEnd/>
                    <a:tailEnd/>
                  </a:ln>
                </xdr:spPr>
              </xdr:sp>
              <xdr:grpSp>
                <xdr:nvGrpSpPr>
                  <xdr:cNvPr id="331" name="그룹 330">
                    <a:extLst>
                      <a:ext uri="{FF2B5EF4-FFF2-40B4-BE49-F238E27FC236}">
                        <a16:creationId xmlns:a16="http://schemas.microsoft.com/office/drawing/2014/main" id="{00000000-0008-0000-1A00-00004B010000}"/>
                      </a:ext>
                    </a:extLst>
                  </xdr:cNvPr>
                  <xdr:cNvGrpSpPr/>
                </xdr:nvGrpSpPr>
                <xdr:grpSpPr>
                  <a:xfrm>
                    <a:off x="3630707" y="1624852"/>
                    <a:ext cx="4242546" cy="7802659"/>
                    <a:chOff x="3630707" y="1624852"/>
                    <a:chExt cx="4242546" cy="7802659"/>
                  </a:xfrm>
                </xdr:grpSpPr>
                <xdr:grpSp>
                  <xdr:nvGrpSpPr>
                    <xdr:cNvPr id="333" name="그룹 332">
                      <a:extLst>
                        <a:ext uri="{FF2B5EF4-FFF2-40B4-BE49-F238E27FC236}">
                          <a16:creationId xmlns:a16="http://schemas.microsoft.com/office/drawing/2014/main" id="{00000000-0008-0000-1A00-00004D010000}"/>
                        </a:ext>
                      </a:extLst>
                    </xdr:cNvPr>
                    <xdr:cNvGrpSpPr/>
                  </xdr:nvGrpSpPr>
                  <xdr:grpSpPr>
                    <a:xfrm>
                      <a:off x="3630707" y="1624852"/>
                      <a:ext cx="2073087" cy="7802659"/>
                      <a:chOff x="3630707" y="1624852"/>
                      <a:chExt cx="2073087" cy="7802659"/>
                    </a:xfrm>
                  </xdr:grpSpPr>
                  <xdr:sp macro="" textlink="">
                    <xdr:nvSpPr>
                      <xdr:cNvPr id="342" name="직사각형 341">
                        <a:extLst>
                          <a:ext uri="{FF2B5EF4-FFF2-40B4-BE49-F238E27FC236}">
                            <a16:creationId xmlns:a16="http://schemas.microsoft.com/office/drawing/2014/main" id="{00000000-0008-0000-1A00-000056010000}"/>
                          </a:ext>
                        </a:extLst>
                      </xdr:cNvPr>
                      <xdr:cNvSpPr/>
                    </xdr:nvSpPr>
                    <xdr:spPr>
                      <a:xfrm>
                        <a:off x="3630707" y="1624852"/>
                        <a:ext cx="2073087" cy="7802659"/>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ko-KR" altLang="en-US" sz="1100">
                          <a:solidFill>
                            <a:schemeClr val="tx1"/>
                          </a:solidFill>
                        </a:endParaRPr>
                      </a:p>
                    </xdr:txBody>
                  </xdr:sp>
                  <xdr:sp macro="" textlink="">
                    <xdr:nvSpPr>
                      <xdr:cNvPr id="343" name="TextBox 342">
                        <a:extLst>
                          <a:ext uri="{FF2B5EF4-FFF2-40B4-BE49-F238E27FC236}">
                            <a16:creationId xmlns:a16="http://schemas.microsoft.com/office/drawing/2014/main" id="{00000000-0008-0000-1A00-000057010000}"/>
                          </a:ext>
                        </a:extLst>
                      </xdr:cNvPr>
                      <xdr:cNvSpPr txBox="1"/>
                    </xdr:nvSpPr>
                    <xdr:spPr>
                      <a:xfrm>
                        <a:off x="3675530" y="2364439"/>
                        <a:ext cx="627529" cy="14119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altLang="ko-KR" sz="1100"/>
                      </a:p>
                      <a:p>
                        <a:pPr algn="ctr"/>
                        <a:r>
                          <a:rPr lang="en-US" altLang="ko-KR" sz="1100"/>
                          <a:t>AC</a:t>
                        </a:r>
                      </a:p>
                      <a:p>
                        <a:pPr algn="ctr"/>
                        <a:r>
                          <a:rPr lang="en-US" altLang="ko-KR" sz="1100"/>
                          <a:t>main</a:t>
                        </a:r>
                      </a:p>
                      <a:p>
                        <a:pPr algn="ctr"/>
                        <a:r>
                          <a:rPr lang="en-US" altLang="ko-KR" sz="1100"/>
                          <a:t>(3</a:t>
                        </a:r>
                        <a:r>
                          <a:rPr lang="ko-KR" altLang="en-US" sz="1100"/>
                          <a:t>상</a:t>
                        </a:r>
                        <a:r>
                          <a:rPr lang="en-US" altLang="ko-KR" sz="1100"/>
                          <a:t>)</a:t>
                        </a:r>
                      </a:p>
                      <a:p>
                        <a:pPr algn="ctr"/>
                        <a:endParaRPr lang="en-US" altLang="ko-KR" sz="1100"/>
                      </a:p>
                      <a:p>
                        <a:pPr algn="ctr"/>
                        <a:r>
                          <a:rPr lang="en-US" altLang="ko-KR" sz="1100"/>
                          <a:t>125AF/</a:t>
                        </a:r>
                      </a:p>
                      <a:p>
                        <a:pPr algn="ctr"/>
                        <a:r>
                          <a:rPr lang="en-US" altLang="ko-KR" sz="1100"/>
                          <a:t>100AT</a:t>
                        </a:r>
                        <a:endParaRPr lang="ko-KR" altLang="en-US" sz="1100"/>
                      </a:p>
                    </xdr:txBody>
                  </xdr:sp>
                  <xdr:sp macro="" textlink="">
                    <xdr:nvSpPr>
                      <xdr:cNvPr id="344" name="TextBox 343">
                        <a:extLst>
                          <a:ext uri="{FF2B5EF4-FFF2-40B4-BE49-F238E27FC236}">
                            <a16:creationId xmlns:a16="http://schemas.microsoft.com/office/drawing/2014/main" id="{00000000-0008-0000-1A00-000058010000}"/>
                          </a:ext>
                        </a:extLst>
                      </xdr:cNvPr>
                      <xdr:cNvSpPr txBox="1"/>
                    </xdr:nvSpPr>
                    <xdr:spPr>
                      <a:xfrm>
                        <a:off x="4433047" y="2348751"/>
                        <a:ext cx="856129" cy="17750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ltLang="ko-KR" sz="1100"/>
                          <a:t>AC Feeder</a:t>
                        </a:r>
                      </a:p>
                      <a:p>
                        <a:pPr algn="ctr"/>
                        <a:r>
                          <a:rPr lang="en-US" altLang="ko-KR" sz="1100"/>
                          <a:t>AC(1)</a:t>
                        </a:r>
                      </a:p>
                      <a:p>
                        <a:pPr algn="ctr"/>
                        <a:r>
                          <a:rPr lang="en-US" altLang="ko-KR" sz="1100"/>
                          <a:t>(3</a:t>
                        </a:r>
                        <a:r>
                          <a:rPr lang="ko-KR" altLang="en-US" sz="1100"/>
                          <a:t>상</a:t>
                        </a:r>
                        <a:r>
                          <a:rPr lang="en-US" altLang="ko-KR" sz="1100"/>
                          <a:t>)</a:t>
                        </a:r>
                      </a:p>
                      <a:p>
                        <a:pPr algn="ctr"/>
                        <a:endParaRPr lang="en-US" altLang="ko-KR" sz="1100"/>
                      </a:p>
                      <a:p>
                        <a:pPr algn="ctr"/>
                        <a:r>
                          <a:rPr lang="en-US" altLang="ko-KR" sz="1100"/>
                          <a:t>AC(2)</a:t>
                        </a:r>
                      </a:p>
                      <a:p>
                        <a:pPr algn="ctr"/>
                        <a:r>
                          <a:rPr lang="en-US" altLang="ko-KR" sz="1100"/>
                          <a:t>(3</a:t>
                        </a:r>
                        <a:r>
                          <a:rPr lang="ko-KR" altLang="en-US" sz="1100"/>
                          <a:t>상</a:t>
                        </a:r>
                        <a:r>
                          <a:rPr lang="en-US" altLang="ko-KR" sz="1100"/>
                          <a:t>)</a:t>
                        </a:r>
                      </a:p>
                      <a:p>
                        <a:pPr algn="ctr"/>
                        <a:endParaRPr lang="en-US" altLang="ko-KR" sz="1100"/>
                      </a:p>
                      <a:p>
                        <a:pPr algn="ctr"/>
                        <a:r>
                          <a:rPr lang="en-US" altLang="ko-KR" sz="1100"/>
                          <a:t>125AF/</a:t>
                        </a:r>
                      </a:p>
                      <a:p>
                        <a:pPr algn="ctr"/>
                        <a:r>
                          <a:rPr lang="en-US" altLang="ko-KR" sz="1100"/>
                          <a:t>50AT</a:t>
                        </a:r>
                      </a:p>
                    </xdr:txBody>
                  </xdr:sp>
                  <xdr:sp macro="" textlink="">
                    <xdr:nvSpPr>
                      <xdr:cNvPr id="345" name="TextBox 344">
                        <a:extLst>
                          <a:ext uri="{FF2B5EF4-FFF2-40B4-BE49-F238E27FC236}">
                            <a16:creationId xmlns:a16="http://schemas.microsoft.com/office/drawing/2014/main" id="{00000000-0008-0000-1A00-000059010000}"/>
                          </a:ext>
                        </a:extLst>
                      </xdr:cNvPr>
                      <xdr:cNvSpPr txBox="1"/>
                    </xdr:nvSpPr>
                    <xdr:spPr>
                      <a:xfrm>
                        <a:off x="3682254" y="4589929"/>
                        <a:ext cx="627529" cy="17189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altLang="ko-KR" sz="1100"/>
                      </a:p>
                      <a:p>
                        <a:pPr algn="ctr"/>
                        <a:endParaRPr lang="en-US" altLang="ko-KR" sz="1100"/>
                      </a:p>
                      <a:p>
                        <a:pPr algn="ctr"/>
                        <a:r>
                          <a:rPr lang="en-US" altLang="ko-KR" sz="1100"/>
                          <a:t>UPS</a:t>
                        </a:r>
                      </a:p>
                      <a:p>
                        <a:pPr algn="ctr"/>
                        <a:r>
                          <a:rPr lang="en-US" altLang="ko-KR" sz="1100"/>
                          <a:t>main</a:t>
                        </a:r>
                      </a:p>
                      <a:p>
                        <a:pPr algn="ctr"/>
                        <a:r>
                          <a:rPr lang="en-US" altLang="ko-KR" sz="1100"/>
                          <a:t>(1</a:t>
                        </a:r>
                        <a:r>
                          <a:rPr lang="ko-KR" altLang="en-US" sz="1100"/>
                          <a:t>상</a:t>
                        </a:r>
                        <a:r>
                          <a:rPr lang="en-US" altLang="ko-KR" sz="1100"/>
                          <a:t>)</a:t>
                        </a:r>
                      </a:p>
                      <a:p>
                        <a:pPr algn="ctr"/>
                        <a:endParaRPr lang="en-US" altLang="ko-KR" sz="1100"/>
                      </a:p>
                      <a:p>
                        <a:pPr algn="ctr"/>
                        <a:r>
                          <a:rPr lang="en-US" altLang="ko-KR" sz="1100"/>
                          <a:t>125AF/</a:t>
                        </a:r>
                      </a:p>
                      <a:p>
                        <a:pPr algn="ctr"/>
                        <a:r>
                          <a:rPr lang="en-US" altLang="ko-KR" sz="1100"/>
                          <a:t>100AT</a:t>
                        </a:r>
                        <a:endParaRPr lang="ko-KR" altLang="en-US" sz="1100"/>
                      </a:p>
                    </xdr:txBody>
                  </xdr:sp>
                  <xdr:sp macro="" textlink="">
                    <xdr:nvSpPr>
                      <xdr:cNvPr id="346" name="TextBox 345">
                        <a:extLst>
                          <a:ext uri="{FF2B5EF4-FFF2-40B4-BE49-F238E27FC236}">
                            <a16:creationId xmlns:a16="http://schemas.microsoft.com/office/drawing/2014/main" id="{00000000-0008-0000-1A00-00005A010000}"/>
                          </a:ext>
                        </a:extLst>
                      </xdr:cNvPr>
                      <xdr:cNvSpPr txBox="1"/>
                    </xdr:nvSpPr>
                    <xdr:spPr>
                      <a:xfrm>
                        <a:off x="4439771" y="4596652"/>
                        <a:ext cx="1185582" cy="44374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ltLang="ko-KR" sz="1100"/>
                          <a:t>AC Feeder</a:t>
                        </a:r>
                      </a:p>
                      <a:p>
                        <a:pPr algn="ctr"/>
                        <a:endParaRPr lang="en-US" altLang="ko-KR" sz="1100"/>
                      </a:p>
                      <a:p>
                        <a:pPr algn="l"/>
                        <a:r>
                          <a:rPr lang="en-US" altLang="ko-KR" sz="1100"/>
                          <a:t>AC(1)</a:t>
                        </a:r>
                      </a:p>
                      <a:p>
                        <a:pPr algn="l"/>
                        <a:r>
                          <a:rPr lang="en-US" altLang="ko-KR" sz="1100"/>
                          <a:t>AC(2)</a:t>
                        </a:r>
                      </a:p>
                      <a:p>
                        <a:pPr algn="l"/>
                        <a:r>
                          <a:rPr lang="en-US" altLang="ko-KR" sz="1100">
                            <a:solidFill>
                              <a:schemeClr val="dk1"/>
                            </a:solidFill>
                            <a:effectLst/>
                            <a:latin typeface="+mn-lt"/>
                            <a:ea typeface="+mn-ea"/>
                            <a:cs typeface="+mn-cs"/>
                          </a:rPr>
                          <a:t>AC(3)</a:t>
                        </a:r>
                      </a:p>
                      <a:p>
                        <a:pPr algn="l"/>
                        <a:r>
                          <a:rPr lang="en-US" altLang="ko-KR" sz="1100">
                            <a:solidFill>
                              <a:schemeClr val="dk1"/>
                            </a:solidFill>
                            <a:effectLst/>
                            <a:latin typeface="+mn-lt"/>
                            <a:ea typeface="+mn-ea"/>
                            <a:cs typeface="+mn-cs"/>
                          </a:rPr>
                          <a:t>AC(4)</a:t>
                        </a:r>
                      </a:p>
                      <a:p>
                        <a:pPr algn="l"/>
                        <a:r>
                          <a:rPr lang="en-US" altLang="ko-KR" sz="1100">
                            <a:solidFill>
                              <a:schemeClr val="dk1"/>
                            </a:solidFill>
                            <a:effectLst/>
                            <a:latin typeface="+mn-lt"/>
                            <a:ea typeface="+mn-ea"/>
                            <a:cs typeface="+mn-cs"/>
                          </a:rPr>
                          <a:t>AC(5)</a:t>
                        </a:r>
                      </a:p>
                      <a:p>
                        <a:pPr algn="l"/>
                        <a:r>
                          <a:rPr lang="en-US" altLang="ko-KR" sz="1100">
                            <a:solidFill>
                              <a:schemeClr val="dk1"/>
                            </a:solidFill>
                            <a:effectLst/>
                            <a:latin typeface="+mn-lt"/>
                            <a:ea typeface="+mn-ea"/>
                            <a:cs typeface="+mn-cs"/>
                          </a:rPr>
                          <a:t>AC(6)</a:t>
                        </a:r>
                      </a:p>
                      <a:p>
                        <a:pPr algn="l"/>
                        <a:r>
                          <a:rPr lang="en-US" altLang="ko-KR" sz="1100">
                            <a:solidFill>
                              <a:schemeClr val="dk1"/>
                            </a:solidFill>
                            <a:effectLst/>
                            <a:latin typeface="+mn-lt"/>
                            <a:ea typeface="+mn-ea"/>
                            <a:cs typeface="+mn-cs"/>
                          </a:rPr>
                          <a:t>AC(7)</a:t>
                        </a:r>
                      </a:p>
                      <a:p>
                        <a:pPr algn="l"/>
                        <a:r>
                          <a:rPr lang="en-US" altLang="ko-KR" sz="1100">
                            <a:solidFill>
                              <a:schemeClr val="dk1"/>
                            </a:solidFill>
                            <a:effectLst/>
                            <a:latin typeface="+mn-lt"/>
                            <a:ea typeface="+mn-ea"/>
                            <a:cs typeface="+mn-cs"/>
                          </a:rPr>
                          <a:t>AC(8)</a:t>
                        </a:r>
                      </a:p>
                      <a:p>
                        <a:pPr algn="l"/>
                        <a:r>
                          <a:rPr lang="en-US" altLang="ko-KR" sz="1100">
                            <a:solidFill>
                              <a:schemeClr val="dk1"/>
                            </a:solidFill>
                            <a:effectLst/>
                            <a:latin typeface="+mn-lt"/>
                            <a:ea typeface="+mn-ea"/>
                            <a:cs typeface="+mn-cs"/>
                          </a:rPr>
                          <a:t>AC(9)</a:t>
                        </a:r>
                      </a:p>
                      <a:p>
                        <a:pPr algn="l"/>
                        <a:r>
                          <a:rPr lang="en-US" altLang="ko-KR" sz="1100">
                            <a:solidFill>
                              <a:schemeClr val="dk1"/>
                            </a:solidFill>
                            <a:effectLst/>
                            <a:latin typeface="+mn-lt"/>
                            <a:ea typeface="+mn-ea"/>
                            <a:cs typeface="+mn-cs"/>
                          </a:rPr>
                          <a:t>AC(10)</a:t>
                        </a:r>
                      </a:p>
                      <a:p>
                        <a:pPr algn="l"/>
                        <a:r>
                          <a:rPr lang="en-US" altLang="ko-KR" sz="1100">
                            <a:solidFill>
                              <a:schemeClr val="dk1"/>
                            </a:solidFill>
                            <a:effectLst/>
                            <a:latin typeface="+mn-lt"/>
                            <a:ea typeface="+mn-ea"/>
                            <a:cs typeface="+mn-cs"/>
                          </a:rPr>
                          <a:t>AC(11)</a:t>
                        </a:r>
                      </a:p>
                      <a:p>
                        <a:pPr algn="l"/>
                        <a:r>
                          <a:rPr lang="en-US" altLang="ko-KR" sz="1100">
                            <a:solidFill>
                              <a:schemeClr val="dk1"/>
                            </a:solidFill>
                            <a:effectLst/>
                            <a:latin typeface="+mn-lt"/>
                            <a:ea typeface="+mn-ea"/>
                            <a:cs typeface="+mn-cs"/>
                          </a:rPr>
                          <a:t>AC(12)</a:t>
                        </a:r>
                      </a:p>
                      <a:p>
                        <a:pPr algn="l"/>
                        <a:r>
                          <a:rPr lang="en-US" altLang="ko-KR" sz="1100">
                            <a:solidFill>
                              <a:schemeClr val="dk1"/>
                            </a:solidFill>
                            <a:effectLst/>
                            <a:latin typeface="+mn-lt"/>
                            <a:ea typeface="+mn-ea"/>
                            <a:cs typeface="+mn-cs"/>
                          </a:rPr>
                          <a:t>AC(13)</a:t>
                        </a:r>
                      </a:p>
                      <a:p>
                        <a:pPr algn="l"/>
                        <a:r>
                          <a:rPr lang="en-US" altLang="ko-KR" sz="1100">
                            <a:solidFill>
                              <a:schemeClr val="dk1"/>
                            </a:solidFill>
                            <a:effectLst/>
                            <a:latin typeface="+mn-lt"/>
                            <a:ea typeface="+mn-ea"/>
                            <a:cs typeface="+mn-cs"/>
                          </a:rPr>
                          <a:t>AC(14)</a:t>
                        </a:r>
                      </a:p>
                      <a:p>
                        <a:pPr algn="l"/>
                        <a:r>
                          <a:rPr lang="en-US" altLang="ko-KR" sz="1100">
                            <a:solidFill>
                              <a:schemeClr val="dk1"/>
                            </a:solidFill>
                            <a:effectLst/>
                            <a:latin typeface="+mn-lt"/>
                            <a:ea typeface="+mn-ea"/>
                            <a:cs typeface="+mn-cs"/>
                          </a:rPr>
                          <a:t>AC(15)</a:t>
                        </a:r>
                      </a:p>
                      <a:p>
                        <a:pPr algn="l"/>
                        <a:r>
                          <a:rPr lang="en-US" altLang="ko-KR" sz="1100">
                            <a:solidFill>
                              <a:schemeClr val="dk1"/>
                            </a:solidFill>
                            <a:effectLst/>
                            <a:latin typeface="+mn-lt"/>
                            <a:ea typeface="+mn-ea"/>
                            <a:cs typeface="+mn-cs"/>
                          </a:rPr>
                          <a:t>AC(16)</a:t>
                        </a:r>
                      </a:p>
                      <a:p>
                        <a:pPr algn="l"/>
                        <a:r>
                          <a:rPr lang="en-US" altLang="ko-KR" sz="1100">
                            <a:solidFill>
                              <a:schemeClr val="dk1"/>
                            </a:solidFill>
                            <a:effectLst/>
                            <a:latin typeface="+mn-lt"/>
                            <a:ea typeface="+mn-ea"/>
                            <a:cs typeface="+mn-cs"/>
                          </a:rPr>
                          <a:t>AC(17)</a:t>
                        </a:r>
                      </a:p>
                      <a:p>
                        <a:pPr algn="l"/>
                        <a:r>
                          <a:rPr lang="en-US" altLang="ko-KR" sz="1100">
                            <a:solidFill>
                              <a:schemeClr val="dk1"/>
                            </a:solidFill>
                            <a:effectLst/>
                            <a:latin typeface="+mn-lt"/>
                            <a:ea typeface="+mn-ea"/>
                            <a:cs typeface="+mn-cs"/>
                          </a:rPr>
                          <a:t>AC(18)</a:t>
                        </a:r>
                      </a:p>
                      <a:p>
                        <a:pPr algn="l"/>
                        <a:r>
                          <a:rPr lang="en-US" altLang="ko-KR" sz="1100">
                            <a:solidFill>
                              <a:schemeClr val="dk1"/>
                            </a:solidFill>
                            <a:effectLst/>
                            <a:latin typeface="+mn-lt"/>
                            <a:ea typeface="+mn-ea"/>
                            <a:cs typeface="+mn-cs"/>
                          </a:rPr>
                          <a:t>AC(19)</a:t>
                        </a:r>
                      </a:p>
                      <a:p>
                        <a:pPr algn="l"/>
                        <a:r>
                          <a:rPr lang="en-US" altLang="ko-KR" sz="1100">
                            <a:solidFill>
                              <a:schemeClr val="dk1"/>
                            </a:solidFill>
                            <a:effectLst/>
                            <a:latin typeface="+mn-lt"/>
                            <a:ea typeface="+mn-ea"/>
                            <a:cs typeface="+mn-cs"/>
                          </a:rPr>
                          <a:t>AC(20)</a:t>
                        </a:r>
                      </a:p>
                      <a:p>
                        <a:pPr algn="l"/>
                        <a:endParaRPr lang="en-US" altLang="ko-KR" sz="1100">
                          <a:solidFill>
                            <a:schemeClr val="dk1"/>
                          </a:solidFill>
                          <a:effectLst/>
                          <a:latin typeface="+mn-lt"/>
                          <a:ea typeface="+mn-ea"/>
                          <a:cs typeface="+mn-cs"/>
                        </a:endParaRPr>
                      </a:p>
                      <a:p>
                        <a:pPr algn="ctr"/>
                        <a:r>
                          <a:rPr lang="en-US" altLang="ko-KR" sz="1100">
                            <a:solidFill>
                              <a:schemeClr val="dk1"/>
                            </a:solidFill>
                            <a:effectLst/>
                            <a:latin typeface="+mn-lt"/>
                            <a:ea typeface="+mn-ea"/>
                            <a:cs typeface="+mn-cs"/>
                          </a:rPr>
                          <a:t>50AF/50AT 4EA</a:t>
                        </a:r>
                      </a:p>
                      <a:p>
                        <a:pPr algn="ctr"/>
                        <a:r>
                          <a:rPr lang="en-US" altLang="ko-KR" sz="1100">
                            <a:solidFill>
                              <a:schemeClr val="dk1"/>
                            </a:solidFill>
                            <a:effectLst/>
                            <a:latin typeface="+mn-lt"/>
                            <a:ea typeface="+mn-ea"/>
                            <a:cs typeface="+mn-cs"/>
                          </a:rPr>
                          <a:t>50AF/30AT 16EA</a:t>
                        </a:r>
                        <a:endParaRPr lang="ko-KR" altLang="en-US" sz="1100"/>
                      </a:p>
                    </xdr:txBody>
                  </xdr:sp>
                </xdr:grpSp>
                <xdr:grpSp>
                  <xdr:nvGrpSpPr>
                    <xdr:cNvPr id="335" name="그룹 334">
                      <a:extLst>
                        <a:ext uri="{FF2B5EF4-FFF2-40B4-BE49-F238E27FC236}">
                          <a16:creationId xmlns:a16="http://schemas.microsoft.com/office/drawing/2014/main" id="{00000000-0008-0000-1A00-00004F010000}"/>
                        </a:ext>
                      </a:extLst>
                    </xdr:cNvPr>
                    <xdr:cNvGrpSpPr/>
                  </xdr:nvGrpSpPr>
                  <xdr:grpSpPr>
                    <a:xfrm>
                      <a:off x="5800166" y="4482353"/>
                      <a:ext cx="2073087" cy="4945158"/>
                      <a:chOff x="5800166" y="4482353"/>
                      <a:chExt cx="2073087" cy="4945158"/>
                    </a:xfrm>
                  </xdr:grpSpPr>
                  <xdr:sp macro="" textlink="">
                    <xdr:nvSpPr>
                      <xdr:cNvPr id="339" name="TextBox 338">
                        <a:extLst>
                          <a:ext uri="{FF2B5EF4-FFF2-40B4-BE49-F238E27FC236}">
                            <a16:creationId xmlns:a16="http://schemas.microsoft.com/office/drawing/2014/main" id="{00000000-0008-0000-1A00-000053010000}"/>
                          </a:ext>
                        </a:extLst>
                      </xdr:cNvPr>
                      <xdr:cNvSpPr txBox="1"/>
                    </xdr:nvSpPr>
                    <xdr:spPr>
                      <a:xfrm>
                        <a:off x="5874126" y="4596653"/>
                        <a:ext cx="627529" cy="17189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altLang="ko-KR" sz="1100"/>
                      </a:p>
                      <a:p>
                        <a:pPr algn="ctr"/>
                        <a:endParaRPr lang="en-US" altLang="ko-KR" sz="1100"/>
                      </a:p>
                      <a:p>
                        <a:pPr algn="ctr"/>
                        <a:r>
                          <a:rPr lang="ko-KR" altLang="en-US" sz="1100"/>
                          <a:t>충전기</a:t>
                        </a:r>
                        <a:endParaRPr lang="en-US" altLang="ko-KR" sz="1100"/>
                      </a:p>
                      <a:p>
                        <a:pPr algn="ctr"/>
                        <a:r>
                          <a:rPr lang="en-US" altLang="ko-KR" sz="1100"/>
                          <a:t>main</a:t>
                        </a:r>
                      </a:p>
                      <a:p>
                        <a:pPr algn="ctr"/>
                        <a:r>
                          <a:rPr lang="en-US" altLang="ko-KR" sz="1100"/>
                          <a:t>(1</a:t>
                        </a:r>
                        <a:r>
                          <a:rPr lang="ko-KR" altLang="en-US" sz="1100"/>
                          <a:t>상</a:t>
                        </a:r>
                        <a:r>
                          <a:rPr lang="en-US" altLang="ko-KR" sz="1100"/>
                          <a:t>)</a:t>
                        </a:r>
                      </a:p>
                      <a:p>
                        <a:pPr algn="ctr"/>
                        <a:endParaRPr lang="en-US" altLang="ko-KR" sz="1100"/>
                      </a:p>
                      <a:p>
                        <a:pPr algn="ctr"/>
                        <a:r>
                          <a:rPr lang="en-US" altLang="ko-KR" sz="1100"/>
                          <a:t>250AF/</a:t>
                        </a:r>
                      </a:p>
                      <a:p>
                        <a:pPr algn="ctr"/>
                        <a:r>
                          <a:rPr lang="en-US" altLang="ko-KR" sz="1100"/>
                          <a:t>250AT</a:t>
                        </a:r>
                        <a:endParaRPr lang="ko-KR" altLang="en-US" sz="1100"/>
                      </a:p>
                    </xdr:txBody>
                  </xdr:sp>
                  <xdr:sp macro="" textlink="">
                    <xdr:nvSpPr>
                      <xdr:cNvPr id="340" name="TextBox 339">
                        <a:extLst>
                          <a:ext uri="{FF2B5EF4-FFF2-40B4-BE49-F238E27FC236}">
                            <a16:creationId xmlns:a16="http://schemas.microsoft.com/office/drawing/2014/main" id="{00000000-0008-0000-1A00-000054010000}"/>
                          </a:ext>
                        </a:extLst>
                      </xdr:cNvPr>
                      <xdr:cNvSpPr txBox="1"/>
                    </xdr:nvSpPr>
                    <xdr:spPr>
                      <a:xfrm>
                        <a:off x="6631643" y="4603377"/>
                        <a:ext cx="1185582" cy="44307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ltLang="ko-KR" sz="1100"/>
                          <a:t>DC Feeder</a:t>
                        </a:r>
                      </a:p>
                      <a:p>
                        <a:pPr algn="ctr"/>
                        <a:endParaRPr lang="en-US" altLang="ko-KR" sz="1100"/>
                      </a:p>
                      <a:p>
                        <a:pPr algn="l"/>
                        <a:r>
                          <a:rPr lang="en-US" altLang="ko-KR" sz="1100"/>
                          <a:t>DC(1)</a:t>
                        </a:r>
                      </a:p>
                      <a:p>
                        <a:pPr algn="l"/>
                        <a:r>
                          <a:rPr lang="en-US" altLang="ko-KR" sz="1100"/>
                          <a:t>DC(2)</a:t>
                        </a:r>
                      </a:p>
                      <a:p>
                        <a:pPr algn="l"/>
                        <a:r>
                          <a:rPr lang="en-US" altLang="ko-KR" sz="1100">
                            <a:solidFill>
                              <a:schemeClr val="dk1"/>
                            </a:solidFill>
                            <a:effectLst/>
                            <a:latin typeface="+mn-lt"/>
                            <a:ea typeface="+mn-ea"/>
                            <a:cs typeface="+mn-cs"/>
                          </a:rPr>
                          <a:t>DC(3)</a:t>
                        </a:r>
                      </a:p>
                      <a:p>
                        <a:pPr algn="l"/>
                        <a:r>
                          <a:rPr lang="en-US" altLang="ko-KR" sz="1100">
                            <a:solidFill>
                              <a:schemeClr val="dk1"/>
                            </a:solidFill>
                            <a:effectLst/>
                            <a:latin typeface="+mn-lt"/>
                            <a:ea typeface="+mn-ea"/>
                            <a:cs typeface="+mn-cs"/>
                          </a:rPr>
                          <a:t>DC(4)</a:t>
                        </a:r>
                      </a:p>
                      <a:p>
                        <a:pPr algn="l"/>
                        <a:r>
                          <a:rPr lang="en-US" altLang="ko-KR" sz="1100">
                            <a:solidFill>
                              <a:schemeClr val="dk1"/>
                            </a:solidFill>
                            <a:effectLst/>
                            <a:latin typeface="+mn-lt"/>
                            <a:ea typeface="+mn-ea"/>
                            <a:cs typeface="+mn-cs"/>
                          </a:rPr>
                          <a:t>DC(5)</a:t>
                        </a:r>
                      </a:p>
                      <a:p>
                        <a:pPr algn="l"/>
                        <a:r>
                          <a:rPr lang="en-US" altLang="ko-KR" sz="1100">
                            <a:solidFill>
                              <a:schemeClr val="dk1"/>
                            </a:solidFill>
                            <a:effectLst/>
                            <a:latin typeface="+mn-lt"/>
                            <a:ea typeface="+mn-ea"/>
                            <a:cs typeface="+mn-cs"/>
                          </a:rPr>
                          <a:t>DC(6)</a:t>
                        </a:r>
                      </a:p>
                      <a:p>
                        <a:pPr algn="l"/>
                        <a:r>
                          <a:rPr lang="en-US" altLang="ko-KR" sz="1100">
                            <a:solidFill>
                              <a:schemeClr val="dk1"/>
                            </a:solidFill>
                            <a:effectLst/>
                            <a:latin typeface="+mn-lt"/>
                            <a:ea typeface="+mn-ea"/>
                            <a:cs typeface="+mn-cs"/>
                          </a:rPr>
                          <a:t>DC(7)</a:t>
                        </a:r>
                      </a:p>
                      <a:p>
                        <a:pPr algn="l"/>
                        <a:r>
                          <a:rPr lang="en-US" altLang="ko-KR" sz="1100">
                            <a:solidFill>
                              <a:schemeClr val="dk1"/>
                            </a:solidFill>
                            <a:effectLst/>
                            <a:latin typeface="+mn-lt"/>
                            <a:ea typeface="+mn-ea"/>
                            <a:cs typeface="+mn-cs"/>
                          </a:rPr>
                          <a:t>DC(8)</a:t>
                        </a:r>
                      </a:p>
                      <a:p>
                        <a:pPr algn="l"/>
                        <a:r>
                          <a:rPr lang="en-US" altLang="ko-KR" sz="1100">
                            <a:solidFill>
                              <a:schemeClr val="dk1"/>
                            </a:solidFill>
                            <a:effectLst/>
                            <a:latin typeface="+mn-lt"/>
                            <a:ea typeface="+mn-ea"/>
                            <a:cs typeface="+mn-cs"/>
                          </a:rPr>
                          <a:t>DC(9)</a:t>
                        </a:r>
                      </a:p>
                      <a:p>
                        <a:pPr algn="l"/>
                        <a:r>
                          <a:rPr lang="en-US" altLang="ko-KR" sz="1100">
                            <a:solidFill>
                              <a:schemeClr val="dk1"/>
                            </a:solidFill>
                            <a:effectLst/>
                            <a:latin typeface="+mn-lt"/>
                            <a:ea typeface="+mn-ea"/>
                            <a:cs typeface="+mn-cs"/>
                          </a:rPr>
                          <a:t>DC(10)</a:t>
                        </a:r>
                      </a:p>
                      <a:p>
                        <a:pPr algn="l"/>
                        <a:r>
                          <a:rPr lang="en-US" altLang="ko-KR" sz="1100">
                            <a:solidFill>
                              <a:schemeClr val="dk1"/>
                            </a:solidFill>
                            <a:effectLst/>
                            <a:latin typeface="+mn-lt"/>
                            <a:ea typeface="+mn-ea"/>
                            <a:cs typeface="+mn-cs"/>
                          </a:rPr>
                          <a:t>DC(11)</a:t>
                        </a:r>
                      </a:p>
                      <a:p>
                        <a:pPr algn="l"/>
                        <a:r>
                          <a:rPr lang="en-US" altLang="ko-KR" sz="1100">
                            <a:solidFill>
                              <a:schemeClr val="dk1"/>
                            </a:solidFill>
                            <a:effectLst/>
                            <a:latin typeface="+mn-lt"/>
                            <a:ea typeface="+mn-ea"/>
                            <a:cs typeface="+mn-cs"/>
                          </a:rPr>
                          <a:t>DC(12)</a:t>
                        </a:r>
                      </a:p>
                      <a:p>
                        <a:pPr algn="l"/>
                        <a:r>
                          <a:rPr lang="en-US" altLang="ko-KR" sz="1100">
                            <a:solidFill>
                              <a:schemeClr val="dk1"/>
                            </a:solidFill>
                            <a:effectLst/>
                            <a:latin typeface="+mn-lt"/>
                            <a:ea typeface="+mn-ea"/>
                            <a:cs typeface="+mn-cs"/>
                          </a:rPr>
                          <a:t>DC(13)</a:t>
                        </a:r>
                      </a:p>
                      <a:p>
                        <a:pPr algn="l"/>
                        <a:r>
                          <a:rPr lang="en-US" altLang="ko-KR" sz="1100">
                            <a:solidFill>
                              <a:schemeClr val="dk1"/>
                            </a:solidFill>
                            <a:effectLst/>
                            <a:latin typeface="+mn-lt"/>
                            <a:ea typeface="+mn-ea"/>
                            <a:cs typeface="+mn-cs"/>
                          </a:rPr>
                          <a:t>DC(14)</a:t>
                        </a:r>
                      </a:p>
                      <a:p>
                        <a:pPr algn="l"/>
                        <a:r>
                          <a:rPr lang="en-US" altLang="ko-KR" sz="1100">
                            <a:solidFill>
                              <a:schemeClr val="dk1"/>
                            </a:solidFill>
                            <a:effectLst/>
                            <a:latin typeface="+mn-lt"/>
                            <a:ea typeface="+mn-ea"/>
                            <a:cs typeface="+mn-cs"/>
                          </a:rPr>
                          <a:t>DC(15)</a:t>
                        </a:r>
                      </a:p>
                      <a:p>
                        <a:pPr algn="l"/>
                        <a:r>
                          <a:rPr lang="en-US" altLang="ko-KR" sz="1100">
                            <a:solidFill>
                              <a:schemeClr val="dk1"/>
                            </a:solidFill>
                            <a:effectLst/>
                            <a:latin typeface="+mn-lt"/>
                            <a:ea typeface="+mn-ea"/>
                            <a:cs typeface="+mn-cs"/>
                          </a:rPr>
                          <a:t>DC(16)</a:t>
                        </a:r>
                      </a:p>
                      <a:p>
                        <a:pPr algn="ctr"/>
                        <a:endParaRPr lang="en-US" altLang="ko-KR" sz="1100">
                          <a:solidFill>
                            <a:schemeClr val="dk1"/>
                          </a:solidFill>
                          <a:effectLst/>
                          <a:latin typeface="+mn-lt"/>
                          <a:ea typeface="+mn-ea"/>
                          <a:cs typeface="+mn-cs"/>
                        </a:endParaRPr>
                      </a:p>
                      <a:p>
                        <a:pPr algn="ctr"/>
                        <a:endParaRPr lang="en-US" altLang="ko-KR" sz="1100">
                          <a:solidFill>
                            <a:schemeClr val="dk1"/>
                          </a:solidFill>
                          <a:effectLst/>
                          <a:latin typeface="+mn-lt"/>
                          <a:ea typeface="+mn-ea"/>
                          <a:cs typeface="+mn-cs"/>
                        </a:endParaRPr>
                      </a:p>
                      <a:p>
                        <a:pPr algn="ctr"/>
                        <a:endParaRPr lang="en-US" altLang="ko-KR" sz="1100">
                          <a:solidFill>
                            <a:schemeClr val="dk1"/>
                          </a:solidFill>
                          <a:effectLst/>
                          <a:latin typeface="+mn-lt"/>
                          <a:ea typeface="+mn-ea"/>
                          <a:cs typeface="+mn-cs"/>
                        </a:endParaRPr>
                      </a:p>
                      <a:p>
                        <a:pPr algn="ctr"/>
                        <a:endParaRPr lang="en-US" altLang="ko-KR" sz="1100">
                          <a:solidFill>
                            <a:schemeClr val="dk1"/>
                          </a:solidFill>
                          <a:effectLst/>
                          <a:latin typeface="+mn-lt"/>
                          <a:ea typeface="+mn-ea"/>
                          <a:cs typeface="+mn-cs"/>
                        </a:endParaRPr>
                      </a:p>
                      <a:p>
                        <a:pPr algn="ctr"/>
                        <a:endParaRPr lang="en-US" altLang="ko-KR" sz="1100">
                          <a:solidFill>
                            <a:schemeClr val="dk1"/>
                          </a:solidFill>
                          <a:effectLst/>
                          <a:latin typeface="+mn-lt"/>
                          <a:ea typeface="+mn-ea"/>
                          <a:cs typeface="+mn-cs"/>
                        </a:endParaRPr>
                      </a:p>
                      <a:p>
                        <a:pPr algn="ctr"/>
                        <a:r>
                          <a:rPr lang="en-US" altLang="ko-KR" sz="1100">
                            <a:solidFill>
                              <a:schemeClr val="dk1"/>
                            </a:solidFill>
                            <a:effectLst/>
                            <a:latin typeface="+mn-lt"/>
                            <a:ea typeface="+mn-ea"/>
                            <a:cs typeface="+mn-cs"/>
                          </a:rPr>
                          <a:t>50AF/50AT 4EA</a:t>
                        </a:r>
                      </a:p>
                      <a:p>
                        <a:pPr algn="ctr"/>
                        <a:r>
                          <a:rPr lang="en-US" altLang="ko-KR" sz="1100">
                            <a:solidFill>
                              <a:schemeClr val="dk1"/>
                            </a:solidFill>
                            <a:effectLst/>
                            <a:latin typeface="+mn-lt"/>
                            <a:ea typeface="+mn-ea"/>
                            <a:cs typeface="+mn-cs"/>
                          </a:rPr>
                          <a:t>30AF/20AT 12EA</a:t>
                        </a:r>
                        <a:endParaRPr lang="ko-KR" altLang="en-US" sz="1100"/>
                      </a:p>
                    </xdr:txBody>
                  </xdr:sp>
                  <xdr:sp macro="" textlink="">
                    <xdr:nvSpPr>
                      <xdr:cNvPr id="341" name="직사각형 340">
                        <a:extLst>
                          <a:ext uri="{FF2B5EF4-FFF2-40B4-BE49-F238E27FC236}">
                            <a16:creationId xmlns:a16="http://schemas.microsoft.com/office/drawing/2014/main" id="{00000000-0008-0000-1A00-000055010000}"/>
                          </a:ext>
                        </a:extLst>
                      </xdr:cNvPr>
                      <xdr:cNvSpPr/>
                    </xdr:nvSpPr>
                    <xdr:spPr>
                      <a:xfrm>
                        <a:off x="5800166" y="4482353"/>
                        <a:ext cx="2073087" cy="4945158"/>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ko-KR" altLang="en-US" sz="1100">
                          <a:solidFill>
                            <a:schemeClr val="tx1"/>
                          </a:solidFill>
                        </a:endParaRPr>
                      </a:p>
                    </xdr:txBody>
                  </xdr:sp>
                </xdr:grpSp>
              </xdr:grpSp>
              <xdr:sp macro="" textlink="">
                <xdr:nvSpPr>
                  <xdr:cNvPr id="332" name="TextBox 331">
                    <a:extLst>
                      <a:ext uri="{FF2B5EF4-FFF2-40B4-BE49-F238E27FC236}">
                        <a16:creationId xmlns:a16="http://schemas.microsoft.com/office/drawing/2014/main" id="{00000000-0008-0000-1A00-00004C010000}"/>
                      </a:ext>
                    </a:extLst>
                  </xdr:cNvPr>
                  <xdr:cNvSpPr txBox="1"/>
                </xdr:nvSpPr>
                <xdr:spPr>
                  <a:xfrm>
                    <a:off x="3525372" y="1261784"/>
                    <a:ext cx="4486834"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altLang="ko-KR" sz="1200" b="0" u="sng">
                        <a:solidFill>
                          <a:srgbClr val="FF00FF"/>
                        </a:solidFill>
                      </a:rPr>
                      <a:t>AC</a:t>
                    </a:r>
                    <a:r>
                      <a:rPr lang="en-US" altLang="ko-KR" sz="1200" b="0" u="sng" baseline="0">
                        <a:solidFill>
                          <a:srgbClr val="FF00FF"/>
                        </a:solidFill>
                      </a:rPr>
                      <a:t> </a:t>
                    </a:r>
                    <a:r>
                      <a:rPr lang="ko-KR" altLang="en-US" sz="1200" b="0" u="sng" baseline="0">
                        <a:solidFill>
                          <a:srgbClr val="FF00FF"/>
                        </a:solidFill>
                      </a:rPr>
                      <a:t>상용</a:t>
                    </a:r>
                    <a:r>
                      <a:rPr lang="en-US" altLang="ko-KR" sz="1200" b="0" u="sng" baseline="0">
                        <a:solidFill>
                          <a:srgbClr val="FF00FF"/>
                        </a:solidFill>
                      </a:rPr>
                      <a:t>/UPS/DC </a:t>
                    </a:r>
                    <a:r>
                      <a:rPr lang="ko-KR" altLang="en-US" sz="1200" b="0" u="sng" baseline="0">
                        <a:solidFill>
                          <a:srgbClr val="FF00FF"/>
                        </a:solidFill>
                      </a:rPr>
                      <a:t>전원분전반</a:t>
                    </a:r>
                    <a:endParaRPr lang="ko-KR" altLang="en-US" sz="1200" b="0" u="sng">
                      <a:solidFill>
                        <a:srgbClr val="FF00FF"/>
                      </a:solidFill>
                    </a:endParaRPr>
                  </a:p>
                </xdr:txBody>
              </xdr:sp>
            </xdr:grpSp>
          </xdr:grpSp>
        </xdr:grpSp>
      </xdr:grpSp>
      <xdr:sp macro="" textlink="">
        <xdr:nvSpPr>
          <xdr:cNvPr id="311" name="TextBox 310">
            <a:extLst>
              <a:ext uri="{FF2B5EF4-FFF2-40B4-BE49-F238E27FC236}">
                <a16:creationId xmlns:a16="http://schemas.microsoft.com/office/drawing/2014/main" id="{00000000-0008-0000-1A00-000037010000}"/>
              </a:ext>
            </a:extLst>
          </xdr:cNvPr>
          <xdr:cNvSpPr txBox="1"/>
        </xdr:nvSpPr>
        <xdr:spPr>
          <a:xfrm>
            <a:off x="2196353" y="829239"/>
            <a:ext cx="9222441" cy="4914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altLang="ko-KR" sz="1800" b="1"/>
              <a:t>ICT</a:t>
            </a:r>
            <a:r>
              <a:rPr lang="ko-KR" altLang="en-US" sz="1800" b="1"/>
              <a:t>실</a:t>
            </a:r>
          </a:p>
        </xdr:txBody>
      </xdr:sp>
    </xdr:grpSp>
    <xdr:clientData/>
  </xdr:twoCellAnchor>
  <xdr:twoCellAnchor>
    <xdr:from>
      <xdr:col>29</xdr:col>
      <xdr:colOff>10085</xdr:colOff>
      <xdr:row>27</xdr:row>
      <xdr:rowOff>92381</xdr:rowOff>
    </xdr:from>
    <xdr:to>
      <xdr:col>40</xdr:col>
      <xdr:colOff>242923</xdr:colOff>
      <xdr:row>41</xdr:row>
      <xdr:rowOff>50230</xdr:rowOff>
    </xdr:to>
    <xdr:sp macro="" textlink="">
      <xdr:nvSpPr>
        <xdr:cNvPr id="375" name="직사각형 374">
          <a:extLst>
            <a:ext uri="{FF2B5EF4-FFF2-40B4-BE49-F238E27FC236}">
              <a16:creationId xmlns:a16="http://schemas.microsoft.com/office/drawing/2014/main" id="{00000000-0008-0000-1A00-000077010000}"/>
            </a:ext>
          </a:extLst>
        </xdr:cNvPr>
        <xdr:cNvSpPr/>
      </xdr:nvSpPr>
      <xdr:spPr>
        <a:xfrm>
          <a:off x="7601510" y="6083606"/>
          <a:ext cx="3166538" cy="2891549"/>
        </a:xfrm>
        <a:prstGeom prst="rect">
          <a:avLst/>
        </a:prstGeom>
        <a:noFill/>
        <a:ln w="9525">
          <a:solidFill>
            <a:srgbClr val="FF00FF"/>
          </a:solidFill>
          <a:prstDash val="lgDashDot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33</xdr:col>
      <xdr:colOff>12143</xdr:colOff>
      <xdr:row>28</xdr:row>
      <xdr:rowOff>154328</xdr:rowOff>
    </xdr:from>
    <xdr:to>
      <xdr:col>36</xdr:col>
      <xdr:colOff>265332</xdr:colOff>
      <xdr:row>30</xdr:row>
      <xdr:rowOff>139162</xdr:rowOff>
    </xdr:to>
    <xdr:sp macro="" textlink="">
      <xdr:nvSpPr>
        <xdr:cNvPr id="376" name="직사각형 375">
          <a:extLst>
            <a:ext uri="{FF2B5EF4-FFF2-40B4-BE49-F238E27FC236}">
              <a16:creationId xmlns:a16="http://schemas.microsoft.com/office/drawing/2014/main" id="{00000000-0008-0000-1A00-000078010000}"/>
            </a:ext>
          </a:extLst>
        </xdr:cNvPr>
        <xdr:cNvSpPr/>
      </xdr:nvSpPr>
      <xdr:spPr>
        <a:xfrm>
          <a:off x="8670368" y="6355103"/>
          <a:ext cx="1053289" cy="403934"/>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100" b="1">
              <a:solidFill>
                <a:schemeClr val="tx1"/>
              </a:solidFill>
            </a:rPr>
            <a:t>충전기</a:t>
          </a:r>
        </a:p>
      </xdr:txBody>
    </xdr:sp>
    <xdr:clientData/>
  </xdr:twoCellAnchor>
  <xdr:twoCellAnchor>
    <xdr:from>
      <xdr:col>33</xdr:col>
      <xdr:colOff>12143</xdr:colOff>
      <xdr:row>37</xdr:row>
      <xdr:rowOff>151197</xdr:rowOff>
    </xdr:from>
    <xdr:to>
      <xdr:col>36</xdr:col>
      <xdr:colOff>265332</xdr:colOff>
      <xdr:row>39</xdr:row>
      <xdr:rowOff>72019</xdr:rowOff>
    </xdr:to>
    <xdr:sp macro="" textlink="">
      <xdr:nvSpPr>
        <xdr:cNvPr id="377" name="직사각형 376">
          <a:extLst>
            <a:ext uri="{FF2B5EF4-FFF2-40B4-BE49-F238E27FC236}">
              <a16:creationId xmlns:a16="http://schemas.microsoft.com/office/drawing/2014/main" id="{00000000-0008-0000-1A00-000079010000}"/>
            </a:ext>
          </a:extLst>
        </xdr:cNvPr>
        <xdr:cNvSpPr/>
      </xdr:nvSpPr>
      <xdr:spPr>
        <a:xfrm>
          <a:off x="8670368" y="8237922"/>
          <a:ext cx="1053289" cy="339922"/>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tx1"/>
              </a:solidFill>
            </a:rPr>
            <a:t>BATTERY</a:t>
          </a:r>
          <a:endParaRPr lang="ko-KR" altLang="en-US" sz="1400">
            <a:solidFill>
              <a:schemeClr val="tx1"/>
            </a:solidFill>
          </a:endParaRPr>
        </a:p>
      </xdr:txBody>
    </xdr:sp>
    <xdr:clientData/>
  </xdr:twoCellAnchor>
  <xdr:twoCellAnchor>
    <xdr:from>
      <xdr:col>33</xdr:col>
      <xdr:colOff>7699</xdr:colOff>
      <xdr:row>35</xdr:row>
      <xdr:rowOff>60413</xdr:rowOff>
    </xdr:from>
    <xdr:to>
      <xdr:col>36</xdr:col>
      <xdr:colOff>260888</xdr:colOff>
      <xdr:row>37</xdr:row>
      <xdr:rowOff>146782</xdr:rowOff>
    </xdr:to>
    <xdr:sp macro="" textlink="">
      <xdr:nvSpPr>
        <xdr:cNvPr id="378" name="직사각형 377">
          <a:extLst>
            <a:ext uri="{FF2B5EF4-FFF2-40B4-BE49-F238E27FC236}">
              <a16:creationId xmlns:a16="http://schemas.microsoft.com/office/drawing/2014/main" id="{00000000-0008-0000-1A00-00007A010000}"/>
            </a:ext>
          </a:extLst>
        </xdr:cNvPr>
        <xdr:cNvSpPr/>
      </xdr:nvSpPr>
      <xdr:spPr>
        <a:xfrm>
          <a:off x="8665924" y="7728038"/>
          <a:ext cx="1053289" cy="505469"/>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b="1">
              <a:solidFill>
                <a:schemeClr val="tx1"/>
              </a:solidFill>
            </a:rPr>
            <a:t>48VDC</a:t>
          </a:r>
        </a:p>
        <a:p>
          <a:pPr algn="ctr"/>
          <a:r>
            <a:rPr lang="en-US" altLang="ko-KR" sz="1000" b="0">
              <a:solidFill>
                <a:schemeClr val="tx1"/>
              </a:solidFill>
            </a:rPr>
            <a:t>12V 100AH(4</a:t>
          </a:r>
          <a:r>
            <a:rPr lang="ko-KR" altLang="en-US" sz="1000" b="0">
              <a:solidFill>
                <a:schemeClr val="tx1"/>
              </a:solidFill>
            </a:rPr>
            <a:t>개</a:t>
          </a:r>
          <a:r>
            <a:rPr lang="en-US" altLang="ko-KR" sz="1000" b="0">
              <a:solidFill>
                <a:schemeClr val="tx1"/>
              </a:solidFill>
            </a:rPr>
            <a:t>)</a:t>
          </a:r>
          <a:endParaRPr lang="ko-KR" altLang="en-US" sz="1000" b="0">
            <a:solidFill>
              <a:schemeClr val="tx1"/>
            </a:solidFill>
          </a:endParaRPr>
        </a:p>
      </xdr:txBody>
    </xdr:sp>
    <xdr:clientData/>
  </xdr:twoCellAnchor>
  <xdr:twoCellAnchor>
    <xdr:from>
      <xdr:col>35</xdr:col>
      <xdr:colOff>943</xdr:colOff>
      <xdr:row>33</xdr:row>
      <xdr:rowOff>4945</xdr:rowOff>
    </xdr:from>
    <xdr:to>
      <xdr:col>35</xdr:col>
      <xdr:colOff>2053</xdr:colOff>
      <xdr:row>35</xdr:row>
      <xdr:rowOff>60413</xdr:rowOff>
    </xdr:to>
    <xdr:cxnSp macro="">
      <xdr:nvCxnSpPr>
        <xdr:cNvPr id="379" name="직선 화살표 연결선 378">
          <a:extLst>
            <a:ext uri="{FF2B5EF4-FFF2-40B4-BE49-F238E27FC236}">
              <a16:creationId xmlns:a16="http://schemas.microsoft.com/office/drawing/2014/main" id="{00000000-0008-0000-1A00-00007B010000}"/>
            </a:ext>
          </a:extLst>
        </xdr:cNvPr>
        <xdr:cNvCxnSpPr>
          <a:endCxn id="378" idx="0"/>
        </xdr:cNvCxnSpPr>
      </xdr:nvCxnSpPr>
      <xdr:spPr>
        <a:xfrm flipH="1">
          <a:off x="9192568" y="7253470"/>
          <a:ext cx="1110" cy="474568"/>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116627</xdr:colOff>
      <xdr:row>27</xdr:row>
      <xdr:rowOff>87970</xdr:rowOff>
    </xdr:from>
    <xdr:to>
      <xdr:col>37</xdr:col>
      <xdr:colOff>243067</xdr:colOff>
      <xdr:row>28</xdr:row>
      <xdr:rowOff>154388</xdr:rowOff>
    </xdr:to>
    <xdr:sp macro="" textlink="">
      <xdr:nvSpPr>
        <xdr:cNvPr id="380" name="TextBox 379">
          <a:extLst>
            <a:ext uri="{FF2B5EF4-FFF2-40B4-BE49-F238E27FC236}">
              <a16:creationId xmlns:a16="http://schemas.microsoft.com/office/drawing/2014/main" id="{00000000-0008-0000-1A00-00007C010000}"/>
            </a:ext>
          </a:extLst>
        </xdr:cNvPr>
        <xdr:cNvSpPr txBox="1"/>
      </xdr:nvSpPr>
      <xdr:spPr>
        <a:xfrm>
          <a:off x="8508152" y="6079195"/>
          <a:ext cx="1459940" cy="2759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altLang="ko-KR" sz="1200" b="0"/>
            <a:t>150A</a:t>
          </a:r>
          <a:endParaRPr lang="ko-KR" altLang="en-US" sz="1200" b="0"/>
        </a:p>
      </xdr:txBody>
    </xdr:sp>
    <xdr:clientData/>
  </xdr:twoCellAnchor>
  <xdr:twoCellAnchor>
    <xdr:from>
      <xdr:col>29</xdr:col>
      <xdr:colOff>21196</xdr:colOff>
      <xdr:row>30</xdr:row>
      <xdr:rowOff>106056</xdr:rowOff>
    </xdr:from>
    <xdr:to>
      <xdr:col>33</xdr:col>
      <xdr:colOff>9921</xdr:colOff>
      <xdr:row>31</xdr:row>
      <xdr:rowOff>172474</xdr:rowOff>
    </xdr:to>
    <xdr:sp macro="" textlink="">
      <xdr:nvSpPr>
        <xdr:cNvPr id="381" name="TextBox 380">
          <a:extLst>
            <a:ext uri="{FF2B5EF4-FFF2-40B4-BE49-F238E27FC236}">
              <a16:creationId xmlns:a16="http://schemas.microsoft.com/office/drawing/2014/main" id="{00000000-0008-0000-1A00-00007D010000}"/>
            </a:ext>
          </a:extLst>
        </xdr:cNvPr>
        <xdr:cNvSpPr txBox="1"/>
      </xdr:nvSpPr>
      <xdr:spPr>
        <a:xfrm>
          <a:off x="7612621" y="6725931"/>
          <a:ext cx="1055525" cy="2759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ko-KR" sz="1200" b="0">
              <a:solidFill>
                <a:sysClr val="windowText" lastClr="000000"/>
              </a:solidFill>
            </a:rPr>
            <a:t>3</a:t>
          </a:r>
          <a:r>
            <a:rPr lang="ko-KR" altLang="en-US" sz="1200" b="0">
              <a:solidFill>
                <a:sysClr val="windowText" lastClr="000000"/>
              </a:solidFill>
            </a:rPr>
            <a:t>상</a:t>
          </a:r>
          <a:r>
            <a:rPr lang="en-US" altLang="ko-KR" sz="1200" b="0">
              <a:solidFill>
                <a:sysClr val="windowText" lastClr="000000"/>
              </a:solidFill>
            </a:rPr>
            <a:t>4</a:t>
          </a:r>
          <a:r>
            <a:rPr lang="ko-KR" altLang="en-US" sz="1200" b="0">
              <a:solidFill>
                <a:sysClr val="windowText" lastClr="000000"/>
              </a:solidFill>
            </a:rPr>
            <a:t>선</a:t>
          </a:r>
        </a:p>
      </xdr:txBody>
    </xdr:sp>
    <xdr:clientData/>
  </xdr:twoCellAnchor>
  <xdr:twoCellAnchor>
    <xdr:from>
      <xdr:col>37</xdr:col>
      <xdr:colOff>5295</xdr:colOff>
      <xdr:row>31</xdr:row>
      <xdr:rowOff>42968</xdr:rowOff>
    </xdr:from>
    <xdr:to>
      <xdr:col>40</xdr:col>
      <xdr:colOff>254034</xdr:colOff>
      <xdr:row>32</xdr:row>
      <xdr:rowOff>103943</xdr:rowOff>
    </xdr:to>
    <xdr:sp macro="" textlink="">
      <xdr:nvSpPr>
        <xdr:cNvPr id="382" name="TextBox 381">
          <a:extLst>
            <a:ext uri="{FF2B5EF4-FFF2-40B4-BE49-F238E27FC236}">
              <a16:creationId xmlns:a16="http://schemas.microsoft.com/office/drawing/2014/main" id="{00000000-0008-0000-1A00-00007E010000}"/>
            </a:ext>
          </a:extLst>
        </xdr:cNvPr>
        <xdr:cNvSpPr txBox="1"/>
      </xdr:nvSpPr>
      <xdr:spPr>
        <a:xfrm>
          <a:off x="9730320" y="6872393"/>
          <a:ext cx="1048839" cy="2705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ko-KR" sz="1200" b="0">
              <a:solidFill>
                <a:sysClr val="windowText" lastClr="000000"/>
              </a:solidFill>
            </a:rPr>
            <a:t>250AF/250AT</a:t>
          </a:r>
          <a:endParaRPr lang="ko-KR" altLang="en-US" sz="1200" b="0">
            <a:solidFill>
              <a:sysClr val="windowText" lastClr="000000"/>
            </a:solidFill>
          </a:endParaRPr>
        </a:p>
      </xdr:txBody>
    </xdr:sp>
    <xdr:clientData/>
  </xdr:twoCellAnchor>
  <xdr:twoCellAnchor>
    <xdr:from>
      <xdr:col>29</xdr:col>
      <xdr:colOff>32306</xdr:colOff>
      <xdr:row>31</xdr:row>
      <xdr:rowOff>185661</xdr:rowOff>
    </xdr:from>
    <xdr:to>
      <xdr:col>33</xdr:col>
      <xdr:colOff>5469</xdr:colOff>
      <xdr:row>33</xdr:row>
      <xdr:rowOff>42529</xdr:rowOff>
    </xdr:to>
    <xdr:sp macro="" textlink="">
      <xdr:nvSpPr>
        <xdr:cNvPr id="383" name="TextBox 382">
          <a:extLst>
            <a:ext uri="{FF2B5EF4-FFF2-40B4-BE49-F238E27FC236}">
              <a16:creationId xmlns:a16="http://schemas.microsoft.com/office/drawing/2014/main" id="{00000000-0008-0000-1A00-00007F010000}"/>
            </a:ext>
          </a:extLst>
        </xdr:cNvPr>
        <xdr:cNvSpPr txBox="1"/>
      </xdr:nvSpPr>
      <xdr:spPr>
        <a:xfrm>
          <a:off x="7623731" y="7015086"/>
          <a:ext cx="1039963" cy="2759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ko-KR" sz="1200" b="0">
              <a:solidFill>
                <a:sysClr val="windowText" lastClr="000000"/>
              </a:solidFill>
            </a:rPr>
            <a:t>125AF/50AT</a:t>
          </a:r>
          <a:endParaRPr lang="ko-KR" altLang="en-US" sz="1200" b="0">
            <a:solidFill>
              <a:sysClr val="windowText" lastClr="000000"/>
            </a:solidFill>
          </a:endParaRPr>
        </a:p>
      </xdr:txBody>
    </xdr:sp>
    <xdr:clientData/>
  </xdr:twoCellAnchor>
  <xdr:twoCellAnchor>
    <xdr:from>
      <xdr:col>2</xdr:col>
      <xdr:colOff>68690</xdr:colOff>
      <xdr:row>26</xdr:row>
      <xdr:rowOff>29480</xdr:rowOff>
    </xdr:from>
    <xdr:to>
      <xdr:col>5</xdr:col>
      <xdr:colOff>246467</xdr:colOff>
      <xdr:row>29</xdr:row>
      <xdr:rowOff>41642</xdr:rowOff>
    </xdr:to>
    <xdr:sp macro="" textlink="">
      <xdr:nvSpPr>
        <xdr:cNvPr id="384" name="직사각형 383">
          <a:extLst>
            <a:ext uri="{FF2B5EF4-FFF2-40B4-BE49-F238E27FC236}">
              <a16:creationId xmlns:a16="http://schemas.microsoft.com/office/drawing/2014/main" id="{00000000-0008-0000-1A00-000080010000}"/>
            </a:ext>
          </a:extLst>
        </xdr:cNvPr>
        <xdr:cNvSpPr/>
      </xdr:nvSpPr>
      <xdr:spPr>
        <a:xfrm>
          <a:off x="459215" y="5811155"/>
          <a:ext cx="977877" cy="640812"/>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chemeClr val="tx1"/>
              </a:solidFill>
            </a:rPr>
            <a:t>AC</a:t>
          </a:r>
          <a:r>
            <a:rPr lang="en-US" altLang="ko-KR" sz="1100" baseline="0">
              <a:solidFill>
                <a:schemeClr val="tx1"/>
              </a:solidFill>
            </a:rPr>
            <a:t> PL-MA2</a:t>
          </a:r>
        </a:p>
        <a:p>
          <a:pPr algn="ctr"/>
          <a:r>
            <a:rPr lang="en-US" altLang="ko-KR" sz="1100" baseline="0">
              <a:solidFill>
                <a:schemeClr val="tx1"/>
              </a:solidFill>
            </a:rPr>
            <a:t>(MCCB)</a:t>
          </a:r>
        </a:p>
        <a:p>
          <a:pPr algn="ctr"/>
          <a:r>
            <a:rPr lang="en-US" altLang="ko-KR" sz="1100" baseline="0">
              <a:solidFill>
                <a:schemeClr val="tx1"/>
              </a:solidFill>
            </a:rPr>
            <a:t>(225AF 100AT)</a:t>
          </a:r>
          <a:endParaRPr lang="ko-KR" altLang="en-US" sz="1100">
            <a:solidFill>
              <a:schemeClr val="tx1"/>
            </a:solidFill>
          </a:endParaRPr>
        </a:p>
      </xdr:txBody>
    </xdr:sp>
    <xdr:clientData/>
  </xdr:twoCellAnchor>
  <xdr:twoCellAnchor>
    <xdr:from>
      <xdr:col>2</xdr:col>
      <xdr:colOff>64246</xdr:colOff>
      <xdr:row>24</xdr:row>
      <xdr:rowOff>39786</xdr:rowOff>
    </xdr:from>
    <xdr:to>
      <xdr:col>5</xdr:col>
      <xdr:colOff>242023</xdr:colOff>
      <xdr:row>26</xdr:row>
      <xdr:rowOff>25060</xdr:rowOff>
    </xdr:to>
    <xdr:sp macro="" textlink="">
      <xdr:nvSpPr>
        <xdr:cNvPr id="385" name="직사각형 384">
          <a:extLst>
            <a:ext uri="{FF2B5EF4-FFF2-40B4-BE49-F238E27FC236}">
              <a16:creationId xmlns:a16="http://schemas.microsoft.com/office/drawing/2014/main" id="{00000000-0008-0000-1A00-000081010000}"/>
            </a:ext>
          </a:extLst>
        </xdr:cNvPr>
        <xdr:cNvSpPr/>
      </xdr:nvSpPr>
      <xdr:spPr>
        <a:xfrm>
          <a:off x="454771" y="5402361"/>
          <a:ext cx="977877" cy="404374"/>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100" b="1">
              <a:solidFill>
                <a:schemeClr val="tx1"/>
              </a:solidFill>
            </a:rPr>
            <a:t>변전 배전반</a:t>
          </a:r>
        </a:p>
      </xdr:txBody>
    </xdr:sp>
    <xdr:clientData/>
  </xdr:twoCellAnchor>
  <xdr:twoCellAnchor>
    <xdr:from>
      <xdr:col>1</xdr:col>
      <xdr:colOff>242049</xdr:colOff>
      <xdr:row>29</xdr:row>
      <xdr:rowOff>59318</xdr:rowOff>
    </xdr:from>
    <xdr:to>
      <xdr:col>6</xdr:col>
      <xdr:colOff>75335</xdr:colOff>
      <xdr:row>30</xdr:row>
      <xdr:rowOff>181291</xdr:rowOff>
    </xdr:to>
    <xdr:sp macro="" textlink="">
      <xdr:nvSpPr>
        <xdr:cNvPr id="386" name="TextBox 385">
          <a:extLst>
            <a:ext uri="{FF2B5EF4-FFF2-40B4-BE49-F238E27FC236}">
              <a16:creationId xmlns:a16="http://schemas.microsoft.com/office/drawing/2014/main" id="{00000000-0008-0000-1A00-000082010000}"/>
            </a:ext>
          </a:extLst>
        </xdr:cNvPr>
        <xdr:cNvSpPr txBox="1"/>
      </xdr:nvSpPr>
      <xdr:spPr>
        <a:xfrm>
          <a:off x="365874" y="6469643"/>
          <a:ext cx="1166786" cy="3315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altLang="ko-KR" sz="1100" b="0"/>
            <a:t>(3</a:t>
          </a:r>
          <a:r>
            <a:rPr lang="ko-KR" altLang="en-US" sz="1100" b="0"/>
            <a:t>상</a:t>
          </a:r>
          <a:r>
            <a:rPr lang="en-US" altLang="ko-KR" sz="1100" b="0"/>
            <a:t>4</a:t>
          </a:r>
          <a:r>
            <a:rPr lang="ko-KR" altLang="en-US" sz="1100" b="0"/>
            <a:t>선</a:t>
          </a:r>
          <a:r>
            <a:rPr lang="en-US" altLang="ko-KR" sz="1100" b="0"/>
            <a:t>, RSTN)</a:t>
          </a:r>
          <a:endParaRPr lang="ko-KR" altLang="en-US" sz="1100" b="0"/>
        </a:p>
      </xdr:txBody>
    </xdr:sp>
    <xdr:clientData/>
  </xdr:twoCellAnchor>
  <xdr:twoCellAnchor>
    <xdr:from>
      <xdr:col>6</xdr:col>
      <xdr:colOff>27737</xdr:colOff>
      <xdr:row>25</xdr:row>
      <xdr:rowOff>192186</xdr:rowOff>
    </xdr:from>
    <xdr:to>
      <xdr:col>10</xdr:col>
      <xdr:colOff>38822</xdr:colOff>
      <xdr:row>27</xdr:row>
      <xdr:rowOff>49355</xdr:rowOff>
    </xdr:to>
    <xdr:sp macro="" textlink="">
      <xdr:nvSpPr>
        <xdr:cNvPr id="387" name="TextBox 386">
          <a:extLst>
            <a:ext uri="{FF2B5EF4-FFF2-40B4-BE49-F238E27FC236}">
              <a16:creationId xmlns:a16="http://schemas.microsoft.com/office/drawing/2014/main" id="{00000000-0008-0000-1A00-000083010000}"/>
            </a:ext>
          </a:extLst>
        </xdr:cNvPr>
        <xdr:cNvSpPr txBox="1"/>
      </xdr:nvSpPr>
      <xdr:spPr>
        <a:xfrm>
          <a:off x="1485062" y="5764311"/>
          <a:ext cx="1077885" cy="2762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ko-KR" sz="1200" b="0">
              <a:solidFill>
                <a:srgbClr val="FF0000"/>
              </a:solidFill>
            </a:rPr>
            <a:t>F-CV</a:t>
          </a:r>
          <a:r>
            <a:rPr lang="en-US" altLang="ko-KR" sz="1200" b="0" baseline="0">
              <a:solidFill>
                <a:srgbClr val="FF0000"/>
              </a:solidFill>
            </a:rPr>
            <a:t> 4C / 35</a:t>
          </a:r>
          <a:r>
            <a:rPr lang="ko-KR" altLang="en-US" sz="1100" b="0">
              <a:solidFill>
                <a:srgbClr val="FF0000"/>
              </a:solidFill>
              <a:effectLst/>
              <a:latin typeface="+mn-lt"/>
              <a:ea typeface="+mn-ea"/>
              <a:cs typeface="+mn-cs"/>
            </a:rPr>
            <a:t>㎟</a:t>
          </a:r>
        </a:p>
        <a:p>
          <a:pPr marL="0" marR="0" lvl="0" indent="0" algn="ctr" defTabSz="914400" eaLnBrk="1" fontAlgn="auto" latinLnBrk="0" hangingPunct="1">
            <a:lnSpc>
              <a:spcPct val="100000"/>
            </a:lnSpc>
            <a:spcBef>
              <a:spcPts val="0"/>
            </a:spcBef>
            <a:spcAft>
              <a:spcPts val="0"/>
            </a:spcAft>
            <a:buClrTx/>
            <a:buSzTx/>
            <a:buFontTx/>
            <a:buNone/>
            <a:tabLst/>
            <a:defRPr/>
          </a:pPr>
          <a:endParaRPr lang="ko-KR" altLang="en-US" sz="1200" b="0">
            <a:solidFill>
              <a:srgbClr val="FF0000"/>
            </a:solidFill>
          </a:endParaRPr>
        </a:p>
      </xdr:txBody>
    </xdr:sp>
    <xdr:clientData/>
  </xdr:twoCellAnchor>
  <xdr:twoCellAnchor>
    <xdr:from>
      <xdr:col>5</xdr:col>
      <xdr:colOff>247650</xdr:colOff>
      <xdr:row>27</xdr:row>
      <xdr:rowOff>57150</xdr:rowOff>
    </xdr:from>
    <xdr:to>
      <xdr:col>32</xdr:col>
      <xdr:colOff>257175</xdr:colOff>
      <xdr:row>49</xdr:row>
      <xdr:rowOff>68035</xdr:rowOff>
    </xdr:to>
    <xdr:sp macro="" textlink="">
      <xdr:nvSpPr>
        <xdr:cNvPr id="388" name="자유형: 도형 387">
          <a:extLst>
            <a:ext uri="{FF2B5EF4-FFF2-40B4-BE49-F238E27FC236}">
              <a16:creationId xmlns:a16="http://schemas.microsoft.com/office/drawing/2014/main" id="{00000000-0008-0000-1A00-000084010000}"/>
            </a:ext>
          </a:extLst>
        </xdr:cNvPr>
        <xdr:cNvSpPr/>
      </xdr:nvSpPr>
      <xdr:spPr>
        <a:xfrm>
          <a:off x="1438275" y="6048375"/>
          <a:ext cx="7210425" cy="4620985"/>
        </a:xfrm>
        <a:custGeom>
          <a:avLst/>
          <a:gdLst>
            <a:gd name="connsiteX0" fmla="*/ 0 w 7210425"/>
            <a:gd name="connsiteY0" fmla="*/ 0 h 3648075"/>
            <a:gd name="connsiteX1" fmla="*/ 419100 w 7210425"/>
            <a:gd name="connsiteY1" fmla="*/ 0 h 3648075"/>
            <a:gd name="connsiteX2" fmla="*/ 419100 w 7210425"/>
            <a:gd name="connsiteY2" fmla="*/ 3648075 h 3648075"/>
            <a:gd name="connsiteX3" fmla="*/ 5762625 w 7210425"/>
            <a:gd name="connsiteY3" fmla="*/ 3648075 h 3648075"/>
            <a:gd name="connsiteX4" fmla="*/ 5762625 w 7210425"/>
            <a:gd name="connsiteY4" fmla="*/ 495300 h 3648075"/>
            <a:gd name="connsiteX5" fmla="*/ 7210425 w 7210425"/>
            <a:gd name="connsiteY5" fmla="*/ 495300 h 36480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210425" h="3648075">
              <a:moveTo>
                <a:pt x="0" y="0"/>
              </a:moveTo>
              <a:lnTo>
                <a:pt x="419100" y="0"/>
              </a:lnTo>
              <a:lnTo>
                <a:pt x="419100" y="3648075"/>
              </a:lnTo>
              <a:lnTo>
                <a:pt x="5762625" y="3648075"/>
              </a:lnTo>
              <a:lnTo>
                <a:pt x="5762625" y="495300"/>
              </a:lnTo>
              <a:lnTo>
                <a:pt x="7210425" y="495300"/>
              </a:lnTo>
            </a:path>
          </a:pathLst>
        </a:custGeom>
        <a:noFill/>
        <a:ln w="15875">
          <a:solidFill>
            <a:srgbClr val="FF0000"/>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18</xdr:col>
      <xdr:colOff>123825</xdr:colOff>
      <xdr:row>19</xdr:row>
      <xdr:rowOff>190500</xdr:rowOff>
    </xdr:from>
    <xdr:to>
      <xdr:col>41</xdr:col>
      <xdr:colOff>247650</xdr:colOff>
      <xdr:row>29</xdr:row>
      <xdr:rowOff>161925</xdr:rowOff>
    </xdr:to>
    <xdr:sp macro="" textlink="">
      <xdr:nvSpPr>
        <xdr:cNvPr id="389" name="자유형: 도형 388">
          <a:extLst>
            <a:ext uri="{FF2B5EF4-FFF2-40B4-BE49-F238E27FC236}">
              <a16:creationId xmlns:a16="http://schemas.microsoft.com/office/drawing/2014/main" id="{00000000-0008-0000-1A00-000085010000}"/>
            </a:ext>
          </a:extLst>
        </xdr:cNvPr>
        <xdr:cNvSpPr/>
      </xdr:nvSpPr>
      <xdr:spPr>
        <a:xfrm>
          <a:off x="4781550" y="4505325"/>
          <a:ext cx="6257925" cy="2066925"/>
        </a:xfrm>
        <a:custGeom>
          <a:avLst/>
          <a:gdLst>
            <a:gd name="connsiteX0" fmla="*/ 4953000 w 6257925"/>
            <a:gd name="connsiteY0" fmla="*/ 2066925 h 2066925"/>
            <a:gd name="connsiteX1" fmla="*/ 6257925 w 6257925"/>
            <a:gd name="connsiteY1" fmla="*/ 2066925 h 2066925"/>
            <a:gd name="connsiteX2" fmla="*/ 6257925 w 6257925"/>
            <a:gd name="connsiteY2" fmla="*/ 0 h 2066925"/>
            <a:gd name="connsiteX3" fmla="*/ 0 w 6257925"/>
            <a:gd name="connsiteY3" fmla="*/ 0 h 2066925"/>
            <a:gd name="connsiteX4" fmla="*/ 0 w 6257925"/>
            <a:gd name="connsiteY4" fmla="*/ 1695450 h 2066925"/>
            <a:gd name="connsiteX5" fmla="*/ 209550 w 6257925"/>
            <a:gd name="connsiteY5" fmla="*/ 1695450 h 20669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6257925" h="2066925">
              <a:moveTo>
                <a:pt x="4953000" y="2066925"/>
              </a:moveTo>
              <a:lnTo>
                <a:pt x="6257925" y="2066925"/>
              </a:lnTo>
              <a:lnTo>
                <a:pt x="6257925" y="0"/>
              </a:lnTo>
              <a:lnTo>
                <a:pt x="0" y="0"/>
              </a:lnTo>
              <a:lnTo>
                <a:pt x="0" y="1695450"/>
              </a:lnTo>
              <a:lnTo>
                <a:pt x="209550" y="1695450"/>
              </a:lnTo>
            </a:path>
          </a:pathLst>
        </a:custGeom>
        <a:noFill/>
        <a:ln w="15875">
          <a:solidFill>
            <a:srgbClr val="0000FF"/>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33</xdr:col>
      <xdr:colOff>4641</xdr:colOff>
      <xdr:row>30</xdr:row>
      <xdr:rowOff>151923</xdr:rowOff>
    </xdr:from>
    <xdr:to>
      <xdr:col>36</xdr:col>
      <xdr:colOff>270230</xdr:colOff>
      <xdr:row>33</xdr:row>
      <xdr:rowOff>28202</xdr:rowOff>
    </xdr:to>
    <xdr:sp macro="" textlink="">
      <xdr:nvSpPr>
        <xdr:cNvPr id="390" name="직사각형 389">
          <a:extLst>
            <a:ext uri="{FF2B5EF4-FFF2-40B4-BE49-F238E27FC236}">
              <a16:creationId xmlns:a16="http://schemas.microsoft.com/office/drawing/2014/main" id="{00000000-0008-0000-1A00-000086010000}"/>
            </a:ext>
          </a:extLst>
        </xdr:cNvPr>
        <xdr:cNvSpPr/>
      </xdr:nvSpPr>
      <xdr:spPr>
        <a:xfrm>
          <a:off x="8662866" y="6771798"/>
          <a:ext cx="1065689" cy="504929"/>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ko-KR" altLang="en-US" sz="1100">
            <a:solidFill>
              <a:schemeClr val="tx1"/>
            </a:solidFill>
          </a:endParaRPr>
        </a:p>
      </xdr:txBody>
    </xdr:sp>
    <xdr:clientData/>
  </xdr:twoCellAnchor>
  <xdr:twoCellAnchor>
    <xdr:from>
      <xdr:col>33</xdr:col>
      <xdr:colOff>72677</xdr:colOff>
      <xdr:row>31</xdr:row>
      <xdr:rowOff>6548</xdr:rowOff>
    </xdr:from>
    <xdr:to>
      <xdr:col>34</xdr:col>
      <xdr:colOff>224719</xdr:colOff>
      <xdr:row>32</xdr:row>
      <xdr:rowOff>179114</xdr:rowOff>
    </xdr:to>
    <xdr:sp macro="" textlink="">
      <xdr:nvSpPr>
        <xdr:cNvPr id="391" name="직사각형 390">
          <a:extLst>
            <a:ext uri="{FF2B5EF4-FFF2-40B4-BE49-F238E27FC236}">
              <a16:creationId xmlns:a16="http://schemas.microsoft.com/office/drawing/2014/main" id="{00000000-0008-0000-1A00-000087010000}"/>
            </a:ext>
          </a:extLst>
        </xdr:cNvPr>
        <xdr:cNvSpPr/>
      </xdr:nvSpPr>
      <xdr:spPr>
        <a:xfrm>
          <a:off x="8730902" y="6835973"/>
          <a:ext cx="418742" cy="382116"/>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altLang="ko-KR" sz="1200">
              <a:solidFill>
                <a:sysClr val="windowText" lastClr="000000"/>
              </a:solidFill>
              <a:latin typeface="+mn-ea"/>
              <a:ea typeface="+mn-ea"/>
            </a:rPr>
            <a:t>~/-</a:t>
          </a:r>
          <a:endParaRPr lang="ko-KR" altLang="en-US" sz="1200">
            <a:solidFill>
              <a:sysClr val="windowText" lastClr="000000"/>
            </a:solidFill>
            <a:latin typeface="+mn-ea"/>
            <a:ea typeface="+mn-ea"/>
          </a:endParaRPr>
        </a:p>
      </xdr:txBody>
    </xdr:sp>
    <xdr:clientData/>
  </xdr:twoCellAnchor>
  <xdr:twoCellAnchor>
    <xdr:from>
      <xdr:col>35</xdr:col>
      <xdr:colOff>48604</xdr:colOff>
      <xdr:row>31</xdr:row>
      <xdr:rowOff>191330</xdr:rowOff>
    </xdr:from>
    <xdr:to>
      <xdr:col>36</xdr:col>
      <xdr:colOff>240144</xdr:colOff>
      <xdr:row>31</xdr:row>
      <xdr:rowOff>192440</xdr:rowOff>
    </xdr:to>
    <xdr:cxnSp macro="">
      <xdr:nvCxnSpPr>
        <xdr:cNvPr id="392" name="직선 화살표 연결선 391">
          <a:extLst>
            <a:ext uri="{FF2B5EF4-FFF2-40B4-BE49-F238E27FC236}">
              <a16:creationId xmlns:a16="http://schemas.microsoft.com/office/drawing/2014/main" id="{00000000-0008-0000-1A00-000088010000}"/>
            </a:ext>
          </a:extLst>
        </xdr:cNvPr>
        <xdr:cNvCxnSpPr/>
      </xdr:nvCxnSpPr>
      <xdr:spPr>
        <a:xfrm rot="16200000" flipH="1">
          <a:off x="9468794" y="6792190"/>
          <a:ext cx="1110" cy="458240"/>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editAs="oneCell">
    <xdr:from>
      <xdr:col>22</xdr:col>
      <xdr:colOff>54768</xdr:colOff>
      <xdr:row>78</xdr:row>
      <xdr:rowOff>95250</xdr:rowOff>
    </xdr:from>
    <xdr:to>
      <xdr:col>31</xdr:col>
      <xdr:colOff>544470</xdr:colOff>
      <xdr:row>109</xdr:row>
      <xdr:rowOff>199178</xdr:rowOff>
    </xdr:to>
    <xdr:pic>
      <xdr:nvPicPr>
        <xdr:cNvPr id="2" name="그림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a:stretch>
          <a:fillRect/>
        </a:stretch>
      </xdr:blipFill>
      <xdr:spPr>
        <a:xfrm>
          <a:off x="17695068" y="17383125"/>
          <a:ext cx="6661902" cy="6828578"/>
        </a:xfrm>
        <a:prstGeom prst="rect">
          <a:avLst/>
        </a:prstGeom>
      </xdr:spPr>
    </xdr:pic>
    <xdr:clientData/>
  </xdr:twoCellAnchor>
  <xdr:twoCellAnchor editAs="oneCell">
    <xdr:from>
      <xdr:col>19</xdr:col>
      <xdr:colOff>400050</xdr:colOff>
      <xdr:row>65</xdr:row>
      <xdr:rowOff>0</xdr:rowOff>
    </xdr:from>
    <xdr:to>
      <xdr:col>28</xdr:col>
      <xdr:colOff>470705</xdr:colOff>
      <xdr:row>77</xdr:row>
      <xdr:rowOff>37774</xdr:rowOff>
    </xdr:to>
    <xdr:pic>
      <xdr:nvPicPr>
        <xdr:cNvPr id="3" name="그림 2">
          <a:extLst>
            <a:ext uri="{FF2B5EF4-FFF2-40B4-BE49-F238E27FC236}">
              <a16:creationId xmlns:a16="http://schemas.microsoft.com/office/drawing/2014/main" id="{00000000-0008-0000-1B00-000003000000}"/>
            </a:ext>
          </a:extLst>
        </xdr:cNvPr>
        <xdr:cNvPicPr>
          <a:picLocks noChangeAspect="1"/>
        </xdr:cNvPicPr>
      </xdr:nvPicPr>
      <xdr:blipFill>
        <a:blip xmlns:r="http://schemas.openxmlformats.org/officeDocument/2006/relationships" r:embed="rId2"/>
        <a:stretch>
          <a:fillRect/>
        </a:stretch>
      </xdr:blipFill>
      <xdr:spPr>
        <a:xfrm>
          <a:off x="15982950" y="14439900"/>
          <a:ext cx="6242855" cy="2666674"/>
        </a:xfrm>
        <a:prstGeom prst="rect">
          <a:avLst/>
        </a:prstGeom>
      </xdr:spPr>
    </xdr:pic>
    <xdr:clientData/>
  </xdr:twoCellAnchor>
  <xdr:twoCellAnchor editAs="oneCell">
    <xdr:from>
      <xdr:col>12</xdr:col>
      <xdr:colOff>0</xdr:colOff>
      <xdr:row>77</xdr:row>
      <xdr:rowOff>95251</xdr:rowOff>
    </xdr:from>
    <xdr:to>
      <xdr:col>21</xdr:col>
      <xdr:colOff>668281</xdr:colOff>
      <xdr:row>101</xdr:row>
      <xdr:rowOff>146986</xdr:rowOff>
    </xdr:to>
    <xdr:pic>
      <xdr:nvPicPr>
        <xdr:cNvPr id="4" name="그림 3">
          <a:extLst>
            <a:ext uri="{FF2B5EF4-FFF2-40B4-BE49-F238E27FC236}">
              <a16:creationId xmlns:a16="http://schemas.microsoft.com/office/drawing/2014/main" id="{00000000-0008-0000-1B00-000004000000}"/>
            </a:ext>
          </a:extLst>
        </xdr:cNvPr>
        <xdr:cNvPicPr>
          <a:picLocks noChangeAspect="1"/>
        </xdr:cNvPicPr>
      </xdr:nvPicPr>
      <xdr:blipFill>
        <a:blip xmlns:r="http://schemas.openxmlformats.org/officeDocument/2006/relationships" r:embed="rId3"/>
        <a:stretch>
          <a:fillRect/>
        </a:stretch>
      </xdr:blipFill>
      <xdr:spPr>
        <a:xfrm>
          <a:off x="10782300" y="17164051"/>
          <a:ext cx="6840481" cy="5309535"/>
        </a:xfrm>
        <a:prstGeom prst="rect">
          <a:avLst/>
        </a:prstGeom>
      </xdr:spPr>
    </xdr:pic>
    <xdr:clientData/>
  </xdr:twoCellAnchor>
  <xdr:twoCellAnchor editAs="oneCell">
    <xdr:from>
      <xdr:col>10</xdr:col>
      <xdr:colOff>619125</xdr:colOff>
      <xdr:row>52</xdr:row>
      <xdr:rowOff>35719</xdr:rowOff>
    </xdr:from>
    <xdr:to>
      <xdr:col>19</xdr:col>
      <xdr:colOff>613565</xdr:colOff>
      <xdr:row>79</xdr:row>
      <xdr:rowOff>189756</xdr:rowOff>
    </xdr:to>
    <xdr:pic>
      <xdr:nvPicPr>
        <xdr:cNvPr id="5" name="그림 4">
          <a:extLst>
            <a:ext uri="{FF2B5EF4-FFF2-40B4-BE49-F238E27FC236}">
              <a16:creationId xmlns:a16="http://schemas.microsoft.com/office/drawing/2014/main" id="{00000000-0008-0000-1B00-000005000000}"/>
            </a:ext>
          </a:extLst>
        </xdr:cNvPr>
        <xdr:cNvPicPr>
          <a:picLocks noChangeAspect="1"/>
        </xdr:cNvPicPr>
      </xdr:nvPicPr>
      <xdr:blipFill>
        <a:blip xmlns:r="http://schemas.openxmlformats.org/officeDocument/2006/relationships" r:embed="rId4"/>
        <a:stretch>
          <a:fillRect/>
        </a:stretch>
      </xdr:blipFill>
      <xdr:spPr>
        <a:xfrm>
          <a:off x="9801225" y="11627644"/>
          <a:ext cx="6395240" cy="6069062"/>
        </a:xfrm>
        <a:prstGeom prst="rect">
          <a:avLst/>
        </a:prstGeom>
      </xdr:spPr>
    </xdr:pic>
    <xdr:clientData/>
  </xdr:twoCellAnchor>
  <xdr:twoCellAnchor editAs="oneCell">
    <xdr:from>
      <xdr:col>1</xdr:col>
      <xdr:colOff>149679</xdr:colOff>
      <xdr:row>3</xdr:row>
      <xdr:rowOff>138793</xdr:rowOff>
    </xdr:from>
    <xdr:to>
      <xdr:col>7</xdr:col>
      <xdr:colOff>647701</xdr:colOff>
      <xdr:row>33</xdr:row>
      <xdr:rowOff>176893</xdr:rowOff>
    </xdr:to>
    <xdr:pic>
      <xdr:nvPicPr>
        <xdr:cNvPr id="7" name="그림 6">
          <a:extLst>
            <a:ext uri="{FF2B5EF4-FFF2-40B4-BE49-F238E27FC236}">
              <a16:creationId xmlns:a16="http://schemas.microsoft.com/office/drawing/2014/main" id="{00000000-0008-0000-1B00-000007000000}"/>
            </a:ext>
          </a:extLst>
        </xdr:cNvPr>
        <xdr:cNvPicPr>
          <a:picLocks noChangeAspect="1"/>
        </xdr:cNvPicPr>
      </xdr:nvPicPr>
      <xdr:blipFill>
        <a:blip xmlns:r="http://schemas.openxmlformats.org/officeDocument/2006/relationships" r:embed="rId5"/>
        <a:stretch>
          <a:fillRect/>
        </a:stretch>
      </xdr:blipFill>
      <xdr:spPr>
        <a:xfrm>
          <a:off x="273504" y="843643"/>
          <a:ext cx="7260772" cy="63341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16</xdr:col>
      <xdr:colOff>181904</xdr:colOff>
      <xdr:row>48</xdr:row>
      <xdr:rowOff>0</xdr:rowOff>
    </xdr:from>
    <xdr:to>
      <xdr:col>21</xdr:col>
      <xdr:colOff>676275</xdr:colOff>
      <xdr:row>88</xdr:row>
      <xdr:rowOff>85726</xdr:rowOff>
    </xdr:to>
    <xdr:pic>
      <xdr:nvPicPr>
        <xdr:cNvPr id="62" name="그림 61">
          <a:extLst>
            <a:ext uri="{FF2B5EF4-FFF2-40B4-BE49-F238E27FC236}">
              <a16:creationId xmlns:a16="http://schemas.microsoft.com/office/drawing/2014/main" id="{00000000-0008-0000-1C00-00003E000000}"/>
            </a:ext>
          </a:extLst>
        </xdr:cNvPr>
        <xdr:cNvPicPr>
          <a:picLocks noChangeAspect="1"/>
        </xdr:cNvPicPr>
      </xdr:nvPicPr>
      <xdr:blipFill>
        <a:blip xmlns:r="http://schemas.openxmlformats.org/officeDocument/2006/relationships" r:embed="rId1"/>
        <a:stretch>
          <a:fillRect/>
        </a:stretch>
      </xdr:blipFill>
      <xdr:spPr>
        <a:xfrm>
          <a:off x="13535954" y="10001250"/>
          <a:ext cx="3923371" cy="6191251"/>
        </a:xfrm>
        <a:prstGeom prst="rect">
          <a:avLst/>
        </a:prstGeom>
      </xdr:spPr>
    </xdr:pic>
    <xdr:clientData/>
  </xdr:twoCellAnchor>
  <xdr:twoCellAnchor editAs="oneCell">
    <xdr:from>
      <xdr:col>16</xdr:col>
      <xdr:colOff>183573</xdr:colOff>
      <xdr:row>34</xdr:row>
      <xdr:rowOff>122959</xdr:rowOff>
    </xdr:from>
    <xdr:to>
      <xdr:col>21</xdr:col>
      <xdr:colOff>666750</xdr:colOff>
      <xdr:row>47</xdr:row>
      <xdr:rowOff>161925</xdr:rowOff>
    </xdr:to>
    <xdr:pic>
      <xdr:nvPicPr>
        <xdr:cNvPr id="64" name="그림 63">
          <a:extLst>
            <a:ext uri="{FF2B5EF4-FFF2-40B4-BE49-F238E27FC236}">
              <a16:creationId xmlns:a16="http://schemas.microsoft.com/office/drawing/2014/main" id="{00000000-0008-0000-1C00-000040000000}"/>
            </a:ext>
          </a:extLst>
        </xdr:cNvPr>
        <xdr:cNvPicPr>
          <a:picLocks noChangeAspect="1"/>
        </xdr:cNvPicPr>
      </xdr:nvPicPr>
      <xdr:blipFill>
        <a:blip xmlns:r="http://schemas.openxmlformats.org/officeDocument/2006/relationships" r:embed="rId2"/>
        <a:stretch>
          <a:fillRect/>
        </a:stretch>
      </xdr:blipFill>
      <xdr:spPr>
        <a:xfrm>
          <a:off x="13537623" y="7523884"/>
          <a:ext cx="3912177" cy="2420216"/>
        </a:xfrm>
        <a:prstGeom prst="rect">
          <a:avLst/>
        </a:prstGeom>
      </xdr:spPr>
    </xdr:pic>
    <xdr:clientData/>
  </xdr:twoCellAnchor>
  <xdr:twoCellAnchor editAs="oneCell">
    <xdr:from>
      <xdr:col>10</xdr:col>
      <xdr:colOff>143742</xdr:colOff>
      <xdr:row>64</xdr:row>
      <xdr:rowOff>116033</xdr:rowOff>
    </xdr:from>
    <xdr:to>
      <xdr:col>16</xdr:col>
      <xdr:colOff>161926</xdr:colOff>
      <xdr:row>88</xdr:row>
      <xdr:rowOff>57150</xdr:rowOff>
    </xdr:to>
    <xdr:pic>
      <xdr:nvPicPr>
        <xdr:cNvPr id="57" name="그림 56">
          <a:extLst>
            <a:ext uri="{FF2B5EF4-FFF2-40B4-BE49-F238E27FC236}">
              <a16:creationId xmlns:a16="http://schemas.microsoft.com/office/drawing/2014/main" id="{00000000-0008-0000-1C00-000039000000}"/>
            </a:ext>
          </a:extLst>
        </xdr:cNvPr>
        <xdr:cNvPicPr>
          <a:picLocks noChangeAspect="1"/>
        </xdr:cNvPicPr>
      </xdr:nvPicPr>
      <xdr:blipFill>
        <a:blip xmlns:r="http://schemas.openxmlformats.org/officeDocument/2006/relationships" r:embed="rId3"/>
        <a:stretch>
          <a:fillRect/>
        </a:stretch>
      </xdr:blipFill>
      <xdr:spPr>
        <a:xfrm>
          <a:off x="9154392" y="12308033"/>
          <a:ext cx="4361584" cy="3855892"/>
        </a:xfrm>
        <a:prstGeom prst="rect">
          <a:avLst/>
        </a:prstGeom>
      </xdr:spPr>
    </xdr:pic>
    <xdr:clientData/>
  </xdr:twoCellAnchor>
  <xdr:twoCellAnchor editAs="oneCell">
    <xdr:from>
      <xdr:col>10</xdr:col>
      <xdr:colOff>133351</xdr:colOff>
      <xdr:row>34</xdr:row>
      <xdr:rowOff>116032</xdr:rowOff>
    </xdr:from>
    <xdr:to>
      <xdr:col>16</xdr:col>
      <xdr:colOff>152400</xdr:colOff>
      <xdr:row>64</xdr:row>
      <xdr:rowOff>49474</xdr:rowOff>
    </xdr:to>
    <xdr:pic>
      <xdr:nvPicPr>
        <xdr:cNvPr id="58" name="그림 57">
          <a:extLst>
            <a:ext uri="{FF2B5EF4-FFF2-40B4-BE49-F238E27FC236}">
              <a16:creationId xmlns:a16="http://schemas.microsoft.com/office/drawing/2014/main" id="{00000000-0008-0000-1C00-00003A000000}"/>
            </a:ext>
          </a:extLst>
        </xdr:cNvPr>
        <xdr:cNvPicPr>
          <a:picLocks noChangeAspect="1"/>
        </xdr:cNvPicPr>
      </xdr:nvPicPr>
      <xdr:blipFill>
        <a:blip xmlns:r="http://schemas.openxmlformats.org/officeDocument/2006/relationships" r:embed="rId4"/>
        <a:stretch>
          <a:fillRect/>
        </a:stretch>
      </xdr:blipFill>
      <xdr:spPr>
        <a:xfrm>
          <a:off x="9144001" y="7516957"/>
          <a:ext cx="4362449" cy="4724517"/>
        </a:xfrm>
        <a:prstGeom prst="rect">
          <a:avLst/>
        </a:prstGeom>
      </xdr:spPr>
    </xdr:pic>
    <xdr:clientData/>
  </xdr:twoCellAnchor>
  <xdr:twoCellAnchor editAs="oneCell">
    <xdr:from>
      <xdr:col>1</xdr:col>
      <xdr:colOff>0</xdr:colOff>
      <xdr:row>3</xdr:row>
      <xdr:rowOff>0</xdr:rowOff>
    </xdr:from>
    <xdr:to>
      <xdr:col>9</xdr:col>
      <xdr:colOff>200025</xdr:colOff>
      <xdr:row>33</xdr:row>
      <xdr:rowOff>209550</xdr:rowOff>
    </xdr:to>
    <xdr:pic>
      <xdr:nvPicPr>
        <xdr:cNvPr id="2" name="그림 1">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5"/>
        <a:stretch>
          <a:fillRect/>
        </a:stretch>
      </xdr:blipFill>
      <xdr:spPr>
        <a:xfrm>
          <a:off x="123825" y="704850"/>
          <a:ext cx="8677275" cy="66865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16</xdr:col>
      <xdr:colOff>362880</xdr:colOff>
      <xdr:row>63</xdr:row>
      <xdr:rowOff>0</xdr:rowOff>
    </xdr:from>
    <xdr:to>
      <xdr:col>23</xdr:col>
      <xdr:colOff>171450</xdr:colOff>
      <xdr:row>108</xdr:row>
      <xdr:rowOff>33286</xdr:rowOff>
    </xdr:to>
    <xdr:pic>
      <xdr:nvPicPr>
        <xdr:cNvPr id="2" name="그림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a:stretch>
          <a:fillRect/>
        </a:stretch>
      </xdr:blipFill>
      <xdr:spPr>
        <a:xfrm>
          <a:off x="13497855" y="11972925"/>
          <a:ext cx="4609170" cy="3929011"/>
        </a:xfrm>
        <a:prstGeom prst="rect">
          <a:avLst/>
        </a:prstGeom>
      </xdr:spPr>
    </xdr:pic>
    <xdr:clientData/>
  </xdr:twoCellAnchor>
  <xdr:twoCellAnchor editAs="oneCell">
    <xdr:from>
      <xdr:col>16</xdr:col>
      <xdr:colOff>355023</xdr:colOff>
      <xdr:row>47</xdr:row>
      <xdr:rowOff>133350</xdr:rowOff>
    </xdr:from>
    <xdr:to>
      <xdr:col>23</xdr:col>
      <xdr:colOff>161925</xdr:colOff>
      <xdr:row>62</xdr:row>
      <xdr:rowOff>190500</xdr:rowOff>
    </xdr:to>
    <xdr:pic>
      <xdr:nvPicPr>
        <xdr:cNvPr id="3" name="그림 2">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2"/>
        <a:stretch>
          <a:fillRect/>
        </a:stretch>
      </xdr:blipFill>
      <xdr:spPr>
        <a:xfrm>
          <a:off x="13489998" y="9696450"/>
          <a:ext cx="4607502" cy="2247900"/>
        </a:xfrm>
        <a:prstGeom prst="rect">
          <a:avLst/>
        </a:prstGeom>
      </xdr:spPr>
    </xdr:pic>
    <xdr:clientData/>
  </xdr:twoCellAnchor>
  <xdr:twoCellAnchor editAs="oneCell">
    <xdr:from>
      <xdr:col>10</xdr:col>
      <xdr:colOff>29442</xdr:colOff>
      <xdr:row>63</xdr:row>
      <xdr:rowOff>0</xdr:rowOff>
    </xdr:from>
    <xdr:to>
      <xdr:col>16</xdr:col>
      <xdr:colOff>333376</xdr:colOff>
      <xdr:row>108</xdr:row>
      <xdr:rowOff>19340</xdr:rowOff>
    </xdr:to>
    <xdr:pic>
      <xdr:nvPicPr>
        <xdr:cNvPr id="4" name="그림 3">
          <a:extLst>
            <a:ext uri="{FF2B5EF4-FFF2-40B4-BE49-F238E27FC236}">
              <a16:creationId xmlns:a16="http://schemas.microsoft.com/office/drawing/2014/main" id="{00000000-0008-0000-1D00-000004000000}"/>
            </a:ext>
          </a:extLst>
        </xdr:cNvPr>
        <xdr:cNvPicPr>
          <a:picLocks noChangeAspect="1"/>
        </xdr:cNvPicPr>
      </xdr:nvPicPr>
      <xdr:blipFill>
        <a:blip xmlns:r="http://schemas.openxmlformats.org/officeDocument/2006/relationships" r:embed="rId3"/>
        <a:stretch>
          <a:fillRect/>
        </a:stretch>
      </xdr:blipFill>
      <xdr:spPr>
        <a:xfrm>
          <a:off x="8821017" y="11972925"/>
          <a:ext cx="4647334" cy="3915065"/>
        </a:xfrm>
        <a:prstGeom prst="rect">
          <a:avLst/>
        </a:prstGeom>
      </xdr:spPr>
    </xdr:pic>
    <xdr:clientData/>
  </xdr:twoCellAnchor>
  <xdr:twoCellAnchor editAs="oneCell">
    <xdr:from>
      <xdr:col>10</xdr:col>
      <xdr:colOff>28576</xdr:colOff>
      <xdr:row>33</xdr:row>
      <xdr:rowOff>209550</xdr:rowOff>
    </xdr:from>
    <xdr:to>
      <xdr:col>16</xdr:col>
      <xdr:colOff>323850</xdr:colOff>
      <xdr:row>62</xdr:row>
      <xdr:rowOff>190500</xdr:rowOff>
    </xdr:to>
    <xdr:pic>
      <xdr:nvPicPr>
        <xdr:cNvPr id="5" name="그림 4">
          <a:extLst>
            <a:ext uri="{FF2B5EF4-FFF2-40B4-BE49-F238E27FC236}">
              <a16:creationId xmlns:a16="http://schemas.microsoft.com/office/drawing/2014/main" id="{00000000-0008-0000-1D00-000005000000}"/>
            </a:ext>
          </a:extLst>
        </xdr:cNvPr>
        <xdr:cNvPicPr>
          <a:picLocks noChangeAspect="1"/>
        </xdr:cNvPicPr>
      </xdr:nvPicPr>
      <xdr:blipFill>
        <a:blip xmlns:r="http://schemas.openxmlformats.org/officeDocument/2006/relationships" r:embed="rId4"/>
        <a:stretch>
          <a:fillRect/>
        </a:stretch>
      </xdr:blipFill>
      <xdr:spPr>
        <a:xfrm>
          <a:off x="8820151" y="7391400"/>
          <a:ext cx="4638674" cy="4552950"/>
        </a:xfrm>
        <a:prstGeom prst="rect">
          <a:avLst/>
        </a:prstGeom>
      </xdr:spPr>
    </xdr:pic>
    <xdr:clientData/>
  </xdr:twoCellAnchor>
  <xdr:twoCellAnchor editAs="oneCell">
    <xdr:from>
      <xdr:col>0</xdr:col>
      <xdr:colOff>112057</xdr:colOff>
      <xdr:row>2</xdr:row>
      <xdr:rowOff>190500</xdr:rowOff>
    </xdr:from>
    <xdr:to>
      <xdr:col>4</xdr:col>
      <xdr:colOff>1098175</xdr:colOff>
      <xdr:row>33</xdr:row>
      <xdr:rowOff>201707</xdr:rowOff>
    </xdr:to>
    <xdr:pic>
      <xdr:nvPicPr>
        <xdr:cNvPr id="9" name="그림 8">
          <a:extLst>
            <a:ext uri="{FF2B5EF4-FFF2-40B4-BE49-F238E27FC236}">
              <a16:creationId xmlns:a16="http://schemas.microsoft.com/office/drawing/2014/main" id="{00000000-0008-0000-1D00-000009000000}"/>
            </a:ext>
          </a:extLst>
        </xdr:cNvPr>
        <xdr:cNvPicPr>
          <a:picLocks noChangeAspect="1"/>
        </xdr:cNvPicPr>
      </xdr:nvPicPr>
      <xdr:blipFill>
        <a:blip xmlns:r="http://schemas.openxmlformats.org/officeDocument/2006/relationships" r:embed="rId5"/>
        <a:stretch>
          <a:fillRect/>
        </a:stretch>
      </xdr:blipFill>
      <xdr:spPr>
        <a:xfrm>
          <a:off x="112057" y="683559"/>
          <a:ext cx="4515971" cy="6813177"/>
        </a:xfrm>
        <a:prstGeom prst="rect">
          <a:avLst/>
        </a:prstGeom>
      </xdr:spPr>
    </xdr:pic>
    <xdr:clientData/>
  </xdr:twoCellAnchor>
  <xdr:twoCellAnchor editAs="oneCell">
    <xdr:from>
      <xdr:col>5</xdr:col>
      <xdr:colOff>0</xdr:colOff>
      <xdr:row>3</xdr:row>
      <xdr:rowOff>0</xdr:rowOff>
    </xdr:from>
    <xdr:to>
      <xdr:col>10</xdr:col>
      <xdr:colOff>0</xdr:colOff>
      <xdr:row>33</xdr:row>
      <xdr:rowOff>209550</xdr:rowOff>
    </xdr:to>
    <xdr:pic>
      <xdr:nvPicPr>
        <xdr:cNvPr id="7" name="그림 6">
          <a:extLst>
            <a:ext uri="{FF2B5EF4-FFF2-40B4-BE49-F238E27FC236}">
              <a16:creationId xmlns:a16="http://schemas.microsoft.com/office/drawing/2014/main" id="{00000000-0008-0000-1D00-000007000000}"/>
            </a:ext>
          </a:extLst>
        </xdr:cNvPr>
        <xdr:cNvPicPr>
          <a:picLocks noChangeAspect="1"/>
        </xdr:cNvPicPr>
      </xdr:nvPicPr>
      <xdr:blipFill>
        <a:blip xmlns:r="http://schemas.openxmlformats.org/officeDocument/2006/relationships" r:embed="rId6"/>
        <a:stretch>
          <a:fillRect/>
        </a:stretch>
      </xdr:blipFill>
      <xdr:spPr>
        <a:xfrm>
          <a:off x="4648200" y="704850"/>
          <a:ext cx="4143375" cy="668655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13</xdr:col>
      <xdr:colOff>84323</xdr:colOff>
      <xdr:row>2</xdr:row>
      <xdr:rowOff>6137</xdr:rowOff>
    </xdr:from>
    <xdr:to>
      <xdr:col>22</xdr:col>
      <xdr:colOff>371303</xdr:colOff>
      <xdr:row>28</xdr:row>
      <xdr:rowOff>11206</xdr:rowOff>
    </xdr:to>
    <xdr:pic>
      <xdr:nvPicPr>
        <xdr:cNvPr id="12" name="그림 11">
          <a:extLst>
            <a:ext uri="{FF2B5EF4-FFF2-40B4-BE49-F238E27FC236}">
              <a16:creationId xmlns:a16="http://schemas.microsoft.com/office/drawing/2014/main" id="{00000000-0008-0000-1F00-00000C000000}"/>
            </a:ext>
          </a:extLst>
        </xdr:cNvPr>
        <xdr:cNvPicPr>
          <a:picLocks noChangeAspect="1"/>
        </xdr:cNvPicPr>
      </xdr:nvPicPr>
      <xdr:blipFill>
        <a:blip xmlns:r="http://schemas.openxmlformats.org/officeDocument/2006/relationships" r:embed="rId1"/>
        <a:stretch>
          <a:fillRect/>
        </a:stretch>
      </xdr:blipFill>
      <xdr:spPr>
        <a:xfrm>
          <a:off x="10528205" y="712108"/>
          <a:ext cx="6439010" cy="6907892"/>
        </a:xfrm>
        <a:prstGeom prst="rect">
          <a:avLst/>
        </a:prstGeom>
      </xdr:spPr>
    </xdr:pic>
    <xdr:clientData/>
  </xdr:twoCellAnchor>
  <xdr:twoCellAnchor editAs="oneCell">
    <xdr:from>
      <xdr:col>20</xdr:col>
      <xdr:colOff>0</xdr:colOff>
      <xdr:row>29</xdr:row>
      <xdr:rowOff>0</xdr:rowOff>
    </xdr:from>
    <xdr:to>
      <xdr:col>38</xdr:col>
      <xdr:colOff>493695</xdr:colOff>
      <xdr:row>43</xdr:row>
      <xdr:rowOff>37544</xdr:rowOff>
    </xdr:to>
    <xdr:pic>
      <xdr:nvPicPr>
        <xdr:cNvPr id="2" name="그림 1">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2"/>
        <a:stretch>
          <a:fillRect/>
        </a:stretch>
      </xdr:blipFill>
      <xdr:spPr>
        <a:xfrm>
          <a:off x="15259050" y="9267825"/>
          <a:ext cx="12838095" cy="4438095"/>
        </a:xfrm>
        <a:prstGeom prst="rect">
          <a:avLst/>
        </a:prstGeom>
      </xdr:spPr>
    </xdr:pic>
    <xdr:clientData/>
  </xdr:twoCellAnchor>
  <xdr:twoCellAnchor editAs="oneCell">
    <xdr:from>
      <xdr:col>17</xdr:col>
      <xdr:colOff>0</xdr:colOff>
      <xdr:row>29</xdr:row>
      <xdr:rowOff>0</xdr:rowOff>
    </xdr:from>
    <xdr:to>
      <xdr:col>29</xdr:col>
      <xdr:colOff>227543</xdr:colOff>
      <xdr:row>54</xdr:row>
      <xdr:rowOff>46636</xdr:rowOff>
    </xdr:to>
    <xdr:pic>
      <xdr:nvPicPr>
        <xdr:cNvPr id="3" name="그림 2">
          <a:extLst>
            <a:ext uri="{FF2B5EF4-FFF2-40B4-BE49-F238E27FC236}">
              <a16:creationId xmlns:a16="http://schemas.microsoft.com/office/drawing/2014/main" id="{00000000-0008-0000-1F00-000003000000}"/>
            </a:ext>
          </a:extLst>
        </xdr:cNvPr>
        <xdr:cNvPicPr>
          <a:picLocks noChangeAspect="1"/>
        </xdr:cNvPicPr>
      </xdr:nvPicPr>
      <xdr:blipFill>
        <a:blip xmlns:r="http://schemas.openxmlformats.org/officeDocument/2006/relationships" r:embed="rId3"/>
        <a:stretch>
          <a:fillRect/>
        </a:stretch>
      </xdr:blipFill>
      <xdr:spPr>
        <a:xfrm>
          <a:off x="13201650" y="9267825"/>
          <a:ext cx="8457143" cy="790476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26</xdr:col>
      <xdr:colOff>97785</xdr:colOff>
      <xdr:row>29</xdr:row>
      <xdr:rowOff>195327</xdr:rowOff>
    </xdr:from>
    <xdr:to>
      <xdr:col>35</xdr:col>
      <xdr:colOff>381564</xdr:colOff>
      <xdr:row>45</xdr:row>
      <xdr:rowOff>35663</xdr:rowOff>
    </xdr:to>
    <xdr:pic>
      <xdr:nvPicPr>
        <xdr:cNvPr id="2" name="그림 1">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a:stretch>
          <a:fillRect/>
        </a:stretch>
      </xdr:blipFill>
      <xdr:spPr>
        <a:xfrm>
          <a:off x="19615376" y="5044418"/>
          <a:ext cx="6518324" cy="4827972"/>
        </a:xfrm>
        <a:prstGeom prst="rect">
          <a:avLst/>
        </a:prstGeom>
      </xdr:spPr>
    </xdr:pic>
    <xdr:clientData/>
  </xdr:twoCellAnchor>
  <xdr:twoCellAnchor editAs="oneCell">
    <xdr:from>
      <xdr:col>26</xdr:col>
      <xdr:colOff>86592</xdr:colOff>
      <xdr:row>45</xdr:row>
      <xdr:rowOff>17319</xdr:rowOff>
    </xdr:from>
    <xdr:to>
      <xdr:col>44</xdr:col>
      <xdr:colOff>580288</xdr:colOff>
      <xdr:row>59</xdr:row>
      <xdr:rowOff>54864</xdr:rowOff>
    </xdr:to>
    <xdr:pic>
      <xdr:nvPicPr>
        <xdr:cNvPr id="3" name="그림 2">
          <a:extLst>
            <a:ext uri="{FF2B5EF4-FFF2-40B4-BE49-F238E27FC236}">
              <a16:creationId xmlns:a16="http://schemas.microsoft.com/office/drawing/2014/main" id="{00000000-0008-0000-2000-000003000000}"/>
            </a:ext>
          </a:extLst>
        </xdr:cNvPr>
        <xdr:cNvPicPr>
          <a:picLocks noChangeAspect="1"/>
        </xdr:cNvPicPr>
      </xdr:nvPicPr>
      <xdr:blipFill>
        <a:blip xmlns:r="http://schemas.openxmlformats.org/officeDocument/2006/relationships" r:embed="rId2"/>
        <a:stretch>
          <a:fillRect/>
        </a:stretch>
      </xdr:blipFill>
      <xdr:spPr>
        <a:xfrm>
          <a:off x="19604183" y="9854046"/>
          <a:ext cx="12962787" cy="4401727"/>
        </a:xfrm>
        <a:prstGeom prst="rect">
          <a:avLst/>
        </a:prstGeom>
      </xdr:spPr>
    </xdr:pic>
    <xdr:clientData/>
  </xdr:twoCellAnchor>
  <xdr:twoCellAnchor editAs="oneCell">
    <xdr:from>
      <xdr:col>13</xdr:col>
      <xdr:colOff>518527</xdr:colOff>
      <xdr:row>44</xdr:row>
      <xdr:rowOff>247548</xdr:rowOff>
    </xdr:from>
    <xdr:to>
      <xdr:col>26</xdr:col>
      <xdr:colOff>53344</xdr:colOff>
      <xdr:row>69</xdr:row>
      <xdr:rowOff>217780</xdr:rowOff>
    </xdr:to>
    <xdr:pic>
      <xdr:nvPicPr>
        <xdr:cNvPr id="4" name="그림 3">
          <a:extLst>
            <a:ext uri="{FF2B5EF4-FFF2-40B4-BE49-F238E27FC236}">
              <a16:creationId xmlns:a16="http://schemas.microsoft.com/office/drawing/2014/main" id="{00000000-0008-0000-2000-000004000000}"/>
            </a:ext>
          </a:extLst>
        </xdr:cNvPr>
        <xdr:cNvPicPr>
          <a:picLocks noChangeAspect="1"/>
        </xdr:cNvPicPr>
      </xdr:nvPicPr>
      <xdr:blipFill>
        <a:blip xmlns:r="http://schemas.openxmlformats.org/officeDocument/2006/relationships" r:embed="rId3"/>
        <a:stretch>
          <a:fillRect/>
        </a:stretch>
      </xdr:blipFill>
      <xdr:spPr>
        <a:xfrm>
          <a:off x="11030663" y="9772548"/>
          <a:ext cx="8540272" cy="785000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13</xdr:col>
      <xdr:colOff>67235</xdr:colOff>
      <xdr:row>2</xdr:row>
      <xdr:rowOff>0</xdr:rowOff>
    </xdr:from>
    <xdr:to>
      <xdr:col>25</xdr:col>
      <xdr:colOff>635957</xdr:colOff>
      <xdr:row>28</xdr:row>
      <xdr:rowOff>89646</xdr:rowOff>
    </xdr:to>
    <xdr:pic>
      <xdr:nvPicPr>
        <xdr:cNvPr id="4" name="그림 3">
          <a:extLst>
            <a:ext uri="{FF2B5EF4-FFF2-40B4-BE49-F238E27FC236}">
              <a16:creationId xmlns:a16="http://schemas.microsoft.com/office/drawing/2014/main" id="{00000000-0008-0000-2100-000004000000}"/>
            </a:ext>
          </a:extLst>
        </xdr:cNvPr>
        <xdr:cNvPicPr>
          <a:picLocks noChangeAspect="1"/>
        </xdr:cNvPicPr>
      </xdr:nvPicPr>
      <xdr:blipFill>
        <a:blip xmlns:r="http://schemas.openxmlformats.org/officeDocument/2006/relationships" r:embed="rId1"/>
        <a:stretch>
          <a:fillRect/>
        </a:stretch>
      </xdr:blipFill>
      <xdr:spPr>
        <a:xfrm>
          <a:off x="10219764" y="739588"/>
          <a:ext cx="8771428" cy="6264087"/>
        </a:xfrm>
        <a:prstGeom prst="rect">
          <a:avLst/>
        </a:prstGeom>
      </xdr:spPr>
    </xdr:pic>
    <xdr:clientData/>
  </xdr:twoCellAnchor>
  <xdr:twoCellAnchor>
    <xdr:from>
      <xdr:col>17</xdr:col>
      <xdr:colOff>11206</xdr:colOff>
      <xdr:row>12</xdr:row>
      <xdr:rowOff>280147</xdr:rowOff>
    </xdr:from>
    <xdr:to>
      <xdr:col>18</xdr:col>
      <xdr:colOff>33617</xdr:colOff>
      <xdr:row>19</xdr:row>
      <xdr:rowOff>11206</xdr:rowOff>
    </xdr:to>
    <xdr:sp macro="" textlink="">
      <xdr:nvSpPr>
        <xdr:cNvPr id="2" name="직사각형 1">
          <a:extLst>
            <a:ext uri="{FF2B5EF4-FFF2-40B4-BE49-F238E27FC236}">
              <a16:creationId xmlns:a16="http://schemas.microsoft.com/office/drawing/2014/main" id="{00000000-0008-0000-2100-000002000000}"/>
            </a:ext>
          </a:extLst>
        </xdr:cNvPr>
        <xdr:cNvSpPr/>
      </xdr:nvSpPr>
      <xdr:spPr>
        <a:xfrm>
          <a:off x="12897971" y="3529853"/>
          <a:ext cx="705970" cy="1927412"/>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67234</xdr:colOff>
      <xdr:row>36</xdr:row>
      <xdr:rowOff>56028</xdr:rowOff>
    </xdr:from>
    <xdr:to>
      <xdr:col>16</xdr:col>
      <xdr:colOff>150745</xdr:colOff>
      <xdr:row>38</xdr:row>
      <xdr:rowOff>209248</xdr:rowOff>
    </xdr:to>
    <xdr:pic>
      <xdr:nvPicPr>
        <xdr:cNvPr id="2" name="그림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a:stretch>
          <a:fillRect/>
        </a:stretch>
      </xdr:blipFill>
      <xdr:spPr>
        <a:xfrm>
          <a:off x="543484" y="8638053"/>
          <a:ext cx="2807661" cy="648520"/>
        </a:xfrm>
        <a:prstGeom prst="rect">
          <a:avLst/>
        </a:prstGeom>
      </xdr:spPr>
    </xdr:pic>
    <xdr:clientData/>
  </xdr:twoCellAnchor>
  <xdr:twoCellAnchor editAs="oneCell">
    <xdr:from>
      <xdr:col>3</xdr:col>
      <xdr:colOff>44823</xdr:colOff>
      <xdr:row>24</xdr:row>
      <xdr:rowOff>67235</xdr:rowOff>
    </xdr:from>
    <xdr:to>
      <xdr:col>14</xdr:col>
      <xdr:colOff>124407</xdr:colOff>
      <xdr:row>26</xdr:row>
      <xdr:rowOff>179295</xdr:rowOff>
    </xdr:to>
    <xdr:pic>
      <xdr:nvPicPr>
        <xdr:cNvPr id="3" name="그림 2">
          <a:extLst>
            <a:ext uri="{FF2B5EF4-FFF2-40B4-BE49-F238E27FC236}">
              <a16:creationId xmlns:a16="http://schemas.microsoft.com/office/drawing/2014/main" id="{00000000-0008-0000-2200-000003000000}"/>
            </a:ext>
          </a:extLst>
        </xdr:cNvPr>
        <xdr:cNvPicPr>
          <a:picLocks noChangeAspect="1"/>
        </xdr:cNvPicPr>
      </xdr:nvPicPr>
      <xdr:blipFill>
        <a:blip xmlns:r="http://schemas.openxmlformats.org/officeDocument/2006/relationships" r:embed="rId2"/>
        <a:stretch>
          <a:fillRect/>
        </a:stretch>
      </xdr:blipFill>
      <xdr:spPr>
        <a:xfrm>
          <a:off x="521073" y="5677460"/>
          <a:ext cx="2403684" cy="60736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11208</xdr:colOff>
      <xdr:row>35</xdr:row>
      <xdr:rowOff>70969</xdr:rowOff>
    </xdr:from>
    <xdr:to>
      <xdr:col>12</xdr:col>
      <xdr:colOff>174625</xdr:colOff>
      <xdr:row>37</xdr:row>
      <xdr:rowOff>191784</xdr:rowOff>
    </xdr:to>
    <xdr:pic>
      <xdr:nvPicPr>
        <xdr:cNvPr id="2" name="그림 1">
          <a:extLst>
            <a:ext uri="{FF2B5EF4-FFF2-40B4-BE49-F238E27FC236}">
              <a16:creationId xmlns:a16="http://schemas.microsoft.com/office/drawing/2014/main" id="{00000000-0008-0000-2300-000002000000}"/>
            </a:ext>
          </a:extLst>
        </xdr:cNvPr>
        <xdr:cNvPicPr>
          <a:picLocks noChangeAspect="1"/>
        </xdr:cNvPicPr>
      </xdr:nvPicPr>
      <xdr:blipFill>
        <a:blip xmlns:r="http://schemas.openxmlformats.org/officeDocument/2006/relationships" r:embed="rId1"/>
        <a:stretch>
          <a:fillRect/>
        </a:stretch>
      </xdr:blipFill>
      <xdr:spPr>
        <a:xfrm>
          <a:off x="487458" y="8481544"/>
          <a:ext cx="2087467" cy="616115"/>
        </a:xfrm>
        <a:prstGeom prst="rect">
          <a:avLst/>
        </a:prstGeom>
      </xdr:spPr>
    </xdr:pic>
    <xdr:clientData/>
  </xdr:twoCellAnchor>
  <xdr:twoCellAnchor editAs="oneCell">
    <xdr:from>
      <xdr:col>3</xdr:col>
      <xdr:colOff>33618</xdr:colOff>
      <xdr:row>50</xdr:row>
      <xdr:rowOff>78441</xdr:rowOff>
    </xdr:from>
    <xdr:to>
      <xdr:col>16</xdr:col>
      <xdr:colOff>117129</xdr:colOff>
      <xdr:row>52</xdr:row>
      <xdr:rowOff>231661</xdr:rowOff>
    </xdr:to>
    <xdr:pic>
      <xdr:nvPicPr>
        <xdr:cNvPr id="3" name="그림 2">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2"/>
        <a:stretch>
          <a:fillRect/>
        </a:stretch>
      </xdr:blipFill>
      <xdr:spPr>
        <a:xfrm>
          <a:off x="509868" y="12203766"/>
          <a:ext cx="2807661" cy="64852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3</xdr:col>
      <xdr:colOff>67234</xdr:colOff>
      <xdr:row>36</xdr:row>
      <xdr:rowOff>56028</xdr:rowOff>
    </xdr:from>
    <xdr:to>
      <xdr:col>16</xdr:col>
      <xdr:colOff>150745</xdr:colOff>
      <xdr:row>38</xdr:row>
      <xdr:rowOff>209248</xdr:rowOff>
    </xdr:to>
    <xdr:pic>
      <xdr:nvPicPr>
        <xdr:cNvPr id="2" name="그림 1">
          <a:extLst>
            <a:ext uri="{FF2B5EF4-FFF2-40B4-BE49-F238E27FC236}">
              <a16:creationId xmlns:a16="http://schemas.microsoft.com/office/drawing/2014/main" id="{00000000-0008-0000-2400-000002000000}"/>
            </a:ext>
          </a:extLst>
        </xdr:cNvPr>
        <xdr:cNvPicPr>
          <a:picLocks noChangeAspect="1"/>
        </xdr:cNvPicPr>
      </xdr:nvPicPr>
      <xdr:blipFill>
        <a:blip xmlns:r="http://schemas.openxmlformats.org/officeDocument/2006/relationships" r:embed="rId1"/>
        <a:stretch>
          <a:fillRect/>
        </a:stretch>
      </xdr:blipFill>
      <xdr:spPr>
        <a:xfrm>
          <a:off x="543484" y="8638053"/>
          <a:ext cx="2807661" cy="648520"/>
        </a:xfrm>
        <a:prstGeom prst="rect">
          <a:avLst/>
        </a:prstGeom>
      </xdr:spPr>
    </xdr:pic>
    <xdr:clientData/>
  </xdr:twoCellAnchor>
  <xdr:twoCellAnchor editAs="oneCell">
    <xdr:from>
      <xdr:col>3</xdr:col>
      <xdr:colOff>44823</xdr:colOff>
      <xdr:row>24</xdr:row>
      <xdr:rowOff>67235</xdr:rowOff>
    </xdr:from>
    <xdr:to>
      <xdr:col>14</xdr:col>
      <xdr:colOff>124407</xdr:colOff>
      <xdr:row>26</xdr:row>
      <xdr:rowOff>179295</xdr:rowOff>
    </xdr:to>
    <xdr:pic>
      <xdr:nvPicPr>
        <xdr:cNvPr id="3" name="그림 2">
          <a:extLst>
            <a:ext uri="{FF2B5EF4-FFF2-40B4-BE49-F238E27FC236}">
              <a16:creationId xmlns:a16="http://schemas.microsoft.com/office/drawing/2014/main" id="{00000000-0008-0000-2400-000003000000}"/>
            </a:ext>
          </a:extLst>
        </xdr:cNvPr>
        <xdr:cNvPicPr>
          <a:picLocks noChangeAspect="1"/>
        </xdr:cNvPicPr>
      </xdr:nvPicPr>
      <xdr:blipFill>
        <a:blip xmlns:r="http://schemas.openxmlformats.org/officeDocument/2006/relationships" r:embed="rId2"/>
        <a:stretch>
          <a:fillRect/>
        </a:stretch>
      </xdr:blipFill>
      <xdr:spPr>
        <a:xfrm>
          <a:off x="521073" y="5677460"/>
          <a:ext cx="2403684" cy="60736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3</xdr:col>
      <xdr:colOff>11208</xdr:colOff>
      <xdr:row>35</xdr:row>
      <xdr:rowOff>70969</xdr:rowOff>
    </xdr:from>
    <xdr:to>
      <xdr:col>12</xdr:col>
      <xdr:colOff>174625</xdr:colOff>
      <xdr:row>37</xdr:row>
      <xdr:rowOff>191784</xdr:rowOff>
    </xdr:to>
    <xdr:pic>
      <xdr:nvPicPr>
        <xdr:cNvPr id="2" name="그림 1">
          <a:extLst>
            <a:ext uri="{FF2B5EF4-FFF2-40B4-BE49-F238E27FC236}">
              <a16:creationId xmlns:a16="http://schemas.microsoft.com/office/drawing/2014/main" id="{00000000-0008-0000-2500-000002000000}"/>
            </a:ext>
          </a:extLst>
        </xdr:cNvPr>
        <xdr:cNvPicPr>
          <a:picLocks noChangeAspect="1"/>
        </xdr:cNvPicPr>
      </xdr:nvPicPr>
      <xdr:blipFill>
        <a:blip xmlns:r="http://schemas.openxmlformats.org/officeDocument/2006/relationships" r:embed="rId1"/>
        <a:stretch>
          <a:fillRect/>
        </a:stretch>
      </xdr:blipFill>
      <xdr:spPr>
        <a:xfrm>
          <a:off x="487458" y="8481544"/>
          <a:ext cx="2087467" cy="616115"/>
        </a:xfrm>
        <a:prstGeom prst="rect">
          <a:avLst/>
        </a:prstGeom>
      </xdr:spPr>
    </xdr:pic>
    <xdr:clientData/>
  </xdr:twoCellAnchor>
  <xdr:twoCellAnchor editAs="oneCell">
    <xdr:from>
      <xdr:col>3</xdr:col>
      <xdr:colOff>33618</xdr:colOff>
      <xdr:row>50</xdr:row>
      <xdr:rowOff>78441</xdr:rowOff>
    </xdr:from>
    <xdr:to>
      <xdr:col>16</xdr:col>
      <xdr:colOff>117129</xdr:colOff>
      <xdr:row>52</xdr:row>
      <xdr:rowOff>231661</xdr:rowOff>
    </xdr:to>
    <xdr:pic>
      <xdr:nvPicPr>
        <xdr:cNvPr id="3" name="그림 2">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2"/>
        <a:stretch>
          <a:fillRect/>
        </a:stretch>
      </xdr:blipFill>
      <xdr:spPr>
        <a:xfrm>
          <a:off x="509868" y="12203766"/>
          <a:ext cx="2807661" cy="64852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10</xdr:col>
      <xdr:colOff>157901</xdr:colOff>
      <xdr:row>0</xdr:row>
      <xdr:rowOff>115115</xdr:rowOff>
    </xdr:from>
    <xdr:to>
      <xdr:col>23</xdr:col>
      <xdr:colOff>209855</xdr:colOff>
      <xdr:row>18</xdr:row>
      <xdr:rowOff>132461</xdr:rowOff>
    </xdr:to>
    <xdr:pic>
      <xdr:nvPicPr>
        <xdr:cNvPr id="2" name="그림 1">
          <a:extLst>
            <a:ext uri="{FF2B5EF4-FFF2-40B4-BE49-F238E27FC236}">
              <a16:creationId xmlns:a16="http://schemas.microsoft.com/office/drawing/2014/main" id="{00000000-0008-0000-2600-000002000000}"/>
            </a:ext>
          </a:extLst>
        </xdr:cNvPr>
        <xdr:cNvPicPr>
          <a:picLocks noChangeAspect="1"/>
        </xdr:cNvPicPr>
      </xdr:nvPicPr>
      <xdr:blipFill>
        <a:blip xmlns:r="http://schemas.openxmlformats.org/officeDocument/2006/relationships" r:embed="rId1"/>
        <a:stretch>
          <a:fillRect/>
        </a:stretch>
      </xdr:blipFill>
      <xdr:spPr>
        <a:xfrm>
          <a:off x="11655136" y="115115"/>
          <a:ext cx="8938219" cy="6640022"/>
        </a:xfrm>
        <a:prstGeom prst="rect">
          <a:avLst/>
        </a:prstGeom>
      </xdr:spPr>
    </xdr:pic>
    <xdr:clientData/>
  </xdr:twoCellAnchor>
  <xdr:twoCellAnchor editAs="oneCell">
    <xdr:from>
      <xdr:col>10</xdr:col>
      <xdr:colOff>145678</xdr:colOff>
      <xdr:row>19</xdr:row>
      <xdr:rowOff>44823</xdr:rowOff>
    </xdr:from>
    <xdr:to>
      <xdr:col>23</xdr:col>
      <xdr:colOff>224119</xdr:colOff>
      <xdr:row>22</xdr:row>
      <xdr:rowOff>125989</xdr:rowOff>
    </xdr:to>
    <xdr:pic>
      <xdr:nvPicPr>
        <xdr:cNvPr id="3" name="그림 2">
          <a:extLst>
            <a:ext uri="{FF2B5EF4-FFF2-40B4-BE49-F238E27FC236}">
              <a16:creationId xmlns:a16="http://schemas.microsoft.com/office/drawing/2014/main" id="{00000000-0008-0000-2600-000003000000}"/>
            </a:ext>
          </a:extLst>
        </xdr:cNvPr>
        <xdr:cNvPicPr>
          <a:picLocks noChangeAspect="1"/>
        </xdr:cNvPicPr>
      </xdr:nvPicPr>
      <xdr:blipFill>
        <a:blip xmlns:r="http://schemas.openxmlformats.org/officeDocument/2006/relationships" r:embed="rId2"/>
        <a:stretch>
          <a:fillRect/>
        </a:stretch>
      </xdr:blipFill>
      <xdr:spPr>
        <a:xfrm>
          <a:off x="11642913" y="6846794"/>
          <a:ext cx="8964706" cy="61904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1060;&#50689;&#46041;\my%20documents\Documents%20and%20Settings\&#50980;&#44284;&#51109;1\My%20Documents\&#50896;&#48376;&#47784;&#51020;\Book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EZO&#44396;&#51116;&#55148;\2001%2001%20&#48376;&#48512;\&#45236;&#49436;&#47448;&#44032;&#48169;\9901&#44277;&#49324;&#54788;&#54889;\leejmn9904\REPORT0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50504;&#51008;&#50689;\shareddocs\Documents%20and%20Settings\daewoo\&#48148;&#53461;%20&#54868;&#47732;\Documents%20and%20Settings\daewoo\My%20Documents\&#50689;&#55141;&#50640;&#45320;&#51648;\&#46020;&#44553;&#44228;&#50557;\&#53076;&#50724;&#47217;&#50976;&#54868;\My%20Documents\2000&#45380;%20&#44204;&#51201;\&#53076;&#50724;&#47217;&#50976;&#54868;(&#51452;)\PR-11%20PROJECT\My%20Documents\BID-99\BID-97\BID\QT003-SSY-&#52384;&#44264;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51456;&#52384;\&#44277;&#50976;\DOO-SAN\&#48372;-&#44592;&#46181;\&#44592;&#4618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44204;&#51201;&#49892;\&#44592;&#53440;\&#44060;&#51064;\4.&#45824;&#47532;\&#51060;&#49457;&#54616;\FILE\&#50696;&#49328;F\&#50500;&#54028;&#53944;F\&#50504;&#50577;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54620;&#44397;&#51473;~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0.&#44221;&#51064;&#44148;&#49444;&#48376;&#48512;/2022&#45380;/10%20345%20&#49888;&#49884;&#54868;SS%20&#51204;&#47141;&#53685;&#49888;,&#53685;&#54633;&#48372;&#50504;(22.04&#44032;&#50517;)/&#49892;&#49884;&#49444;&#44228;/1-1%20&#48537;&#51076;1_&#44277;&#49324;&#49444;&#44228;&#49436;_&#51204;&#47141;&#53685;&#49888;_&#49888;&#49884;&#54868;(&#49884;&#54665;&#54408;&#51032;)-&#46020;&#47732;.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F:\WINDOWS\&#48148;&#53461;%20&#54868;&#47732;\WINDOWS\TEMP\SKT\4-47&#52264;\&#49444;&#44228;&#49436;(SKT4-4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Ntcom\work\MY\RETAIN\&#50745;&#48317;&#51312;&#44552;&#49688;&#5122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50976;&#52285;&#44260;\&#52572;&#51333;&#45225;&#54408;&#54868;&#51068;\My%20Documents\Book.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F:\WINDOWS\TEMP\SKT\4-47&#52264;\&#49444;&#44228;&#49436;(SKT4-4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44204;&#51201;&#49892;\&#44592;&#53440;\&#44060;&#51064;\4.&#45824;&#47532;\&#51060;&#49457;&#54616;\FILE\&#50696;&#49328;F\&#50500;&#54028;&#53944;F\&#44368;&#46041;&#54788;&#51109;.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50976;&#47548;&#44264;&#51312;"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1060;&#49457;&#44397;\D\My%20Documents\SKT\4-47&#52264;\&#49444;&#44228;&#49436;(SKT4-47.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51221;&#50896;&#51116;\&#44277;&#50976;&#48169;\&#51069;&#44256;&#50416;&#44592;\&#51076;&#53468;&#50756;\&#44204;&#51201;&#49892;\&#44592;&#53440;\&#44060;&#51064;\4.&#45824;&#47532;\&#51060;&#49457;&#54616;\FILE\&#44277;&#53685;&#48708;F\&#45432;&#50516;&#44277;&#5368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44608;&#50689;&#54616;\C\&#50689;&#46020;\&#51648;&#51109;&#51204;&#51452;\&#45817;&#49324;\&#44256;&#49888;&#51032;~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Home\HOME_D%20(D)\TMP\&#44036;&#51060;&#44277;&#49324;\&#45224;&#48512;Voip&#44277;&#49324;\&#51456;&#44277;&#45236;&#50669;\&#48120;&#51456;&#44277;\&#51648;&#54616;215\3TH\&#48276;&#48169;\3&#52264;&#49444;&#4422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Home\HOME_D%20(D)\TMP\&#44036;&#51060;&#44277;&#49324;\&#45224;&#48512;Voip&#44277;&#49324;\&#51456;&#44277;&#45236;&#50669;\&#48120;&#51456;&#44277;\&#51648;&#54616;215\3TH\&#49444;&#44228;&#48320;&#4422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44608;&#50689;&#54616;\C\EXCEL\&#51064;&#51077;&#49440;&#44277;&#49324;\98&#51064;&#51077;\MSOFFICE\EXCEL\APT&#44277;&#49324;\APT&#49444;&#4422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Lee-y\c\DATA\LEE-SY\EXCEL\SINLIM\GAHEUNG.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My%20Documents\2001&#45380;8&#50900;\UEC&#49444;&#48708;&#49892;&#54665;&#48320;&#4422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H:\Documents%20and%20Settings\&#49436;&#51221;&#54620;\My%20Documents\Book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4620;&#51652;&#49688;\D\&#51221;&#53468;&#44260;\99&#44305;&#53685;&#49888;&#48372;&#44053;&#44277;&#49324;\1-14&#52264;\&#54620;&#44397;&#51473;~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T:\PROPOSAL\ELEC\345KV\EULJOO\EUL.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E:\2ATM\2001\2001ATM&#49888;&#49444;&#44277;&#49324;\&#44277;&#49324;&#49444;&#44228;\&#44608;&#50689;&#48124;\&#50508;&#52852;&#53588;&#44032;&#44201;&#54364;.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F:\WINDOWS\Local%20Settings\Temporary%20Internet%20Files\Content.IE5\MSKUD56G\Temp\My%20Documents\&#45348;&#53944;&#50893;&#44288;&#47532;\&#48376;&#49324;Core&#44396;&#52629;\&#44608;&#50689;&#48124;\&#50508;&#52852;&#53588;&#44032;&#44201;&#54364;.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45824;&#44396;&#51204;&#47141;&#44288;&#47532;&#52376;\&#52397;&#53685;\&#51648;&#48152;&#51312;&#49324;\&#50896;&#48376;\&#50556;&#45796;&#49884;&#45796;&#51096;&#45224;.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A:\TL\DATA\TOTB4_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E:\DOS\&#54620;&#44397;&#51473;~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1221;&#52292;&#50685;\03&#45380;&#50629;&#47924;\DOS\&#54620;&#44397;&#51473;~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E:\&#49444;&#44228;\&#49884;&#55141;&#51064;&#51077;\&#45800;&#44032;&#49328;&#52636;&#44592;&#52488;.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F:\&#49444;&#44228;\&#49884;&#55141;&#51064;&#51077;\&#45800;&#44032;&#49328;&#52636;&#44592;&#52488;.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51221;&#52292;&#50685;\03&#45380;&#50629;&#47924;\&#51221;&#44508;&#53468;C\2002&#45380;&#46020;\&#44036;&#51060;&#44277;&#49324;\&#49436;&#48512;&#44368;&#54872;&#44592;\WINDOWS\&#48148;&#53461;%20&#54868;&#47732;\2&#48516;&#44592;\&#51221;&#49328;\&#45800;&#49692;&#44277;&#49324;.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51221;&#52292;&#50685;\03&#45380;&#50629;&#47924;\&#51221;&#44508;&#53468;C\2002&#45380;&#46020;\&#44036;&#51060;&#44277;&#49324;\&#49436;&#48512;&#44368;&#54872;&#44592;\PCS&#44288;&#47144;\&#44404;&#52265;&#49444;&#44228;.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Home\HOME_D%20(D)\&#51613;&#49444;&#44277;&#49324;&#44288;&#47144;\&#51221;&#49328;&#49436;\&#54620;&#51204;&#51221;&#49328;\&#52280;&#44256;&#51088;&#47308;\&#52992;&#51060;&#48660;tv&#54408;&#4948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C:\&#48320;&#54872;&#48512;\2022&#45380;&#46020;\1.%20&#44277;&#49324;&#50629;&#47924;\(25)&#49888;&#44032;&#54217;&#48320;&#54872;&#49548;('~25.06)\1.%20&#49444;&#44228;&#50857;&#50669;\&#46020;&#47732;&#54869;&#51064;&#50836;&#52397;_20230105\(22.12.20)%20&#49888;&#44032;&#54217;%20&#48320;&#54872;&#49548;-&#53685;&#49888;\&#49328;&#52636;&#49436;\02.&#53685;&#49888;\01.&#48376;&#44288;&#46041;\02-02.CATV%20&#49444;&#48708;&#44277;&#49324;-&#48376;&#44288;&#4604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44608;&#44600;&#49457;\MY%20DOCUMENTS\&#48149;&#52285;&#55148;\My%20eBooks\&#49440;&#47196;&#54788;&#54889;\&#49324;&#50629;&#49548;&#48372;&#44256;&#50857;&#51088;&#47308;\&#51077;&#47141;&#50857;&#51088;&#47308;\BACKUP\TLNEW.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F:\My%20Documents\98&#44277;&#49324;\&#49888;&#49464;&#44592;%20&#51204;&#49569;&#47581;\017(&#49888;&#49464;&#44592;)\&#49888;&#49464;&#44592;%20LK-A0%20&#49884;&#49444;&#44277;&#49324;\&#51221;&#49328;\&#51221;&#49328;&#45236;&#50669;&#49436;%20&#52572;&#51333;(LK-A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01%20&#44148;&#52629;&#49444;&#44228;&#49892;%20&#50629;&#47924;\56%20&#44400;&#49328;&#51648;&#49324;\01.24%20&#49328;&#52636;&#49436;\&#47560;&#44048;&#49328;&#52636;&#49436;\&#44400;&#49328;&#51648;&#49324;&#49324;&#50725;&#47560;&#44048;&#49328;&#52636;&#49436;_&#51060;&#50976;&#51652;&#44160;&#53664;.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50724;&#51008;&#51221;\d\My%20Documents\&#44148;&#52629;&#51020;&#54693;.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49888;&#54812;&#51221;\C\&#51221;&#51060;&#44732;\&#49884;&#49444;&#49324;&#50629;&#48512;\&#44277;&#49324;\&#54620;&#51204;&#44592;&#48324;\&#49888;&#49464;&#44592;1-6&#52264;\&#54620;&#44397;&#51473;~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44608;&#51116;&#48393;\PROJECT\hb\&#49340;&#49328;1&#51648;&#44396;(&#49892;&#49884;)\&#51452;&#44277;&#49688;&#47049;\&#51068;&#50948;&#45824;&#44032;9803.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51204;&#50857;&#52384;\&#54252;&#52380;&#49569;&#50864;&#49688;&#47049;\hb\&#49340;&#49328;1&#51648;&#44396;(&#49892;&#49884;)\&#51452;&#44277;&#49688;&#47049;\&#51068;&#50948;&#45824;&#44032;9803.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F:\down\4&#52264;&#49444;~1.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50864;&#46020;&#55148;\&#51333;&#51652;&#50532;&#46020;&#55148;\My%20Documents\&#46041;&#50500;&#49373;&#47749;\&#44277;&#49324;&#49444;&#44228;&#49436;(&#46041;&#50500;&#49373;&#47749;).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52268;&#49688;\C\DATA\&#44277;&#49324;&#44288;&#47532;\&#49688;&#49328;&#51228;&#44033;\&#51652;&#44256;&#49444;&#4422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C:\&#48320;&#54872;&#48512;\2022&#45380;&#46020;\1.%20&#44277;&#49324;&#50629;&#47924;\(25)&#49888;&#44032;&#54217;&#48320;&#54872;&#49548;('~25.06)\1.%20&#49444;&#44228;&#50857;&#50669;\&#46020;&#47732;&#54869;&#51064;&#50836;&#52397;_20230105\(22.12.20)%20&#49888;&#44032;&#54217;%20&#48320;&#54872;&#49548;-&#53685;&#49888;\&#49328;&#52636;&#49436;\02.&#53685;&#49888;\01.&#48376;&#44288;&#46041;\02-01.&#53685;&#54633;&#48176;&#49440;%20&#49444;&#48708;&#44277;&#49324;-&#48376;&#44288;&#46041;.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C:\&#48320;&#54872;&#48512;\2022&#45380;&#46020;\1.%20&#44277;&#49324;&#50629;&#47924;\(25)&#49888;&#44032;&#54217;&#48320;&#54872;&#49548;('~25.06)\1.%20&#49444;&#44228;&#50857;&#50669;\&#46020;&#47732;&#54869;&#51064;&#50836;&#52397;_20230105\(22.12.20)%20&#49888;&#44032;&#54217;%20&#48320;&#54872;&#49548;-&#53685;&#49888;\&#49328;&#52636;&#49436;\02.&#53685;&#49888;\01.&#48376;&#44288;&#46041;\02-06.A.V%20&#49444;&#48708;&#44277;&#49324;-&#48376;&#44288;&#46041;.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A:\LJK-LAST\ILWIDAGA.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51060;&#51652;&#49688;\C\LJS\&#50668;&#51032;&#49324;&#50725;&#51060;&#51204;\&#49688;&#48373;2100.xls" TargetMode="External"/></Relationships>
</file>

<file path=xl/externalLinks/_rels/externalLink52.xml.rels><?xml version="1.0" encoding="UTF-8" standalone="yes"?>
<Relationships xmlns="http://schemas.openxmlformats.org/package/2006/relationships"><Relationship Id="rId1" Type="http://schemas.microsoft.com/office/2006/relationships/xlExternalLinkPath/xlStartup" Target="A&#54788;&#51109;/&#49340;&#52380;&#54252;&#54616;&#49688;/&#52264;&#51665;&#44288;&#47196;4&#52264;.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F:\LAN\MIKEPWEB\ADDDOC\My%20Documents\0203&#45380;&#46020;&#50672;&#44036;&#55092;&#51204;&#44228;&#54925;&#52572;&#51333;&#48516;(345).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51221;&#52292;&#50685;\03&#45380;&#50629;&#47924;\&#51221;&#44508;&#53468;C\2002&#45380;&#46020;\&#44036;&#51060;&#44277;&#49324;\&#49436;&#48512;&#44368;&#54872;&#44592;\99&#45380;&#50948;&#53441;&#45824;&#44032;\3&#48516;&#44592;\&#51221;&#49328;\2&#48516;&#44592;\&#51221;&#49328;\&#45800;&#49692;&#44277;&#49324;.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C:\&#48320;&#54872;&#48512;\2022&#45380;&#46020;\1.%20&#44277;&#49324;&#50629;&#47924;\(25)&#49888;&#44032;&#54217;&#48320;&#54872;&#49548;('~25.06)\1.%20&#49444;&#44228;&#50857;&#50669;\&#46020;&#47732;&#54869;&#51064;&#50836;&#52397;_20230105\(22.12.20)%20&#49888;&#44032;&#54217;%20&#48320;&#54872;&#49548;-&#53685;&#49888;\&#49328;&#52636;&#49436;\02.&#53685;&#49888;\01.&#48376;&#44288;&#46041;\02-03.&#48169;&#49569;%20&#49444;&#48708;&#44277;&#49324;-&#48376;&#44288;&#4604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F:\Documents%20and%20Settings\&#49436;&#51221;&#54620;\My%20Documents\Book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50629;&#47924;\My%20Documents\&#48320;&#51204;&#49548;%20&#46020;&#47732;\&#44221;&#44592;&#51648;&#49324;%20&#51064;&#44228;&#48320;&#51204;&#49548;.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44608;&#50689;&#54616;\C\EXCEL\&#51064;&#51077;&#49440;&#44277;&#49324;\98&#51064;&#51077;\97&#51064;&#51077;&#49444;.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44053;&#49457;&#51116;\&#44608;&#44600;&#49457;\My%20Documents\&#49888;&#49436;&#49328;TL\jungsan\&#49888;&#49436;&#49328;\EXDATA\&#51204;&#51088;&#53685;&#49888;\&#44256;&#47161;&#49444;&#44228;.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E:\CLASSYS\proposals\7270%20+%20NMS%20Sampl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F:\WINDOWS\Local%20Settings\Temporary%20Internet%20Files\Content.IE5\MSKUD56G\CLASSYS\proposals\7270%20+%20NMS%20Sample.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C:\&#48320;&#54872;&#48512;\2022&#45380;&#46020;\1.%20&#44277;&#49324;&#50629;&#47924;\(25)&#49888;&#44032;&#54217;&#48320;&#54872;&#49548;('~25.06)\1.%20&#49444;&#44228;&#50857;&#50669;\&#46020;&#47732;&#54869;&#51064;&#50836;&#52397;_20230105\(22.12.20)%20&#49888;&#44032;&#54217;%20&#48320;&#54872;&#49548;-&#53685;&#49888;\&#49328;&#52636;&#49436;\02.&#53685;&#49888;\02.&#44221;&#48708;&#46041;\02-06.&#51452;&#52264;&#44288;&#51228;%20&#49444;&#48708;&#44277;&#49324;-&#44221;&#48708;&#46041;.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49324;&#50629;&#51333;&#54633;.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51060;&#49345;&#51456;\MY%20DOCUMENTS\My%20Documents\&#52649;&#45224;&#51060;&#46041;&#53685;&#49888;_&#45348;&#53944;&#50893;\&#44277;&#51221;&#48372;&#44256;.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Gslee\c\&#49444;&#44228;\SK\&#49444;&#44228;&#47749;&#49464;&#49436;(2-1&#5226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50504;&#51008;&#50689;\shareddocs\Documents%20and%20Settings\daewoo\&#48148;&#53461;%20&#54868;&#47732;\Documents%20and%20Settings\daewoo\My%20Documents\&#50689;&#55141;&#50640;&#45320;&#51648;\&#46020;&#44553;&#44228;&#50557;\&#45224;&#51312;&#51061;\&#50896;&#51088;&#47141;&#49324;&#50629;\&#49888;&#44256;&#47532;1_2\&#54408;&#49480;&#51201;&#50857;\cable&#54408;&#49480;&#54364;(&#54620;&#51204;).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51221;&#50896;&#51116;\&#44277;&#50976;&#48169;\&#48393;&#50508;1\&#50772;&#45796;&#44052;&#45796;\&#44400;&#50948;&#49444;&#4422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48149;&#46041;&#44396;\c\My%20Documents\&#51088;&#46041;&#54224;&#49353;&#49444;&#4422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Home\HOME_D%20(D)\2003\&#48512;&#49436;&#49888;&#49444;&#44288;&#47144;%20&#44277;&#49324;\data\&#49352;%20&#54260;&#45908;%20(2)\&#51064;&#52380;.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54620;&#51652;&#49688;\D\&#51221;&#53468;&#44260;\99&#44305;&#53685;&#49888;&#48372;&#44053;&#44277;&#49324;\1-14&#52264;\&#50517;&#52629;(1&#50900;15&#51068;)\&#51032;&#51221;&#48512;CK-A0&#52264;&#44592;&#48324;&#47749;&#49464;&#49436;.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48320;&#54872;&#48512;\2022&#45380;&#46020;\1.%20&#44277;&#49324;&#50629;&#47924;\(25)&#49888;&#44032;&#54217;&#48320;&#54872;&#49548;('~25.06)\1.%20&#49444;&#44228;&#50857;&#50669;\&#46020;&#47732;&#54869;&#51064;&#50836;&#52397;_20230105\(22.12.20)%20&#49888;&#44032;&#54217;%20&#48320;&#54872;&#49548;-&#53685;&#49888;\&#49328;&#52636;&#49436;\02.&#53685;&#49888;\01.&#48376;&#44288;&#46041;\02-07.CABLE%20TRAY%20&#49444;&#48708;&#44277;&#49324;-&#48376;&#44288;&#46041;.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A:\LJK-SI\4GONGGU.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E:\&#44221;&#51064;&#44148;&#49444;&#48376;&#48512;\2023&#45380;&#46020;\5_345kV%20&#49884;&#55141;&#51109;&#54788;&#51648;&#44396;%20&#51204;&#47141;&#53685;&#49888;&#49444;&#48708;(23.10&#50900;)_&#49444;&#44228;&#51473;\&#49892;&#49884;&#49444;&#44228;\1-2%20&#48537;&#51076;1_&#44277;&#49324;&#49444;&#44228;&#49436;_&#53685;&#54633;&#48372;&#50504;_&#51109;&#54788;&#51648;&#44396;(&#49884;&#54665;&#54408;&#51032;)-V1.xlsx"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0_&#49444;&#44228;&#54016;&#50629;&#47924;/2018&#45380;&#46020;/11_&#50857;&#51221;&#48516;&#44592;%20OPGW(1710)_&#50756;&#47308;/&#49884;&#54665;&#54408;&#51032;/&#50857;&#51221;&#48516;&#44592;%20opgw%20&#49884;&#54665;_&#48537;&#51076;/01_&#44277;&#49324;&#49892;&#49884;&#49444;&#44228;&#49436;(&#50857;&#51221;&#48516;&#44592;%20opgw)_&#52572;&#51333;&#49884;&#54665;&#54408;&#51032;.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ome\HOME_D%20(D)\&#47581;&#50868;&#50689;&#54016;\&#54616;&#45208;&#47196;&#44277;&#49324;\&#50577;&#49885;\&#44305;&#49444;&#44228;2.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F:\Lan\Sicomweb\Temp\&#49457;&#54788;-&#52488;&#50900;OPGW.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46041;&#46160;&#52380;\&#45236;&#50669;\&#54644;&#44400;5APT.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H:\d\DATA1\&#44277;&#49324;\2002\&#50689;&#49436;&#53685;&#49888;&#49892;&#51060;&#49444;\&#51060;&#49444;&#44277;&#49324;\&#49457;&#54788;-&#52488;&#50900;OPGW.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44608;&#50689;&#54616;\C\EXCEL\&#44148;&#44032;&#44277;&#49324;\97&#45380;&#46020;\97_4.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A:\LJK-LAST\&#49688;&#47785;&#45936;&#51060;&#53440;"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B:\MSOffice\Excel\&#49444;&#44228;&#49436;\&#49688;&#47785;&#51068;&#50948;.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Home\HOME_D%20(D)\&#51088;&#47308;\excel\&#49444;&#44228;&#49436;%20(&#46020;&#44553;&#51088;)2.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Home\HOME_D%20(D)\&#44053;&#48513;&#44396;&#52629;\&#51648;&#54616;&#52384;&#44277;&#49324;\4&#54840;&#49440;\4-1&#49444;&#44228;&#4943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E:\My%20Documents\&#51088;&#47308;\&#48372;&#50504;\2004&#45380;\&#49828;&#52852;&#45796;&#49892;&#44277;&#49324;\&#52280;&#44256;\&#45224;&#49436;&#50872;&#44368;&#52404;&#49444;&#44228;&#49436;.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52572;&#49437;&#54872;\C\&#49472;&#48516;&#54624;\&#51088;&#47308;&#48177;&#50629;\his99\&#51613;&#49444;&#44277;&#49324;\99&#51613;&#49444;&#44277;&#49324;\&#49444;&#44228;&#49436;\&#49444;&#44228;&#49436;1.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In\&#47196;&#52972;%20&#46356;&#49828;&#53356;%20(D)\hb\&#49340;&#49328;1&#51648;&#44396;(&#49892;&#49884;)\&#51452;&#44277;&#49688;&#47049;\&#51068;&#50948;&#45824;&#44032;980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H:\LJK-SI\1&#44277;&#44396;.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H:\LJK-EX~1\&#48152;&#50900;&#51312;&#44221;.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H:\d\DATA1\&#44277;&#49324;\2002\&#50689;&#49436;&#53685;&#49888;&#49892;&#51060;&#49444;\&#51060;&#49444;&#44277;&#49324;\&#50689;&#49436;&#53685;&#49888;&#49892;&#51060;&#49444;.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H:\KIM\ILWIDAGA.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ATA\Data2\&#44277;&#49324;\&#44305;&#51060;&#49444;&#51456;&#44277;.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F:\doc9802\&#49444;&#44228;\&#44036;&#51060;&#49444;&#44228;.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A:\LJK-EX\&#53664;&#47785;&#51068;&#50948;.XLS" TargetMode="External"/></Relationships>
</file>

<file path=xl/externalLinks/_rels/externalLink94.xml.rels><?xml version="1.0" encoding="UTF-8" standalone="yes"?>
<Relationships xmlns="http://schemas.openxmlformats.org/package/2006/relationships"><Relationship Id="rId1" Type="http://schemas.microsoft.com/office/2006/relationships/xlExternalLinkPath/xlPathMissing" Target="1.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HAIWOOK\&#50641;&#49828;&#54252;\hb\&#49340;&#49328;1&#51648;&#44396;(&#49892;&#49884;)\&#51452;&#44277;&#49688;&#47049;\&#51068;&#50948;&#45824;&#44032;980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51060;&#46041;&#51008;(2006)\&#44305;&#53685;&#49888;\&#44260;&#51648;&#50516;\&#49444;&#44228;&#49436;\WINDOWS\&#48148;&#53461;%20&#54868;&#47732;\d\DATA1\&#44277;&#49324;\2002\&#50689;&#49436;&#53685;&#49888;&#49892;&#51060;&#49444;\&#51060;&#49444;&#44277;&#49324;\&#50689;&#49436;&#53685;&#49888;&#49892;&#51060;&#49444;.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100.203.200.20\2712\2002&#45380;\3_&#54620;&#51204;&#49324;&#50629;&#51109;\1_&#51204;&#50896;&#48516;&#47532;\&#48176;&#51204;&#49324;&#50629;&#51109;_&#50756;&#47308;\0527_&#51204;&#50896;&#48516;&#47532;&#44277;&#49324;&#49444;&#44228;&#44592;&#48324;.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E:\&#51060;&#46041;&#51008;(2006)\&#44305;&#53685;&#49888;\&#44260;&#51648;&#50516;\&#49444;&#44228;&#49436;\WINDOWS\&#48148;&#53461;%20&#54868;&#47732;\Lan\Sicomweb\Temp\'00-07&#49688;&#48373;.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0.&#44221;&#51064;&#44148;&#49444;&#48376;&#48512;/2022&#45380;/02%20154%20&#50984;&#48513;SS%20&#51204;&#47141;&#53685;&#49888;,&#53685;&#54633;&#48372;&#50504;(22.04%20&#44032;&#50517;)_&#50756;&#47308;/&#49892;&#49884;&#49444;&#44228;/&#49884;&#54665;&#54408;&#51032;/1-2%20&#48537;&#51076;1_&#44277;&#49324;&#49444;&#44228;&#49436;_&#53685;&#54633;&#48372;&#50504;_&#50984;&#48513;SS(&#49884;&#54665;&#54408;&#51032;)-&#52572;&#51333;.xlsx"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K:\&#44032;&#54217;&#51648;&#51216;\PowerNet\&#44148;&#52629;\&#50896;&#48376;&#54028;&#51068;\3&#54200;_&#44148;&#52629;&#49444;&#44228;&#50696;&#49884;.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44608;&#50689;&#54616;\C\EXCEL\&#51064;&#51077;&#49440;&#44277;&#49324;\98&#51064;&#51077;\96-2.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H:\WORK\&#49888;&#50672;&#49885;\work1\lan&#49884;&#49444;\&#49688;&#48373;9806.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E:\&#51060;&#46041;&#51008;(2004)\2.%20&#44553;&#51204;&#51648;&#47161;&#49884;&#49828;&#53596;\6.%20&#51473;&#50896;,&#52380;&#54840;&#44553;&#51204;&#51648;&#47161;&#49884;&#49828;&#53596;\&#51068;&#48152;&#44277;&#49324;%20&#49444;&#44228;&#47484;%20&#54644;%20&#48389;&#49884;&#45796;\&#49457;&#54788;-&#52488;&#50900;OPGW.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51060;&#46041;&#51008;(2006)\&#44277;&#49324;&#49444;&#44228;&#49436;&#51089;&#49457;&#51648;&#52840;(2005.12)\&#44277;&#49324;&#49444;&#44228;&#49436;%20&#51089;&#49457;&#51648;&#52840;%20&#48372;&#44256;&#54408;&#51032;_&#48537;&#51076;\WORK&#44288;&#47144;\&#49444;&#44228;\2005&#45380;&#46020;%20&#44288;&#45236;%20Air%20Compressor%20&#51216;&#44160;.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E:\LJS\&#50668;&#51032;&#49324;&#50725;&#51060;&#51204;\&#49688;&#48373;2100.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44608;&#50689;&#54616;\C\EXCEL\&#51064;&#51077;&#49440;&#44277;&#49324;\98&#51064;&#51077;\MSOFFICE\EXCEL\APT&#44277;&#49324;\APT&#51222;&#49328;.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Home\HOME_D%20(D)\TMP\&#44036;&#51060;&#44277;&#49324;\&#45224;&#48512;Voip&#44277;&#49324;\&#51456;&#44277;&#45236;&#50669;\&#48120;&#51456;&#44277;\&#51648;&#54616;215\1&#52264;&#51221;&#49328;\EXCEL\&#51222;&#49328;95.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Doldokki\&#50864;&#52404;&#53685;\&#51473;&#50521;&#49440;&#53556;&#53412;\&#49688;&#47049;\13%20B(PSC)&#50504;&#46041;&#52380;\&#44368;&#45824;.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A:\LJK-LAST\TOWER\&#48169;&#50500;.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MIGA&#50976;&#51116;&#54984;\&#51088;&#50577;2&#51648;&#44396;\A\APT&#51088;&#47308;\&#50976;&#47548;&#53080;&#46020;.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44428;&#50689;&#44508;\&#44277;&#50976;\cwy\&#48324;&#54364;&#45236;&#50669;.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44608;&#50689;&#54616;\C\EXCEL\&#44148;&#44032;&#44277;&#49324;\97&#45380;&#46020;\97-3A.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54252;&#44592;&#45224;\&#51060;&#46041;&#54620;\&#49324;&#50629;&#49548;\&#49688;&#50896;&#51648;&#49324;\Documents%20and%20Settings\Administrator\My%20Documents\Book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C:\0_&#49444;&#44228;&#54016;&#50629;&#47924;\2017&#45380;&#46020;\12_&#47560;&#46020;&#48516;&#44592;%20OPGW_&#50756;&#47308;\&#49884;&#54665;&#54408;&#51032;\&#47560;&#46020;&#48516;&#44592;tl%20opgw&#49884;&#54665;_&#48537;&#51076;\01_&#44277;&#49324;&#49892;&#49884;&#49444;&#44228;&#49436;(&#47560;&#46020;&#48516;&#44592;%20opgw)_&#49884;&#54665;&#54408;&#51032;.xlsx"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H:\ARCH\&#49444;&#48708;.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A:\&#47560;&#51012;&#47560;&#45817;\excel(&#52572;&#51333;)\&#51312;&#44221;\&#44053;&#49436;&#44396;.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52572;&#51105;&#48512;\&#44204;&#51201;&#47560;&#45817;\&#50641;&#49472;data\&#45800;&#51648;\&#44257;&#48152;&#51221;&#51648;&#44396;.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Home\HOME_D%20(D)\CATV&#51648;&#51109;&#51060;&#51204;\&#51648;&#51109;&#51060;&#51204;.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51060;&#51473;&#44592;\C\&#47700;&#47217;&#51060;&#51116;&#54788;\&#51116;&#54788;&#51089;&#50629;&#49892;\&#44277;&#49324;&#49444;&#44228;&#49436;\2003&#45380;&#49444;&#44228;&#49436;\&#50500;&#53433;&#54844;&#49444;&#52824;\154Kv&#49324;&#52380;&#50808;1&#44060;&#50500;&#53433;&#54844;&#49444;&#52824;&#44277;&#49324;\DATA\&#44277;&#49324;&#44288;&#47532;\&#49688;&#49328;&#51228;&#44033;\&#51652;&#44256;&#49444;&#44228;.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52292;&#50528;&#44221;\C\&#50976;&#51648;&#45768;\&#51648;&#50669;&#48376;&#48512;&#54788;&#54889;&#51665;&#44228;.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51221;&#49692;&#46041;\2000&#44036;&#51060;&#44277;&#49324;\My%20Document\Bae\99&#44277;&#49324;\&#49436;&#52488;&#44396;\&#54617;&#49696;&#51652;&#55141;&#51116;&#45800;.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Home\HOME_D%20(D)\EXCEL\&#51064;&#51077;&#49440;&#44277;&#49324;\98&#51064;&#51077;\98-1&#51064;&#51077;.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44608;&#51064;&#47749;\C\&#44608;&#51064;&#47749;\&#51088;&#47308;&#49892;\&#46041;&#48512;&#51204;&#51088;\&#51116;&#49444;&#44228;\&#44204;&#51201;&#48708;&#44368;&#54364;\DATA\&#44204;&#51201;DATA\&#54532;&#47196;&#51229;&#53944;\&#48512;&#49328;&#50500;&#49884;&#50504;&#44172;&#51076;&#49440;&#49688;&#52492;\&#51068;&#50948;&#45824;&#44032;&#54364;.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H:\Lan\Sicomweb\Temp\'00-07&#49688;&#48373;.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E:\&#51060;&#46041;&#51008;(2006)\&#44305;&#53685;&#49888;\&#44260;&#51648;&#50516;\&#49444;&#44228;&#49436;\&#44277;&#49324;\&#44305;&#45800;&#44397;PITR\&#49888;&#51652;&#52380;&#48516;&#44592;(&#44305;PITR)\&#53468;&#50504;&#49888;&#49436;&#49328;&#49444;&#44228;(&#44305;PITR).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A:\&#51068;&#50948;&#45824;&#44032;9803.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Windows\Temporary%20Internet%20Files\Content.IE5\7VYX136F\Lan\Sicomweb\Temp\&#51204;&#50896;&#49444;&#48708;&#48372;&#44053;&#44277;&#49324;.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50980;&#44368;&#49688;\C\98&#45380;&#50641;&#49472;\98&#48376;&#50696;&#49328;\97&#50696;&#49328;(&#50504;).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K:\Documents%20and%20Settings\leenamjun\Local%20Settings\Temporary%20Internet%20Files\Content.IE5\CNFV2WP5\&#49352;%20&#54260;&#45908;\&#50689;&#46041;&#45236;&#50669;&#49436;(&#49472;&#51312;&#51221;).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51221;&#52292;&#50685;\03&#45380;&#50629;&#47924;\WINDOWS\TEMP\&#44277;&#49324;&#49444;&#44228;&#49436;_&#49888;&#49464;&#44592;15&#52264;_NEW.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E:\DATA1\&#44277;&#49324;\&#44048;&#49884;&#51221;&#48372;\&#44032;&#50577;&#49888;&#47548;&#50724;&#47448;&#45824;&#48169;\2001&#44032;&#50577;&#49888;&#47548;&#49444;&#44228;&#49436;.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E:\0_&#49444;&#44228;&#54016;&#50629;&#47924;\2014&#45380;&#46020;\7_&#54693;&#45224;&#47924;&#51064;&#48372;&#50504;\&#52280;&#44256;&#51088;&#47308;\&#49892;&#49884;&#49444;&#44228;%20&#49884;&#54665;(&#54693;&#45224;)%20&#47924;&#51064;&#48372;&#50504;)_&#48537;&#51076;\03-1%20&#44277;&#49324;&#49444;&#44228;&#49436;_&#54364;&#51456;&#54868;_(&#50724;&#49328;,&#47924;&#51064;&#48372;&#50504;)-20130107.xlsx"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ome\HOME_D%20(D)\LAN\SICOMWEB\&#52392;&#48512;&#54632;\&#50672;&#49885;.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F:\&#50715;&#45216;&#44732;\&#44277;&#49324;&#44288;&#47144;&#44277;&#53685;\&#54408;&#49480;&#44288;&#47144;\&#54408;&#49480;(&#52992;&#51060;&#48660;TV&#50948;&#51452;).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H:\&#50715;&#45216;&#44732;\&#44277;&#49324;&#44288;&#47144;&#44277;&#53685;\&#54408;&#49480;&#44288;&#47144;\&#54408;&#49480;(&#52992;&#51060;&#48660;TV&#50948;&#51452;).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44608;&#50689;&#54616;\C\&#50689;&#46020;\&#51648;&#51109;&#51204;&#51452;\&#45817;&#49324;\&#49688;&#50857;&#44032;&#48512;\&#50516;&#45224;&#44277;&#50896;.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Home\HOME_D%20(D)\KBC\&#45224;97&#51648;~1\&#51648;&#49884;&#49436;.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Gslee\c\&#44277;&#49324;\&#45236;&#44277;&#49324;\&#44221;&#46041;&#51228;&#50557;\&#49892;&#49324;&#44208;&#44284;(&#50640;&#51060;&#49828;&#53580;&#53356;&#45440;&#47196;&#51648;).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E:\&#50629;&#47924;&#54028;&#51068;\LAN&#44277;&#49324;\2003LAN&#44277;&#49324;\2ATM\2001\2001ATM&#49888;&#49444;&#44277;&#49324;\&#44277;&#49324;&#49444;&#44228;\&#44608;&#50689;&#48124;\&#50508;&#52852;&#53588;&#44032;&#44201;&#54364;.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44608;&#50689;&#54616;\C\EXCEL\&#51648;&#51109;&#51204;&#51452;\99&#51648;&#51109;\&#44148;&#44032;&#44277;&#49324;\97&#45380;&#46020;\MPCCON.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A:\LJK-LAST\&#49885;&#51116;&#51064;&#48512;"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A:\&#46041;&#46160;&#52380;\&#45236;&#50669;\BYN\JUNKIDAN.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Home\HOME_D%20(D)\&#44036;&#51060;&#44277;&#49324;\2001\&#51204;&#47141;&#44144;&#47000;&#49548;&#51116;&#49437;&#54364;&#49884;&#46321;&#44060;&#49440;&#44277;&#49324;\&#44596;&#44553;&#44396;&#52629;&#44277;&#49324;\&#54408;&#49480;(KDN0301).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49436;&#51221;&#51068;\99&#49345;&#48152;&#51613;&#49444;\&#51060;&#51008;&#49453;\&#50641;&#49472;\&#44036;&#51060;&#44277;&#49324;.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Rome\&#47196;&#47560;&#44277;&#50976;\&#50629;&#47924;&#54028;&#51068;\&#51089;&#50629;&#51473;\&#54788;&#45824;&#50644;&#51648;&#45768;&#50612;&#47553;\&#51064;&#52380;&#48373;&#54633;\&#48708;&#54028;&#44340;%20&#45236;&#50669;&#49436;\&#52280;&#51312;&#51088;&#47308;\Ref\&#51064;&#52380;&#48373;&#54633;%20&#48708;&#54028;&#44340;%20&#50857;&#50669;&#45236;&#50669;&#49436;\&#50857;&#50669;&#48169;\&#51064;&#52380;&#48373;&#54633;\&#44277;&#49324;&#49444;&#44228;&#49436;\Foam&#49548;&#54868;&#49444;&#48708;\&#44032;&#47560;&#50864;&#51648;\WINDOWS\TEMP\&#44608;&#49345;&#51652;2&#51665;\&#44592;&#53440;&#48512;&#45824;1&#52264;\&#48169;&#49688;&#47196;&#47588;&#47549;\&#49444;&#44228;&#49436;\&#53664;&#47785;\&#49444;&#44228;&#49436;\My%20Documents\HYUNWOO\&#44032;&#47932;&#49444;&#44228;.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49436;&#51221;&#51068;\99&#49345;&#48152;&#51613;&#49444;\&#44277;&#49324;&#44288;&#47144;\99&#44277;&#49324;\&#44053;&#45224;&#49548;&#44508;&#47784;\SJI.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A:\LJK-LAST\TOWER\&#44592;&#45392;&#53457;.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Hdfile\haus\excellent\&#49892;&#44204;&#51201;\&#48716;&#46972;&#53944;\&#46020;&#44257;E-1.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51312;&#54840;&#50672;\99&#44305;&#49444;&#44228;%20&#51333;\%6099&#46300;&#47548;&#46972;&#51064;\&#44592;&#48324;1.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A:\LJK-LAST\4CHA.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51060;&#51008;&#50864;\D\Lan\Sicomweb\Temp\&#51204;&#50896;&#49444;&#48708;&#48372;&#44053;&#44277;&#49324;.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H:\d\DATA1\&#44277;&#49324;\2002\&#50689;&#49436;&#53685;&#49888;&#49892;&#51060;&#49444;\&#51060;&#49444;&#44277;&#49324;\&#51204;&#50896;&#49444;&#48708;&#48372;&#44053;&#44277;&#49324;.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E:\&#51060;&#46041;&#51008;(2006)\&#44305;&#53685;&#49888;\&#44260;&#51648;&#50516;\&#49444;&#44228;&#49436;\WINDOWS\&#48148;&#53461;%20&#54868;&#47732;\d\DATA1\&#44277;&#49324;\2002\&#50689;&#49436;&#53685;&#49888;&#49892;&#51060;&#49444;\&#51060;&#49444;&#44277;&#49324;\&#51204;&#50896;&#49444;&#48708;&#48372;&#44053;&#44277;&#49324;.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49888;&#50672;&#49885;\WORK\My%20Documents\&#49444;&#44228;&#49324;&#48376;1.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51204;&#51116;&#50689;\&#49688;&#47049;\W_EXCEL\ABUT\source\PILE.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A:\&#46041;&#46160;&#52380;\&#45236;&#50669;\&#48152;&#50900;&#51312;&#44221;.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I:\Work\&#45236;&#50669;&#49436;\&#44032;&#49444;&#44228;&#49436;\AC-14\&#52572;&#51221;&#54984;\&#52572;&#51221;&#54984;\3,4&#54840;&#44592;\&#50689;&#55141;3,4&#54840;&#44592;&#46020;&#44553;&#52628;&#51221;\&#50689;&#55141;3,4(&#53552;&#48712;&#48156;&#51204;&#44592;&#44277;&#49324;&#49444;&#44228;&#49436;)\&#49328;&#51221;&#48169;&#50504;\&#53468;&#50504;78\&#44277;&#49324;&#48708;%20&#49328;&#51221;\&#50857;&#49688;&#54872;&#44221;&#44148;&#47932;.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52264;&#46041;&#54732;\&#50629;&#47924;\WORK\&#50629;&#47924;\&#44277;&#49324;&#44288;&#47532;\2001&#49345;&#48152;&#44592;&#45432;&#51076;.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H:\WINDOWS\TEMP\&#54408;&#49480;(KDN0301).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E:\My%20Documents\&#51088;&#47308;\&#48372;&#50504;\2004&#45380;\&#49828;&#52852;&#45796;&#49892;&#44277;&#49324;\&#51076;&#50689;&#49453;\&#54924;&#49324;\&#51452;&#51109;&#52824;\&#52285;&#50896;kepa99&#49548;&#50836;&#47932;&#51088;.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A:\&#53441;&#54785;\ESC&#44288;&#47144;\1&#52264;ESC\ESC1.XLW"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Home\HOME_D%20(D)\My%20Documents\2001&#45380;%20&#53804;&#50997;&#51088;1.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49569;&#54788;&#50857;\&#54532;&#47196;&#51229;&#53944;\hb\&#49340;&#49328;1&#51648;&#44396;(&#49892;&#49884;)\&#51452;&#44277;&#49688;&#47049;\&#51068;&#50948;&#45824;&#44032;9803.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44608;&#49345;&#50864;\C\My%20Documents\&#49444;&#44228;&#49436;\2002&#45380;\&#50528;&#51088;&#52397;&#49548;\DATA\&#44277;&#49324;&#44288;&#47532;\&#49688;&#49328;&#51228;&#44033;\&#51652;&#44256;&#49444;&#44228;.XLS" TargetMode="External"/></Relationships>
</file>

<file path=xl/externalLinks/_rels/externalLink167.xml.rels><?xml version="1.0" encoding="UTF-8" standalone="yes"?>
<Relationships xmlns="http://schemas.openxmlformats.org/package/2006/relationships"><Relationship Id="rId1" Type="http://schemas.microsoft.com/office/2006/relationships/xlExternalLinkPath/xlPathMissing" Target="&#49888;%20&#49444;&#44228;&#49436;1"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44608;&#50689;&#54616;\C\EXCEL\&#51452;&#48512;&#51025;&#45824;.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F:\Users\bok\Desktop\Documents%20and%20Settings\ee\Local%20Settings\Temp\_AZTMP0_\Documents%20and%20Settings\ee\Local%20Settings\Temporary%20Internet%20Files\Content.IE5\OB2HG7SN\&#44277;&#50976;\2002file\&#49569;&#51204;&#49440;&#48372;&#54840;&#48152;(&#50976;&#54840;,&#49440;&#46020;)\OFFICE%20&#50577;&#49885;\N&#36035;&#63963;-&#32887;"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A:\LJK-LAST\1GONGGU.XLS" TargetMode="External"/></Relationships>
</file>

<file path=xl/externalLinks/_rels/externalLink171.xml.rels><?xml version="1.0" encoding="UTF-8" standalone="yes"?>
<Relationships xmlns="http://schemas.openxmlformats.org/package/2006/relationships"><Relationship Id="rId1" Type="http://schemas.microsoft.com/office/2006/relationships/xlExternalLinkPath/xlPathMissing" Target="&#54633;&#52380;&#45236;&#50669;"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51221;&#52292;&#50685;\03&#45380;&#50629;&#47924;\My%20Documents\98&#44277;&#49324;\&#49888;&#49464;&#44592;%20&#51204;&#49569;&#47581;\017(&#49888;&#49464;&#44592;)\&#49888;&#49464;&#44592;%20&#50504;&#50577;&#44368;&#54872;&#44397;\&#49444;&#44228;\&#44277;&#49324;&#51648;&#49884;&#49436;(&#48372;&#44288;&#50857;).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44428;&#50724;&#49453;\2004&#45380;\1207\IKSAN\&#51061;&#49328;&#49444;&#44228;.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Jnj\&#44608;&#49688;&#54840;\&#51204;&#44592;(06)\&#50976;&#51648;&#52285;&#44256;%20&#54588;&#47280;&#52840;&#49444;&#52824;%20&#50808;%203&#44148;&#44277;&#49324;\&#44608;&#49688;&#54840;\&#51204;&#44592;(05)\&#48740;\1&#48156;&#49324;&#47924;&#49892;%20&#48324;&#44288;1,%202&#52789;%20&#51204;&#50896;&#48372;&#44053;&#44277;&#49324;.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E:\My%20Documents\98&#44277;&#49324;\&#49888;&#49464;&#44592;%20&#51204;&#49569;&#47581;\017(&#49888;&#49464;&#44592;)\&#49888;&#49464;&#44592;%20&#50504;&#50577;&#44368;&#54872;&#44397;\&#49444;&#44228;\&#44277;&#49324;&#51648;&#49884;&#49436;(&#48372;&#44288;&#50857;).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H:\LAN\SICOMWEB\&#52392;&#48512;&#54632;\iso-8859.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A:\Office\&#48149;&#44592;&#49324;%20&#51089;&#50629;&#50857;\DATA\MR-BAB\&#50641;&#49472;DATA\3.&#48176;&#49688;&#44277;\&#48149;&#44592;&#49324;-&#48512;&#45824;&#44277;.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52572;&#51105;&#48512;\&#44204;&#51201;&#47560;&#45817;\My%20Documents\&#53664;&#47785;&#44204;&#51201;2000\2000&#53664;&#47785;&#44204;&#51201;\20000525%20%20&#54868;&#54633;&#45824;&#44368;(&#51204;&#45224;)\My%20Documents\KHDATA\&#44288;&#47532;&#52397;\&#50896;&#45224;-&#50872;&#51652;\&#50896;&#45224;&#50872;&#51652;&#45209;&#52272;&#45236;&#50669;(99.4.13%20&#48512;&#49328;&#52397;).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A:\WINDOWS\TEMP\RarDira3.9it\&#44592;&#49457;&#45236;&#50669;.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H:\data\&#44277;&#49324;\2004\&#50984;&#54788;&#53412;&#54256;\&#44277;&#49324;&#49444;&#44228;&#49436;&#46041;&#49436;&#50872;.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Home\HOME_D%20(D)\WINDOWS\&#48148;&#53461;%20&#54868;&#47732;\&#44277;&#49324;\&#44277;&#49324;&#50577;&#49885;\&#51648;&#51109;&#51204;&#51452;&#51060;&#49444;&#44277;&#49324;\&#54408;&#49480;\&#54028;&#50892;&#53092;&#54408;&#49480;.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Home\HOME_D%20(D)\TMP\&#54620;&#51204;%20&#44036;&#51060;&#44277;&#49324;&#49444;&#44228;&#49436;.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44428;&#50724;&#49453;\2004&#45380;\1207\&#50980;&#53468;&#51008;\&#44592;&#49457;&#51665;&#44228;.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51221;&#52292;&#50685;\03&#45380;&#50629;&#47924;\My%20Documents\98&#44277;&#49324;\&#49888;&#49464;&#44592;%20&#51204;&#49569;&#47581;\017(&#49888;&#49464;&#44592;)\LK-A4%20&#51204;&#49569;&#47581;\LK-A4%20&#44592;&#50504;&#49436;.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Home\HOME_D%20(D)\User\99&#45380;&#46020;&#44277;&#49324;\&#44256;&#44061;&#51025;&#45824;&#49892;&#51060;&#51204;\&#44256;&#44061;&#51025;&#45824;&#49892;&#51060;&#51204;&#49444;&#44228;.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A:\LJK-LAST\BANG-A\&#48169;&#50500;&#47672;&#47532;.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A:\&#49688;&#48373;03.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C:\Program%20Files\NATEON\BIN\22DC744A094CAF69A81350625A72C54D\download\DATA\EXCEL\HEXCEL\95WORK\HEXCEL\95_1&#45236;&#50669;.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54620;&#49345;&#55148;\2001\&#54620;&#50620;zip\MYD\&#50900;&#49569;Ic&#44368;1.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54728;&#44508;\&#54728;&#44508;\XX\&#45236;&#50669;&#49436;\&#44277;&#51452;\&#44277;&#51452;&#44288;&#47144;\&#48324;&#54364;&#45236;&#50669;.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E:\My%20Documents\2001&#45380;%20&#53804;&#50997;&#51088;1.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http://www31.hanmail.net/&#45800;&#44032;&#44228;&#50557;/&#49444;&#44228;&#45236;&#50669;/&#50689;&#51333;&#52636;&#51109;&#49548;-&#50689;&#51333;SS(&#44032;&#44277;).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Home\HOME_D%20(D)\2003\&#48512;&#49436;&#49888;&#49444;&#44288;&#47144;%20&#44277;&#49324;\data\&#44396;&#45236;&#53685;&#49888;\&#49888;&#49436;&#49328;&#49444;&#44228;.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54252;&#44592;&#45224;\&#51060;&#46041;&#54620;\&#49324;&#50629;&#49548;\&#49688;&#50896;&#51648;&#49324;\ADM16(&#47336;&#49832;&#53944;2.5G)%20&#44277;&#49324;&#49444;&#44228;&#49436;.xls"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50504;&#54952;&#48124;\C\Windows\&#48148;&#53461;%20&#54868;&#47732;\98&#49328;&#52636;&#51088;&#47308;\&#46160;&#47336;&#45367;\&#46041;&#50577;sh3&#52264;.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48149;&#51221;&#54872;\(0725)&#50504;&#49328;&#49888;\Book1.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C:\Users\Administrator\AppData\Local\Microsoft\Windows\INetCache\IE\OHOSB5GX\&#48537;&#51076;1.%20&#46041;&#54644;&#50504;%231%20&#48320;&#54872;&#49548;%20&#51204;&#47141;&#53685;&#49888;&#49444;&#48708;%20&#49884;&#49444;&#44277;&#49324;%20&#49444;&#44228;&#49436;_&#44160;&#53664;.xlsx"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C:\Users\Administrator\Desktop\HVDC%20&#44148;&#49444;\&#9733;FACTS_&#50577;&#50577;,%20&#49888;&#53468;&#48177;%20&#52280;&#44256;&#51088;&#47308;\&#50577;&#50577;_&#51204;&#47141;&#53685;&#49888;\1.%20&#44277;&#49324;&#49444;&#44228;&#49436;_&#49888;&#50577;&#50577;%20&#51204;&#47141;&#53685;&#49888;_&#52572;&#51333;.xlsx"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44608;&#49436;&#54616;/202307_HVDC&#48376;&#48512;&#48320;&#54872;&#48512;/&#44277;&#49324;&#50629;&#47924;/&#9733;%20&#49888;&#44032;&#54217;%20&#51204;&#47141;&#53685;&#49888;/&#51204;&#47141;&#53685;&#49888;/&#49892;&#49884;&#49444;&#44228;/&#48537;&#51076;1-1_&#49444;&#44228;&#49436;_&#44552;&#50516;_&#51204;&#47141;&#53685;&#49888;(&#49884;&#54665;&#54408;&#51032;&#52572;&#51333;).xlsx"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C:\Users\Administrator\Desktop\HVDC%20&#44148;&#49444;\&#9733;&#48320;&#54872;&#49548;_&#46041;&#54644;&#50504;%231_&#44396;&#45236;&#53685;&#49888;\3-3.%20&#44228;&#50557;\1.%20&#44228;&#50557;&#44288;&#47144;&#49436;&#47448;\&#48537;&#51076;2.%20&#46041;&#54644;&#50504;%231%20&#48320;&#54872;&#49548;%20&#44396;&#45236;&#53685;&#49888;&#49444;&#48708;%20&#49884;&#49444;&#44277;&#49324;%20&#49444;&#44228;&#4943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3"/>
      <sheetName val="#REF"/>
      <sheetName val="A-4"/>
      <sheetName val="점수계산1-2"/>
      <sheetName val="하수급견적대비"/>
      <sheetName val="내역"/>
      <sheetName val="터파기및재료"/>
      <sheetName val="본선 토공 분배표"/>
      <sheetName val="전체"/>
      <sheetName val="관급자재"/>
      <sheetName val="산출내역서집계표"/>
      <sheetName val="직공비"/>
      <sheetName val="정렬"/>
      <sheetName val="식재수량표"/>
      <sheetName val="시설수량표"/>
      <sheetName val="노임단가"/>
      <sheetName val="수목단가"/>
      <sheetName val="자재단가"/>
      <sheetName val="원가계산"/>
      <sheetName val="적현로"/>
      <sheetName val="제경비"/>
      <sheetName val="부하(성남)"/>
      <sheetName val="부하계산서"/>
      <sheetName val="토공사"/>
      <sheetName val="설계"/>
      <sheetName val="입찰안"/>
      <sheetName val="BID"/>
      <sheetName val="1.토공"/>
      <sheetName val="설계내역"/>
      <sheetName val="주형"/>
      <sheetName val="2공구하도급내역서"/>
      <sheetName val="변경내역서"/>
      <sheetName val="계약내역서"/>
      <sheetName val="초기화면"/>
      <sheetName val="토량1-1"/>
      <sheetName val="Sheet1"/>
      <sheetName val="을"/>
      <sheetName val="실행철강하도"/>
      <sheetName val="일반공사"/>
      <sheetName val="MOTOR"/>
      <sheetName val="CODE"/>
      <sheetName val="총공사내역서"/>
      <sheetName val="세부내역"/>
      <sheetName val="도급"/>
      <sheetName val="WORK"/>
      <sheetName val="노임"/>
      <sheetName val="전화번호DATA (2001)"/>
      <sheetName val="투찰"/>
      <sheetName val="식재인부"/>
      <sheetName val="데이타"/>
      <sheetName val="1공구산출내역서"/>
      <sheetName val="1,2공구원가계산서"/>
      <sheetName val="2공구산출내역"/>
      <sheetName val="공사비집계"/>
      <sheetName val="준검 내역서"/>
      <sheetName val="집계표"/>
      <sheetName val="지급자재"/>
      <sheetName val="6공구(당초)"/>
      <sheetName val="부대내역"/>
      <sheetName val="제출내역 (2)"/>
      <sheetName val="3차설계"/>
      <sheetName val="배수공 주요자재 집계표"/>
      <sheetName val="106C0300"/>
      <sheetName val="수량집계"/>
      <sheetName val="Macro1"/>
      <sheetName val="Macro2"/>
      <sheetName val="세골재  T2 변경 현황"/>
      <sheetName val="설 계"/>
      <sheetName val="차액보증"/>
      <sheetName val="결과조달"/>
      <sheetName val="수목표준대가"/>
      <sheetName val="일위대가(가설)"/>
      <sheetName val="공사개요"/>
      <sheetName val="내역서"/>
      <sheetName val="단가비교표"/>
      <sheetName val="70%"/>
      <sheetName val="2000년1차"/>
      <sheetName val="청천내"/>
      <sheetName val="2000전체분"/>
      <sheetName val="현경"/>
      <sheetName val="입찰"/>
      <sheetName val="간선계산"/>
      <sheetName val="노무비"/>
      <sheetName val="소야공정계획표"/>
      <sheetName val="관리,공감"/>
      <sheetName val="요율"/>
      <sheetName val="자재대"/>
      <sheetName val="노무"/>
      <sheetName val="장비"/>
      <sheetName val="자재"/>
      <sheetName val="산근1"/>
      <sheetName val="자압"/>
      <sheetName val="대비"/>
      <sheetName val="공사비예산서(토목분)"/>
      <sheetName val="200"/>
      <sheetName val="원가계산서"/>
      <sheetName val="토공"/>
      <sheetName val="배수공"/>
      <sheetName val="구조물공"/>
      <sheetName val="포장공"/>
      <sheetName val="부대공"/>
      <sheetName val="부안일위"/>
      <sheetName val="단가"/>
      <sheetName val="충주"/>
      <sheetName val="건축내역"/>
      <sheetName val="경상비"/>
      <sheetName val="전기"/>
      <sheetName val="투찰추정"/>
      <sheetName val="일위대가"/>
      <sheetName val="입출재고현황 (2)"/>
      <sheetName val="JUCKEYK"/>
      <sheetName val="단위단가"/>
      <sheetName val="일위대가(1)"/>
      <sheetName val="밸브설치"/>
      <sheetName val="구조물철거타공정이월"/>
      <sheetName val="도급내역"/>
      <sheetName val="도급금액"/>
      <sheetName val="재노경"/>
      <sheetName val="도급내역5+800"/>
      <sheetName val="연결임시"/>
      <sheetName val="금액내역서"/>
      <sheetName val="실행대비"/>
      <sheetName val="Sheet1 (2)"/>
      <sheetName val="일위대가표"/>
      <sheetName val="갑지"/>
      <sheetName val="1공구 건정토건 토공"/>
      <sheetName val="전체도급"/>
      <sheetName val="경상직원"/>
      <sheetName val="정공공사"/>
      <sheetName val="냉연집계"/>
      <sheetName val="부대대비"/>
      <sheetName val="조건"/>
      <sheetName val="1공구 건정토건 철콘"/>
      <sheetName val="일위대가(계측기설치)"/>
      <sheetName val="기초자료"/>
      <sheetName val="여과지동"/>
      <sheetName val="9509"/>
      <sheetName val="조명일위"/>
      <sheetName val="물가자료"/>
      <sheetName val="붙임3(당초)"/>
      <sheetName val="붙임1"/>
      <sheetName val="설계기준"/>
      <sheetName val="하중계산"/>
      <sheetName val="안정성검토"/>
      <sheetName val="단면가정"/>
      <sheetName val="설계조건"/>
      <sheetName val="공내역"/>
      <sheetName val="DIAPHRAGM"/>
      <sheetName val="현장관리비 산출내역"/>
      <sheetName val="조건표"/>
      <sheetName val="JUCK"/>
      <sheetName val="공량산출서"/>
      <sheetName val="Sheet2"/>
      <sheetName val="Sheet3"/>
      <sheetName val="총내역서"/>
      <sheetName val="붙임5"/>
      <sheetName val="붙임8(6회신규)"/>
      <sheetName val="붙임2"/>
      <sheetName val="6PILE  (돌출)"/>
      <sheetName val="전체분 내역서(전북도) 최종"/>
      <sheetName val="5+154+5+232(내역서)"/>
      <sheetName val="제잡비"/>
      <sheetName val="산출근거"/>
      <sheetName val="평가데이터"/>
      <sheetName val="원도급내역"/>
      <sheetName val="퍼스트"/>
      <sheetName val="교사기준면적(초등)"/>
      <sheetName val="도급준공현황"/>
      <sheetName val="전체8회"/>
      <sheetName val="붙임6"/>
      <sheetName val="붙임8"/>
      <sheetName val="집계표(토목)"/>
      <sheetName val="정부노임단가"/>
      <sheetName val="자압1"/>
      <sheetName val="내역률노무비"/>
      <sheetName val="수량산출"/>
      <sheetName val="단위수량"/>
      <sheetName val="INPUT"/>
      <sheetName val="맨홀토공산출"/>
      <sheetName val="1-2공구"/>
      <sheetName val="3BL공동구 수량"/>
      <sheetName val="공구"/>
      <sheetName val="말뚝지지력산정"/>
      <sheetName val="코드표"/>
      <sheetName val="단가조사"/>
      <sheetName val="총괄내역서"/>
      <sheetName val="단가표"/>
      <sheetName val="재료비"/>
      <sheetName val="공통단가"/>
      <sheetName val="운반비"/>
      <sheetName val="2000,9월 일위"/>
      <sheetName val="조경일람"/>
      <sheetName val="단가일람"/>
      <sheetName val="붙임10 (신규)"/>
      <sheetName val="주요자재집계표"/>
      <sheetName val="저"/>
      <sheetName val="SG"/>
      <sheetName val="강교(Sub)"/>
      <sheetName val="DATE"/>
      <sheetName val="1-1"/>
      <sheetName val="역T형옹벽(3.0)"/>
      <sheetName val="전기일위대가"/>
      <sheetName val="기계경비(시간당)"/>
      <sheetName val="램머"/>
      <sheetName val="Baby일위대가"/>
      <sheetName val="단가산출"/>
      <sheetName val="전선 및 전선관"/>
      <sheetName val="구천"/>
      <sheetName val="VXXXXX"/>
      <sheetName val="입상내역"/>
      <sheetName val="원가계산 (2)"/>
      <sheetName val="붙임4(당초)"/>
      <sheetName val="98NS-N"/>
      <sheetName val="가공비"/>
      <sheetName val="붙임3"/>
      <sheetName val="전체내역서"/>
      <sheetName val="기시행(3차ES)"/>
      <sheetName val="토 적 표"/>
      <sheetName val="타설(철근,진동기)"/>
      <sheetName val="변경기성내역 (2)"/>
      <sheetName val="여성복지회관(통신)"/>
      <sheetName val="설계예산서(토목,전기)"/>
      <sheetName val="1단계"/>
      <sheetName val="기기리스트"/>
      <sheetName val="약품설비"/>
      <sheetName val="약품공급2"/>
      <sheetName val="전 체"/>
      <sheetName val="설계예산"/>
      <sheetName val="상하차비용(기계상차)"/>
      <sheetName val="수간보호"/>
      <sheetName val="물가시세"/>
      <sheetName val="내역(동백-갈곡)"/>
      <sheetName val="건축내역서"/>
      <sheetName val="설비내역서"/>
      <sheetName val="전기내역서"/>
      <sheetName val="내역서 (2)"/>
      <sheetName val="토목공사"/>
      <sheetName val="전체철근집계"/>
      <sheetName val="U-TYPE(1)"/>
      <sheetName val="TYPE-A"/>
      <sheetName val="총집계표"/>
      <sheetName val="전체내역서(전체-3차공사)"/>
      <sheetName val="경영상태"/>
      <sheetName val="품셈TABLE"/>
      <sheetName val="횡배수관토공수량"/>
      <sheetName val="수량산출서"/>
      <sheetName val="결재갑지"/>
      <sheetName val="일위대가(건축)"/>
      <sheetName val="자료입력"/>
      <sheetName val="총물량"/>
      <sheetName val="원가계산서(남측)"/>
      <sheetName val="토목내역"/>
      <sheetName val="설계명세서"/>
      <sheetName val="예산명세서"/>
      <sheetName val="작업내용 내역서"/>
      <sheetName val="붙임7"/>
      <sheetName val="데리네이타현황"/>
      <sheetName val="붙임7(당초)"/>
      <sheetName val="통로box전기"/>
      <sheetName val="전기집계"/>
      <sheetName val="Ȥ_x0000_䠀嘐_x0000_"/>
      <sheetName val=""/>
      <sheetName val="_x0008_"/>
      <sheetName val="건축내㙘_x001c_"/>
      <sheetName val="토량1-栱"/>
      <sheetName val="토량1-"/>
      <sheetName val="깨기"/>
      <sheetName val="구조물"/>
      <sheetName val="집계"/>
      <sheetName val="토량1-⠱"/>
      <sheetName val="건축내㜘."/>
      <sheetName val="Shee_x0002__x0000_"/>
      <sheetName val="건축내_x0002__x0000_"/>
      <sheetName val="Ȥ_x0000_퀀㮳_x0000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1.설계조건"/>
      <sheetName val="Eq_ Mobilization"/>
      <sheetName val="수입"/>
      <sheetName val="유림골조"/>
      <sheetName val="Sheet1"/>
      <sheetName val="VC2 9.98"/>
      <sheetName val="공통비총괄표"/>
      <sheetName val="11월 실적"/>
      <sheetName val="내역서"/>
      <sheetName val="h-013211-2"/>
      <sheetName val="slipsumpR"/>
      <sheetName val="TUAS"/>
      <sheetName val="STAND20"/>
      <sheetName val="직원동원SCH"/>
      <sheetName val="#REF"/>
      <sheetName val="Cash2"/>
      <sheetName val="Z"/>
      <sheetName val="간접비 총괄표"/>
      <sheetName val="잡비계산"/>
      <sheetName val="손익차9월2"/>
      <sheetName val="VC2 8.98"/>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Sheet2"/>
      <sheetName val="기구조직"/>
      <sheetName val="데이타"/>
      <sheetName val="식재인부"/>
      <sheetName val="집계표(육상)"/>
      <sheetName val="지급자재"/>
      <sheetName val="집계표"/>
      <sheetName val="P.M 별"/>
      <sheetName val="개시전표"/>
      <sheetName val="공사집계"/>
      <sheetName val="카메라"/>
      <sheetName val="TOWER 12TON"/>
      <sheetName val="TOWER 10TON"/>
      <sheetName val="BM"/>
      <sheetName val="상 부"/>
      <sheetName val="공문"/>
      <sheetName val="예정(3)"/>
      <sheetName val="공사비총괄표"/>
      <sheetName val="목표세부명세"/>
      <sheetName val="REPORT07"/>
      <sheetName val="사업부배부A"/>
      <sheetName val="JIB CRANE,HOIST"/>
      <sheetName val="청산공사"/>
      <sheetName val="금액내역서"/>
      <sheetName val="8.PILE  (돌출)"/>
      <sheetName val="6PILE  (돌출)"/>
      <sheetName val="기준"/>
      <sheetName val="발주코드"/>
      <sheetName val="PRO_DCI"/>
      <sheetName val="ELEC_DCI"/>
      <sheetName val="INST_DCI"/>
      <sheetName val="2000.11월설계내역"/>
      <sheetName val="주관사업"/>
      <sheetName val="수주추진리스트"/>
      <sheetName val="TK판매비impact"/>
      <sheetName val="TK판매비"/>
      <sheetName val="수주집계"/>
      <sheetName val="TK외판매비impact"/>
      <sheetName val="Vendors"/>
      <sheetName val="운반"/>
      <sheetName val="단중"/>
      <sheetName val="품셈표"/>
      <sheetName val="1.1 Overall Progress"/>
      <sheetName val="Sheet4"/>
      <sheetName val="을지"/>
      <sheetName val="안전장치"/>
      <sheetName val="HKDSUMM"/>
      <sheetName val="산거각호표"/>
      <sheetName val="2.1.2예정공정율(칼라)"/>
      <sheetName val="D-623D"/>
      <sheetName val="TTL"/>
      <sheetName val="연돌일위집계"/>
      <sheetName val="산근"/>
      <sheetName val="업체별SV단가"/>
      <sheetName val="ITC현황"/>
      <sheetName val="ITC 현황"/>
      <sheetName val="일위대가"/>
      <sheetName val="가격조사서"/>
      <sheetName val="대비표(실행)"/>
      <sheetName val="현장관리비증감내역"/>
      <sheetName val="부대공사비(실행)"/>
      <sheetName val="내역서(ITC)"/>
      <sheetName val="4.0 (2)"/>
      <sheetName val="Cover_Sheet"/>
      <sheetName val="Project_Outline"/>
      <sheetName val="Contractual_Amount"/>
      <sheetName val="TENDER_vs_BUDGET"/>
      <sheetName val="직영_vs_하청_-_2"/>
      <sheetName val="96_당초Schedule"/>
      <sheetName val="96_Performance"/>
      <sheetName val="소화-투입_분석표"/>
      <sheetName val="STF_ORG(K)"/>
      <sheetName val="Staff_Org__Chart"/>
      <sheetName val="Scope_of_Work"/>
      <sheetName val="Design_Status"/>
      <sheetName val="DWG_Status"/>
      <sheetName val="MAT'L_Status"/>
      <sheetName val="Install_Status"/>
      <sheetName val="Staff_Mob__Plan"/>
      <sheetName val="M_P_Mob__Plan"/>
      <sheetName val="Eq__Mobilization"/>
      <sheetName val="Eq__Mobilization1"/>
      <sheetName val="VC2_9_98"/>
      <sheetName val="11월_실적"/>
      <sheetName val="간접비_총괄표"/>
      <sheetName val="VC2_8_98"/>
      <sheetName val="TOWER_12TON"/>
      <sheetName val="TOWER_10TON"/>
      <sheetName val="JIB_CRANE,HOIST"/>
      <sheetName val="대비표"/>
      <sheetName val="집계표(OPTION)"/>
      <sheetName val="당초"/>
      <sheetName val="예가표"/>
      <sheetName val="지급제한자"/>
      <sheetName val="부대집계표(목표반영)"/>
      <sheetName val="단가대비표"/>
      <sheetName val="일위대가(가설)"/>
      <sheetName val="노임단가"/>
      <sheetName val="개요"/>
      <sheetName val="배수내역"/>
      <sheetName val="BQMPALOC"/>
      <sheetName val="15 문제점"/>
      <sheetName val="공사비집계"/>
      <sheetName val="_"/>
      <sheetName val="M-EQPT-Z"/>
      <sheetName val="B"/>
      <sheetName val="찍기"/>
      <sheetName val="소화실적"/>
      <sheetName val="단가비교"/>
      <sheetName val="99년하반기"/>
      <sheetName val="매각(6)"/>
      <sheetName val="상반기손익차2총괄"/>
      <sheetName val="과제정의서"/>
      <sheetName val="Sheet7"/>
      <sheetName val="노동부"/>
      <sheetName val="드롭다운"/>
      <sheetName val="5사남"/>
      <sheetName val="BQMP"/>
      <sheetName val="Rate Analysis"/>
      <sheetName val="등급기준"/>
      <sheetName val="Disc WF (최종)"/>
      <sheetName val="Weekly WV %"/>
      <sheetName val="산출근거"/>
      <sheetName val="구분정의"/>
      <sheetName val="수지계산"/>
      <sheetName val="안산기계장치"/>
      <sheetName val="95삼성급(본사)"/>
      <sheetName val="차트 (2)"/>
      <sheetName val=""/>
      <sheetName val="업무분장"/>
      <sheetName val="Work Trade Code"/>
      <sheetName val="Sheet3"/>
      <sheetName val="DHEQSUPT"/>
      <sheetName val="수급집계"/>
      <sheetName val="전선봉양3호"/>
      <sheetName val="본사운영비"/>
      <sheetName val="2. 계정별 집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금융비용"/>
      <sheetName val="건축"/>
      <sheetName val="DRUM"/>
      <sheetName val="Eq. Mobilization"/>
      <sheetName val="유림골조"/>
      <sheetName val="공통부대비"/>
      <sheetName val="대비"/>
      <sheetName val="FitOutConfCentre"/>
      <sheetName val="#REF"/>
      <sheetName val="조도"/>
      <sheetName val="1062-X방향 "/>
      <sheetName val="70%"/>
      <sheetName val="운반"/>
      <sheetName val="96보완계획7.12"/>
      <sheetName val="Sheet4"/>
      <sheetName val="TTL"/>
      <sheetName val="입찰내역 발주처 양식"/>
      <sheetName val="S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62-X방향 "/>
      <sheetName val="2.단면가정3.모델링"/>
      <sheetName val="공사개요"/>
      <sheetName val="표층포설및다짐"/>
      <sheetName val="총괄내역서"/>
      <sheetName val="1062-X방향_"/>
      <sheetName val="2_단면가정3_모델링"/>
      <sheetName val="포장공(집계)"/>
      <sheetName val="#REF"/>
      <sheetName val="기둥"/>
      <sheetName val="1.1설계기준"/>
      <sheetName val="1.2해석단면및모델링"/>
      <sheetName val="1.8 결과요약"/>
      <sheetName val="1.7단면력도정리"/>
      <sheetName val="3련 BOX"/>
      <sheetName val="철집"/>
      <sheetName val="type-1응력검토"/>
      <sheetName val="은행"/>
      <sheetName val="집계표"/>
      <sheetName val="BID"/>
      <sheetName val="슬래브집계(주동교)"/>
      <sheetName val="단면 (2)"/>
      <sheetName val="단면_(2)"/>
      <sheetName val="단면가정"/>
      <sheetName val="철근단면적"/>
      <sheetName val="BOX(1_5X1_5)"/>
      <sheetName val="역T형"/>
      <sheetName val="1__설계조건_2_단면가정_3__하중계산"/>
      <sheetName val="교각계산"/>
      <sheetName val="A1"/>
      <sheetName val="출입구총집계"/>
      <sheetName val="DATA_입력란"/>
      <sheetName val="설계조건"/>
      <sheetName val="중기산출근거기초"/>
      <sheetName val="모형도"/>
      <sheetName val="1_설계기준"/>
      <sheetName val="주beam"/>
      <sheetName val="품셈TABLE"/>
      <sheetName val="말뚝기초"/>
      <sheetName val="입력DATA"/>
      <sheetName val="1_설계조건"/>
      <sheetName val="L_RPTA05_목록"/>
      <sheetName val="5_모델링"/>
      <sheetName val="H-PILE"/>
      <sheetName val="PIPE ROOF"/>
      <sheetName val="토류공"/>
      <sheetName val="가설수로공"/>
      <sheetName val="일반총괄"/>
      <sheetName val="토공"/>
      <sheetName val="2.단면가정, 3.구조해석"/>
      <sheetName val="주형지지보"/>
      <sheetName val="입력-----&gt;출력제외"/>
      <sheetName val="품셈(기초)"/>
      <sheetName val="T형( 파일기초) 공현1교"/>
      <sheetName val="1.설계조건"/>
      <sheetName val="&lt;&lt;설계입력&gt;&gt;"/>
      <sheetName val="유림골조"/>
      <sheetName val="목표세부명세"/>
      <sheetName val="일반수량집계표"/>
      <sheetName val="2.철근집계"/>
      <sheetName val="철근산출(출력x)"/>
      <sheetName val="노임단가"/>
      <sheetName val="Sheet1"/>
      <sheetName val="Tiepdia"/>
      <sheetName val="찍기"/>
      <sheetName val="01"/>
      <sheetName val="인사자료총집계"/>
      <sheetName val="COVER"/>
      <sheetName val="8.PILE  (돌출)"/>
      <sheetName val="II손익관리"/>
      <sheetName val="총괄표"/>
      <sheetName val="입력자료"/>
      <sheetName val="2.단면가정"/>
      <sheetName val="3.(상시)구조해석"/>
      <sheetName val="3.바닥판설계"/>
      <sheetName val="수량총괄표"/>
      <sheetName val="데이타"/>
      <sheetName val="접합단위수량"/>
      <sheetName val="맨홀조서"/>
      <sheetName val="INPUT"/>
      <sheetName val="Sheet1 (2)"/>
      <sheetName val="선급금산출"/>
      <sheetName val="공사비증감"/>
      <sheetName val="공예을"/>
      <sheetName val="3구간수량집계"/>
      <sheetName val="L형옹벽철거"/>
      <sheetName val="철근량"/>
      <sheetName val="공사비대비표(자재비포함)"/>
      <sheetName val="1.토공"/>
      <sheetName val="토량1-1"/>
      <sheetName val="3.공통공사대비"/>
      <sheetName val="내역서"/>
      <sheetName val="도급분설계내역집계표"/>
      <sheetName val="기계경비 (2)"/>
      <sheetName val="노임"/>
      <sheetName val="강재집계표"/>
      <sheetName val="6PILE  (돌출)"/>
      <sheetName val="공문"/>
      <sheetName val="수량집계"/>
      <sheetName val="Footing공-PY1, PY2"/>
      <sheetName val="철근집계"/>
      <sheetName val="자재집계"/>
      <sheetName val="예가표"/>
      <sheetName val="포장공수량집계표"/>
      <sheetName val="L형집계"/>
      <sheetName val="수량산출서"/>
      <sheetName val="8.수량산출 (2)"/>
      <sheetName val="DATA"/>
      <sheetName val="연번2-1련(외관조사)"/>
      <sheetName val="연번2-1련손상종류"/>
      <sheetName val="연번2-2련(외관조사)"/>
      <sheetName val="연번2-2련손상종류"/>
      <sheetName val="유림콘도"/>
      <sheetName val="Sheet4"/>
      <sheetName val="Eq. Mobilization"/>
      <sheetName val="입출재고현황 (2)"/>
      <sheetName val="오수집계"/>
      <sheetName val="표준산식"/>
      <sheetName val="조명시설"/>
      <sheetName val="woo(mac)"/>
      <sheetName val="1TL종점(1)"/>
      <sheetName val="3.하중계산"/>
      <sheetName val="간지"/>
      <sheetName val="총괄"/>
      <sheetName val="Sheet2"/>
      <sheetName val="교각1"/>
      <sheetName val="기기리스트"/>
      <sheetName val="수량산출"/>
      <sheetName val="지장물 이설수량집계"/>
      <sheetName val="입찰내역 발주처 양식"/>
      <sheetName val="콘크리트 집계표(전체)"/>
      <sheetName val="본체"/>
      <sheetName val="하중계산"/>
      <sheetName val="평형별 세대수"/>
      <sheetName val="대비표"/>
      <sheetName val="내역서(마루공사)"/>
      <sheetName val="B"/>
      <sheetName val="실행간접비용"/>
      <sheetName val="부대내역"/>
      <sheetName val="BQMPALOC"/>
      <sheetName val="부산제일극장"/>
      <sheetName val="cross beam"/>
      <sheetName val="4.2 오수공수량집계"/>
      <sheetName val="차수공개요"/>
      <sheetName val="구조물공"/>
      <sheetName val="배수공"/>
      <sheetName val="부대공"/>
      <sheetName val="포장공"/>
      <sheetName val="토사(PE)"/>
      <sheetName val="설계내역서"/>
      <sheetName val="예정(3)"/>
      <sheetName val="동원(3)"/>
      <sheetName val="H형강제원표"/>
      <sheetName val="제출내역 (2)"/>
      <sheetName val="JOIN(2span)"/>
      <sheetName val="바닥판"/>
      <sheetName val="주빔의 설계"/>
      <sheetName val="철근량산정및사용성검토"/>
      <sheetName val="자재단가"/>
      <sheetName val="단가대비표"/>
      <sheetName val="부하(성남)"/>
      <sheetName val="이토변실"/>
      <sheetName val="날개벽수량표"/>
      <sheetName val="조달청적격심사"/>
      <sheetName val="배수내역"/>
      <sheetName val="COPING"/>
      <sheetName val="EQUIPMENT -2"/>
      <sheetName val="최적단면"/>
      <sheetName val="차액보증"/>
      <sheetName val="실행철강하도"/>
      <sheetName val="입찰안"/>
      <sheetName val="TTL"/>
      <sheetName val="skelp 규격"/>
      <sheetName val="개별직종노임단가(2005.1)"/>
      <sheetName val="우배수"/>
      <sheetName val="Main"/>
      <sheetName val="CTEMCOST"/>
      <sheetName val="계수시트"/>
      <sheetName val="APT"/>
      <sheetName val="DRUM"/>
      <sheetName val="변경(1회)-"/>
      <sheetName val="연습"/>
      <sheetName val="신당동집계표"/>
      <sheetName val="관로토공집계표"/>
      <sheetName val="Rate Analysis"/>
      <sheetName val="FitOutConfCentre"/>
      <sheetName val="工완성공사율"/>
      <sheetName val="공용정보"/>
    </sheetNames>
    <sheetDataSet>
      <sheetData sheetId="0" refreshError="1">
        <row r="92">
          <cell r="A92" t="str">
            <v>1-2) 사용성 및 축하중 검토</v>
          </cell>
        </row>
        <row r="93">
          <cell r="A93" t="str">
            <v>1-2) 사용성 및 축하중 검토</v>
          </cell>
        </row>
        <row r="94">
          <cell r="A94" t="str">
            <v xml:space="preserve"> ① X-방향</v>
          </cell>
        </row>
        <row r="95">
          <cell r="A95" t="str">
            <v>① X-방향</v>
          </cell>
        </row>
        <row r="96">
          <cell r="A96" t="str">
            <v xml:space="preserve">  a) 단면제원</v>
          </cell>
        </row>
        <row r="101">
          <cell r="A101" t="str">
            <v>a) 단면제원</v>
          </cell>
        </row>
        <row r="102">
          <cell r="A102" t="str">
            <v xml:space="preserve">  b) 세장비</v>
          </cell>
        </row>
      </sheetData>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refreshError="1"/>
      <sheetData sheetId="113" refreshError="1"/>
      <sheetData sheetId="114" refreshError="1"/>
      <sheetData sheetId="115" refreshError="1"/>
      <sheetData sheetId="116"/>
      <sheetData sheetId="117" refreshError="1"/>
      <sheetData sheetId="118" refreshError="1"/>
      <sheetData sheetId="119" refreshError="1"/>
      <sheetData sheetId="120" refreshError="1"/>
      <sheetData sheetId="121" refreshError="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sheetData sheetId="134"/>
      <sheetData sheetId="135"/>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
      <sheetName val="PILE"/>
      <sheetName val="공통비"/>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부산제일극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설명서"/>
      <sheetName val="예정공정표"/>
      <sheetName val="기별표지"/>
      <sheetName val="공사계획서"/>
      <sheetName val="소요자재"/>
      <sheetName val="노무산출서"/>
      <sheetName val="공사비예산서"/>
      <sheetName val="설계명세서(종합)"/>
      <sheetName val="장비형품목산출서"/>
      <sheetName val="품목(Rack,OFD)산출서"/>
      <sheetName val="일위대가"/>
      <sheetName val="관로시설"/>
      <sheetName val="pldt"/>
      <sheetName val="종합"/>
      <sheetName val="조치원"/>
      <sheetName val="소정"/>
      <sheetName val="남면"/>
      <sheetName val="전의"/>
      <sheetName val="바인드"/>
      <sheetName val="광케이블포설"/>
      <sheetName val="청솔,금성,두동,장등"/>
      <sheetName val="아파트기별"/>
      <sheetName val="공리일"/>
      <sheetName val="한국중~1"/>
    </sheetNames>
    <sheetDataSet>
      <sheetData sheetId="0" refreshError="1"/>
      <sheetData sheetId="1" refreshError="1"/>
      <sheetData sheetId="2" refreshError="1"/>
      <sheetData sheetId="3" refreshError="1"/>
      <sheetData sheetId="4" refreshError="1">
        <row r="8">
          <cell r="H8">
            <v>0</v>
          </cell>
        </row>
        <row r="9">
          <cell r="H9">
            <v>2</v>
          </cell>
        </row>
        <row r="10">
          <cell r="H10">
            <v>0</v>
          </cell>
        </row>
        <row r="11">
          <cell r="H11">
            <v>8</v>
          </cell>
        </row>
        <row r="12">
          <cell r="H12">
            <v>0</v>
          </cell>
        </row>
        <row r="13">
          <cell r="H13">
            <v>0</v>
          </cell>
        </row>
        <row r="14">
          <cell r="H14">
            <v>0</v>
          </cell>
        </row>
        <row r="15">
          <cell r="H15">
            <v>0</v>
          </cell>
        </row>
        <row r="16">
          <cell r="H16">
            <v>0</v>
          </cell>
        </row>
        <row r="17">
          <cell r="H17">
            <v>0</v>
          </cell>
        </row>
        <row r="18">
          <cell r="H18">
            <v>0</v>
          </cell>
        </row>
        <row r="19">
          <cell r="H19">
            <v>1</v>
          </cell>
        </row>
        <row r="20">
          <cell r="H20">
            <v>0</v>
          </cell>
        </row>
        <row r="21">
          <cell r="H21">
            <v>0</v>
          </cell>
        </row>
        <row r="22">
          <cell r="H22">
            <v>0</v>
          </cell>
        </row>
        <row r="23">
          <cell r="H23">
            <v>0</v>
          </cell>
        </row>
        <row r="24">
          <cell r="H24">
            <v>1</v>
          </cell>
        </row>
        <row r="25">
          <cell r="H25">
            <v>0</v>
          </cell>
        </row>
        <row r="28">
          <cell r="H28">
            <v>0</v>
          </cell>
        </row>
        <row r="30">
          <cell r="H30">
            <v>0</v>
          </cell>
        </row>
        <row r="31">
          <cell r="H31">
            <v>0</v>
          </cell>
        </row>
        <row r="32">
          <cell r="H32">
            <v>0</v>
          </cell>
        </row>
        <row r="33">
          <cell r="H33">
            <v>0</v>
          </cell>
        </row>
        <row r="34">
          <cell r="H34">
            <v>0</v>
          </cell>
        </row>
        <row r="35">
          <cell r="H35">
            <v>0</v>
          </cell>
        </row>
        <row r="36">
          <cell r="H36">
            <v>0</v>
          </cell>
        </row>
        <row r="38">
          <cell r="H38">
            <v>0</v>
          </cell>
        </row>
        <row r="39">
          <cell r="H39">
            <v>0</v>
          </cell>
        </row>
        <row r="40">
          <cell r="H40">
            <v>0</v>
          </cell>
        </row>
        <row r="41">
          <cell r="H41">
            <v>0</v>
          </cell>
        </row>
        <row r="42">
          <cell r="H42">
            <v>0</v>
          </cell>
        </row>
        <row r="43">
          <cell r="H43">
            <v>0</v>
          </cell>
        </row>
        <row r="44">
          <cell r="H44">
            <v>0</v>
          </cell>
        </row>
        <row r="45">
          <cell r="H45">
            <v>0</v>
          </cell>
        </row>
        <row r="46">
          <cell r="H46">
            <v>0</v>
          </cell>
        </row>
        <row r="47">
          <cell r="H47">
            <v>0</v>
          </cell>
        </row>
        <row r="48">
          <cell r="H48">
            <v>0</v>
          </cell>
        </row>
        <row r="49">
          <cell r="H49">
            <v>0</v>
          </cell>
        </row>
        <row r="50">
          <cell r="H50">
            <v>0</v>
          </cell>
        </row>
        <row r="51">
          <cell r="H51">
            <v>0</v>
          </cell>
        </row>
        <row r="52">
          <cell r="H52">
            <v>0</v>
          </cell>
        </row>
        <row r="53">
          <cell r="H53">
            <v>0</v>
          </cell>
        </row>
        <row r="54">
          <cell r="H54">
            <v>0</v>
          </cell>
        </row>
        <row r="55">
          <cell r="H55">
            <v>0</v>
          </cell>
        </row>
        <row r="56">
          <cell r="H56">
            <v>0</v>
          </cell>
        </row>
        <row r="58">
          <cell r="H58">
            <v>0</v>
          </cell>
        </row>
        <row r="59">
          <cell r="H59">
            <v>0</v>
          </cell>
        </row>
        <row r="60">
          <cell r="H60">
            <v>0</v>
          </cell>
        </row>
        <row r="61">
          <cell r="H61">
            <v>0</v>
          </cell>
        </row>
        <row r="62">
          <cell r="H62">
            <v>0</v>
          </cell>
        </row>
        <row r="63">
          <cell r="H63">
            <v>0</v>
          </cell>
        </row>
        <row r="64">
          <cell r="H64">
            <v>0</v>
          </cell>
        </row>
        <row r="65">
          <cell r="H65">
            <v>0</v>
          </cell>
        </row>
        <row r="66">
          <cell r="H66">
            <v>0</v>
          </cell>
        </row>
        <row r="67">
          <cell r="H67">
            <v>0</v>
          </cell>
        </row>
        <row r="68">
          <cell r="H68">
            <v>0</v>
          </cell>
        </row>
        <row r="69">
          <cell r="H69">
            <v>0</v>
          </cell>
        </row>
        <row r="70">
          <cell r="H70">
            <v>0</v>
          </cell>
        </row>
        <row r="71">
          <cell r="H71">
            <v>0</v>
          </cell>
        </row>
        <row r="72">
          <cell r="H72">
            <v>0</v>
          </cell>
        </row>
        <row r="73">
          <cell r="H73">
            <v>0</v>
          </cell>
        </row>
        <row r="74">
          <cell r="H74">
            <v>0</v>
          </cell>
        </row>
        <row r="75">
          <cell r="H75">
            <v>0</v>
          </cell>
        </row>
        <row r="76">
          <cell r="H76">
            <v>0</v>
          </cell>
        </row>
        <row r="77">
          <cell r="H77">
            <v>0</v>
          </cell>
        </row>
        <row r="78">
          <cell r="H78">
            <v>0</v>
          </cell>
        </row>
        <row r="79">
          <cell r="H79">
            <v>0</v>
          </cell>
        </row>
        <row r="80">
          <cell r="H80">
            <v>0</v>
          </cell>
        </row>
        <row r="81">
          <cell r="H81">
            <v>0</v>
          </cell>
        </row>
        <row r="82">
          <cell r="H82">
            <v>0</v>
          </cell>
        </row>
        <row r="83">
          <cell r="H83">
            <v>0</v>
          </cell>
        </row>
        <row r="95">
          <cell r="H95">
            <v>0</v>
          </cell>
        </row>
        <row r="96">
          <cell r="H96">
            <v>0</v>
          </cell>
        </row>
        <row r="97">
          <cell r="H97">
            <v>0</v>
          </cell>
        </row>
        <row r="98">
          <cell r="H98">
            <v>0</v>
          </cell>
        </row>
        <row r="99">
          <cell r="H99">
            <v>0</v>
          </cell>
        </row>
        <row r="100">
          <cell r="H100">
            <v>0</v>
          </cell>
        </row>
        <row r="101">
          <cell r="H101">
            <v>0</v>
          </cell>
        </row>
        <row r="102">
          <cell r="H102">
            <v>0</v>
          </cell>
        </row>
        <row r="103">
          <cell r="H103">
            <v>0</v>
          </cell>
        </row>
        <row r="104">
          <cell r="H104">
            <v>0</v>
          </cell>
        </row>
        <row r="105">
          <cell r="H105">
            <v>0</v>
          </cell>
        </row>
        <row r="106">
          <cell r="H106">
            <v>0</v>
          </cell>
        </row>
        <row r="107">
          <cell r="H107">
            <v>0</v>
          </cell>
        </row>
        <row r="108">
          <cell r="H108">
            <v>0</v>
          </cell>
        </row>
        <row r="109">
          <cell r="H109">
            <v>0</v>
          </cell>
        </row>
        <row r="110">
          <cell r="H110">
            <v>0</v>
          </cell>
        </row>
        <row r="111">
          <cell r="H111">
            <v>0</v>
          </cell>
        </row>
        <row r="112">
          <cell r="H112">
            <v>0</v>
          </cell>
        </row>
        <row r="113">
          <cell r="H113">
            <v>0</v>
          </cell>
        </row>
        <row r="114">
          <cell r="H114">
            <v>0</v>
          </cell>
        </row>
        <row r="115">
          <cell r="H115">
            <v>0</v>
          </cell>
        </row>
        <row r="116">
          <cell r="H116">
            <v>0</v>
          </cell>
        </row>
        <row r="117">
          <cell r="H117">
            <v>0</v>
          </cell>
        </row>
        <row r="118">
          <cell r="H118">
            <v>0</v>
          </cell>
        </row>
        <row r="119">
          <cell r="H119">
            <v>0</v>
          </cell>
        </row>
        <row r="120">
          <cell r="H120">
            <v>0</v>
          </cell>
        </row>
        <row r="123">
          <cell r="H123">
            <v>0</v>
          </cell>
        </row>
        <row r="124">
          <cell r="H124">
            <v>0</v>
          </cell>
        </row>
        <row r="125">
          <cell r="H125">
            <v>0</v>
          </cell>
        </row>
        <row r="126">
          <cell r="H126">
            <v>0</v>
          </cell>
        </row>
        <row r="127">
          <cell r="H127">
            <v>0</v>
          </cell>
        </row>
        <row r="128">
          <cell r="H128">
            <v>0</v>
          </cell>
        </row>
        <row r="129">
          <cell r="H129">
            <v>0</v>
          </cell>
        </row>
        <row r="130">
          <cell r="H130">
            <v>0</v>
          </cell>
        </row>
        <row r="131">
          <cell r="H131">
            <v>0</v>
          </cell>
        </row>
        <row r="132">
          <cell r="H132">
            <v>0</v>
          </cell>
        </row>
        <row r="133">
          <cell r="H133">
            <v>0</v>
          </cell>
        </row>
        <row r="134">
          <cell r="H134">
            <v>0</v>
          </cell>
        </row>
        <row r="135">
          <cell r="H135">
            <v>0</v>
          </cell>
        </row>
        <row r="136">
          <cell r="H136">
            <v>0</v>
          </cell>
        </row>
        <row r="137">
          <cell r="H137">
            <v>0</v>
          </cell>
        </row>
        <row r="138">
          <cell r="H138">
            <v>0</v>
          </cell>
        </row>
        <row r="139">
          <cell r="H139">
            <v>0</v>
          </cell>
        </row>
        <row r="140">
          <cell r="H140">
            <v>0</v>
          </cell>
        </row>
        <row r="141">
          <cell r="H141">
            <v>0</v>
          </cell>
        </row>
        <row r="142">
          <cell r="H142">
            <v>0</v>
          </cell>
        </row>
        <row r="143">
          <cell r="H143">
            <v>0</v>
          </cell>
        </row>
        <row r="144">
          <cell r="H144">
            <v>0</v>
          </cell>
        </row>
        <row r="146">
          <cell r="H146">
            <v>0</v>
          </cell>
        </row>
        <row r="147">
          <cell r="H147">
            <v>0</v>
          </cell>
        </row>
        <row r="148">
          <cell r="H148">
            <v>0</v>
          </cell>
        </row>
        <row r="150">
          <cell r="H150">
            <v>0</v>
          </cell>
        </row>
        <row r="151">
          <cell r="H151">
            <v>1</v>
          </cell>
        </row>
        <row r="153">
          <cell r="H153">
            <v>0</v>
          </cell>
        </row>
        <row r="155">
          <cell r="H155">
            <v>0</v>
          </cell>
        </row>
        <row r="156">
          <cell r="H156">
            <v>668</v>
          </cell>
        </row>
        <row r="157">
          <cell r="H157">
            <v>927</v>
          </cell>
        </row>
        <row r="158">
          <cell r="H158">
            <v>0</v>
          </cell>
        </row>
        <row r="159">
          <cell r="H159">
            <v>1284</v>
          </cell>
        </row>
        <row r="161">
          <cell r="H161">
            <v>0</v>
          </cell>
        </row>
        <row r="162">
          <cell r="H162">
            <v>0</v>
          </cell>
        </row>
        <row r="163">
          <cell r="H163">
            <v>0</v>
          </cell>
        </row>
        <row r="164">
          <cell r="H164">
            <v>0</v>
          </cell>
        </row>
        <row r="165">
          <cell r="H165">
            <v>0</v>
          </cell>
        </row>
        <row r="168">
          <cell r="H168">
            <v>2</v>
          </cell>
        </row>
      </sheetData>
      <sheetData sheetId="5" refreshError="1">
        <row r="101">
          <cell r="H101">
            <v>0</v>
          </cell>
        </row>
        <row r="102">
          <cell r="H102">
            <v>0</v>
          </cell>
        </row>
        <row r="103">
          <cell r="H103">
            <v>0</v>
          </cell>
        </row>
        <row r="104">
          <cell r="H104">
            <v>0</v>
          </cell>
        </row>
      </sheetData>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refreshError="1"/>
      <sheetData sheetId="22" refreshError="1"/>
      <sheetData sheetId="2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설계도면"/>
      <sheetName val="10-3.광케이블 경과지도"/>
      <sheetName val="10-4.광케이블 시설 경과지도(루트도)"/>
      <sheetName val="10-2.광코아 계통도(345kV)"/>
      <sheetName val="10-2.광코아 계통도(154kV)"/>
      <sheetName val="10-1.송변전단말 구성도"/>
      <sheetName val="10-2. 광단말도면(신시화)"/>
      <sheetName val="10-2 광단말도면(신시흥)1"/>
      <sheetName val="10-2 광단말도면(신시흥)영흥#1"/>
      <sheetName val="10-2. 광단말도면(영흥#2)영흥#2"/>
      <sheetName val="10-2. 광단말도면(남정왕)"/>
      <sheetName val="10-2. 광단말도면(중시화)"/>
      <sheetName val="10-3전원설비,LAN,IP계통 구성도"/>
      <sheetName val="1-1 붙임1_공사설계서_전력통신_신시화(시행품의)-도면"/>
    </sheetNames>
    <definedNames>
      <definedName name="__gng44" refersTo="#REF!"/>
      <definedName name="__ys1" refersTo="#REF!"/>
      <definedName name="_gng44" refersTo="#REF!"/>
      <definedName name="BB" refersTo="#REF!"/>
      <definedName name="camberWork" refersTo="#REF!"/>
      <definedName name="DSAH" refersTo="#REF!"/>
      <definedName name="EARTH" refersTo="#REF!"/>
      <definedName name="EARTHSAPDATA.StartProgram" refersTo="#REF!"/>
      <definedName name="EARTHSAPDATA.StartProgram1" refersTo="#REF!"/>
      <definedName name="EARTHSAPDATA.StartProgram2" refersTo="#REF!"/>
      <definedName name="kdfd" refersTo="#REF!"/>
      <definedName name="psc빔총괄" refersTo="#REF!"/>
      <definedName name="sdagh" refersTo="#REF!"/>
      <definedName name="SHDLAEKSRKTNWJD" refersTo="#REF!"/>
      <definedName name="ssss" refersTo="#REF!"/>
      <definedName name="계산서2" refersTo="#REF!"/>
      <definedName name="관급" refersTo="#REF!" sheetId="4"/>
      <definedName name="노임단가수정완료" refersTo="#REF!"/>
      <definedName name="ㄹㄷㄹ" refersTo="#REF!"/>
      <definedName name="설개" refersTo="#REF!"/>
      <definedName name="설계단면력요약.SAP90Work" refersTo="#REF!"/>
      <definedName name="ㅇㄹㄴㅇㄹㄴㄹ" refersTo="#REF!"/>
      <definedName name="ㅇㄹㄹㄹㄹㄹㄹㄹㄹ" refersTo="#REF!"/>
      <definedName name="인쇄양식" refersTo="#REF!"/>
      <definedName name="자재단가" refersTo="#REF!"/>
      <definedName name="자재단가수정완료" refersTo="#REF!"/>
      <definedName name="포장" refersTo="#REF!"/>
    </definedNames>
    <sheetDataSet>
      <sheetData sheetId="0">
        <row r="3">
          <cell r="A3" t="str">
            <v>Ⅹ.  시   설   도   면</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e1"/>
      <sheetName val="시작"/>
      <sheetName val="투자효율분석"/>
      <sheetName val="공사설명서"/>
      <sheetName val="공사계획서"/>
      <sheetName val="공사비예산서"/>
      <sheetName val="케이블피스표"/>
      <sheetName val="기별(종합)"/>
      <sheetName val="기별(수궁)"/>
      <sheetName val="기별(중앙상가)"/>
      <sheetName val="기별(대림1)"/>
      <sheetName val="기별(신정교)"/>
      <sheetName val="기별(개포4)"/>
      <sheetName val="기별(동해역)"/>
      <sheetName val="기별(풍동)"/>
      <sheetName val="기별(교현3)"/>
      <sheetName val="기별(방축2)"/>
      <sheetName val="기안"/>
      <sheetName val="투자효율"/>
      <sheetName val="기별(교동)"/>
      <sheetName val="기별(다리안)"/>
      <sheetName val="공사지시서(감)"/>
      <sheetName val="공사지시서 (시)"/>
      <sheetName val="계통도"/>
      <sheetName val="설계명세서(선로)"/>
      <sheetName val="주자재내역"/>
      <sheetName val="설계명세서 (장비)"/>
      <sheetName val="공사계획서류"/>
      <sheetName val="기본요율"/>
      <sheetName val="cost98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PILE  (돌출)"/>
      <sheetName val="단위중량"/>
      <sheetName val="조명시설"/>
      <sheetName val="총괄내역서"/>
      <sheetName val="단가"/>
      <sheetName val="단가산출서"/>
      <sheetName val="내역"/>
      <sheetName val="6PILE  _돌출_"/>
      <sheetName val="소업1교"/>
      <sheetName val="3BL공동구 수량"/>
      <sheetName val="옹벽조금수정"/>
      <sheetName val="진주방향"/>
      <sheetName val="내역서"/>
      <sheetName val="공사비집계"/>
      <sheetName val="갑지"/>
      <sheetName val="U-TYPE(1)"/>
      <sheetName val="반응조"/>
      <sheetName val="연돌일위집계"/>
      <sheetName val="토공 갑지"/>
      <sheetName val="업무처리전"/>
      <sheetName val="입찰안"/>
      <sheetName val="Sheet1"/>
      <sheetName val="수지표"/>
      <sheetName val="셀명"/>
      <sheetName val="터파기및재료"/>
      <sheetName val="총괄"/>
      <sheetName val="가설건물"/>
      <sheetName val="산출내역서"/>
      <sheetName val="실행철강하도"/>
      <sheetName val="원가"/>
      <sheetName val="실정보고"/>
      <sheetName val="갑지1"/>
      <sheetName val="교각계산"/>
      <sheetName val="설계조건"/>
      <sheetName val="1호맨홀토공"/>
      <sheetName val="#REF"/>
      <sheetName val="2.단면가정 "/>
      <sheetName val="해전배수"/>
      <sheetName val="수문일1"/>
      <sheetName val="결과조달"/>
      <sheetName val="노임단가"/>
      <sheetName val="본선 토공 분배표"/>
      <sheetName val="포장공자재집계표"/>
      <sheetName val="일위대가목차"/>
      <sheetName val="공문"/>
      <sheetName val="금액내역서"/>
      <sheetName val="CTEMCOST"/>
      <sheetName val="수로집계"/>
      <sheetName val="부안일위"/>
      <sheetName val="가격조사서"/>
      <sheetName val="SLAB&quot;1&quot;"/>
      <sheetName val="COVER"/>
      <sheetName val="프랜트면허"/>
      <sheetName val="토목주소"/>
      <sheetName val="간지(1)"/>
      <sheetName val="1,2,3,4,5단위수량"/>
      <sheetName val="참조"/>
      <sheetName val="사통"/>
      <sheetName val="물가시세"/>
      <sheetName val="인사자료총집계"/>
      <sheetName val="빗물받이(910-510-410)"/>
      <sheetName val="공사비증감"/>
      <sheetName val="합천내역"/>
      <sheetName val="archi(본사)"/>
      <sheetName val="원형1호맨홀토공수량"/>
      <sheetName val="배수관산출"/>
      <sheetName val="수안보-MBR1"/>
      <sheetName val="3.공통공사대비"/>
      <sheetName val="목표세부명세"/>
      <sheetName val="견적서(토공)"/>
      <sheetName val="2호맨홀공제수량"/>
      <sheetName val="샘플표지"/>
      <sheetName val="BID"/>
      <sheetName val="000000"/>
      <sheetName val="1062-X방향 "/>
      <sheetName val="발주설계서(당초)"/>
      <sheetName val="포장물량집계"/>
      <sheetName val="Sheet1 (2)"/>
      <sheetName val="DATA98"/>
      <sheetName val="고창방향"/>
      <sheetName val="DATE"/>
      <sheetName val="견적의뢰서"/>
      <sheetName val="2000년1차"/>
      <sheetName val="2000전체분"/>
      <sheetName val="200"/>
      <sheetName val="대비"/>
      <sheetName val="단면 (2)"/>
      <sheetName val="내역표지"/>
      <sheetName val="하도내역 (철콘)"/>
      <sheetName val="오동"/>
      <sheetName val="대조"/>
      <sheetName val="나한"/>
      <sheetName val="총 괄 표"/>
      <sheetName val="세대구분"/>
      <sheetName val="예가표"/>
      <sheetName val="약품설비"/>
      <sheetName val="S.중기사용료"/>
      <sheetName val="97노임단가"/>
      <sheetName val="입력란"/>
      <sheetName val="지장물C"/>
      <sheetName val="Sheet2"/>
      <sheetName val="ELECTRIC"/>
      <sheetName val="SCHEDULE"/>
      <sheetName val="Sheet4"/>
      <sheetName val="식재"/>
      <sheetName val="시설물"/>
      <sheetName val="식재출력용"/>
      <sheetName val="유지관리"/>
      <sheetName val="일위대가"/>
      <sheetName val="장비"/>
      <sheetName val="산근1"/>
      <sheetName val="노무"/>
      <sheetName val="자재"/>
      <sheetName val="간선계산"/>
      <sheetName val="교각1"/>
      <sheetName val="배수내역(98년도분)"/>
      <sheetName val="약품공급2"/>
      <sheetName val="본부소개"/>
      <sheetName val="날개벽(시점좌측)"/>
      <sheetName val="간접비"/>
      <sheetName val="D200"/>
      <sheetName val="4.2유효폭의 계산"/>
      <sheetName val="입찰"/>
      <sheetName val="현경"/>
      <sheetName val="안산기계장치"/>
      <sheetName val="ABUT수량-A1"/>
      <sheetName val="SIL98"/>
      <sheetName val="8.PILE  (돌출)"/>
      <sheetName val="6PILE 과속방지턱집계표!$K$12 (돌출)"/>
      <sheetName val="집계표(육상)"/>
      <sheetName val="지급자재"/>
      <sheetName val="일위대가(계측기설치)"/>
      <sheetName val="말뚝지지력산정"/>
      <sheetName val="기성내역"/>
      <sheetName val="경상비"/>
      <sheetName val="공사내역"/>
      <sheetName val="수량집계"/>
      <sheetName val="6PILE+옹벽집계!$G$6+옹벽집계!$H$10  (돌출"/>
      <sheetName val="1. 설계조건 2.단면가정 3. 하중계산"/>
      <sheetName val="DATA 입력란"/>
      <sheetName val="공사비증감(P4) "/>
      <sheetName val="DATA2000"/>
      <sheetName val="실행예산"/>
      <sheetName val="밸브설치"/>
      <sheetName val="일위대가목록"/>
      <sheetName val="2002상반기노임기준"/>
      <sheetName val="건축내역서"/>
      <sheetName val="설비내역서"/>
      <sheetName val="전기내역서"/>
      <sheetName val="집계표"/>
      <sheetName val="배수통관(좌)"/>
      <sheetName val="단가일람"/>
      <sheetName val="조경일람"/>
      <sheetName val="실행"/>
      <sheetName val="배수공"/>
      <sheetName val="간지"/>
      <sheetName val="B"/>
      <sheetName val="D-3109"/>
      <sheetName val="DRUM"/>
      <sheetName val="F-302"/>
      <sheetName val="F301.303"/>
      <sheetName val="plan&amp;section of foundation"/>
      <sheetName val="design load"/>
      <sheetName val="working load at the btm ft."/>
      <sheetName val="stability check"/>
      <sheetName val="design criteria"/>
      <sheetName val="산근"/>
      <sheetName val="Total"/>
      <sheetName val="대비표"/>
      <sheetName val="AN-01"/>
      <sheetName val="PRICES"/>
      <sheetName val="CAL(1)."/>
      <sheetName val="12CGOU"/>
      <sheetName val="Bend_fact "/>
      <sheetName val="요약배부"/>
      <sheetName val="주관사업"/>
      <sheetName val="STAFF ANALYSIS"/>
      <sheetName val="C"/>
      <sheetName val="골조시행"/>
      <sheetName val="2공구산출내역"/>
      <sheetName val="BOX 본체"/>
      <sheetName val="TOTAL_BOQ"/>
      <sheetName val="INPUT"/>
      <sheetName val="A1(토공)"/>
      <sheetName val="A1(구조물)"/>
      <sheetName val="수량집계(1)"/>
      <sheetName val="철근집계표"/>
      <sheetName val="포장직선구간"/>
      <sheetName val="산출근거"/>
      <sheetName val="Sheet17"/>
      <sheetName val="수량집계표"/>
      <sheetName val="슬래브"/>
      <sheetName val="중기사용료"/>
      <sheetName val="우수"/>
      <sheetName val="수량3"/>
      <sheetName val="9509"/>
      <sheetName val="도배공사언고"/>
      <sheetName val="수량산출"/>
      <sheetName val="예정(3)"/>
      <sheetName val="동원(3)"/>
      <sheetName val="9GNG운반"/>
      <sheetName val="inter"/>
      <sheetName val="노무비"/>
      <sheetName val="EQUIP"/>
      <sheetName val="기계경비일람"/>
      <sheetName val="견적서"/>
      <sheetName val="도봉2지구"/>
      <sheetName val="비목군분류일위"/>
      <sheetName val="TOWER 10TON"/>
      <sheetName val="TOWER 12TON"/>
      <sheetName val="내역(전체)"/>
      <sheetName val="수량산출내역1115"/>
      <sheetName val="침하계"/>
      <sheetName val="예상"/>
      <sheetName val="ASP 일반구간_250A"/>
      <sheetName val="PROCURE"/>
      <sheetName val="out_prog"/>
      <sheetName val="선적schedule (2)"/>
      <sheetName val="횡배날개"/>
      <sheetName val="배수내역"/>
      <sheetName val="사유서제출현황-2"/>
      <sheetName val="갑지(추정)"/>
      <sheetName val="산근터빈"/>
      <sheetName val="단면A-A(TR)"/>
      <sheetName val="제출내역 (2)"/>
      <sheetName val="메서,변+증"/>
      <sheetName val="가도공"/>
      <sheetName val="간 지1"/>
      <sheetName val="식생블럭단위수량"/>
      <sheetName val="공량산출서"/>
      <sheetName val="공종단가"/>
      <sheetName val="부하(성남)"/>
      <sheetName val="SG"/>
      <sheetName val="Quantity"/>
      <sheetName val="Sheet15"/>
      <sheetName val="정보"/>
      <sheetName val="합의경상"/>
      <sheetName val="3.하중산정4.지지력"/>
      <sheetName val="COPING"/>
      <sheetName val="기본"/>
      <sheetName val="6PILE__(돌출)"/>
      <sheetName val="주식"/>
      <sheetName val="DATA입력"/>
      <sheetName val="을 2"/>
      <sheetName val="을 1"/>
      <sheetName val="손익분석"/>
      <sheetName val="2.단면가정"/>
      <sheetName val="산마루측구단위수량"/>
      <sheetName val="뚝토공"/>
      <sheetName val="1NYS(당)"/>
      <sheetName val="당초"/>
      <sheetName val="Basic"/>
      <sheetName val="D"/>
      <sheetName val="L"/>
      <sheetName val="M"/>
      <sheetName val="Part AB"/>
      <sheetName val="Part I"/>
      <sheetName val="Part M"/>
      <sheetName val="S"/>
      <sheetName val="E"/>
      <sheetName val="Resource"/>
      <sheetName val="Exrate"/>
      <sheetName val="수문보고"/>
      <sheetName val="할증 "/>
      <sheetName val="40단가산출서"/>
      <sheetName val="40집계"/>
      <sheetName val="1TL종점(1)"/>
      <sheetName val="교각정보"/>
      <sheetName val="기기리스트"/>
      <sheetName val="대운산출"/>
      <sheetName val="관로토공집계표"/>
      <sheetName val="기자재비"/>
      <sheetName val="민자토목설변1차"/>
      <sheetName val="골재및자재집계표"/>
      <sheetName val="정부노임단가"/>
      <sheetName val="본체"/>
      <sheetName val="견적대비표"/>
      <sheetName val="DAILY"/>
      <sheetName val="공사비예산서(토목분)"/>
      <sheetName val="Sheet3"/>
      <sheetName val="돌담교 상부수량"/>
      <sheetName val="4)유동표"/>
      <sheetName val="공통비총괄표"/>
      <sheetName val="토목품셈"/>
      <sheetName val="PAD TR보호대기초"/>
      <sheetName val="가로등기초"/>
      <sheetName val="HANDHOLE(2)"/>
      <sheetName val="전차선로 물량표"/>
      <sheetName val="6PILE___돌출_"/>
      <sheetName val="3BL공동구_수량"/>
      <sheetName val="일위(PN)"/>
      <sheetName val="부대공"/>
      <sheetName val="토공"/>
      <sheetName val="포장공"/>
      <sheetName val="CIVIL4"/>
      <sheetName val="DATA"/>
      <sheetName val="단면B-B(EA)"/>
      <sheetName val="역T형"/>
      <sheetName val="대부예산서"/>
      <sheetName val="기초공"/>
      <sheetName val="기둥(원형)"/>
      <sheetName val="마감사양"/>
      <sheetName val="대림경상68억"/>
      <sheetName val="철근량"/>
      <sheetName val="수량명세서"/>
      <sheetName val="연습"/>
      <sheetName val="격점수량"/>
      <sheetName val="산출근거(S4)"/>
      <sheetName val="2000시행예상"/>
      <sheetName val="차액보증"/>
      <sheetName val="YES-T"/>
      <sheetName val="코드표"/>
      <sheetName val="1을"/>
      <sheetName val="6PILE  _돌_x001c__"/>
      <sheetName val="허용지지력"/>
      <sheetName val="Output"/>
      <sheetName val="01.견적내역서"/>
      <sheetName val="수입"/>
      <sheetName val="1.수인터널"/>
      <sheetName val="대,유,램"/>
      <sheetName val="경영상태"/>
      <sheetName val="자료"/>
      <sheetName val="최적단면"/>
      <sheetName val="토목"/>
      <sheetName val="기계(집계표)"/>
      <sheetName val="신당동집계표"/>
      <sheetName val="시행후면적"/>
      <sheetName val="I.설계조건"/>
      <sheetName val="우수받이재료집계표"/>
      <sheetName val="01.인원현황 (계획)"/>
      <sheetName val="1.설계조건"/>
      <sheetName val="유림골조"/>
      <sheetName val="가공비"/>
      <sheetName val="설계산출표지"/>
      <sheetName val="지하"/>
      <sheetName val="70%"/>
      <sheetName val="소비자가"/>
      <sheetName val="공통가설공사"/>
      <sheetName val="부하계산서"/>
      <sheetName val="외주현황.wq1"/>
      <sheetName val="J형측구단위수량"/>
      <sheetName val="소산진입"/>
      <sheetName val="guard(mac)"/>
      <sheetName val="이름"/>
      <sheetName val="인건비"/>
      <sheetName val="I一般比"/>
      <sheetName val="일반수량"/>
      <sheetName val="음봉방향"/>
      <sheetName val="바닥판"/>
      <sheetName val="부대토목"/>
      <sheetName val="토공계산서(부체도로)"/>
      <sheetName val="2_단면가정_"/>
      <sheetName val="총_괄_표"/>
      <sheetName val="토공_갑지"/>
      <sheetName val="공사비증감(P4)_"/>
      <sheetName val="본선_토공_분배표"/>
      <sheetName val="단면_(2)"/>
      <sheetName val="하도내역_(철콘)"/>
      <sheetName val="★도급내역"/>
      <sheetName val="입출재고현황 (2)"/>
      <sheetName val="F301_303"/>
      <sheetName val="plan&amp;section_of_foundation"/>
      <sheetName val="design_load"/>
      <sheetName val="working_load_at_the_btm_ft_"/>
      <sheetName val="stability_check"/>
      <sheetName val="design_criteria"/>
      <sheetName val="CAL(1)_"/>
      <sheetName val="Bend_fact_"/>
      <sheetName val="STAFF_ANALYSIS"/>
      <sheetName val="Sheet1_(2)"/>
      <sheetName val="Cash2"/>
      <sheetName val="Z"/>
      <sheetName val="BQMPALOC"/>
      <sheetName val="운반"/>
      <sheetName val="신표지1"/>
      <sheetName val="비탈면보호공수량산출"/>
      <sheetName val="날개벽"/>
      <sheetName val="가설사무소수량집계"/>
      <sheetName val="토사(PE)"/>
      <sheetName val="우수받이"/>
      <sheetName val="내역-가"/>
      <sheetName val="배수관설치현황"/>
      <sheetName val="전체변경예정공정표_2012.07.30"/>
      <sheetName val="중기비"/>
      <sheetName val="3련 BOX"/>
      <sheetName val="수지예산"/>
      <sheetName val="20-6(L)"/>
      <sheetName val="관로조사공"/>
      <sheetName val="본선차로수량집계표"/>
      <sheetName val="2.교량(신설)"/>
      <sheetName val="L형집계"/>
      <sheetName val="표지"/>
      <sheetName val="입찰내역 발주처 양식"/>
      <sheetName val="가옥철거"/>
      <sheetName val="총수량 (기성)"/>
      <sheetName val="단가조사"/>
      <sheetName val="40총괄"/>
      <sheetName val="수로단위수량"/>
      <sheetName val="4-1.노무비(직영)"/>
      <sheetName val="96노임기준"/>
      <sheetName val="건축"/>
      <sheetName val="type-F"/>
      <sheetName val="단위단가"/>
      <sheetName val="화전내"/>
      <sheetName val="설직재-1"/>
      <sheetName val="1.토공"/>
      <sheetName val="교통표지판수량집계표"/>
      <sheetName val="집수정"/>
      <sheetName val="관급자재대"/>
      <sheetName val="방음벽기초"/>
      <sheetName val="제수변수량H2.15"/>
      <sheetName val="_공기변수량"/>
      <sheetName val="낙찰표"/>
      <sheetName val="교대(A1-A2)"/>
      <sheetName val="설비"/>
      <sheetName val="전기"/>
      <sheetName val="여과지동"/>
      <sheetName val="기초자료"/>
      <sheetName val="가압장구체수량산출서"/>
      <sheetName val="1단계"/>
      <sheetName val="집계표(OPTION)"/>
      <sheetName val="6공구(당초)"/>
      <sheetName val="실행내역서"/>
      <sheetName val="변경집계표"/>
      <sheetName val="IW-LIST"/>
      <sheetName val="자재집계표"/>
      <sheetName val="입상내역"/>
      <sheetName val="옹벽"/>
      <sheetName val="금융비용"/>
      <sheetName val="T.T.P 단위수량"/>
      <sheetName val="칠산대교 중앙부"/>
      <sheetName val="칠산대교 시종점부"/>
      <sheetName val="단위수량"/>
      <sheetName val="BOX(1.5X1.5)"/>
      <sheetName val="일위대가1"/>
      <sheetName val="J01"/>
      <sheetName val="깨기"/>
      <sheetName val="건설기계_목록"/>
      <sheetName val="기초일위"/>
      <sheetName val="수목단가"/>
      <sheetName val="시설수량표"/>
      <sheetName val="시설일위"/>
      <sheetName val="식재수량표"/>
      <sheetName val="식재일위"/>
      <sheetName val="일위목록"/>
      <sheetName val="자재단가"/>
      <sheetName val="대로근거"/>
      <sheetName val="중로근거"/>
      <sheetName val="DHEQSUPT"/>
      <sheetName val="보차도경계석"/>
      <sheetName val="우각부보강"/>
      <sheetName val="의뢰서"/>
      <sheetName val="국공유지및사유지"/>
      <sheetName val="Supplement2"/>
      <sheetName val="포장총괄집계표"/>
      <sheetName val="건축물터파기"/>
      <sheetName val="품셈TABLE"/>
      <sheetName val="품의"/>
      <sheetName val="이토변실(A3-LINE)"/>
      <sheetName val="이형관격점별수량산출(2)"/>
      <sheetName val="매립"/>
      <sheetName val="갑지(집행)"/>
      <sheetName val="직재"/>
      <sheetName val="TYPE-1"/>
      <sheetName val="데리네이타현황"/>
      <sheetName val="기초INPUT"/>
      <sheetName val="토공-내역"/>
      <sheetName val="품"/>
      <sheetName val="관급총괄"/>
      <sheetName val="loading"/>
      <sheetName val="설계내역서"/>
      <sheetName val="조건표"/>
      <sheetName val="설계내역(2001)"/>
      <sheetName val="자재(설치)"/>
      <sheetName val="일위"/>
      <sheetName val="교량전기"/>
      <sheetName val="BOX"/>
      <sheetName val="현황"/>
      <sheetName val="계화총괄"/>
      <sheetName val="계화배수(3대)"/>
      <sheetName val="1.설계기준"/>
      <sheetName val="철집"/>
      <sheetName val="기계경비"/>
      <sheetName val="2.하중산정"/>
      <sheetName val="무근깨기"/>
      <sheetName val="부표총괄"/>
      <sheetName val="현장관리비"/>
      <sheetName val="계산근거"/>
      <sheetName val="woo(mac)"/>
      <sheetName val="김여중"/>
      <sheetName val="96보완계획7.12"/>
      <sheetName val="N賃率-職"/>
      <sheetName val="기계경비적용기준"/>
      <sheetName val="화재 탐지 설비"/>
      <sheetName val="토적표(우안)"/>
      <sheetName val="토적표(좌안)"/>
      <sheetName val="2.대외공문"/>
      <sheetName val="좌측"/>
      <sheetName val="당초내역서"/>
      <sheetName val="A-4"/>
      <sheetName val="참고사항"/>
      <sheetName val="근로자자료입력"/>
      <sheetName val="단면가정"/>
      <sheetName val="일위대가표"/>
      <sheetName val="총괄표"/>
      <sheetName val="계획서"/>
      <sheetName val="도자"/>
      <sheetName val="덤프총괄"/>
      <sheetName val="순성토운반거리산정"/>
      <sheetName val="임목폐기물파쇄"/>
      <sheetName val="토적집계표"/>
      <sheetName val="벌목공"/>
      <sheetName val="유동(순성_최종)"/>
      <sheetName val="비옥토수거"/>
      <sheetName val="이기(집계)"/>
      <sheetName val="2차토량발생"/>
      <sheetName val="6PILE (돌출)"/>
      <sheetName val="흥양2교토공집계표"/>
      <sheetName val="JUCKEYK"/>
      <sheetName val="교차구"/>
      <sheetName val="설계예시"/>
      <sheetName val="전선 및 전선관"/>
      <sheetName val="수량산출서"/>
      <sheetName val="을"/>
      <sheetName val="전력구구조물산근"/>
      <sheetName val="자금신청서"/>
      <sheetName val="P.M 별"/>
      <sheetName val="REINF."/>
      <sheetName val="에너지동"/>
      <sheetName val="중기목록표"/>
      <sheetName val="토목검측서"/>
      <sheetName val="토적계산"/>
      <sheetName val="노임"/>
      <sheetName val="건축내역"/>
      <sheetName val="EP0618"/>
      <sheetName val="하천하류 철근수량 집계표"/>
      <sheetName val="6월인원"/>
      <sheetName val="상부공"/>
      <sheetName val="구조물공"/>
      <sheetName val="토공 total"/>
      <sheetName val="설계"/>
      <sheetName val="연결원본-절대지우지말것"/>
      <sheetName val="직노"/>
      <sheetName val="제직재"/>
      <sheetName val="제-노임"/>
      <sheetName val="일반공사"/>
      <sheetName val="저"/>
      <sheetName val="Sheet13"/>
      <sheetName val="Sheet14"/>
      <sheetName val="GEN"/>
      <sheetName val="실행대비"/>
      <sheetName val="내역서(교량)전체"/>
      <sheetName val="단가비교"/>
      <sheetName val="단위수량산출"/>
      <sheetName val="BOX-1510"/>
      <sheetName val="1련박스"/>
      <sheetName val="일위7"/>
      <sheetName val="일위6"/>
      <sheetName val="일위5"/>
      <sheetName val="노무단가비교표"/>
      <sheetName val="일위1"/>
      <sheetName val="일위2"/>
      <sheetName val="일위3"/>
      <sheetName val="일위4"/>
      <sheetName val="단가대비표"/>
      <sheetName val="일위8"/>
      <sheetName val="일위9"/>
      <sheetName val="철거산출근거"/>
      <sheetName val="목록"/>
      <sheetName val="자재단가표"/>
      <sheetName val="조합일"/>
      <sheetName val="철거일"/>
      <sheetName val="일위대가(1)"/>
      <sheetName val="공틀공사"/>
      <sheetName val="TYPE-A"/>
      <sheetName val="LOB"/>
      <sheetName val="C-직노1"/>
      <sheetName val="찍기"/>
      <sheetName val="우수맨홀공제단위수량"/>
      <sheetName val="부대토공"/>
      <sheetName val="차선위치조서"/>
      <sheetName val="용산1(해보)"/>
      <sheetName val="원형맨홀수량"/>
      <sheetName val=""/>
      <sheetName val="추진공"/>
      <sheetName val="설계내역"/>
      <sheetName val="견적서세부내용"/>
      <sheetName val="견적내용입력"/>
      <sheetName val="_x0018__x0000_℀"/>
      <sheetName val="CODE"/>
      <sheetName val="MOTOR"/>
      <sheetName val="날개벽수량표"/>
      <sheetName val="6PILE__(돌출)1"/>
      <sheetName val="토공_갑지1"/>
      <sheetName val="총_괄_표1"/>
      <sheetName val="1062-X방향_"/>
      <sheetName val="3_공통공사대비"/>
      <sheetName val="제출내역_(2)"/>
      <sheetName val="1_설계조건"/>
      <sheetName val="8_PILE__(돌출)"/>
      <sheetName val="1__설계조건_2_단면가정_3__하중계산"/>
      <sheetName val="DATA_입력란"/>
      <sheetName val="BOX_본체"/>
      <sheetName val="6PILE_과속방지턱집계표!$K$12_(돌출)"/>
      <sheetName val="선적schedule_(2)"/>
      <sheetName val="4_2유효폭의_계산"/>
      <sheetName val="TOWER_10TON"/>
      <sheetName val="TOWER_12TON"/>
      <sheetName val="PAD_TR보호대기초"/>
      <sheetName val="전차선로_물량표"/>
      <sheetName val="3_하중산정4_지지력"/>
      <sheetName val="Summary "/>
      <sheetName val="Thiet bi"/>
      <sheetName val="DM.ChiPhi"/>
      <sheetName val="MAIN GATE HOUSE"/>
      <sheetName val="escon"/>
      <sheetName val="표준단면수량(출력안함)"/>
      <sheetName val="상반기손익차2총괄"/>
      <sheetName val="영동(D)"/>
      <sheetName val="6MONTHS"/>
      <sheetName val="264"/>
      <sheetName val="6PILE__(돌출)2"/>
      <sheetName val="토공_갑지2"/>
      <sheetName val="총_괄_표2"/>
      <sheetName val="2_단면가정_1"/>
      <sheetName val="3BL공동구_수량1"/>
      <sheetName val="6PILE___돌출_1"/>
      <sheetName val="본선_토공_분배표1"/>
      <sheetName val="Sheet1_(2)1"/>
      <sheetName val="1062-X방향_1"/>
      <sheetName val="3_공통공사대비1"/>
      <sheetName val="제출내역_(2)1"/>
      <sheetName val="1_설계조건1"/>
      <sheetName val="8_PILE__(돌출)1"/>
      <sheetName val="단면_(2)1"/>
      <sheetName val="하도내역_(철콘)1"/>
      <sheetName val="1__설계조건_2_단면가정_3__하중계산1"/>
      <sheetName val="DATA_입력란1"/>
      <sheetName val="공사비증감(P4)_1"/>
      <sheetName val="BOX_본체1"/>
      <sheetName val="6PILE_과속방지턱집계표!$K$12_(돌출)1"/>
      <sheetName val="F301_3031"/>
      <sheetName val="plan&amp;section_of_foundation1"/>
      <sheetName val="design_load1"/>
      <sheetName val="working_load_at_the_btm_ft_1"/>
      <sheetName val="stability_check1"/>
      <sheetName val="design_criteria1"/>
      <sheetName val="선적schedule_(2)1"/>
      <sheetName val="4_2유효폭의_계산1"/>
      <sheetName val="TOWER_10TON1"/>
      <sheetName val="TOWER_12TON1"/>
      <sheetName val="PAD_TR보호대기초1"/>
      <sheetName val="전차선로_물량표1"/>
      <sheetName val="CAL(1)_1"/>
      <sheetName val="Bend_fact_1"/>
      <sheetName val="STAFF_ANALYSIS1"/>
      <sheetName val="3_하중산정4_지지력1"/>
      <sheetName val="간_지1"/>
      <sheetName val="01_견적내역서"/>
      <sheetName val="Part_AB"/>
      <sheetName val="Part_I"/>
      <sheetName val="Part_M"/>
      <sheetName val="할증_"/>
      <sheetName val="6PILE+옹벽집계!$G$6+옹벽집계!$H$10__(돌출"/>
      <sheetName val="S_중기사용료"/>
      <sheetName val="3련_BOX"/>
      <sheetName val="ASP_일반구간_250A"/>
      <sheetName val="Summary_"/>
      <sheetName val="Thiet_bi"/>
      <sheetName val="DM_ChiPhi"/>
      <sheetName val="MAIN_GATE_HOUSE"/>
      <sheetName val="2_교량(신설)"/>
      <sheetName val="I_설계조건"/>
      <sheetName val="01_인원현황_(계획)"/>
      <sheetName val="돌담교_상부수량"/>
      <sheetName val="6PILE___돌_"/>
      <sheetName val="1_수인터널"/>
      <sheetName val="dongia (2)"/>
      <sheetName val="負荷集計（断熱不燃）"/>
      <sheetName val="Div26 - Elect"/>
      <sheetName val="RAB AR&amp;STR"/>
      <sheetName val="electrical"/>
      <sheetName val="DANHPHAP"/>
      <sheetName val="6PILE  _돌_x005f_x001c__"/>
      <sheetName val="MTP"/>
      <sheetName val="산출근거-S1"/>
      <sheetName val=" FURNACE현설"/>
      <sheetName val="보험료산출"/>
      <sheetName val="산출내역(4월)"/>
      <sheetName val="산출내역(5월) (2)"/>
      <sheetName val="계수시트"/>
      <sheetName val="지장물조서"/>
      <sheetName val="맨홀수량산출"/>
      <sheetName val="주요자재집계"/>
      <sheetName val="중기목록"/>
      <sheetName val="운반단가"/>
      <sheetName val="INPUTDATA"/>
      <sheetName val="단가산출"/>
      <sheetName val="외자배분"/>
      <sheetName val="외자내역"/>
      <sheetName val="STEEL BOX 단면설계(SEC.8)"/>
      <sheetName val="단위자갈수량1"/>
      <sheetName val="수량"/>
      <sheetName val="시멘트 및 골재량 (슬래브)"/>
      <sheetName val="시멘트 및 골재량 (거더)"/>
      <sheetName val="자재 집계표"/>
      <sheetName val="공종별내역서"/>
      <sheetName val="도급견적가"/>
      <sheetName val="총집계"/>
      <sheetName val="평가데이터"/>
      <sheetName val="부대내역"/>
      <sheetName val="기존-내역"/>
      <sheetName val="Eq. Mobilization"/>
      <sheetName val="Benchmark"/>
      <sheetName val="광주전남"/>
      <sheetName val="인부노임"/>
      <sheetName val="배명(단가)"/>
      <sheetName val="경산"/>
      <sheetName val="공사명입력"/>
      <sheetName val="참고자료"/>
      <sheetName val="데이타"/>
      <sheetName val="우수공"/>
      <sheetName val="전기혼잡제경비(45)"/>
      <sheetName val="Pier 3"/>
      <sheetName val="구체"/>
      <sheetName val="좌측날개벽"/>
      <sheetName val="우측날개벽"/>
      <sheetName val="tggwan(mac)"/>
      <sheetName val="연결관암거"/>
      <sheetName val="트랜치 집수정 연결관-연장산출서"/>
      <sheetName val="배수장토목공사비"/>
      <sheetName val="공사개요"/>
      <sheetName val="A1-DATA"/>
      <sheetName val="단면"/>
      <sheetName val="업체선정"/>
      <sheetName val="대목"/>
      <sheetName val="옹벽집계표"/>
      <sheetName val="마산방향"/>
      <sheetName val="주형"/>
      <sheetName val="직원인원"/>
      <sheetName val="토공산출(시)"/>
      <sheetName val="토공산출(포)"/>
      <sheetName val="단가산출2"/>
      <sheetName val="중기사용료산출근거"/>
      <sheetName val="01. 지사동"/>
      <sheetName val="계약용량(서포)"/>
      <sheetName val="임목폐기물집계"/>
      <sheetName val="원가(조경)"/>
      <sheetName val="원가(토목)"/>
      <sheetName val="하수급견적대비"/>
      <sheetName val="전기일위대가"/>
      <sheetName val="모델링"/>
      <sheetName val="하중계산"/>
      <sheetName val="tifico"/>
      <sheetName val="EQT-ESTN"/>
      <sheetName val="PTdam"/>
      <sheetName val="Y_WORK"/>
      <sheetName val="wall"/>
      <sheetName val="내역검토사항"/>
      <sheetName val="간1"/>
      <sheetName val="공사예산서"/>
      <sheetName val="예산서(사급분)"/>
      <sheetName val="설계내역집계표"/>
      <sheetName val="간2"/>
      <sheetName val="총괄자재집계표"/>
      <sheetName val="수량총괄표"/>
      <sheetName val="간3"/>
      <sheetName val="품셈총괄표"/>
      <sheetName val="품셈"/>
      <sheetName val="간4"/>
      <sheetName val="부표총괄표"/>
      <sheetName val="부표"/>
      <sheetName val="간5"/>
      <sheetName val="별표총괄표"/>
      <sheetName val="별표"/>
      <sheetName val="운반거리"/>
      <sheetName val="간6"/>
      <sheetName val="간7"/>
      <sheetName val="단면검토"/>
      <sheetName val="토공정보"/>
      <sheetName val="집수정(600-700)"/>
      <sheetName val="GAEYO"/>
      <sheetName val="토공사"/>
      <sheetName val="Open"/>
      <sheetName val="우수관로단위수량(300)"/>
      <sheetName val="가시설(TYPE-A)"/>
      <sheetName val="1호맨홀가감수량"/>
      <sheetName val="1-1평균터파기고(1)"/>
      <sheetName val="1호맨홀수량산출"/>
      <sheetName val="MATERIAL"/>
      <sheetName val="3절_CheckList_구분"/>
      <sheetName val="개요"/>
      <sheetName val="입력시트"/>
      <sheetName val="흄관기초"/>
      <sheetName val="0"/>
      <sheetName val="날개수량1.5"/>
      <sheetName val="A LINE"/>
      <sheetName val="C.배수관공"/>
      <sheetName val="옹벽식측구단위"/>
      <sheetName val="_x0018_"/>
      <sheetName val="자재집계"/>
      <sheetName val="구조물철거개소별명세"/>
      <sheetName val="Finansal tamamlanma Eğrisi"/>
      <sheetName val="TESİSAT"/>
      <sheetName val="Finansal_tamamlanma_Eğrisi"/>
      <sheetName val="시중노임"/>
      <sheetName val="일위대가(가설)"/>
      <sheetName val="증감내역"/>
      <sheetName val="단가조사표"/>
      <sheetName val="각형맨홀"/>
      <sheetName val="요율"/>
      <sheetName val="전체철근집계"/>
      <sheetName val="과속방지턱"/>
      <sheetName val="사리부설"/>
      <sheetName val="4-1_노무비(직영)"/>
      <sheetName val="을_2"/>
      <sheetName val="을_1"/>
      <sheetName val="입출재고현황_(2)"/>
      <sheetName val="칠산대교_중앙부"/>
      <sheetName val="칠산대교_시종점부"/>
      <sheetName val="1_토공"/>
      <sheetName val="2_대외공문"/>
      <sheetName val="총수량_(기성)"/>
      <sheetName val="2_단면가정"/>
      <sheetName val="제수변수량H2_15"/>
      <sheetName val="T_T_P_단위수량"/>
      <sheetName val="BOX(1_5X1_5)"/>
      <sheetName val="전선_및_전선관"/>
      <sheetName val="96보완계획7_12"/>
      <sheetName val="전체변경예정공정표_2012_07_30"/>
      <sheetName val="토공_total"/>
      <sheetName val="화재_탐지_설비"/>
      <sheetName val="6PILE_(돌출)"/>
      <sheetName val="외주현황_wq1"/>
      <sheetName val="REINF_"/>
      <sheetName val="P_M_별"/>
      <sheetName val="99노임단가"/>
      <sheetName val="맨홀되메우기"/>
      <sheetName val="타견적(을)"/>
      <sheetName val="선급금신청서"/>
      <sheetName val="특2맨홀(차도)(T-A)"/>
      <sheetName val="특2맨홀(보도)(T-A)"/>
      <sheetName val="맨홀이음부 몰탈수량 집계표"/>
      <sheetName val="연결임시"/>
      <sheetName val="자판실행"/>
      <sheetName val="INPUT(덕도방향-시점)"/>
      <sheetName val="소방현물"/>
      <sheetName val="VS P-Q"/>
      <sheetName val="7.PILE  (돌출)"/>
      <sheetName val="작성"/>
      <sheetName val="danga"/>
      <sheetName val="ilch"/>
      <sheetName val="안정검토"/>
      <sheetName val="목창호"/>
      <sheetName val="준검 내역서"/>
      <sheetName val="setup"/>
      <sheetName val="U형측구 표준단면도"/>
      <sheetName val="깨؀"/>
      <sheetName val="깨٫"/>
      <sheetName val="일위대가-2"/>
      <sheetName val="교대(A1)"/>
      <sheetName val="98지급계획"/>
      <sheetName val="직공시공계획서"/>
      <sheetName val="일용노임단가"/>
      <sheetName val="95MAKER"/>
      <sheetName val="재료율"/>
      <sheetName val="일위대가(여기까지)"/>
      <sheetName val="금융"/>
      <sheetName val="Master"/>
      <sheetName val="6PILE  _돌_x005f_x005f_x005f_x001c__"/>
      <sheetName val="DG duoi"/>
      <sheetName val="DGCT"/>
      <sheetName val="Ts"/>
      <sheetName val="TH"/>
      <sheetName val="Bia"/>
      <sheetName val="Vattu"/>
      <sheetName val="XL4Poppy"/>
      <sheetName val="6PILE__(돌출)3"/>
      <sheetName val="토공_갑지3"/>
      <sheetName val="총_괄_표3"/>
      <sheetName val="2_단면가정_2"/>
      <sheetName val="3BL공동구_수량2"/>
      <sheetName val="6PILE___돌출_2"/>
      <sheetName val="Summary_1"/>
      <sheetName val="Thiet_bi1"/>
      <sheetName val="DM_ChiPhi1"/>
      <sheetName val="dongia_(2)"/>
      <sheetName val="RAB_AR&amp;STR"/>
      <sheetName val="Div26_-_Elect"/>
      <sheetName val="본선_토공_분배표2"/>
      <sheetName val="Sheet1_(2)2"/>
      <sheetName val="1062-X방향_2"/>
      <sheetName val="3_공통공사대비2"/>
      <sheetName val="제출내역_(2)2"/>
      <sheetName val="1_설계조건2"/>
      <sheetName val="8_PILE__(돌출)2"/>
      <sheetName val="단면_(2)2"/>
      <sheetName val="하도내역_(철콘)2"/>
      <sheetName val="1__설계조건_2_단면가정_3__하중계산2"/>
      <sheetName val="DATA_입력란2"/>
      <sheetName val="공사비증감(P4)_2"/>
      <sheetName val="BOX_본체2"/>
      <sheetName val="6PILE_과속방지턱집계표!$K$12_(돌출)2"/>
      <sheetName val="F301_3032"/>
      <sheetName val="plan&amp;section_of_foundation2"/>
      <sheetName val="design_load2"/>
      <sheetName val="working_load_at_the_btm_ft_2"/>
      <sheetName val="stability_check2"/>
      <sheetName val="design_criteria2"/>
      <sheetName val="선적schedule_(2)2"/>
      <sheetName val="4_2유효폭의_계산2"/>
      <sheetName val="TOWER_10TON2"/>
      <sheetName val="TOWER_12TON2"/>
      <sheetName val="PAD_TR보호대기초2"/>
      <sheetName val="전차선로_물량표2"/>
      <sheetName val="CAL(1)_2"/>
      <sheetName val="Bend_fact_2"/>
      <sheetName val="STAFF_ANALYSIS2"/>
      <sheetName val="3_하중산정4_지지력2"/>
      <sheetName val="간_지11"/>
      <sheetName val="01_견적내역서1"/>
      <sheetName val="Part_AB1"/>
      <sheetName val="Part_I1"/>
      <sheetName val="Part_M1"/>
      <sheetName val="할증_1"/>
      <sheetName val="6PILE+옹벽집계!$G$6+옹벽집계!$H$10__(돌1"/>
      <sheetName val="S_중기사용료1"/>
      <sheetName val="3련_BOX1"/>
      <sheetName val="MAIN_GATE_HOUSE1"/>
      <sheetName val="ASP_일반구간_250A1"/>
      <sheetName val="2_교량(신설)1"/>
      <sheetName val="I_설계조건1"/>
      <sheetName val="01_인원현황_(계획)1"/>
      <sheetName val="돌담교_상부수량1"/>
      <sheetName val="1_수인터널1"/>
      <sheetName val="입찰내역_발주처_양식"/>
      <sheetName val="6PILE___돌_x005f_x001c__"/>
      <sheetName val="Contents"/>
      <sheetName val="Form.A"/>
      <sheetName val="Electrical(ISBL)"/>
      <sheetName val="Form.C"/>
      <sheetName val="Form.D"/>
      <sheetName val="Form.E"/>
      <sheetName val="Form.F"/>
      <sheetName val="Form.G"/>
      <sheetName val="공정"/>
      <sheetName val="아파트 기성내역서"/>
      <sheetName val="dongia_(2)1"/>
      <sheetName val="Div26_-_Elect1"/>
      <sheetName val="RAB_AR&amp;STR1"/>
      <sheetName val="1_설계기준"/>
      <sheetName val="2_하중산정"/>
      <sheetName val="시멘트_및_골재량_(슬래브)"/>
      <sheetName val="시멘트_및_골재량_(거더)"/>
      <sheetName val="STEEL_BOX_단면설계(SEC_8)"/>
      <sheetName val="변경내역대비표(2)"/>
      <sheetName val="견적"/>
      <sheetName val="이형관"/>
      <sheetName val="방송(체육관)"/>
      <sheetName val="MANP"/>
      <sheetName val="SYSTEM 945 Air&amp;Nitrogen"/>
      <sheetName val="백분율"/>
      <sheetName val="PM Demolition "/>
      <sheetName val="마감물량"/>
      <sheetName val="산1~6"/>
      <sheetName val="중기조종사 단위단가"/>
      <sheetName val="금액결정"/>
      <sheetName val="0226"/>
      <sheetName val="CFS3"/>
      <sheetName val="USGC"/>
      <sheetName val="Equip."/>
      <sheetName val="database"/>
      <sheetName val="INFOR-ST"/>
      <sheetName val="TEN CONG TRINH"/>
      <sheetName val="Notes"/>
      <sheetName val="BANG TONG HOP (2)"/>
      <sheetName val="AUTOMATIC SELECT"/>
      <sheetName val="HVAC"/>
      <sheetName val="Riesgos y Oportunidades"/>
      <sheetName val="F4-F7"/>
      <sheetName val="단면치수"/>
      <sheetName val="배수관토공산출"/>
      <sheetName val="1회기성을"/>
      <sheetName val="관로연장산출"/>
      <sheetName val="가설대가"/>
      <sheetName val="토공대가"/>
      <sheetName val="구조대가"/>
      <sheetName val="포설대가1"/>
      <sheetName val="부대대가"/>
      <sheetName val="정산"/>
      <sheetName val="Cash Out Table"/>
      <sheetName val="Net Cash Table"/>
      <sheetName val="_x0018_?℀"/>
      <sheetName val="중기"/>
      <sheetName val="횡배위치"/>
      <sheetName val="분석"/>
      <sheetName val="본실행경비"/>
      <sheetName val="단위수량(출력X)"/>
      <sheetName val="도"/>
      <sheetName val="구성비"/>
      <sheetName val="NAI"/>
      <sheetName val="품셈총_x0000__x0000_"/>
      <sheetName val="시산표"/>
      <sheetName val="breakdown"/>
      <sheetName val="main1"/>
      <sheetName val="RefG"/>
      <sheetName val="IRR sponsor"/>
      <sheetName val="laroux"/>
      <sheetName val="1.설계조건 "/>
      <sheetName val="2.단면1"/>
      <sheetName val="2.단면2"/>
      <sheetName val="3.토압계산"/>
      <sheetName val="4.하중계산"/>
      <sheetName val="5.안정검토"/>
      <sheetName val="5.안정검토 (2)"/>
      <sheetName val="6.벽체계산"/>
      <sheetName val="7.FOOTING 계산(직접기초)"/>
      <sheetName val="7.PILE "/>
      <sheetName val="FOOTING 계산(PILE기초)"/>
      <sheetName val="FOOTING계산(돌출)"/>
      <sheetName val="BM"/>
      <sheetName val="BALAN1"/>
      <sheetName val="(10) Other Costs5"/>
      <sheetName val="LAST UPDATE"/>
      <sheetName val="h-013211-2"/>
      <sheetName val="Bill summary of cost"/>
      <sheetName val="INTERIOR WALLS"/>
      <sheetName val="LLEGADA"/>
      <sheetName val="GAE8'97"/>
      <sheetName val="CFA"/>
      <sheetName val="Material Price"/>
      <sheetName val="2.223M_due to adj profit"/>
      <sheetName val="Land Dev't. Ph-1"/>
      <sheetName val="GESTION FICHE"/>
      <sheetName val="TRADUCTION LISTES"/>
      <sheetName val="Table"/>
      <sheetName val="BQextra"/>
      <sheetName val="TOSHIBA-Structure"/>
      <sheetName val="8-31-98"/>
      <sheetName val="worksheet inchican"/>
      <sheetName val="combined 9-30"/>
      <sheetName val="현장관리비 산출내역"/>
      <sheetName val="포설list원본"/>
      <sheetName val="투입"/>
      <sheetName val="단위가격"/>
      <sheetName val="6PILE_______G_6_______H_10____2"/>
      <sheetName val="차선도색"/>
      <sheetName val="IMPEADENCE MAP 취수장"/>
      <sheetName val="G2설비도급"/>
      <sheetName val="기성집계"/>
      <sheetName val="Sheet9"/>
      <sheetName val="Sheet10"/>
      <sheetName val="전기자료"/>
      <sheetName val="TTL"/>
      <sheetName val="XXXXXX"/>
      <sheetName val="도면자료제출일정"/>
      <sheetName val="소도3교"/>
      <sheetName val="투자필요검토서(복수업체추천서 포함)"/>
      <sheetName val="격점관로집계"/>
      <sheetName val="일위대가-1"/>
      <sheetName val="철근단면적"/>
      <sheetName val="방배2E"/>
      <sheetName val="교사기준면적(초등)"/>
      <sheetName val="정공공사"/>
      <sheetName val="횡배수관"/>
      <sheetName val="총괄내역"/>
      <sheetName val="지장물현황"/>
      <sheetName val="분묘 총 현황"/>
      <sheetName val="지하매설물조서"/>
      <sheetName val="지장물도면"/>
      <sheetName val="미생물배양기 기초"/>
      <sheetName val="6PILE_______G_6_______H_10____3"/>
      <sheetName val="01__지사동"/>
      <sheetName val="하천하류_철근수량_집계표"/>
      <sheetName val="datasheet"/>
      <sheetName val="전계가"/>
      <sheetName val="ACUNIT"/>
      <sheetName val="보고서"/>
      <sheetName val="1_토공1"/>
      <sheetName val="S_중기사용료2"/>
      <sheetName val="1_토공2"/>
      <sheetName val="01_견적내역서2"/>
      <sheetName val="6PILE__(돌출)4"/>
      <sheetName val="2_단면가정_3"/>
      <sheetName val="6PILE___돌출_3"/>
      <sheetName val="3BL공동구_수량3"/>
      <sheetName val="하도내역_(철콘)3"/>
      <sheetName val="본선_토공_분배표3"/>
      <sheetName val="Sheet1_(2)3"/>
      <sheetName val="8_PILE__(돌출)3"/>
      <sheetName val="S_중기사용료3"/>
      <sheetName val="단면_(2)3"/>
      <sheetName val="3_공통공사대비3"/>
      <sheetName val="1062-X방향_3"/>
      <sheetName val="공사비증감(P4)_3"/>
      <sheetName val="1__설계조건_2_단면가정_3__하중계산3"/>
      <sheetName val="DATA_입력란3"/>
      <sheetName val="1_토공3"/>
      <sheetName val="01_견적내역서3"/>
      <sheetName val="제출내역_(2)3"/>
      <sheetName val="잡비계산"/>
      <sheetName val="98수문일위"/>
      <sheetName val="유리"/>
      <sheetName val="하중산정"/>
      <sheetName val="우배수"/>
      <sheetName val="공정계획(내부계획25%,내부w.f)"/>
      <sheetName val="AILC004"/>
      <sheetName val="배수공집계표"/>
      <sheetName val="갈현동"/>
      <sheetName val="동력부하계산"/>
      <sheetName val="토공_갑지4"/>
      <sheetName val="TOWER_10TON3"/>
      <sheetName val="TOWER_12TON3"/>
      <sheetName val="F301_3033"/>
      <sheetName val="plan&amp;section_of_foundation3"/>
      <sheetName val="design_load3"/>
      <sheetName val="working_load_at_the_btm_ft_3"/>
      <sheetName val="stability_check3"/>
      <sheetName val="design_criteria3"/>
      <sheetName val="선적schedule_(2)3"/>
      <sheetName val="총_괄_표4"/>
      <sheetName val="간_지12"/>
      <sheetName val="BOX_본체3"/>
      <sheetName val="PAD_TR보호대기초3"/>
      <sheetName val="전차선로_물량표3"/>
      <sheetName val="6PILE_과속방지턱집계표!$K$12_(돌출)3"/>
      <sheetName val="6PILE+옹벽집계!$G$6+옹벽집계!$H$10__(돌2"/>
      <sheetName val="3_하중산정4_지지력3"/>
      <sheetName val="4_2유효폭의_계산3"/>
      <sheetName val="01_인원현황_(계획)2"/>
      <sheetName val="2_교량(신설)2"/>
      <sheetName val="I_설계조건2"/>
      <sheetName val="BOX(1_5X1_5)1"/>
      <sheetName val="을_21"/>
      <sheetName val="을_11"/>
      <sheetName val="2_단면가정1"/>
      <sheetName val="Part_AB2"/>
      <sheetName val="Part_I2"/>
      <sheetName val="Part_M2"/>
      <sheetName val="제수변수량H2_151"/>
      <sheetName val="CAL(1)_3"/>
      <sheetName val="Bend_fact_3"/>
      <sheetName val="STAFF_ANALYSIS3"/>
      <sheetName val="입출재고현황_(2)1"/>
      <sheetName val="1_설계조건3"/>
      <sheetName val="총수량_(기성)1"/>
      <sheetName val="4-1_노무비(직영)1"/>
      <sheetName val="할증_2"/>
      <sheetName val="돌담교_상부수량2"/>
      <sheetName val="칠산대교_중앙부1"/>
      <sheetName val="칠산대교_시종점부1"/>
      <sheetName val="1_수인터널2"/>
      <sheetName val="3련_BOX2"/>
      <sheetName val="T_T_P_단위수량1"/>
      <sheetName val="2_대외공문1"/>
      <sheetName val="전선_및_전선관1"/>
      <sheetName val="ASP_일반구간_250A2"/>
      <sheetName val="2_하중산정1"/>
      <sheetName val="96보완계획7_121"/>
      <sheetName val="1_설계기준1"/>
      <sheetName val="Form_A1"/>
      <sheetName val="Form_C1"/>
      <sheetName val="Form_D1"/>
      <sheetName val="Form_E1"/>
      <sheetName val="Form_F1"/>
      <sheetName val="Form_G1"/>
      <sheetName val="_FURNACE현설1"/>
      <sheetName val="전체변경예정공정표_2012_07_301"/>
      <sheetName val="입찰내역_발주처_양식1"/>
      <sheetName val="화재_탐지_설비1"/>
      <sheetName val="6PILE_(돌출)1"/>
      <sheetName val="P_M_별1"/>
      <sheetName val="REINF_1"/>
      <sheetName val="하천하류_철근수량_집계표1"/>
      <sheetName val="토공_total1"/>
      <sheetName val="외주현황_wq11"/>
      <sheetName val="℀"/>
      <sheetName val="트랜치_집수정_연결관-연장산출서1"/>
      <sheetName val="Summary_2"/>
      <sheetName val="Thiet_bi2"/>
      <sheetName val="DM_ChiPhi2"/>
      <sheetName val="MAIN_GATE_HOUSE2"/>
      <sheetName val="Pier_31"/>
      <sheetName val="산출내역(5월)_(2)1"/>
      <sheetName val="STEEL_BOX_단면설계(SEC_8)1"/>
      <sheetName val="시멘트_및_골재량_(슬래브)1"/>
      <sheetName val="시멘트_및_골재량_(거더)1"/>
      <sheetName val="자재_집계표1"/>
      <sheetName val="6PILE___돌_x005f_x001c__1"/>
      <sheetName val="Eq__Mobilization1"/>
      <sheetName val="01__지사동1"/>
      <sheetName val="A_LINE1"/>
      <sheetName val="C_배수관공1"/>
      <sheetName val="Finansal_tamamlanma_Eğrisi2"/>
      <sheetName val="Form_A"/>
      <sheetName val="Form_C"/>
      <sheetName val="Form_D"/>
      <sheetName val="Form_E"/>
      <sheetName val="Form_F"/>
      <sheetName val="Form_G"/>
      <sheetName val="_FURNACE현설"/>
      <sheetName val="트랜치_집수정_연결관-연장산출서"/>
      <sheetName val="Pier_3"/>
      <sheetName val="산출내역(5월)_(2)"/>
      <sheetName val="자재_집계표"/>
      <sheetName val="Eq__Mobilization"/>
      <sheetName val="A_LINE"/>
      <sheetName val="C_배수관공"/>
      <sheetName val="Finansal_tamamlanma_Eğrisi1"/>
      <sheetName val="J直材4"/>
      <sheetName val="125x125"/>
      <sheetName val="Du lieu ban dau"/>
      <sheetName val="Earthwork"/>
      <sheetName val="149-2"/>
      <sheetName val="Đon gia"/>
      <sheetName val="Duc_bk"/>
      <sheetName val="Đơn Giá "/>
      <sheetName val="Config"/>
      <sheetName val="TH_CPTB"/>
      <sheetName val="CP Khac cuoc VC"/>
      <sheetName val="Rates"/>
      <sheetName val="T.KE CP1"/>
      <sheetName val="Rekap Addendum"/>
      <sheetName val="Hrg.Sat"/>
      <sheetName val="Sec I ML"/>
      <sheetName val=" PE-F-42 MR 9 Manpower"/>
      <sheetName val="On Time"/>
      <sheetName val="Curup"/>
      <sheetName val="Prabu"/>
      <sheetName val="PESANTREN"/>
      <sheetName val="G"/>
      <sheetName val="A"/>
      <sheetName val="IBASE"/>
      <sheetName val="EARTH WORKS"/>
      <sheetName val="B3A - TOWER A"/>
      <sheetName val="Bill of Qty MEP"/>
      <sheetName val="ctTBA"/>
      <sheetName val="PNT_QUOT__3"/>
      <sheetName val="COAT_WRAP_QIOT__3"/>
      <sheetName val="Nhan cong"/>
      <sheetName val="Gld"/>
      <sheetName val="Gxd"/>
      <sheetName val="QD957"/>
      <sheetName val="TBVL"/>
      <sheetName val="TLG Type"/>
      <sheetName val="BG"/>
      <sheetName val="Parem"/>
      <sheetName val="공사개요-C"/>
      <sheetName val="Items"/>
      <sheetName val="HESO"/>
      <sheetName val="TOTAL SUMMARY"/>
      <sheetName val="INFO"/>
      <sheetName val="SEX"/>
      <sheetName val="Takeoff"/>
      <sheetName val="FAB별"/>
      <sheetName val="수목데이타 "/>
      <sheetName val="1공구산출내역서"/>
      <sheetName val="수자재단위당"/>
      <sheetName val="기본단가"/>
      <sheetName val="인건비단가"/>
      <sheetName val="상부하중"/>
      <sheetName val="풍하중1"/>
      <sheetName val="음성방향"/>
      <sheetName val="T13(P68~72,78)"/>
      <sheetName val="출입구총집계"/>
      <sheetName val="기계공사"/>
      <sheetName val="공사비총"/>
      <sheetName val="토목공사"/>
      <sheetName val="견적 (2)"/>
      <sheetName val="WORK"/>
      <sheetName val="Y-WORK"/>
      <sheetName val="토공집계"/>
      <sheetName val="제1종배수관"/>
      <sheetName val="제2종배수관"/>
      <sheetName val="제4종배수관"/>
      <sheetName val="안정계산"/>
      <sheetName val="터널조도"/>
      <sheetName val="노임이"/>
      <sheetName val="본사인상전"/>
      <sheetName val="내부산출서"/>
      <sheetName val="VC2 8.98"/>
      <sheetName val="적용환율"/>
      <sheetName val="BREAKDOWN(철거설치)"/>
      <sheetName val="경비2내역"/>
      <sheetName val="Item#9.3"/>
      <sheetName val="Item#1.9"/>
      <sheetName val="Item#6.7"/>
      <sheetName val="Item#2.6"/>
      <sheetName val="Item#4.10"/>
      <sheetName val="Item#5.8"/>
      <sheetName val="Item#7.21"/>
      <sheetName val="Item#3.8"/>
      <sheetName val="Item#8.7"/>
      <sheetName val="DESBAST"/>
      <sheetName val="Arch"/>
      <sheetName val="チューブ仕様"/>
      <sheetName val="Insulation_Utl_Off"/>
      <sheetName val="Note_Piping"/>
      <sheetName val="Forecast"/>
      <sheetName val="part j"/>
      <sheetName val="Part B"/>
      <sheetName val="UPA (C)"/>
      <sheetName val="Regenerator  Concrete Structure"/>
      <sheetName val="Ex-Rate"/>
      <sheetName val="WORKER"/>
      <sheetName val="Schedule S-Curve Revision#3"/>
      <sheetName val="Master Data"/>
      <sheetName val="石炭性状"/>
      <sheetName val="PSV2701F"/>
      <sheetName val="DESBASTE"/>
      <sheetName val="IncStat 03-04"/>
      <sheetName val="IncStat 03  "/>
      <sheetName val="Авансы по СНГ"/>
      <sheetName val="LOADDAT"/>
      <sheetName val="UNIT 3"/>
      <sheetName val="Cashflow Analysis"/>
      <sheetName val="運転条件一覧"/>
      <sheetName val="물가자료"/>
      <sheetName val="가로등내역서"/>
      <sheetName val="SC1"/>
      <sheetName val="능률"/>
      <sheetName val="SYSTEM_945_Air&amp;Nitrogen"/>
      <sheetName val="PM_Demolition_"/>
      <sheetName val="Equip_"/>
      <sheetName val="plumbing"/>
      <sheetName val="pro ra op"/>
      <sheetName val="grafik"/>
      <sheetName val="Sch"/>
      <sheetName val="HARGA MATERIAL"/>
      <sheetName val="CH-RANC"/>
      <sheetName val="Competitors"/>
      <sheetName val="VV-REV2"/>
      <sheetName val="DIV.1"/>
      <sheetName val="analisa"/>
      <sheetName val="ALAT"/>
      <sheetName val="BAHAN"/>
      <sheetName val="Analisa Harga"/>
      <sheetName val="BQ"/>
      <sheetName val="hsp-STR-ARS"/>
      <sheetName val="Summary"/>
      <sheetName val="Analisa Harga Satuan"/>
      <sheetName val="Bank"/>
      <sheetName val="Hrg Satuan"/>
      <sheetName val="Public Area"/>
      <sheetName val="analis standar(8m)"/>
      <sheetName val="GRAND TOTAL"/>
      <sheetName val="div2"/>
      <sheetName val="Daf 1"/>
      <sheetName val="EQ_an"/>
      <sheetName val="LISTRIK"/>
      <sheetName val="VA_code"/>
      <sheetName val="Persiapan"/>
      <sheetName val="95삼성급(본사)"/>
      <sheetName val="TB"/>
      <sheetName val="Spec ME"/>
      <sheetName val="Balok"/>
      <sheetName val="Factor"/>
      <sheetName val="BOQ CBM"/>
      <sheetName val="PileCap"/>
      <sheetName val="REQDELTA"/>
      <sheetName val="BAG_2"/>
      <sheetName val="I_KAMAR"/>
      <sheetName val="Analisa HSP"/>
      <sheetName val="Pipe"/>
      <sheetName val="ELEC_DCI"/>
      <sheetName val="INST_DCI"/>
      <sheetName val="RAB"/>
      <sheetName val="PRO_DCI"/>
      <sheetName val="HVAC_DCI"/>
      <sheetName val="PIPE_DCI"/>
      <sheetName val="4-Basic Price"/>
      <sheetName val="villa"/>
      <sheetName val="Harsat Upah"/>
      <sheetName val="Perhitungan Besi"/>
      <sheetName val="노무비단가"/>
      <sheetName val="상반기손익차2瓐쓏"/>
      <sheetName val="간접1"/>
      <sheetName val="잡석,기타"/>
      <sheetName val="토공 (3)"/>
      <sheetName val="연장,면적"/>
      <sheetName val="보강토옹벽총계"/>
      <sheetName val="토공 (2)"/>
      <sheetName val="우수공수량총괄"/>
      <sheetName val="오수공총괄"/>
      <sheetName val="상수총괄"/>
      <sheetName val=" 비점오염저감시설"/>
      <sheetName val="세륜장"/>
      <sheetName val="1호맨홀가시설토공(2~4)"/>
      <sheetName val="1호맨홀토공 (4)"/>
      <sheetName val="1호맨홀연결관토공 (2)"/>
      <sheetName val="시설물일위"/>
      <sheetName val="기계경비(시간당)"/>
      <sheetName val="램머"/>
      <sheetName val="식재인부"/>
      <sheetName val="시설물기초"/>
      <sheetName val="SLAB"/>
      <sheetName val="세목전체"/>
      <sheetName val="제경비율"/>
      <sheetName val="현장지지물물량"/>
      <sheetName val="CAUDIT"/>
      <sheetName val="평균터파기고(1-2,ASP)"/>
      <sheetName val="L밽P"/>
      <sheetName val="L밽©"/>
      <sheetName val="L_x0002__x0000_"/>
      <sheetName val="이토변실"/>
      <sheetName val="_x005f_xffff__x005f_xffff__x005f_xffff__x005f_xffff_"/>
      <sheetName val="_x005f_x0018__x005f_x0000_℀"/>
      <sheetName val="토목내역"/>
      <sheetName val="공예을"/>
      <sheetName val="도급"/>
      <sheetName val="01"/>
      <sheetName val="Mc1"/>
      <sheetName val="6PILE_옹_____G_6_옹_____H_10____2"/>
      <sheetName val="맨홀조서"/>
      <sheetName val="관경결정"/>
      <sheetName val="검사원"/>
      <sheetName val="기성요약서"/>
      <sheetName val="원가계산서"/>
      <sheetName val="공종별집계표"/>
      <sheetName val="간지1"/>
      <sheetName val="순공사비산출서"/>
      <sheetName val="#첨부서류"/>
      <sheetName val="목차"/>
      <sheetName val="보험료정산내역서"/>
      <sheetName val="산갑"/>
      <sheetName val="안전관리비사용내역서(총괄표)"/>
      <sheetName val="품질갑지"/>
      <sheetName val="매몰부검측갑지"/>
      <sheetName val="관급수불부갑지"/>
      <sheetName val="사급수불부갑지"/>
      <sheetName val="노무비지급대장갑지"/>
      <sheetName val="사진대지갑"/>
      <sheetName val="기성사진대지"/>
      <sheetName val="기성검사사진"/>
      <sheetName val="암거날개벽재료집계"/>
      <sheetName val="용산3(영광)"/>
      <sheetName val="견적을지"/>
      <sheetName val="Sheet6"/>
      <sheetName val="공통부대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sheetData sheetId="626"/>
      <sheetData sheetId="627"/>
      <sheetData sheetId="628"/>
      <sheetData sheetId="629" refreshError="1"/>
      <sheetData sheetId="630" refreshError="1"/>
      <sheetData sheetId="631" refreshError="1"/>
      <sheetData sheetId="632" refreshError="1"/>
      <sheetData sheetId="633" refreshError="1"/>
      <sheetData sheetId="634"/>
      <sheetData sheetId="635"/>
      <sheetData sheetId="636" refreshError="1"/>
      <sheetData sheetId="637" refreshError="1"/>
      <sheetData sheetId="638"/>
      <sheetData sheetId="639" refreshError="1"/>
      <sheetData sheetId="640" refreshError="1"/>
      <sheetData sheetId="641"/>
      <sheetData sheetId="642"/>
      <sheetData sheetId="643"/>
      <sheetData sheetId="644"/>
      <sheetData sheetId="645"/>
      <sheetData sheetId="646"/>
      <sheetData sheetId="647" refreshError="1"/>
      <sheetData sheetId="648" refreshError="1"/>
      <sheetData sheetId="649" refreshError="1"/>
      <sheetData sheetId="650" refreshError="1"/>
      <sheetData sheetId="651" refreshError="1"/>
      <sheetData sheetId="652" refreshError="1"/>
      <sheetData sheetId="653"/>
      <sheetData sheetId="654"/>
      <sheetData sheetId="655"/>
      <sheetData sheetId="656" refreshError="1"/>
      <sheetData sheetId="657"/>
      <sheetData sheetId="658"/>
      <sheetData sheetId="659"/>
      <sheetData sheetId="660"/>
      <sheetData sheetId="661"/>
      <sheetData sheetId="662"/>
      <sheetData sheetId="663"/>
      <sheetData sheetId="664"/>
      <sheetData sheetId="665"/>
      <sheetData sheetId="666"/>
      <sheetData sheetId="667" refreshError="1"/>
      <sheetData sheetId="668" refreshError="1"/>
      <sheetData sheetId="669" refreshError="1"/>
      <sheetData sheetId="670" refreshError="1"/>
      <sheetData sheetId="671"/>
      <sheetData sheetId="672"/>
      <sheetData sheetId="673"/>
      <sheetData sheetId="674"/>
      <sheetData sheetId="675"/>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sheetData sheetId="878"/>
      <sheetData sheetId="879"/>
      <sheetData sheetId="880"/>
      <sheetData sheetId="881"/>
      <sheetData sheetId="882"/>
      <sheetData sheetId="883" refreshError="1"/>
      <sheetData sheetId="884" refreshError="1"/>
      <sheetData sheetId="885" refreshError="1"/>
      <sheetData sheetId="886" refreshError="1"/>
      <sheetData sheetId="887" refreshError="1"/>
      <sheetData sheetId="888" refreshError="1"/>
      <sheetData sheetId="889"/>
      <sheetData sheetId="890"/>
      <sheetData sheetId="891"/>
      <sheetData sheetId="892"/>
      <sheetData sheetId="893"/>
      <sheetData sheetId="894" refreshError="1"/>
      <sheetData sheetId="895"/>
      <sheetData sheetId="896"/>
      <sheetData sheetId="897"/>
      <sheetData sheetId="898"/>
      <sheetData sheetId="899"/>
      <sheetData sheetId="900"/>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sheetData sheetId="941"/>
      <sheetData sheetId="942"/>
      <sheetData sheetId="943"/>
      <sheetData sheetId="944" refreshError="1"/>
      <sheetData sheetId="945" refreshError="1"/>
      <sheetData sheetId="946" refreshError="1"/>
      <sheetData sheetId="947"/>
      <sheetData sheetId="948"/>
      <sheetData sheetId="949"/>
      <sheetData sheetId="950"/>
      <sheetData sheetId="951"/>
      <sheetData sheetId="952"/>
      <sheetData sheetId="953"/>
      <sheetData sheetId="954"/>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refreshError="1"/>
      <sheetData sheetId="994" refreshError="1"/>
      <sheetData sheetId="995"/>
      <sheetData sheetId="996" refreshError="1"/>
      <sheetData sheetId="997" refreshError="1"/>
      <sheetData sheetId="998" refreshError="1"/>
      <sheetData sheetId="999" refreshError="1"/>
      <sheetData sheetId="1000" refreshError="1"/>
      <sheetData sheetId="100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sheetData sheetId="1073"/>
      <sheetData sheetId="1074" refreshError="1"/>
      <sheetData sheetId="1075" refreshError="1"/>
      <sheetData sheetId="1076" refreshError="1"/>
      <sheetData sheetId="1077" refreshError="1"/>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refreshError="1"/>
      <sheetData sheetId="1189" refreshError="1"/>
      <sheetData sheetId="1190" refreshError="1"/>
      <sheetData sheetId="1191" refreshError="1"/>
      <sheetData sheetId="1192" refreshError="1"/>
      <sheetData sheetId="1193" refreshError="1"/>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sheetData sheetId="1322"/>
      <sheetData sheetId="1323"/>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efreshError="1"/>
      <sheetData sheetId="1436" refreshError="1"/>
      <sheetData sheetId="1437" refreshError="1"/>
      <sheetData sheetId="143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CTEMCOST"/>
      <sheetName val="SCHEDULE"/>
      <sheetName val="ELECTRIC"/>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e1"/>
      <sheetName val="시작"/>
      <sheetName val="투자효율분석"/>
      <sheetName val="공사설명서"/>
      <sheetName val="공사계획서"/>
      <sheetName val="공사비예산서"/>
      <sheetName val="케이블피스표"/>
      <sheetName val="기별(종합)"/>
      <sheetName val="기별(수궁)"/>
      <sheetName val="기별(중앙상가)"/>
      <sheetName val="기별(대림1)"/>
      <sheetName val="기별(신정교)"/>
      <sheetName val="기별(개포4)"/>
      <sheetName val="기별(동해역)"/>
      <sheetName val="기별(풍동)"/>
      <sheetName val="기별(교현3)"/>
      <sheetName val="기별(방축2)"/>
      <sheetName val="기안"/>
      <sheetName val="투자효율"/>
      <sheetName val="기별(교동)"/>
      <sheetName val="기별(다리안)"/>
      <sheetName val="공사지시서(감)"/>
      <sheetName val="공사지시서 (시)"/>
      <sheetName val="계통도"/>
      <sheetName val="설계명세서(선로)"/>
      <sheetName val="주자재내역"/>
      <sheetName val="설계명세서 (장비)"/>
      <sheetName val="공사계획서류"/>
      <sheetName val="기본요율"/>
      <sheetName val="cost980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
      <sheetName val="PILE"/>
      <sheetName val="공통비"/>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교동현장"/>
      <sheetName val="공사개요"/>
      <sheetName val="fax"/>
      <sheetName val="협조문"/>
      <sheetName val="협조전"/>
      <sheetName val="속초교동"/>
      <sheetName val="건축대비"/>
      <sheetName val="토목공사"/>
      <sheetName val="개략건축"/>
      <sheetName val="옵션물량분개"/>
      <sheetName val="목,창호공사"/>
      <sheetName val="목문틀단가"/>
      <sheetName val="미장대비"/>
      <sheetName val="시행대비"/>
      <sheetName val="시행대비 (2)"/>
      <sheetName val="도배공사(현장통보)"/>
      <sheetName val="유리분개"/>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유림골조"/>
      <sheetName val="변경연면적"/>
      <sheetName val="품의서"/>
      <sheetName val="건축대비"/>
      <sheetName val="부대골조"/>
      <sheetName val="아파트파일공사"/>
      <sheetName val="부대파일공사"/>
      <sheetName val="공제분"/>
      <sheetName val="상승요인분석"/>
      <sheetName val="토목공사"/>
      <sheetName val="옥외"/>
      <sheetName val="물가상승변경(960827)"/>
      <sheetName val="건축부대공사대비"/>
      <sheetName val="Sheet4"/>
      <sheetName val="공기"/>
      <sheetName val="새공통(97년3월)"/>
      <sheetName val="공사개요"/>
      <sheetName val="파일공사"/>
      <sheetName val="물량산출"/>
      <sheetName val="면적대비"/>
      <sheetName val="apt골조"/>
      <sheetName val="Sheet2"/>
      <sheetName val="Sheet3"/>
      <sheetName val="도곡동빌라트보관"/>
      <sheetName val="공사비대비"/>
      <sheetName val="Sheet5"/>
      <sheetName val="Sheet6"/>
      <sheetName val="전기"/>
      <sheetName val="12.27"/>
      <sheetName val="12.23"/>
      <sheetName val="12.16"/>
      <sheetName val="12.9"/>
      <sheetName val="12.1"/>
      <sheetName val="11.25"/>
      <sheetName val="예비2"/>
      <sheetName val="11.18"/>
      <sheetName val="10월 4"/>
      <sheetName val="10월 3"/>
      <sheetName val="사진"/>
      <sheetName val="Sheet1"/>
      <sheetName val="공사현황"/>
      <sheetName val="직원투입계획"/>
      <sheetName val="현채투입계획"/>
      <sheetName val="산출내역서"/>
      <sheetName val="마산월령동골조물량변경"/>
      <sheetName val="일위대가표"/>
      <sheetName val="현장현황"/>
      <sheetName val="공통부대비"/>
      <sheetName val="일용노임단가"/>
      <sheetName val="갑지"/>
      <sheetName val="TOWER 10TON"/>
      <sheetName val="TOWER 12TON"/>
      <sheetName val="#REF"/>
      <sheetName val="공통비총괄표"/>
      <sheetName val="상반기손익차2총괄"/>
      <sheetName val="경산"/>
      <sheetName val="내역"/>
      <sheetName val="노임단가"/>
      <sheetName val="P.M 별"/>
      <sheetName val="구의33고"/>
      <sheetName val="총괄표"/>
      <sheetName val="배수내역"/>
      <sheetName val="금융비용"/>
      <sheetName val="DHEQSUPT"/>
      <sheetName val="기초코드"/>
      <sheetName val="주요공사"/>
      <sheetName val="결과조달"/>
      <sheetName val="공무공A"/>
      <sheetName val="금액내역서"/>
      <sheetName val="3단계"/>
      <sheetName val="2단계"/>
      <sheetName val="수입"/>
      <sheetName val="70%"/>
      <sheetName val="대비"/>
      <sheetName val="2.대외공문"/>
      <sheetName val="공문"/>
      <sheetName val="Eq. Mobilization"/>
      <sheetName val="9811"/>
      <sheetName val="코드"/>
      <sheetName val="임대계획"/>
      <sheetName val="적상기초자료"/>
      <sheetName val="D-623D"/>
      <sheetName val="내역(중앙)"/>
      <sheetName val="기계"/>
      <sheetName val="정화조"/>
      <sheetName val="조경"/>
      <sheetName val="토목"/>
      <sheetName val="9509"/>
      <sheetName val="현장"/>
      <sheetName val="M-EQPT-Z"/>
      <sheetName val="MixBed"/>
      <sheetName val="CondPol"/>
      <sheetName val="기초일위"/>
      <sheetName val="시설일위"/>
      <sheetName val="조명일위"/>
      <sheetName val="노임이"/>
      <sheetName val="관람석제출"/>
      <sheetName val="집계표"/>
      <sheetName val="CB"/>
      <sheetName val="자재(원원+원대)"/>
      <sheetName val="청산공사"/>
      <sheetName val="공통비총퐛"/>
      <sheetName val="입찰보고"/>
      <sheetName val="납부서"/>
      <sheetName val="날개벽"/>
      <sheetName val="매립"/>
      <sheetName val="W-현원가"/>
      <sheetName val="공사비집계"/>
      <sheetName val="단가비교표"/>
      <sheetName val="TRE TABLE"/>
      <sheetName val="내역_FILE"/>
      <sheetName val="Total"/>
      <sheetName val="SCHEDULE"/>
      <sheetName val="ELECTRIC"/>
      <sheetName val="CTEMCOST"/>
      <sheetName val="Sheet2 (2)"/>
      <sheetName val="냉천부속동"/>
      <sheetName val="회사99"/>
      <sheetName val="대여현황"/>
      <sheetName val="하수급견적대비"/>
      <sheetName val="현장관리비"/>
      <sheetName val="골조시행"/>
      <sheetName val="와동25-3(변경)"/>
      <sheetName val="일위대가(가설)"/>
      <sheetName val="공사비예산서(토목분)"/>
      <sheetName val="가격조사서"/>
      <sheetName val="터파기및재료"/>
      <sheetName val="01"/>
      <sheetName val="입찰"/>
      <sheetName val="현경"/>
      <sheetName val="Sheet15"/>
      <sheetName val="식재인부"/>
      <sheetName val="본사공가현황"/>
      <sheetName val="실행"/>
      <sheetName val="연돌일위집계"/>
      <sheetName val="유림총괄"/>
      <sheetName val="연결임시"/>
      <sheetName val="입력"/>
      <sheetName val="단면 (2)"/>
      <sheetName val="10월실적마감"/>
      <sheetName val="7월실적마감"/>
      <sheetName val="8월실적마감"/>
      <sheetName val="9월실적마감"/>
      <sheetName val="원가계산서"/>
      <sheetName val="방수"/>
      <sheetName val="소방기계"/>
      <sheetName val="데이타"/>
      <sheetName val="직재"/>
      <sheetName val="예가표"/>
      <sheetName val="물량내역"/>
      <sheetName val="도근좌표"/>
      <sheetName val="연습"/>
      <sheetName val="내역서"/>
      <sheetName val="총괄내역서"/>
      <sheetName val="14 장비소요계획"/>
      <sheetName val="설계내역서"/>
      <sheetName val="문10"/>
      <sheetName val="노무비"/>
      <sheetName val="투입비분석표"/>
      <sheetName val="면접시간확인"/>
      <sheetName val="재집"/>
      <sheetName val="월별수입"/>
      <sheetName val="6PILE  (돌출)"/>
      <sheetName val="신대방33(적용)"/>
      <sheetName val="차액보증"/>
      <sheetName val="에너지동"/>
      <sheetName val="3.설계예산내역서(예산서)"/>
      <sheetName val="2.예정공정표"/>
      <sheetName val="예총"/>
      <sheetName val="BOJUNGGM"/>
      <sheetName val="원가계산서(남측)"/>
      <sheetName val="경영상태"/>
      <sheetName val="백분율"/>
      <sheetName val="토목주소"/>
      <sheetName val="프랜트면허"/>
      <sheetName val="형틀공사"/>
      <sheetName val="매각(6)"/>
      <sheetName val="2.형틀공사집계"/>
      <sheetName val="정보"/>
      <sheetName val="갑지(추정)"/>
      <sheetName val="구조물공"/>
      <sheetName val="부대공"/>
      <sheetName val="배수공"/>
      <sheetName val="토공"/>
      <sheetName val="포장공"/>
      <sheetName val="잡비"/>
      <sheetName val="설직재-1"/>
      <sheetName val="관급"/>
      <sheetName val="JIB CRANE,HOIST"/>
      <sheetName val="3.공통공사대비"/>
      <sheetName val="실행대비"/>
      <sheetName val="J直材4"/>
      <sheetName val="집계표(육상)"/>
      <sheetName val="지급자재"/>
      <sheetName val="간접비"/>
      <sheetName val="교통대책내역"/>
      <sheetName val="몰탈콘크리트"/>
      <sheetName val="철근집계"/>
      <sheetName val="현금흐름"/>
      <sheetName val="수주현황2월"/>
      <sheetName val="BID"/>
      <sheetName val="1.취수장"/>
      <sheetName val="4차원가계산서"/>
      <sheetName val="3.바닥판  "/>
      <sheetName val="입찰안"/>
      <sheetName val="일위대가(계측기설치)"/>
      <sheetName val="산거각호표"/>
      <sheetName val="손익차9월2"/>
      <sheetName val="업무분장"/>
      <sheetName val="Sheet17"/>
      <sheetName val="cp1"/>
      <sheetName val="2000년1차"/>
      <sheetName val="도급,하도급 예정금액"/>
      <sheetName val="실행간접비용"/>
      <sheetName val="수량산출"/>
      <sheetName val="마감사양"/>
      <sheetName val="다곡2교"/>
      <sheetName val="집계"/>
      <sheetName val="일위대가"/>
      <sheetName val="DATE"/>
      <sheetName val="방배동내역(리라)"/>
      <sheetName val="부대공사총괄"/>
      <sheetName val="현장경비"/>
      <sheetName val="건축공사집계표"/>
      <sheetName val="교각1"/>
      <sheetName val="2.ㄱ)교량"/>
      <sheetName val="1차 내역서"/>
      <sheetName val="현금흐름(SPC)"/>
      <sheetName val="단가"/>
      <sheetName val="N賃率-職"/>
      <sheetName val="SG"/>
      <sheetName val="단가산출2"/>
      <sheetName val="대치판정"/>
      <sheetName val="전장품(관리용)"/>
      <sheetName val="건축내역"/>
      <sheetName val="BASIC (2)"/>
      <sheetName val="부서현황"/>
      <sheetName val="공량산출서"/>
      <sheetName val="변경내역"/>
      <sheetName val="적점"/>
      <sheetName val="돈암사업"/>
      <sheetName val="9GNG운반"/>
      <sheetName val="배수내역 (2)"/>
      <sheetName val="목표세부명세"/>
      <sheetName val="수목데이타 "/>
      <sheetName val="실행(ALT1)"/>
      <sheetName val="관로토공"/>
      <sheetName val="마포토정"/>
      <sheetName val="부대tu"/>
      <sheetName val="직노"/>
      <sheetName val="친환경주택"/>
      <sheetName val="설비(제출)"/>
      <sheetName val="소비자가"/>
      <sheetName val="1ST"/>
      <sheetName val="공통비(전체)"/>
      <sheetName val="자동제어"/>
      <sheetName val="청구"/>
      <sheetName val="1.우편집중내역서"/>
      <sheetName val="2차공사"/>
      <sheetName val="대비표"/>
      <sheetName val="배수관공"/>
      <sheetName val="우,오수"/>
      <sheetName val="대림경상68억"/>
      <sheetName val="해외(원화)"/>
      <sheetName val="실행내역"/>
      <sheetName val="기초목"/>
      <sheetName val="부산제일극장"/>
      <sheetName val="기초1"/>
      <sheetName val="일위목록"/>
      <sheetName val="금액순"/>
      <sheetName val="세금자료"/>
      <sheetName val="입찰내역 발주처 양식"/>
      <sheetName val="공정"/>
      <sheetName val="토공(우물통,기타) "/>
      <sheetName val="집수정_600_700_"/>
      <sheetName val="직접인건비"/>
      <sheetName val="직접경비"/>
      <sheetName val="첨부1"/>
      <sheetName val="__"/>
      <sheetName val="간접"/>
      <sheetName val="사통"/>
      <sheetName val="수지표"/>
      <sheetName val="전통건설"/>
      <sheetName val="소일위대가코드표"/>
      <sheetName val="견적초기자료"/>
      <sheetName val="Ctrl"/>
      <sheetName val="이자"/>
      <sheetName val="변제"/>
      <sheetName val="상환대상"/>
      <sheetName val="7월11일"/>
      <sheetName val="1062-X방향 "/>
      <sheetName val="attchament-Work Trade"/>
      <sheetName val="attchament-Type of Facilities"/>
      <sheetName val="기계경비(시간당)"/>
      <sheetName val="AS복구"/>
      <sheetName val="중기터파기"/>
      <sheetName val="변수값"/>
      <sheetName val="중기상차"/>
      <sheetName val="토사(PE)"/>
      <sheetName val="CONCRETE"/>
      <sheetName val="교사기준면적(초등)"/>
      <sheetName val="CON'C"/>
      <sheetName val="총괄"/>
      <sheetName val="견적서(갑지)"/>
      <sheetName val="TC#1"/>
      <sheetName val="TC#2"/>
      <sheetName val="TC#3"/>
      <sheetName val="TC#4"/>
      <sheetName val="TC#5"/>
      <sheetName val="TC#6"/>
      <sheetName val="해체용 크레인1"/>
      <sheetName val="해체용 크레인2"/>
      <sheetName val="ADmin"/>
      <sheetName val="95년12월말"/>
      <sheetName val="9512BS-1"/>
      <sheetName val="pier(각형)"/>
      <sheetName val="96노임기준"/>
      <sheetName val="관접합및부설"/>
      <sheetName val="대구역사"/>
      <sheetName val="작성가이드"/>
      <sheetName val="Z"/>
      <sheetName val="Cash2"/>
      <sheetName val="Ref."/>
      <sheetName val="도급원가"/>
      <sheetName val="5사남"/>
      <sheetName val="기준및분포(OT)"/>
      <sheetName val="산근"/>
      <sheetName val="Currency"/>
      <sheetName val="Phan tich ca may"/>
      <sheetName val="Chenh lech ca may"/>
      <sheetName val="TLg CN&amp;Laixe"/>
      <sheetName val="TLg CN&amp;Laixe (2)"/>
      <sheetName val="TLg Laitau"/>
      <sheetName val="TLg Laitau (2)"/>
      <sheetName val="escon"/>
      <sheetName val="tifico"/>
      <sheetName val="민감도"/>
      <sheetName val="국영"/>
      <sheetName val="Control Sheet"/>
      <sheetName val="별제권_정리담보권1"/>
      <sheetName val="제출계산서"/>
      <sheetName val="침하계"/>
      <sheetName val="mat status (elec)"/>
      <sheetName val="자료"/>
      <sheetName val="견적서-골조공사"/>
      <sheetName val="12_27"/>
      <sheetName val="12_23"/>
      <sheetName val="12_16"/>
      <sheetName val="12_9"/>
      <sheetName val="12_1"/>
      <sheetName val="11_25"/>
      <sheetName val="11_18"/>
      <sheetName val="10월_4"/>
      <sheetName val="10월_3"/>
      <sheetName val="TOWER_10TON"/>
      <sheetName val="TOWER_12TON"/>
      <sheetName val="P_M_별"/>
      <sheetName val="2_대외공문"/>
      <sheetName val="Eq__Mobilization"/>
      <sheetName val="TRE_TABLE"/>
      <sheetName val="Sheet2_(2)"/>
      <sheetName val="단면_(2)"/>
      <sheetName val="14_장비소요계획"/>
      <sheetName val="6PILE__(돌출)"/>
      <sheetName val="3_설계예산내역서(예산서)"/>
      <sheetName val="2_예정공정표"/>
      <sheetName val="2_형틀공사집계"/>
      <sheetName val="JIB_CRANE,HOIST"/>
      <sheetName val="3_공통공사대비"/>
      <sheetName val="1_취수장"/>
      <sheetName val="3_바닥판__"/>
      <sheetName val="도급,하도급_예정금액"/>
      <sheetName val="1차_내역서"/>
      <sheetName val="BASIC_(2)"/>
      <sheetName val="2_ㄱ)교량"/>
      <sheetName val="배수내역_(2)"/>
      <sheetName val="수목데이타_"/>
      <sheetName val="1_우편집중내역서"/>
      <sheetName val="입찰내역_발주처_양식"/>
      <sheetName val="토공(우물통,기타)_"/>
      <sheetName val="화전내"/>
      <sheetName val="7월"/>
      <sheetName val="POL6차-PIPING"/>
      <sheetName val="2-3.V.D일위"/>
      <sheetName val="★자금집행관리"/>
      <sheetName val="일반공사"/>
      <sheetName val="금융"/>
      <sheetName val="STAND20"/>
      <sheetName val="시화점실행"/>
      <sheetName val="2000전체분"/>
      <sheetName val="표지"/>
      <sheetName val="CONDITION"/>
      <sheetName val="내부마감"/>
      <sheetName val="갑지 (2)"/>
      <sheetName val="도급변경내용)"/>
      <sheetName val="갑지수정"/>
      <sheetName val="총괄산출표"/>
      <sheetName val="공통가설"/>
      <sheetName val="토공(을)"/>
      <sheetName val="건축집계표"/>
      <sheetName val="부대시설"/>
      <sheetName val="2골조 "/>
      <sheetName val="마감내역"/>
      <sheetName val="설비집계표"/>
      <sheetName val="설비내역서"/>
      <sheetName val="전기집계표"/>
      <sheetName val="전기내역서"/>
      <sheetName val="표지 (2)"/>
      <sheetName val="지질"/>
      <sheetName val="수량"/>
      <sheetName val="골조물량"/>
      <sheetName val="마감산출"/>
      <sheetName val="PILE (300×200)"/>
      <sheetName val="PILE (300×300)"/>
      <sheetName val="PILE (300×150)"/>
      <sheetName val="을지"/>
      <sheetName val="갑지1"/>
      <sheetName val="GAEYO"/>
      <sheetName val="도급제출3(5.20)"/>
      <sheetName val="을"/>
      <sheetName val="APT"/>
      <sheetName val="BSD (2)"/>
      <sheetName val="건축집계"/>
      <sheetName val="TEST1"/>
      <sheetName val="구조물"/>
      <sheetName val="계수시트"/>
      <sheetName val="Work-Condition"/>
      <sheetName val="정공공사"/>
      <sheetName val="6호기"/>
      <sheetName val="기본일위"/>
      <sheetName val="조달청적격심사"/>
      <sheetName val="Y-WORK"/>
      <sheetName val="해평견적"/>
      <sheetName val="전기공사"/>
      <sheetName val="설명서 "/>
      <sheetName val="설계명세서"/>
      <sheetName val="램머"/>
      <sheetName val="자재단가비교표"/>
      <sheetName val="교육종류"/>
      <sheetName val="내역서-수정본"/>
      <sheetName val="견적대비표"/>
      <sheetName val="G.R300경비"/>
      <sheetName val="일반부표"/>
      <sheetName val="FURNITURE-01"/>
      <sheetName val="1호구조물"/>
      <sheetName val="약품설비"/>
      <sheetName val="코드표"/>
      <sheetName val="45,46"/>
      <sheetName val="2.토목공사"/>
      <sheetName val="산출3-동력"/>
      <sheetName val="산출4-전등"/>
      <sheetName val="경비"/>
      <sheetName val="적용"/>
      <sheetName val="구역화물"/>
      <sheetName val="단가일람"/>
      <sheetName val="역T형"/>
      <sheetName val="BEND LOSS"/>
      <sheetName val="9902"/>
      <sheetName val="3월"/>
      <sheetName val="4월"/>
      <sheetName val="5월"/>
      <sheetName val="자재 집계표"/>
      <sheetName val="인사자료총집계"/>
      <sheetName val="FB25JN"/>
      <sheetName val="21301동"/>
      <sheetName val="CATV"/>
      <sheetName val="참조"/>
      <sheetName val="갑"/>
      <sheetName val="기존단가 (2)"/>
      <sheetName val="갑지_(2)"/>
      <sheetName val="2골조_"/>
      <sheetName val="표지_(2)"/>
      <sheetName val="PILE_(300×200)"/>
      <sheetName val="PILE_(300×300)"/>
      <sheetName val="PILE_(300×150)"/>
      <sheetName val="BSD_(2)"/>
      <sheetName val="기존단가_(2)"/>
      <sheetName val="도급제출3(5_20)"/>
      <sheetName val="설명서_"/>
      <sheetName val="단가(자재)"/>
      <sheetName val="단가(노임)"/>
      <sheetName val="기초목록"/>
      <sheetName val="전차선로 물량표"/>
      <sheetName val="청천내"/>
      <sheetName val="출자한도"/>
      <sheetName val="9-1차이내역"/>
      <sheetName val="경량천정"/>
      <sheetName val="ㄱ"/>
      <sheetName val="교량하부공"/>
      <sheetName val="환율"/>
      <sheetName val="정부노임단가"/>
      <sheetName val="ETC"/>
      <sheetName val="내역서 (2)"/>
      <sheetName val="수량산출(음암)"/>
      <sheetName val="2. 공원조도"/>
      <sheetName val="b_balju"/>
      <sheetName val="에너지요금"/>
      <sheetName val="부하계산서"/>
      <sheetName val="견적"/>
      <sheetName val="기안"/>
      <sheetName val="개산공사비"/>
      <sheetName val="자재단가"/>
      <sheetName val="기기리스트"/>
      <sheetName val="교각별철근수량집계표"/>
      <sheetName val="적용률"/>
      <sheetName val="세부내역"/>
      <sheetName val="INPUT"/>
      <sheetName val="I一般比"/>
      <sheetName val="97 사업추정(WEKI)"/>
      <sheetName val="ACT_Dol"/>
      <sheetName val="ACT_Jhr"/>
      <sheetName val="FCST_Dol"/>
      <sheetName val="FCST_Jhr"/>
      <sheetName val="시행예산"/>
      <sheetName val="설계기준"/>
      <sheetName val="내역1"/>
      <sheetName val="내역서(교량)전체"/>
      <sheetName val="database"/>
      <sheetName val="실행(1)"/>
      <sheetName val="SUMMARY"/>
      <sheetName val="PAINT"/>
      <sheetName val="선원비계산"/>
      <sheetName val="여비교통비지출품의서"/>
      <sheetName val="개요"/>
      <sheetName val="도급"/>
      <sheetName val="원효펌프교체020812"/>
      <sheetName val="부하(성남)"/>
      <sheetName val="연부97-1"/>
      <sheetName val="송장갑지(6월)"/>
      <sheetName val="입력시트"/>
      <sheetName val="건축2"/>
      <sheetName val="비교1"/>
      <sheetName val="chiet tinh"/>
      <sheetName val="新规"/>
      <sheetName val="手动计画"/>
      <sheetName val="0226"/>
      <sheetName val="조명시설"/>
      <sheetName val="FA_SUMMARY"/>
      <sheetName val="Raw Data"/>
      <sheetName val="15 문제점"/>
      <sheetName val="000000"/>
      <sheetName val="은행"/>
      <sheetName val="별표 "/>
      <sheetName val="FRP PIPING 일위대가"/>
      <sheetName val="6MONTHS"/>
      <sheetName val="Sheet13"/>
      <sheetName val="조도"/>
      <sheetName val="Sheet14"/>
      <sheetName val="P-J"/>
      <sheetName val="시장성초안camera"/>
      <sheetName val="3지구단위"/>
      <sheetName val="안산기계장치"/>
      <sheetName val="전계가"/>
      <sheetName val="gyun"/>
      <sheetName val="내역표지"/>
      <sheetName val="배관내역"/>
      <sheetName val="IGCC査定"/>
      <sheetName val="수량산출서"/>
      <sheetName val=" 견적서"/>
      <sheetName val="Finansal tamamlanma Eğrisi"/>
      <sheetName val="공사투입계획(변경결의)19.9"/>
      <sheetName val="노무비 월별지급현황19.9"/>
      <sheetName val="갑지(외주기성)19.9"/>
      <sheetName val="명부(일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sheetData sheetId="302" refreshError="1"/>
      <sheetData sheetId="303" refreshError="1"/>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sheetData sheetId="356"/>
      <sheetData sheetId="357"/>
      <sheetData sheetId="358"/>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sheetData sheetId="561"/>
      <sheetData sheetId="562"/>
      <sheetData sheetId="56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e1"/>
      <sheetName val="시작"/>
      <sheetName val="투자효율분석"/>
      <sheetName val="공사설명서"/>
      <sheetName val="공사계획서"/>
      <sheetName val="공사비예산서"/>
      <sheetName val="케이블피스표"/>
      <sheetName val="기별(종합)"/>
      <sheetName val="기별(수궁)"/>
      <sheetName val="기별(중앙상가)"/>
      <sheetName val="기별(대림1)"/>
      <sheetName val="기별(신정교)"/>
      <sheetName val="기별(개포4)"/>
      <sheetName val="기별(동해역)"/>
      <sheetName val="기별(풍동)"/>
      <sheetName val="기별(교현3)"/>
      <sheetName val="기별(방축2)"/>
      <sheetName val="기안"/>
      <sheetName val="투자효율"/>
      <sheetName val="기별(교동)"/>
      <sheetName val="기별(다리안)"/>
      <sheetName val="공사지시서(감)"/>
      <sheetName val="공사지시서 (시)"/>
      <sheetName val="계통도"/>
      <sheetName val="설계명세서(선로)"/>
      <sheetName val="주자재내역"/>
      <sheetName val="설계명세서 (장비)"/>
      <sheetName val="공사계획서류"/>
      <sheetName val="기본요율"/>
      <sheetName val="cost9801"/>
      <sheetName val="설계명세서"/>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통비비교"/>
      <sheetName val="공통비총괄표"/>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laroux"/>
      <sheetName val="표지"/>
      <sheetName val="목차"/>
      <sheetName val="기별"/>
      <sheetName val="설계명세서"/>
      <sheetName val="예산서"/>
      <sheetName val="공사계획서"/>
      <sheetName val="사급자재"/>
      <sheetName val="예정표"/>
      <sheetName val="준공보고서"/>
      <sheetName val="비닐바인"/>
      <sheetName val="광접속"/>
      <sheetName val="광접속 (2)"/>
      <sheetName val="광접속 (3)"/>
      <sheetName val="Sheet14"/>
      <sheetName val="Sheet15"/>
      <sheetName val="Sheet16"/>
      <sheetName val="고신의~1"/>
      <sheetName val="수량산출1"/>
      <sheetName val="첨)시중노임단가"/>
      <sheetName val="인부임"/>
      <sheetName val="20관리비율"/>
      <sheetName val="cost"/>
      <sheetName val="공사설명서외"/>
      <sheetName val="예산내역서"/>
      <sheetName val="LANGUAGE"/>
      <sheetName val="chitimc"/>
      <sheetName val="순천#1cell"/>
      <sheetName val="공리공제"/>
      <sheetName val="지역별요약"/>
      <sheetName val="기초자료입력"/>
      <sheetName val="총괄"/>
      <sheetName val="투자효율분석"/>
      <sheetName val="설계명세서(선로)"/>
      <sheetName val="설계서"/>
      <sheetName val="일위대가"/>
      <sheetName val="설계명세서(광)"/>
      <sheetName val="자재단가표"/>
      <sheetName val="설계명세"/>
      <sheetName val="총괄집계표"/>
      <sheetName val="정산설계"/>
      <sheetName val="내역서(kdn)"/>
      <sheetName val="Macro2"/>
      <sheetName val="근무일지"/>
      <sheetName val="자료사전"/>
      <sheetName val="최종설계"/>
      <sheetName val="품셈"/>
      <sheetName val="노임단가표"/>
      <sheetName val="공리일"/>
      <sheetName val="공사계획"/>
      <sheetName val="댁내기별"/>
      <sheetName val="소요자재명세서2"/>
      <sheetName val="별표"/>
      <sheetName val="지시서"/>
      <sheetName val="화해(함평)"/>
      <sheetName val="화해(장성)"/>
      <sheetName val="48일위(기존)"/>
      <sheetName val="앞표지"/>
      <sheetName val="Studio"/>
      <sheetName val="소요자재"/>
      <sheetName val="노무산출서"/>
      <sheetName val="기계경비(시간당)"/>
      <sheetName val="변수값"/>
      <sheetName val="AS복구"/>
      <sheetName val="9GNG운반"/>
      <sheetName val="단가검토(예산)"/>
      <sheetName val="노임단가"/>
      <sheetName val="인입기본설계"/>
      <sheetName val="적용기준표(98년상반기)"/>
      <sheetName val="2F 회의실견적(5_14 일대)"/>
      <sheetName val="광피스표세부"/>
      <sheetName val="준공도면(해피)"/>
      <sheetName val="목록_수정금지"/>
      <sheetName val="AS포장복구 "/>
      <sheetName val="재료"/>
      <sheetName val="소요자재명세서"/>
      <sheetName val="노무비명세서"/>
      <sheetName val="광접속_(2)"/>
      <sheetName val="광접속_(3)"/>
      <sheetName val="2F_회의실견적(5_14_일대)"/>
      <sheetName val="AS포장복구_"/>
      <sheetName val="공사비예산서"/>
      <sheetName val="공사원가계산서"/>
      <sheetName val="일위대가표(무)"/>
      <sheetName val="일위대가산출기초"/>
      <sheetName val="Baby일위대가"/>
      <sheetName val="교환노무"/>
      <sheetName val="9811"/>
      <sheetName val="1.선로_종합기별"/>
      <sheetName val="2-2.선로_준공세부기별(철거)"/>
      <sheetName val="4-1.NW구성내역서(전)"/>
      <sheetName val="3-1.설계도면(작업전)"/>
      <sheetName val="3.공통공사대비"/>
      <sheetName val="Sheet1"/>
      <sheetName val="기준자료"/>
      <sheetName val="S구간 단면(관로)"/>
      <sheetName val="2.2 정보통신공사비총괄표"/>
      <sheetName val="9.2단가산출서"/>
      <sheetName val="손료"/>
      <sheetName val="일위산출"/>
      <sheetName val="갑지"/>
      <sheetName val="257A1"/>
      <sheetName val="일위대가표(유단가)"/>
      <sheetName val="8.6 인수공토적(공제)"/>
      <sheetName val="기본사항"/>
      <sheetName val="환산"/>
      <sheetName val="직노"/>
      <sheetName val="일위대가표"/>
      <sheetName val="개요"/>
      <sheetName val="램머"/>
      <sheetName val="1차 내역서"/>
      <sheetName val="토공대가"/>
      <sheetName val="구조대가"/>
      <sheetName val="포설대가1"/>
      <sheetName val="부대대가"/>
      <sheetName val="견적서"/>
      <sheetName val="정산"/>
      <sheetName val="정산내역서"/>
      <sheetName val="정산내역"/>
      <sheetName val="단가"/>
      <sheetName val="내역서2안"/>
      <sheetName val="공사가격내역서"/>
      <sheetName val="cost9801"/>
      <sheetName val="가격내역서"/>
      <sheetName val="납부서"/>
      <sheetName val="공사비내역서"/>
      <sheetName val="대신2차총괄"/>
      <sheetName val="성단물량"/>
      <sheetName val="관급_File"/>
      <sheetName val="관로공정"/>
      <sheetName val="UPS배터리보고"/>
      <sheetName val="KT전주생성실적보고"/>
      <sheetName val="UPS진도관리"/>
      <sheetName val="전송망 점검실적 보고"/>
      <sheetName val="예산내역서(총괄)"/>
      <sheetName val="공제대산출"/>
      <sheetName val="운반공사,공구손료"/>
      <sheetName val="내역서"/>
      <sheetName val="WORK"/>
      <sheetName val="SP-B1"/>
      <sheetName val="자재단가비교표"/>
      <sheetName val="노임"/>
      <sheetName val="공예을"/>
      <sheetName val="기별(종합)"/>
      <sheetName val="③주간 진도관리"/>
      <sheetName val="DB.목록"/>
      <sheetName val="공정data"/>
      <sheetName val="1호맨홀토공"/>
      <sheetName val="예정(3)"/>
      <sheetName val="동원(3)"/>
      <sheetName val="단가산출1"/>
      <sheetName val="설계명세서 (장비)"/>
      <sheetName val="관로시설"/>
      <sheetName val="공사설명서"/>
      <sheetName val="기별-공가용"/>
      <sheetName val="자금신청서"/>
      <sheetName val="손익"/>
      <sheetName val="영업.일1"/>
      <sheetName val="운전자금97총괄"/>
      <sheetName val="18"/>
      <sheetName val="0.이름관리자"/>
      <sheetName val="재고"/>
      <sheetName val="BweData"/>
      <sheetName val="작성 방법"/>
      <sheetName val="종합기별"/>
    </sheetNames>
    <sheetDataSet>
      <sheetData sheetId="0" refreshError="1"/>
      <sheetData sheetId="1" refreshError="1"/>
      <sheetData sheetId="2"/>
      <sheetData sheetId="3"/>
      <sheetData sheetId="4"/>
      <sheetData sheetId="5" refreshError="1">
        <row r="135">
          <cell r="G135">
            <v>62779</v>
          </cell>
        </row>
        <row r="136">
          <cell r="G136">
            <v>428719</v>
          </cell>
        </row>
        <row r="137">
          <cell r="G137">
            <v>360005</v>
          </cell>
        </row>
        <row r="139">
          <cell r="G139">
            <v>19524</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리공제"/>
      <sheetName val="설계명세서"/>
    </sheetNames>
    <sheetDataSet>
      <sheetData sheetId="0"/>
      <sheetData sheetId="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서"/>
    </sheetNames>
    <sheetDataSet>
      <sheetData sheetId="0"/>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아파트기별"/>
      <sheetName val="설계명세"/>
      <sheetName val="공리일"/>
      <sheetName val="가설사무소"/>
      <sheetName val="운반비산출"/>
      <sheetName val="#REF"/>
      <sheetName val="설계명세서"/>
      <sheetName val="기별"/>
      <sheetName val="ASP(주20m이상)"/>
      <sheetName val="고내분기~한림"/>
      <sheetName val="광령~경마장"/>
      <sheetName val="세기~광령"/>
      <sheetName val="품셈"/>
      <sheetName val="노임단가표"/>
      <sheetName val="참고"/>
      <sheetName val="예정(3)"/>
      <sheetName val="동원(3)"/>
      <sheetName val="예산내역서"/>
      <sheetName val="2-2.&quot;전송망&quot;설비(예비품포함)"/>
      <sheetName val="자료사전"/>
      <sheetName val="단순공사비단가표"/>
      <sheetName val="교환노무"/>
      <sheetName val="예산내역서(총괄)"/>
      <sheetName val="공제대산출"/>
      <sheetName val="운반공사,공구손료"/>
      <sheetName val="위탁계약내역서"/>
      <sheetName val="현황관리필요사항.xlsx"/>
      <sheetName val="9GNG운반"/>
      <sheetName val="Sheet7"/>
      <sheetName val="원가계산서 "/>
      <sheetName val="간선계산"/>
      <sheetName val="단가표"/>
      <sheetName val="신흑2"/>
      <sheetName val="공리공제"/>
      <sheetName val="준공정산"/>
      <sheetName val="시공자감리자"/>
      <sheetName val="날짜체크"/>
      <sheetName val="총괄"/>
      <sheetName val="인수공"/>
      <sheetName val="APT설계"/>
      <sheetName val="말뚝물량"/>
      <sheetName val="한눌~상록"/>
      <sheetName val="&quot;운용&quot;설비현황"/>
      <sheetName val="품셈표"/>
      <sheetName val="기준자료"/>
      <sheetName val="바인드"/>
      <sheetName val="코넥타산출"/>
      <sheetName val="창고"/>
      <sheetName val="운반"/>
      <sheetName val="설계내역서"/>
      <sheetName val="총괄집계표"/>
      <sheetName val="일일 자재입출고리스트"/>
      <sheetName val="일위대가"/>
      <sheetName val="출입자명단"/>
      <sheetName val="Page 1A - Proposal Strategy "/>
      <sheetName val="댁내기별"/>
      <sheetName val="교각1"/>
      <sheetName val="G.R300경비"/>
      <sheetName val="8.설치품셈"/>
      <sheetName val="수량산출1"/>
      <sheetName val="자재단가표"/>
      <sheetName val="인부임"/>
      <sheetName val="소요자재"/>
      <sheetName val="설명서"/>
      <sheetName val="진주방향"/>
      <sheetName val="마산방향"/>
      <sheetName val="Sheet1"/>
      <sheetName val="9.설치품셈"/>
      <sheetName val="설치품셈"/>
      <sheetName val="설계명세서(선로)"/>
      <sheetName val="원본데이타"/>
      <sheetName val="foxz"/>
      <sheetName val="동축분 종합설계서"/>
      <sheetName val="기초자료입력"/>
      <sheetName val="가설"/>
      <sheetName val="구조포설"/>
      <sheetName val="복구"/>
      <sheetName val="부대"/>
      <sheetName val="부호표"/>
      <sheetName val="토공"/>
      <sheetName val="2-2_&quot;전송망&quot;설비(예비품포함)"/>
      <sheetName val="현황관리필요사항_xlsx"/>
      <sheetName val="일일_자재입출고리스트"/>
      <sheetName val="Page_1A_-_Proposal_Strategy_"/>
      <sheetName val="G_R300경비"/>
      <sheetName val="8_설치품셈"/>
      <sheetName val="원가계산서_"/>
      <sheetName val="3.일위대가표"/>
      <sheetName val="6.수량산출"/>
      <sheetName val="4.일위산출"/>
      <sheetName val="증감내역서"/>
      <sheetName val="종합기별"/>
      <sheetName val="소요자재명세서"/>
      <sheetName val="한강운반비"/>
      <sheetName val="데이타"/>
      <sheetName val="변수값"/>
      <sheetName val="중기상차"/>
      <sheetName val="AS복구"/>
      <sheetName val="중기터파기"/>
      <sheetName val="식재인부"/>
      <sheetName val="LANGUAGE"/>
      <sheetName val="사리도"/>
      <sheetName val="사급자재청구"/>
      <sheetName val="data"/>
      <sheetName val="물량기준표"/>
      <sheetName val="포장복구집계"/>
      <sheetName val="작성 방법"/>
    </sheetNames>
    <sheetDataSet>
      <sheetData sheetId="0" refreshError="1">
        <row r="52">
          <cell r="G52">
            <v>7630</v>
          </cell>
          <cell r="I52">
            <v>10930</v>
          </cell>
          <cell r="J52">
            <v>1150</v>
          </cell>
          <cell r="K52">
            <v>7630</v>
          </cell>
          <cell r="L52">
            <v>7630</v>
          </cell>
          <cell r="M52">
            <v>8</v>
          </cell>
          <cell r="P52">
            <v>26</v>
          </cell>
          <cell r="Q52">
            <v>0</v>
          </cell>
          <cell r="S52">
            <v>230</v>
          </cell>
          <cell r="T52">
            <v>87</v>
          </cell>
          <cell r="V52">
            <v>22</v>
          </cell>
          <cell r="Y52">
            <v>41</v>
          </cell>
          <cell r="Z52">
            <v>9</v>
          </cell>
          <cell r="AB52">
            <v>13</v>
          </cell>
          <cell r="AC52">
            <v>8</v>
          </cell>
          <cell r="AD52">
            <v>0</v>
          </cell>
          <cell r="AE52">
            <v>0</v>
          </cell>
          <cell r="AF52">
            <v>2</v>
          </cell>
          <cell r="AG52">
            <v>201</v>
          </cell>
          <cell r="AH52">
            <v>0</v>
          </cell>
          <cell r="AI52">
            <v>0</v>
          </cell>
          <cell r="AK52">
            <v>1</v>
          </cell>
          <cell r="AL52">
            <v>1</v>
          </cell>
          <cell r="AM52">
            <v>0</v>
          </cell>
          <cell r="AN52">
            <v>24</v>
          </cell>
          <cell r="AO52">
            <v>73</v>
          </cell>
          <cell r="AP52">
            <v>30</v>
          </cell>
          <cell r="AQ52">
            <v>1</v>
          </cell>
          <cell r="AR52">
            <v>192</v>
          </cell>
        </row>
      </sheetData>
      <sheetData sheetId="1"/>
      <sheetData sheetId="2" refreshError="1">
        <row r="8">
          <cell r="J8">
            <v>42140</v>
          </cell>
        </row>
      </sheetData>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찍기"/>
      <sheetName val="6.설계명세서"/>
      <sheetName val="배수설비"/>
      <sheetName val="공예을"/>
      <sheetName val="공사원가"/>
      <sheetName val="기초자료입력"/>
      <sheetName val="1.설계조건"/>
      <sheetName val="설계서"/>
      <sheetName val="대운산출"/>
      <sheetName val="●목차"/>
      <sheetName val="재료비"/>
      <sheetName val="경비일반이윤"/>
      <sheetName val="노무비"/>
      <sheetName val="공사예산"/>
      <sheetName val="건설산출"/>
      <sheetName val="별표집계"/>
      <sheetName val="노임단가"/>
      <sheetName val="지입자재 산출내역"/>
      <sheetName val="일위대가"/>
      <sheetName val="포설list원본"/>
      <sheetName val="공문"/>
      <sheetName val="옹벽토공집계"/>
      <sheetName val="옹벽토공"/>
      <sheetName val="Sheet1"/>
      <sheetName val="Sheet2"/>
      <sheetName val="Sheet3"/>
      <sheetName val="수량집계"/>
      <sheetName val="자재집결지"/>
      <sheetName val="드럼장"/>
      <sheetName val="엔진장"/>
      <sheetName val="침사지"/>
      <sheetName val="품셈산출"/>
      <sheetName val="2.가정단면"/>
      <sheetName val="산출내역서집계표"/>
      <sheetName val="빗물받이(910-510-410)"/>
      <sheetName val="GAHEUNG"/>
      <sheetName val="40단가산출서"/>
      <sheetName val="40집계"/>
      <sheetName val="조명시설"/>
      <sheetName val="Tiepdia"/>
      <sheetName val="변경내역1"/>
      <sheetName val="부표총괄표"/>
      <sheetName val="자재단가"/>
      <sheetName val="17.운반비,기계경비"/>
      <sheetName val="15.공종단가"/>
      <sheetName val="6.설계명세서(총괄)"/>
      <sheetName val="19.방진룸대여"/>
      <sheetName val="CIP BD"/>
      <sheetName val="대로근거"/>
      <sheetName val="중로근거"/>
      <sheetName val="D-3109"/>
      <sheetName val="위치조서"/>
      <sheetName val="부표(10전)"/>
      <sheetName val="토공총괄표"/>
      <sheetName val="철근단면적"/>
      <sheetName val="총괄표"/>
      <sheetName val="현장관리비 산출내역"/>
      <sheetName val="금액내역서"/>
      <sheetName val="L형옹벽측구"/>
      <sheetName val="목표세부명세"/>
      <sheetName val="Sheet5"/>
      <sheetName val="단면 (2)"/>
      <sheetName val="2연암거"/>
      <sheetName val="경사수로집계표"/>
      <sheetName val="경사수로"/>
      <sheetName val="진입교량"/>
      <sheetName val="Requirement(Work Crew)"/>
      <sheetName val="수직구#2가시설집계"/>
      <sheetName val="자재집계 산출근거"/>
      <sheetName val="수직구#2"/>
      <sheetName val="기초별표"/>
      <sheetName val="내역기준"/>
      <sheetName val="DATA2000"/>
      <sheetName val="일위대가(계측기설치)"/>
      <sheetName val="산근"/>
      <sheetName val="design criteria"/>
      <sheetName val="working load at the btm ft."/>
      <sheetName val="plan&amp;section of foundation"/>
      <sheetName val="member design"/>
      <sheetName val="soil bearing check"/>
      <sheetName val="cal"/>
      <sheetName val="DATE"/>
      <sheetName val="내역서"/>
      <sheetName val="출자한도"/>
      <sheetName val="COPING"/>
      <sheetName val="DATA"/>
      <sheetName val="ERECIN"/>
      <sheetName val="품셈"/>
      <sheetName val="MCI"/>
      <sheetName val="단가비교"/>
      <sheetName val="일위대가표"/>
      <sheetName val="일위집계(기존)"/>
      <sheetName val="BID"/>
      <sheetName val="단가"/>
      <sheetName val="중기비"/>
      <sheetName val="집계표"/>
      <sheetName val="5.설계명세서"/>
      <sheetName val="화해(함평)"/>
      <sheetName val="화해(장성)"/>
      <sheetName val="구체"/>
      <sheetName val="좌측날개벽"/>
      <sheetName val="우측날개벽"/>
      <sheetName val="3-1.예산서(사급)"/>
      <sheetName val="용산3(영광)"/>
      <sheetName val="연돌일위집계"/>
      <sheetName val="안전시설"/>
      <sheetName val="단위수량"/>
      <sheetName val="6PILE  (돌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EC영화관본공사내역"/>
      <sheetName val="SHL"/>
      <sheetName val="영흥TL(UP,DOWN) "/>
      <sheetName val="UEC설비실행변경"/>
      <sheetName val="공예을"/>
      <sheetName val="찍기"/>
      <sheetName val="95삼성급(본사)"/>
      <sheetName val="단가산출서"/>
      <sheetName val="일위대가"/>
      <sheetName val="내역서"/>
      <sheetName val="조명시설"/>
      <sheetName val="CTEMCOST"/>
      <sheetName val="실행기성 갑지"/>
      <sheetName val="신서천화력 경유펌프건물 공사설계서(4월15일).xlsm"/>
      <sheetName val="2공구산출내역"/>
      <sheetName val="연돌일위집계"/>
      <sheetName val="공사내역"/>
      <sheetName val="관급"/>
      <sheetName val="을"/>
      <sheetName val="노임"/>
      <sheetName val="카메라"/>
      <sheetName val="항목별진도율"/>
      <sheetName val="제경비"/>
      <sheetName val="기초입력 DATA"/>
      <sheetName val="공문"/>
      <sheetName val="H-PILE 박기"/>
      <sheetName val="1.설계조건"/>
      <sheetName val="신서천화력_터빈및_주제어건물_마감공사_설계서(대표공종수정"/>
      <sheetName val="신서천화력 용수환경건물 공사설계서(대표공종,4월28일)."/>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1"/>
      <sheetName val="#REF"/>
      <sheetName val="설계서"/>
      <sheetName val="준공정산"/>
      <sheetName val="노임단가"/>
      <sheetName val="OPGW기별"/>
      <sheetName val="설계명세서"/>
      <sheetName val="소운반"/>
      <sheetName val="품셈표"/>
      <sheetName val="노임단가(2000하반기)"/>
      <sheetName val="설계명세CR"/>
      <sheetName val="수량총괄"/>
      <sheetName val="9.설치품셈"/>
      <sheetName val="품셈총괄"/>
      <sheetName val="기본DATA Sheet"/>
      <sheetName val="설계명세서(선로)"/>
      <sheetName val="공사비예산서"/>
      <sheetName val="5. 설계명세서"/>
      <sheetName val="통신부문노무임"/>
      <sheetName val="Studio"/>
      <sheetName val="8.설치품셈"/>
      <sheetName val="기초자료입력"/>
      <sheetName val="품"/>
      <sheetName val="설계"/>
      <sheetName val="성단물량"/>
      <sheetName val="소요자재"/>
      <sheetName val="노무산출서"/>
      <sheetName val="설계서SC"/>
      <sheetName val="총공사비"/>
      <sheetName val="설계서(8)"/>
      <sheetName val="예산서(7)"/>
      <sheetName val="설계서(7)"/>
      <sheetName val="품셈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설명서"/>
      <sheetName val="예정공정표"/>
      <sheetName val="기별표지"/>
      <sheetName val="공사계획서"/>
      <sheetName val="소요자재"/>
      <sheetName val="노무산출서"/>
      <sheetName val="공사비예산서"/>
      <sheetName val="설계명세서(종합)"/>
      <sheetName val="장비형품목산출서"/>
      <sheetName val="품목(Rack,OFD)산출서"/>
      <sheetName val="일위대가"/>
      <sheetName val="관로시설"/>
      <sheetName val="pldt"/>
      <sheetName val="성단물량"/>
      <sheetName val="OPGW기별"/>
      <sheetName val="아파트기별"/>
      <sheetName val="공리일"/>
      <sheetName val="한국중~1"/>
      <sheetName val="설계명세서"/>
      <sheetName val="공리공제"/>
      <sheetName val="별첨1-4"/>
      <sheetName val="공사설명서외"/>
      <sheetName val="11설계명세서"/>
      <sheetName val="12품셈표"/>
      <sheetName val="투자효율분석"/>
      <sheetName val="rate"/>
      <sheetName val="STB 1 TOWER LISTS"/>
      <sheetName val="색인_노무"/>
      <sheetName val="원본"/>
      <sheetName val="집계표"/>
      <sheetName val="예방리스트"/>
      <sheetName val="장애리스트"/>
      <sheetName val="예방리스트(김기도)"/>
      <sheetName val="Sheet2"/>
      <sheetName val="Sheet1"/>
      <sheetName val="2 세부내역"/>
    </sheetNames>
    <sheetDataSet>
      <sheetData sheetId="0" refreshError="1"/>
      <sheetData sheetId="1" refreshError="1"/>
      <sheetData sheetId="2" refreshError="1"/>
      <sheetData sheetId="3" refreshError="1"/>
      <sheetData sheetId="4" refreshError="1">
        <row r="8">
          <cell r="H8">
            <v>0</v>
          </cell>
        </row>
        <row r="9">
          <cell r="H9">
            <v>2</v>
          </cell>
        </row>
        <row r="10">
          <cell r="H10">
            <v>0</v>
          </cell>
        </row>
        <row r="11">
          <cell r="H11">
            <v>8</v>
          </cell>
        </row>
        <row r="12">
          <cell r="H12">
            <v>0</v>
          </cell>
        </row>
        <row r="13">
          <cell r="H13">
            <v>0</v>
          </cell>
        </row>
        <row r="14">
          <cell r="H14">
            <v>0</v>
          </cell>
        </row>
        <row r="15">
          <cell r="H15">
            <v>0</v>
          </cell>
        </row>
        <row r="16">
          <cell r="H16">
            <v>0</v>
          </cell>
        </row>
        <row r="17">
          <cell r="H17">
            <v>0</v>
          </cell>
        </row>
        <row r="18">
          <cell r="H18">
            <v>0</v>
          </cell>
        </row>
        <row r="19">
          <cell r="H19">
            <v>1</v>
          </cell>
        </row>
        <row r="20">
          <cell r="H20">
            <v>0</v>
          </cell>
        </row>
        <row r="21">
          <cell r="H21">
            <v>0</v>
          </cell>
        </row>
        <row r="22">
          <cell r="H22">
            <v>0</v>
          </cell>
        </row>
        <row r="23">
          <cell r="H23">
            <v>0</v>
          </cell>
        </row>
        <row r="24">
          <cell r="H24">
            <v>1</v>
          </cell>
        </row>
        <row r="25">
          <cell r="H25">
            <v>0</v>
          </cell>
        </row>
        <row r="28">
          <cell r="H28">
            <v>0</v>
          </cell>
        </row>
        <row r="30">
          <cell r="H30">
            <v>0</v>
          </cell>
        </row>
        <row r="31">
          <cell r="H31">
            <v>0</v>
          </cell>
        </row>
        <row r="32">
          <cell r="H32">
            <v>0</v>
          </cell>
        </row>
        <row r="33">
          <cell r="H33">
            <v>0</v>
          </cell>
        </row>
        <row r="34">
          <cell r="H34">
            <v>0</v>
          </cell>
        </row>
        <row r="35">
          <cell r="H35">
            <v>0</v>
          </cell>
        </row>
        <row r="36">
          <cell r="H36">
            <v>0</v>
          </cell>
        </row>
        <row r="38">
          <cell r="H38">
            <v>0</v>
          </cell>
        </row>
        <row r="39">
          <cell r="H39">
            <v>0</v>
          </cell>
        </row>
        <row r="40">
          <cell r="H40">
            <v>0</v>
          </cell>
        </row>
        <row r="41">
          <cell r="H41">
            <v>0</v>
          </cell>
        </row>
        <row r="42">
          <cell r="H42">
            <v>0</v>
          </cell>
        </row>
        <row r="43">
          <cell r="H43">
            <v>0</v>
          </cell>
        </row>
        <row r="44">
          <cell r="H44">
            <v>0</v>
          </cell>
        </row>
        <row r="45">
          <cell r="H45">
            <v>0</v>
          </cell>
        </row>
        <row r="46">
          <cell r="H46">
            <v>0</v>
          </cell>
        </row>
        <row r="47">
          <cell r="H47">
            <v>0</v>
          </cell>
        </row>
        <row r="48">
          <cell r="H48">
            <v>0</v>
          </cell>
        </row>
        <row r="49">
          <cell r="H49">
            <v>0</v>
          </cell>
        </row>
        <row r="50">
          <cell r="H50">
            <v>0</v>
          </cell>
        </row>
        <row r="51">
          <cell r="H51">
            <v>0</v>
          </cell>
        </row>
        <row r="52">
          <cell r="H52">
            <v>0</v>
          </cell>
        </row>
        <row r="53">
          <cell r="H53">
            <v>0</v>
          </cell>
        </row>
        <row r="54">
          <cell r="H54">
            <v>0</v>
          </cell>
        </row>
        <row r="55">
          <cell r="H55">
            <v>0</v>
          </cell>
        </row>
        <row r="56">
          <cell r="H56">
            <v>0</v>
          </cell>
        </row>
        <row r="58">
          <cell r="H58">
            <v>0</v>
          </cell>
        </row>
        <row r="59">
          <cell r="H59">
            <v>0</v>
          </cell>
        </row>
        <row r="60">
          <cell r="H60">
            <v>0</v>
          </cell>
        </row>
        <row r="61">
          <cell r="H61">
            <v>0</v>
          </cell>
        </row>
        <row r="62">
          <cell r="H62">
            <v>0</v>
          </cell>
        </row>
        <row r="63">
          <cell r="H63">
            <v>0</v>
          </cell>
        </row>
        <row r="64">
          <cell r="H64">
            <v>0</v>
          </cell>
        </row>
        <row r="65">
          <cell r="H65">
            <v>0</v>
          </cell>
        </row>
        <row r="66">
          <cell r="H66">
            <v>0</v>
          </cell>
        </row>
        <row r="67">
          <cell r="H67">
            <v>0</v>
          </cell>
        </row>
        <row r="68">
          <cell r="H68">
            <v>0</v>
          </cell>
        </row>
        <row r="69">
          <cell r="H69">
            <v>0</v>
          </cell>
        </row>
        <row r="70">
          <cell r="H70">
            <v>0</v>
          </cell>
        </row>
        <row r="71">
          <cell r="H71">
            <v>0</v>
          </cell>
        </row>
        <row r="72">
          <cell r="H72">
            <v>0</v>
          </cell>
        </row>
        <row r="73">
          <cell r="H73">
            <v>0</v>
          </cell>
        </row>
        <row r="74">
          <cell r="H74">
            <v>0</v>
          </cell>
        </row>
        <row r="75">
          <cell r="H75">
            <v>0</v>
          </cell>
        </row>
        <row r="76">
          <cell r="H76">
            <v>0</v>
          </cell>
        </row>
        <row r="77">
          <cell r="H77">
            <v>0</v>
          </cell>
        </row>
        <row r="78">
          <cell r="H78">
            <v>0</v>
          </cell>
        </row>
        <row r="79">
          <cell r="H79">
            <v>0</v>
          </cell>
        </row>
        <row r="80">
          <cell r="H80">
            <v>0</v>
          </cell>
        </row>
        <row r="81">
          <cell r="H81">
            <v>0</v>
          </cell>
        </row>
        <row r="82">
          <cell r="H82">
            <v>0</v>
          </cell>
        </row>
        <row r="83">
          <cell r="H83">
            <v>0</v>
          </cell>
        </row>
        <row r="95">
          <cell r="H95">
            <v>0</v>
          </cell>
        </row>
        <row r="96">
          <cell r="H96">
            <v>0</v>
          </cell>
        </row>
        <row r="97">
          <cell r="H97">
            <v>0</v>
          </cell>
        </row>
        <row r="98">
          <cell r="H98">
            <v>0</v>
          </cell>
        </row>
        <row r="99">
          <cell r="H99">
            <v>0</v>
          </cell>
        </row>
        <row r="100">
          <cell r="H100">
            <v>0</v>
          </cell>
        </row>
        <row r="101">
          <cell r="H101">
            <v>0</v>
          </cell>
        </row>
        <row r="102">
          <cell r="H102">
            <v>0</v>
          </cell>
        </row>
        <row r="103">
          <cell r="H103">
            <v>0</v>
          </cell>
        </row>
        <row r="104">
          <cell r="H104">
            <v>0</v>
          </cell>
        </row>
        <row r="105">
          <cell r="H105">
            <v>0</v>
          </cell>
        </row>
        <row r="106">
          <cell r="H106">
            <v>0</v>
          </cell>
        </row>
        <row r="107">
          <cell r="H107">
            <v>0</v>
          </cell>
        </row>
        <row r="108">
          <cell r="H108">
            <v>0</v>
          </cell>
        </row>
        <row r="109">
          <cell r="H109">
            <v>0</v>
          </cell>
        </row>
        <row r="110">
          <cell r="H110">
            <v>0</v>
          </cell>
        </row>
        <row r="111">
          <cell r="H111">
            <v>0</v>
          </cell>
        </row>
        <row r="112">
          <cell r="H112">
            <v>0</v>
          </cell>
        </row>
        <row r="113">
          <cell r="H113">
            <v>0</v>
          </cell>
        </row>
        <row r="114">
          <cell r="H114">
            <v>0</v>
          </cell>
        </row>
        <row r="115">
          <cell r="H115">
            <v>0</v>
          </cell>
        </row>
        <row r="116">
          <cell r="H116">
            <v>0</v>
          </cell>
        </row>
        <row r="117">
          <cell r="H117">
            <v>0</v>
          </cell>
        </row>
        <row r="118">
          <cell r="H118">
            <v>0</v>
          </cell>
        </row>
        <row r="119">
          <cell r="H119">
            <v>0</v>
          </cell>
        </row>
        <row r="120">
          <cell r="H120">
            <v>0</v>
          </cell>
        </row>
        <row r="123">
          <cell r="H123">
            <v>0</v>
          </cell>
        </row>
        <row r="124">
          <cell r="H124">
            <v>0</v>
          </cell>
        </row>
        <row r="125">
          <cell r="H125">
            <v>0</v>
          </cell>
        </row>
        <row r="126">
          <cell r="H126">
            <v>0</v>
          </cell>
        </row>
        <row r="127">
          <cell r="H127">
            <v>0</v>
          </cell>
        </row>
        <row r="128">
          <cell r="H128">
            <v>0</v>
          </cell>
        </row>
        <row r="129">
          <cell r="H129">
            <v>0</v>
          </cell>
        </row>
        <row r="130">
          <cell r="H130">
            <v>0</v>
          </cell>
        </row>
        <row r="131">
          <cell r="H131">
            <v>0</v>
          </cell>
        </row>
        <row r="132">
          <cell r="H132">
            <v>0</v>
          </cell>
        </row>
        <row r="133">
          <cell r="H133">
            <v>0</v>
          </cell>
        </row>
        <row r="134">
          <cell r="H134">
            <v>0</v>
          </cell>
        </row>
        <row r="135">
          <cell r="H135">
            <v>0</v>
          </cell>
        </row>
        <row r="136">
          <cell r="H136">
            <v>0</v>
          </cell>
        </row>
        <row r="137">
          <cell r="H137">
            <v>0</v>
          </cell>
        </row>
        <row r="138">
          <cell r="H138">
            <v>0</v>
          </cell>
        </row>
        <row r="139">
          <cell r="H139">
            <v>0</v>
          </cell>
        </row>
        <row r="140">
          <cell r="H140">
            <v>0</v>
          </cell>
        </row>
        <row r="141">
          <cell r="H141">
            <v>0</v>
          </cell>
        </row>
        <row r="142">
          <cell r="H142">
            <v>0</v>
          </cell>
        </row>
        <row r="143">
          <cell r="H143">
            <v>0</v>
          </cell>
        </row>
        <row r="144">
          <cell r="H144">
            <v>0</v>
          </cell>
        </row>
        <row r="146">
          <cell r="H146">
            <v>0</v>
          </cell>
        </row>
        <row r="147">
          <cell r="H147">
            <v>0</v>
          </cell>
        </row>
        <row r="148">
          <cell r="H148">
            <v>0</v>
          </cell>
        </row>
        <row r="150">
          <cell r="H150">
            <v>0</v>
          </cell>
        </row>
        <row r="151">
          <cell r="H151">
            <v>1</v>
          </cell>
        </row>
        <row r="153">
          <cell r="H153">
            <v>0</v>
          </cell>
        </row>
        <row r="155">
          <cell r="H155">
            <v>0</v>
          </cell>
        </row>
        <row r="156">
          <cell r="H156">
            <v>668</v>
          </cell>
        </row>
        <row r="157">
          <cell r="H157">
            <v>927</v>
          </cell>
        </row>
        <row r="158">
          <cell r="H158">
            <v>0</v>
          </cell>
        </row>
        <row r="159">
          <cell r="H159">
            <v>1284</v>
          </cell>
        </row>
        <row r="161">
          <cell r="H161">
            <v>0</v>
          </cell>
        </row>
        <row r="162">
          <cell r="H162">
            <v>0</v>
          </cell>
        </row>
        <row r="163">
          <cell r="H163">
            <v>0</v>
          </cell>
        </row>
        <row r="164">
          <cell r="H164">
            <v>0</v>
          </cell>
        </row>
        <row r="165">
          <cell r="H165">
            <v>0</v>
          </cell>
        </row>
        <row r="168">
          <cell r="H168">
            <v>2</v>
          </cell>
        </row>
      </sheetData>
      <sheetData sheetId="5" refreshError="1">
        <row r="101">
          <cell r="H101">
            <v>0</v>
          </cell>
        </row>
        <row r="102">
          <cell r="H102">
            <v>0</v>
          </cell>
        </row>
        <row r="103">
          <cell r="H103">
            <v>0</v>
          </cell>
        </row>
        <row r="104">
          <cell r="H104">
            <v>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설계내역서"/>
      <sheetName val="현장경비"/>
      <sheetName val="단가"/>
      <sheetName val="교대(A1-A2)"/>
      <sheetName val="공사개요"/>
      <sheetName val="#REF"/>
      <sheetName val="내역서"/>
      <sheetName val="인건비"/>
      <sheetName val="대비"/>
      <sheetName val="Dae_Jiju"/>
      <sheetName val="Sikje_ingun"/>
      <sheetName val="TREE_D"/>
      <sheetName val="MIJIBI"/>
      <sheetName val="경비"/>
      <sheetName val="일위대가"/>
      <sheetName val="실행내역"/>
      <sheetName val="교대(A1)"/>
      <sheetName val="견적의뢰서"/>
      <sheetName val="배수공"/>
      <sheetName val="집계표"/>
      <sheetName val="건축내역"/>
      <sheetName val="가격조사서"/>
      <sheetName val="사용성검토"/>
      <sheetName val="해평견적"/>
      <sheetName val="Sheet1 (2)"/>
      <sheetName val="청천내"/>
      <sheetName val="재료비"/>
      <sheetName val="별표총괄"/>
      <sheetName val="총괄내역서"/>
      <sheetName val="시공여유율"/>
      <sheetName val="BID"/>
      <sheetName val="양수장(기계)"/>
      <sheetName val="Sheet1"/>
      <sheetName val="장비집계"/>
      <sheetName val="노임"/>
      <sheetName val="실행철강하도"/>
      <sheetName val="EUL"/>
      <sheetName val="일H35Y4"/>
      <sheetName val="동력부하계산"/>
      <sheetName val="대림경상68억"/>
      <sheetName val="제수"/>
      <sheetName val="공기"/>
      <sheetName val="노무비계"/>
      <sheetName val="부하(성남)"/>
      <sheetName val="공통가설"/>
      <sheetName val="공사비총괄표"/>
      <sheetName val="공종별"/>
      <sheetName val="Sheet17"/>
      <sheetName val="도시가스현황"/>
      <sheetName val="내역"/>
      <sheetName val="간접"/>
      <sheetName val="단위단가"/>
      <sheetName val="중기사용료"/>
      <sheetName val="새공통"/>
      <sheetName val="대전-교대(A1-A2)"/>
      <sheetName val="물가변동 총괄서"/>
      <sheetName val="수량조서(신)"/>
      <sheetName val="금액내역서"/>
      <sheetName val="취수탑"/>
      <sheetName val="맨홀수량"/>
      <sheetName val="설계조건"/>
      <sheetName val="허용전류-IEC"/>
      <sheetName val="허용전류-IEC DATA"/>
      <sheetName val="변수데이타"/>
      <sheetName val="Sheet3"/>
      <sheetName val="제잡비"/>
      <sheetName val="증감내역서"/>
      <sheetName val="저"/>
      <sheetName val="현황산출서"/>
      <sheetName val="기초1"/>
      <sheetName val="본선 토공 분배표"/>
      <sheetName val="방배동내역(리라)"/>
      <sheetName val="건축공사집계표"/>
      <sheetName val="방배동내역 (총괄)"/>
      <sheetName val="부대공사총괄"/>
      <sheetName val="낙찰표"/>
      <sheetName val="조명시설"/>
      <sheetName val="프랜트면허"/>
      <sheetName val="토목주소"/>
      <sheetName val="부속동"/>
      <sheetName val="ASALTOTA"/>
      <sheetName val="인사자료총집계"/>
      <sheetName val="TEST1"/>
      <sheetName val="평가데이터"/>
      <sheetName val="EQUIP LIST"/>
      <sheetName val="수량집계"/>
      <sheetName val="7.1유효폭"/>
      <sheetName val="기본단가"/>
      <sheetName val="DATE"/>
      <sheetName val="현장관리비 산출내역"/>
      <sheetName val="노임단가"/>
      <sheetName val="36+45-113-18+19+20I"/>
      <sheetName val="현장관리비"/>
      <sheetName val="정부노임단가"/>
      <sheetName val="특수선일위대가"/>
      <sheetName val="장비내역서"/>
      <sheetName val="부하계산서"/>
      <sheetName val="방배동내역(한영)"/>
      <sheetName val="CTEMCOST"/>
      <sheetName val="노무비단가"/>
      <sheetName val="단면치수"/>
      <sheetName val="도급"/>
      <sheetName val="건축공사실행"/>
      <sheetName val="장비"/>
      <sheetName val="산근1"/>
      <sheetName val="노무"/>
      <sheetName val="자재"/>
      <sheetName val="지급자재"/>
      <sheetName val="총공사내역서"/>
      <sheetName val="데이타"/>
      <sheetName val="변경내역대비표(2)"/>
      <sheetName val="단면 (2)"/>
      <sheetName val="토사(PE)"/>
      <sheetName val="갑지1"/>
      <sheetName val="구조물견적"/>
      <sheetName val="물가시세"/>
      <sheetName val="자료"/>
      <sheetName val="Y-WORK"/>
      <sheetName val="INPUT"/>
      <sheetName val="수량3"/>
      <sheetName val="3.공통공사대비"/>
      <sheetName val="000000"/>
      <sheetName val="공사비예산서(토목분)"/>
      <sheetName val="물량"/>
      <sheetName val="뚝토공"/>
      <sheetName val="Sheet1_(2)"/>
      <sheetName val="물가변동_총괄서"/>
      <sheetName val="방배동내역_(총괄)"/>
      <sheetName val="허용전류-IEC_DATA"/>
      <sheetName val="7_1유효폭"/>
      <sheetName val="현장관리비_산출내역"/>
      <sheetName val="본선_토공_분배표"/>
      <sheetName val="EQUIP_LIST"/>
      <sheetName val="단면_(2)"/>
      <sheetName val="공문"/>
      <sheetName val="D01"/>
      <sheetName val="D02"/>
      <sheetName val="토공 갑지"/>
      <sheetName val="구조물철거타공정이월"/>
      <sheetName val="1-1"/>
      <sheetName val="내역1"/>
      <sheetName val="CIVIL"/>
      <sheetName val="단가비교표"/>
      <sheetName val="기계경비일람"/>
      <sheetName val="주식"/>
      <sheetName val="영동(D)"/>
      <sheetName val="원형1호맨홀토공수량"/>
      <sheetName val="BOX 본체"/>
      <sheetName val="MAT"/>
      <sheetName val="갑지(추정)"/>
      <sheetName val="JUCKEYK"/>
      <sheetName val=" "/>
      <sheetName val="WORK"/>
      <sheetName val="외자배분"/>
      <sheetName val="외자내역"/>
      <sheetName val="일위대가(가설)"/>
      <sheetName val="표지"/>
      <sheetName val="단가조사표"/>
      <sheetName val="설계개요"/>
      <sheetName val="예가표"/>
      <sheetName val="출자한도"/>
      <sheetName val="각사별공사비분개 "/>
      <sheetName val="바닥판"/>
      <sheetName val="1,2,3,4,5단위수량"/>
      <sheetName val="해외법인"/>
      <sheetName val="JUCK"/>
      <sheetName val="일년TOTAL"/>
      <sheetName val="총괄표"/>
      <sheetName val="적용률"/>
      <sheetName val="전기"/>
      <sheetName val="침하계"/>
      <sheetName val="자재단가"/>
      <sheetName val="대로근거"/>
      <sheetName val="중로근거"/>
      <sheetName val="경비2내역"/>
      <sheetName val="을 2"/>
      <sheetName val="을 1"/>
      <sheetName val="일위대가표"/>
      <sheetName val="자재수량"/>
      <sheetName val="정SW_원_"/>
      <sheetName val="입찰안"/>
      <sheetName val="차액보증"/>
      <sheetName val="현장지지물물량"/>
      <sheetName val="기계경비(시간당)"/>
      <sheetName val="램머"/>
      <sheetName val="SG"/>
      <sheetName val="제경비"/>
      <sheetName val="실적"/>
      <sheetName val="입력(K0)"/>
      <sheetName val="노무비"/>
      <sheetName val="찍기"/>
      <sheetName val="별표"/>
      <sheetName val="자재조사표"/>
      <sheetName val="9GNG운반"/>
      <sheetName val="터널전기"/>
      <sheetName val="9811"/>
      <sheetName val="Sheet5"/>
      <sheetName val="발생토"/>
      <sheetName val="계수시트"/>
      <sheetName val="식재인부"/>
      <sheetName val="간접비"/>
      <sheetName val="6호기"/>
      <sheetName val="유기공정"/>
      <sheetName val="Sheet2"/>
      <sheetName val="설계흐름도"/>
      <sheetName val="S1"/>
      <sheetName val="연돌일위집계"/>
      <sheetName val="정렬"/>
      <sheetName val="COVER-P"/>
      <sheetName val="2006납품"/>
      <sheetName val="6PILE  (돌출)"/>
      <sheetName val="70%"/>
      <sheetName val="기기리스트"/>
      <sheetName val="노임이"/>
      <sheetName val="산출금액내역"/>
      <sheetName val="견적대비표"/>
      <sheetName val="공내역서"/>
      <sheetName val="단위중기"/>
      <sheetName val="붙임5"/>
      <sheetName val="작업방"/>
      <sheetName val="총괄k"/>
      <sheetName val="개요"/>
      <sheetName val="안전건강연금"/>
      <sheetName val="건축실적"/>
      <sheetName val="고용퇴직"/>
      <sheetName val="입력"/>
      <sheetName val="기계실적"/>
      <sheetName val="물가기준년"/>
      <sheetName val="노임산재"/>
      <sheetName val="장비기준"/>
      <sheetName val="조경수목"/>
      <sheetName val="토목실적"/>
      <sheetName val="공문(신)"/>
      <sheetName val="적용단가"/>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Tender"/>
      <sheetName val="L-type"/>
      <sheetName val="표준건축비"/>
      <sheetName val="수량산출"/>
      <sheetName val="결재갑지"/>
      <sheetName val="일위대가(건축)"/>
      <sheetName val="D-3109"/>
      <sheetName val="ABUT수량-A1"/>
      <sheetName val="1.취수장"/>
      <sheetName val="K55수출"/>
      <sheetName val="Sheet4"/>
      <sheetName val="기초"/>
      <sheetName val="c_balju"/>
      <sheetName val="3련 BOX"/>
      <sheetName val="마감사양"/>
      <sheetName val="터널조도"/>
      <sheetName val="기성금내역서"/>
      <sheetName val="수정2"/>
      <sheetName val="시설일위"/>
      <sheetName val="식재수량표"/>
      <sheetName val="식재일위"/>
      <sheetName val="TB-내역서"/>
      <sheetName val="기성집계"/>
      <sheetName val="암거날개벽"/>
      <sheetName val="U-TYPE(1)"/>
      <sheetName val="맨홀토공산출"/>
      <sheetName val="소요자재"/>
      <sheetName val="노무산출서"/>
      <sheetName val="와동25-3(변경)"/>
      <sheetName val="부도어음"/>
      <sheetName val="Pier 3"/>
      <sheetName val="골조시행"/>
      <sheetName val="용수간선"/>
      <sheetName val="간선계산"/>
      <sheetName val="관로토공"/>
      <sheetName val="1호맨홀토공"/>
      <sheetName val="신천교(음성)"/>
      <sheetName val="7-3단면_상시"/>
      <sheetName val="금융비용"/>
      <sheetName val="BOX(1.5X1.5)"/>
      <sheetName val="전체"/>
      <sheetName val="수목단가"/>
      <sheetName val="시설수량표"/>
      <sheetName val="을"/>
      <sheetName val="기초단가"/>
      <sheetName val="조건표"/>
      <sheetName val="자바라1"/>
      <sheetName val="해외 연수비용 계산-삭제"/>
      <sheetName val="해외 기술훈련비 (합계)"/>
      <sheetName val="배명(단가)"/>
      <sheetName val="2000년1차"/>
      <sheetName val="수량집계표"/>
      <sheetName val="공종별수량집계"/>
      <sheetName val="WEON"/>
      <sheetName val="Total"/>
      <sheetName val="식재"/>
      <sheetName val="시설물"/>
      <sheetName val="식재출력용"/>
      <sheetName val="유지관리"/>
      <sheetName val="Sheet6"/>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중기일위대가"/>
      <sheetName val="결과조달"/>
      <sheetName val="산출근거"/>
      <sheetName val="2"/>
      <sheetName val="옹벽(수량)"/>
      <sheetName val="TYPE A"/>
      <sheetName val="기둥(원형)"/>
      <sheetName val="옹벽수량집계"/>
      <sheetName val="1SPAN"/>
      <sheetName val="Baby일위대가"/>
      <sheetName val="12호기내역서(건축분)"/>
      <sheetName val="품셈TABLE"/>
      <sheetName val="유용원석량소요시기검토안"/>
      <sheetName val="1차설계변경내역"/>
      <sheetName val="공사수행방안"/>
      <sheetName val="단면가정"/>
      <sheetName val="내역서 "/>
      <sheetName val="조경"/>
      <sheetName val="토공사(단지)"/>
      <sheetName val="EKOG10건축"/>
      <sheetName val="시추주상도"/>
      <sheetName val="백암비스타내역"/>
      <sheetName val="지질조사분석"/>
      <sheetName val="ITB COST"/>
      <sheetName val="BSD (2)"/>
      <sheetName val="DATA"/>
      <sheetName val="공내역"/>
      <sheetName val="토목품셈"/>
      <sheetName val="제품"/>
      <sheetName val="CLAUSE"/>
      <sheetName val="CATCH BASIN"/>
      <sheetName val="COPING"/>
      <sheetName val="guard(mac)"/>
      <sheetName val="입출재고현황 (2)"/>
      <sheetName val="CODE"/>
      <sheetName val="실행대비"/>
      <sheetName val="손익분석"/>
      <sheetName val="SLAB&quot;1&quot;"/>
      <sheetName val="1.설계조건"/>
      <sheetName val="NM2"/>
      <sheetName val="NW1"/>
      <sheetName val="NW2"/>
      <sheetName val="PW3"/>
      <sheetName val="PW4"/>
      <sheetName val="SC1"/>
      <sheetName val="DNW"/>
      <sheetName val="N+"/>
      <sheetName val="NE"/>
      <sheetName val="P+"/>
      <sheetName val="PE"/>
      <sheetName val="PM"/>
      <sheetName val="TR"/>
      <sheetName val="장비투입 (2)"/>
      <sheetName val="철거산출근거"/>
      <sheetName val="T기성9605"/>
      <sheetName val="FORM-0"/>
      <sheetName val="5사남"/>
      <sheetName val="설계기준"/>
      <sheetName val="구성비"/>
      <sheetName val="단가산출1"/>
      <sheetName val="단가산출2"/>
      <sheetName val="영업2"/>
      <sheetName val="매립"/>
      <sheetName val="설비원가"/>
      <sheetName val="1안98Billing"/>
      <sheetName val="1ST"/>
      <sheetName val="기경집계"/>
      <sheetName val="교대시점"/>
      <sheetName val="비탈면보호공수량산출"/>
      <sheetName val="투자효율분석"/>
      <sheetName val="설계명세서"/>
      <sheetName val="L_type"/>
      <sheetName val="시설물일위"/>
      <sheetName val="유림골조"/>
      <sheetName val="일위대가목차"/>
      <sheetName val="CC16-내역서"/>
      <sheetName val="산출내역서집계표"/>
      <sheetName val="장문교(대전)"/>
      <sheetName val="방송(체육관)"/>
      <sheetName val="국공유지및사유지"/>
      <sheetName val="날개벽수량표"/>
      <sheetName val="L형옹벽단위수량(35)"/>
      <sheetName val="L형옹벽단위수량(25)"/>
      <sheetName val="광산내역"/>
      <sheetName val="포장물량집계"/>
      <sheetName val="9"/>
      <sheetName val="간접1"/>
      <sheetName val="원가1(기계)"/>
      <sheetName val="메서,변+증"/>
      <sheetName val="2000년 공정표"/>
      <sheetName val="경영상태"/>
      <sheetName val="96까지"/>
      <sheetName val="97년"/>
      <sheetName val="98이후"/>
      <sheetName val="수량명세서"/>
      <sheetName val="#10거푸집유로폼(0~7m)"/>
      <sheetName val="상부하중"/>
      <sheetName val="풍하중1"/>
      <sheetName val="공사내역"/>
      <sheetName val="건축"/>
      <sheetName val="DANGA"/>
      <sheetName val="전기일위대가"/>
      <sheetName val="교각계산"/>
      <sheetName val="예산총괄표"/>
      <sheetName val="목표세부명세"/>
      <sheetName val="신림자금"/>
      <sheetName val="실시공"/>
      <sheetName val="변경내역"/>
      <sheetName val="선로정수계산"/>
      <sheetName val="수문보고"/>
      <sheetName val="날개벽(시점좌측)"/>
      <sheetName val="참조"/>
      <sheetName val="1공구 건정토건 토공"/>
      <sheetName val="°©Áö"/>
      <sheetName val="단기차입금"/>
      <sheetName val="Process Piping"/>
      <sheetName val="BQ(실행)"/>
      <sheetName val="C &amp; G RHS"/>
      <sheetName val="Sheet1_(2)1"/>
      <sheetName val="방배동내역_(총괄)1"/>
      <sheetName val="물가변동_총괄서1"/>
      <sheetName val="허용전류-IEC_DATA1"/>
      <sheetName val="7_1유효폭1"/>
      <sheetName val="단면_(2)1"/>
      <sheetName val="EQUIP_LIST1"/>
      <sheetName val="현장관리비_산출내역1"/>
      <sheetName val="본선_토공_분배표1"/>
      <sheetName val="3_공통공사대비"/>
      <sheetName val="을_2"/>
      <sheetName val="을_1"/>
      <sheetName val="토공_갑지"/>
      <sheetName val="BOX_본체"/>
      <sheetName val="Pier_3"/>
      <sheetName val="각사별공사비분개_"/>
      <sheetName val="_"/>
      <sheetName val="6PILE__(돌출)"/>
      <sheetName val="1_취수장"/>
      <sheetName val="3련_BOX"/>
      <sheetName val="해외_연수비용_계산-삭제"/>
      <sheetName val="해외_기술훈련비_(합계)"/>
      <sheetName val="부대내역"/>
      <sheetName val="Man Hole"/>
      <sheetName val="기성내역"/>
      <sheetName val="F4-F7"/>
      <sheetName val="입찰내역"/>
      <sheetName val="200"/>
      <sheetName val="공통자료"/>
      <sheetName val="산출2-기기동력"/>
      <sheetName val="당초"/>
      <sheetName val="관급자재집계표"/>
      <sheetName val="배수유공블럭"/>
      <sheetName val="교각1"/>
      <sheetName val="공사비집계"/>
      <sheetName val="40총괄"/>
      <sheetName val="40집계"/>
      <sheetName val="말뚝지지력산정"/>
      <sheetName val="ELECTRIC"/>
      <sheetName val="SCHEDULE"/>
      <sheetName val="C-직노1"/>
      <sheetName val="data2"/>
      <sheetName val="관로토공집계표"/>
      <sheetName val="단가 "/>
      <sheetName val="일위대가 (PM)"/>
      <sheetName val="S003031"/>
      <sheetName val="여과지동"/>
      <sheetName val="기초자료"/>
      <sheetName val="A-4"/>
      <sheetName val="기성내역서"/>
      <sheetName val="2F 회의실견적(5_14 일대)"/>
      <sheetName val="일위대가(계측기설치)"/>
      <sheetName val="하수BOX이설"/>
      <sheetName val="자료입력"/>
      <sheetName val="수목표준대가"/>
      <sheetName val="할증"/>
      <sheetName val="방조제+선착장+배수갑문+부대공+1-2방조제"/>
      <sheetName val="hvac(제어동)"/>
      <sheetName val="계산근거"/>
      <sheetName val="plan&amp;section of foundation"/>
      <sheetName val="design criteria"/>
      <sheetName val="인건-측정"/>
      <sheetName val="__"/>
      <sheetName val="COVER"/>
      <sheetName val="산출3-유도등"/>
      <sheetName val="산출2-동력"/>
      <sheetName val="산출2-피뢰침"/>
      <sheetName val="덤프"/>
      <sheetName val="252K444"/>
      <sheetName val="견적990322"/>
      <sheetName val="원형맨홀수량"/>
      <sheetName val="woo(mac)"/>
      <sheetName val="archi(본사)"/>
      <sheetName val="교통신호등"/>
      <sheetName val="조명율표"/>
      <sheetName val="터파기및재료"/>
      <sheetName val="기지국"/>
      <sheetName val="수질정화시설"/>
      <sheetName val="CAL"/>
      <sheetName val="토공산출(주차장)"/>
      <sheetName val="CON포장수량"/>
      <sheetName val="ACUNIT"/>
      <sheetName val="CONUNIT"/>
      <sheetName val="포장공"/>
      <sheetName val="간지"/>
      <sheetName val="신우"/>
      <sheetName val="과천MAIN"/>
      <sheetName val="물량표"/>
      <sheetName val="변경원가서갑"/>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설계서"/>
      <sheetName val="WEIGHT LIST"/>
      <sheetName val="POL6차-PIPING"/>
      <sheetName val="산#2-1 (2)"/>
      <sheetName val="산#3-1"/>
      <sheetName val="차도조도계산"/>
      <sheetName val="공통비(전체)"/>
      <sheetName val="토목-물가"/>
      <sheetName val="재료"/>
      <sheetName val="예정(3)"/>
      <sheetName val="동원(3)"/>
      <sheetName val="jobhist"/>
      <sheetName val="조내역"/>
      <sheetName val="건축공사요약표"/>
      <sheetName val="집계내역서(가압장)"/>
      <sheetName val="흐름도"/>
      <sheetName val="5.3 단면가정"/>
      <sheetName val="PI"/>
      <sheetName val="기성신청"/>
      <sheetName val="내역서(기성청구)"/>
      <sheetName val="TYPE-A"/>
      <sheetName val="수리결과"/>
      <sheetName val="단위수량"/>
      <sheetName val="1.토공"/>
      <sheetName val="FAB별"/>
      <sheetName val="개산공사비"/>
      <sheetName val="증가분"/>
      <sheetName val="증가수정"/>
      <sheetName val="문의사항"/>
      <sheetName val="수수료율표"/>
      <sheetName val="철근단면적"/>
      <sheetName val="깨기"/>
      <sheetName val="견적서세부내용"/>
      <sheetName val="견적내용입력"/>
      <sheetName val="총괄"/>
      <sheetName val="부대공사"/>
      <sheetName val="전라자금"/>
      <sheetName val="9509"/>
      <sheetName val="증감대비"/>
      <sheetName val="설비"/>
      <sheetName val="SPEC"/>
      <sheetName val="DC-2303"/>
      <sheetName val="O＆P"/>
      <sheetName val="결재판(삭제하지말아주세요)"/>
      <sheetName val="품셈기준"/>
      <sheetName val="예가대비"/>
      <sheetName val="성곽내역서"/>
      <sheetName val="FB25JN"/>
      <sheetName val="업무처리전"/>
      <sheetName val="화전내"/>
      <sheetName val="2000용수잠관-수량집계"/>
      <sheetName val="STRA2"/>
      <sheetName val="설산1.나"/>
      <sheetName val="본사S"/>
      <sheetName val="상행-교대(A1-A2)"/>
      <sheetName val="tggwan(mac)"/>
      <sheetName val="우각부보강"/>
      <sheetName val="주형"/>
      <sheetName val="일반공사"/>
      <sheetName val="공사비증감"/>
      <sheetName val="견적"/>
      <sheetName val="Raw Data"/>
      <sheetName val="충주"/>
      <sheetName val="2연BOX"/>
      <sheetName val="원가계산"/>
      <sheetName val="원가계산서(남측)"/>
      <sheetName val="은행"/>
      <sheetName val="수량산출서-2"/>
      <sheetName val="공종별집계표"/>
      <sheetName val="인천성심병원"/>
      <sheetName val="할증 "/>
      <sheetName val="목록"/>
      <sheetName val="40단가산출서"/>
      <sheetName val="내역표지"/>
      <sheetName val="FLA"/>
      <sheetName val="시멘트"/>
      <sheetName val="음료실행"/>
      <sheetName val="중동공구"/>
      <sheetName val="S12"/>
      <sheetName val="S9"/>
      <sheetName val="S14"/>
      <sheetName val="Calculation"/>
      <sheetName val="토공사"/>
      <sheetName val="TYPE1"/>
      <sheetName val="철근량"/>
      <sheetName val="주공 갑지"/>
      <sheetName val="기안"/>
      <sheetName val="허용전류_IEC"/>
      <sheetName val="허용전류_IEC DATA"/>
      <sheetName val="설계"/>
      <sheetName val="준검 내역서"/>
      <sheetName val="3차설계"/>
      <sheetName val="제출내역 (2)"/>
      <sheetName val="106C0300"/>
      <sheetName val="산출내역(K2)"/>
      <sheetName val="구조물공"/>
      <sheetName val="6공구(당초)"/>
      <sheetName val="부대공"/>
      <sheetName val="투찰"/>
      <sheetName val="1,2공구원가계산서"/>
      <sheetName val="2공구산출내역"/>
      <sheetName val="1공구산출내역서"/>
      <sheetName val="전체제잡비"/>
      <sheetName val="토공"/>
      <sheetName val="경산"/>
      <sheetName val="철골공사"/>
      <sheetName val="TYPE-1"/>
      <sheetName val="집1"/>
      <sheetName val="철근총괄집계표"/>
      <sheetName val="개화1교"/>
      <sheetName val="Sheet1_(2)2"/>
      <sheetName val="물가변동_총괄서2"/>
      <sheetName val="방배동내역_(총괄)2"/>
      <sheetName val="허용전류-IEC_DATA2"/>
      <sheetName val="본선_토공_분배표2"/>
      <sheetName val="EQUIP_LIST2"/>
      <sheetName val="7_1유효폭2"/>
      <sheetName val="현장관리비_산출내역2"/>
      <sheetName val="3_공통공사대비1"/>
      <sheetName val="단면_(2)2"/>
      <sheetName val="토공_갑지1"/>
      <sheetName val="BOX_본체1"/>
      <sheetName val="각사별공사비분개_1"/>
      <sheetName val="을_21"/>
      <sheetName val="을_11"/>
      <sheetName val="Pier_31"/>
      <sheetName val="1_취수장1"/>
      <sheetName val="_1"/>
      <sheetName val="6PILE__(돌출)1"/>
      <sheetName val="해외_연수비용_계산-삭제1"/>
      <sheetName val="해외_기술훈련비_(합계)1"/>
      <sheetName val="3련_BOX1"/>
      <sheetName val="TYPE_A"/>
      <sheetName val="BOX(1_5X1_5)"/>
      <sheetName val="2000년_공정표"/>
      <sheetName val="장비투입_(2)"/>
      <sheetName val="1_설계조건"/>
      <sheetName val="C_&amp;_G_RHS"/>
      <sheetName val="1공구_건정토건_토공"/>
      <sheetName val="5_3_단면가정"/>
      <sheetName val="내역서_"/>
      <sheetName val="ITB_COST"/>
      <sheetName val="BSD_(2)"/>
      <sheetName val="CATCH_BASIN"/>
      <sheetName val="입출재고현황_(2)"/>
      <sheetName val="Man_Hole"/>
      <sheetName val="Process_Piping"/>
      <sheetName val="Koreasea"/>
      <sheetName val="자재 집계표"/>
      <sheetName val="수량산출서 갑지"/>
      <sheetName val="A-100전제"/>
      <sheetName val="MOTOR"/>
      <sheetName val="도장수량(하1)"/>
      <sheetName val="역T형"/>
      <sheetName val="PILE"/>
      <sheetName val="배관내역"/>
      <sheetName val="산출서양식01"/>
      <sheetName val="토목"/>
      <sheetName val="산1~6"/>
      <sheetName val="0"/>
      <sheetName val="960318-1"/>
      <sheetName val="금융구조검토"/>
      <sheetName val="삼성전기"/>
      <sheetName val="골재"/>
      <sheetName val="원가계산서"/>
      <sheetName val="소방사항"/>
      <sheetName val="방수"/>
      <sheetName val="중기"/>
      <sheetName val="심의위원명단"/>
      <sheetName val="실행간접비"/>
      <sheetName val="소화실적"/>
      <sheetName val="AC포장수량"/>
      <sheetName val="수량이동"/>
      <sheetName val="펌프장수량산출(토)"/>
      <sheetName val="조도계산서 (도서)"/>
      <sheetName val="1TL종점(1)"/>
      <sheetName val="SBT NO Proj. Controlling Report"/>
      <sheetName val="품의"/>
      <sheetName val="기둥"/>
      <sheetName val="산근터빈"/>
      <sheetName val="자"/>
      <sheetName val="노"/>
      <sheetName val="하도내역 (철콘)"/>
      <sheetName val="구체"/>
      <sheetName val="중기비"/>
      <sheetName val="xxxxxx"/>
      <sheetName val="구역화물"/>
      <sheetName val="소비자가"/>
      <sheetName val="20관리비율"/>
      <sheetName val="공종별집계표(건축)"/>
      <sheetName val="FOOTING단면력"/>
      <sheetName val="품의서"/>
      <sheetName val="배수내역"/>
      <sheetName val="사통"/>
      <sheetName val="아산추가1220"/>
      <sheetName val="COA-17"/>
      <sheetName val="C-18"/>
      <sheetName val="견적서"/>
      <sheetName val="산출내역서"/>
      <sheetName val="원가"/>
      <sheetName val="교통대책내역"/>
      <sheetName val="PHC파일 천공 및 항타"/>
      <sheetName val="49일위"/>
      <sheetName val="경비_원본"/>
      <sheetName val="R.C RAHMEN 해석"/>
      <sheetName val="G.R300경비"/>
      <sheetName val="관급"/>
      <sheetName val="공문갑지"/>
      <sheetName val="잡비계산"/>
      <sheetName val="방음벽연장집계-여기까지만 출력"/>
      <sheetName val="충돌 내용"/>
      <sheetName val="예산서"/>
      <sheetName val="3BL공동구 수량"/>
      <sheetName val="11"/>
      <sheetName val="주간기성"/>
      <sheetName val="직종인원"/>
      <sheetName val="일일총괄"/>
      <sheetName val="검사현황"/>
      <sheetName val="10"/>
      <sheetName val="부하"/>
      <sheetName val="Book2"/>
      <sheetName val="8"/>
      <sheetName val="5.모델링"/>
      <sheetName val="을지"/>
      <sheetName val="G2설비도급"/>
      <sheetName val="참고"/>
      <sheetName val="INPUT(덕도방향-시점)"/>
      <sheetName val="맨홀수량산출"/>
      <sheetName val="석축단"/>
      <sheetName val="법면수집"/>
      <sheetName val="안정계산"/>
      <sheetName val="단면검토"/>
      <sheetName val="가도공"/>
      <sheetName val="1호인버트수량"/>
      <sheetName val="석축설면"/>
      <sheetName val="법면단"/>
      <sheetName val="맨홀수량집계"/>
      <sheetName val="h-013211-2"/>
      <sheetName val="118.세금과공과"/>
      <sheetName val="108.수선비"/>
      <sheetName val="BS"/>
      <sheetName val="25.보증금(임차보증금외)"/>
      <sheetName val="Pricing"/>
      <sheetName val="Debt Service Schedule"/>
      <sheetName val="Krw"/>
      <sheetName val="토목내역"/>
      <sheetName val="Cash_Flow"/>
      <sheetName val="NOPAT"/>
      <sheetName val="Invested Capital"/>
      <sheetName val="WACC"/>
      <sheetName val="EVA"/>
      <sheetName val="매출GPU"/>
      <sheetName val="매출HLDS"/>
      <sheetName val="HZ_매출재료비"/>
      <sheetName val="PT_매출재료비"/>
      <sheetName val="Deteriorated Asset"/>
      <sheetName val="21301동"/>
      <sheetName val="토적표"/>
      <sheetName val="부안일위"/>
      <sheetName val="Quantity"/>
      <sheetName val="??"/>
      <sheetName val="가설건물"/>
      <sheetName val="세부내역서"/>
      <sheetName val="_x0000__x0008__x0000__x0004__x0000_"/>
      <sheetName val="ࠀ฀ࠀ؀ԀЀԀ̀"/>
      <sheetName val="소일위대가코드표"/>
      <sheetName val="공사원가"/>
      <sheetName val="48전력선로일위"/>
      <sheetName val="장비 (2)"/>
      <sheetName val="지수적용공사비내역서"/>
      <sheetName val="SANBAISU"/>
      <sheetName val="9609Aß"/>
      <sheetName val="업무계획1"/>
      <sheetName val="Du toan"/>
      <sheetName val="Keothep"/>
      <sheetName val="Re-bar"/>
      <sheetName val="WEIGHT_LIST"/>
      <sheetName val="산#2-1_(2)"/>
      <sheetName val="냉매배관"/>
      <sheetName val="드레인"/>
      <sheetName val="기타"/>
      <sheetName val="입적표"/>
      <sheetName val="일위목록"/>
      <sheetName val="제-노임"/>
      <sheetName val="전계가"/>
      <sheetName val="APT"/>
      <sheetName val="작성방법"/>
      <sheetName val="기초공"/>
      <sheetName val="공사유형"/>
      <sheetName val="PKG"/>
      <sheetName val="2월가격표-ESG-1월"/>
      <sheetName val="UB2"/>
      <sheetName val="퇴직공제"/>
      <sheetName val="건강보험료"/>
      <sheetName val="노인장기요양보험료"/>
      <sheetName val="공통부대비"/>
      <sheetName val="CONCRETE"/>
      <sheetName val="공사종류(참고)"/>
      <sheetName val="동원인원산출"/>
      <sheetName val="명세서"/>
      <sheetName val="1.1서버도입"/>
      <sheetName val="동원(3-"/>
      <sheetName val="2차선환산길이"/>
      <sheetName val="우수"/>
      <sheetName val="건축원가계산서"/>
      <sheetName val="TRE TABLE"/>
      <sheetName val="순환펌프"/>
      <sheetName val="저수조"/>
      <sheetName val="급,배기팬"/>
      <sheetName val="급탕순환펌프"/>
      <sheetName val="AH-1 "/>
      <sheetName val="OHU"/>
      <sheetName val="경제성분석"/>
      <sheetName val="비교1"/>
      <sheetName val="계약ITEM"/>
      <sheetName val="Package 3"/>
      <sheetName val="low schedule"/>
      <sheetName val="피뢰침"/>
      <sheetName val="cellar lighting"/>
      <sheetName val="main building"/>
      <sheetName val="auxiliary building"/>
      <sheetName val="earthing"/>
      <sheetName val="highbay lighting"/>
      <sheetName val="trolley"/>
      <sheetName val="cable tray"/>
      <sheetName val="10.단면설계"/>
      <sheetName val="2~5.단면가정&amp;안정검토"/>
      <sheetName val="10.1.단면검토"/>
      <sheetName val="B"/>
      <sheetName val="UEC영화관본공사내역"/>
      <sheetName val="포장절단"/>
      <sheetName val="변수값"/>
      <sheetName val="중기상차"/>
      <sheetName val="AS복구"/>
      <sheetName val="중기터파기"/>
      <sheetName val="L형옹벽(key)"/>
      <sheetName val="0217상가미분양자산"/>
      <sheetName val="부표총괄"/>
      <sheetName val="현장명령서"/>
      <sheetName val="DHEQSUPT"/>
      <sheetName val="공정data"/>
      <sheetName val="도장수량⿞陂_x0000_"/>
      <sheetName val="전체수⿞陂"/>
      <sheetName val="도장수량䀀⽎陂_x0000_"/>
      <sheetName val="전체수량집계"/>
      <sheetName val="터파기및_x0000__x0000_"/>
      <sheetName val="터파기및0_x0000_"/>
      <sheetName val="터파기및頚ሷ"/>
      <sheetName val="도장수량뀀㆓_x0000__x0000_"/>
      <sheetName val="도장수량 ⪓_x0000__x0000_"/>
      <sheetName val="도장수량⎄ꀀ㔢"/>
      <sheetName val="동원(젔㢇"/>
      <sheetName val="동원(⎄"/>
      <sheetName val="동원(ꠞ⌲"/>
      <sheetName val="동원(ꠥ⌲"/>
      <sheetName val="동원(瀀ᗝ"/>
      <sheetName val="전체수량堛ㆌ"/>
      <sheetName val="전체수량堘ㆌ"/>
      <sheetName val="전체수ḱ텭/"/>
      <sheetName val="전체수ḱ푭/"/>
      <sheetName val="전체수㪄저"/>
      <sheetName val="전체수량㪄"/>
      <sheetName val="전체수량㪄"/>
      <sheetName val="전체수량㪄"/>
      <sheetName val="전체수㪄栀"/>
      <sheetName val="전체수ꠉ㒉뀀"/>
      <sheetName val="전체수량Ḅ푭"/>
      <sheetName val="전체수량Ḇ푭"/>
      <sheetName val="전체수㪄뀀"/>
      <sheetName val="전체수㪄저"/>
      <sheetName val="전체수㪄耀"/>
      <sheetName val="전체수량㪄"/>
      <sheetName val="전체수젂㺌怀"/>
      <sheetName val="전체수砌㸺က"/>
      <sheetName val="전체수砂㸺倀"/>
      <sheetName val="전체수砱㸺"/>
      <sheetName val="전체수砱㸺䠀"/>
      <sheetName val="전체수瀀⯞_x0000_"/>
      <sheetName val="전체수_x0000_᫜_x0000_"/>
      <sheetName val="전체수猱๭0"/>
      <sheetName val="전체수ⰸ怀"/>
      <sheetName val="전체수ᠱ㠹䀀"/>
      <sheetName val="전체수䀱ᶓ_x0000_"/>
      <sheetName val="전체수뀀⃟_x0000_"/>
      <sheetName val="전체수　⋛_x0000_"/>
      <sheetName val="전체수ꀱ⊌_x0000_"/>
      <sheetName val="전체수량　⋛"/>
      <sheetName val="도장수⠱㔺栀_xdc39_猇"/>
      <sheetName val="도장수⠱ℴ쀀뢈ጂ"/>
      <sheetName val="전체수⠖㔺저"/>
      <sheetName val="전체수砖㖌"/>
      <sheetName val="전체수⠗㔺䀀"/>
      <sheetName val="도장수⠱ℴ䀀뢌ጂ"/>
      <sheetName val="도장수⠱㔺瀀猉"/>
      <sheetName val="도장수倱ᖍ_x0000__x0000_切"/>
      <sheetName val="전체수　⫡_x0000_"/>
      <sheetName val="도장수량ᗛ_x0000__x0000_"/>
      <sheetName val="도장수량က᳟_x0000__x0000_"/>
      <sheetName val="전체수량退ᦐ"/>
      <sheetName val="전체수怀ẑ_x0000_"/>
      <sheetName val="도장수怱ẑ_x0000__x0000_切"/>
      <sheetName val="전체수怱ẑ_x0000_"/>
      <sheetName val="전체수 ᧟_x0000_"/>
      <sheetName val="도장수週ᦐ_x0000__x0000_切"/>
      <sheetName val="전체수瀀ㆍ_x0000_"/>
      <sheetName val="도장수_x0000_㇜_x0000__x0000_切"/>
      <sheetName val="전체수뀀⻜_x0000_"/>
      <sheetName val="도장수瀀⃡_x0000__x0000_切"/>
      <sheetName val="도장수량ᾒ_x0000__x0000_"/>
      <sheetName val="전체수량标㔷"/>
      <sheetName val="전체수량렑㖉"/>
      <sheetName val="전체수_x0000__x0000_퀀"/>
      <sheetName val="전체수량/_x0000_"/>
      <sheetName val="전체수砏㒉"/>
      <sheetName val="도장수ᠱ㐷怀洫猃"/>
      <sheetName val="전체수량᠖㐷"/>
      <sheetName val="도장수량_xd812_₆䠀沣"/>
      <sheetName val="도장수량_xd813_₆蠀ꨟ"/>
      <sheetName val="도장수량猀ﱭ/_x0000_"/>
      <sheetName val="도장수猱ﱭ/_x0000_倀"/>
      <sheetName val="전체수_x0000__x0000_Ԁ"/>
      <sheetName val="전체수 ᧡_x0000_"/>
      <sheetName val="도장수량倀ᖎ_x0000__x0000_"/>
      <sheetName val="도장수량뀀⾍_x0000__x0000_"/>
      <sheetName val="전체수량뀀⾍"/>
      <sheetName val="도장수량耀↓_x0000__x0000_"/>
      <sheetName val="도장수량䀀⒏_x0000__x0000_"/>
      <sheetName val="전체수⿞陂"/>
      <sheetName val="도장수량䀀࿠辜_x0000_"/>
      <sheetName val="도장수량耀࿙辜_x0000_"/>
      <sheetName val="도장수량退ཏ辜_x0000_"/>
      <sheetName val="전체수량_x0000__x0000_"/>
      <sheetName val="도장수량堉㽑瀀┗"/>
      <sheetName val="도장수량ࠔ᰹搜"/>
      <sheetName val="도장수량栗᲋ꀀ齲"/>
      <sheetName val="도장수량࠘᰹蠀숈"/>
      <sheetName val="도장수량࠘᰹쐞"/>
      <sheetName val="도장수1_x0000_Ԁ_x0000_"/>
      <sheetName val="급여명세서"/>
      <sheetName val="급여등록"/>
      <sheetName val="SRC-B3U2"/>
      <sheetName val="UB Beam Box-up"/>
      <sheetName val="Rate"/>
      <sheetName val="DOOR&amp;WINDOW"/>
      <sheetName val="도장수량_x0000__x0000_Ԁ_x0000_"/>
      <sheetName val="도장수耱⺎_x0000__x0000_切"/>
      <sheetName val="도장수량耀⺎_x0000__x0000_"/>
      <sheetName val="도장수량쀀ᮎ_x0000__x0000_"/>
      <sheetName val="도장수량耀Ⲏ_x0000__x0000_"/>
      <sheetName val="도장수량퀀⒑_x0000__x0000_"/>
      <sheetName val="도장수↌_x0000__x0000_切"/>
      <sheetName val="도장수량蠇ᶊ　꧹"/>
      <sheetName val="전체수 ᛙ_x0000_"/>
      <sheetName val="전체수ꀱẑ_x0000_"/>
      <sheetName val="도장수ꀱẑ_x0000__x0000_切"/>
      <sheetName val="도장수량ꀀẑ_x0000__x0000_"/>
      <sheetName val="도장수週Ấ_x0000__x0000_切"/>
      <sheetName val="전체수週Ấ_x0000_"/>
      <sheetName val="전체수량預㊊"/>
      <sheetName val="전체수량팂๩"/>
      <sheetName val="전체수　⮒_x0000_"/>
      <sheetName val="교통신퀀ⓢ"/>
      <sheetName val="동원(_x0000__x0000_"/>
      <sheetName val="도장수‱Ⲕ_x0000__x0000_切"/>
      <sheetName val="교통신　៕"/>
      <sheetName val="교통신_x0000_㇠"/>
      <sheetName val="도장수량쀀▐_x0000__x0000_"/>
      <sheetName val="도장수량倀◟_x0000__x0000_"/>
      <sheetName val="전체수怀ᗝ_x0000_"/>
      <sheetName val="전체수량ꀀẓ"/>
      <sheetName val="도장수량쀀⒐_x0000__x0000_"/>
      <sheetName val="도장수쀱⒐_x0000__x0000_切"/>
      <sheetName val="전체수쀱⒐_x0000_"/>
      <sheetName val="전체수倱ⓟ_x0000_"/>
      <sheetName val="전체수쨱䡬0"/>
      <sheetName val="도장수량쨄䡬0_x0000_"/>
      <sheetName val="도장수량옅筘0_x0000_"/>
      <sheetName val="도장수량ꀀ㇞_x0000__x0000_"/>
      <sheetName val="동원(ꠖ㠳"/>
      <sheetName val="도장수량젆㰴退㖍"/>
      <sheetName val="도장수䀱⽫_x0000__x0000_切"/>
      <sheetName val="전체수⪒_x0000_"/>
      <sheetName val="도장수량_xd80b_㨹䠀䷓"/>
      <sheetName val="동원(_xd807_㞉"/>
      <sheetName val="동원(_xd80c_㞉"/>
      <sheetName val="도장수량퀉罰0_x0000_"/>
      <sheetName val="동원(㒊"/>
      <sheetName val="동원(㒊"/>
      <sheetName val="동원(⠞ḵ"/>
      <sheetName val="도장수량⠩ḵ蠀_xd881_"/>
      <sheetName val="동원(퀊罰"/>
      <sheetName val="도장수량쌀䄅/_x0000_"/>
      <sheetName val="동원(⸴"/>
      <sheetName val="동원(耂ୱ"/>
      <sheetName val="동원(퀂籰"/>
      <sheetName val="도장수량က_x0000_⠀"/>
      <sheetName val="동원(　◜"/>
      <sheetName val="도장수량쌈㈅/_x0000_"/>
      <sheetName val="도장수량က_x0000_ 幍"/>
      <sheetName val="도장수량쌀㈅/_x0000_"/>
      <sheetName val="도장수량퀂_xde70_/_x0000_"/>
      <sheetName val="동원(퀃㽰"/>
      <sheetName val="동원(ᶊ"/>
      <sheetName val="도장수량㢇_x0000_힀"/>
      <sheetName val="동원(順㠵"/>
      <sheetName val="동원(ᶊ"/>
      <sheetName val="전체수량㢇"/>
      <sheetName val="도장수량㢇저홦"/>
      <sheetName val="동원(丂퉮"/>
      <sheetName val="동원(/_x0000_"/>
      <sheetName val="상행-교대(洅⿋︸_x0000__x0000__x0000_"/>
      <sheetName val="만기"/>
      <sheetName val="정산표"/>
      <sheetName val="영원bs"/>
      <sheetName val="영원is"/>
      <sheetName val="SDF"/>
      <sheetName val="YSS"/>
      <sheetName val="연결분개99"/>
      <sheetName val="투자자본상계"/>
      <sheetName val="지분법적용금액"/>
      <sheetName val="채권채무상계"/>
      <sheetName val="미실현제거"/>
      <sheetName val="당기내부거래"/>
      <sheetName val="당기하향"/>
      <sheetName val="매출총이익율"/>
      <sheetName val="MINI"/>
      <sheetName val="연결분개(외부순이익)"/>
      <sheetName val="연결분개(거래.채권채무) (2)"/>
      <sheetName val="99환산손익"/>
      <sheetName val="전기내부거래"/>
      <sheetName val="99지분법평가손익"/>
      <sheetName val="연결분개(거래.채권채무)"/>
      <sheetName val="연결조정대"/>
      <sheetName val="99발견사항"/>
      <sheetName val="발견사항"/>
      <sheetName val="wbs"/>
      <sheetName val="wpl"/>
      <sheetName val="대차대조표"/>
      <sheetName val="손익계산서"/>
      <sheetName val="수정분개"/>
      <sheetName val="대차"/>
      <sheetName val="손익"/>
      <sheetName val="잉여금"/>
      <sheetName val="현금흐름표"/>
      <sheetName val="현금흐름표검증조서"/>
      <sheetName val="만기 (2)"/>
      <sheetName val="TB"/>
      <sheetName val="99지분법평가ﾐ쟿"/>
      <sheetName val="00'미수"/>
      <sheetName val="She_x0000__x0000_2"/>
      <sheetName val="꺐윂"/>
      <sheetName val="기본"/>
      <sheetName val="1.외주공사"/>
      <sheetName val="2.직영공사"/>
      <sheetName val="감가상각"/>
      <sheetName val="XREF"/>
      <sheetName val="시산표"/>
      <sheetName val="영화별rawdata"/>
      <sheetName val="She??2"/>
      <sheetName val="COMBINED"/>
      <sheetName val="VALSTAT"/>
      <sheetName val="총괄(회사)"/>
      <sheetName val="무형자산"/>
      <sheetName val="전산기기최종"/>
      <sheetName val="집기비품최종"/>
      <sheetName val="만기0701"/>
      <sheetName val="부재료입고집계"/>
      <sheetName val="외화"/>
      <sheetName val="자금동향"/>
      <sheetName val="손익합산"/>
      <sheetName val="지분법적용투자주식"/>
      <sheetName val="原价计算表"/>
      <sheetName val="P50.subsequent"/>
      <sheetName val="Significant Processes"/>
      <sheetName val="정기적금"/>
      <sheetName val="인건비예산(정규직)"/>
      <sheetName val="인건비예산(용역)"/>
      <sheetName val="제품별원가분석"/>
      <sheetName val="7 _2_"/>
      <sheetName val="7 (2)"/>
      <sheetName val="연결분개(거래.Ʉ_x0000_₎㔀"/>
      <sheetName val=""/>
      <sheetName val="ʉ_x0000_䀀"/>
      <sheetName val="2.2"/>
      <sheetName val="2.2 Yrly Comparison"/>
      <sheetName val="5. BSC Developmt"/>
      <sheetName val="Links"/>
      <sheetName val="Lead"/>
      <sheetName val="생산량"/>
      <sheetName val="WELDING"/>
      <sheetName val="She"/>
      <sheetName val="회사정보"/>
      <sheetName val="(참고)개인별 임금인상안"/>
      <sheetName val="(참고)DC형 선택자 퇴직금 추계"/>
      <sheetName val="Margins"/>
      <sheetName val="실사"/>
      <sheetName val="상품원가피벗"/>
      <sheetName val="연결분개(거래_채권채무)_(2)"/>
      <sheetName val="연결분개(거래_채권채무)"/>
      <sheetName val="만기_(2)"/>
      <sheetName val="0814_5만이하"/>
      <sheetName val="재료수율"/>
      <sheetName val="원가분석"/>
      <sheetName val="원재료"/>
      <sheetName val="npv"/>
      <sheetName val="Sheet12"/>
      <sheetName val="미수"/>
      <sheetName val="완성차 미수금"/>
      <sheetName val="03"/>
      <sheetName val="토지"/>
      <sheetName val="임대주택"/>
      <sheetName val="pg15"/>
      <sheetName val="3. BSC NC ratio"/>
      <sheetName val="1.변경범위"/>
      <sheetName val="TCA"/>
      <sheetName val="지급보증금74"/>
      <sheetName val="She__2"/>
      <sheetName val="CPK"/>
      <sheetName val="매출분석"/>
      <sheetName val="2.생산성-2"/>
      <sheetName val="주행"/>
      <sheetName val="A"/>
      <sheetName val="매출TOT"/>
      <sheetName val="INDEX"/>
      <sheetName val="Cash Flows"/>
      <sheetName val="Inventory and Purchases"/>
      <sheetName val="Assumptions and Dashboard"/>
      <sheetName val="Headcount Overview"/>
      <sheetName val="손익계ʰ_x0000_"/>
      <sheetName val="특정현금과예금"/>
      <sheetName val="현금과예금"/>
      <sheetName val="TaxCalc"/>
      <sheetName val="24.보증금(전신전화가입권)"/>
      <sheetName val="1_외주공사"/>
      <sheetName val="2_직영공사"/>
      <sheetName val="안산기계장치"/>
      <sheetName val="Budget"/>
      <sheetName val="Configuration"/>
      <sheetName val="3.판관비명세서"/>
      <sheetName val="2001급여"/>
      <sheetName val="중연"/>
      <sheetName val="용연"/>
      <sheetName val="울산"/>
      <sheetName val="대구"/>
      <sheetName val="구미"/>
      <sheetName val="광주"/>
      <sheetName val="언양"/>
      <sheetName val="진천"/>
      <sheetName val="בית השקעות"/>
      <sheetName val="st"/>
      <sheetName val="Supplement2"/>
      <sheetName val="연금개시전"/>
      <sheetName val="She_x005f_x0000__x005f_x0000_2"/>
      <sheetName val="9,10월신제품 (2)"/>
      <sheetName val="①매출"/>
      <sheetName val="연결분개(거래_채권채무)_(2)1"/>
      <sheetName val="연결분개(거래_채권채무)1"/>
      <sheetName val="만기_(2)1"/>
      <sheetName val="9,10월신제품_(2)"/>
      <sheetName val="시산표 (2)"/>
      <sheetName val="고정1"/>
      <sheetName val="실행계획"/>
      <sheetName val="Start"/>
      <sheetName val="종합_SP"/>
      <sheetName val="종합_MP"/>
      <sheetName val="무림SP_상세"/>
      <sheetName val="무림페이퍼_상세"/>
      <sheetName val="종합"/>
      <sheetName val="단가비교"/>
      <sheetName val="계산결과(출력하지말것)"/>
      <sheetName val="플랜트 설치"/>
      <sheetName val="공사비산출내역"/>
      <sheetName val="공사비"/>
      <sheetName val="96보완계획7_12"/>
      <sheetName val="96보완계획7.12"/>
      <sheetName val="유림총괄"/>
      <sheetName val="관급자재㧈_x0014_冈"/>
      <sheetName val="태화42 "/>
      <sheetName val="토목공사"/>
      <sheetName val="단가표"/>
      <sheetName val="list price"/>
      <sheetName val="유림콘도"/>
      <sheetName val="우수공사"/>
      <sheetName val="우수공총괄수량집계"/>
      <sheetName val="내역전기"/>
      <sheetName val="2공구수량"/>
      <sheetName val="터널길이별 m당 단가"/>
      <sheetName val="신표지1"/>
      <sheetName val="확인서"/>
      <sheetName val="수원공공사비"/>
      <sheetName val="95D"/>
      <sheetName val="94D"/>
      <sheetName val="N賃率-職"/>
      <sheetName val="도장수량렉㜸᠀鹟"/>
      <sheetName val="전체수량丐彮"/>
      <sheetName val="동원(ࠆ㔳"/>
      <sheetName val="동원(씂鉫"/>
      <sheetName val="동원(씂恫"/>
      <sheetName val="동원(씍恫"/>
      <sheetName val="교통신_x0000__x0000_"/>
      <sheetName val="도장수량씉恫0_x0000_"/>
      <sheetName val="도장수량츆鱪/_x0000_"/>
      <sheetName val="동원(츃鑪"/>
      <sheetName val="도장수량츂鑪/_x0000_"/>
      <sheetName val="동원(_xd80a_㤸"/>
      <sheetName val="동원(_xd80c_㤸"/>
      <sheetName val="동원(츉ᑪ"/>
      <sheetName val="동원(츀ᑪ"/>
      <sheetName val="동원(츉❪"/>
      <sheetName val="동원(츊❪"/>
      <sheetName val="도장수량츃❪0_x0000_"/>
      <sheetName val="도장수량츅⩪0_x0000_"/>
      <sheetName val="도장수량䠆⸶堀䝽"/>
      <sheetName val="도장수량ԇmᠰQ"/>
      <sheetName val="도장수량〉٩0_x0000_"/>
      <sheetName val="동원(』٩"/>
      <sheetName val="도장수량《٩0_x0000_"/>
      <sheetName val="도장수량〄蝩0_x0000_"/>
      <sheetName val="도장수량〆蝩0_x0000_"/>
      <sheetName val="도장수량_xdf68_/_x0000_"/>
      <sheetName val="도장수량젇ⴳ 㥍"/>
      <sheetName val="동원(ꠐ㰷"/>
      <sheetName val="3.바닥판설계"/>
      <sheetName val="TOWER 12TON"/>
      <sheetName val="TOWER 10TON"/>
      <sheetName val="A-TYPE 단위수량"/>
      <sheetName val="계약정보"/>
      <sheetName val="착공-공문"/>
      <sheetName val="착공계"/>
      <sheetName val="예정공정표"/>
      <sheetName val="현장대리인계"/>
      <sheetName val="수첩사본"/>
      <sheetName val="재직증명서"/>
      <sheetName val="위임장"/>
      <sheetName val="계약내역서"/>
      <sheetName val="계약내역서-1"/>
      <sheetName val="인원장비투입"/>
      <sheetName val="안전관리계획서"/>
      <sheetName val="산업안전보건관리비사용계획서"/>
      <sheetName val="환경관리계획서"/>
      <sheetName val="환경보전비사용계획서"/>
      <sheetName val="품질관리"/>
      <sheetName val="착공전사진표지"/>
      <sheetName val="사진대지"/>
      <sheetName val="일위산출"/>
      <sheetName val="토목변경"/>
      <sheetName val="백호우계수"/>
      <sheetName val="1공구_x0005__x0000__x0000__x0000_"/>
      <sheetName val="산근"/>
      <sheetName val="상행-교대(_x0000__x0000__x0005__x0000_틀Ȝ"/>
      <sheetName val="도장수량砟⼵᠁_xdb1f_"/>
      <sheetName val="도장수량砞⼵_xd801_᎒"/>
      <sheetName val="도장수량ࠌ侇ꀀꂒ"/>
      <sheetName val="도장수량㠗㚅_xd801_ᝲ"/>
      <sheetName val="도장수량㠓྇쀁뭟"/>
      <sheetName val="도장수량픶退"/>
      <sheetName val="도장수량ꠑ锳저㕭"/>
      <sheetName val="도장수량ꠒ㌷ꁎ"/>
      <sheetName val="동원(_xdb86_"/>
      <sheetName val="도장수량蠖쀀챏"/>
      <sheetName val="도장수량蠒렀䪳"/>
      <sheetName val="도장수량ꠒ³"/>
      <sheetName val="도장수량蠕　_x0002_"/>
      <sheetName val="도장수량Ј乬0_x0000_"/>
      <sheetName val="도장수량Ў㍬0_x0000_"/>
      <sheetName val="도장수량Њ㍬0_x0000_"/>
      <sheetName val="도장수량Ђ걬/_x0000_"/>
      <sheetName val="전체수량᠗辆"/>
      <sheetName val="도장수량Ќ걬/_x0000_"/>
      <sheetName val="도장수량研⼵栁_xdc19_"/>
      <sheetName val="도장수량砛⼵ﳓ"/>
      <sheetName val="도장수량砛⼵_xd801_沈"/>
      <sheetName val="도장수량砐⼵、倩"/>
      <sheetName val="도장수량Ќၬ0_x0000_"/>
      <sheetName val="도장수량Ћ牬0_x0000_"/>
      <sheetName val="전체수량Ђ牬"/>
      <sheetName val="도장수량砗伳_x0000_㢠"/>
      <sheetName val="도장수량Ј_xd86c_/_x0000_"/>
      <sheetName val="도장수량Ѐ/_x0000_"/>
      <sheetName val="도장수량㠐_xdb33_瀀겷"/>
      <sheetName val="도장수량Ї६0_x0000_"/>
      <sheetName val="도장수량Ђ佬0_x0000_"/>
      <sheetName val="도장수량ࠚ꼴퀀옋"/>
      <sheetName val="도장수량᠘轒頀"/>
      <sheetName val="철콘"/>
      <sheetName val="영업3"/>
      <sheetName val="J형측구단위수량"/>
      <sheetName val="대운산출"/>
      <sheetName val="sort"/>
      <sheetName val="현장관리비_瓈¼甌¼헾"/>
      <sheetName val="Gia VLNCMTC"/>
      <sheetName val="Sheet1_(2)3"/>
      <sheetName val="물가변동_총괄서3"/>
      <sheetName val="방배동내역_(총괄)3"/>
      <sheetName val="7_1유효폭3"/>
      <sheetName val="허용전류-IEC_DATA3"/>
      <sheetName val="단면_(2)3"/>
      <sheetName val="EQUIP_LIST3"/>
      <sheetName val="본선_토공_분배표3"/>
      <sheetName val="현장관리비_산출내역3"/>
      <sheetName val="3_공통공사대비2"/>
      <sheetName val="1_취수장2"/>
      <sheetName val="을_22"/>
      <sheetName val="을_12"/>
      <sheetName val="해외_연수비용_계산-삭제2"/>
      <sheetName val="해외_기술훈련비_(합계)2"/>
      <sheetName val="BOX_본체2"/>
      <sheetName val="토공_갑지2"/>
      <sheetName val="각사별공사비분개_2"/>
      <sheetName val="_2"/>
      <sheetName val="6PILE__(돌출)2"/>
      <sheetName val="3련_BOX2"/>
      <sheetName val="Pier_32"/>
      <sheetName val="WEIGHT_LIST1"/>
      <sheetName val="산#2-1_(2)1"/>
      <sheetName val="BOX(1_5X1_5)1"/>
      <sheetName val="TYPE_A1"/>
      <sheetName val="2000년_공정표1"/>
      <sheetName val="C_&amp;_G_RHS1"/>
      <sheetName val="장비투입_(2)1"/>
      <sheetName val="내역서_1"/>
      <sheetName val="ITB_COST1"/>
      <sheetName val="BSD_(2)1"/>
      <sheetName val="CATCH_BASIN1"/>
      <sheetName val="입출재고현황_(2)1"/>
      <sheetName val="1_설계조건1"/>
      <sheetName val="Man_Hole1"/>
      <sheetName val="Du_toan"/>
      <sheetName val="설산1_나"/>
      <sheetName val="1공구_건정토건_토공1"/>
      <sheetName val="5_3_단면가정1"/>
      <sheetName val="SBT_NO_Proj__Controlling_Report"/>
      <sheetName val="1_토공"/>
      <sheetName val="Process_Piping1"/>
      <sheetName val="단가_"/>
      <sheetName val="일위대가_(PM)"/>
      <sheetName val="2F_회의실견적(5_14_일대)"/>
      <sheetName val="plan&amp;section_of_foundation"/>
      <sheetName val="design_criteria"/>
      <sheetName val="준검_내역서"/>
      <sheetName val="제출내역_(2)"/>
      <sheetName val="2차전체변경예정_(2)"/>
      <sheetName val="118_세금과공과"/>
      <sheetName val="108_수선비"/>
      <sheetName val="25_보증금(임차보증금외)"/>
      <sheetName val="Debt_Service_Schedule"/>
      <sheetName val="Invested_Capital"/>
      <sheetName val="Deteriorated_Asset"/>
      <sheetName val="자재_집계표"/>
      <sheetName val="수량산출서_갑지"/>
      <sheetName val="조도계산서_(도서)"/>
      <sheetName val="할증_"/>
      <sheetName val="10_단면설계"/>
      <sheetName val="2~5_단면가정&amp;안정검토"/>
      <sheetName val="10_1_단면검토"/>
      <sheetName val="Package_3"/>
      <sheetName val="low_schedule"/>
      <sheetName val="cellar_lighting"/>
      <sheetName val="main_building"/>
      <sheetName val="auxiliary_building"/>
      <sheetName val="highbay_lighting"/>
      <sheetName val="cable_tray"/>
      <sheetName val="Raw_Data"/>
      <sheetName val="Gia_VLNCMTC"/>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3"/>
      <sheetName val="W-현원가"/>
      <sheetName val="총물량"/>
      <sheetName val="FitOutConfCentre"/>
      <sheetName val="TOSHIBA-Structure"/>
      <sheetName val="125x125"/>
      <sheetName val="실행"/>
      <sheetName val="gvl"/>
      <sheetName val="95삼성급(본사)"/>
      <sheetName val="연도별cash"/>
      <sheetName val="Basisdatei"/>
      <sheetName val="도장수량Љ꭬/_x0000_"/>
      <sheetName val="도장수량Ў桬0_x0000_"/>
      <sheetName val="도장수량젞_xdc88_᠀럘"/>
      <sheetName val="도장수량_xdc36_怀⺴"/>
      <sheetName val="도장수량䬀絩0_x0000_"/>
      <sheetName val="교통신⠞쾆"/>
      <sheetName val="도장수량䠐唶帰"/>
      <sheetName val="동원(㠙閆"/>
      <sheetName val="동원(堙锴"/>
      <sheetName val="도장수량᠘쾉ࠀ밬"/>
      <sheetName val="동원(鄂Ꙫ"/>
      <sheetName val="도장수량접켴_x0000_瓞"/>
      <sheetName val="동원(堒㪆"/>
      <sheetName val="도장수량鄋顪/_x0000_"/>
      <sheetName val="도장수량㌸、ܹ"/>
      <sheetName val="도장수량⠐伺_xd800_軙"/>
      <sheetName val="동원(蠒꾆"/>
      <sheetName val="동원(ꠒ꼴"/>
      <sheetName val="잡비_x0000__x0000_"/>
      <sheetName val="도장수량汨0_x0000_"/>
      <sheetName val="도장수량汨0_x0000_"/>
      <sheetName val="[EUL.XLS][EUL.XLS]전체수ḱ텭/"/>
      <sheetName val="[EUL.XLS][EUL.XLS]전체수ḱ푭/"/>
      <sheetName val="[EUL.XLS][EUL.XLS]전체수량/_x0000_"/>
      <sheetName val="[EUL.XLS][EUL.XLS]도장수량猀ﱭ/_x0000_"/>
      <sheetName val="[EUL.XLS][EUL.XLS]도장수猱ﱭ/_x0000_倀"/>
      <sheetName val="[EUL.XLS][EUL.XLS]도장수량쌀䄅/_x0000_"/>
      <sheetName val="[EUL.XLS][EUL.XLS]도장수량쌈㈅/_x0000_"/>
      <sheetName val="[EUL.XLS][EUL.XLS]도장수량쌀㈅/_x0000_"/>
      <sheetName val="[EUL.XLS][EUL.XLS]도장수량퀂_xde70_/_x0000_"/>
      <sheetName val="[EUL.XLS][EUL.XLS]동원(/_x0000_"/>
      <sheetName val="[EUL.XLS][EUL.XLS]도장수량츆鱪/_x0000_"/>
      <sheetName val="[EUL.XLS][EUL.XLS]도장수량츂鑪/_x0000_"/>
      <sheetName val="[EUL.XLS][EUL.XLS]도장수량_xdf68_/_x0000_"/>
      <sheetName val="Div26 - Elect"/>
      <sheetName val="BG"/>
      <sheetName val="SITE-E"/>
      <sheetName val="一発シート"/>
      <sheetName val="BANG TONG HOP (2)"/>
      <sheetName val="DTICH"/>
      <sheetName val="Gia"/>
      <sheetName val="NhanCong"/>
      <sheetName val="THCP Lap dat"/>
      <sheetName val="Ts"/>
      <sheetName val="QD957"/>
      <sheetName val="RAB AR&amp;STR"/>
      <sheetName val="DGG"/>
      <sheetName val="DTCT"/>
      <sheetName val="Nhan cong"/>
      <sheetName val="Thiet bi"/>
      <sheetName val="Vat tu"/>
      <sheetName val="DM.ChiPhi"/>
      <sheetName val="May TC"/>
      <sheetName val="Bang KL"/>
      <sheetName val="TH Kinh phi"/>
      <sheetName val="A1.CN"/>
      <sheetName val="은_x0000_"/>
      <sheetName val="발주내역"/>
      <sheetName val="04.설변내역서"/>
      <sheetName val="계약전체U_x0000_Ԁ"/>
      <sheetName val="광계통도 기입양식(기입후 Sheet숨기기)"/>
      <sheetName val="EQUIP_LIST룕"/>
      <sheetName val="EQUIP_LISTⷕ"/>
      <sheetName val="EQUIP_LIST䣕"/>
      <sheetName val="주거래인적사항"/>
      <sheetName val="동원·_x0000__x0000_"/>
      <sheetName val="동원×"/>
      <sheetName val="VXXXXX"/>
      <sheetName val="1공구_건정토건__x0000__x0000_"/>
      <sheetName val="주공_갑지"/>
      <sheetName val="충돌_내용"/>
      <sheetName val="3BL공동구_수량"/>
      <sheetName val="PHC파일_천공_및_항타"/>
      <sheetName val="하도내역_(철콘)"/>
      <sheetName val="허용전류_IEC_DATA"/>
      <sheetName val="방음벽연장집계-여기까지만_출력"/>
      <sheetName val="R_C_RAHMEN_해석"/>
      <sheetName val="5_모델링"/>
      <sheetName val="TRE_TABLE"/>
      <sheetName val="AH-1_"/>
      <sheetName val="장비_(2)"/>
      <sheetName val="G_R300경비"/>
      <sheetName val="터널길이별_m당_단가"/>
      <sheetName val="도장수⠱㔺栀猇"/>
      <sheetName val="도장수량₆䠀沣"/>
      <sheetName val="도장수량₆蠀ꨟ"/>
      <sheetName val="list_price"/>
      <sheetName val="96보완계획7_121"/>
      <sheetName val="연결분개(거래_채권채무)_(2)2"/>
      <sheetName val="연결분개(거래_채권채무)2"/>
      <sheetName val="만기_(2)2"/>
      <sheetName val="1_외주공사1"/>
      <sheetName val="2_직영공사1"/>
      <sheetName val="P50_subsequent"/>
      <sheetName val="Significant_Processes"/>
      <sheetName val="7__2_"/>
      <sheetName val="7_(2)"/>
      <sheetName val="연결분개(거래_Ʉ₎㔀"/>
      <sheetName val="2_2"/>
      <sheetName val="2_2_Yrly_Comparison"/>
      <sheetName val="5__BSC_Developmt"/>
      <sheetName val="(참고)개인별_임금인상안"/>
      <sheetName val="(참고)DC형_선택자_퇴직금_추계"/>
      <sheetName val="완성차_미수금"/>
      <sheetName val="3__BSC_NC_ratio"/>
      <sheetName val="1_변경범위"/>
      <sheetName val="2_생산성-2"/>
      <sheetName val="Cash_Flows"/>
      <sheetName val="Inventory_and_Purchases"/>
      <sheetName val="Assumptions_and_Dashboard"/>
      <sheetName val="Headcount_Overview"/>
      <sheetName val="24_보증금(전신전화가입권)"/>
      <sheetName val="3_판관비명세서"/>
      <sheetName val="בית_השקעות"/>
      <sheetName val="9,10월신제품_(2)1"/>
      <sheetName val="시산표_(2)"/>
      <sheetName val="3_바닥판설계"/>
      <sheetName val="UB_Beam_Box-up"/>
      <sheetName val="대갑기성내역"/>
      <sheetName val="공정관리1"/>
      <sheetName val="전체공정"/>
      <sheetName val="주간일정"/>
      <sheetName val="주간일정(미팅)"/>
      <sheetName val="19년"/>
      <sheetName val="7월"/>
      <sheetName val="8월"/>
      <sheetName val="9월"/>
      <sheetName val="10월"/>
      <sheetName val="프로파일계산"/>
      <sheetName val="7월~9월정리분(임과장)"/>
      <sheetName val="단가산출서"/>
      <sheetName val="노무비(전지2기)"/>
      <sheetName val="수목데이타 "/>
      <sheetName val="실행갑지"/>
      <sheetName val="중곡동"/>
      <sheetName val="결제방"/>
      <sheetName val="시멘트 및 골재량산출"/>
      <sheetName val="허용전류_′近丂"/>
      <sheetName val="out_prog"/>
      <sheetName val="선적schedule (2)"/>
      <sheetName val="Arch"/>
      <sheetName val="MATL"/>
      <sheetName val="List Equip"/>
      <sheetName val="MatCost"/>
      <sheetName val="Process C (1-166)"/>
      <sheetName val="LabCost"/>
      <sheetName val="tabulation of deductions"/>
      <sheetName val="チューブ仕様"/>
      <sheetName val="5-Digit"/>
      <sheetName val="INPUT DATA HERE"/>
      <sheetName val="예산작성기준(전기)"/>
      <sheetName val="GAE8'97"/>
      <sheetName val="CIM"/>
      <sheetName val="Schedule S-Curve Revision#3"/>
      <sheetName val="inter"/>
      <sheetName val="石炭性状"/>
      <sheetName val="Code 02"/>
      <sheetName val="Code 03"/>
      <sheetName val="Code 04"/>
      <sheetName val="Code 05"/>
      <sheetName val="Code 06"/>
      <sheetName val="Code 07"/>
      <sheetName val="Code 09"/>
      <sheetName val="cce-fly"/>
      <sheetName val="ELEC"/>
      <sheetName val="Masterlist"/>
      <sheetName val="Parameters"/>
      <sheetName val="Quotation - ECB"/>
      <sheetName val="Quotation - Panelboard"/>
      <sheetName val="LIGHTING"/>
      <sheetName val="fixture qty"/>
      <sheetName val="pwr17f"/>
      <sheetName val="pwr17f (2)"/>
      <sheetName val="pwr16f"/>
      <sheetName val="pwr16f (2)"/>
      <sheetName val="pwr-15f"/>
      <sheetName val="Grounding "/>
      <sheetName val="feeder"/>
      <sheetName val="Summary"/>
      <sheetName val=" Preliminaries"/>
      <sheetName val="TOWER 3&amp;4"/>
      <sheetName val="pwr"/>
      <sheetName val="ltg (3)"/>
      <sheetName val="para"/>
      <sheetName val="PA BGM"/>
      <sheetName val="CCTV"/>
      <sheetName val="CATV"/>
      <sheetName val="TEL"/>
      <sheetName val="_x0000__x0008__x0000__x0004__x0"/>
      <sheetName val="EACT10"/>
      <sheetName val="MEXICO-C"/>
      <sheetName val="도장수倱ᖍ"/>
      <sheetName val="도장수怱ẑ"/>
      <sheetName val="도장수週ᦐ"/>
      <sheetName val="도장수"/>
      <sheetName val="도장수瀀⃡"/>
      <sheetName val="도장수猱ﱭ/"/>
      <sheetName val="도장수1"/>
      <sheetName val="도장수량"/>
      <sheetName val="도장수耱⺎"/>
      <sheetName val="도장수↌"/>
      <sheetName val="도장수ꀱẑ"/>
      <sheetName val="도장수週Ấ"/>
      <sheetName val="도장수‱Ⲕ"/>
      <sheetName val="도장수쀱⒐"/>
      <sheetName val="도장수䀱⽫"/>
      <sheetName val="도장수량㢇"/>
      <sheetName val="연결분개(거래.Ʉ"/>
      <sheetName val="ʉ"/>
      <sheetName val="wall"/>
      <sheetName val="Front"/>
      <sheetName val="M2. FIRE FIGHTING SYSTEM V1"/>
      <sheetName val="M3. FIRE ALARM SYSTEM V1"/>
      <sheetName val="M1-XL-1b.KLthep"/>
      <sheetName val="PS-Labour_M"/>
      <sheetName val="KLDT DIEN"/>
      <sheetName val="Dinh muc CP KTCB khac"/>
      <sheetName val="NhapSL"/>
      <sheetName val="Thep-MatCat"/>
      <sheetName val="Kiem-Toan"/>
      <sheetName val="MTP"/>
      <sheetName val="MTP1"/>
      <sheetName val="Prelims"/>
      <sheetName val="外気負荷"/>
      <sheetName val="Bìa"/>
      <sheetName val="Bảng KLHT"/>
      <sheetName val="RC WORK"/>
      <sheetName val="VL"/>
      <sheetName val="Sheet1_(2)4"/>
      <sheetName val="물가변동_총괄서4"/>
      <sheetName val="방배동내역_(총괄)4"/>
      <sheetName val="7_1유효폭4"/>
      <sheetName val="허용전류-IEC_DATA4"/>
      <sheetName val="단면_(2)4"/>
      <sheetName val="EQUIP_LIST4"/>
      <sheetName val="본선_토공_분배표4"/>
      <sheetName val="현장관리비_산출내역4"/>
      <sheetName val="3_공통공사대비3"/>
      <sheetName val="1_취수장3"/>
      <sheetName val="을_23"/>
      <sheetName val="을_13"/>
      <sheetName val="해외_연수비용_계산-삭제3"/>
      <sheetName val="해외_기술훈련비_(합계)3"/>
      <sheetName val="BOX_본체3"/>
      <sheetName val="토공_갑지3"/>
      <sheetName val="각사별공사비분개_3"/>
      <sheetName val="_3"/>
      <sheetName val="6PILE__(돌출)3"/>
      <sheetName val="3련_BOX3"/>
      <sheetName val="Pier_33"/>
      <sheetName val="WEIGHT_LIST2"/>
      <sheetName val="산#2-1_(2)2"/>
      <sheetName val="BOX(1_5X1_5)2"/>
      <sheetName val="TYPE_A2"/>
      <sheetName val="2000년_공정표2"/>
      <sheetName val="C_&amp;_G_RHS2"/>
      <sheetName val="장비투입_(2)2"/>
      <sheetName val="내역서_2"/>
      <sheetName val="ITB_COST2"/>
      <sheetName val="BSD_(2)2"/>
      <sheetName val="CATCH_BASIN2"/>
      <sheetName val="입출재고현황_(2)2"/>
      <sheetName val="1_설계조건2"/>
      <sheetName val="Man_Hole2"/>
      <sheetName val="Du_toan1"/>
      <sheetName val="설산1_나1"/>
      <sheetName val="1공구_건정토건_토공2"/>
      <sheetName val="5_3_단면가정2"/>
      <sheetName val="SBT_NO_Proj__Controlling_Repor1"/>
      <sheetName val="1_토공1"/>
      <sheetName val="Process_Piping2"/>
      <sheetName val="단가_1"/>
      <sheetName val="일위대가_(PM)1"/>
      <sheetName val="2F_회의실견적(5_14_일대)1"/>
      <sheetName val="plan&amp;section_of_foundation1"/>
      <sheetName val="design_criteria1"/>
      <sheetName val="준검_내역서1"/>
      <sheetName val="제출내역_(2)1"/>
      <sheetName val="2차전체변경예정_(2)1"/>
      <sheetName val="자재_집계표1"/>
      <sheetName val="수량산출서_갑지1"/>
      <sheetName val="조도계산서_(도서)1"/>
      <sheetName val="할증_1"/>
      <sheetName val="118_세금과공과1"/>
      <sheetName val="108_수선비1"/>
      <sheetName val="25_보증금(임차보증금외)1"/>
      <sheetName val="Debt_Service_Schedule1"/>
      <sheetName val="Invested_Capital1"/>
      <sheetName val="Deteriorated_Asset1"/>
      <sheetName val="10_단면설계1"/>
      <sheetName val="2~5_단면가정&amp;안정검토1"/>
      <sheetName val="10_1_단면검토1"/>
      <sheetName val="Package_31"/>
      <sheetName val="low_schedule1"/>
      <sheetName val="cellar_lighting1"/>
      <sheetName val="main_building1"/>
      <sheetName val="auxiliary_building1"/>
      <sheetName val="highbay_lighting1"/>
      <sheetName val="cable_tray1"/>
      <sheetName val="Raw_Data1"/>
      <sheetName val="Gia_VLNCMTC1"/>
      <sheetName val="TONG_HOP_VL-NC"/>
      <sheetName val="TONGKE3p_"/>
      <sheetName val="TH_VL,_NC,_DDHT_Thanhphuoc"/>
      <sheetName val="DON_GIA"/>
      <sheetName val="CHITIET_VL-NC"/>
      <sheetName val="eq_data"/>
      <sheetName val="SEX"/>
      <sheetName val="TONGKE-HT"/>
      <sheetName val="2연_x0000_́"/>
      <sheetName val="납부서"/>
      <sheetName val="[EUL.XLS]전체수ḱ텭/"/>
      <sheetName val="[EUL.XLS]전체수ḱ푭/"/>
      <sheetName val="[EUL.XLS]전체수량/_x0000_"/>
      <sheetName val="[EUL.XLS]도장수량猀ﱭ/_x0000_"/>
      <sheetName val="[EUL.XLS]도장수猱ﱭ/_x0000_倀"/>
      <sheetName val="1,2공구원가계산"/>
      <sheetName val="1,2공구원가계산쿱"/>
      <sheetName val="부재력정리"/>
      <sheetName val="경비산출"/>
      <sheetName val="수량산출Ü_x0000_䰀_xde75_"/>
      <sheetName val="수량산출ԯ_x0000_缀_x0000_"/>
      <sheetName val="도장수량က"/>
      <sheetName val="노무산출"/>
      <sheetName val="정산내역서"/>
      <sheetName val="터파기"/>
      <sheetName val="투찰가"/>
      <sheetName val="8공구 강재 수량"/>
      <sheetName val="수입"/>
      <sheetName val="20_x0000_"/>
      <sheetName val="상행-교대("/>
      <sheetName val="도장수량砗伳"/>
      <sheetName val="도장수량접켴"/>
      <sheetName val="계약전체U"/>
      <sheetName val="[EUL.XLS][EUL.XLS]도장수猱ﱭ/"/>
      <sheetName val="H=4.0M"/>
      <sheetName val="허용전류_ê_x0000_Ԁ"/>
      <sheetName val="F.L(1)"/>
      <sheetName val="내역서 표지 "/>
      <sheetName val="분야별 집계표"/>
      <sheetName val="원가계산서(인테리어)"/>
      <sheetName val="공종별집계표(인테리어)"/>
      <sheetName val="공종별내역서(인테리어)"/>
      <sheetName val="원가계산서(기계설비)"/>
      <sheetName val="공종별집계표(기계설비)"/>
      <sheetName val="공종별내역서(기계설비)"/>
      <sheetName val="원가계산서(전기)"/>
      <sheetName val="총괄표(전기)"/>
      <sheetName val="내역서(전기)"/>
      <sheetName val="원가(통신)"/>
      <sheetName val="총괄표(통신)"/>
      <sheetName val="내역서(통신)"/>
      <sheetName val="원가계산서(소방설비)"/>
      <sheetName val="공종별집계표(소방설비)"/>
      <sheetName val="공종별내역서(소방설비)"/>
      <sheetName val="원가(소방전기)"/>
      <sheetName val="총괄표(소방전기)"/>
      <sheetName val="내역서(소방전기)"/>
      <sheetName val=" 공사설정 "/>
      <sheetName val="기성검사원"/>
      <sheetName val="총괄집계표"/>
      <sheetName val="건축집계표"/>
      <sheetName val="건축내역서"/>
      <sheetName val="토목집계표"/>
      <sheetName val="토목내역서"/>
      <sheetName val="흙막이집계표"/>
      <sheetName val="흙막이내역서"/>
      <sheetName val="조경집계표"/>
      <sheetName val="조경내역서"/>
      <sheetName val="설비집계표"/>
      <sheetName val="설비내역서"/>
      <sheetName val="기성신청현황 "/>
      <sheetName val="수량"/>
      <sheetName val="사진(전경"/>
      <sheetName val="사진"/>
      <sheetName val="원가계산서 (3)"/>
      <sheetName val="원가계산서 (2)"/>
      <sheetName val="Electrical Works"/>
      <sheetName val="H_T_ INCOMING SYSTEM"/>
      <sheetName val="escon"/>
      <sheetName val="TinhGiaNC"/>
      <sheetName val="VCBo"/>
      <sheetName val="DMCP"/>
      <sheetName val="BocXep"/>
      <sheetName val="TinhGiaMTC"/>
      <sheetName val="VCThuy"/>
      <sheetName val="CTG"/>
      <sheetName val="SCOPE OF WORK"/>
      <sheetName val="Sàn T1"/>
      <sheetName val="Lỗ thông gió"/>
      <sheetName val="NOTE"/>
      <sheetName val="131COMP"/>
      <sheetName val="총Ć??"/>
      <sheetName val="총Ć_x0000__x0000_"/>
      <sheetName val="매뉴얼"/>
      <sheetName val="POL6차-PIP怀꿟세"/>
      <sheetName val="0⒬ɾㇸ"/>
      <sheetName val="8월 노무비(수정)"/>
      <sheetName val="8월 노무 "/>
      <sheetName val="8월 투입 금액(관리-매일)"/>
      <sheetName val="본사,외주 투입합계 집계"/>
      <sheetName val="본사 투입 집계 "/>
      <sheetName val="외주 투입 집계(관리)"/>
      <sheetName val="외주 투입 집계(철근)"/>
      <sheetName val="외주 투입 집계(목공-김홍길)"/>
      <sheetName val="8월 노무  철근"/>
      <sheetName val="8월 노무  목공"/>
      <sheetName val="8월 노무 목공 용역 (다온,대동,원곡)"/>
      <sheetName val="8월 노무 목공 타설"/>
      <sheetName val="8월 노무 목공 비계"/>
      <sheetName val="8월 노무 목공 원본"/>
      <sheetName val="7월 노무 "/>
      <sheetName val="7월 투입 금액(관리-매일)"/>
      <sheetName val="Tien do TV"/>
      <sheetName val="Config"/>
      <sheetName val="CP Du phong"/>
      <sheetName val="THCP xay dung"/>
      <sheetName val="Tong hop kinh phi"/>
      <sheetName val="HRG BHN"/>
      <sheetName val="6MONTHS"/>
      <sheetName val="2연괂警砀"/>
      <sheetName val="[EUL.XLS][EUL.XLS][EUL.XLS]___2"/>
      <sheetName val="[EUL.XLS][EUL.XLS][EUL.XLS]___3"/>
      <sheetName val="[EUL.XLS][EUL.XLS][EUL.XLS]___4"/>
      <sheetName val="[EUL.XLS][EUL.XLS][EUL.XLS]___5"/>
      <sheetName val="[EUL.XLS][EUL.XLS][EUL.XLS]___6"/>
      <sheetName val="[EUL.XLS][EUL.XLS][EUL.XLS]___7"/>
      <sheetName val="[EUL.XLS][EUL.XLS][EUL.XLS]___8"/>
      <sheetName val="[EUL.XLS][EUL.XLS][EUL.XLS]___9"/>
      <sheetName val="도장수량鄉ᩪ0_x0000_"/>
      <sheetName val="도장수량树唲　욢"/>
      <sheetName val="도장수량섈_xd96c_/_x0000_"/>
      <sheetName val="도장수량砐破瀀ꇰ"/>
      <sheetName val="동원(砑破"/>
      <sheetName val="도장수량섈陬/_x0000_"/>
      <sheetName val="도장수량䠑猸栀ﴙ"/>
      <sheetName val="동원(䠛猸"/>
      <sheetName val="도장수량렓嬴㠀_xdfee_"/>
      <sheetName val="도장수량堒漸렀䇓"/>
      <sheetName val="도장수량섁ꥬ/_x0000_"/>
      <sheetName val="도장수량섈絬0_x0000_"/>
      <sheetName val="동원(섍絬"/>
      <sheetName val="도장수량堑꼸저ﷆ"/>
      <sheetName val="도장수량썬/_x0000_"/>
      <sheetName val="도장수량堔伶堀䣶"/>
      <sheetName val="전체수꠯G_x0000_"/>
      <sheetName val="도장수량ꌂ멭/_x0000_"/>
      <sheetName val="도장수량⠓_xd800_ꭢ"/>
      <sheetName val="동원(桬"/>
      <sheetName val="도장수량ꌂ/_x0000_"/>
      <sheetName val="도장수량堐༺_xd801_"/>
      <sheetName val="동원(ꌇ뵭"/>
      <sheetName val="동원(⼵"/>
      <sheetName val="도장수량ꌀ橭0_x0000_"/>
      <sheetName val="동원(ꌋ橭"/>
      <sheetName val="도장수량⠀ﲫ"/>
      <sheetName val="도장수량砐簳"/>
      <sheetName val="도장수량砐簳奱"/>
      <sheetName val="도장수량䠏꼶က"/>
      <sheetName val="도장수량ꌌ국/_x0000_"/>
      <sheetName val="도장수량᠐⼳᠁쳑"/>
      <sheetName val="동원(ԇ"/>
      <sheetName val="도장수량ԋ/_x000e_"/>
      <sheetName val="동원(辈"/>
      <sheetName val="우각부보_x001f_"/>
      <sheetName val="음료赐㭯"/>
      <sheetName val="Div26_-_Elect"/>
      <sheetName val="BANG_TONG_HOP_(2)"/>
      <sheetName val="THCP_Lap_dat"/>
      <sheetName val="RAB_AR&amp;STR"/>
      <sheetName val="A1_CN"/>
      <sheetName val="Nhan_cong"/>
      <sheetName val="Thiet_bi"/>
      <sheetName val="Vat_tu"/>
      <sheetName val="DM_ChiPhi"/>
      <sheetName val="May_TC"/>
      <sheetName val="Bang_KL"/>
      <sheetName val="TH_Kinh_phi"/>
      <sheetName val="M1-XL-1b_KLthep"/>
      <sheetName val="LEGEND"/>
      <sheetName val="Dulieu"/>
      <sheetName val="UNIT PRICE"/>
      <sheetName val="Analisa"/>
      <sheetName val="Sum"/>
      <sheetName val="KP_List"/>
      <sheetName val="PU_ITALY "/>
      <sheetName val="Prices"/>
      <sheetName val="Module1"/>
      <sheetName val="Module2"/>
      <sheetName val="XL4Poppy"/>
      <sheetName val="6787CWFASE2CASE2_00"/>
      <sheetName val="THDZ0,4"/>
      <sheetName val="TH DZ35"/>
      <sheetName val="THTram"/>
      <sheetName val="Tro giup"/>
      <sheetName val="SILICATE"/>
      <sheetName val="DC"/>
      <sheetName val="NL"/>
      <sheetName val="DON GIA TRAM (3)"/>
      <sheetName val="Earthwork"/>
      <sheetName val="DANHPHAP"/>
      <sheetName val="chi tiet TBA"/>
      <sheetName val="chi tiet C"/>
      <sheetName val="ptnc"/>
      <sheetName val="ptvl"/>
      <sheetName val="ptm"/>
      <sheetName val="DON GIA CAN THO"/>
      <sheetName val="물량표S"/>
      <sheetName val="Customize Your Purchase Order"/>
      <sheetName val="KLHT"/>
      <sheetName val="CHITIET VL-NC-TT -1p"/>
      <sheetName val="CHITIET VL-NC-TT-3p"/>
      <sheetName val="TONG HOP VL-NC TT"/>
      <sheetName val="TDTKP1"/>
      <sheetName val="KPVC-BD "/>
      <sheetName val="VL,NC,MTC"/>
      <sheetName val="Mall"/>
      <sheetName val="DGTH"/>
      <sheetName val="Control"/>
      <sheetName val="THVATTU"/>
      <sheetName val="HĐ ngoài"/>
      <sheetName val="XT_Buoc 3"/>
      <sheetName val="dongia (2)"/>
      <sheetName val="PU_ITALY_"/>
      <sheetName val="Tro_giup"/>
      <sheetName val="chi_tiet_TBA"/>
      <sheetName val="chi_tiet_C"/>
      <sheetName val="TH_DZ35"/>
      <sheetName val="Customize_Your_Purchase_Order"/>
      <sheetName val="Shdet1"/>
      <sheetName val="402"/>
      <sheetName val="7606 DZ"/>
      <sheetName val="Don gia chi tiet"/>
      <sheetName val="BETON"/>
      <sheetName val="24-ACMV"/>
      <sheetName val="dnc4"/>
      <sheetName val="THVT"/>
      <sheetName val="project management"/>
      <sheetName val="Adix A"/>
      <sheetName val="S-curve "/>
      <sheetName val="chitimc"/>
      <sheetName val="giathanh1"/>
      <sheetName val="CAT_5"/>
      <sheetName val="BQMP"/>
      <sheetName val="REINF."/>
      <sheetName val="SKETCH"/>
      <sheetName val="LOADS"/>
      <sheetName val="Titles"/>
      <sheetName val="Rates 2009"/>
      <sheetName val="DON_GIA_CAN_THO"/>
      <sheetName val="PU_ITALY_1"/>
      <sheetName val="TH_DZ351"/>
      <sheetName val="Tro_giup1"/>
      <sheetName val="DON_GIA_CAN_THO1"/>
      <sheetName val="DONVIBAN"/>
      <sheetName val="NGUON"/>
      <sheetName val="O20"/>
      <sheetName val="phuluc1"/>
      <sheetName val="P"/>
      <sheetName val="So doi chieu LC"/>
      <sheetName val="MAIN GATE HOUSE"/>
      <sheetName val="SL"/>
      <sheetName val="Du_lieu"/>
      <sheetName val="CBKC-110"/>
      <sheetName val="DLDTLN"/>
      <sheetName val="PU_ITALY_2"/>
      <sheetName val="TH_DZ352"/>
      <sheetName val="Tro_giup2"/>
      <sheetName val="DON_GIA_CAN_THO2"/>
      <sheetName val="Don_gia_chi_tiet"/>
      <sheetName val="Commercial value"/>
      <sheetName val="NC"/>
      <sheetName val="Ky Lam Bridge"/>
      <sheetName val="Provisional Sums Item"/>
      <sheetName val="Gas Pressure Welding"/>
      <sheetName val="General Item&amp;General Requiremen"/>
      <sheetName val="General Items"/>
      <sheetName val="Regenral Requirements"/>
      <sheetName val="chiet tinh"/>
      <sheetName val="dg67-1"/>
      <sheetName val="DON_GIA_TRAM_(3)"/>
      <sheetName val="7606_DZ"/>
      <sheetName val="TONG_HOP_VL-NC_TT"/>
      <sheetName val="CHITIET_VL-NC-TT_-1p"/>
      <sheetName val="KPVC-BD_"/>
      <sheetName val="Ng.hàng xà+bulong"/>
      <sheetName val="lam-moi"/>
      <sheetName val="ALLOWANCE"/>
      <sheetName val="MH RATE"/>
      <sheetName val="TH_CNO"/>
      <sheetName val="NK_CHUNG"/>
      <sheetName val="HS_TDT"/>
      <sheetName val="DG-VL"/>
      <sheetName val="PTDGCT"/>
      <sheetName val="KPTH-T12"/>
      <sheetName val="Thamgia-T10"/>
      <sheetName val="TBA"/>
      <sheetName val="DM 6061"/>
      <sheetName val="dm366"/>
      <sheetName val="DG thep ma kem"/>
      <sheetName val="May"/>
      <sheetName val="RAB_AR&amp;STR1"/>
      <sheetName val="chi_tiet_TBA1"/>
      <sheetName val="chi_tiet_C1"/>
      <sheetName val="Customize_Your_Purchase_Order1"/>
      <sheetName val="CHITIET_VL-NC-TT-3p"/>
      <sheetName val="S-curve_"/>
      <sheetName val="So_doi_chieu_LC"/>
      <sheetName val="Adix_A"/>
      <sheetName val="HĐ_ngoài"/>
      <sheetName val="XT_Buoc_3"/>
      <sheetName val="dongia_(2)"/>
      <sheetName val="BGD"/>
      <sheetName val="KCS"/>
      <sheetName val="KD"/>
      <sheetName val="KT"/>
      <sheetName val="KTNL"/>
      <sheetName val="KH"/>
      <sheetName val="PX-SX"/>
      <sheetName val="TC"/>
      <sheetName val="Lcau - Lxuc"/>
      <sheetName val="CT vat lieu"/>
      <sheetName val="vcdngan"/>
      <sheetName val="K95"/>
      <sheetName val="K98"/>
      <sheetName val="PTDG"/>
      <sheetName val="LaborPY"/>
      <sheetName val="LaborKH"/>
      <sheetName val="Equip "/>
      <sheetName val="Material"/>
      <sheetName val="PROFILE"/>
      <sheetName val="Đầu vào"/>
      <sheetName val="Chi tiet XD TBA"/>
      <sheetName val="EXTERNAL"/>
      <sheetName val="damgiua"/>
      <sheetName val="dgct"/>
      <sheetName val="WT-LIST"/>
      <sheetName val="366"/>
      <sheetName val="Trạm biến áp"/>
      <sheetName val="Đơn Giá "/>
      <sheetName val="Giá"/>
      <sheetName val="DM1776"/>
      <sheetName val="DM228"/>
      <sheetName val="DM4970"/>
      <sheetName val="Camay_DP"/>
      <sheetName val="DM6061"/>
      <sheetName val="Luong2"/>
      <sheetName val="CT-35"/>
      <sheetName val="CT-0.4KV"/>
      <sheetName val="ironmongery"/>
      <sheetName val="Chenh lech vat tu"/>
      <sheetName val="Diện tích"/>
      <sheetName val="1_Khái toán"/>
      <sheetName val="TONG HOP T5 1998"/>
      <sheetName val="KL Chi tiết Xây tô"/>
      <sheetName val="DM"/>
      <sheetName val="DG DZ"/>
      <sheetName val="DG TBA"/>
      <sheetName val="DGXD"/>
      <sheetName val="07Base Cost"/>
      <sheetName val="rate material"/>
      <sheetName val="DTOAN"/>
      <sheetName val="Chi tiet KL"/>
      <sheetName val="Tổng hợp KL"/>
      <sheetName val="Barrem"/>
      <sheetName val="BM"/>
      <sheetName val="Xay lapduongR3"/>
      <sheetName val="Equipment"/>
      <sheetName val="DT_THAU"/>
      <sheetName val="04 - XUONG DET B"/>
      <sheetName val="CTGX"/>
      <sheetName val="CTG-1"/>
      <sheetName val="Bill 1_Quy dinh chung"/>
      <sheetName val="1.R18 BF"/>
      <sheetName val="G"/>
      <sheetName val="F-B"/>
      <sheetName val="H-J"/>
      <sheetName val="6.External works-R18"/>
      <sheetName val="Phan khai KLuong"/>
      <sheetName val="Duphong"/>
      <sheetName val="01"/>
      <sheetName val="02"/>
      <sheetName val=" 03"/>
      <sheetName val="04"/>
      <sheetName val="05"/>
      <sheetName val="06"/>
      <sheetName val="07"/>
      <sheetName val="08"/>
      <sheetName val="09"/>
      <sheetName val="chieu day san"/>
      <sheetName val="Podium Concrete Works"/>
      <sheetName val="KLCT- TOWER"/>
      <sheetName val="KLCT- PODIUM"/>
      <sheetName val="CANDOI"/>
      <sheetName val="MATK"/>
      <sheetName val="NHATKY"/>
      <sheetName val="Standardwerte"/>
      <sheetName val="Gia thanh chuoi su"/>
      <sheetName val="Tiep dia"/>
      <sheetName val="Don gia vung III-Can Tho"/>
      <sheetName val="base"/>
      <sheetName val="Area Cal"/>
      <sheetName val="Elect (3)"/>
      <sheetName val="BQMPALOC"/>
      <sheetName val="NDOCBT"/>
      <sheetName val="basis"/>
      <sheetName val="E"/>
      <sheetName val="K"/>
      <sheetName val="Bond 수수료 계산 포맷"/>
      <sheetName val="PAGE 1"/>
      <sheetName val="BKBANRA"/>
      <sheetName val="BKMUAVAO"/>
      <sheetName val="INFO"/>
      <sheetName val="Cp&gt;10-Ln&lt;10"/>
      <sheetName val="Ln&lt;20"/>
      <sheetName val="EIRR&gt;1&lt;1"/>
      <sheetName val="EIRR&gt; 2"/>
      <sheetName val="EIRR&lt;2"/>
      <sheetName val="負荷集計（断熱不燃）"/>
      <sheetName val="GAEYO"/>
      <sheetName val="7606-TBA"/>
      <sheetName val="7606-ĐZ"/>
      <sheetName val="DM 67"/>
      <sheetName val="Đầu tư"/>
      <sheetName val="DL"/>
      <sheetName val="????"/>
      <sheetName val="CE(E)"/>
      <sheetName val="CE(M)"/>
      <sheetName val="Project Data"/>
      <sheetName val="chiettinh"/>
      <sheetName val="Data Input"/>
      <sheetName val="6787CWFASE2CASE2_00.xls"/>
      <sheetName val="T&amp;D"/>
      <sheetName val="list"/>
      <sheetName val="BIDDING-SUM"/>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KL- KHAC"/>
      <sheetName val="BILL 3 - KẾT CẤU HẦM"/>
      <sheetName val="PTĐG"/>
      <sheetName val="DTC&amp;TP&amp;NCC"/>
      <sheetName val="PTĐG LTBT"/>
      <sheetName val="CTG-PRECHEx1.4"/>
      <sheetName val="CTG-AB (2)"/>
      <sheetName val="CTG-AB (3)"/>
      <sheetName val="CTG-PLP-1.08"/>
      <sheetName val="CTG-QUYCHE"/>
      <sheetName val="CTG-AB"/>
      <sheetName val="Pre Đội nhóm"/>
      <sheetName val="Vat tu XD"/>
      <sheetName val="database"/>
      <sheetName val="inpukeoI"/>
      <sheetName val="Tower - Concrete Works"/>
      <sheetName val="Duc_bk"/>
      <sheetName val="Bill-04 ket cau thap- UNI"/>
      <sheetName val="Loại Vật tư"/>
      <sheetName val="tonghop"/>
      <sheetName val="PEDESB"/>
      <sheetName val="TH Vat tu"/>
      <sheetName val="Cửa"/>
      <sheetName val="dg tphcm"/>
      <sheetName val="DUCVIETPQ"/>
      <sheetName val="INFOR-ST"/>
      <sheetName val="T.KÊ K.CẤU"/>
      <sheetName val="Bill 01 - CTN"/>
      <sheetName val="Bill 2.2 Villa 2 beds"/>
      <sheetName val="D&amp;W"/>
      <sheetName val="4.PTDG"/>
      <sheetName val="A1, May"/>
      <sheetName val="Máy"/>
      <sheetName val="Vat lieu"/>
      <sheetName val="Bang trong luong rieng thep"/>
      <sheetName val="???S"/>
      <sheetName val="???"/>
      <sheetName val="HÐ ngoài"/>
      <sheetName val="??????"/>
      <sheetName val="HÐ_ngoài"/>
      <sheetName val="DTXL"/>
      <sheetName val="gia cong tac"/>
      <sheetName val="____"/>
      <sheetName val="Measure 1306"/>
      <sheetName val="DTXD"/>
      <sheetName val="Door and Window"/>
      <sheetName val="PU_ITALY_3"/>
      <sheetName val="Tro_giup3"/>
      <sheetName val="TH_DZ353"/>
      <sheetName val="CHITIET_VL-NC-TT_-1p1"/>
      <sheetName val="TONG_HOP_VL-NC_TT1"/>
      <sheetName val="KPVC-BD_1"/>
      <sheetName val="Don_gia1"/>
      <sheetName val="DON_GIA_TRAM_(3)1"/>
      <sheetName val="DON_GIA_CAN_THO3"/>
      <sheetName val="Don_gia_chi_tiet1"/>
      <sheetName val="7606_DZ1"/>
      <sheetName val="project_management"/>
      <sheetName val="MAIN_GATE_HOUSE"/>
      <sheetName val="REINF_"/>
      <sheetName val="Rates_2009"/>
      <sheetName val="Commercial_value"/>
      <sheetName val="Ky_Lam_Bridge"/>
      <sheetName val="Provisional_Sums_Item"/>
      <sheetName val="Gas_Pressure_Welding"/>
      <sheetName val="General_Item&amp;General_Requiremen"/>
      <sheetName val="General_Items"/>
      <sheetName val="Regenral_Requirements"/>
      <sheetName val="chiet_tinh"/>
      <sheetName val="Ng_hàng_xà+bulong"/>
      <sheetName val="MH_RATE"/>
      <sheetName val="Lcau_-_Lxuc"/>
      <sheetName val="PRI-LS"/>
      <sheetName val="NKC6"/>
      <sheetName val="Cước VC + ĐM CP Tư vấn"/>
      <sheetName val="Hệ số"/>
      <sheetName val="DETAIL "/>
      <sheetName val="GV1-D13 (Casement door)"/>
      <sheetName val="MTL$-INTER"/>
      <sheetName val="JP_List"/>
      <sheetName val="SUBS"/>
      <sheetName val="Feeds"/>
      <sheetName val="final list 2005"/>
      <sheetName val="final_list_2005"/>
      <sheetName val="WORKINGS"/>
      <sheetName val="LV data"/>
      <sheetName val="ESTI."/>
      <sheetName val="Gia vat tu"/>
      <sheetName val="bt19"/>
      <sheetName val="Btr25"/>
      <sheetName val="CPDDII"/>
      <sheetName val="NVL"/>
      <sheetName val="DLdauvao"/>
      <sheetName val="CẤP THOÁT NƯỚC"/>
      <sheetName val="TH MTC"/>
      <sheetName val="TH N.Cong"/>
      <sheetName val="DG-TNHC-85"/>
      <sheetName val="Dia"/>
      <sheetName val="SP10"/>
      <sheetName val="THDT goi thau TB"/>
      <sheetName val="Harga ME "/>
      <sheetName val="Alat"/>
      <sheetName val="Analisa Gabungan"/>
      <sheetName val="Sub"/>
      <sheetName val="dg7606"/>
      <sheetName val="DGsuyrong"/>
      <sheetName val="PhanTichVua"/>
      <sheetName val="PhanTichVT"/>
      <sheetName val="KhoiluongDT"/>
      <sheetName val="Supplier"/>
      <sheetName val=" Bill.5-Earthing.2 - Add Works"/>
      <sheetName val="bridge # 1"/>
      <sheetName val="DK"/>
      <sheetName val="Isolasi Luar Dalam"/>
      <sheetName val="Isolasi Luar"/>
      <sheetName val="TK-COL"/>
      <sheetName val="02_Dulieu_Cua"/>
      <sheetName val="HMCV"/>
      <sheetName val="CauKien"/>
      <sheetName val="XD"/>
      <sheetName val="Cuongricc"/>
      <sheetName val="KL san lap"/>
      <sheetName val="Chi tiet"/>
      <sheetName val="CT_vat_lieu"/>
      <sheetName val="DM_6061"/>
      <sheetName val="DG_thep_ma_kem"/>
      <sheetName val="DG_DZ"/>
      <sheetName val="DG_TBA"/>
      <sheetName val="Data_Input"/>
      <sheetName val="DG1426"/>
      <sheetName val="KH-Q1,Q2,01"/>
      <sheetName val="Chenh lech ca may"/>
      <sheetName val="TLg CN&amp;Laixe"/>
      <sheetName val="TLg CN&amp;Laixe (2)"/>
      <sheetName val="TLg Laitau"/>
      <sheetName val="TLg Laitau (2)"/>
      <sheetName val="Bang 3_Chi tiet phan Dz"/>
      <sheetName val="KHOI LUONG"/>
      <sheetName val="Setting"/>
      <sheetName val="Settings"/>
      <sheetName val="Equipment list (PAC)"/>
      <sheetName val="計算条件"/>
      <sheetName val="TINH KHOI LUONG"/>
      <sheetName val="DATA BASE"/>
      <sheetName val="Mat_Source"/>
      <sheetName val="入力作成表"/>
      <sheetName val="CPA"/>
      <sheetName val="DG7606DZ"/>
      <sheetName val="BẢNG KHỐI LƯỢNG TỔNG HỢP"/>
      <sheetName val="VND"/>
      <sheetName val="Buy vs. Lease Car"/>
      <sheetName val="___S"/>
      <sheetName val="___"/>
      <sheetName val="______"/>
      <sheetName val="GTTBA"/>
      <sheetName val="Hardware"/>
      <sheetName val="HWW"/>
      <sheetName val="TH_CPTB"/>
      <sheetName val="CP Khac cuoc VC"/>
      <sheetName val="新规"/>
      <sheetName val="Budget Code"/>
      <sheetName val="Master"/>
      <sheetName val="CTKL KTX HT"/>
      <sheetName val="Z"/>
      <sheetName val="I-KAMAR"/>
      <sheetName val="HVAC.BLOCK B4"/>
      <sheetName val="PRE (E)"/>
      <sheetName val="2.Chiet tinh"/>
      <sheetName val="daf-3(OK)"/>
      <sheetName val="daf-7(OK)"/>
      <sheetName val="subcon sched"/>
      <sheetName val="NHÀ NHẬP LIỆU"/>
      <sheetName val="MÓNG SILO"/>
      <sheetName val="SourceData"/>
      <sheetName val="CT1"/>
      <sheetName val="Tong du toan"/>
      <sheetName val="Bill 2 - ketcau"/>
      <sheetName val="A1"/>
      <sheetName val="DonGiaLD"/>
      <sheetName val="Chi tiet lan can"/>
      <sheetName val="13-Cốt thép (10mm&lt;D≤18mm) FO16"/>
      <sheetName val="du lieu du toan"/>
      <sheetName val="IBASE"/>
      <sheetName val="DANHMUC"/>
      <sheetName val="RAB_AR&amp;STR2"/>
      <sheetName val="chi_tiet_TBA2"/>
      <sheetName val="chi_tiet_C2"/>
      <sheetName val="Customize_Your_Purchase_Order2"/>
      <sheetName val="CHITIET_VL-NC-TT-3p1"/>
      <sheetName val="HĐ_ngoài1"/>
      <sheetName val="XT_Buoc_31"/>
      <sheetName val="dongia_(2)1"/>
      <sheetName val="Adix_A1"/>
      <sheetName val="S-curve_1"/>
      <sheetName val="So_doi_chieu_LC1"/>
      <sheetName val="Equip_"/>
      <sheetName val="Đầu_vào"/>
      <sheetName val="Trạm_biến_áp"/>
      <sheetName val="Đơn_Giá_"/>
      <sheetName val="Chenh_lech_vat_tu"/>
      <sheetName val="Diện_tích"/>
      <sheetName val="1_Khái_toán"/>
      <sheetName val="TONG_HOP_T5_1998"/>
      <sheetName val="Chi_tiet_XD_TBA"/>
      <sheetName val="CT-0_4KV"/>
      <sheetName val="Chi_tiet_KL"/>
      <sheetName val="Tổng_hợp_KL"/>
      <sheetName val="rate_material"/>
      <sheetName val="KL_Chi_tiết_Xây_tô"/>
      <sheetName val="04_-_XUONG_DET_B"/>
      <sheetName val="07Base_Cost"/>
      <sheetName val="_03"/>
      <sheetName val="chieu_day_san"/>
      <sheetName val="Podium_Concrete_Works"/>
      <sheetName val="KLCT-_TOWER"/>
      <sheetName val="KLCT-_PODIUM"/>
      <sheetName val="Gia_thanh_chuoi_su"/>
      <sheetName val="Tiep_dia"/>
      <sheetName val="Don_gia_vung_III-Can_Tho"/>
      <sheetName val="Bill_1_Quy_dinh_chung"/>
      <sheetName val="1_R18_BF"/>
      <sheetName val="6_External_works-R18"/>
      <sheetName val="Phan_khai_KLuong"/>
      <sheetName val="Area_Cal"/>
      <sheetName val="Elect_(3)"/>
      <sheetName val="Bond_수수료_계산_포맷"/>
      <sheetName val="PAGE_1"/>
      <sheetName val="Loại_Vật_tư"/>
      <sheetName val="DM_67"/>
      <sheetName val="Đầu_tư"/>
      <sheetName val="dg_tphcm"/>
      <sheetName val="T_KÊ_K_CẤU"/>
      <sheetName val="4_PTDG"/>
      <sheetName val="A1,_May"/>
      <sheetName val="Vat_lieu"/>
      <sheetName val="Door_and_window"/>
      <sheetName val="Project_Data"/>
      <sheetName val="EIRR&gt;_2"/>
      <sheetName val="HÐ_ngoài1"/>
      <sheetName val="Xay_lapduongR3"/>
      <sheetName val="wsLists"/>
      <sheetName val="PU_ITALY_4"/>
      <sheetName val="Tro_giup4"/>
      <sheetName val="TH_DZ354"/>
      <sheetName val="CHITIET_VL-NC-TT_-1p2"/>
      <sheetName val="TONG_HOP_VL-NC_TT2"/>
      <sheetName val="KPVC-BD_2"/>
      <sheetName val="Don_gia2"/>
      <sheetName val="DON_GIA_CAN_THO4"/>
      <sheetName val="DON_GIA_TRAM_(3)2"/>
      <sheetName val="Don_gia_chi_tiet2"/>
      <sheetName val="7606_DZ2"/>
      <sheetName val="project_management1"/>
      <sheetName val="REINF_1"/>
      <sheetName val="Rates_20091"/>
      <sheetName val="MAIN_GATE_HOUSE1"/>
      <sheetName val="Commercial_value1"/>
      <sheetName val="Ky_Lam_Bridge1"/>
      <sheetName val="Provisional_Sums_Item1"/>
      <sheetName val="Gas_Pressure_Welding1"/>
      <sheetName val="General_Item&amp;General_Requireme1"/>
      <sheetName val="General_Items1"/>
      <sheetName val="Regenral_Requirements1"/>
      <sheetName val="chiet_tinh1"/>
      <sheetName val="Ng_hàng_xà+bulong1"/>
      <sheetName val="Bang_KL1"/>
      <sheetName val="TONG_HOP_VL-NC1"/>
      <sheetName val="MH_RATE1"/>
      <sheetName val="Lcau_-_Lxuc1"/>
      <sheetName val="6787CWFASE2CASE2_00_xls"/>
      <sheetName val="Bill_01_-_CTN"/>
      <sheetName val="Bill_2_2_Villa_2_beds"/>
      <sheetName val="CẤP_THOÁT_NƯỚC"/>
      <sheetName val="Cước_VC_+_ĐM_CP_Tư_vấn"/>
      <sheetName val="Hệ_số"/>
      <sheetName val="Vat_tu_XD"/>
      <sheetName val="Bill_02_-_Xay_gach-Pou_"/>
      <sheetName val="Bill_03-Chống_thấm-Pou"/>
      <sheetName val="Bill_04-Kim_loại-Pou"/>
      <sheetName val="Bill_05_-_Hoan_thien-Pou_"/>
      <sheetName val="Bill_02_-_Xay_gach-Tower"/>
      <sheetName val="Bill_03-Chống_thấm-Tower"/>
      <sheetName val="Bill_04-Kim_loại-Tower"/>
      <sheetName val="Bill_05_-_Hoan_thien-Tower"/>
      <sheetName val="KL-_KHAC"/>
      <sheetName val="BILL_3_-_KẾT_CẤU_HẦM"/>
      <sheetName val="PTĐG_LTBT"/>
      <sheetName val="CTG-PRECHEx1_4"/>
      <sheetName val="CTG-AB_(2)"/>
      <sheetName val="CTG-AB_(3)"/>
      <sheetName val="CTG-PLP-1_08"/>
      <sheetName val="Pre_Đội_nhóm"/>
      <sheetName val="Tower_-_Concrete_Works"/>
      <sheetName val="Bill-04_ket_cau_thap-_UNI"/>
      <sheetName val="TH_Vat_tu"/>
      <sheetName val="Bang_trong_luong_rieng_thep"/>
      <sheetName val="gia_cong_tac"/>
      <sheetName val="Measure_1306"/>
      <sheetName val="THDT_goi_thau_TB"/>
      <sheetName val="Tien_do_TV"/>
      <sheetName val="Harga_ME_"/>
      <sheetName val="Analisa_Gabungan"/>
      <sheetName val="GV1-D13_(Casement_door)"/>
      <sheetName val="Isolasi_Luar_Dalam"/>
      <sheetName val="Isolasi_Luar"/>
      <sheetName val="Buy_vs__Lease_Car"/>
      <sheetName val="bridge_#_1"/>
      <sheetName val="7606"/>
      <sheetName val="BOQ THAN"/>
      <sheetName val="DL ĐẦU VÀO"/>
      <sheetName val="DongiaVL2"/>
      <sheetName val="Active"/>
      <sheetName val="PMS"/>
      <sheetName val="TH-XL"/>
      <sheetName val="Rebar"/>
      <sheetName val="Item-DATA"/>
      <sheetName val="NSA fr Revit"/>
      <sheetName val="Guide"/>
      <sheetName val="Scorp of Work"/>
      <sheetName val="CPC 2T"/>
      <sheetName val="TH (Daikin)"/>
      <sheetName val=" BILL 2.1 E-ELV-THO"/>
      <sheetName val=" BILL 2.2 E-ELV-HT"/>
      <sheetName val="CT tu EDHP"/>
      <sheetName val="BIIL 3.1 PS-THO"/>
      <sheetName val="BIIL 3.1 PS-HT"/>
      <sheetName val="BILL 4 ACMV-THO "/>
      <sheetName val="BILL 4 ACMV-HT "/>
      <sheetName val=" BILL 5 FA-FA - THO  "/>
      <sheetName val=" BILL 5 FA-FA - HT  "/>
      <sheetName val="Gia tudien"/>
      <sheetName val="Code NC"/>
      <sheetName val="CTtudien"/>
      <sheetName val="TH (Toshiba)"/>
      <sheetName val="BILL 4 ACMV-HT  (Toshiba)"/>
      <sheetName val="Hao hut, CK"/>
      <sheetName val="TH CPTC"/>
      <sheetName val="TinhCPC"/>
      <sheetName val="Detail"/>
      <sheetName val="CT gio m2"/>
      <sheetName val="DMVL, CK"/>
      <sheetName val="General"/>
      <sheetName val="Sum material"/>
      <sheetName val="Ree.Hvac-Condotel"/>
      <sheetName val="Sigma.HVAC-Condotel"/>
      <sheetName val="Techgel.Condotel - HVAC"/>
      <sheetName val="Unicon.Condotel - HVAC"/>
      <sheetName val="Condotel-HVAC"/>
      <sheetName val="Ree.P&amp;D-Condotel"/>
      <sheetName val="Sigma.CTN-CONDOTEL"/>
      <sheetName val="Techgel.Condotel - CTN"/>
      <sheetName val="Unicon. Condotel - CTN"/>
      <sheetName val="Condotel-P&amp;D"/>
      <sheetName val="KL LĐ- CÁP ĐIỆN"/>
      <sheetName val="KL LĐ-BUSWAY"/>
      <sheetName val="KL LĐ-TỦ ĐIỆN"/>
      <sheetName val="Data-Lắp đèn, ổ cắm căn hộ"/>
      <sheetName val="DNTT"/>
      <sheetName val="THKT"/>
      <sheetName val="GTTT"/>
      <sheetName val="GTTT PL 02"/>
      <sheetName val="GTTT PL2"/>
      <sheetName val="KL LĐ CS SỰ CỐ (k in)"/>
      <sheetName val="KL LĐ TỦ ĐIỆN (k in)"/>
      <sheetName val="KL TỦ ĐIỆN MSB"/>
      <sheetName val="KL LĐ CÁP ĐIỆN"/>
      <sheetName val="KL LĐ- BUSWAY"/>
      <sheetName val="KL LĐ- PHẦN HẦM, KHỐI ĐẾ, HL"/>
      <sheetName val="KL-HÀNH LANG"/>
      <sheetName val="KL-Lap dat-M (k in)"/>
      <sheetName val="KL-TEST-M (k in)"/>
      <sheetName val="KL-Lap dat-D"/>
      <sheetName val="KL-TEST-D"/>
      <sheetName val="Check list tháp D (k in)"/>
      <sheetName val="Check list tháp M(k in)"/>
      <sheetName val="đối soát vật tư"/>
      <sheetName val="Main Cable "/>
      <sheetName val="预算"/>
      <sheetName val="MTO REV.2(ARMOR)"/>
      <sheetName val="Cash2"/>
      <sheetName val="D_MUC"/>
      <sheetName val="DI_ESTI"/>
      <sheetName val="07.2019 HC"/>
      <sheetName val="NHAN SU CAC CONG TRINH"/>
      <sheetName val="BANG CHAM CONG VAN PHONG"/>
      <sheetName val="CHAM CONG TRUC VE SINH"/>
      <sheetName val="UNIT_PRICE"/>
      <sheetName val="PU_ITALY_5"/>
      <sheetName val="TH_DZ355"/>
      <sheetName val="Tro_giup5"/>
      <sheetName val="Don_gia3"/>
      <sheetName val="DON_GIA_TRAM_(3)3"/>
      <sheetName val="RAB_AR&amp;STR3"/>
      <sheetName val="chi_tiet_TBA3"/>
      <sheetName val="chi_tiet_C3"/>
      <sheetName val="DON_GIA_CAN_THO5"/>
      <sheetName val="Customize_Your_Purchase_Order3"/>
      <sheetName val="CHITIET_VL-NC-TT_-1p3"/>
      <sheetName val="CHITIET_VL-NC-TT-3p2"/>
      <sheetName val="TONG_HOP_VL-NC_TT3"/>
      <sheetName val="KPVC-BD_3"/>
      <sheetName val="HĐ_ngoài2"/>
      <sheetName val="XT_Buoc_32"/>
      <sheetName val="dongia_(2)2"/>
      <sheetName val="7606_DZ3"/>
      <sheetName val="Don_gia_chi_tiet3"/>
      <sheetName val="project_management2"/>
      <sheetName val="Adix_A2"/>
      <sheetName val="S-curve_2"/>
      <sheetName val="REINF_2"/>
      <sheetName val="Rates_20092"/>
      <sheetName val="Du_toan2"/>
      <sheetName val="So_doi_chieu_LC2"/>
      <sheetName val="MAIN_GATE_HOUSE2"/>
      <sheetName val="Commercial_value2"/>
      <sheetName val="Ky_Lam_Bridge2"/>
      <sheetName val="Provisional_Sums_Item2"/>
      <sheetName val="Gas_Pressure_Welding2"/>
      <sheetName val="General_Item&amp;General_Requireme2"/>
      <sheetName val="General_Items2"/>
      <sheetName val="Regenral_Requirements2"/>
      <sheetName val="chiet_tinh2"/>
      <sheetName val="Ng_hàng_xà+bulong2"/>
      <sheetName val="Bang_KL2"/>
      <sheetName val="TONG_HOP_VL-NC2"/>
      <sheetName val="MH_RATE2"/>
      <sheetName val="DM_60611"/>
      <sheetName val="DG_thep_ma_kem1"/>
      <sheetName val="Lcau_-_Lxuc2"/>
      <sheetName val="CT_vat_lieu1"/>
      <sheetName val="Equip_1"/>
      <sheetName val="A1_CN1"/>
      <sheetName val="Đầu_vào1"/>
      <sheetName val="Chi_tiet_XD_TBA1"/>
      <sheetName val="Trạm_biến_áp1"/>
      <sheetName val="Đơn_Giá_1"/>
      <sheetName val="CT-0_4KV1"/>
      <sheetName val="Chenh_lech_vat_tu1"/>
      <sheetName val="Diện_tích1"/>
      <sheetName val="1_Khái_toán1"/>
      <sheetName val="TONG_HOP_T5_19981"/>
      <sheetName val="KL_Chi_tiết_Xây_tô1"/>
      <sheetName val="DG_DZ1"/>
      <sheetName val="DG_TBA1"/>
      <sheetName val="07Base_Cost1"/>
      <sheetName val="rate_material1"/>
      <sheetName val="Chi_tiet_KL1"/>
      <sheetName val="Tổng_hợp_KL1"/>
      <sheetName val="Xay_lapduongR31"/>
      <sheetName val="04_-_XUONG_DET_B1"/>
      <sheetName val="Bill_1_Quy_dinh_chung1"/>
      <sheetName val="1_R18_BF1"/>
      <sheetName val="6_External_works-R181"/>
      <sheetName val="Phan_khai_KLuong1"/>
      <sheetName val="_031"/>
      <sheetName val="chieu_day_san1"/>
      <sheetName val="Podium_Concrete_Works1"/>
      <sheetName val="KLCT-_TOWER1"/>
      <sheetName val="KLCT-_PODIUM1"/>
      <sheetName val="Gia_thanh_chuoi_su1"/>
      <sheetName val="Tiep_dia1"/>
      <sheetName val="Don_gia_vung_III-Can_Tho1"/>
      <sheetName val="Area_Cal1"/>
      <sheetName val="Elect_(3)1"/>
      <sheetName val="Bond_수수료_계산_포맷1"/>
      <sheetName val="PAGE_11"/>
      <sheetName val="EIRR&gt;_21"/>
      <sheetName val="DM_671"/>
      <sheetName val="Đầu_tư1"/>
      <sheetName val="Project_Data1"/>
      <sheetName val="Data_Input1"/>
      <sheetName val="6787CWFASE2CASE2_00_xls1"/>
      <sheetName val="Bill_02_-_Xay_gach-Pou_1"/>
      <sheetName val="Bill_03-Chống_thấm-Pou1"/>
      <sheetName val="Bill_04-Kim_loại-Pou1"/>
      <sheetName val="Bill_05_-_Hoan_thien-Pou_1"/>
      <sheetName val="Bill_02_-_Xay_gach-Tower1"/>
      <sheetName val="Bill_03-Chống_thấm-Tower1"/>
      <sheetName val="Bill_04-Kim_loại-Tower1"/>
      <sheetName val="Bill_05_-_Hoan_thien-Tower1"/>
      <sheetName val="KL-_KHAC1"/>
      <sheetName val="BILL_3_-_KẾT_CẤU_HẦM1"/>
      <sheetName val="PTĐG_LTBT1"/>
      <sheetName val="CTG-PRECHEx1_41"/>
      <sheetName val="CTG-AB_(2)1"/>
      <sheetName val="CTG-AB_(3)1"/>
      <sheetName val="CTG-PLP-1_081"/>
      <sheetName val="Pre_Đội_nhóm1"/>
      <sheetName val="Vat_tu_XD1"/>
      <sheetName val="Tower_-_Concrete_Works1"/>
      <sheetName val="Bill-04_ket_cau_thap-_UNI1"/>
      <sheetName val="Loại_Vật_tư1"/>
      <sheetName val="TH_Vat_tu1"/>
      <sheetName val="dg_tphcm1"/>
      <sheetName val="T_KÊ_K_CẤU1"/>
      <sheetName val="Bill_01_-_CTN1"/>
      <sheetName val="Bill_2_2_Villa_2_beds1"/>
      <sheetName val="4_PTDG1"/>
      <sheetName val="A1,_May1"/>
      <sheetName val="Vat_lieu1"/>
      <sheetName val="Bang_trong_luong_rieng_thep1"/>
      <sheetName val="HÐ_ngoài2"/>
      <sheetName val="gia_cong_tac1"/>
      <sheetName val="Measure_13061"/>
      <sheetName val="Cước_VC_+_ĐM_CP_Tư_vấn1"/>
      <sheetName val="Hệ_số1"/>
      <sheetName val="DETAIL_"/>
      <sheetName val="GV1-D13_(Casement_door)1"/>
      <sheetName val="final_list_20051"/>
      <sheetName val="LV_data"/>
      <sheetName val="ESTI_"/>
      <sheetName val="Gia_vat_tu"/>
      <sheetName val="CẤP_THOÁT_NƯỚC1"/>
      <sheetName val="TH_MTC"/>
      <sheetName val="TH_N_Cong"/>
      <sheetName val="THDT_goi_thau_TB1"/>
      <sheetName val="Tien_do_TV1"/>
      <sheetName val="Harga_ME_1"/>
      <sheetName val="Analisa_Gabungan1"/>
      <sheetName val="_Bill_5-Earthing_2_-_Add_Works"/>
      <sheetName val="bridge_#_11"/>
      <sheetName val="Isolasi_Luar_Dalam1"/>
      <sheetName val="Isolasi_Luar1"/>
      <sheetName val="KL_san_lap"/>
      <sheetName val="Chi_tiet"/>
      <sheetName val="Chenh_lech_ca_may"/>
      <sheetName val="TLg_CN&amp;Laixe"/>
      <sheetName val="TLg_CN&amp;Laixe_(2)"/>
      <sheetName val="TLg_Laitau"/>
      <sheetName val="TLg_Laitau_(2)"/>
      <sheetName val="Bang_3_Chi_tiet_phan_Dz"/>
      <sheetName val="KHOI_LUONG"/>
      <sheetName val="Equipment_list_(PAC)"/>
      <sheetName val="TINH_KHOI_LUONG"/>
      <sheetName val="DATA_BASE"/>
      <sheetName val="BẢNG_KHỐI_LƯỢNG_TỔNG_HỢP"/>
      <sheetName val="Buy_vs__Lease_Car1"/>
      <sheetName val="CP_Khac_cuoc_VC"/>
      <sheetName val="Budget_Code"/>
      <sheetName val="CTKL_KTX_HT"/>
      <sheetName val="HVAC_BLOCK_B4"/>
      <sheetName val="PRE_(E)"/>
      <sheetName val="2_Chiet_tinh"/>
      <sheetName val="subcon_sched"/>
      <sheetName val="NHÀ_NHẬP_LIỆU"/>
      <sheetName val="MÓNG_SILO"/>
      <sheetName val="Tong_du_toan"/>
      <sheetName val="Bill_2_-_ketcau"/>
      <sheetName val="Chi_tiet_lan_can"/>
      <sheetName val="13-Cốt_thép_(10mm&lt;D≤18mm)_FO16"/>
      <sheetName val="du_lieu_du_toan"/>
      <sheetName val="BOQ_THAN"/>
      <sheetName val="DL_ĐẦU_VÀO"/>
      <sheetName val="KL_LĐ-_CÁP_ĐIỆN"/>
      <sheetName val="KL_LĐ-BUSWAY"/>
      <sheetName val="KL_LĐ-TỦ_ĐIỆN"/>
      <sheetName val="Data-Lắp_đèn,_ổ_cắm_căn_hộ"/>
      <sheetName val="GTTT_PL_02"/>
      <sheetName val="GTTT_PL2"/>
      <sheetName val="KL_LĐ_CS_SỰ_CỐ_(k_in)"/>
      <sheetName val="KL_LĐ_TỦ_ĐIỆN_(k_in)"/>
      <sheetName val="KL_TỦ_ĐIỆN_MSB"/>
      <sheetName val="KL_LĐ_CÁP_ĐIỆN"/>
      <sheetName val="KL_LĐ-_BUSWAY"/>
      <sheetName val="KL_LĐ-_PHẦN_HẦM,_KHỐI_ĐẾ,_HL"/>
      <sheetName val="KL-HÀNH_LANG"/>
      <sheetName val="KL-Lap_dat-M_(k_in)"/>
      <sheetName val="KL-TEST-M_(k_in)"/>
      <sheetName val="KL-Lap_dat-D"/>
      <sheetName val="Check_list_tháp_D_(k_in)"/>
      <sheetName val="Check_list_tháp_M(k_in)"/>
      <sheetName val="đối_soát_vật_tư"/>
      <sheetName val="Main_Cable_"/>
      <sheetName val="Ree_Hvac-Condotel"/>
      <sheetName val="Sigma_HVAC-Condotel"/>
      <sheetName val="Techgel_Condotel_-_HVAC"/>
      <sheetName val="Unicon_Condotel_-_HVAC"/>
      <sheetName val="Ree_P&amp;D-Condotel"/>
      <sheetName val="Sigma_CTN-CONDOTEL"/>
      <sheetName val="Techgel_Condotel_-_CTN"/>
      <sheetName val="Unicon__Condotel_-_CTN"/>
      <sheetName val="NSA_fr_Revit"/>
      <sheetName val="Scorp_of_Work"/>
      <sheetName val="CPC_2T"/>
      <sheetName val="TH_(Daikin)"/>
      <sheetName val="_BILL_2_1_E-ELV-THO"/>
      <sheetName val="_BILL_2_2_E-ELV-HT"/>
      <sheetName val="CT_tu_EDHP"/>
      <sheetName val="BIIL_3_1_PS-THO"/>
      <sheetName val="BIIL_3_1_PS-HT"/>
      <sheetName val="BILL_4_ACMV-THO_"/>
      <sheetName val="BILL_4_ACMV-HT_"/>
      <sheetName val="_BILL_5_FA-FA_-_THO__"/>
      <sheetName val="_BILL_5_FA-FA_-_HT__"/>
      <sheetName val="Gia_tudien"/>
      <sheetName val="Code_NC"/>
      <sheetName val="TH_(Toshiba)"/>
      <sheetName val="BILL_4_ACMV-HT__(Toshiba)"/>
      <sheetName val="Hao_hut,_CK"/>
      <sheetName val="TH_CPTC"/>
      <sheetName val="CT_gio_m2"/>
      <sheetName val="DMVL,_CK"/>
      <sheetName val="Sum_material"/>
      <sheetName val="TÍNH TOÁN KHỐI LƯỢNG P6"/>
      <sheetName val="takeoff2"/>
      <sheetName val="Dầm -4.7m"/>
      <sheetName val="Scheme B Estimate "/>
      <sheetName val="Bang TH"/>
      <sheetName val="Shelves"/>
      <sheetName val="TINH GIA - SAN XUAT Vertico"/>
      <sheetName val="Notes"/>
      <sheetName val="DI-ESTI"/>
      <sheetName val="C.A02 - Confirmations"/>
      <sheetName val="3-PTDGT8 "/>
      <sheetName val="4-PTDG (T2)"/>
      <sheetName val="4-PTDG (T1)"/>
      <sheetName val="CONSOIDATE 4"/>
      <sheetName val="CONSOIDATE 2"/>
      <sheetName val="1CT-CAUTHANG-TT-T13(TRIU)&lt;16&gt;16"/>
      <sheetName val="3,CT-CAUTHANG-T23-24&gt;50"/>
      <sheetName val="지구단위계획"/>
      <sheetName val="인원계획-미화"/>
      <sheetName val="요약&amp;결과"/>
      <sheetName val="현장관리비__x0000__x0000_Ā_x0000__x0005_"/>
      <sheetName val="배수유공블䣾"/>
      <sheetName val="손익집계(공장별)"/>
      <sheetName val="개화1°"/>
      <sheetName val="해운대V-B"/>
      <sheetName val="주요가정"/>
      <sheetName val="철거현황"/>
      <sheetName val="106C03曐ɀ"/>
      <sheetName val="집계내역서(가압 ㍚"/>
      <sheetName val="1공구산출내_x0000__x0000_"/>
      <sheetName val="총괄간_x0000_"/>
      <sheetName val="[EUL.XLS]도장수猱ﱭ/"/>
      <sheetName val="2연"/>
      <sheetName val="허용전류_ê"/>
      <sheetName val="1_1서버도입"/>
      <sheetName val="관급자재㧈冈"/>
      <sheetName val="도장수량㨹䠀䷓"/>
      <sheetName val="동원(㞉"/>
      <sheetName val="도장수량퀂/"/>
      <sheetName val="동원(㤸"/>
      <sheetName val="도장수량/"/>
      <sheetName val="플랜트_설치"/>
      <sheetName val="태화42_"/>
      <sheetName val="A-TYPE_단위수량"/>
      <sheetName val="TOWER_12TON"/>
      <sheetName val="TOWER_10TON"/>
      <sheetName val="04_설변내역서"/>
      <sheetName val="수목데이타_"/>
      <sheetName val="8공구_강재_수량"/>
      <sheetName val="Sheet1_(2)5"/>
      <sheetName val="물가변동_총괄서5"/>
      <sheetName val="방배동내역_(총괄)5"/>
      <sheetName val="허용전류-IEC_DATA5"/>
      <sheetName val="7_1유효폭5"/>
      <sheetName val="단면_(2)5"/>
      <sheetName val="현장관리비_산출내역5"/>
      <sheetName val="3_공통공사대비4"/>
      <sheetName val="EQUIP_LIST5"/>
      <sheetName val="본선_토공_분배표5"/>
      <sheetName val="토공_갑지4"/>
      <sheetName val="BOX_본체4"/>
      <sheetName val="_4"/>
      <sheetName val="을_24"/>
      <sheetName val="을_14"/>
      <sheetName val="각사별공사비분개_4"/>
      <sheetName val="1_취수장4"/>
      <sheetName val="6PILE__(돌출)4"/>
      <sheetName val="3련_BOX4"/>
      <sheetName val="Pier_34"/>
      <sheetName val="BOX(1_5X1_5)3"/>
      <sheetName val="해외_연수비용_계산-삭제4"/>
      <sheetName val="해외_기술훈련비_(합계)4"/>
      <sheetName val="장비투입_(2)3"/>
      <sheetName val="TYPE_A3"/>
      <sheetName val="2000년_공정표3"/>
      <sheetName val="내역서_3"/>
      <sheetName val="ITB_COST3"/>
      <sheetName val="BSD_(2)3"/>
      <sheetName val="CATCH_BASIN3"/>
      <sheetName val="입출재고현황_(2)3"/>
      <sheetName val="1_설계조건3"/>
      <sheetName val="1공구_건정토건_토공3"/>
      <sheetName val="C_&amp;_G_RHS3"/>
      <sheetName val="Process_Piping3"/>
      <sheetName val="5_3_단면가정3"/>
      <sheetName val="Man_Hole3"/>
      <sheetName val="단가_2"/>
      <sheetName val="일위대가_(PM)2"/>
      <sheetName val="2F_회의실견적(5_14_일대)2"/>
      <sheetName val="plan&amp;section_of_foundation2"/>
      <sheetName val="design_criteria2"/>
      <sheetName val="2차전체변경예정_(2)2"/>
      <sheetName val="설산1_나2"/>
      <sheetName val="WEIGHT_LIST3"/>
      <sheetName val="산#2-1_(2)3"/>
      <sheetName val="준검_내역서2"/>
      <sheetName val="제출내역_(2)2"/>
      <sheetName val="자재_집계표2"/>
      <sheetName val="1_토공2"/>
      <sheetName val="수량산출서_갑지2"/>
      <sheetName val="SBT_NO_Proj__Controlling_Repor2"/>
      <sheetName val="조도계산서_(도서)2"/>
      <sheetName val="할증_2"/>
      <sheetName val="Raw_Data2"/>
      <sheetName val="PHC파일_천공_및_항타1"/>
      <sheetName val="허용전류_IEC_DATA1"/>
      <sheetName val="주공_갑지1"/>
      <sheetName val="방음벽연장집계-여기까지만_출력1"/>
      <sheetName val="충돌_내용1"/>
      <sheetName val="3BL공동구_수량1"/>
      <sheetName val="R_C_RAHMEN_해석1"/>
      <sheetName val="하도내역_(철콘)1"/>
      <sheetName val="5_모델링1"/>
      <sheetName val="118_세금과공과2"/>
      <sheetName val="108_수선비2"/>
      <sheetName val="25_보증금(임차보증금외)2"/>
      <sheetName val="Debt_Service_Schedule2"/>
      <sheetName val="Invested_Capital2"/>
      <sheetName val="Deteriorated_Asset2"/>
      <sheetName val="TRE_TABLE1"/>
      <sheetName val="장비_(2)1"/>
      <sheetName val="Package_32"/>
      <sheetName val="low_schedule2"/>
      <sheetName val="cellar_lighting2"/>
      <sheetName val="main_building2"/>
      <sheetName val="auxiliary_building2"/>
      <sheetName val="highbay_lighting2"/>
      <sheetName val="cable_tray2"/>
      <sheetName val="10_단면설계2"/>
      <sheetName val="2~5_단면가정&amp;안정검토2"/>
      <sheetName val="10_1_단면검토2"/>
      <sheetName val="AH-1_1"/>
      <sheetName val="G_R300경비1"/>
      <sheetName val="1_1서버도입1"/>
      <sheetName val="list_price1"/>
      <sheetName val="플랜트_설치1"/>
      <sheetName val="터널길이별_m당_단가1"/>
      <sheetName val="태화42_1"/>
      <sheetName val="TOWER_12TON1"/>
      <sheetName val="TOWER_10TON1"/>
      <sheetName val="A-TYPE_단위수량1"/>
      <sheetName val="96보완계획7_122"/>
      <sheetName val="UB_Beam_Box-up1"/>
      <sheetName val="연결분개(거래_채권채무)_(2)3"/>
      <sheetName val="연결분개(거래_채권채무)3"/>
      <sheetName val="만기_(2)3"/>
      <sheetName val="1_외주공사2"/>
      <sheetName val="2_직영공사2"/>
      <sheetName val="P50_subsequent1"/>
      <sheetName val="Significant_Processes1"/>
      <sheetName val="7__2_1"/>
      <sheetName val="7_(2)1"/>
      <sheetName val="2_21"/>
      <sheetName val="2_2_Yrly_Comparison1"/>
      <sheetName val="5__BSC_Developmt1"/>
      <sheetName val="(참고)개인별_임금인상안1"/>
      <sheetName val="(참고)DC형_선택자_퇴직금_추계1"/>
      <sheetName val="완성차_미수금1"/>
      <sheetName val="3__BSC_NC_ratio1"/>
      <sheetName val="1_변경범위1"/>
      <sheetName val="2_생산성-21"/>
      <sheetName val="Cash_Flows1"/>
      <sheetName val="Inventory_and_Purchases1"/>
      <sheetName val="Assumptions_and_Dashboard1"/>
      <sheetName val="Headcount_Overview1"/>
      <sheetName val="24_보증금(전신전화가입권)1"/>
      <sheetName val="3_판관비명세서1"/>
      <sheetName val="בית_השקעות1"/>
      <sheetName val="9,10월신제품_(2)2"/>
      <sheetName val="시산표_(2)1"/>
      <sheetName val="3_바닥판설계1"/>
      <sheetName val="Gia_VLNCMTC2"/>
      <sheetName val="TONGKE3p_1"/>
      <sheetName val="TH_VL,_NC,_DDHT_Thanhphuoc1"/>
      <sheetName val="CHITIET_VL-NC1"/>
      <sheetName val="Div26_-_Elect1"/>
      <sheetName val="BANG_TONG_HOP_(2)1"/>
      <sheetName val="THCP_Lap_dat1"/>
      <sheetName val="Nhan_cong1"/>
      <sheetName val="Thiet_bi1"/>
      <sheetName val="Vat_tu1"/>
      <sheetName val="DM_ChiPhi1"/>
      <sheetName val="May_TC1"/>
      <sheetName val="TH_Kinh_phi1"/>
      <sheetName val="04_설변내역서1"/>
      <sheetName val="수목데이타_1"/>
      <sheetName val="8공구_강재_수량1"/>
      <sheetName val="상행-교대(틀Ȝ"/>
      <sheetName val="[EUL_XLS]전체수ḱ텭/"/>
      <sheetName val="[EUL_XLS]전체수ḱ푭/"/>
      <sheetName val="[EUL_XLS]전체수량/"/>
      <sheetName val="[EUL_XLS]도장수량猀ﱭ/"/>
      <sheetName val="[EUL_XLS]도장수猱ﱭ/倀"/>
      <sheetName val="8월_노무비(수정)"/>
      <sheetName val="8월_노무_"/>
      <sheetName val="8월_투입_금액(관리-매일)"/>
      <sheetName val="본사,외주_투입합계_집계"/>
      <sheetName val="본사_투입_집계_"/>
      <sheetName val="외주_투입_집계(관리)"/>
      <sheetName val="외주_투입_집계(철근)"/>
      <sheetName val="외주_투입_집계(목공-김홍길)"/>
      <sheetName val="8월_노무__철근"/>
      <sheetName val="8월_노무__목공"/>
      <sheetName val="8월_노무_목공_용역_(다온,대동,원곡)"/>
      <sheetName val="8월_노무_목공_타설"/>
      <sheetName val="8월_노무_목공_비계"/>
      <sheetName val="8월_노무_목공_원본"/>
      <sheetName val="7월_노무_"/>
      <sheetName val="7월_투입_금액(관리-매일)"/>
      <sheetName val="도장수량㠗㚅ᝲ"/>
      <sheetName val="도장수량砞⼵᎒"/>
      <sheetName val="동원("/>
      <sheetName val="도장수량蠕　"/>
      <sheetName val="도장수량研⼵栁"/>
      <sheetName val="도장수량砛⼵沈"/>
      <sheetName val="시멘트_및_골재량산출"/>
      <sheetName val="도장수량Ј/"/>
      <sheetName val="도장수량젞᠀럘"/>
      <sheetName val="도장수량怀⺴"/>
      <sheetName val="도장수량⠐伺軙"/>
      <sheetName val="Sheet1_(2)6"/>
      <sheetName val="물가변동_총괄서6"/>
      <sheetName val="방배동내역_(총괄)6"/>
      <sheetName val="허용전류-IEC_DATA6"/>
      <sheetName val="7_1유효폭6"/>
      <sheetName val="단면_(2)6"/>
      <sheetName val="현장관리비_산출내역6"/>
      <sheetName val="3_공통공사대비5"/>
      <sheetName val="EQUIP_LIST6"/>
      <sheetName val="본선_토공_분배표6"/>
      <sheetName val="토공_갑지5"/>
      <sheetName val="BOX_본체5"/>
      <sheetName val="_5"/>
      <sheetName val="을_25"/>
      <sheetName val="을_15"/>
      <sheetName val="각사별공사비분개_5"/>
      <sheetName val="1_취수장5"/>
      <sheetName val="6PILE__(돌출)5"/>
      <sheetName val="3련_BOX5"/>
      <sheetName val="Pier_35"/>
      <sheetName val="BOX(1_5X1_5)4"/>
      <sheetName val="해외_연수비용_계산-삭제5"/>
      <sheetName val="해외_기술훈련비_(합계)5"/>
      <sheetName val="장비투입_(2)4"/>
      <sheetName val="TYPE_A4"/>
      <sheetName val="2000년_공정표4"/>
      <sheetName val="내역서_4"/>
      <sheetName val="ITB_COST4"/>
      <sheetName val="BSD_(2)4"/>
      <sheetName val="CATCH_BASIN4"/>
      <sheetName val="입출재고현황_(2)4"/>
      <sheetName val="1_설계조건4"/>
      <sheetName val="1공구_건정토건_토공4"/>
      <sheetName val="C_&amp;_G_RHS4"/>
      <sheetName val="Process_Piping4"/>
      <sheetName val="5_3_단면가정4"/>
      <sheetName val="Man_Hole4"/>
      <sheetName val="단가_3"/>
      <sheetName val="일위대가_(PM)3"/>
      <sheetName val="2F_회의실견적(5_14_일대)3"/>
      <sheetName val="plan&amp;section_of_foundation3"/>
      <sheetName val="design_criteria3"/>
      <sheetName val="2차전체변경예정_(2)3"/>
      <sheetName val="설산1_나3"/>
      <sheetName val="WEIGHT_LIST4"/>
      <sheetName val="산#2-1_(2)4"/>
      <sheetName val="준검_내역서3"/>
      <sheetName val="제출내역_(2)3"/>
      <sheetName val="자재_집계표3"/>
      <sheetName val="1_토공3"/>
      <sheetName val="수량산출서_갑지3"/>
      <sheetName val="SBT_NO_Proj__Controlling_Repor3"/>
      <sheetName val="조도계산서_(도서)3"/>
      <sheetName val="할증_3"/>
      <sheetName val="Raw_Data3"/>
      <sheetName val="PHC파일_천공_및_항타2"/>
      <sheetName val="허용전류_IEC_DATA2"/>
      <sheetName val="주공_갑지2"/>
      <sheetName val="방음벽연장집계-여기까지만_출력2"/>
      <sheetName val="충돌_내용2"/>
      <sheetName val="3BL공동구_수량2"/>
      <sheetName val="R_C_RAHMEN_해석2"/>
      <sheetName val="하도내역_(철콘)2"/>
      <sheetName val="5_모델링2"/>
      <sheetName val="118_세금과공과3"/>
      <sheetName val="108_수선비3"/>
      <sheetName val="25_보증금(임차보증금외)3"/>
      <sheetName val="Debt_Service_Schedule3"/>
      <sheetName val="Invested_Capital3"/>
      <sheetName val="Deteriorated_Asset3"/>
      <sheetName val="TRE_TABLE2"/>
      <sheetName val="Du_toan3"/>
      <sheetName val="장비_(2)2"/>
      <sheetName val="Package_33"/>
      <sheetName val="low_schedule3"/>
      <sheetName val="cellar_lighting3"/>
      <sheetName val="main_building3"/>
      <sheetName val="auxiliary_building3"/>
      <sheetName val="highbay_lighting3"/>
      <sheetName val="cable_tray3"/>
      <sheetName val="10_단면설계3"/>
      <sheetName val="2~5_단면가정&amp;안정검토3"/>
      <sheetName val="10_1_단면검토3"/>
      <sheetName val="AH-1_2"/>
      <sheetName val="G_R300경비2"/>
      <sheetName val="1_1서버도입2"/>
      <sheetName val="list_price2"/>
      <sheetName val="플랜트_설치2"/>
      <sheetName val="터널길이별_m당_단가2"/>
      <sheetName val="태화42_2"/>
      <sheetName val="TOWER_12TON2"/>
      <sheetName val="TOWER_10TON2"/>
      <sheetName val="A-TYPE_단위수량2"/>
      <sheetName val="96보완계획7_123"/>
      <sheetName val="UB_Beam_Box-up2"/>
      <sheetName val="연결분개(거래_채권채무)_(2)4"/>
      <sheetName val="연결분개(거래_채권채무)4"/>
      <sheetName val="만기_(2)4"/>
      <sheetName val="1_외주공사3"/>
      <sheetName val="2_직영공사3"/>
      <sheetName val="P50_subsequent2"/>
      <sheetName val="Significant_Processes2"/>
      <sheetName val="7__2_2"/>
      <sheetName val="7_(2)2"/>
      <sheetName val="2_22"/>
      <sheetName val="2_2_Yrly_Comparison2"/>
      <sheetName val="5__BSC_Developmt2"/>
      <sheetName val="(참고)개인별_임금인상안2"/>
      <sheetName val="(참고)DC형_선택자_퇴직금_추계2"/>
      <sheetName val="완성차_미수금2"/>
      <sheetName val="3__BSC_NC_ratio2"/>
      <sheetName val="1_변경범위2"/>
      <sheetName val="2_생산성-22"/>
      <sheetName val="Cash_Flows2"/>
      <sheetName val="Inventory_and_Purchases2"/>
      <sheetName val="Assumptions_and_Dashboard2"/>
      <sheetName val="Headcount_Overview2"/>
      <sheetName val="24_보증금(전신전화가입권)2"/>
      <sheetName val="3_판관비명세서2"/>
      <sheetName val="בית_השקעות2"/>
      <sheetName val="9,10월신제품_(2)3"/>
      <sheetName val="시산표_(2)2"/>
      <sheetName val="3_바닥판설계2"/>
      <sheetName val="Gia_VLNCMTC3"/>
      <sheetName val="TONGKE3p_2"/>
      <sheetName val="TH_VL,_NC,_DDHT_Thanhphuoc2"/>
      <sheetName val="CHITIET_VL-NC2"/>
      <sheetName val="Div26_-_Elect2"/>
      <sheetName val="BANG_TONG_HOP_(2)2"/>
      <sheetName val="THCP_Lap_dat2"/>
      <sheetName val="Nhan_cong2"/>
      <sheetName val="Thiet_bi2"/>
      <sheetName val="Vat_tu2"/>
      <sheetName val="DM_ChiPhi2"/>
      <sheetName val="May_TC2"/>
      <sheetName val="TH_Kinh_phi2"/>
      <sheetName val="A1_CN2"/>
      <sheetName val="04_설변내역서2"/>
      <sheetName val="수목데이타_2"/>
      <sheetName val="8공구_강재_수량2"/>
      <sheetName val="[EUL_XLS]전체수ḱ텭/1"/>
      <sheetName val="[EUL_XLS]전체수ḱ푭/1"/>
      <sheetName val="8월_노무비(수정)1"/>
      <sheetName val="8월_노무_1"/>
      <sheetName val="8월_투입_금액(관리-매일)1"/>
      <sheetName val="본사,외주_투입합계_집계1"/>
      <sheetName val="본사_투입_집계_1"/>
      <sheetName val="외주_투입_집계(관리)1"/>
      <sheetName val="외주_투입_집계(철근)1"/>
      <sheetName val="외주_투입_집계(목공-김홍길)1"/>
      <sheetName val="8월_노무__철근1"/>
      <sheetName val="8월_노무__목공1"/>
      <sheetName val="8월_노무_목공_용역_(다온,대동,원곡)1"/>
      <sheetName val="8월_노무_목공_타설1"/>
      <sheetName val="8월_노무_목공_비계1"/>
      <sheetName val="8월_노무_목공_원본1"/>
      <sheetName val="7월_노무_1"/>
      <sheetName val="7월_투입_금액(관리-매일)1"/>
      <sheetName val="시멘트_및_골재량산출1"/>
      <sheetName val="설曘"/>
      <sheetName val="입력값"/>
      <sheetName val="설계기준 및 하중계산"/>
      <sheetName val="2차전체변경쌂瘅"/>
      <sheetName val="구분표"/>
      <sheetName val="1_x0002__x0000__x000c__x0000__x0000_"/>
      <sheetName val="허용전류_裪选"/>
      <sheetName val="허용전류_䃪氼᠝"/>
      <sheetName val="데이터유효성"/>
      <sheetName val="옥룡잡비"/>
      <sheetName val="식재수량집계"/>
      <sheetName val="자재집계"/>
      <sheetName val="산출근거(지주목)"/>
      <sheetName val="공종"/>
      <sheetName val="[EUL.XLS]도장수량쌀䄅/_x0000_"/>
      <sheetName val="[EUL.XLS]도장수량쌈㈅/_x0000_"/>
      <sheetName val="[EUL.XLS]도장수량쌀㈅/_x0000_"/>
      <sheetName val="[EUL.XLS]도장수량퀂_xde70_/_x0000_"/>
      <sheetName val="[EUL.XLS]동원(/_x0000_"/>
      <sheetName val="[EUL.XLS]도장수량츆鱪/_x0000_"/>
      <sheetName val="[EUL.XLS]도장수량츂鑪/_x0000_"/>
      <sheetName val="[EUL.XLS]도장수량_xdf68_/_x0000_"/>
      <sheetName val="[EUL.XLS]도장수량Ђ걬/_x0000_"/>
      <sheetName val="[EUL.XLS]도장수량Ќ걬/_x0000_"/>
      <sheetName val="[EUL.XLS]도장수량Ѐ/_x0000_"/>
      <sheetName val="[EUL.XLS]도장수량Ј_xd86c_/_x0000_"/>
      <sheetName val="[EUL.XLS]도장수량Љ꭬/_x0000_"/>
      <sheetName val="[EUL.XLS]도장수량鄋顪/_x0000_"/>
      <sheetName val="[EUL.XLS][EUL.XLS][EUL.XLS]__10"/>
      <sheetName val="[EUL.XLS][EUL.XLS][EUL.XLS]__11"/>
      <sheetName val="[EUL.XLS][EUL.XLS][EUL.XLS]__12"/>
      <sheetName val="[EUL.XLS][EUL.XLS][EUL.XLS]__13"/>
      <sheetName val="[EUL.XLS][EUL.XLS][EUL.XLS]__14"/>
      <sheetName val="[EUL.XLS][EUL.XLS][EUL.XLS]__15"/>
      <sheetName val="woo_x0000__x0000__x0005__x0000_뇀"/>
      <sheetName val="woo_x0000__x0000__x0005__x0000_몀"/>
      <sheetName val="woo_x0000__x0000__x0005__x0000_낀"/>
      <sheetName val="woo_x0000__x0000__x0005__x0000_ᐰ"/>
      <sheetName val="woo_x0000__x0000__x0005__x0000_៰"/>
      <sheetName val="tggwan(_x0000__x0000_Ԁ_x0000_"/>
      <sheetName val="정산서"/>
      <sheetName val="NET ALL (M)"/>
      <sheetName val="현장별"/>
      <sheetName val="4.3 Scope of work "/>
      <sheetName val="pp1p"/>
      <sheetName val="pp3p_NC"/>
      <sheetName val="pp3p "/>
      <sheetName val="물량표(신)"/>
      <sheetName val="CGDATA"/>
      <sheetName val="BAG-2"/>
      <sheetName val="DAF-2"/>
      <sheetName val="Slim 2 cánh &amp; 2 vách"/>
      <sheetName val="phân tích hiệu quả"/>
      <sheetName val="삼홍테크"/>
      <sheetName val="MTL(AG)"/>
      <sheetName val="40洂书"/>
      <sheetName val="2F 회의실견적(5_1賨࠭׃⾭_x0000_"/>
      <sheetName val="2F 회의실견적(5_1_x0000__x0000__x0005__x0000_鍐"/>
      <sheetName val="PAINT (2)"/>
      <sheetName val="20o销_x0000_"/>
      <sheetName val="20Y_x0000__x0000__x0000_"/>
      <sheetName val="20剙_x0010__x0000__x0000_"/>
      <sheetName val="6공구(당초_x0000_"/>
      <sheetName val="방음벽기초"/>
      <sheetName val="가로등수량수량"/>
      <sheetName val="인원투입계획"/>
      <sheetName val="경상비내역"/>
      <sheetName val="부대비내역"/>
      <sheetName val="도장수량ꀍ㑰0_x0000_"/>
      <sheetName val="동원(堓ᬳ"/>
      <sheetName val="도장수량ꀂ坰0_x0000_"/>
      <sheetName val="도장수량怀㿞ힽ_x0000_"/>
      <sheetName val="도장수량ꀏᡰ0_x0000_"/>
      <sheetName val="도장수량ꀂ텰/_x0000_"/>
      <sheetName val="도장수량ꀀ濡쏴_x0000_"/>
      <sheetName val="동원(ꀍ왰"/>
      <sheetName val="동원(ꀉ왰"/>
      <sheetName val="도장수량젓༴윱"/>
      <sheetName val="도장수량ꀀ㍰0_x0000_"/>
      <sheetName val="도장수량؀_x0001__x0000__x0000_"/>
      <sheetName val="동원(؀_x0001_"/>
      <sheetName val="동원(렗_xd838_"/>
      <sheetName val="동원(研伶"/>
      <sheetName val="도장수량砖伶_x0000_曧"/>
      <sheetName val="동원(ꀔ퍰"/>
      <sheetName val="동원(ꀈ䩰"/>
      <sheetName val="동원(ꀈ"/>
      <sheetName val="노상장99.3"/>
      <sheetName val="일반공ఀ"/>
      <sheetName val="제출내_x0000__x0000_Ā_x0000__x0005_"/>
      <sheetName val="PROCURE"/>
      <sheetName val="형틀공사"/>
      <sheetName val="실행(표지,갑,을)"/>
      <sheetName val="일반부표"/>
      <sheetName val="정보"/>
      <sheetName val="평3"/>
      <sheetName val="전기실-1"/>
      <sheetName val="효율표"/>
      <sheetName val="발주서"/>
      <sheetName val="STRUCTURE"/>
      <sheetName val="dtct cong"/>
      <sheetName val="T"/>
      <sheetName val="B3A - TOWER A"/>
      <sheetName val="ptvt"/>
      <sheetName val="RC fin"/>
      <sheetName val="RAB_AR&amp;STR4"/>
      <sheetName val="TONG_HOP_VL-NC3"/>
      <sheetName val="Bang_KL3"/>
      <sheetName val="M1-XL-1b_KLthep1"/>
      <sheetName val="KLDT_DIEN"/>
      <sheetName val="Dinh_muc_CP_KTCB_khac"/>
      <sheetName val="Bảng_KLHT"/>
      <sheetName val="RC_WORK"/>
      <sheetName val="M2__FIRE_FIGHTING_SYSTEM_V1"/>
      <sheetName val="M3__FIRE_ALARM_SYSTEM_V1"/>
      <sheetName val="Electrical_Works"/>
      <sheetName val="H_T__INCOMING_SYSTEM"/>
      <sheetName val="ESTI_1"/>
      <sheetName val="SCOPE_OF_WORK"/>
      <sheetName val="Sàn_T1"/>
      <sheetName val="Lỗ_thông_gió"/>
      <sheetName val="UNIT_PRICE1"/>
      <sheetName val="PU_ITALY_6"/>
      <sheetName val="TH_DZ356"/>
      <sheetName val="Tro_giup6"/>
      <sheetName val="DON_GIA_TRAM_(3)4"/>
      <sheetName val="chi_tiet_TBA4"/>
      <sheetName val="chi_tiet_C4"/>
      <sheetName val="DON_GIA_CAN_THO6"/>
      <sheetName val="Customize_Your_Purchase_Order4"/>
      <sheetName val="CHITIET_VL-NC-TT_-1p4"/>
      <sheetName val="CHITIET_VL-NC-TT-3p3"/>
      <sheetName val="TONG_HOP_VL-NC_TT4"/>
      <sheetName val="KPVC-BD_4"/>
      <sheetName val="HĐ_ngoài3"/>
      <sheetName val="XT_Buoc_33"/>
      <sheetName val="dongia_(2)3"/>
      <sheetName val="7606_DZ4"/>
      <sheetName val="Don_gia_chi_tiet4"/>
      <sheetName val="project_management3"/>
      <sheetName val="Adix_A3"/>
      <sheetName val="S-curve_3"/>
      <sheetName val="REINF_3"/>
      <sheetName val="Rates_20093"/>
      <sheetName val="So_doi_chieu_LC3"/>
      <sheetName val="MAIN_GATE_HOUSE3"/>
      <sheetName val="Commercial_value3"/>
      <sheetName val="Ky_Lam_Bridge3"/>
      <sheetName val="Provisional_Sums_Item3"/>
      <sheetName val="Gas_Pressure_Welding3"/>
      <sheetName val="General_Item&amp;General_Requireme3"/>
      <sheetName val="General_Items3"/>
      <sheetName val="Regenral_Requirements3"/>
      <sheetName val="chiet_tinh3"/>
      <sheetName val="Ng_hàng_xà+bulong3"/>
      <sheetName val="MH_RATE3"/>
      <sheetName val="DM_60612"/>
      <sheetName val="DG_thep_ma_kem2"/>
      <sheetName val="Lcau_-_Lxuc3"/>
      <sheetName val="CT_vat_lieu2"/>
      <sheetName val="Equip_2"/>
      <sheetName val="Đầu_vào2"/>
      <sheetName val="Chi_tiet_XD_TBA2"/>
      <sheetName val="Trạm_biến_áp2"/>
      <sheetName val="Đơn_Giá_2"/>
      <sheetName val="CT-0_4KV2"/>
      <sheetName val="Chenh_lech_vat_tu2"/>
      <sheetName val="Diện_tích2"/>
      <sheetName val="1_Khái_toán2"/>
      <sheetName val="TONG_HOP_T5_19982"/>
      <sheetName val="KL_Chi_tiết_Xây_tô2"/>
      <sheetName val="DG_DZ2"/>
      <sheetName val="DG_TBA2"/>
      <sheetName val="07Base_Cost2"/>
      <sheetName val="rate_material2"/>
      <sheetName val="Chi_tiet_KL2"/>
      <sheetName val="Tổng_hợp_KL2"/>
      <sheetName val="Xay_lapduongR32"/>
      <sheetName val="04_-_XUONG_DET_B2"/>
      <sheetName val="Bill_1_Quy_dinh_chung2"/>
      <sheetName val="1_R18_BF2"/>
      <sheetName val="6_External_works-R182"/>
      <sheetName val="Phan_khai_KLuong2"/>
      <sheetName val="_032"/>
      <sheetName val="chieu_day_san2"/>
      <sheetName val="Podium_Concrete_Works2"/>
      <sheetName val="KLCT-_TOWER2"/>
      <sheetName val="KLCT-_PODIUM2"/>
      <sheetName val="Gia_thanh_chuoi_su2"/>
      <sheetName val="Tiep_dia2"/>
      <sheetName val="Don_gia_vung_III-Can_Tho2"/>
      <sheetName val="Area_Cal2"/>
      <sheetName val="Elect_(3)2"/>
      <sheetName val="Bond_수수료_계산_포맷2"/>
      <sheetName val="PAGE_12"/>
      <sheetName val="EIRR&gt;_22"/>
      <sheetName val="DM_672"/>
      <sheetName val="Đầu_tư2"/>
      <sheetName val="Project_Data2"/>
      <sheetName val="Data_Input2"/>
      <sheetName val="6787CWFASE2CASE2_00_xls2"/>
      <sheetName val="Bill_02_-_Xay_gach-Pou_2"/>
      <sheetName val="Bill_03-Chống_thấm-Pou2"/>
      <sheetName val="Bill_04-Kim_loại-Pou2"/>
      <sheetName val="Bill_05_-_Hoan_thien-Pou_2"/>
      <sheetName val="Bill_02_-_Xay_gach-Tower2"/>
      <sheetName val="Bill_03-Chống_thấm-Tower2"/>
      <sheetName val="Bill_04-Kim_loại-Tower2"/>
      <sheetName val="Bill_05_-_Hoan_thien-Tower2"/>
      <sheetName val="KL-_KHAC2"/>
      <sheetName val="BILL_3_-_KẾT_CẤU_HẦM2"/>
      <sheetName val="PTĐG_LTBT2"/>
      <sheetName val="CTG-PRECHEx1_42"/>
      <sheetName val="CTG-AB_(2)2"/>
      <sheetName val="CTG-AB_(3)2"/>
      <sheetName val="CTG-PLP-1_082"/>
      <sheetName val="Pre_Đội_nhóm2"/>
      <sheetName val="Vat_tu_XD2"/>
      <sheetName val="Tower_-_Concrete_Works2"/>
      <sheetName val="Bill-04_ket_cau_thap-_UNI2"/>
      <sheetName val="Loại_Vật_tư2"/>
      <sheetName val="TH_Vat_tu2"/>
      <sheetName val="dg_tphcm2"/>
      <sheetName val="T_KÊ_K_CẤU2"/>
      <sheetName val="Bill_01_-_CTN2"/>
      <sheetName val="Bill_2_2_Villa_2_beds2"/>
      <sheetName val="4_PTDG2"/>
      <sheetName val="A1,_May2"/>
      <sheetName val="Vat_lieu2"/>
      <sheetName val="Bang_trong_luong_rieng_thep2"/>
      <sheetName val="HÐ_ngoài3"/>
      <sheetName val="gia_cong_tac2"/>
      <sheetName val="Measure_13062"/>
      <sheetName val="Cước_VC_+_ĐM_CP_Tư_vấn2"/>
      <sheetName val="Hệ_số2"/>
      <sheetName val="DETAIL_1"/>
      <sheetName val="GV1-D13_(Casement_door)2"/>
      <sheetName val="final_list_20052"/>
      <sheetName val="LV_data1"/>
      <sheetName val="Gia_vat_tu1"/>
      <sheetName val="CẤP_THOÁT_NƯỚC2"/>
      <sheetName val="TH_MTC1"/>
      <sheetName val="TH_N_Cong1"/>
      <sheetName val="THDT_goi_thau_TB2"/>
      <sheetName val="Tien_do_TV2"/>
      <sheetName val="Harga_ME_2"/>
      <sheetName val="Analisa_Gabungan2"/>
      <sheetName val="_Bill_5-Earthing_2_-_Add_Works1"/>
      <sheetName val="bridge_#_12"/>
      <sheetName val="Isolasi_Luar_Dalam2"/>
      <sheetName val="Isolasi_Luar2"/>
      <sheetName val="KL_san_lap1"/>
      <sheetName val="Chi_tiet1"/>
      <sheetName val="Chenh_lech_ca_may1"/>
      <sheetName val="TLg_CN&amp;Laixe1"/>
      <sheetName val="TLg_CN&amp;Laixe_(2)1"/>
      <sheetName val="TLg_Laitau1"/>
      <sheetName val="TLg_Laitau_(2)1"/>
      <sheetName val="Bang_3_Chi_tiet_phan_Dz1"/>
      <sheetName val="KHOI_LUONG1"/>
      <sheetName val="Equipment_list_(PAC)1"/>
      <sheetName val="TINH_KHOI_LUONG1"/>
      <sheetName val="DATA_BASE1"/>
      <sheetName val="BẢNG_KHỐI_LƯỢNG_TỔNG_HỢP1"/>
      <sheetName val="Buy_vs__Lease_Car2"/>
      <sheetName val="CP_Khac_cuoc_VC1"/>
      <sheetName val="Budget_Code1"/>
      <sheetName val="CTKL_KTX_HT1"/>
      <sheetName val="HVAC_BLOCK_B41"/>
      <sheetName val="PRE_(E)1"/>
      <sheetName val="2_Chiet_tinh1"/>
      <sheetName val="subcon_sched1"/>
      <sheetName val="NHÀ_NHẬP_LIỆU1"/>
      <sheetName val="MÓNG_SILO1"/>
      <sheetName val="Tong_du_toan1"/>
      <sheetName val="Bill_2_-_ketcau1"/>
      <sheetName val="Chi_tiet_lan_can1"/>
      <sheetName val="13-Cốt_thép_(10mm&lt;D≤18mm)_FO161"/>
      <sheetName val="du_lieu_du_toan1"/>
      <sheetName val="BOQ_THAN1"/>
      <sheetName val="DL_ĐẦU_VÀO1"/>
      <sheetName val="NSA_fr_Revit1"/>
      <sheetName val="Scorp_of_Work1"/>
      <sheetName val="CPC_2T1"/>
      <sheetName val="TH_(Daikin)1"/>
      <sheetName val="_BILL_2_1_E-ELV-THO1"/>
      <sheetName val="_BILL_2_2_E-ELV-HT1"/>
      <sheetName val="CT_tu_EDHP1"/>
      <sheetName val="BIIL_3_1_PS-THO1"/>
      <sheetName val="BIIL_3_1_PS-HT1"/>
      <sheetName val="BILL_4_ACMV-THO_1"/>
      <sheetName val="BILL_4_ACMV-HT_1"/>
      <sheetName val="_BILL_5_FA-FA_-_THO__1"/>
      <sheetName val="_BILL_5_FA-FA_-_HT__1"/>
      <sheetName val="Gia_tudien1"/>
      <sheetName val="Code_NC1"/>
      <sheetName val="TH_(Toshiba)1"/>
      <sheetName val="BILL_4_ACMV-HT__(Toshiba)1"/>
      <sheetName val="Hao_hut,_CK1"/>
      <sheetName val="TH_CPTC1"/>
      <sheetName val="CT_gio_m21"/>
      <sheetName val="DMVL,_CK1"/>
      <sheetName val="Sum_material1"/>
      <sheetName val="Ree_Hvac-Condotel1"/>
      <sheetName val="Sigma_HVAC-Condotel1"/>
      <sheetName val="Techgel_Condotel_-_HVAC1"/>
      <sheetName val="Unicon_Condotel_-_HVAC1"/>
      <sheetName val="Ree_P&amp;D-Condotel1"/>
      <sheetName val="Sigma_CTN-CONDOTEL1"/>
      <sheetName val="Techgel_Condotel_-_CTN1"/>
      <sheetName val="Unicon__Condotel_-_CTN1"/>
      <sheetName val="KL_LĐ-_CÁP_ĐIỆN1"/>
      <sheetName val="KL_LĐ-BUSWAY1"/>
      <sheetName val="KL_LĐ-TỦ_ĐIỆN1"/>
      <sheetName val="Data-Lắp_đèn,_ổ_cắm_căn_hộ1"/>
      <sheetName val="GTTT_PL_021"/>
      <sheetName val="GTTT_PL21"/>
      <sheetName val="KL_LĐ_CS_SỰ_CỐ_(k_in)1"/>
      <sheetName val="KL_LĐ_TỦ_ĐIỆN_(k_in)1"/>
      <sheetName val="KL_TỦ_ĐIỆN_MSB1"/>
      <sheetName val="KL_LĐ_CÁP_ĐIỆN1"/>
      <sheetName val="KL_LĐ-_BUSWAY1"/>
      <sheetName val="KL_LĐ-_PHẦN_HẦM,_KHỐI_ĐẾ,_HL1"/>
      <sheetName val="KL-HÀNH_LANG1"/>
      <sheetName val="KL-Lap_dat-M_(k_in)1"/>
      <sheetName val="KL-TEST-M_(k_in)1"/>
      <sheetName val="KL-Lap_dat-D1"/>
      <sheetName val="Check_list_tháp_D_(k_in)1"/>
      <sheetName val="Check_list_tháp_M(k_in)1"/>
      <sheetName val="đối_soát_vật_tư1"/>
      <sheetName val="Main_Cable_1"/>
      <sheetName val="MTO_REV_2(ARMOR)"/>
      <sheetName val="07_2019_HC"/>
      <sheetName val="NHAN_SU_CAC_CONG_TRINH"/>
      <sheetName val="BANG_CHAM_CONG_VAN_PHONG"/>
      <sheetName val="CHAM_CONG_TRUC_VE_SINH"/>
      <sheetName val="TÍNH_TOÁN_KHỐI_LƯỢNG_P6"/>
      <sheetName val="Dầm_-4_7m"/>
      <sheetName val="Scheme_B_Estimate_"/>
      <sheetName val="Bang_TH"/>
      <sheetName val="CONSOIDATE_4"/>
      <sheetName val="CONSOIDATE_2"/>
      <sheetName val="Tổng kê"/>
      <sheetName val="9Ԁ_x0000_缀"/>
      <sheetName val="품ꢀ᠞_x0000_"/>
      <sheetName val="품_x0002__x0000_莨"/>
      <sheetName val="품밽 ဠ"/>
      <sheetName val="품밽V⇠"/>
      <sheetName val="CONTENTS"/>
      <sheetName val="Appendix I(KBC2009_W)"/>
      <sheetName val="Appendix II(KBC2009_E)"/>
      <sheetName val="Appendix III"/>
      <sheetName val="Tenants"/>
      <sheetName val="POL6차¤_x0000_Ԁ_x0000_耀顔ḯ"/>
      <sheetName val="수량산출Ü"/>
      <sheetName val="tifico"/>
      <sheetName val="예총"/>
      <sheetName val="Breakdown (B)"/>
      <sheetName val="Bill2-Sum-A"/>
      <sheetName val="Bill4-Sum-A"/>
      <sheetName val="Bill5-Sum-A"/>
      <sheetName val="THKL"/>
      <sheetName val="Items"/>
      <sheetName val="MEP Detail"/>
      <sheetName val="BMS"/>
      <sheetName val="Don_gia4"/>
      <sheetName val="TINH_GIA_-_SAN_XUAT_Vertico"/>
      <sheetName val="C_A02_-_Confirmations"/>
      <sheetName val="3-PTDGT8_"/>
      <sheetName val="4-PTDG_(T2)"/>
      <sheetName val="4-PTDG_(T1)"/>
      <sheetName val="Thuc thanh"/>
      <sheetName val="ABB_Trans"/>
      <sheetName val="Main Feeder"/>
      <sheetName val="Capacitor"/>
      <sheetName val="Input_Data-1"/>
      <sheetName val="PE Wire"/>
      <sheetName val="XLPE_Cable"/>
      <sheetName val="Sheet"/>
      <sheetName val="TH"/>
      <sheetName val="ELETRICAL"/>
      <sheetName val="ELV"/>
      <sheetName val="PL"/>
      <sheetName val="HVAC"/>
      <sheetName val="FP"/>
      <sheetName val="CP QLDA"/>
      <sheetName val="CE"/>
      <sheetName val="Chi phi khac 4.3KH-CP"/>
      <sheetName val="PIPE"/>
      <sheetName val="items left"/>
      <sheetName val="B.1 - CT PVQTTC"/>
      <sheetName val="Names"/>
      <sheetName val="hinhhoc"/>
      <sheetName val="Luong_Sgn5"/>
      <sheetName val="Temp"/>
      <sheetName val="Luong_Sgn3"/>
      <sheetName val="June"/>
      <sheetName val="BCC"/>
      <sheetName val="B2"/>
      <sheetName val="XXE"/>
      <sheetName val="LUONG"/>
      <sheetName val="B1"/>
      <sheetName val="L1"/>
      <sheetName val="CP_Du_phong"/>
      <sheetName val="THCP_xay_dung"/>
      <sheetName val="Tong_hop_kinh_phi"/>
      <sheetName val="HRG_BHN"/>
      <sheetName val="KLDT_DIEN1"/>
      <sheetName val="Dinh_muc_CP_KTCB_khac1"/>
      <sheetName val="_x0"/>
      <sheetName val="연결분개(거래_Ʉ"/>
      <sheetName val="4_3_Scope_of_work_"/>
      <sheetName val="BOQ-1"/>
      <sheetName val="SGC-Rate"/>
      <sheetName val="HS"/>
      <sheetName val="Personnel"/>
      <sheetName val="외천교"/>
      <sheetName val="시행후면적"/>
      <sheetName val="1공구_x0005_"/>
      <sheetName val="1_x0002_"/>
      <sheetName val="예산대비"/>
      <sheetName val="동원(ꀐ⹰"/>
      <sheetName val="도장수량ꀃ灰0_x0000_"/>
      <sheetName val="도장수량　辌䒓_x0000_"/>
      <sheetName val="도장수량䠏霳䠀댊"/>
      <sheetName val="동원(젬漶"/>
      <sheetName val="도장수량ꀏ/_x0000_"/>
      <sheetName val="전체수퀀䳘ࡣ"/>
      <sheetName val="전체수退觭绸"/>
      <sheetName val="전체수ࠢ㘸저"/>
      <sheetName val="도장수량栦㚊ࠀż"/>
      <sheetName val="도장수량树ྊ瀁_xdaf0_"/>
      <sheetName val="도장수량_x0000_⾒ꑂ_x0000_"/>
      <sheetName val="도장수량뀀쾑譍_x0000_"/>
      <sheetName val="도장수량ꀏ/_x0000_"/>
      <sheetName val="도장수량ꀂ/_x0000_"/>
      <sheetName val="도장수량蠐䠀쨓"/>
      <sheetName val="도장수량ꀍ葰0_x0000_"/>
      <sheetName val="동원(ꀂ葰"/>
      <sheetName val="도장수량⠲來倀⁏"/>
      <sheetName val="도장수량䠌輶栀＂"/>
      <sheetName val="도장수량⠐辈ך"/>
      <sheetName val="도장수량䠒輶瀀㬎"/>
      <sheetName val="도장수량켴瀀膧"/>
      <sheetName val="동원(᠘碌"/>
      <sheetName val="도장수량ꀊ豰/_x0000_"/>
      <sheetName val="동원(뎆"/>
      <sheetName val="동원(ꀉ镰"/>
      <sheetName val="동원(ꀢ镰"/>
      <sheetName val="도장수량堑鬸ꠀ鷗"/>
      <sheetName val="도장수량ꀎ祰0_x0000_"/>
      <sheetName val="동원(ࠕྊ"/>
      <sheetName val="도장수량ꀇ띰/_x0000_"/>
      <sheetName val="상행-교대(A1-A횸ʉ"/>
      <sheetName val="동원(_x0000_脀"/>
      <sheetName val="중기사용료목록"/>
      <sheetName val="허용지지력"/>
      <sheetName val="도장수량ꀂⅰ0_x0000_"/>
      <sheetName val="도장수량堐圹俐"/>
      <sheetName val="도장수량ꠖྋ적漭"/>
      <sheetName val="도장수량頚霹耀֓"/>
      <sheetName val="동원(ꀁɰ"/>
      <sheetName val="도장수량ꀈ买0_x0000_"/>
      <sheetName val="도장수량ꀍ䩰0_x0000_"/>
      <sheetName val="동원(ꀈ齰"/>
      <sheetName val="동원(ꀍ핰"/>
      <sheetName val="도장수량錷ꠀﷷ"/>
      <sheetName val="동원(栙ﴹ"/>
      <sheetName val="동원(⠖鸷"/>
      <sheetName val="도장수량蠐栀፩"/>
      <sheetName val="도장수량렒_x0000_ᙀ"/>
      <sheetName val="도장수량ꀂ/_x0000_"/>
      <sheetName val="도장수량ꀑŰ0_x0000_"/>
      <sheetName val="동원(_xd816_ྉ"/>
      <sheetName val="동원(༷"/>
      <sheetName val="동원(ࠛ_xdb89_"/>
      <sheetName val="동원(ᔂ㳪"/>
      <sheetName val="동원(㠙侉"/>
      <sheetName val="도장수량ꀁ齰/_x0000_"/>
      <sheetName val="동원(ꀁ齰"/>
      <sheetName val="동원(ꀑ獰"/>
      <sheetName val="산출2-기_x0000_ጚȿ"/>
      <sheetName val="허용전류-IEC_DA读ꀎ"/>
      <sheetName val="골재산출"/>
      <sheetName val="1공구산출내역낳"/>
      <sheetName val="2F 회의실견적(5_1"/>
      <sheetName val="기존단가 (2)"/>
      <sheetName val="문의೶콃"/>
      <sheetName val="?"/>
      <sheetName val="12"/>
      <sheetName val="30"/>
      <sheetName val="31"/>
      <sheetName val="32"/>
      <sheetName val="33"/>
      <sheetName val="34"/>
      <sheetName val="60"/>
      <sheetName val="61"/>
      <sheetName val="62"/>
      <sheetName val="63"/>
      <sheetName val="80"/>
      <sheetName val="81"/>
      <sheetName val="82"/>
      <sheetName val="90"/>
      <sheetName val="91"/>
      <sheetName val="92"/>
      <sheetName val="100"/>
      <sheetName val="ㄱ1"/>
      <sheetName val="ㄴ"/>
      <sheetName val="ㄷ"/>
      <sheetName val="ㄹ"/>
      <sheetName val="ㅁ"/>
      <sheetName val="71"/>
      <sheetName val="woo_x0000__x0000__x0000__x0000_Ⳁ"/>
      <sheetName val="tggwan(_x0000__x0000__x0005__x0000_"/>
      <sheetName val="woo_x0000__x0000__x0005__x0000_"/>
      <sheetName val="woo_x0000__x0000__x0005__x0000_푰"/>
      <sheetName val="woo_x0000__x0000__x0005__x0000_"/>
      <sheetName val="tggwan(ၒ_x0000__x0000__x0000_"/>
      <sheetName val="일ꗝ1푘"/>
      <sheetName val="일Ȍ_x0000_釈"/>
      <sheetName val="1차분계약내역"/>
      <sheetName val="1차분계약내역ɡ"/>
      <sheetName val="1차분계약내역"/>
      <sheetName val="woo"/>
      <sheetName val="tggwan("/>
      <sheetName val="제출내"/>
      <sheetName val="pier(각형)"/>
      <sheetName val="기초입력 DATA"/>
      <sheetName val="L형옹벽"/>
      <sheetName val="산#3-"/>
      <sheetName val="수문일위1"/>
      <sheetName val="04변경-상하朌"/>
      <sheetName val="총사업비검토 총괄"/>
      <sheetName val="예정(l쐀"/>
      <sheetName val="예정(l᠀"/>
      <sheetName val="Eq. Mobilization"/>
      <sheetName val="직노"/>
      <sheetName val="101동"/>
      <sheetName val="220 (2)"/>
      <sheetName val="내역(가지)"/>
      <sheetName val="계획금액"/>
      <sheetName val="1 자원총괄"/>
      <sheetName val="대공종"/>
      <sheetName val="통계연보"/>
      <sheetName val="연습"/>
      <sheetName val="HW일위"/>
      <sheetName val="2.펌프장(사급자재)"/>
      <sheetName val="102역사"/>
      <sheetName val="코드표"/>
      <sheetName val="01AC"/>
      <sheetName val="현장"/>
      <sheetName val="Indirect Cost"/>
      <sheetName val="골조"/>
      <sheetName val="RE9604"/>
      <sheetName val="총공사비"/>
      <sheetName val="시화점실행"/>
      <sheetName val="Resource2"/>
      <sheetName val="재료비내역서"/>
      <sheetName val="콘크리트타설집계표"/>
      <sheetName val="98지급계획"/>
      <sheetName val="토공내역"/>
      <sheetName val="95년12월말"/>
      <sheetName val="cost"/>
      <sheetName val="일위"/>
      <sheetName val="산출"/>
      <sheetName val="견적율"/>
      <sheetName val="교수설계"/>
      <sheetName val="처리현황"/>
      <sheetName val="96정변2"/>
      <sheetName val="부자재 적용비율"/>
      <sheetName val="최초 bpm"/>
      <sheetName val="데리네이타현황"/>
      <sheetName val="실행_1_"/>
      <sheetName val="고등학교"/>
      <sheetName val="예산M11A"/>
      <sheetName val="인천제철"/>
      <sheetName val="Customer Databas"/>
      <sheetName val="주요기준"/>
      <sheetName val="설계예산서"/>
      <sheetName val="#3_일위대가목록"/>
      <sheetName val="지질조사"/>
      <sheetName val="약품공급2"/>
      <sheetName val="인공산출"/>
      <sheetName val="1Month+Sheet2!"/>
      <sheetName val="공기압축기실"/>
      <sheetName val="적점"/>
      <sheetName val="공사진행"/>
      <sheetName val="집 계 표"/>
      <sheetName val="제경비율"/>
      <sheetName val="추가예산"/>
      <sheetName val="b_balju"/>
      <sheetName val="1회"/>
      <sheetName val="CABLE DATA"/>
      <sheetName val="5회토적"/>
      <sheetName val="현장관리비참조"/>
      <sheetName val="동원(堐娵"/>
      <sheetName val="동원(ꀈ牰"/>
      <sheetName val="도장수량ꀈ酰/_x0000_"/>
      <sheetName val="동원(ꀂ酰"/>
      <sheetName val="도장수량᠑ᔴခ"/>
      <sheetName val="도장수량䠕㌺蠁㨿"/>
      <sheetName val="동원(뤳"/>
      <sheetName val="EP0618"/>
      <sheetName val="1차분증̅"/>
      <sheetName val="5.(강릉1구간)K4-선금공제"/>
      <sheetName val="원가계산서(1공구)"/>
      <sheetName val="부대"/>
      <sheetName val="현장관리비_"/>
      <sheetName val="도급,하도급 예정금액"/>
      <sheetName val="허용전류_IEC DM鐀"/>
      <sheetName val="전체수ḱ텭_"/>
      <sheetName val="전체수ḱ푭_"/>
      <sheetName val="전체수량_"/>
      <sheetName val="도장수량猀ﱭ_"/>
      <sheetName val="도장수猱ﱭ_"/>
      <sheetName val="도장수량쌀䄅_"/>
      <sheetName val="도장수량쌈㈅_"/>
      <sheetName val="도장수량쌀㈅_"/>
      <sheetName val="도장수량퀂_xde70__"/>
      <sheetName val="동원(_"/>
      <sheetName val="도장수량츆鱪_"/>
      <sheetName val="도장수량츂鑪_"/>
      <sheetName val="도장수량_xdf68__"/>
      <sheetName val="门窗"/>
      <sheetName val="FAB"/>
      <sheetName val="unit 4"/>
      <sheetName val="FANDBS"/>
      <sheetName val="GRDATA"/>
      <sheetName val="SHAFTDBSE"/>
      <sheetName val="대비표"/>
      <sheetName val="BM_LIST(2)"/>
      <sheetName val="공통토목건축"/>
      <sheetName val="G2건축도급"/>
      <sheetName val="검토갑"/>
      <sheetName val="내역집계 "/>
      <sheetName val="PriceSummary"/>
      <sheetName val="가시설공사"/>
      <sheetName val="여과椂忶"/>
      <sheetName val="구ԯ_x0000_缀"/>
      <sheetName val="1차분계약내역_x0000_"/>
      <sheetName val="1공구산출내역_x0000_"/>
      <sheetName val="설비집계"/>
      <sheetName val="SAKUB"/>
      <sheetName val="TYÞ᐀z_x0000_"/>
      <sheetName val="덕전리"/>
      <sheetName val="TIE-IN"/>
      <sheetName val="기본사항"/>
      <sheetName val="공통비(전체₼"/>
      <sheetName val="당_x0000_"/>
      <sheetName val="1차분계약내역ﱻ"/>
      <sheetName val="산출2-기ꙭÓ_x0000_"/>
      <sheetName val="산출2-기_x0000__x0000_"/>
      <sheetName val="산출2-기㳜Ç"/>
      <sheetName val="산출2-기ꙭy_x0000_"/>
      <sheetName val="산출2-기ꙭ_x0000_"/>
      <sheetName val="산출2-기䃬s"/>
      <sheetName val="산출2-기ꙭ"/>
      <sheetName val="산출2-기ꙭ"/>
      <sheetName val="산출2-기㻌"/>
      <sheetName val="산출2-기鄐䚏"/>
      <sheetName val="산출2-기鄐䚏è"/>
      <sheetName val="산출2-기辰໰_x000a_"/>
      <sheetName val="산출2-기辰໰"/>
      <sheetName val="산출2-기跰鷺Ó"/>
      <sheetName val="산출2-기_x0000__x0000__x0005_"/>
      <sheetName val="산출2-기鏐欯§"/>
      <sheetName val="산출2-기豐ኰ§"/>
      <sheetName val="1공구"/>
      <sheetName val="수량산출Ü䰀"/>
      <sheetName val="문의_x0018__x0000_"/>
      <sheetName val="문의_x0018_簀"/>
      <sheetName val="도장수량က_x0000_蠀슱"/>
      <sheetName val="도장수량ꀉ끰/_x0000_"/>
      <sheetName val="도장수량ꀂ끰/_x0000_"/>
      <sheetName val="도장수량_xd814_輷倀ⴈ"/>
      <sheetName val="동원(렚辉"/>
      <sheetName val="도장수량ꀂ푰/_x0000_"/>
      <sheetName val="동원(ꀈ데"/>
      <sheetName val="수목표준_x0000_͐"/>
      <sheetName val="재고AR"/>
      <sheetName val="동원(ꀑ剰"/>
      <sheetName val="Joinery works"/>
      <sheetName val="COST-EST LTI P5C"/>
      <sheetName val="GENERAL REQUIREMENTS"/>
      <sheetName val="Parem"/>
      <sheetName val="barchart"/>
      <sheetName val="Du_toan4"/>
      <sheetName val="A1_CN3"/>
      <sheetName val="RAB_AR&amp;STR5"/>
      <sheetName val="Bang_KL4"/>
      <sheetName val="TONG_HOP_VL-NC4"/>
      <sheetName val="M1-XL-1b_KLthep2"/>
      <sheetName val="KLDT_DIEN2"/>
      <sheetName val="Dinh_muc_CP_KTCB_khac2"/>
      <sheetName val="Bảng_KLHT1"/>
      <sheetName val="RC_WORK1"/>
      <sheetName val="M2__FIRE_FIGHTING_SYSTEM_V11"/>
      <sheetName val="M3__FIRE_ALARM_SYSTEM_V11"/>
      <sheetName val="SCOPE_OF_WORK1"/>
      <sheetName val="Sàn_T11"/>
      <sheetName val="Lỗ_thông_gió1"/>
      <sheetName val="Electrical_Works1"/>
      <sheetName val="H_T__INCOMING_SYSTEM1"/>
      <sheetName val="UNIT_PRICE2"/>
      <sheetName val="NSA_fr_Revit2"/>
      <sheetName val="PU_ITALY_7"/>
      <sheetName val="TH_DZ357"/>
      <sheetName val="Tro_giup7"/>
      <sheetName val="DON_GIA_TRAM_(3)5"/>
      <sheetName val="chi_tiet_TBA5"/>
      <sheetName val="chi_tiet_C5"/>
      <sheetName val="DON_GIA_CAN_THO7"/>
      <sheetName val="Customize_Your_Purchase_Order5"/>
      <sheetName val="CHITIET_VL-NC-TT_-1p5"/>
      <sheetName val="CHITIET_VL-NC-TT-3p4"/>
      <sheetName val="TONG_HOP_VL-NC_TT5"/>
      <sheetName val="KPVC-BD_5"/>
      <sheetName val="HĐ_ngoài4"/>
      <sheetName val="XT_Buoc_34"/>
      <sheetName val="dongia_(2)4"/>
      <sheetName val="7606_DZ5"/>
      <sheetName val="Don_gia_chi_tiet5"/>
      <sheetName val="project_management4"/>
      <sheetName val="Adix_A4"/>
      <sheetName val="S-curve_4"/>
      <sheetName val="REINF_4"/>
      <sheetName val="Rates_20094"/>
      <sheetName val="So_doi_chieu_LC4"/>
      <sheetName val="MAIN_GATE_HOUSE4"/>
      <sheetName val="Commercial_value4"/>
      <sheetName val="Ky_Lam_Bridge4"/>
      <sheetName val="Provisional_Sums_Item4"/>
      <sheetName val="Gas_Pressure_Welding4"/>
      <sheetName val="General_Item&amp;General_Requireme4"/>
      <sheetName val="General_Items4"/>
      <sheetName val="Regenral_Requirements4"/>
      <sheetName val="chiet_tinh4"/>
      <sheetName val="Ng_hàng_xà+bulong4"/>
      <sheetName val="MH_RATE4"/>
      <sheetName val="DM_60613"/>
      <sheetName val="DG_thep_ma_kem3"/>
      <sheetName val="Lcau_-_Lxuc4"/>
      <sheetName val="CT_vat_lieu3"/>
      <sheetName val="Equip_3"/>
      <sheetName val="Đầu_vào3"/>
      <sheetName val="Chi_tiet_XD_TBA3"/>
      <sheetName val="Trạm_biến_áp3"/>
      <sheetName val="Đơn_Giá_3"/>
      <sheetName val="CT-0_4KV3"/>
      <sheetName val="Chenh_lech_vat_tu3"/>
      <sheetName val="Diện_tích3"/>
      <sheetName val="1_Khái_toán3"/>
      <sheetName val="TONG_HOP_T5_19983"/>
      <sheetName val="KL_Chi_tiết_Xây_tô3"/>
      <sheetName val="DG_DZ3"/>
      <sheetName val="DG_TBA3"/>
      <sheetName val="07Base_Cost3"/>
      <sheetName val="rate_material3"/>
      <sheetName val="Chi_tiet_KL3"/>
      <sheetName val="Tổng_hợp_KL3"/>
      <sheetName val="Xay_lapduongR33"/>
      <sheetName val="04_-_XUONG_DET_B3"/>
      <sheetName val="Bill_1_Quy_dinh_chung3"/>
      <sheetName val="1_R18_BF3"/>
      <sheetName val="6_External_works-R183"/>
      <sheetName val="Phan_khai_KLuong3"/>
      <sheetName val="_033"/>
      <sheetName val="chieu_day_san3"/>
      <sheetName val="Podium_Concrete_Works3"/>
      <sheetName val="KLCT-_TOWER3"/>
      <sheetName val="KLCT-_PODIUM3"/>
      <sheetName val="Gia_thanh_chuoi_su3"/>
      <sheetName val="Tiep_dia3"/>
      <sheetName val="Don_gia_vung_III-Can_Tho3"/>
      <sheetName val="Area_Cal3"/>
      <sheetName val="Elect_(3)3"/>
      <sheetName val="Bond_수수료_계산_포맷3"/>
      <sheetName val="PAGE_13"/>
      <sheetName val="EIRR&gt;_23"/>
      <sheetName val="DM_673"/>
      <sheetName val="Đầu_tư3"/>
      <sheetName val="Project_Data3"/>
      <sheetName val="Data_Input3"/>
      <sheetName val="6787CWFASE2CASE2_00_xls3"/>
      <sheetName val="Bill_02_-_Xay_gach-Pou_3"/>
      <sheetName val="Bill_03-Chống_thấm-Pou3"/>
      <sheetName val="Bill_04-Kim_loại-Pou3"/>
      <sheetName val="Bill_05_-_Hoan_thien-Pou_3"/>
      <sheetName val="Bill_02_-_Xay_gach-Tower3"/>
      <sheetName val="Bill_03-Chống_thấm-Tower3"/>
      <sheetName val="Bill_04-Kim_loại-Tower3"/>
      <sheetName val="Bill_05_-_Hoan_thien-Tower3"/>
      <sheetName val="KL-_KHAC3"/>
      <sheetName val="BILL_3_-_KẾT_CẤU_HẦM3"/>
      <sheetName val="PTĐG_LTBT3"/>
      <sheetName val="CTG-PRECHEx1_43"/>
      <sheetName val="CTG-AB_(2)3"/>
      <sheetName val="CTG-AB_(3)3"/>
      <sheetName val="CTG-PLP-1_083"/>
      <sheetName val="Pre_Đội_nhóm3"/>
      <sheetName val="Vat_tu_XD3"/>
      <sheetName val="Tower_-_Concrete_Works3"/>
      <sheetName val="Bill-04_ket_cau_thap-_UNI3"/>
      <sheetName val="Loại_Vật_tư3"/>
      <sheetName val="TH_Vat_tu3"/>
      <sheetName val="dg_tphcm3"/>
      <sheetName val="T_KÊ_K_CẤU3"/>
      <sheetName val="Bill_01_-_CTN3"/>
      <sheetName val="Bill_2_2_Villa_2_beds3"/>
      <sheetName val="4_PTDG3"/>
      <sheetName val="A1,_May3"/>
      <sheetName val="Vat_lieu3"/>
      <sheetName val="Bang_trong_luong_rieng_thep3"/>
      <sheetName val="HÐ_ngoài4"/>
      <sheetName val="gia_cong_tac3"/>
      <sheetName val="Measure_13063"/>
      <sheetName val="Cước_VC_+_ĐM_CP_Tư_vấn3"/>
      <sheetName val="Hệ_số3"/>
      <sheetName val="DETAIL_2"/>
      <sheetName val="GV1-D13_(Casement_door)3"/>
      <sheetName val="final_list_20053"/>
      <sheetName val="LV_data2"/>
      <sheetName val="ESTI_2"/>
      <sheetName val="Gia_vat_tu2"/>
      <sheetName val="CẤP_THOÁT_NƯỚC3"/>
      <sheetName val="TH_MTC2"/>
      <sheetName val="TH_N_Cong2"/>
      <sheetName val="THDT_goi_thau_TB3"/>
      <sheetName val="Tien_do_TV3"/>
      <sheetName val="Harga_ME_3"/>
      <sheetName val="Analisa_Gabungan3"/>
      <sheetName val="_Bill_5-Earthing_2_-_Add_Works2"/>
      <sheetName val="bridge_#_13"/>
      <sheetName val="Isolasi_Luar_Dalam3"/>
      <sheetName val="Isolasi_Luar3"/>
      <sheetName val="KL_san_lap2"/>
      <sheetName val="Chi_tiet2"/>
      <sheetName val="Chenh_lech_ca_may2"/>
      <sheetName val="TLg_CN&amp;Laixe2"/>
      <sheetName val="TLg_CN&amp;Laixe_(2)2"/>
      <sheetName val="TLg_Laitau2"/>
      <sheetName val="TLg_Laitau_(2)2"/>
      <sheetName val="Bang_3_Chi_tiet_phan_Dz2"/>
      <sheetName val="KHOI_LUONG2"/>
      <sheetName val="Equipment_list_(PAC)2"/>
      <sheetName val="TINH_KHOI_LUONG2"/>
      <sheetName val="DATA_BASE2"/>
      <sheetName val="BẢNG_KHỐI_LƯỢNG_TỔNG_HỢP2"/>
      <sheetName val="Buy_vs__Lease_Car3"/>
      <sheetName val="CP_Khac_cuoc_VC2"/>
      <sheetName val="Budget_Code2"/>
      <sheetName val="CTKL_KTX_HT2"/>
      <sheetName val="HVAC_BLOCK_B42"/>
      <sheetName val="PRE_(E)2"/>
      <sheetName val="2_Chiet_tinh2"/>
      <sheetName val="subcon_sched2"/>
      <sheetName val="NHÀ_NHẬP_LIỆU2"/>
      <sheetName val="MÓNG_SILO2"/>
      <sheetName val="Tong_du_toan2"/>
      <sheetName val="Bill_2_-_ketcau2"/>
      <sheetName val="Chi_tiet_lan_can2"/>
      <sheetName val="13-Cốt_thép_(10mm&lt;D≤18mm)_FO162"/>
      <sheetName val="du_lieu_du_toan2"/>
      <sheetName val="BOQ_THAN2"/>
      <sheetName val="DL_ĐẦU_VÀO2"/>
      <sheetName val="KL_LĐ-_CÁP_ĐIỆN2"/>
      <sheetName val="KL_LĐ-BUSWAY2"/>
      <sheetName val="KL_LĐ-TỦ_ĐIỆN2"/>
      <sheetName val="Data-Lắp_đèn,_ổ_cắm_căn_hộ2"/>
      <sheetName val="GTTT_PL_022"/>
      <sheetName val="GTTT_PL22"/>
      <sheetName val="KL_LĐ_CS_SỰ_CỐ_(k_in)2"/>
      <sheetName val="KL_LĐ_TỦ_ĐIỆN_(k_in)2"/>
      <sheetName val="KL_TỦ_ĐIỆN_MSB2"/>
      <sheetName val="KL_LĐ_CÁP_ĐIỆN2"/>
      <sheetName val="KL_LĐ-_BUSWAY2"/>
      <sheetName val="KL_LĐ-_PHẦN_HẦM,_KHỐI_ĐẾ,_HL2"/>
      <sheetName val="KL-HÀNH_LANG2"/>
      <sheetName val="KL-Lap_dat-M_(k_in)2"/>
      <sheetName val="KL-TEST-M_(k_in)2"/>
      <sheetName val="KL-Lap_dat-D2"/>
      <sheetName val="Check_list_tháp_D_(k_in)2"/>
      <sheetName val="Check_list_tháp_M(k_in)2"/>
      <sheetName val="đối_soát_vật_tư2"/>
      <sheetName val="Main_Cable_2"/>
      <sheetName val="Scorp_of_Work2"/>
      <sheetName val="CPC_2T2"/>
      <sheetName val="TH_(Daikin)2"/>
      <sheetName val="_BILL_2_1_E-ELV-THO2"/>
      <sheetName val="_BILL_2_2_E-ELV-HT2"/>
      <sheetName val="CT_tu_EDHP2"/>
      <sheetName val="BIIL_3_1_PS-THO2"/>
      <sheetName val="BIIL_3_1_PS-HT2"/>
      <sheetName val="BILL_4_ACMV-THO_2"/>
      <sheetName val="BILL_4_ACMV-HT_2"/>
      <sheetName val="_BILL_5_FA-FA_-_THO__2"/>
      <sheetName val="_BILL_5_FA-FA_-_HT__2"/>
      <sheetName val="Gia_tudien2"/>
      <sheetName val="Code_NC2"/>
      <sheetName val="TH_(Toshiba)2"/>
      <sheetName val="BILL_4_ACMV-HT__(Toshiba)2"/>
      <sheetName val="Hao_hut,_CK2"/>
      <sheetName val="TH_CPTC2"/>
      <sheetName val="CT_gio_m22"/>
      <sheetName val="DMVL,_CK2"/>
      <sheetName val="Sum_material2"/>
      <sheetName val="Ree_Hvac-Condotel2"/>
      <sheetName val="Sigma_HVAC-Condotel2"/>
      <sheetName val="Techgel_Condotel_-_HVAC2"/>
      <sheetName val="Unicon_Condotel_-_HVAC2"/>
      <sheetName val="Ree_P&amp;D-Condotel2"/>
      <sheetName val="Sigma_CTN-CONDOTEL2"/>
      <sheetName val="Techgel_Condotel_-_CTN2"/>
      <sheetName val="Unicon__Condotel_-_CTN2"/>
      <sheetName val="MTO_REV_2(ARMOR)1"/>
      <sheetName val="07_2019_HC1"/>
      <sheetName val="NHAN_SU_CAC_CONG_TRINH1"/>
      <sheetName val="BANG_CHAM_CONG_VAN_PHONG1"/>
      <sheetName val="CHAM_CONG_TRUC_VE_SINH1"/>
      <sheetName val="TÍNH_TOÁN_KHỐI_LƯỢNG_P61"/>
      <sheetName val="Dầm_-4_7m1"/>
      <sheetName val="Scheme_B_Estimate_1"/>
      <sheetName val="Bang_TH1"/>
      <sheetName val="TINH_GIA_-_SAN_XUAT_Vertico1"/>
      <sheetName val="CONSOIDATE_41"/>
      <sheetName val="CONSOIDATE_21"/>
      <sheetName val="NET_ALL_(M)"/>
      <sheetName val="C_A02_-_Confirmations1"/>
      <sheetName val="3-PTDGT8_1"/>
      <sheetName val="4-PTDG_(T2)1"/>
      <sheetName val="4-PTDG_(T1)1"/>
      <sheetName val="HRG_BHN1"/>
      <sheetName val="Slim_2_cánh_&amp;_2_vách"/>
      <sheetName val="dtct_cong"/>
      <sheetName val="Breakdown_(B)"/>
      <sheetName val="CP_Du_phong1"/>
      <sheetName val="THCP_xay_dung1"/>
      <sheetName val="Tong_hop_kinh_phi1"/>
      <sheetName val="phân_tích_hiệu_quả"/>
      <sheetName val="Tổng_kê"/>
      <sheetName val="연결분개(거래_Ʉ1"/>
      <sheetName val="4_3_Scope_of_work_1"/>
      <sheetName val="B3A_-_TOWER_A"/>
      <sheetName val="MEP_Detail"/>
      <sheetName val="Thuc_thanh"/>
      <sheetName val="Main_Feeder"/>
      <sheetName val="PE_Wire"/>
      <sheetName val="CP_QLDA"/>
      <sheetName val="B_1_-_CT_PVQTTC"/>
      <sheetName val="Chi_phi_khac_4_3KH-CP"/>
      <sheetName val="items_left"/>
      <sheetName val="Joinery_works"/>
      <sheetName val="RC_fin"/>
      <sheetName val="[EUL_XLS]도장수량쌀䄅/"/>
      <sheetName val="[EUL_XLS]도장수량쌈㈅/"/>
      <sheetName val="[EUL_XLS]도장수량쌀㈅/"/>
      <sheetName val="[EUL_XLS]도장수량퀂/"/>
      <sheetName val="[EUL_XLS]동원(/"/>
      <sheetName val="[EUL_XLS]도장수량츆鱪/"/>
      <sheetName val="[EUL_XLS]도장수량츂鑪/"/>
      <sheetName val="[EUL_XLS]도장수량/"/>
      <sheetName val="[EUL_XLS]도장수猱ﱭ/"/>
      <sheetName val="COST-EST_LTI_P5C"/>
      <sheetName val="pp3p_"/>
      <sheetName val="도장수량ꀃ籰0_x0000_"/>
      <sheetName val="도장수량ࠒ伷_xd800_욒"/>
      <sheetName val="전체내역서"/>
      <sheetName val="1.설계기준"/>
      <sheetName val="산출_xd80d_佋_xd800_斂"/>
      <sheetName val="20䢬"/>
      <sheetName val="대부예산서"/>
      <sheetName val="P.M 별"/>
      <sheetName val="6동"/>
      <sheetName val="동원ე玐刬"/>
      <sheetName val="충聈"/>
      <sheetName val="9Ԁ"/>
      <sheetName val="상행-교대(A1-A_x0000__x0000_"/>
      <sheetName val="40단領།׃⼲"/>
      <sheetName val="40단׃⽼_x0000__x0000_"/>
      <sheetName val="40단_x0010__x0000_㟠၎"/>
      <sheetName val="40단׃⾗_x0000__x0000_"/>
      <sheetName val="Sheet1_(2)7"/>
      <sheetName val="7_1유효폭7"/>
      <sheetName val="방배동내역_(총괄)7"/>
      <sheetName val="물가변동_총괄서7"/>
      <sheetName val="허용전류-IEC_DATA7"/>
      <sheetName val="EQUIP_LIST7"/>
      <sheetName val="본선_토공_분배표7"/>
      <sheetName val="토공_갑지6"/>
      <sheetName val="현장관리비_산출내역7"/>
      <sheetName val="단면_(2)7"/>
      <sheetName val="3_공통공사대비6"/>
      <sheetName val="BOX_본체6"/>
      <sheetName val="각사별공사비분개_6"/>
      <sheetName val="을_26"/>
      <sheetName val="을_16"/>
      <sheetName val="1_취수장6"/>
      <sheetName val="해외_연수비용_계산-삭제6"/>
      <sheetName val="해외_기술훈련비_(합계)6"/>
      <sheetName val="Pier_36"/>
      <sheetName val="3련_BOX6"/>
      <sheetName val="_6"/>
      <sheetName val="6PILE__(돌출)6"/>
      <sheetName val="BOX(1_5X1_5)5"/>
      <sheetName val="장비투입_(2)5"/>
      <sheetName val="2000년_공정표5"/>
      <sheetName val="TYPE_A5"/>
      <sheetName val="1_설계조건5"/>
      <sheetName val="C_&amp;_G_RHS5"/>
      <sheetName val="Man_Hole5"/>
      <sheetName val="1공구_건정토건_토공5"/>
      <sheetName val="내역서_5"/>
      <sheetName val="ITB_COST5"/>
      <sheetName val="BSD_(2)5"/>
      <sheetName val="CATCH_BASIN5"/>
      <sheetName val="입출재고현황_(2)5"/>
      <sheetName val="WEIGHT_LIST5"/>
      <sheetName val="산#2-1_(2)5"/>
      <sheetName val="설산1_나4"/>
      <sheetName val="5_3_단면가정5"/>
      <sheetName val="Process_Piping5"/>
      <sheetName val="1_토공4"/>
      <sheetName val="2차전체변경예정_(2)4"/>
      <sheetName val="자재_집계표4"/>
      <sheetName val="수량산출서_갑지4"/>
      <sheetName val="단가_4"/>
      <sheetName val="일위대가_(PM)4"/>
      <sheetName val="조도계산서_(도서)4"/>
      <sheetName val="2F_회의실견적(5_14_일대)4"/>
      <sheetName val="plan&amp;section_of_foundation4"/>
      <sheetName val="design_criteria4"/>
      <sheetName val="준검_내역서4"/>
      <sheetName val="제출내역_(2)4"/>
      <sheetName val="주공_갑지3"/>
      <sheetName val="SBT_NO_Proj__Controlling_Repor4"/>
      <sheetName val="할증_4"/>
      <sheetName val="Raw_Data4"/>
      <sheetName val="충돌_내용3"/>
      <sheetName val="3BL공동구_수량3"/>
      <sheetName val="PHC파일_천공_및_항타3"/>
      <sheetName val="허용전류_IEC_DATA3"/>
      <sheetName val="5_모델링3"/>
      <sheetName val="하도내역_(철콘)3"/>
      <sheetName val="R_C_RAHMEN_해석3"/>
      <sheetName val="방음벽연장집계-여기까지만_출력3"/>
      <sheetName val="G_R300경비3"/>
      <sheetName val="장비_(2)3"/>
      <sheetName val="118_세금과공과4"/>
      <sheetName val="108_수선비4"/>
      <sheetName val="25_보증금(임차보증금외)4"/>
      <sheetName val="Debt_Service_Schedule4"/>
      <sheetName val="Invested_Capital4"/>
      <sheetName val="Deteriorated_Asset4"/>
      <sheetName val="TRE_TABLE3"/>
      <sheetName val="연결분개(거래_채권채무)_(2)5"/>
      <sheetName val="연결분개(거래_채권채무)5"/>
      <sheetName val="만기_(2)5"/>
      <sheetName val="1_외주공사4"/>
      <sheetName val="2_직영공사4"/>
      <sheetName val="P50_subsequent3"/>
      <sheetName val="Significant_Processes3"/>
      <sheetName val="7__2_3"/>
      <sheetName val="7_(2)3"/>
      <sheetName val="2_23"/>
      <sheetName val="2_2_Yrly_Comparison3"/>
      <sheetName val="5__BSC_Developmt3"/>
      <sheetName val="(참고)개인별_임금인상안3"/>
      <sheetName val="(참고)DC형_선택자_퇴직금_추계3"/>
      <sheetName val="완성차_미수금3"/>
      <sheetName val="3__BSC_NC_ratio3"/>
      <sheetName val="1_변경범위3"/>
      <sheetName val="2_생산성-23"/>
      <sheetName val="Cash_Flows3"/>
      <sheetName val="Inventory_and_Purchases3"/>
      <sheetName val="Assumptions_and_Dashboard3"/>
      <sheetName val="Headcount_Overview3"/>
      <sheetName val="24_보증금(전신전화가입권)3"/>
      <sheetName val="3_판관비명세서3"/>
      <sheetName val="בית_השקעות3"/>
      <sheetName val="9,10월신제품_(2)4"/>
      <sheetName val="시산표_(2)3"/>
      <sheetName val="Package_34"/>
      <sheetName val="low_schedule4"/>
      <sheetName val="cellar_lighting4"/>
      <sheetName val="main_building4"/>
      <sheetName val="auxiliary_building4"/>
      <sheetName val="highbay_lighting4"/>
      <sheetName val="cable_tray4"/>
      <sheetName val="10_단면설계4"/>
      <sheetName val="2~5_단면가정&amp;안정검토4"/>
      <sheetName val="10_1_단면검토4"/>
      <sheetName val="UB_Beam_Box-up3"/>
      <sheetName val="[EUL_XLS][EUL_XLS]전체수ḱ텭/"/>
      <sheetName val="[EUL_XLS][EUL_XLS]전체수ḱ푭/"/>
      <sheetName val="[EUL_XLS][EUL_XLS]전체수량/"/>
      <sheetName val="[EUL_XLS][EUL_XLS]도장수량猀ﱭ/"/>
      <sheetName val="[EUL_XLS][EUL_XLS]도장수猱ﱭ/倀"/>
      <sheetName val="[EUL_XLS][EUL_XLS]도장수량쌀䄅/"/>
      <sheetName val="[EUL_XLS][EUL_XLS]도장수량쌈㈅/"/>
      <sheetName val="[EUL_XLS][EUL_XLS]도장수량쌀㈅/"/>
      <sheetName val="H=4_0M"/>
      <sheetName val="96보완계획7_124"/>
      <sheetName val="태화42_3"/>
      <sheetName val="3_바닥판설계3"/>
      <sheetName val="AH-1_3"/>
      <sheetName val="1_1서버도입3"/>
      <sheetName val="플랜트_설치3"/>
      <sheetName val="Gia_VLNCMTC4"/>
      <sheetName val="TONGKE3p_3"/>
      <sheetName val="TH_VL,_NC,_DDHT_Thanhphuoc3"/>
      <sheetName val="CHITIET_VL-NC3"/>
      <sheetName val="A-TYPE_단위수량3"/>
      <sheetName val="터널길이별_m당_단가3"/>
      <sheetName val="list_price3"/>
      <sheetName val="TOWER_12TON3"/>
      <sheetName val="TOWER_10TON3"/>
      <sheetName val="Div26_-_Elect3"/>
      <sheetName val="BANG_TONG_HOP_(2)3"/>
      <sheetName val="THCP_Lap_dat3"/>
      <sheetName val="Nhan_cong3"/>
      <sheetName val="Thiet_bi3"/>
      <sheetName val="Vat_tu3"/>
      <sheetName val="DM_ChiPhi3"/>
      <sheetName val="May_TC3"/>
      <sheetName val="TH_Kinh_phi3"/>
      <sheetName val="광계통도_기입양식(기입후_Sheet숨기기)"/>
      <sheetName val="[EUL_XLS][EUL_XLS]도장수량퀂/"/>
      <sheetName val="[EUL_XLS][EUL_XLS]동원(/"/>
      <sheetName val="[EUL_XLS][EUL_XLS]도장수량츆鱪/"/>
      <sheetName val="[EUL_XLS][EUL_XLS]도장수량츂鑪/"/>
      <sheetName val="[EUL_XLS][EUL_XLS]도장수량/"/>
      <sheetName val="시멘트_및_골재량산출2"/>
      <sheetName val="04_설변내역서3"/>
      <sheetName val="수목데이타_3"/>
      <sheetName val="선적schedule_(2)"/>
      <sheetName val="List_Equip"/>
      <sheetName val="Process_C_(1-166)"/>
      <sheetName val="tabulation_of_deductions"/>
      <sheetName val="INPUT_DATA_HERE"/>
      <sheetName val="Schedule_S-Curve_Revision#3"/>
      <sheetName val="Code_02"/>
      <sheetName val="Code_03"/>
      <sheetName val="Code_04"/>
      <sheetName val="Code_05"/>
      <sheetName val="Code_06"/>
      <sheetName val="Code_07"/>
      <sheetName val="Code_09"/>
      <sheetName val="Quotation_-_ECB"/>
      <sheetName val="Quotation_-_Panelboard"/>
      <sheetName val="fixture_qty"/>
      <sheetName val="pwr17f_(2)"/>
      <sheetName val="pwr16f_(2)"/>
      <sheetName val="Grounding_"/>
      <sheetName val="_Preliminaries"/>
      <sheetName val="TOWER_3&amp;4"/>
      <sheetName val="ltg_(3)"/>
      <sheetName val="PA_BGM"/>
      <sheetName val="기성신청현황_"/>
      <sheetName val="원가계산서_(3)"/>
      <sheetName val="원가계산서_(2)"/>
      <sheetName val="[EUL_XLS]전체수ḱ텭/2"/>
      <sheetName val="[EUL_XLS]전체수ḱ푭/2"/>
      <sheetName val="8공구_강재_수량3"/>
      <sheetName val="8월_노무비(수정)2"/>
      <sheetName val="8월_노무_2"/>
      <sheetName val="8월_투입_금액(관리-매일)2"/>
      <sheetName val="본사,외주_투입합계_집계2"/>
      <sheetName val="본사_투입_집계_2"/>
      <sheetName val="외주_투입_집계(관리)2"/>
      <sheetName val="외주_투입_집계(철근)2"/>
      <sheetName val="외주_투입_집계(목공-김홍길)2"/>
      <sheetName val="8월_노무__철근2"/>
      <sheetName val="8월_노무__목공2"/>
      <sheetName val="8월_노무_목공_용역_(다온,대동,원곡)2"/>
      <sheetName val="8월_노무_목공_타설2"/>
      <sheetName val="8월_노무_목공_비계2"/>
      <sheetName val="8월_노무_목공_원본2"/>
      <sheetName val="7월_노무_2"/>
      <sheetName val="7월_투입_금액(관리-매일)2"/>
      <sheetName val="우각부보"/>
      <sheetName val="F_L(1)"/>
      <sheetName val="내역서_표지_"/>
      <sheetName val="분야별_집계표"/>
      <sheetName val="_공사설정_"/>
      <sheetName val="[EUL_XLS][EUL_XLS]도장수猱ﱭ/"/>
      <sheetName val="도장수량렓嬴㠀"/>
      <sheetName val="도장수량⠓ꭢ"/>
      <sheetName val="도장수량堐༺"/>
      <sheetName val="도장수량ԋ/"/>
      <sheetName val="[EUL_XLS][EUL_XLS][EUL_XLS]___2"/>
      <sheetName val="[EUL_XLS][EUL_XLS][EUL_XLS]___3"/>
      <sheetName val="[EUL_XLS][EUL_XLS][EUL_XLS]___4"/>
      <sheetName val="[EUL_XLS][EUL_XLS][EUL_XLS]___5"/>
      <sheetName val="[EUL_XLS][EUL_XLS][EUL_XLS]___6"/>
      <sheetName val="[EUL_XLS][EUL_XLS][EUL_XLS]___7"/>
      <sheetName val="[EUL_XLS][EUL_XLS][EUL_XLS]___8"/>
      <sheetName val="[EUL_XLS][EUL_XLS][EUL_XLS]___9"/>
      <sheetName val="현장관리비_Ā"/>
      <sheetName val="방배동내역_ၒ_x0000__x0000__x0000__x0000_"/>
      <sheetName val="허용전류_IEC Dɍ_x0000_"/>
      <sheetName val="허용전류_IEC Dɍ_x0000_"/>
      <sheetName val="허용전류_IEC D⁍0"/>
      <sheetName val="허용전류_IEC Dꁍ0"/>
      <sheetName val="허용전류_IEC Dꡍ_xd8cf_9"/>
      <sheetName val="허용전류_IEC D桍_xd8d4_9"/>
      <sheetName val="허용전류_IEC D0"/>
      <sheetName val="허용전류_IEC D큍郏/"/>
      <sheetName val="T__PROPOSAL_ELEC_345KV_EULJOO_2"/>
      <sheetName val="2002상반기노임기준"/>
      <sheetName val="허용전류_IEC DM簀陶"/>
      <sheetName val="허용전류_IEC D롍۠渃"/>
      <sheetName val="허용전류_IEC DM猱"/>
      <sheetName val="Luong+may"/>
      <sheetName val="Cash Flow"/>
      <sheetName val="Yield"/>
      <sheetName val="Analisa Upah &amp; Bahan Plum"/>
      <sheetName val="FACTOR"/>
      <sheetName val="HRSG SMALL07220"/>
      <sheetName val="품밽ċ繠"/>
      <sheetName val="공종별집계퀂"/>
      <sheetName val="2차전체변경예_x0000_"/>
      <sheetName val="LOPCALC"/>
      <sheetName val="Substation Column"/>
      <sheetName val="Land Dev't. Ph-1"/>
      <sheetName val="4-Lane bridge"/>
      <sheetName val="Hac.Lots"/>
      <sheetName val="Res.Lots"/>
      <sheetName val="Spine Road"/>
      <sheetName val="ASCEandUBC"/>
      <sheetName val="8.PILE  (돌출)"/>
      <sheetName val="UC"/>
      <sheetName val="COVERSHEET"/>
      <sheetName val="Ex-Rate"/>
      <sheetName val="Rate Analysis"/>
      <sheetName val="電気設備表"/>
      <sheetName val="일위부표01"/>
      <sheetName val="상행-교대(A1-A_x0010__x0000_"/>
      <sheetName val="상행-교대(A1-A׃⿫"/>
      <sheetName val="배수문"/>
      <sheetName val="부재치수입력"/>
      <sheetName val="시재"/>
      <sheetName val="주요 자재 집계표 (2)"/>
      <sheetName val="SCHED1_x0000_Ԁ"/>
      <sheetName val="품_x0002_"/>
      <sheetName val="POL6차¤"/>
      <sheetName val="도장수량砖伶"/>
      <sheetName val="동원(3_x0000_"/>
      <sheetName val="woo뇀"/>
      <sheetName val="woo몀"/>
      <sheetName val="woo낀"/>
      <sheetName val="wooᐰ"/>
      <sheetName val="woo៰"/>
      <sheetName val="설계기준_및_하중계산"/>
      <sheetName val="PAINT_(2)"/>
      <sheetName val="노상장99_3"/>
      <sheetName val="품莨"/>
      <sheetName val="품밽_ဠ"/>
      <sheetName val="20剙"/>
      <sheetName val="1"/>
      <sheetName val="제출내Ā"/>
      <sheetName val="도장수량؀"/>
      <sheetName val="동원(؀"/>
      <sheetName val="동원(렗"/>
      <sheetName val="Appendix_I(KBC2009_W)"/>
      <sheetName val="Appendix_II(KBC2009_E)"/>
      <sheetName val="Appendix_III"/>
      <sheetName val="1공구"/>
      <sheetName val="woo"/>
      <sheetName val="woo푰"/>
      <sheetName val="woo"/>
      <sheetName val="아파트"/>
      <sheetName val="tggwan(mac_x0000_"/>
      <sheetName val="물가변동_총_x0000__x0000__x0005_"/>
      <sheetName val="B15"/>
      <sheetName val="B16"/>
      <sheetName val="B17"/>
      <sheetName val="B4-D3"/>
      <sheetName val="B8"/>
      <sheetName val="1,2공구원가계산"/>
      <sheetName val="1,2공구원가계산"/>
      <sheetName val="발주간_x0000_"/>
      <sheetName val="도장수량렒"/>
      <sheetName val="일Ȍ"/>
      <sheetName val="구ԯ"/>
      <sheetName val="40단_x0010_"/>
      <sheetName val="SCHED1"/>
      <sheetName val="물가변동_총"/>
      <sheetName val="예정공정(2차분_x0000_"/>
      <sheetName val="FĀ考"/>
      <sheetName val="tggwa반̹퉨è抨؍"/>
      <sheetName val="tggwa배͖팘ą昈ᕋ"/>
      <sheetName val="tggwaಈᖔ叨ᖡ_x0000__x0000_"/>
      <sheetName val="tggwa배͖팘ą䔠᭽"/>
      <sheetName val="tggwa배͖팘ą懨ᗽ"/>
      <sheetName val="tggwaಈᖔꩠἻ_x0000__x0000_"/>
      <sheetName val="tggwaಈᖔୠᱍ_x0000__x0000_"/>
      <sheetName val="tggwaಈᖔ醰ᯃ_x0000__x0000_"/>
      <sheetName val="tggwa狈ἡ砐ᰲ_x0000__x0000_"/>
      <sheetName val="tggwa狈ἡ䓰ᰠ_x0000__x0000_"/>
      <sheetName val="tggwaᠸᖠᖩ_x0000__x0000_"/>
      <sheetName val="tggwa駘ችꠐᘬ_x0000__x0000_"/>
      <sheetName val="TYPE_x0000_"/>
      <sheetName val="동원(蠚夷"/>
      <sheetName val="동원(栰妉"/>
      <sheetName val="INMD1198"/>
      <sheetName val="EQUIP_LISTÕ"/>
      <sheetName val="1.지장공가 양성화검토결과"/>
      <sheetName val="#REF!"/>
      <sheetName val="生人台帳"/>
      <sheetName val="EVALUATE增加且未签证工程量"/>
      <sheetName val="门窗及阳台栏杆"/>
      <sheetName val="B1-1清单外装修"/>
      <sheetName val="STAND20"/>
      <sheetName val="_EUL.XLS__EUL.XLS_전체수ḱ텭_"/>
      <sheetName val="_EUL.XLS__EUL.XLS_전체수ḱ푭_"/>
      <sheetName val="_EUL.XLS__EUL.XLS_전체수량_"/>
      <sheetName val="_EUL.XLS__EUL.XLS_도장수량猀ﱭ_"/>
      <sheetName val="_EUL.XLS__EUL.XLS_도장수猱ﱭ_"/>
      <sheetName val="_EUL.XLS__EUL.XLS_도장수량쌀䄅_"/>
      <sheetName val="_EUL.XLS__EUL.XLS_도장수량쌈㈅_"/>
      <sheetName val="_EUL.XLS__EUL.XLS_도장수량쌀㈅_"/>
      <sheetName val="_EUL.XLS__EUL.XLS_도장수량퀂_xde70__"/>
      <sheetName val="_EUL.XLS__EUL.XLS_동원(_"/>
      <sheetName val="_EUL.XLS__EUL.XLS_도장수량츆鱪_"/>
      <sheetName val="_EUL.XLS__EUL.XLS_도장수량츂鑪_"/>
      <sheetName val="_EUL.XLS__EUL.XLS_도장수량_xdf68__"/>
      <sheetName val="도장수량Ђ걬_"/>
      <sheetName val="도장수량Ќ걬_"/>
      <sheetName val="도장수량Ѐ_"/>
      <sheetName val="도장수량Ј_xd86c__"/>
      <sheetName val="도장수량Љ꭬_"/>
      <sheetName val="도장수량鄋顪_"/>
      <sheetName val="_EUL.XLS_전체수ḱ텭_"/>
      <sheetName val="_EUL.XLS_전체수ḱ푭_"/>
      <sheetName val="_EUL.XLS_전체수량_"/>
      <sheetName val="_EUL.XLS_도장수량猀ﱭ_"/>
      <sheetName val="_EUL.XLS_도장수猱ﱭ_"/>
      <sheetName val="총Ć__"/>
      <sheetName val="전극조립+활성화"/>
      <sheetName val="검토용"/>
      <sheetName val="도장수猱ﱭ_倀"/>
      <sheetName val="_EUL.XLS__EUL.XLS_도장수猱ﱭ_倀"/>
      <sheetName val="_EUL.XLS_도장수猱ﱭ_倀"/>
      <sheetName val="unit_4"/>
      <sheetName val="도장수량퀂_"/>
      <sheetName val="도장수량_"/>
      <sheetName val="가공비"/>
      <sheetName val="단위가격"/>
      <sheetName val="수량산출내역서(CCTV)"/>
      <sheetName val="說明"/>
      <sheetName val="_EUL.XLS_도장수량쌀䄅_"/>
      <sheetName val="_EUL.XLS_도장수량쌈㈅_"/>
      <sheetName val="_EUL.XLS_도장수량쌀㈅_"/>
      <sheetName val="_EUL.XLS_도장수량퀂_xde70__"/>
      <sheetName val="_EUL.XLS_동원(_"/>
      <sheetName val="_EUL.XLS_도장수량츆鱪_"/>
      <sheetName val="_EUL.XLS_도장수량츂鑪_"/>
      <sheetName val="_EUL.XLS_도장수량_xdf68__"/>
      <sheetName val="tuong"/>
      <sheetName val="THONG KE CAU KIEN"/>
      <sheetName val="FD"/>
      <sheetName val="GI"/>
      <sheetName val="EE (3)"/>
      <sheetName val="PAVEMENT"/>
      <sheetName val="TRAFFIC"/>
      <sheetName val="Areas"/>
      <sheetName val="(Main building) - Type C"/>
      <sheetName val="(Carport) - Type C"/>
      <sheetName val="(Main building) - 4BR"/>
      <sheetName val="(Fence) - Type C"/>
      <sheetName val="(Pool) - Type C"/>
      <sheetName val="(Landscape) - Type C"/>
      <sheetName val="(Pump room) - Type C"/>
      <sheetName val="(Carport) - 4BR"/>
      <sheetName val="(Fence) - 4BR"/>
      <sheetName val="(Pool) - 4BR"/>
      <sheetName val="(Landscape) - 4BR"/>
      <sheetName val="(Pump room) - 4BR"/>
      <sheetName val="Infrastructure"/>
      <sheetName val="품목코드"/>
      <sheetName val="학생내역"/>
      <sheetName val="tu"/>
      <sheetName val="Ref"/>
      <sheetName val="Bill 02 INF"/>
      <sheetName val="MTC"/>
      <sheetName val="Schedule S-Curve (new scheme)"/>
      <sheetName val="GiaVT"/>
      <sheetName val="Bacluong"/>
      <sheetName val="_EUL.XLS_도장수량퀂_"/>
      <sheetName val="_EUL.XLS_도장수량_"/>
      <sheetName val="proj"/>
      <sheetName val="TTTram"/>
      <sheetName val="GIAVLIEU"/>
      <sheetName val="Phân tích hoàn thiện"/>
      <sheetName val="MAU Phân tích KC"/>
      <sheetName val="Du Lieu"/>
      <sheetName val="Hoan Thien"/>
      <sheetName val="Cong Cong"/>
      <sheetName val="Lanh To"/>
      <sheetName val="TH-CC"/>
      <sheetName val="TH-CH"/>
      <sheetName val="Du_toan5"/>
      <sheetName val="TONG_HOP_VL-NC5"/>
      <sheetName val="RAB_AR&amp;STR6"/>
      <sheetName val="Bảng_KLHT2"/>
      <sheetName val="RC_WORK2"/>
      <sheetName val="A1_CN4"/>
      <sheetName val="Bang_KL5"/>
      <sheetName val="M1-XL-1b_KLthep3"/>
      <sheetName val="M2__FIRE_FIGHTING_SYSTEM_V12"/>
      <sheetName val="M3__FIRE_ALARM_SYSTEM_V12"/>
      <sheetName val="KLDT_DIEN3"/>
      <sheetName val="Dinh_muc_CP_KTCB_khac3"/>
      <sheetName val="Electrical_Works2"/>
      <sheetName val="H_T__INCOMING_SYSTEM2"/>
      <sheetName val="SCOPE_OF_WORK2"/>
      <sheetName val="Sàn_T12"/>
      <sheetName val="Lỗ_thông_gió2"/>
      <sheetName val="UNIT_PRICE3"/>
      <sheetName val="PU_ITALY_8"/>
      <sheetName val="TH_DZ358"/>
      <sheetName val="Tro_giup8"/>
      <sheetName val="DON_GIA_TRAM_(3)6"/>
      <sheetName val="chi_tiet_TBA6"/>
      <sheetName val="chi_tiet_C6"/>
      <sheetName val="DON_GIA_CAN_THO8"/>
      <sheetName val="Customize_Your_Purchase_Order6"/>
      <sheetName val="CHITIET_VL-NC-TT_-1p6"/>
      <sheetName val="CHITIET_VL-NC-TT-3p5"/>
      <sheetName val="TONG_HOP_VL-NC_TT6"/>
      <sheetName val="KPVC-BD_6"/>
      <sheetName val="HĐ_ngoài5"/>
      <sheetName val="XT_Buoc_35"/>
      <sheetName val="dongia_(2)5"/>
      <sheetName val="7606_DZ6"/>
      <sheetName val="Don_gia_chi_tiet6"/>
      <sheetName val="project_management5"/>
      <sheetName val="Adix_A5"/>
      <sheetName val="S-curve_5"/>
      <sheetName val="REINF_5"/>
      <sheetName val="Rates_20095"/>
      <sheetName val="So_doi_chieu_LC5"/>
      <sheetName val="MAIN_GATE_HOUSE5"/>
      <sheetName val="Commercial_value5"/>
      <sheetName val="Ky_Lam_Bridge5"/>
      <sheetName val="Provisional_Sums_Item5"/>
      <sheetName val="Gas_Pressure_Welding5"/>
      <sheetName val="General_Item&amp;General_Requireme5"/>
      <sheetName val="General_Items5"/>
      <sheetName val="Regenral_Requirements5"/>
      <sheetName val="chiet_tinh5"/>
      <sheetName val="Ng_hàng_xà+bulong5"/>
      <sheetName val="MH_RATE5"/>
      <sheetName val="DM_60614"/>
      <sheetName val="DG_thep_ma_kem4"/>
      <sheetName val="Lcau_-_Lxuc5"/>
      <sheetName val="CT_vat_lieu4"/>
      <sheetName val="Equip_4"/>
      <sheetName val="Đầu_vào4"/>
      <sheetName val="Chi_tiet_XD_TBA4"/>
      <sheetName val="Trạm_biến_áp4"/>
      <sheetName val="Đơn_Giá_4"/>
      <sheetName val="CT-0_4KV4"/>
      <sheetName val="Chenh_lech_vat_tu4"/>
      <sheetName val="Diện_tích4"/>
      <sheetName val="1_Khái_toán4"/>
      <sheetName val="TONG_HOP_T5_19984"/>
      <sheetName val="KL_Chi_tiết_Xây_tô4"/>
      <sheetName val="DG_DZ4"/>
      <sheetName val="DG_TBA4"/>
      <sheetName val="07Base_Cost4"/>
      <sheetName val="rate_material4"/>
      <sheetName val="Chi_tiet_KL4"/>
      <sheetName val="Tổng_hợp_KL4"/>
      <sheetName val="Xay_lapduongR34"/>
      <sheetName val="04_-_XUONG_DET_B4"/>
      <sheetName val="Bill_1_Quy_dinh_chung4"/>
      <sheetName val="1_R18_BF4"/>
      <sheetName val="6_External_works-R184"/>
      <sheetName val="Phan_khai_KLuong4"/>
      <sheetName val="_034"/>
      <sheetName val="chieu_day_san4"/>
      <sheetName val="Podium_Concrete_Works4"/>
      <sheetName val="KLCT-_TOWER4"/>
      <sheetName val="KLCT-_PODIUM4"/>
      <sheetName val="Gia_thanh_chuoi_su4"/>
      <sheetName val="Tiep_dia4"/>
      <sheetName val="Don_gia_vung_III-Can_Tho4"/>
      <sheetName val="Area_Cal4"/>
      <sheetName val="Elect_(3)4"/>
      <sheetName val="Bond_수수료_계산_포맷4"/>
      <sheetName val="PAGE_14"/>
      <sheetName val="EIRR&gt;_24"/>
      <sheetName val="DM_674"/>
      <sheetName val="Đầu_tư4"/>
      <sheetName val="Project_Data4"/>
      <sheetName val="Data_Input4"/>
      <sheetName val="6787CWFASE2CASE2_00_xls4"/>
      <sheetName val="Bill_02_-_Xay_gach-Pou_4"/>
      <sheetName val="Bill_03-Chống_thấm-Pou4"/>
      <sheetName val="Bill_04-Kim_loại-Pou4"/>
      <sheetName val="Bill_05_-_Hoan_thien-Pou_4"/>
      <sheetName val="Bill_02_-_Xay_gach-Tower4"/>
      <sheetName val="Bill_03-Chống_thấm-Tower4"/>
      <sheetName val="Bill_04-Kim_loại-Tower4"/>
      <sheetName val="Bill_05_-_Hoan_thien-Tower4"/>
      <sheetName val="KL-_KHAC4"/>
      <sheetName val="BILL_3_-_KẾT_CẤU_HẦM4"/>
      <sheetName val="PTĐG_LTBT4"/>
      <sheetName val="CTG-PRECHEx1_44"/>
      <sheetName val="CTG-AB_(2)4"/>
      <sheetName val="CTG-AB_(3)4"/>
      <sheetName val="CTG-PLP-1_084"/>
      <sheetName val="Pre_Đội_nhóm4"/>
      <sheetName val="Vat_tu_XD4"/>
      <sheetName val="Tower_-_Concrete_Works4"/>
      <sheetName val="Bill-04_ket_cau_thap-_UNI4"/>
      <sheetName val="Loại_Vật_tư4"/>
      <sheetName val="TH_Vat_tu4"/>
      <sheetName val="dg_tphcm4"/>
      <sheetName val="T_KÊ_K_CẤU4"/>
      <sheetName val="Bill_01_-_CTN4"/>
      <sheetName val="Bill_2_2_Villa_2_beds4"/>
      <sheetName val="4_PTDG4"/>
      <sheetName val="A1,_May4"/>
      <sheetName val="Vat_lieu4"/>
      <sheetName val="Bang_trong_luong_rieng_thep4"/>
      <sheetName val="HÐ_ngoài5"/>
      <sheetName val="gia_cong_tac4"/>
      <sheetName val="Measure_13064"/>
      <sheetName val="Cước_VC_+_ĐM_CP_Tư_vấn4"/>
      <sheetName val="Hệ_số4"/>
      <sheetName val="DETAIL_3"/>
      <sheetName val="GV1-D13_(Casement_door)4"/>
      <sheetName val="final_list_20054"/>
      <sheetName val="LV_data3"/>
      <sheetName val="ESTI_3"/>
      <sheetName val="Gia_vat_tu3"/>
      <sheetName val="CẤP_THOÁT_NƯỚC4"/>
      <sheetName val="TH_MTC3"/>
      <sheetName val="TH_N_Cong3"/>
      <sheetName val="THDT_goi_thau_TB4"/>
      <sheetName val="Tien_do_TV4"/>
      <sheetName val="Harga_ME_4"/>
      <sheetName val="Analisa_Gabungan4"/>
      <sheetName val="_Bill_5-Earthing_2_-_Add_Works3"/>
      <sheetName val="bridge_#_14"/>
      <sheetName val="Isolasi_Luar_Dalam4"/>
      <sheetName val="Isolasi_Luar4"/>
      <sheetName val="KL_san_lap3"/>
      <sheetName val="Chi_tiet3"/>
      <sheetName val="Chenh_lech_ca_may3"/>
      <sheetName val="TLg_CN&amp;Laixe3"/>
      <sheetName val="TLg_CN&amp;Laixe_(2)3"/>
      <sheetName val="TLg_Laitau3"/>
      <sheetName val="TLg_Laitau_(2)3"/>
      <sheetName val="Bang_3_Chi_tiet_phan_Dz3"/>
      <sheetName val="KHOI_LUONG3"/>
      <sheetName val="Equipment_list_(PAC)3"/>
      <sheetName val="TINH_KHOI_LUONG3"/>
      <sheetName val="DATA_BASE3"/>
      <sheetName val="BẢNG_KHỐI_LƯỢNG_TỔNG_HỢP3"/>
      <sheetName val="Buy_vs__Lease_Car4"/>
      <sheetName val="CP_Khac_cuoc_VC3"/>
      <sheetName val="Budget_Code3"/>
      <sheetName val="CTKL_KTX_HT3"/>
      <sheetName val="HVAC_BLOCK_B43"/>
      <sheetName val="PRE_(E)3"/>
      <sheetName val="2_Chiet_tinh3"/>
      <sheetName val="subcon_sched3"/>
      <sheetName val="NHÀ_NHẬP_LIỆU3"/>
      <sheetName val="MÓNG_SILO3"/>
      <sheetName val="Tong_du_toan3"/>
      <sheetName val="Bill_2_-_ketcau3"/>
      <sheetName val="Chi_tiet_lan_can3"/>
      <sheetName val="13-Cốt_thép_(10mm&lt;D≤18mm)_FO163"/>
      <sheetName val="du_lieu_du_toan3"/>
      <sheetName val="BOQ_THAN3"/>
      <sheetName val="DL_ĐẦU_VÀO3"/>
      <sheetName val="NSA_fr_Revit3"/>
      <sheetName val="Scorp_of_Work3"/>
      <sheetName val="CPC_2T3"/>
      <sheetName val="TH_(Daikin)3"/>
      <sheetName val="_BILL_2_1_E-ELV-THO3"/>
      <sheetName val="_BILL_2_2_E-ELV-HT3"/>
      <sheetName val="CT_tu_EDHP3"/>
      <sheetName val="BIIL_3_1_PS-THO3"/>
      <sheetName val="BIIL_3_1_PS-HT3"/>
      <sheetName val="BILL_4_ACMV-THO_3"/>
      <sheetName val="BILL_4_ACMV-HT_3"/>
      <sheetName val="_BILL_5_FA-FA_-_THO__3"/>
      <sheetName val="_BILL_5_FA-FA_-_HT__3"/>
      <sheetName val="Gia_tudien3"/>
      <sheetName val="Code_NC3"/>
      <sheetName val="TH_(Toshiba)3"/>
      <sheetName val="BILL_4_ACMV-HT__(Toshiba)3"/>
      <sheetName val="Hao_hut,_CK3"/>
      <sheetName val="TH_CPTC3"/>
      <sheetName val="CT_gio_m23"/>
      <sheetName val="DMVL,_CK3"/>
      <sheetName val="Sum_material3"/>
      <sheetName val="Ree_Hvac-Condotel3"/>
      <sheetName val="Sigma_HVAC-Condotel3"/>
      <sheetName val="Techgel_Condotel_-_HVAC3"/>
      <sheetName val="Unicon_Condotel_-_HVAC3"/>
      <sheetName val="Ree_P&amp;D-Condotel3"/>
      <sheetName val="Sigma_CTN-CONDOTEL3"/>
      <sheetName val="Techgel_Condotel_-_CTN3"/>
      <sheetName val="Unicon__Condotel_-_CTN3"/>
      <sheetName val="KL_LĐ-_CÁP_ĐIỆN3"/>
      <sheetName val="KL_LĐ-BUSWAY3"/>
      <sheetName val="KL_LĐ-TỦ_ĐIỆN3"/>
      <sheetName val="Data-Lắp_đèn,_ổ_cắm_căn_hộ3"/>
      <sheetName val="GTTT_PL_023"/>
      <sheetName val="GTTT_PL23"/>
      <sheetName val="KL_LĐ_CS_SỰ_CỐ_(k_in)3"/>
      <sheetName val="KL_LĐ_TỦ_ĐIỆN_(k_in)3"/>
      <sheetName val="KL_TỦ_ĐIỆN_MSB3"/>
      <sheetName val="KL_LĐ_CÁP_ĐIỆN3"/>
      <sheetName val="KL_LĐ-_BUSWAY3"/>
      <sheetName val="KL_LĐ-_PHẦN_HẦM,_KHỐI_ĐẾ,_HL3"/>
      <sheetName val="KL-HÀNH_LANG3"/>
      <sheetName val="KL-Lap_dat-M_(k_in)3"/>
      <sheetName val="KL-TEST-M_(k_in)3"/>
      <sheetName val="KL-Lap_dat-D3"/>
      <sheetName val="Check_list_tháp_D_(k_in)3"/>
      <sheetName val="Check_list_tháp_M(k_in)3"/>
      <sheetName val="đối_soát_vật_tư3"/>
      <sheetName val="Main_Cable_3"/>
      <sheetName val="MTO_REV_2(ARMOR)2"/>
      <sheetName val="07_2019_HC2"/>
      <sheetName val="NHAN_SU_CAC_CONG_TRINH2"/>
      <sheetName val="BANG_CHAM_CONG_VAN_PHONG2"/>
      <sheetName val="CHAM_CONG_TRUC_VE_SINH2"/>
      <sheetName val="TÍNH_TOÁN_KHỐI_LƯỢNG_P62"/>
      <sheetName val="CP_Du_phong2"/>
      <sheetName val="THCP_xay_dung2"/>
      <sheetName val="Tong_hop_kinh_phi2"/>
      <sheetName val="HRG_BHN2"/>
      <sheetName val="연결분개(거래_Ʉ2"/>
      <sheetName val="Dầm_-4_7m2"/>
      <sheetName val="Scheme_B_Estimate_2"/>
      <sheetName val="Bang_TH2"/>
      <sheetName val="TINH_GIA_-_SAN_XUAT_Vertico2"/>
      <sheetName val="CONSOIDATE_42"/>
      <sheetName val="CONSOIDATE_22"/>
      <sheetName val="NET_ALL_(M)1"/>
      <sheetName val="C_A02_-_Confirmations2"/>
      <sheetName val="3-PTDGT8_2"/>
      <sheetName val="4-PTDG_(T2)2"/>
      <sheetName val="4-PTDG_(T1)2"/>
      <sheetName val="Slim_2_cánh_&amp;_2_vách1"/>
      <sheetName val="dtct_cong1"/>
      <sheetName val="B3A_-_TOWER_A1"/>
      <sheetName val="RC_fin1"/>
      <sheetName val="Tổng_kê1"/>
      <sheetName val="phân_tích_hiệu_quả1"/>
      <sheetName val="Breakdown_(B)1"/>
      <sheetName val="4_3_Scope_of_work_2"/>
      <sheetName val="Chi_phi_khac_4_3KH-CP1"/>
      <sheetName val="B_1_-_CT_PVQTTC1"/>
      <sheetName val="CP_QLDA1"/>
      <sheetName val="Thuc_thanh1"/>
      <sheetName val="Main_Feeder1"/>
      <sheetName val="PE_Wire1"/>
      <sheetName val="pp3p_1"/>
      <sheetName val="[EUL_XLS]도장수猱ﱭ/1"/>
      <sheetName val="MEP_Detail1"/>
      <sheetName val="[EUL_XLS]전체수량/1"/>
      <sheetName val="[EUL_XLS]도장수량猀ﱭ/1"/>
      <sheetName val="[EUL_XLS]도장수량쌀䄅/1"/>
      <sheetName val="[EUL_XLS]도장수량쌈㈅/1"/>
      <sheetName val="[EUL_XLS]도장수량쌀㈅/1"/>
      <sheetName val="[EUL_XLS]동원(/1"/>
      <sheetName val="[EUL_XLS]도장수량츆鱪/1"/>
      <sheetName val="[EUL_XLS]도장수량츂鑪/1"/>
      <sheetName val="Xuat152"/>
      <sheetName val="ND"/>
      <sheetName val="Tinh BT"/>
      <sheetName val="DGchitiet "/>
      <sheetName val="대창(함평)"/>
      <sheetName val="대창(장성)"/>
      <sheetName val="btra"/>
      <sheetName val="Tinh toan"/>
      <sheetName val="총원가계산서(요율)"/>
      <sheetName val="ma-pt"/>
      <sheetName val="Share price data"/>
      <sheetName val="THIET DAT"/>
      <sheetName val="PTdam"/>
      <sheetName val="cov-estimate"/>
      <sheetName val="Bộ mã"/>
      <sheetName val="L"/>
      <sheetName val="MASTER1"/>
      <sheetName val="시중노임"/>
      <sheetName val="Bill 07_Villa-22F1"/>
      <sheetName val="조선용암면"/>
      <sheetName val="PhanTich"/>
      <sheetName val="Div10"/>
      <sheetName val="Div11"/>
      <sheetName val="Div12"/>
      <sheetName val="Div13"/>
      <sheetName val="Div2"/>
      <sheetName val="Div4"/>
      <sheetName val="Div5"/>
      <sheetName val="Div6"/>
      <sheetName val="Div7"/>
      <sheetName val="Div8"/>
      <sheetName val="Div9"/>
      <sheetName val="고로_토목(도급보정)_101222"/>
      <sheetName val="2F_회의실견적(5_1鍐"/>
      <sheetName val="2F_회의실견적(5_1賨࠭׃⾭"/>
      <sheetName val="물집"/>
      <sheetName val="동원(ྉ"/>
      <sheetName val="동원(ࠛ"/>
      <sheetName val="Input Screen"/>
      <sheetName val="공예을"/>
      <sheetName val="수로단위수량"/>
      <sheetName val="1차분계약내역栀"/>
      <sheetName val="1차분계약내역⢚"/>
      <sheetName val="1차분계약내역゚"/>
      <sheetName val="배수유공블ᣉ"/>
      <sheetName val="중동︀㣕"/>
      <sheetName val="[EUL.XLS][EUL.XLS][EUL.XLS]__16"/>
      <sheetName val="[EUL.XLS][EUL.XLS][EUL.XLS]__17"/>
      <sheetName val="[EUL.XLS][EUL.XLS][EUL.XLS]__18"/>
      <sheetName val="[EUL.XLS][EUL.XLS][EUL.XLS]__19"/>
      <sheetName val="[EUL.XLS][EUL.XLS][EUL.XLS]__20"/>
      <sheetName val="[EUL.XLS][EUL.XLS][EUL.XLS]__21"/>
      <sheetName val="[EUL.XLS][EUL.XLS][EUL.XLS]__22"/>
      <sheetName val="[EUL.XLS][EUL.XLS][EUL.XLS]__23"/>
      <sheetName val="[EUL.XLS]도장수량섈_xd96c_/_x0000_"/>
      <sheetName val="[EUL.XLS]도장수량섈陬/_x0000_"/>
      <sheetName val="[EUL.XLS]도장수량섁ꥬ/_x0000_"/>
      <sheetName val="[EUL.XLS]도장수량썬/_x0000_"/>
      <sheetName val="[EUL.XLS]도장수량ꌂ멭/_x0000_"/>
      <sheetName val="[EUL.XLS]도장수량ꌂ/_x0000_"/>
      <sheetName val="[EUL.XLS]도장수량ꌌ국/_x0000_"/>
      <sheetName val="[EUL.XLS]도장수량ԋ/_x000e_"/>
      <sheetName val="[EUL.XLS]도장수량퀂/"/>
      <sheetName val="[EUL.XLS]도장수량/"/>
      <sheetName val="[EUL.XLS][EUL_XLS]전체수ḱ텭/"/>
      <sheetName val="[EUL.XLS][EUL_XLS]전체수ḱ푭/"/>
      <sheetName val="[EUL.XLS][EUL_XLS]전체수량/"/>
      <sheetName val="[EUL.XLS][EUL_XLS]도장수량猀ﱭ/"/>
      <sheetName val="[EUL.XLS][EUL_XLS]도장수猱ﱭ/倀"/>
      <sheetName val="[EUL.XLS]도장수량Ј/"/>
      <sheetName val="[EUL.XLS][EUL_XLS]전체수ḱ텭/1"/>
      <sheetName val="[EUL.XLS][EUL_XLS]전체수ḱ푭/1"/>
      <sheetName val="4배"/>
      <sheetName val="3배"/>
      <sheetName val="6배"/>
      <sheetName val="5배"/>
      <sheetName val="1배"/>
      <sheetName val="결재판(삭제_x0000__x0000_Ԁ_x0000_䀀欭_x0002_"/>
      <sheetName val="DATA98"/>
      <sheetName val="배수유공블_x0000_"/>
      <sheetName val="구조물_xd8c8_"/>
      <sheetName val="구조물새"/>
      <sheetName val="1.공사비집계"/>
      <sheetName val="45,46"/>
      <sheetName val="입찰내역 발주처 양식"/>
      <sheetName val="을-ATYPE"/>
      <sheetName val="?????"/>
      <sheetName val="est"/>
      <sheetName val="_____"/>
      <sheetName val="120"/>
      <sheetName val="13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단가조사"/>
      <sheetName val="공사예산하조서(O.K)"/>
      <sheetName val="관리,공감"/>
      <sheetName val="남양시작동010313100%"/>
      <sheetName val="매부"/>
      <sheetName val="현관"/>
      <sheetName val="인원"/>
      <sheetName val="Don_gia5"/>
      <sheetName val="DGchitiet_"/>
      <sheetName val="Schedule_S-Curve_(new_scheme)"/>
      <sheetName val="Tinh_toan"/>
      <sheetName val="Don_gia6"/>
      <sheetName val="DGchitiet_1"/>
      <sheetName val="Schedule_S-Curve_(new_scheme)1"/>
      <sheetName val="Tinh_toan1"/>
      <sheetName val="BMW"/>
      <sheetName val="BMW.B2"/>
      <sheetName val="BMW.B3"/>
      <sheetName val="CTG CGO"/>
      <sheetName val="PRE_A3, A4"/>
      <sheetName val="금융"/>
      <sheetName val="4-3 보온 기본물량집계"/>
      <sheetName val="총_x0000_"/>
      <sheetName val="1,2공구원가계산_x0000_"/>
      <sheetName val="1,2공구원가계산က"/>
      <sheetName val="철근ù_x0000_Ԁ"/>
      <sheetName val="[EUL.XLS][EUL.XLS]도장수량猀ﱭ/_x0000"/>
      <sheetName val="[EUL.XLS][EUL.XLS]도장수량쌀䄅/_x0000"/>
      <sheetName val="[EUL.XLS][EUL.XLS]도장수량쌈㈅/_x0000"/>
      <sheetName val="[EUL.XLS][EUL.XLS]도장수량쌀㈅/_x0000"/>
      <sheetName val="[EUL.XLS][EUL.XLS]도장수량츆鱪/_x0000"/>
      <sheetName val="[EUL.XLS][EUL.XLS]도장수량츂鑪/_x0000"/>
      <sheetName val="상행-교대(_x0000__x0000__x0005__x00"/>
      <sheetName val="1공구_x0005__x0000__x0000__x0000"/>
      <sheetName val="1_x0002__x0000__x000c__x0000__x"/>
      <sheetName val="woo_x0000__x0000__x0005__x0000_"/>
      <sheetName val="현장관리비__x0000__x0000_Ā_x0000__x0"/>
      <sheetName val="제출내_x0000__x0000_Ā_x0000__x0005"/>
      <sheetName val="2F 회의실견적(5_1_x0000__x0000__x000"/>
      <sheetName val="tggwan(_x0000__x0000__x0005__x0"/>
      <sheetName val="방배동내역_ၒ_x0000__x0000__x0000__x0"/>
      <sheetName val="40Ô_x0000_"/>
      <sheetName val="하조서"/>
      <sheetName val="터파기및ì_x0000_"/>
      <sheetName val="역T_x0000_"/>
      <sheetName val="한도관리"/>
      <sheetName val="1TL椀⠀輠_x0012_"/>
      <sheetName val="Breakdown"/>
      <sheetName val="관급자재"/>
      <sheetName val="도장수⠱㔺栀?猇"/>
      <sheetName val="도장수량?䠀沣"/>
      <sheetName val="도장수량?蠀ꨟ"/>
      <sheetName val="도장수량?䠀䷓"/>
      <sheetName val="동원(?"/>
      <sheetName val="도장수량퀂?/"/>
      <sheetName val="도장수량?/"/>
      <sheetName val="[EUL.XLS][EUL.XLS]도장수량퀂?/"/>
      <sheetName val="[EUL.XLS][EUL.XLS]도장수량?/"/>
      <sheetName val="도장수량㠗㚅?"/>
      <sheetName val="도장수량砞⼵?"/>
      <sheetName val="도장수량研⼵栁?"/>
      <sheetName val="도장수량砛⼵?"/>
      <sheetName val="도장수량㠐?겷"/>
      <sheetName val="도장수량Ј?"/>
      <sheetName val="도장수량젞?᠀럘"/>
      <sheetName val="도장수량?怀⺴"/>
      <sheetName val="도장수량⠐伺?"/>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sheetData sheetId="583"/>
      <sheetData sheetId="584" refreshError="1"/>
      <sheetData sheetId="585"/>
      <sheetData sheetId="586"/>
      <sheetData sheetId="587"/>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sheetData sheetId="597" refreshError="1"/>
      <sheetData sheetId="598" refreshError="1"/>
      <sheetData sheetId="599" refreshError="1"/>
      <sheetData sheetId="600" refreshError="1"/>
      <sheetData sheetId="601" refreshError="1"/>
      <sheetData sheetId="602"/>
      <sheetData sheetId="603"/>
      <sheetData sheetId="604" refreshError="1"/>
      <sheetData sheetId="605" refreshError="1"/>
      <sheetData sheetId="606"/>
      <sheetData sheetId="607" refreshError="1"/>
      <sheetData sheetId="608" refreshError="1"/>
      <sheetData sheetId="609" refreshError="1"/>
      <sheetData sheetId="610" refreshError="1"/>
      <sheetData sheetId="61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sheetData sheetId="633"/>
      <sheetData sheetId="634" refreshError="1"/>
      <sheetData sheetId="635" refreshError="1"/>
      <sheetData sheetId="636"/>
      <sheetData sheetId="637"/>
      <sheetData sheetId="638"/>
      <sheetData sheetId="639"/>
      <sheetData sheetId="640" refreshError="1"/>
      <sheetData sheetId="641"/>
      <sheetData sheetId="642" refreshError="1"/>
      <sheetData sheetId="643" refreshError="1"/>
      <sheetData sheetId="644" refreshError="1"/>
      <sheetData sheetId="645" refreshError="1"/>
      <sheetData sheetId="646" refreshError="1"/>
      <sheetData sheetId="647" refreshError="1"/>
      <sheetData sheetId="648" refreshError="1"/>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sheetData sheetId="687"/>
      <sheetData sheetId="688" refreshError="1"/>
      <sheetData sheetId="689" refreshError="1"/>
      <sheetData sheetId="690"/>
      <sheetData sheetId="691"/>
      <sheetData sheetId="692"/>
      <sheetData sheetId="693"/>
      <sheetData sheetId="694" refreshError="1"/>
      <sheetData sheetId="695"/>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sheetData sheetId="998"/>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sheetData sheetId="1032" refreshError="1"/>
      <sheetData sheetId="1033" refreshError="1"/>
      <sheetData sheetId="1034" refreshError="1"/>
      <sheetData sheetId="1035" refreshError="1"/>
      <sheetData sheetId="1036" refreshError="1"/>
      <sheetData sheetId="1037" refreshError="1"/>
      <sheetData sheetId="1038"/>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refreshError="1"/>
      <sheetData sheetId="1204" refreshError="1"/>
      <sheetData sheetId="1205" refreshError="1"/>
      <sheetData sheetId="1206" refreshError="1"/>
      <sheetData sheetId="1207" refreshError="1"/>
      <sheetData sheetId="1208" refreshError="1"/>
      <sheetData sheetId="1209" refreshError="1"/>
      <sheetData sheetId="1210"/>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sheetData sheetId="1261"/>
      <sheetData sheetId="1262" refreshError="1"/>
      <sheetData sheetId="1263" refreshError="1"/>
      <sheetData sheetId="1264" refreshError="1"/>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refreshError="1"/>
      <sheetData sheetId="1284"/>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sheetData sheetId="3157"/>
      <sheetData sheetId="3158"/>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sheetData sheetId="3518"/>
      <sheetData sheetId="3519"/>
      <sheetData sheetId="3520"/>
      <sheetData sheetId="3521"/>
      <sheetData sheetId="3522"/>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sheetData sheetId="3532"/>
      <sheetData sheetId="3533"/>
      <sheetData sheetId="3534"/>
      <sheetData sheetId="3535"/>
      <sheetData sheetId="3536"/>
      <sheetData sheetId="3537"/>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sheetData sheetId="3556"/>
      <sheetData sheetId="3557"/>
      <sheetData sheetId="3558"/>
      <sheetData sheetId="3559"/>
      <sheetData sheetId="3560"/>
      <sheetData sheetId="3561"/>
      <sheetData sheetId="3562"/>
      <sheetData sheetId="3563"/>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sheetData sheetId="3676"/>
      <sheetData sheetId="3677" refreshError="1"/>
      <sheetData sheetId="3678" refreshError="1"/>
      <sheetData sheetId="3679" refreshError="1"/>
      <sheetData sheetId="3680"/>
      <sheetData sheetId="3681" refreshError="1"/>
      <sheetData sheetId="3682" refreshError="1"/>
      <sheetData sheetId="3683" refreshError="1"/>
      <sheetData sheetId="3684"/>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sheetData sheetId="3784" refreshError="1"/>
      <sheetData sheetId="3785"/>
      <sheetData sheetId="3786"/>
      <sheetData sheetId="3787"/>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sheetData sheetId="3820"/>
      <sheetData sheetId="3821"/>
      <sheetData sheetId="3822"/>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sheetData sheetId="3833" refreshError="1"/>
      <sheetData sheetId="3834" refreshError="1"/>
      <sheetData sheetId="3835" refreshError="1"/>
      <sheetData sheetId="3836" refreshError="1"/>
      <sheetData sheetId="3837" refreshError="1"/>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refreshError="1"/>
      <sheetData sheetId="4118"/>
      <sheetData sheetId="4119"/>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sheetData sheetId="4372"/>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sheetData sheetId="4496"/>
      <sheetData sheetId="4497"/>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sheetData sheetId="4862"/>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NGUAGE"/>
      <sheetName val="PART_DISCOUNT"/>
      <sheetName val="전체"/>
      <sheetName val="7470 MSP Matrix"/>
      <sheetName val="7270 MSC"/>
      <sheetName val="CATEGORY_DISCOUNT"/>
    </sheetNames>
    <sheetDataSet>
      <sheetData sheetId="0" refreshError="1">
        <row r="40">
          <cell r="B40" t="str">
            <v>Shelves and Switching Fabric</v>
          </cell>
        </row>
        <row r="41">
          <cell r="B41" t="str">
            <v>Control and Service Cards</v>
          </cell>
        </row>
        <row r="42">
          <cell r="B42" t="str">
            <v>Interface and Application Cards</v>
          </cell>
        </row>
        <row r="43">
          <cell r="B43" t="str">
            <v>Panels &amp; Cables &amp; Connectors</v>
          </cell>
        </row>
        <row r="44">
          <cell r="B44" t="str">
            <v>Miscellaneous</v>
          </cell>
        </row>
      </sheetData>
      <sheetData sheetId="1"/>
      <sheetData sheetId="2" refreshError="1"/>
      <sheetData sheetId="3" refreshError="1"/>
      <sheetData sheetId="4" refreshError="1"/>
      <sheetData sheetId="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NGUAGE"/>
      <sheetName val="PART_DISCOUNT"/>
      <sheetName val="전체"/>
      <sheetName val="7470 MSP Matrix"/>
      <sheetName val="7270 MSC"/>
      <sheetName val="CATEGORY_DISCOUNT"/>
    </sheetNames>
    <sheetDataSet>
      <sheetData sheetId="0">
        <row r="40">
          <cell r="B40" t="str">
            <v>Shelves and Switching Fabric</v>
          </cell>
        </row>
        <row r="41">
          <cell r="B41" t="str">
            <v>Control and Service Cards</v>
          </cell>
        </row>
        <row r="42">
          <cell r="B42" t="str">
            <v>Interface and Application Cards</v>
          </cell>
        </row>
        <row r="43">
          <cell r="B43" t="str">
            <v>Panels &amp; Cables &amp; Connectors</v>
          </cell>
        </row>
        <row r="44">
          <cell r="B44" t="str">
            <v>Miscellaneous</v>
          </cell>
        </row>
      </sheetData>
      <sheetData sheetId="1"/>
      <sheetData sheetId="2" refreshError="1"/>
      <sheetData sheetId="3" refreshError="1"/>
      <sheetData sheetId="4" refreshError="1"/>
      <sheetData sheetId="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노임단가"/>
      <sheetName val="부표9705"/>
      <sheetName val="수량집계"/>
      <sheetName val="별표"/>
      <sheetName val="부표"/>
      <sheetName val="품셈"/>
      <sheetName val="공예을"/>
      <sheetName val="간공양"/>
      <sheetName val="철근수량"/>
      <sheetName val="자재단가표"/>
      <sheetName val="수량"/>
      <sheetName val="집계"/>
      <sheetName val="공예갑"/>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운반"/>
      <sheetName val="대운산출"/>
      <sheetName val="공예을"/>
      <sheetName val="자재단가"/>
      <sheetName val="부표총괄표"/>
      <sheetName val="노임단가"/>
      <sheetName val="기초자료입력"/>
      <sheetName val="공사설명서 "/>
      <sheetName val="설계서"/>
      <sheetName val="예산서"/>
      <sheetName val="토목내역"/>
      <sheetName val="수량총괄표"/>
      <sheetName val="단면"/>
      <sheetName val="총괄내역서"/>
      <sheetName val="부표"/>
      <sheetName val="별표집계"/>
      <sheetName val="노임단가(직종번호 순)"/>
      <sheetName val="재료비단가"/>
      <sheetName val="자금신청서"/>
      <sheetName val="공통(20-91)"/>
      <sheetName val="정산"/>
      <sheetName val="평가데이터"/>
      <sheetName val="공종단가"/>
      <sheetName val="공사비총괄표"/>
      <sheetName val="별표"/>
      <sheetName val="1.설계조건"/>
      <sheetName val="주현(해보)"/>
      <sheetName val="주현(영광)"/>
      <sheetName val="대창(장성)"/>
      <sheetName val="일위대가"/>
      <sheetName val="단가"/>
      <sheetName val="수량집계(변전)"/>
      <sheetName val="경비산출"/>
      <sheetName val="갑지"/>
      <sheetName val="자료"/>
      <sheetName val="시중노임단가"/>
      <sheetName val="자재조사표"/>
      <sheetName val="반납및충용수량산출"/>
      <sheetName val="집계표"/>
      <sheetName val="전차선로 물량표"/>
      <sheetName val="G2설비도급"/>
      <sheetName val="대운반(철재)"/>
      <sheetName val="기성"/>
      <sheetName val="공문"/>
      <sheetName val="00상노임"/>
      <sheetName val="금액내역서"/>
      <sheetName val="증감대비"/>
      <sheetName val="1단계"/>
      <sheetName val="정부노임단가"/>
      <sheetName val="공사비집계"/>
      <sheetName val="친척"/>
      <sheetName val="공사예산하조서(O.K)"/>
      <sheetName val="9GNG운반"/>
      <sheetName val="노임"/>
      <sheetName val="단가산출"/>
      <sheetName val="말뚝물량"/>
      <sheetName val="맨홀조서"/>
      <sheetName val="설계명세서"/>
      <sheetName val="TOTB4_1"/>
      <sheetName val="철거명세서"/>
      <sheetName val="일반,특기시방서"/>
      <sheetName val="지지가대.잡철물"/>
      <sheetName val="공사예산"/>
      <sheetName val="찍기"/>
      <sheetName val="철거산출근거"/>
      <sheetName val="업무처리전"/>
      <sheetName val="설계예산내역서"/>
      <sheetName val="내역서"/>
      <sheetName val="참조 - 총괄표"/>
      <sheetName val="경비"/>
      <sheetName val="관급자재"/>
      <sheetName val="6PILE  (돌출)"/>
      <sheetName val="´ë¿î¹Ý"/>
      <sheetName val="´ë¿î»êÃâ"/>
      <sheetName val="P.M 별"/>
      <sheetName val="자재단가(강관파일)"/>
      <sheetName val="부표총괄표(강관파일)"/>
      <sheetName val="EP0618"/>
      <sheetName val="단가비교표"/>
      <sheetName val="유림골조"/>
      <sheetName val="93D"/>
      <sheetName val="94D"/>
      <sheetName val="95D"/>
      <sheetName val="각입중량산출서"/>
      <sheetName val="설계서(7)"/>
      <sheetName val="예산서(6)"/>
      <sheetName val="자재"/>
      <sheetName val="집계(총괄)"/>
      <sheetName val="원가(총괄)"/>
      <sheetName val="사용전"/>
      <sheetName val="한전불입금"/>
      <sheetName val="시운전비"/>
      <sheetName val="전력비"/>
      <sheetName val="산근(시운전)"/>
      <sheetName val="예비품,계측기"/>
      <sheetName val="교육훈련"/>
      <sheetName val="성능시험"/>
      <sheetName val="가설비"/>
      <sheetName val="입찰안"/>
      <sheetName val="공종"/>
      <sheetName val="40총괄"/>
      <sheetName val="40집계"/>
      <sheetName val="3-1.현장관리비"/>
      <sheetName val="수량3"/>
      <sheetName val="공사비예산서(토목분)"/>
      <sheetName val="2-1.단가산출기초"/>
      <sheetName val="8.가설공사비(안산)"/>
      <sheetName val="8.가설공사비(고양)"/>
      <sheetName val="5.운반비산출내역(고양)"/>
      <sheetName val="5.운반비산출내역(안산)"/>
      <sheetName val="Sheet3"/>
      <sheetName val="연돌일위집계"/>
      <sheetName val="예정(3)"/>
      <sheetName val="SPEC"/>
      <sheetName val="참조"/>
      <sheetName val="Sheet1"/>
      <sheetName val="전체철근집계"/>
      <sheetName val="가격조사서"/>
      <sheetName val="ENE-CAL 1"/>
      <sheetName val="CTEMCOST"/>
      <sheetName val="대비"/>
      <sheetName val="조명시설"/>
      <sheetName val="토목수량(공정)"/>
      <sheetName val="DATA"/>
      <sheetName val="품셈집계표"/>
      <sheetName val="BEND LOSS"/>
      <sheetName val="깨기"/>
      <sheetName val="F4-F7"/>
      <sheetName val="HaulingLine hardware"/>
      <sheetName val="#REF"/>
      <sheetName val="cost"/>
      <sheetName val="6PILE__(돌출)"/>
      <sheetName val="공사설명서_"/>
      <sheetName val="노임단가(직종번호_순)"/>
      <sheetName val="공사예산하조서(O_K)"/>
      <sheetName val="전차선로_물량표"/>
      <sheetName val="설계산출표지"/>
      <sheetName val="C3"/>
      <sheetName val="1_설계조건"/>
      <sheetName val="날개벽수량표"/>
      <sheetName val="내역표지"/>
      <sheetName val="장문교(대전)"/>
      <sheetName val="도급예산내역서"/>
      <sheetName val="콘크리트타설집계표"/>
      <sheetName val="Total"/>
      <sheetName val="BID"/>
      <sheetName val="간접비"/>
      <sheetName val="시설장비"/>
      <sheetName val="품의"/>
      <sheetName val="견적"/>
      <sheetName val="CD-실적"/>
      <sheetName val="CCTV"/>
      <sheetName val="음성"/>
      <sheetName val="woo(mac)"/>
      <sheetName val="단면가정"/>
      <sheetName val="한강운반비"/>
      <sheetName val="내역(한신APT)"/>
      <sheetName val="화설내"/>
      <sheetName val="지지가대_잡철물"/>
      <sheetName val="참조_-_총괄표"/>
      <sheetName val="P_M_별"/>
      <sheetName val="ENE-CAL_1"/>
      <sheetName val="3-1_현장관리비"/>
      <sheetName val="2-1_단가산출기초"/>
      <sheetName val="8_가설공사비(안산)"/>
      <sheetName val="8_가설공사비(고양)"/>
      <sheetName val="5_운반비산출내역(고양)"/>
      <sheetName val="5_운반비산출내역(안산)"/>
      <sheetName val="HaulingLine_hardware"/>
      <sheetName val="BEND_LOSS"/>
      <sheetName val="Ⅲ.설계변경"/>
      <sheetName val="실행철강하도"/>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설명서"/>
      <sheetName val="예정공정표"/>
      <sheetName val="기별표지"/>
      <sheetName val="공사계획서"/>
      <sheetName val="소요자재"/>
      <sheetName val="노무산출서"/>
      <sheetName val="공사비예산서"/>
      <sheetName val="설계명세서(종합)"/>
      <sheetName val="장비형품목산출서"/>
      <sheetName val="품목(Rack,OFD)산출서"/>
      <sheetName val="일위대가"/>
      <sheetName val="관로시설"/>
      <sheetName val="pld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설명서"/>
      <sheetName val="예정공정표"/>
      <sheetName val="기별표지"/>
      <sheetName val="공사계획서"/>
      <sheetName val="소요자재"/>
      <sheetName val="노무산출서"/>
      <sheetName val="공사비예산서"/>
      <sheetName val="설계명세서(종합)"/>
      <sheetName val="장비형품목산출서"/>
      <sheetName val="품목(Rack,OFD)산출서"/>
      <sheetName val="일위대가"/>
      <sheetName val="관로시설"/>
      <sheetName val="pldt"/>
      <sheetName val="품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단가표"/>
      <sheetName val="노임단가"/>
      <sheetName val="수량산출1"/>
      <sheetName val="역사집계표"/>
      <sheetName val="수량계산"/>
      <sheetName val="선로집계"/>
      <sheetName val="선로총괄"/>
      <sheetName val="인공"/>
      <sheetName val="반송인공"/>
      <sheetName val="관로신설"/>
      <sheetName val="광관로"/>
      <sheetName val="일위산출"/>
      <sheetName val="공량산출서"/>
      <sheetName val="일위대가"/>
      <sheetName val="수량조서"/>
      <sheetName val="원가계산서"/>
      <sheetName val="가설건물"/>
      <sheetName val="소방감리비"/>
      <sheetName val="LRH인공"/>
      <sheetName val="강관주"/>
      <sheetName val="CCTV"/>
      <sheetName val="증폭기"/>
      <sheetName val="연선전화"/>
      <sheetName val="지중도체"/>
      <sheetName val="사정조서"/>
      <sheetName val="사정표지"/>
      <sheetName val="총괄집계표"/>
      <sheetName val="노임변동률"/>
      <sheetName val="단가산출기초"/>
      <sheetName val="일위대가표"/>
      <sheetName val="rate"/>
      <sheetName val="증감대비"/>
    </sheetNames>
    <sheetDataSet>
      <sheetData sheetId="0" refreshError="1">
        <row r="4">
          <cell r="A4" t="str">
            <v xml:space="preserve"> 접지봉  16D×1800㎜</v>
          </cell>
          <cell r="B4" t="str">
            <v xml:space="preserve"> 접지봉 </v>
          </cell>
          <cell r="C4" t="str">
            <v xml:space="preserve"> 16D×1800㎜</v>
          </cell>
          <cell r="D4" t="str">
            <v>본</v>
          </cell>
          <cell r="E4" t="str">
            <v>P854</v>
          </cell>
          <cell r="F4">
            <v>4900</v>
          </cell>
          <cell r="G4" t="str">
            <v>P930</v>
          </cell>
          <cell r="H4">
            <v>3960</v>
          </cell>
          <cell r="M4">
            <v>3960</v>
          </cell>
        </row>
        <row r="5">
          <cell r="A5" t="str">
            <v xml:space="preserve"> 접지봉콘넥터 Φ16</v>
          </cell>
          <cell r="B5" t="str">
            <v xml:space="preserve"> 접지봉콘넥터</v>
          </cell>
          <cell r="C5" t="str">
            <v xml:space="preserve"> Φ16</v>
          </cell>
          <cell r="D5" t="str">
            <v>개</v>
          </cell>
          <cell r="G5" t="str">
            <v>P930</v>
          </cell>
          <cell r="H5">
            <v>700</v>
          </cell>
          <cell r="M5">
            <v>700</v>
          </cell>
        </row>
        <row r="6">
          <cell r="A6" t="str">
            <v xml:space="preserve"> 접지슬리브  100-60, 38㎜</v>
          </cell>
          <cell r="B6" t="str">
            <v xml:space="preserve"> 접지슬리브 </v>
          </cell>
          <cell r="C6" t="str">
            <v xml:space="preserve"> 100-60, 38㎜</v>
          </cell>
          <cell r="D6" t="str">
            <v>개</v>
          </cell>
          <cell r="E6" t="str">
            <v>P854</v>
          </cell>
          <cell r="F6">
            <v>2400</v>
          </cell>
          <cell r="G6" t="str">
            <v>P930</v>
          </cell>
          <cell r="H6">
            <v>2000</v>
          </cell>
          <cell r="M6">
            <v>2000</v>
          </cell>
        </row>
        <row r="7">
          <cell r="A7" t="str">
            <v xml:space="preserve"> 접지봉리드선   GV 38㎟</v>
          </cell>
          <cell r="B7" t="str">
            <v xml:space="preserve"> 접지봉리드선  </v>
          </cell>
          <cell r="C7" t="str">
            <v xml:space="preserve"> GV 38㎟</v>
          </cell>
          <cell r="D7" t="str">
            <v>m</v>
          </cell>
          <cell r="E7" t="str">
            <v>P763</v>
          </cell>
          <cell r="F7">
            <v>2211</v>
          </cell>
          <cell r="G7" t="str">
            <v>P844</v>
          </cell>
          <cell r="H7">
            <v>2211</v>
          </cell>
          <cell r="M7">
            <v>2211</v>
          </cell>
          <cell r="N7">
            <v>0.1</v>
          </cell>
        </row>
        <row r="8">
          <cell r="A8" t="str">
            <v xml:space="preserve"> 접지용전선   GV 22㎟</v>
          </cell>
          <cell r="B8" t="str">
            <v xml:space="preserve"> 접지용전선  </v>
          </cell>
          <cell r="C8" t="str">
            <v xml:space="preserve"> GV 22㎟</v>
          </cell>
          <cell r="D8" t="str">
            <v>m</v>
          </cell>
          <cell r="G8" t="str">
            <v>P844</v>
          </cell>
          <cell r="H8">
            <v>1468</v>
          </cell>
          <cell r="M8">
            <v>1468</v>
          </cell>
          <cell r="N8">
            <v>0.1</v>
          </cell>
        </row>
        <row r="9">
          <cell r="A9" t="str">
            <v xml:space="preserve"> 연동연선   AS 50㎟</v>
          </cell>
          <cell r="B9" t="str">
            <v xml:space="preserve"> 연동연선  </v>
          </cell>
          <cell r="C9" t="str">
            <v xml:space="preserve"> AS 50㎟</v>
          </cell>
          <cell r="D9" t="str">
            <v>m</v>
          </cell>
          <cell r="E9" t="str">
            <v>P776</v>
          </cell>
          <cell r="F9">
            <v>2604</v>
          </cell>
          <cell r="G9" t="str">
            <v>P856</v>
          </cell>
          <cell r="H9">
            <v>2400</v>
          </cell>
          <cell r="M9">
            <v>2400</v>
          </cell>
        </row>
        <row r="10">
          <cell r="A10" t="str">
            <v xml:space="preserve"> 동터미널 22㎟ 용</v>
          </cell>
          <cell r="B10" t="str">
            <v xml:space="preserve"> 동터미널</v>
          </cell>
          <cell r="C10" t="str">
            <v xml:space="preserve"> 22㎟ 용</v>
          </cell>
          <cell r="D10" t="str">
            <v>개</v>
          </cell>
          <cell r="G10" t="str">
            <v xml:space="preserve"> P861</v>
          </cell>
          <cell r="H10">
            <v>455</v>
          </cell>
          <cell r="M10">
            <v>455</v>
          </cell>
        </row>
        <row r="11">
          <cell r="A11" t="str">
            <v xml:space="preserve"> 콘크리트표주 접지표당청규격</v>
          </cell>
          <cell r="B11" t="str">
            <v xml:space="preserve"> 콘크리트표주</v>
          </cell>
          <cell r="C11" t="str">
            <v xml:space="preserve"> 접지표당청규격</v>
          </cell>
          <cell r="D11" t="str">
            <v>개</v>
          </cell>
          <cell r="L11">
            <v>10000</v>
          </cell>
          <cell r="M11">
            <v>10000</v>
          </cell>
        </row>
        <row r="12">
          <cell r="A12" t="str">
            <v xml:space="preserve"> 시멘트(40㎏)  분공장도</v>
          </cell>
          <cell r="B12" t="str">
            <v xml:space="preserve"> 시멘트(40㎏) </v>
          </cell>
          <cell r="C12" t="str">
            <v xml:space="preserve"> 분공장도</v>
          </cell>
          <cell r="D12" t="str">
            <v>포</v>
          </cell>
          <cell r="E12" t="str">
            <v xml:space="preserve"> P113</v>
          </cell>
          <cell r="F12">
            <v>2450</v>
          </cell>
          <cell r="G12" t="str">
            <v xml:space="preserve"> P96</v>
          </cell>
          <cell r="H12">
            <v>2450</v>
          </cell>
          <cell r="M12">
            <v>2450</v>
          </cell>
        </row>
        <row r="13">
          <cell r="A13" t="str">
            <v xml:space="preserve"> 이형철근 SD30A</v>
          </cell>
          <cell r="B13" t="str">
            <v xml:space="preserve"> 이형철근</v>
          </cell>
          <cell r="C13" t="str">
            <v xml:space="preserve"> SD30A</v>
          </cell>
          <cell r="D13" t="str">
            <v>TON</v>
          </cell>
          <cell r="E13" t="str">
            <v xml:space="preserve"> P44</v>
          </cell>
          <cell r="F13">
            <v>386500</v>
          </cell>
          <cell r="G13" t="str">
            <v xml:space="preserve"> P42</v>
          </cell>
          <cell r="H13">
            <v>380000</v>
          </cell>
          <cell r="M13">
            <v>380000</v>
          </cell>
        </row>
        <row r="14">
          <cell r="A14" t="str">
            <v xml:space="preserve"> 통신용맨홀(주철제)  통신용1120x620x132</v>
          </cell>
          <cell r="B14" t="str">
            <v xml:space="preserve"> 통신용맨홀(주철제) </v>
          </cell>
          <cell r="C14" t="str">
            <v xml:space="preserve"> 통신용1120x620x132</v>
          </cell>
          <cell r="D14" t="str">
            <v>조</v>
          </cell>
          <cell r="E14" t="str">
            <v>P171</v>
          </cell>
          <cell r="F14">
            <v>250000</v>
          </cell>
          <cell r="G14" t="str">
            <v>P160</v>
          </cell>
          <cell r="H14">
            <v>250000</v>
          </cell>
          <cell r="M14">
            <v>250000</v>
          </cell>
        </row>
        <row r="15">
          <cell r="A15" t="str">
            <v xml:space="preserve"> 케이블걸이쇠   2호</v>
          </cell>
          <cell r="B15" t="str">
            <v xml:space="preserve"> 케이블걸이쇠  </v>
          </cell>
          <cell r="C15" t="str">
            <v xml:space="preserve"> 2호</v>
          </cell>
          <cell r="D15" t="str">
            <v>개</v>
          </cell>
          <cell r="E15" t="str">
            <v>P879</v>
          </cell>
          <cell r="F15">
            <v>1850</v>
          </cell>
          <cell r="G15" t="str">
            <v>P959</v>
          </cell>
          <cell r="H15">
            <v>1850</v>
          </cell>
          <cell r="M15">
            <v>1850</v>
          </cell>
        </row>
        <row r="16">
          <cell r="A16" t="str">
            <v xml:space="preserve"> 케이블받침대   33×14×3×607</v>
          </cell>
          <cell r="B16" t="str">
            <v xml:space="preserve"> 케이블받침대  </v>
          </cell>
          <cell r="C16" t="str">
            <v xml:space="preserve"> 33×14×3×607</v>
          </cell>
          <cell r="D16" t="str">
            <v>개</v>
          </cell>
          <cell r="E16" t="str">
            <v>P879</v>
          </cell>
          <cell r="F16">
            <v>7000</v>
          </cell>
          <cell r="G16" t="str">
            <v>P959</v>
          </cell>
          <cell r="H16">
            <v>7000</v>
          </cell>
          <cell r="M16">
            <v>7000</v>
          </cell>
        </row>
        <row r="17">
          <cell r="A17" t="str">
            <v xml:space="preserve"> 앵커볼트(5/8")  M16  L250</v>
          </cell>
          <cell r="B17" t="str">
            <v xml:space="preserve"> 앵커볼트(5/8") </v>
          </cell>
          <cell r="C17" t="str">
            <v xml:space="preserve"> M16  L250</v>
          </cell>
          <cell r="D17" t="str">
            <v>조</v>
          </cell>
          <cell r="G17" t="str">
            <v xml:space="preserve"> P76</v>
          </cell>
          <cell r="H17">
            <v>295</v>
          </cell>
          <cell r="M17">
            <v>295</v>
          </cell>
        </row>
        <row r="18">
          <cell r="A18" t="str">
            <v xml:space="preserve"> 혼합골재  75㎜ 이하</v>
          </cell>
          <cell r="B18" t="str">
            <v xml:space="preserve"> 혼합골재 </v>
          </cell>
          <cell r="C18" t="str">
            <v xml:space="preserve"> 75㎜ 이하</v>
          </cell>
          <cell r="D18" t="str">
            <v>㎥</v>
          </cell>
          <cell r="E18" t="str">
            <v>P111</v>
          </cell>
          <cell r="F18">
            <v>12000</v>
          </cell>
          <cell r="G18" t="str">
            <v xml:space="preserve"> P95</v>
          </cell>
          <cell r="H18">
            <v>12000</v>
          </cell>
          <cell r="M18">
            <v>12000</v>
          </cell>
        </row>
        <row r="19">
          <cell r="A19" t="str">
            <v xml:space="preserve"> 모래(세척사)  인천(도착도)</v>
          </cell>
          <cell r="B19" t="str">
            <v xml:space="preserve"> 모래(세척사) </v>
          </cell>
          <cell r="C19" t="str">
            <v xml:space="preserve"> 인천(도착도)</v>
          </cell>
          <cell r="D19" t="str">
            <v>㎥</v>
          </cell>
          <cell r="E19" t="str">
            <v xml:space="preserve"> P111 </v>
          </cell>
          <cell r="F19">
            <v>1750</v>
          </cell>
          <cell r="G19" t="str">
            <v xml:space="preserve"> P95</v>
          </cell>
          <cell r="H19">
            <v>17500</v>
          </cell>
          <cell r="M19">
            <v>1750</v>
          </cell>
        </row>
        <row r="20">
          <cell r="A20" t="str">
            <v xml:space="preserve"> 자갈(#467,Φ40)   인천(도착도)</v>
          </cell>
          <cell r="B20" t="str">
            <v xml:space="preserve"> 자갈(#467,Φ40)  </v>
          </cell>
          <cell r="C20" t="str">
            <v xml:space="preserve"> 인천(도착도)</v>
          </cell>
          <cell r="D20" t="str">
            <v>㎥</v>
          </cell>
          <cell r="E20" t="str">
            <v xml:space="preserve"> P111 </v>
          </cell>
          <cell r="F20">
            <v>23000</v>
          </cell>
          <cell r="G20" t="str">
            <v xml:space="preserve"> P95</v>
          </cell>
          <cell r="H20">
            <v>18500</v>
          </cell>
          <cell r="M20">
            <v>18500</v>
          </cell>
        </row>
        <row r="21">
          <cell r="A21" t="str">
            <v xml:space="preserve"> 보통합판(1급)  12T  1.21*2.42</v>
          </cell>
          <cell r="B21" t="str">
            <v xml:space="preserve"> 보통합판(1급) </v>
          </cell>
          <cell r="C21" t="str">
            <v xml:space="preserve"> 12T  1.21*2.42</v>
          </cell>
          <cell r="D21" t="str">
            <v>㎡</v>
          </cell>
          <cell r="E21" t="str">
            <v>P433</v>
          </cell>
          <cell r="F21">
            <v>7366</v>
          </cell>
          <cell r="G21" t="str">
            <v>P353</v>
          </cell>
          <cell r="H21">
            <v>6181</v>
          </cell>
          <cell r="M21">
            <v>6181</v>
          </cell>
        </row>
        <row r="22">
          <cell r="A22" t="str">
            <v xml:space="preserve"> 라왕  각재</v>
          </cell>
          <cell r="B22" t="str">
            <v xml:space="preserve"> 라왕 </v>
          </cell>
          <cell r="C22" t="str">
            <v xml:space="preserve"> 각재</v>
          </cell>
          <cell r="D22" t="str">
            <v>㎥</v>
          </cell>
          <cell r="E22" t="str">
            <v xml:space="preserve"> P139</v>
          </cell>
          <cell r="F22">
            <v>988023</v>
          </cell>
          <cell r="G22" t="str">
            <v xml:space="preserve"> P106</v>
          </cell>
          <cell r="H22">
            <v>986023</v>
          </cell>
          <cell r="M22">
            <v>986023</v>
          </cell>
        </row>
        <row r="23">
          <cell r="A23" t="str">
            <v xml:space="preserve"> 어니일링(소)철선   #8  4.0mm</v>
          </cell>
          <cell r="B23" t="str">
            <v xml:space="preserve"> 어니일링(소)철선  </v>
          </cell>
          <cell r="C23" t="str">
            <v xml:space="preserve"> #8  4.0mm</v>
          </cell>
          <cell r="D23" t="str">
            <v>kg</v>
          </cell>
          <cell r="E23" t="str">
            <v xml:space="preserve"> P67</v>
          </cell>
          <cell r="F23">
            <v>570</v>
          </cell>
          <cell r="G23" t="str">
            <v xml:space="preserve"> P70</v>
          </cell>
          <cell r="H23">
            <v>570</v>
          </cell>
          <cell r="M23">
            <v>570</v>
          </cell>
        </row>
        <row r="24">
          <cell r="A24" t="str">
            <v xml:space="preserve"> 철못   N 50</v>
          </cell>
          <cell r="B24" t="str">
            <v xml:space="preserve"> 철못  </v>
          </cell>
          <cell r="C24" t="str">
            <v xml:space="preserve"> N 50</v>
          </cell>
          <cell r="D24" t="str">
            <v>kg</v>
          </cell>
          <cell r="E24" t="str">
            <v xml:space="preserve"> P70</v>
          </cell>
          <cell r="F24">
            <v>700</v>
          </cell>
          <cell r="G24" t="str">
            <v xml:space="preserve"> P70</v>
          </cell>
          <cell r="H24">
            <v>700</v>
          </cell>
          <cell r="M24">
            <v>700</v>
          </cell>
        </row>
        <row r="25">
          <cell r="A25" t="str">
            <v xml:space="preserve"> 박리제   유성</v>
          </cell>
          <cell r="B25" t="str">
            <v xml:space="preserve"> 박리제  </v>
          </cell>
          <cell r="C25" t="str">
            <v xml:space="preserve"> 유성</v>
          </cell>
          <cell r="D25" t="str">
            <v>ℓ</v>
          </cell>
          <cell r="E25" t="str">
            <v xml:space="preserve"> P147 </v>
          </cell>
          <cell r="F25">
            <v>1300</v>
          </cell>
          <cell r="G25" t="str">
            <v>P111</v>
          </cell>
          <cell r="H25">
            <v>1300</v>
          </cell>
          <cell r="M25">
            <v>1300</v>
          </cell>
        </row>
        <row r="26">
          <cell r="A26" t="str">
            <v xml:space="preserve"> 전화기  자동전화기(MFC)</v>
          </cell>
          <cell r="B26" t="str">
            <v xml:space="preserve"> 전화기 </v>
          </cell>
          <cell r="C26" t="str">
            <v xml:space="preserve"> 자동전화기(MFC)</v>
          </cell>
          <cell r="D26" t="str">
            <v>대</v>
          </cell>
          <cell r="E26" t="str">
            <v>P920</v>
          </cell>
          <cell r="F26">
            <v>30000</v>
          </cell>
          <cell r="M26">
            <v>30000</v>
          </cell>
        </row>
        <row r="27">
          <cell r="A27" t="str">
            <v xml:space="preserve"> 전화기  자동식직통</v>
          </cell>
          <cell r="B27" t="str">
            <v xml:space="preserve"> 전화기 </v>
          </cell>
          <cell r="C27" t="str">
            <v xml:space="preserve"> 자동식직통</v>
          </cell>
          <cell r="D27" t="str">
            <v>대</v>
          </cell>
          <cell r="L27">
            <v>280000</v>
          </cell>
          <cell r="M27">
            <v>280000</v>
          </cell>
        </row>
        <row r="28">
          <cell r="A28" t="str">
            <v xml:space="preserve"> KEY PHONE 모장치(GK50HB)10/16</v>
          </cell>
          <cell r="B28" t="str">
            <v xml:space="preserve"> KEY PHONE</v>
          </cell>
          <cell r="C28" t="str">
            <v xml:space="preserve"> 모장치(GK50HB)10/16</v>
          </cell>
          <cell r="D28" t="str">
            <v>대</v>
          </cell>
          <cell r="L28">
            <v>456000</v>
          </cell>
          <cell r="M28">
            <v>456000</v>
          </cell>
        </row>
        <row r="29">
          <cell r="A29" t="str">
            <v xml:space="preserve"> KEY PHONE 자장치(33LG)</v>
          </cell>
          <cell r="B29" t="str">
            <v xml:space="preserve"> KEY PHONE</v>
          </cell>
          <cell r="C29" t="str">
            <v xml:space="preserve"> 자장치(33LG)</v>
          </cell>
          <cell r="D29" t="str">
            <v>대</v>
          </cell>
          <cell r="L29">
            <v>95000</v>
          </cell>
          <cell r="M29">
            <v>95000</v>
          </cell>
        </row>
        <row r="30">
          <cell r="A30" t="str">
            <v xml:space="preserve"> 비디오폰  모장치</v>
          </cell>
          <cell r="B30" t="str">
            <v xml:space="preserve"> 비디오폰 </v>
          </cell>
          <cell r="C30" t="str">
            <v xml:space="preserve"> 모장치</v>
          </cell>
          <cell r="D30" t="str">
            <v>대</v>
          </cell>
          <cell r="L30">
            <v>180000</v>
          </cell>
          <cell r="M30">
            <v>180000</v>
          </cell>
        </row>
        <row r="31">
          <cell r="A31" t="str">
            <v xml:space="preserve"> 비디오폰  자장치</v>
          </cell>
          <cell r="B31" t="str">
            <v xml:space="preserve"> 비디오폰 </v>
          </cell>
          <cell r="C31" t="str">
            <v xml:space="preserve"> 자장치</v>
          </cell>
          <cell r="D31" t="str">
            <v>대</v>
          </cell>
          <cell r="L31">
            <v>140000</v>
          </cell>
          <cell r="M31">
            <v>140000</v>
          </cell>
        </row>
        <row r="32">
          <cell r="A32" t="str">
            <v xml:space="preserve"> 통신케이블 CPEV 5P/0.65</v>
          </cell>
          <cell r="B32" t="str">
            <v xml:space="preserve"> 통신케이블</v>
          </cell>
          <cell r="C32" t="str">
            <v xml:space="preserve"> CPEV 5P/0.65</v>
          </cell>
          <cell r="D32" t="str">
            <v>m</v>
          </cell>
          <cell r="E32" t="str">
            <v>P778</v>
          </cell>
          <cell r="F32">
            <v>728</v>
          </cell>
          <cell r="G32" t="str">
            <v>P853</v>
          </cell>
          <cell r="H32">
            <v>719</v>
          </cell>
          <cell r="M32">
            <v>719</v>
          </cell>
          <cell r="N32">
            <v>0.03</v>
          </cell>
        </row>
        <row r="33">
          <cell r="A33" t="str">
            <v xml:space="preserve"> 통신케이블 CPEV 10P/0.65</v>
          </cell>
          <cell r="B33" t="str">
            <v xml:space="preserve"> 통신케이블</v>
          </cell>
          <cell r="C33" t="str">
            <v xml:space="preserve"> CPEV 10P/0.65</v>
          </cell>
          <cell r="D33" t="str">
            <v>m</v>
          </cell>
          <cell r="E33" t="str">
            <v>P778</v>
          </cell>
          <cell r="F33">
            <v>914</v>
          </cell>
          <cell r="G33" t="str">
            <v>P853</v>
          </cell>
          <cell r="H33">
            <v>902</v>
          </cell>
          <cell r="M33">
            <v>902</v>
          </cell>
          <cell r="N33">
            <v>0.03</v>
          </cell>
        </row>
        <row r="34">
          <cell r="A34" t="str">
            <v xml:space="preserve"> 통신케이블 CPEV 20P/0.65</v>
          </cell>
          <cell r="B34" t="str">
            <v xml:space="preserve"> 통신케이블</v>
          </cell>
          <cell r="C34" t="str">
            <v xml:space="preserve"> CPEV 20P/0.65</v>
          </cell>
          <cell r="D34" t="str">
            <v>m</v>
          </cell>
          <cell r="E34" t="str">
            <v>P778</v>
          </cell>
          <cell r="F34">
            <v>1351</v>
          </cell>
          <cell r="G34" t="str">
            <v>P853</v>
          </cell>
          <cell r="H34">
            <v>1333</v>
          </cell>
          <cell r="M34">
            <v>1333</v>
          </cell>
          <cell r="N34">
            <v>0.03</v>
          </cell>
        </row>
        <row r="35">
          <cell r="A35" t="str">
            <v xml:space="preserve"> 통신케이블 CPEV 30P/0.65</v>
          </cell>
          <cell r="B35" t="str">
            <v xml:space="preserve"> 통신케이블</v>
          </cell>
          <cell r="C35" t="str">
            <v xml:space="preserve"> CPEV 30P/0.65</v>
          </cell>
          <cell r="D35" t="str">
            <v>m</v>
          </cell>
          <cell r="E35" t="str">
            <v>P778</v>
          </cell>
          <cell r="F35">
            <v>1351</v>
          </cell>
          <cell r="G35" t="str">
            <v>P853</v>
          </cell>
          <cell r="H35">
            <v>1333</v>
          </cell>
          <cell r="M35">
            <v>1333</v>
          </cell>
          <cell r="N35">
            <v>0.03</v>
          </cell>
        </row>
        <row r="36">
          <cell r="A36" t="str">
            <v xml:space="preserve"> ECX CABLE   5C-2V</v>
          </cell>
          <cell r="B36" t="str">
            <v xml:space="preserve"> ECX CABLE  </v>
          </cell>
          <cell r="C36" t="str">
            <v xml:space="preserve"> 5C-2V</v>
          </cell>
          <cell r="D36" t="str">
            <v>m</v>
          </cell>
          <cell r="E36" t="str">
            <v>P778</v>
          </cell>
          <cell r="F36">
            <v>528</v>
          </cell>
          <cell r="G36" t="str">
            <v>P854</v>
          </cell>
          <cell r="H36">
            <v>488</v>
          </cell>
          <cell r="M36">
            <v>488</v>
          </cell>
          <cell r="N36">
            <v>0.03</v>
          </cell>
        </row>
        <row r="37">
          <cell r="A37" t="str">
            <v xml:space="preserve"> ECX CABLE   7C-2V</v>
          </cell>
          <cell r="B37" t="str">
            <v xml:space="preserve"> ECX CABLE  </v>
          </cell>
          <cell r="C37" t="str">
            <v xml:space="preserve"> 7C-2V</v>
          </cell>
          <cell r="D37" t="str">
            <v>m</v>
          </cell>
          <cell r="E37" t="str">
            <v>P778</v>
          </cell>
          <cell r="F37">
            <v>955</v>
          </cell>
          <cell r="G37" t="str">
            <v>P854</v>
          </cell>
          <cell r="H37">
            <v>883</v>
          </cell>
          <cell r="M37">
            <v>883</v>
          </cell>
          <cell r="N37">
            <v>0.03</v>
          </cell>
        </row>
        <row r="38">
          <cell r="A38" t="str">
            <v xml:space="preserve"> 600V 가교PE 케이블   CV 2C/5.5㎟</v>
          </cell>
          <cell r="B38" t="str">
            <v xml:space="preserve"> 600V 가교PE 케이블  </v>
          </cell>
          <cell r="C38" t="str">
            <v xml:space="preserve"> CV 2C/5.5㎟</v>
          </cell>
          <cell r="D38" t="str">
            <v>m</v>
          </cell>
          <cell r="E38" t="str">
            <v>P766</v>
          </cell>
          <cell r="F38">
            <v>930</v>
          </cell>
          <cell r="G38" t="str">
            <v>P851</v>
          </cell>
          <cell r="H38">
            <v>918</v>
          </cell>
          <cell r="M38">
            <v>918</v>
          </cell>
          <cell r="N38">
            <v>0.03</v>
          </cell>
        </row>
        <row r="39">
          <cell r="A39" t="str">
            <v xml:space="preserve"> 전화선  TIV  2C/0.8㎜</v>
          </cell>
          <cell r="B39" t="str">
            <v xml:space="preserve"> 전화선 </v>
          </cell>
          <cell r="C39" t="str">
            <v xml:space="preserve"> TIV  2C/0.8㎜</v>
          </cell>
          <cell r="D39" t="str">
            <v>m</v>
          </cell>
          <cell r="E39" t="str">
            <v>P779</v>
          </cell>
          <cell r="F39">
            <v>80</v>
          </cell>
          <cell r="G39" t="str">
            <v>P854</v>
          </cell>
          <cell r="H39">
            <v>78</v>
          </cell>
          <cell r="M39">
            <v>78</v>
          </cell>
          <cell r="N39">
            <v>0.05</v>
          </cell>
        </row>
        <row r="40">
          <cell r="A40" t="str">
            <v xml:space="preserve"> 접지용전선   GV 5.5㎟</v>
          </cell>
          <cell r="B40" t="str">
            <v xml:space="preserve"> 접지용전선  </v>
          </cell>
          <cell r="C40" t="str">
            <v xml:space="preserve"> GV 5.5㎟</v>
          </cell>
          <cell r="D40" t="str">
            <v>m</v>
          </cell>
          <cell r="E40" t="str">
            <v>P763</v>
          </cell>
          <cell r="F40">
            <v>410</v>
          </cell>
          <cell r="G40" t="str">
            <v>P844</v>
          </cell>
          <cell r="H40">
            <v>410</v>
          </cell>
          <cell r="M40">
            <v>410</v>
          </cell>
          <cell r="N40">
            <v>0.1</v>
          </cell>
        </row>
        <row r="41">
          <cell r="A41" t="str">
            <v xml:space="preserve"> 제어케이블 CVV-S  24C×1.25㎟</v>
          </cell>
          <cell r="B41" t="str">
            <v xml:space="preserve"> 제어케이블</v>
          </cell>
          <cell r="C41" t="str">
            <v xml:space="preserve"> CVV-S  24C×1.25㎟</v>
          </cell>
          <cell r="D41" t="str">
            <v>m</v>
          </cell>
          <cell r="E41" t="str">
            <v>P765</v>
          </cell>
          <cell r="F41">
            <v>3050</v>
          </cell>
          <cell r="G41" t="str">
            <v>P845</v>
          </cell>
          <cell r="H41">
            <v>2873</v>
          </cell>
          <cell r="M41">
            <v>2873</v>
          </cell>
          <cell r="N41">
            <v>0.03</v>
          </cell>
        </row>
        <row r="42">
          <cell r="A42" t="str">
            <v xml:space="preserve"> 제어케이블 CVV-S  2C×1.25㎟</v>
          </cell>
          <cell r="B42" t="str">
            <v xml:space="preserve"> 제어케이블</v>
          </cell>
          <cell r="C42" t="str">
            <v xml:space="preserve"> CVV-S  2C×1.25㎟</v>
          </cell>
          <cell r="D42" t="str">
            <v>m</v>
          </cell>
          <cell r="E42" t="str">
            <v>P765</v>
          </cell>
          <cell r="F42">
            <v>714</v>
          </cell>
          <cell r="G42" t="str">
            <v>P845</v>
          </cell>
          <cell r="H42">
            <v>672</v>
          </cell>
          <cell r="M42">
            <v>672</v>
          </cell>
          <cell r="N42">
            <v>0.03</v>
          </cell>
        </row>
        <row r="43">
          <cell r="A43" t="str">
            <v xml:space="preserve"> 제어케이블 CVV-SB  2C×1.25㎟</v>
          </cell>
          <cell r="B43" t="str">
            <v xml:space="preserve"> 제어케이블</v>
          </cell>
          <cell r="C43" t="str">
            <v xml:space="preserve"> CVV-SB  2C×1.25㎟</v>
          </cell>
          <cell r="D43" t="str">
            <v>m</v>
          </cell>
          <cell r="E43" t="str">
            <v>P765</v>
          </cell>
          <cell r="F43">
            <v>755</v>
          </cell>
          <cell r="G43" t="str">
            <v>P845</v>
          </cell>
          <cell r="H43">
            <v>711</v>
          </cell>
          <cell r="M43">
            <v>711</v>
          </cell>
          <cell r="N43">
            <v>0.03</v>
          </cell>
        </row>
        <row r="44">
          <cell r="A44" t="str">
            <v xml:space="preserve"> 제어케이블 CVV-SB  8C×1.25㎟</v>
          </cell>
          <cell r="B44" t="str">
            <v xml:space="preserve"> 제어케이블</v>
          </cell>
          <cell r="C44" t="str">
            <v xml:space="preserve"> CVV-SB  8C×1.25㎟</v>
          </cell>
          <cell r="D44" t="str">
            <v>m</v>
          </cell>
          <cell r="G44" t="str">
            <v>P845</v>
          </cell>
          <cell r="H44">
            <v>1489</v>
          </cell>
          <cell r="M44">
            <v>1489</v>
          </cell>
          <cell r="N44">
            <v>0.03</v>
          </cell>
        </row>
        <row r="45">
          <cell r="A45" t="str">
            <v xml:space="preserve"> 국내케이블  SWV-SH  2개연 10C</v>
          </cell>
          <cell r="B45" t="str">
            <v xml:space="preserve"> 국내케이블 </v>
          </cell>
          <cell r="C45" t="str">
            <v xml:space="preserve"> SWV-SH  2개연 10C</v>
          </cell>
          <cell r="D45" t="str">
            <v>m</v>
          </cell>
          <cell r="E45" t="str">
            <v>P778</v>
          </cell>
          <cell r="F45">
            <v>730</v>
          </cell>
          <cell r="G45" t="str">
            <v>P853</v>
          </cell>
          <cell r="H45">
            <v>673</v>
          </cell>
          <cell r="M45">
            <v>673</v>
          </cell>
          <cell r="N45">
            <v>0.03</v>
          </cell>
        </row>
        <row r="46">
          <cell r="A46" t="str">
            <v xml:space="preserve"> 2종 비닐절연전선 HIV 1.2㎜</v>
          </cell>
          <cell r="B46" t="str">
            <v xml:space="preserve"> 2종 비닐절연전선</v>
          </cell>
          <cell r="C46" t="str">
            <v xml:space="preserve"> HIV 1.2㎜</v>
          </cell>
          <cell r="D46" t="str">
            <v>m</v>
          </cell>
          <cell r="E46" t="str">
            <v>P762</v>
          </cell>
          <cell r="F46">
            <v>61</v>
          </cell>
          <cell r="G46" t="str">
            <v>P842</v>
          </cell>
          <cell r="H46">
            <v>58</v>
          </cell>
          <cell r="M46">
            <v>58</v>
          </cell>
          <cell r="N46">
            <v>0.1</v>
          </cell>
        </row>
        <row r="47">
          <cell r="A47" t="str">
            <v xml:space="preserve"> 2종 비닐절연전선 HIV 1.6㎜</v>
          </cell>
          <cell r="B47" t="str">
            <v xml:space="preserve"> 2종 비닐절연전선</v>
          </cell>
          <cell r="C47" t="str">
            <v xml:space="preserve"> HIV 1.6㎜</v>
          </cell>
          <cell r="D47" t="str">
            <v>m</v>
          </cell>
          <cell r="E47" t="str">
            <v>P762</v>
          </cell>
          <cell r="F47">
            <v>101</v>
          </cell>
          <cell r="G47" t="str">
            <v>P842</v>
          </cell>
          <cell r="H47">
            <v>95</v>
          </cell>
          <cell r="M47">
            <v>95</v>
          </cell>
          <cell r="N47">
            <v>0.1</v>
          </cell>
        </row>
        <row r="48">
          <cell r="A48" t="str">
            <v xml:space="preserve"> 2종 비닐절연전선 HIV 2.0㎜</v>
          </cell>
          <cell r="B48" t="str">
            <v xml:space="preserve"> 2종 비닐절연전선</v>
          </cell>
          <cell r="C48" t="str">
            <v xml:space="preserve"> HIV 2.0㎜</v>
          </cell>
          <cell r="D48" t="str">
            <v>m</v>
          </cell>
          <cell r="E48" t="str">
            <v>P762</v>
          </cell>
          <cell r="F48">
            <v>149</v>
          </cell>
          <cell r="G48" t="str">
            <v>P842</v>
          </cell>
          <cell r="H48">
            <v>139</v>
          </cell>
          <cell r="M48">
            <v>139</v>
          </cell>
          <cell r="N48">
            <v>0.1</v>
          </cell>
        </row>
        <row r="49">
          <cell r="A49" t="str">
            <v xml:space="preserve"> 600V 비닐절연전선  IV 3.5㎟</v>
          </cell>
          <cell r="B49" t="str">
            <v xml:space="preserve"> 600V 비닐절연전선 </v>
          </cell>
          <cell r="C49" t="str">
            <v xml:space="preserve"> IV 3.5㎟</v>
          </cell>
          <cell r="D49" t="str">
            <v>m</v>
          </cell>
          <cell r="E49" t="str">
            <v>P762</v>
          </cell>
          <cell r="F49">
            <v>176</v>
          </cell>
          <cell r="G49" t="str">
            <v>P842</v>
          </cell>
          <cell r="H49">
            <v>167</v>
          </cell>
          <cell r="M49">
            <v>167</v>
          </cell>
          <cell r="N49">
            <v>0.1</v>
          </cell>
        </row>
        <row r="50">
          <cell r="A50" t="str">
            <v xml:space="preserve"> 600V 비닐절연전선  IV 5.5㎟</v>
          </cell>
          <cell r="B50" t="str">
            <v xml:space="preserve"> 600V 비닐절연전선 </v>
          </cell>
          <cell r="C50" t="str">
            <v xml:space="preserve"> IV 5.5㎟</v>
          </cell>
          <cell r="D50" t="str">
            <v>m</v>
          </cell>
          <cell r="E50" t="str">
            <v>P762</v>
          </cell>
          <cell r="F50">
            <v>252</v>
          </cell>
          <cell r="G50" t="str">
            <v>P842</v>
          </cell>
          <cell r="H50">
            <v>254</v>
          </cell>
          <cell r="M50">
            <v>252</v>
          </cell>
          <cell r="N50">
            <v>0.1</v>
          </cell>
        </row>
        <row r="51">
          <cell r="A51" t="str">
            <v xml:space="preserve"> 지중케이블 신설 CTC 2P</v>
          </cell>
          <cell r="B51" t="str">
            <v xml:space="preserve"> 지중케이블 신설</v>
          </cell>
          <cell r="C51" t="str">
            <v xml:space="preserve"> CTC 2P</v>
          </cell>
          <cell r="D51" t="str">
            <v>m</v>
          </cell>
          <cell r="L51">
            <v>580</v>
          </cell>
          <cell r="M51">
            <v>580</v>
          </cell>
          <cell r="N51">
            <v>0.03</v>
          </cell>
        </row>
        <row r="52">
          <cell r="A52" t="str">
            <v xml:space="preserve"> 후강전선관  아연도 16C</v>
          </cell>
          <cell r="B52" t="str">
            <v xml:space="preserve"> 후강전선관 </v>
          </cell>
          <cell r="C52" t="str">
            <v xml:space="preserve"> 아연도 16C</v>
          </cell>
          <cell r="D52" t="str">
            <v>m</v>
          </cell>
          <cell r="E52" t="str">
            <v>P789</v>
          </cell>
          <cell r="F52">
            <v>913</v>
          </cell>
          <cell r="G52" t="str">
            <v>P866</v>
          </cell>
          <cell r="H52">
            <v>913</v>
          </cell>
          <cell r="M52">
            <v>913</v>
          </cell>
          <cell r="N52">
            <v>0.1</v>
          </cell>
        </row>
        <row r="53">
          <cell r="A53" t="str">
            <v xml:space="preserve"> 후강전선관  아연도 22C</v>
          </cell>
          <cell r="B53" t="str">
            <v xml:space="preserve"> 후강전선관 </v>
          </cell>
          <cell r="C53" t="str">
            <v xml:space="preserve"> 아연도 22C</v>
          </cell>
          <cell r="D53" t="str">
            <v>m</v>
          </cell>
          <cell r="E53" t="str">
            <v>P789</v>
          </cell>
          <cell r="F53">
            <v>1169</v>
          </cell>
          <cell r="G53" t="str">
            <v>P866</v>
          </cell>
          <cell r="H53">
            <v>1169</v>
          </cell>
          <cell r="M53">
            <v>1169</v>
          </cell>
          <cell r="N53">
            <v>0.1</v>
          </cell>
        </row>
        <row r="54">
          <cell r="A54" t="str">
            <v xml:space="preserve"> 후강전선관  아연도 28C</v>
          </cell>
          <cell r="B54" t="str">
            <v xml:space="preserve"> 후강전선관 </v>
          </cell>
          <cell r="C54" t="str">
            <v xml:space="preserve"> 아연도 28C</v>
          </cell>
          <cell r="D54" t="str">
            <v>m</v>
          </cell>
          <cell r="E54" t="str">
            <v>P789</v>
          </cell>
          <cell r="F54">
            <v>1526</v>
          </cell>
          <cell r="G54" t="str">
            <v>P866</v>
          </cell>
          <cell r="H54">
            <v>1526</v>
          </cell>
          <cell r="M54">
            <v>1526</v>
          </cell>
          <cell r="N54">
            <v>0.1</v>
          </cell>
        </row>
        <row r="55">
          <cell r="A55" t="str">
            <v xml:space="preserve"> 후강전선관  아연도 36C</v>
          </cell>
          <cell r="B55" t="str">
            <v xml:space="preserve"> 후강전선관 </v>
          </cell>
          <cell r="C55" t="str">
            <v xml:space="preserve"> 아연도 36C</v>
          </cell>
          <cell r="D55" t="str">
            <v>m</v>
          </cell>
          <cell r="E55" t="str">
            <v>P789</v>
          </cell>
          <cell r="F55">
            <v>1873</v>
          </cell>
          <cell r="G55" t="str">
            <v>P866</v>
          </cell>
          <cell r="H55">
            <v>1873</v>
          </cell>
          <cell r="M55">
            <v>1873</v>
          </cell>
          <cell r="N55">
            <v>0.1</v>
          </cell>
        </row>
        <row r="56">
          <cell r="A56" t="str">
            <v xml:space="preserve"> 후강전선관  아연도 42C</v>
          </cell>
          <cell r="B56" t="str">
            <v xml:space="preserve"> 후강전선관 </v>
          </cell>
          <cell r="C56" t="str">
            <v xml:space="preserve"> 아연도 42C</v>
          </cell>
          <cell r="D56" t="str">
            <v>m</v>
          </cell>
          <cell r="E56" t="str">
            <v>P789</v>
          </cell>
          <cell r="F56">
            <v>2171</v>
          </cell>
          <cell r="G56" t="str">
            <v>P866</v>
          </cell>
          <cell r="H56">
            <v>2171</v>
          </cell>
          <cell r="M56">
            <v>2171</v>
          </cell>
          <cell r="N56">
            <v>0.1</v>
          </cell>
        </row>
        <row r="57">
          <cell r="A57" t="str">
            <v xml:space="preserve"> 후강전선관  아연도 54C</v>
          </cell>
          <cell r="B57" t="str">
            <v xml:space="preserve"> 후강전선관 </v>
          </cell>
          <cell r="C57" t="str">
            <v xml:space="preserve"> 아연도 54C</v>
          </cell>
          <cell r="D57" t="str">
            <v>m</v>
          </cell>
          <cell r="E57" t="str">
            <v>P789</v>
          </cell>
          <cell r="F57">
            <v>3027</v>
          </cell>
          <cell r="G57" t="str">
            <v>P866</v>
          </cell>
          <cell r="H57">
            <v>3027</v>
          </cell>
          <cell r="M57">
            <v>3027</v>
          </cell>
          <cell r="N57">
            <v>0.1</v>
          </cell>
        </row>
        <row r="58">
          <cell r="A58" t="str">
            <v xml:space="preserve"> 후강전선관  아연도 82C</v>
          </cell>
          <cell r="B58" t="str">
            <v xml:space="preserve"> 후강전선관 </v>
          </cell>
          <cell r="C58" t="str">
            <v xml:space="preserve"> 아연도 82C</v>
          </cell>
          <cell r="D58" t="str">
            <v>m</v>
          </cell>
          <cell r="E58" t="str">
            <v>P789</v>
          </cell>
          <cell r="F58">
            <v>4324</v>
          </cell>
          <cell r="G58" t="str">
            <v>P866</v>
          </cell>
          <cell r="H58">
            <v>4324</v>
          </cell>
          <cell r="M58">
            <v>4324</v>
          </cell>
          <cell r="N58">
            <v>0.1</v>
          </cell>
        </row>
        <row r="59">
          <cell r="A59" t="str">
            <v xml:space="preserve"> 노말밴드 28C</v>
          </cell>
          <cell r="B59" t="str">
            <v xml:space="preserve"> 노말밴드</v>
          </cell>
          <cell r="C59" t="str">
            <v xml:space="preserve"> 28C</v>
          </cell>
          <cell r="D59" t="str">
            <v>개</v>
          </cell>
          <cell r="E59" t="str">
            <v>P789</v>
          </cell>
          <cell r="F59">
            <v>1969</v>
          </cell>
          <cell r="G59" t="str">
            <v>P871</v>
          </cell>
          <cell r="H59">
            <v>1969</v>
          </cell>
          <cell r="M59">
            <v>1969</v>
          </cell>
        </row>
        <row r="60">
          <cell r="A60" t="str">
            <v xml:space="preserve"> 노말밴드 36C</v>
          </cell>
          <cell r="B60" t="str">
            <v xml:space="preserve"> 노말밴드</v>
          </cell>
          <cell r="C60" t="str">
            <v xml:space="preserve"> 36C</v>
          </cell>
          <cell r="D60" t="str">
            <v>개</v>
          </cell>
          <cell r="E60" t="str">
            <v>P789</v>
          </cell>
          <cell r="F60">
            <v>2500</v>
          </cell>
          <cell r="G60" t="str">
            <v>P871</v>
          </cell>
          <cell r="H60">
            <v>2625</v>
          </cell>
          <cell r="M60">
            <v>2500</v>
          </cell>
        </row>
        <row r="61">
          <cell r="A61" t="str">
            <v xml:space="preserve"> 노말밴드 42C</v>
          </cell>
          <cell r="B61" t="str">
            <v xml:space="preserve"> 노말밴드</v>
          </cell>
          <cell r="C61" t="str">
            <v xml:space="preserve"> 42C</v>
          </cell>
          <cell r="D61" t="str">
            <v>개</v>
          </cell>
          <cell r="E61" t="str">
            <v>P789</v>
          </cell>
          <cell r="F61">
            <v>3413</v>
          </cell>
          <cell r="G61" t="str">
            <v>P871</v>
          </cell>
          <cell r="H61">
            <v>3413</v>
          </cell>
          <cell r="M61">
            <v>3413</v>
          </cell>
        </row>
        <row r="62">
          <cell r="A62" t="str">
            <v xml:space="preserve"> 노말밴드 54C</v>
          </cell>
          <cell r="B62" t="str">
            <v xml:space="preserve"> 노말밴드</v>
          </cell>
          <cell r="C62" t="str">
            <v xml:space="preserve"> 54C</v>
          </cell>
          <cell r="D62" t="str">
            <v>개</v>
          </cell>
          <cell r="E62" t="str">
            <v>P789</v>
          </cell>
          <cell r="F62">
            <v>4625</v>
          </cell>
          <cell r="G62" t="str">
            <v>P871</v>
          </cell>
          <cell r="H62">
            <v>4856</v>
          </cell>
          <cell r="M62">
            <v>4625</v>
          </cell>
        </row>
        <row r="63">
          <cell r="A63" t="str">
            <v xml:space="preserve"> 노말밴드 82C</v>
          </cell>
          <cell r="B63" t="str">
            <v xml:space="preserve"> 노말밴드</v>
          </cell>
          <cell r="C63" t="str">
            <v xml:space="preserve"> 82C</v>
          </cell>
          <cell r="D63" t="str">
            <v>개</v>
          </cell>
          <cell r="E63" t="str">
            <v>P789</v>
          </cell>
          <cell r="F63">
            <v>11813</v>
          </cell>
          <cell r="G63" t="str">
            <v>P871</v>
          </cell>
          <cell r="H63">
            <v>11813</v>
          </cell>
          <cell r="M63">
            <v>11813</v>
          </cell>
        </row>
        <row r="64">
          <cell r="A64" t="str">
            <v xml:space="preserve"> 1종가요관   16C ㉿비방수</v>
          </cell>
          <cell r="B64" t="str">
            <v xml:space="preserve"> 1종가요관  </v>
          </cell>
          <cell r="C64" t="str">
            <v xml:space="preserve"> 16C ㉿비방수</v>
          </cell>
          <cell r="D64" t="str">
            <v>m</v>
          </cell>
          <cell r="G64" t="str">
            <v>P867</v>
          </cell>
          <cell r="H64">
            <v>145</v>
          </cell>
          <cell r="M64">
            <v>145</v>
          </cell>
          <cell r="N64">
            <v>0.1</v>
          </cell>
        </row>
        <row r="65">
          <cell r="A65" t="str">
            <v xml:space="preserve"> 1종가요관   22C ㉿비방수</v>
          </cell>
          <cell r="B65" t="str">
            <v xml:space="preserve"> 1종가요관  </v>
          </cell>
          <cell r="C65" t="str">
            <v xml:space="preserve"> 22C ㉿비방수</v>
          </cell>
          <cell r="D65" t="str">
            <v>m</v>
          </cell>
          <cell r="G65" t="str">
            <v>P867</v>
          </cell>
          <cell r="H65">
            <v>215</v>
          </cell>
          <cell r="M65">
            <v>215</v>
          </cell>
          <cell r="N65">
            <v>0.1</v>
          </cell>
        </row>
        <row r="66">
          <cell r="A66" t="str">
            <v xml:space="preserve"> 1종가요관   28C ㉿비방수</v>
          </cell>
          <cell r="B66" t="str">
            <v xml:space="preserve"> 1종가요관  </v>
          </cell>
          <cell r="C66" t="str">
            <v xml:space="preserve"> 28C ㉿비방수</v>
          </cell>
          <cell r="D66" t="str">
            <v>m</v>
          </cell>
          <cell r="G66" t="str">
            <v>P867</v>
          </cell>
          <cell r="H66">
            <v>290</v>
          </cell>
          <cell r="M66">
            <v>290</v>
          </cell>
          <cell r="N66">
            <v>0.1</v>
          </cell>
        </row>
        <row r="67">
          <cell r="A67" t="str">
            <v xml:space="preserve"> 1종가요관   36C ㉿비방수</v>
          </cell>
          <cell r="B67" t="str">
            <v xml:space="preserve"> 1종가요관  </v>
          </cell>
          <cell r="C67" t="str">
            <v xml:space="preserve"> 36C ㉿비방수</v>
          </cell>
          <cell r="D67" t="str">
            <v>m</v>
          </cell>
          <cell r="G67" t="str">
            <v>P867</v>
          </cell>
          <cell r="H67">
            <v>420</v>
          </cell>
          <cell r="M67">
            <v>420</v>
          </cell>
          <cell r="N67">
            <v>0.1</v>
          </cell>
        </row>
        <row r="68">
          <cell r="A68" t="str">
            <v xml:space="preserve"> 경질비닐 전선관 HI 28C</v>
          </cell>
          <cell r="B68" t="str">
            <v xml:space="preserve"> 경질비닐 전선관</v>
          </cell>
          <cell r="C68" t="str">
            <v xml:space="preserve"> HI 28C</v>
          </cell>
          <cell r="D68" t="str">
            <v>m</v>
          </cell>
          <cell r="E68" t="str">
            <v>P793</v>
          </cell>
          <cell r="F68">
            <v>936</v>
          </cell>
          <cell r="G68" t="str">
            <v>P866</v>
          </cell>
          <cell r="H68">
            <v>744</v>
          </cell>
          <cell r="M68">
            <v>744</v>
          </cell>
          <cell r="N68">
            <v>0.02</v>
          </cell>
        </row>
        <row r="69">
          <cell r="A69" t="str">
            <v xml:space="preserve"> 경질비닐 전선관 HI 36C</v>
          </cell>
          <cell r="B69" t="str">
            <v xml:space="preserve"> 경질비닐 전선관</v>
          </cell>
          <cell r="C69" t="str">
            <v xml:space="preserve"> HI 36C</v>
          </cell>
          <cell r="D69" t="str">
            <v>m</v>
          </cell>
          <cell r="E69" t="str">
            <v>P793</v>
          </cell>
          <cell r="F69">
            <v>1200</v>
          </cell>
          <cell r="G69" t="str">
            <v>P866</v>
          </cell>
          <cell r="H69">
            <v>1040</v>
          </cell>
          <cell r="M69">
            <v>1040</v>
          </cell>
          <cell r="N69">
            <v>0.02</v>
          </cell>
        </row>
        <row r="70">
          <cell r="A70" t="str">
            <v xml:space="preserve"> 경질비닐 전선관 HI 54C</v>
          </cell>
          <cell r="B70" t="str">
            <v xml:space="preserve"> 경질비닐 전선관</v>
          </cell>
          <cell r="C70" t="str">
            <v xml:space="preserve"> HI 54C</v>
          </cell>
          <cell r="D70" t="str">
            <v>m</v>
          </cell>
          <cell r="E70" t="str">
            <v>P793</v>
          </cell>
          <cell r="F70">
            <v>2212</v>
          </cell>
          <cell r="G70" t="str">
            <v>P866</v>
          </cell>
          <cell r="H70">
            <v>1930</v>
          </cell>
          <cell r="M70">
            <v>1930</v>
          </cell>
          <cell r="N70">
            <v>0.02</v>
          </cell>
        </row>
        <row r="71">
          <cell r="A71" t="str">
            <v xml:space="preserve"> 경질비닐 전선관 HI 82C</v>
          </cell>
          <cell r="B71" t="str">
            <v xml:space="preserve"> 경질비닐 전선관</v>
          </cell>
          <cell r="C71" t="str">
            <v xml:space="preserve"> HI 82C</v>
          </cell>
          <cell r="D71" t="str">
            <v>m</v>
          </cell>
          <cell r="E71" t="str">
            <v>P793</v>
          </cell>
          <cell r="F71">
            <v>4274</v>
          </cell>
          <cell r="G71" t="str">
            <v>P866</v>
          </cell>
          <cell r="H71">
            <v>3788</v>
          </cell>
          <cell r="M71">
            <v>3788</v>
          </cell>
          <cell r="N71">
            <v>0.02</v>
          </cell>
        </row>
        <row r="72">
          <cell r="A72" t="str">
            <v xml:space="preserve"> C형 찬넬 60x30x10x 2.3t</v>
          </cell>
          <cell r="B72" t="str">
            <v xml:space="preserve"> C형 찬넬</v>
          </cell>
          <cell r="C72" t="str">
            <v xml:space="preserve"> 60x30x10x 2.3t</v>
          </cell>
          <cell r="D72" t="str">
            <v>m</v>
          </cell>
          <cell r="E72" t="str">
            <v>P47</v>
          </cell>
          <cell r="F72">
            <v>697</v>
          </cell>
          <cell r="G72" t="str">
            <v xml:space="preserve"> P49</v>
          </cell>
          <cell r="H72">
            <v>510</v>
          </cell>
          <cell r="M72">
            <v>510</v>
          </cell>
        </row>
        <row r="73">
          <cell r="A73" t="str">
            <v xml:space="preserve"> 클램프 16C</v>
          </cell>
          <cell r="B73" t="str">
            <v xml:space="preserve"> 클램프</v>
          </cell>
          <cell r="C73" t="str">
            <v xml:space="preserve"> 16C</v>
          </cell>
          <cell r="D73" t="str">
            <v>개</v>
          </cell>
          <cell r="E73" t="str">
            <v>P789</v>
          </cell>
          <cell r="F73">
            <v>325</v>
          </cell>
          <cell r="G73" t="str">
            <v>P871</v>
          </cell>
          <cell r="H73">
            <v>325</v>
          </cell>
          <cell r="M73">
            <v>325</v>
          </cell>
        </row>
        <row r="74">
          <cell r="A74" t="str">
            <v xml:space="preserve"> 클램프 22C</v>
          </cell>
          <cell r="B74" t="str">
            <v xml:space="preserve"> 클램프</v>
          </cell>
          <cell r="C74" t="str">
            <v xml:space="preserve"> 22C</v>
          </cell>
          <cell r="D74" t="str">
            <v>개</v>
          </cell>
          <cell r="E74" t="str">
            <v>P789</v>
          </cell>
          <cell r="F74">
            <v>385</v>
          </cell>
          <cell r="G74" t="str">
            <v>P871</v>
          </cell>
          <cell r="H74">
            <v>385</v>
          </cell>
          <cell r="M74">
            <v>385</v>
          </cell>
        </row>
        <row r="75">
          <cell r="A75" t="str">
            <v xml:space="preserve"> 클램프 28C</v>
          </cell>
          <cell r="B75" t="str">
            <v xml:space="preserve"> 클램프</v>
          </cell>
          <cell r="C75" t="str">
            <v xml:space="preserve"> 28C</v>
          </cell>
          <cell r="D75" t="str">
            <v>개</v>
          </cell>
          <cell r="E75" t="str">
            <v>P789</v>
          </cell>
          <cell r="F75">
            <v>445</v>
          </cell>
          <cell r="G75" t="str">
            <v>P871</v>
          </cell>
          <cell r="H75">
            <v>445</v>
          </cell>
          <cell r="M75">
            <v>445</v>
          </cell>
        </row>
        <row r="76">
          <cell r="A76" t="str">
            <v xml:space="preserve"> 클램프 36C</v>
          </cell>
          <cell r="B76" t="str">
            <v xml:space="preserve"> 클램프</v>
          </cell>
          <cell r="C76" t="str">
            <v xml:space="preserve"> 36C</v>
          </cell>
          <cell r="D76" t="str">
            <v>개</v>
          </cell>
          <cell r="E76" t="str">
            <v>P789</v>
          </cell>
          <cell r="F76">
            <v>510</v>
          </cell>
          <cell r="G76" t="str">
            <v>P871</v>
          </cell>
          <cell r="H76">
            <v>510</v>
          </cell>
          <cell r="M76">
            <v>510</v>
          </cell>
        </row>
        <row r="77">
          <cell r="A77" t="str">
            <v xml:space="preserve"> 클램프 42C</v>
          </cell>
          <cell r="B77" t="str">
            <v xml:space="preserve"> 클램프</v>
          </cell>
          <cell r="C77" t="str">
            <v xml:space="preserve"> 42C</v>
          </cell>
          <cell r="D77" t="str">
            <v>개</v>
          </cell>
          <cell r="E77" t="str">
            <v>P789</v>
          </cell>
          <cell r="F77">
            <v>600</v>
          </cell>
          <cell r="G77" t="str">
            <v>P871</v>
          </cell>
          <cell r="H77">
            <v>600</v>
          </cell>
          <cell r="M77">
            <v>600</v>
          </cell>
        </row>
        <row r="78">
          <cell r="A78" t="str">
            <v xml:space="preserve"> 클램프 54C</v>
          </cell>
          <cell r="B78" t="str">
            <v xml:space="preserve"> 클램프</v>
          </cell>
          <cell r="C78" t="str">
            <v xml:space="preserve"> 54C</v>
          </cell>
          <cell r="D78" t="str">
            <v>개</v>
          </cell>
          <cell r="E78" t="str">
            <v>P789</v>
          </cell>
          <cell r="F78">
            <v>710</v>
          </cell>
          <cell r="G78" t="str">
            <v>P871</v>
          </cell>
          <cell r="H78">
            <v>710</v>
          </cell>
          <cell r="M78">
            <v>710</v>
          </cell>
        </row>
        <row r="79">
          <cell r="A79" t="str">
            <v xml:space="preserve"> 클램프 82C</v>
          </cell>
          <cell r="B79" t="str">
            <v xml:space="preserve"> 클램프</v>
          </cell>
          <cell r="C79" t="str">
            <v xml:space="preserve"> 82C</v>
          </cell>
          <cell r="D79" t="str">
            <v>개</v>
          </cell>
          <cell r="E79" t="str">
            <v>P789</v>
          </cell>
          <cell r="F79">
            <v>710</v>
          </cell>
          <cell r="G79" t="str">
            <v>P871</v>
          </cell>
          <cell r="H79">
            <v>1230</v>
          </cell>
          <cell r="M79">
            <v>710</v>
          </cell>
        </row>
        <row r="80">
          <cell r="A80" t="str">
            <v xml:space="preserve"> 스트롱앵커   5/8" (M16)</v>
          </cell>
          <cell r="B80" t="str">
            <v xml:space="preserve"> 스트롱앵커  </v>
          </cell>
          <cell r="C80" t="str">
            <v xml:space="preserve"> 5/8" (M16)</v>
          </cell>
          <cell r="D80" t="str">
            <v>개</v>
          </cell>
          <cell r="E80" t="str">
            <v>P97</v>
          </cell>
          <cell r="F80">
            <v>180</v>
          </cell>
          <cell r="M80">
            <v>180</v>
          </cell>
        </row>
        <row r="81">
          <cell r="A81" t="str">
            <v xml:space="preserve"> 달대볼트(아연도)  M16  L1000</v>
          </cell>
          <cell r="B81" t="str">
            <v xml:space="preserve"> 달대볼트(아연도) </v>
          </cell>
          <cell r="C81" t="str">
            <v xml:space="preserve"> M16  L1000</v>
          </cell>
          <cell r="D81" t="str">
            <v>개</v>
          </cell>
          <cell r="E81" t="str">
            <v>P97</v>
          </cell>
          <cell r="F81">
            <v>1252</v>
          </cell>
          <cell r="G81" t="str">
            <v xml:space="preserve"> P78</v>
          </cell>
          <cell r="H81">
            <v>1252</v>
          </cell>
          <cell r="M81">
            <v>1252</v>
          </cell>
        </row>
        <row r="82">
          <cell r="A82" t="str">
            <v xml:space="preserve"> 풀박스  100×100×100</v>
          </cell>
          <cell r="B82" t="str">
            <v xml:space="preserve"> 풀박스 </v>
          </cell>
          <cell r="C82" t="str">
            <v xml:space="preserve"> 100×100×100</v>
          </cell>
          <cell r="D82" t="str">
            <v>개</v>
          </cell>
          <cell r="E82" t="str">
            <v>P794</v>
          </cell>
          <cell r="F82">
            <v>1920</v>
          </cell>
          <cell r="G82" t="str">
            <v>P883</v>
          </cell>
          <cell r="H82">
            <v>1750</v>
          </cell>
          <cell r="M82">
            <v>1750</v>
          </cell>
        </row>
        <row r="83">
          <cell r="A83" t="str">
            <v xml:space="preserve"> 풀박스  200×200×100</v>
          </cell>
          <cell r="B83" t="str">
            <v xml:space="preserve"> 풀박스 </v>
          </cell>
          <cell r="C83" t="str">
            <v xml:space="preserve"> 200×200×100</v>
          </cell>
          <cell r="D83" t="str">
            <v>개</v>
          </cell>
          <cell r="E83" t="str">
            <v>P794</v>
          </cell>
          <cell r="F83">
            <v>3720</v>
          </cell>
          <cell r="G83" t="str">
            <v>P883</v>
          </cell>
          <cell r="H83">
            <v>3420</v>
          </cell>
          <cell r="M83">
            <v>3420</v>
          </cell>
        </row>
        <row r="84">
          <cell r="A84" t="str">
            <v xml:space="preserve"> 풀박스  200×200×150</v>
          </cell>
          <cell r="B84" t="str">
            <v xml:space="preserve"> 풀박스 </v>
          </cell>
          <cell r="C84" t="str">
            <v xml:space="preserve"> 200×200×150</v>
          </cell>
          <cell r="D84" t="str">
            <v>개</v>
          </cell>
          <cell r="E84" t="str">
            <v>P794</v>
          </cell>
          <cell r="F84">
            <v>4680</v>
          </cell>
          <cell r="G84" t="str">
            <v>P883</v>
          </cell>
          <cell r="H84">
            <v>4050</v>
          </cell>
          <cell r="M84">
            <v>4050</v>
          </cell>
        </row>
        <row r="85">
          <cell r="A85" t="str">
            <v xml:space="preserve"> 풀박스  200×200×200</v>
          </cell>
          <cell r="B85" t="str">
            <v xml:space="preserve"> 풀박스 </v>
          </cell>
          <cell r="C85" t="str">
            <v xml:space="preserve"> 200×200×200</v>
          </cell>
          <cell r="D85" t="str">
            <v>개</v>
          </cell>
          <cell r="E85" t="str">
            <v>P794</v>
          </cell>
          <cell r="F85">
            <v>5280</v>
          </cell>
          <cell r="G85" t="str">
            <v>P883</v>
          </cell>
          <cell r="H85">
            <v>4680</v>
          </cell>
          <cell r="M85">
            <v>4680</v>
          </cell>
        </row>
        <row r="86">
          <cell r="A86" t="str">
            <v xml:space="preserve"> 풀박스  300×300×200</v>
          </cell>
          <cell r="B86" t="str">
            <v xml:space="preserve"> 풀박스 </v>
          </cell>
          <cell r="C86" t="str">
            <v xml:space="preserve"> 300×300×200</v>
          </cell>
          <cell r="D86" t="str">
            <v>개</v>
          </cell>
          <cell r="E86" t="str">
            <v>P794</v>
          </cell>
          <cell r="F86">
            <v>7800</v>
          </cell>
          <cell r="G86" t="str">
            <v>P883</v>
          </cell>
          <cell r="H86">
            <v>7200</v>
          </cell>
          <cell r="M86">
            <v>7200</v>
          </cell>
        </row>
        <row r="87">
          <cell r="A87" t="str">
            <v xml:space="preserve"> 풀박스  400×400×200</v>
          </cell>
          <cell r="B87" t="str">
            <v xml:space="preserve"> 풀박스 </v>
          </cell>
          <cell r="C87" t="str">
            <v xml:space="preserve"> 400×400×200</v>
          </cell>
          <cell r="D87" t="str">
            <v>개</v>
          </cell>
          <cell r="E87" t="str">
            <v>P794</v>
          </cell>
          <cell r="F87">
            <v>12240</v>
          </cell>
          <cell r="G87" t="str">
            <v>P883</v>
          </cell>
          <cell r="H87">
            <v>11160</v>
          </cell>
          <cell r="M87">
            <v>11160</v>
          </cell>
        </row>
        <row r="88">
          <cell r="A88" t="str">
            <v xml:space="preserve"> 풀박스  500×500×300</v>
          </cell>
          <cell r="B88" t="str">
            <v xml:space="preserve"> 풀박스 </v>
          </cell>
          <cell r="C88" t="str">
            <v xml:space="preserve"> 500×500×300</v>
          </cell>
          <cell r="D88" t="str">
            <v>개</v>
          </cell>
          <cell r="E88" t="str">
            <v>P794</v>
          </cell>
          <cell r="F88">
            <v>26400</v>
          </cell>
          <cell r="G88" t="str">
            <v>P883</v>
          </cell>
          <cell r="H88">
            <v>22500</v>
          </cell>
          <cell r="M88">
            <v>22500</v>
          </cell>
        </row>
        <row r="89">
          <cell r="A89" t="str">
            <v xml:space="preserve"> 풀박스  600×600×300</v>
          </cell>
          <cell r="B89" t="str">
            <v xml:space="preserve"> 풀박스 </v>
          </cell>
          <cell r="C89" t="str">
            <v xml:space="preserve"> 600×600×300</v>
          </cell>
          <cell r="D89" t="str">
            <v>개</v>
          </cell>
          <cell r="E89" t="str">
            <v>P794</v>
          </cell>
          <cell r="F89">
            <v>33000</v>
          </cell>
          <cell r="G89" t="str">
            <v>P883</v>
          </cell>
          <cell r="H89">
            <v>27450</v>
          </cell>
          <cell r="M89">
            <v>27450</v>
          </cell>
        </row>
        <row r="90">
          <cell r="A90" t="str">
            <v xml:space="preserve"> 배선반 178P</v>
          </cell>
          <cell r="B90" t="str">
            <v xml:space="preserve"> 배선반</v>
          </cell>
          <cell r="C90" t="str">
            <v xml:space="preserve"> 178P</v>
          </cell>
          <cell r="D90" t="str">
            <v>m</v>
          </cell>
          <cell r="L90">
            <v>6877600</v>
          </cell>
          <cell r="M90">
            <v>6877600</v>
          </cell>
        </row>
        <row r="91">
          <cell r="A91" t="str">
            <v xml:space="preserve"> 국선단자함 국선60/내선120</v>
          </cell>
          <cell r="B91" t="str">
            <v xml:space="preserve"> 국선단자함</v>
          </cell>
          <cell r="C91" t="str">
            <v xml:space="preserve"> 국선60/내선120</v>
          </cell>
          <cell r="D91" t="str">
            <v>개</v>
          </cell>
          <cell r="L91">
            <v>420000</v>
          </cell>
          <cell r="M91">
            <v>420000</v>
          </cell>
        </row>
        <row r="92">
          <cell r="A92" t="str">
            <v xml:space="preserve"> 전화단자함 10P</v>
          </cell>
          <cell r="B92" t="str">
            <v xml:space="preserve"> 전화단자함</v>
          </cell>
          <cell r="C92" t="str">
            <v xml:space="preserve"> 10P</v>
          </cell>
          <cell r="D92" t="str">
            <v>개</v>
          </cell>
          <cell r="L92">
            <v>70000</v>
          </cell>
          <cell r="M92">
            <v>70000</v>
          </cell>
        </row>
        <row r="93">
          <cell r="A93" t="str">
            <v xml:space="preserve"> 전화단자함 20P</v>
          </cell>
          <cell r="B93" t="str">
            <v xml:space="preserve"> 전화단자함</v>
          </cell>
          <cell r="C93" t="str">
            <v xml:space="preserve"> 20P</v>
          </cell>
          <cell r="D93" t="str">
            <v>개</v>
          </cell>
          <cell r="L93">
            <v>90000</v>
          </cell>
          <cell r="M93">
            <v>90000</v>
          </cell>
        </row>
        <row r="94">
          <cell r="A94" t="str">
            <v xml:space="preserve"> 전화단자함 30P</v>
          </cell>
          <cell r="B94" t="str">
            <v xml:space="preserve"> 전화단자함</v>
          </cell>
          <cell r="C94" t="str">
            <v xml:space="preserve"> 30P</v>
          </cell>
          <cell r="D94" t="str">
            <v>개</v>
          </cell>
          <cell r="L94">
            <v>95000</v>
          </cell>
          <cell r="M94">
            <v>95000</v>
          </cell>
        </row>
        <row r="95">
          <cell r="A95" t="str">
            <v xml:space="preserve"> 접지단자함(SUS)   450×500×150</v>
          </cell>
          <cell r="B95" t="str">
            <v xml:space="preserve"> 접지단자함(SUS)  </v>
          </cell>
          <cell r="C95" t="str">
            <v xml:space="preserve"> 450×500×150</v>
          </cell>
          <cell r="D95" t="str">
            <v>개</v>
          </cell>
          <cell r="L95">
            <v>180000</v>
          </cell>
          <cell r="M95">
            <v>180000</v>
          </cell>
        </row>
        <row r="96">
          <cell r="A96" t="str">
            <v xml:space="preserve"> 전화기 콘센트   4P</v>
          </cell>
          <cell r="B96" t="str">
            <v xml:space="preserve"> 전화기 콘센트  </v>
          </cell>
          <cell r="C96" t="str">
            <v xml:space="preserve"> 4P</v>
          </cell>
          <cell r="D96" t="str">
            <v>개</v>
          </cell>
          <cell r="E96" t="str">
            <v>P858</v>
          </cell>
          <cell r="F96">
            <v>884</v>
          </cell>
          <cell r="G96" t="str">
            <v>P935</v>
          </cell>
          <cell r="H96">
            <v>560</v>
          </cell>
          <cell r="M96">
            <v>560</v>
          </cell>
        </row>
        <row r="97">
          <cell r="A97" t="str">
            <v xml:space="preserve"> 전화기플레이트  4P용</v>
          </cell>
          <cell r="B97" t="str">
            <v xml:space="preserve"> 전화기플레이트 </v>
          </cell>
          <cell r="C97" t="str">
            <v xml:space="preserve"> 4P용</v>
          </cell>
          <cell r="D97" t="str">
            <v>개</v>
          </cell>
          <cell r="E97" t="str">
            <v xml:space="preserve"> </v>
          </cell>
          <cell r="G97" t="str">
            <v>P933</v>
          </cell>
          <cell r="H97">
            <v>485</v>
          </cell>
          <cell r="M97">
            <v>485</v>
          </cell>
        </row>
        <row r="98">
          <cell r="A98" t="str">
            <v xml:space="preserve"> 스위치박스   2개용 54㎜</v>
          </cell>
          <cell r="B98" t="str">
            <v xml:space="preserve"> 스위치박스  </v>
          </cell>
          <cell r="C98" t="str">
            <v xml:space="preserve"> 2개용 54㎜</v>
          </cell>
          <cell r="D98" t="str">
            <v>개</v>
          </cell>
          <cell r="E98" t="str">
            <v>P796</v>
          </cell>
          <cell r="F98">
            <v>701</v>
          </cell>
          <cell r="G98" t="str">
            <v>P883</v>
          </cell>
          <cell r="H98">
            <v>660</v>
          </cell>
          <cell r="M98">
            <v>660</v>
          </cell>
        </row>
        <row r="99">
          <cell r="A99" t="str">
            <v xml:space="preserve"> 박스커버-4각   2개용S/W (평)</v>
          </cell>
          <cell r="B99" t="str">
            <v xml:space="preserve"> 박스커버-4각  </v>
          </cell>
          <cell r="C99" t="str">
            <v xml:space="preserve"> 2개용S/W (평)</v>
          </cell>
          <cell r="D99" t="str">
            <v>개</v>
          </cell>
          <cell r="E99" t="str">
            <v>P797</v>
          </cell>
          <cell r="F99">
            <v>387</v>
          </cell>
          <cell r="G99" t="str">
            <v>P883</v>
          </cell>
          <cell r="H99">
            <v>190</v>
          </cell>
          <cell r="M99">
            <v>190</v>
          </cell>
        </row>
        <row r="100">
          <cell r="A100" t="str">
            <v xml:space="preserve"> 아우트레트박스  중형 4각 54㎜</v>
          </cell>
          <cell r="B100" t="str">
            <v xml:space="preserve"> 아우트레트박스 </v>
          </cell>
          <cell r="C100" t="str">
            <v xml:space="preserve"> 중형 4각 54㎜</v>
          </cell>
          <cell r="D100" t="str">
            <v>개</v>
          </cell>
          <cell r="E100" t="str">
            <v>P796</v>
          </cell>
          <cell r="F100">
            <v>832</v>
          </cell>
          <cell r="G100" t="str">
            <v>P882</v>
          </cell>
          <cell r="H100">
            <v>660</v>
          </cell>
          <cell r="M100">
            <v>660</v>
          </cell>
        </row>
        <row r="101">
          <cell r="A101" t="str">
            <v xml:space="preserve"> 박스커버-4각   둥근구멍(평)</v>
          </cell>
          <cell r="B101" t="str">
            <v xml:space="preserve"> 박스커버-4각  </v>
          </cell>
          <cell r="C101" t="str">
            <v xml:space="preserve"> 둥근구멍(평)</v>
          </cell>
          <cell r="D101" t="str">
            <v>개</v>
          </cell>
          <cell r="E101" t="str">
            <v>P797</v>
          </cell>
          <cell r="F101">
            <v>387</v>
          </cell>
          <cell r="G101" t="str">
            <v>P883</v>
          </cell>
          <cell r="H101">
            <v>190</v>
          </cell>
          <cell r="M101">
            <v>190</v>
          </cell>
        </row>
        <row r="102">
          <cell r="A102" t="str">
            <v xml:space="preserve"> 노줄박스 설치 400×200×100</v>
          </cell>
          <cell r="B102" t="str">
            <v xml:space="preserve"> 노줄박스 설치</v>
          </cell>
          <cell r="C102" t="str">
            <v xml:space="preserve"> 400×200×100</v>
          </cell>
          <cell r="D102" t="str">
            <v>대</v>
          </cell>
          <cell r="L102">
            <v>128800</v>
          </cell>
          <cell r="M102">
            <v>128800</v>
          </cell>
        </row>
        <row r="103">
          <cell r="A103" t="str">
            <v xml:space="preserve"> 케이블 덕트  400×150</v>
          </cell>
          <cell r="B103" t="str">
            <v xml:space="preserve"> 케이블 덕트 </v>
          </cell>
          <cell r="C103" t="str">
            <v xml:space="preserve"> 400×150</v>
          </cell>
          <cell r="D103" t="str">
            <v>m</v>
          </cell>
          <cell r="G103" t="str">
            <v>P878</v>
          </cell>
          <cell r="H103">
            <v>32300</v>
          </cell>
          <cell r="M103">
            <v>32300</v>
          </cell>
        </row>
        <row r="104">
          <cell r="A104" t="str">
            <v xml:space="preserve"> 케이블 랙 W : 150</v>
          </cell>
          <cell r="B104" t="str">
            <v xml:space="preserve"> 케이블 랙</v>
          </cell>
          <cell r="C104" t="str">
            <v xml:space="preserve"> W : 150</v>
          </cell>
          <cell r="D104" t="str">
            <v>m</v>
          </cell>
          <cell r="E104" t="str">
            <v>P687</v>
          </cell>
          <cell r="F104">
            <v>10450</v>
          </cell>
          <cell r="G104" t="str">
            <v>P880</v>
          </cell>
          <cell r="H104">
            <v>10250</v>
          </cell>
          <cell r="M104">
            <v>10250</v>
          </cell>
        </row>
        <row r="105">
          <cell r="A105" t="str">
            <v xml:space="preserve"> AMP  800W</v>
          </cell>
          <cell r="B105" t="str">
            <v xml:space="preserve"> AMP </v>
          </cell>
          <cell r="C105" t="str">
            <v xml:space="preserve"> 800W</v>
          </cell>
          <cell r="D105" t="str">
            <v>대</v>
          </cell>
          <cell r="L105">
            <v>28900000</v>
          </cell>
          <cell r="M105">
            <v>28900000</v>
          </cell>
        </row>
        <row r="106">
          <cell r="A106" t="str">
            <v xml:space="preserve"> 충전기 48V 10A</v>
          </cell>
          <cell r="B106" t="str">
            <v xml:space="preserve"> 충전기</v>
          </cell>
          <cell r="C106" t="str">
            <v xml:space="preserve"> 48V 10A</v>
          </cell>
          <cell r="D106" t="str">
            <v>대</v>
          </cell>
          <cell r="L106">
            <v>2500000</v>
          </cell>
          <cell r="M106">
            <v>2500000</v>
          </cell>
        </row>
        <row r="107">
          <cell r="A107" t="str">
            <v xml:space="preserve"> BATTERY MF 12V 50A </v>
          </cell>
          <cell r="B107" t="str">
            <v xml:space="preserve"> BATTERY</v>
          </cell>
          <cell r="C107" t="str">
            <v xml:space="preserve"> MF 12V 50A </v>
          </cell>
          <cell r="D107" t="str">
            <v>개</v>
          </cell>
          <cell r="L107">
            <v>85000</v>
          </cell>
          <cell r="M107">
            <v>85000</v>
          </cell>
        </row>
        <row r="108">
          <cell r="A108" t="str">
            <v xml:space="preserve"> AMP(음성증폭기)  창구용(5CH)</v>
          </cell>
          <cell r="B108" t="str">
            <v xml:space="preserve"> AMP(음성증폭기) </v>
          </cell>
          <cell r="C108" t="str">
            <v xml:space="preserve"> 창구용(5CH)</v>
          </cell>
          <cell r="D108" t="str">
            <v>대</v>
          </cell>
          <cell r="L108">
            <v>1890000</v>
          </cell>
          <cell r="M108">
            <v>1890000</v>
          </cell>
        </row>
        <row r="109">
          <cell r="A109" t="str">
            <v xml:space="preserve"> AMP  150W</v>
          </cell>
          <cell r="B109" t="str">
            <v xml:space="preserve"> AMP </v>
          </cell>
          <cell r="C109" t="str">
            <v xml:space="preserve"> 150W</v>
          </cell>
          <cell r="D109" t="str">
            <v>대</v>
          </cell>
          <cell r="L109">
            <v>0</v>
          </cell>
          <cell r="M109">
            <v>0</v>
          </cell>
        </row>
        <row r="110">
          <cell r="A110" t="str">
            <v xml:space="preserve"> AMP(음성증폭기)  10W</v>
          </cell>
          <cell r="B110" t="str">
            <v xml:space="preserve"> AMP(음성증폭기) </v>
          </cell>
          <cell r="C110" t="str">
            <v xml:space="preserve"> 10W</v>
          </cell>
          <cell r="D110" t="str">
            <v>대</v>
          </cell>
          <cell r="L110">
            <v>0</v>
          </cell>
          <cell r="M110">
            <v>0</v>
          </cell>
        </row>
        <row r="111">
          <cell r="A111" t="str">
            <v xml:space="preserve"> 스피커  10W(혼형)</v>
          </cell>
          <cell r="B111" t="str">
            <v xml:space="preserve"> 스피커 </v>
          </cell>
          <cell r="C111" t="str">
            <v xml:space="preserve"> 10W(혼형)</v>
          </cell>
          <cell r="D111" t="str">
            <v>개</v>
          </cell>
          <cell r="L111">
            <v>35000</v>
          </cell>
          <cell r="M111">
            <v>35000</v>
          </cell>
        </row>
        <row r="112">
          <cell r="A112" t="str">
            <v xml:space="preserve"> 스피커  벽부형(3W)</v>
          </cell>
          <cell r="B112" t="str">
            <v xml:space="preserve"> 스피커 </v>
          </cell>
          <cell r="C112" t="str">
            <v xml:space="preserve"> 벽부형(3W)</v>
          </cell>
          <cell r="D112" t="str">
            <v>개</v>
          </cell>
          <cell r="L112">
            <v>26000</v>
          </cell>
          <cell r="M112">
            <v>26000</v>
          </cell>
        </row>
        <row r="113">
          <cell r="A113" t="str">
            <v xml:space="preserve"> 스피커  벽부형(3W,ATT부착)</v>
          </cell>
          <cell r="B113" t="str">
            <v xml:space="preserve"> 스피커 </v>
          </cell>
          <cell r="C113" t="str">
            <v xml:space="preserve"> 벽부형(3W,ATT부착)</v>
          </cell>
          <cell r="D113" t="str">
            <v>개</v>
          </cell>
          <cell r="L113">
            <v>31500</v>
          </cell>
          <cell r="M113">
            <v>31500</v>
          </cell>
        </row>
        <row r="114">
          <cell r="A114" t="str">
            <v xml:space="preserve"> 스피커  천정형(3W)</v>
          </cell>
          <cell r="B114" t="str">
            <v xml:space="preserve"> 스피커 </v>
          </cell>
          <cell r="C114" t="str">
            <v xml:space="preserve"> 천정형(3W)</v>
          </cell>
          <cell r="D114" t="str">
            <v>개</v>
          </cell>
          <cell r="L114">
            <v>18000</v>
          </cell>
          <cell r="M114">
            <v>18000</v>
          </cell>
        </row>
        <row r="115">
          <cell r="A115" t="str">
            <v xml:space="preserve"> 스피커  천정형(3W,ATT부착)</v>
          </cell>
          <cell r="B115" t="str">
            <v xml:space="preserve"> 스피커 </v>
          </cell>
          <cell r="C115" t="str">
            <v xml:space="preserve"> 천정형(3W,ATT부착)</v>
          </cell>
          <cell r="D115" t="str">
            <v>개</v>
          </cell>
          <cell r="L115">
            <v>26000</v>
          </cell>
          <cell r="M115">
            <v>26000</v>
          </cell>
        </row>
        <row r="116">
          <cell r="A116" t="str">
            <v xml:space="preserve"> 스피커 취부대 아연도금(도면참조)</v>
          </cell>
          <cell r="B116" t="str">
            <v xml:space="preserve"> 스피커 취부대</v>
          </cell>
          <cell r="C116" t="str">
            <v xml:space="preserve"> 아연도금(도면참조)</v>
          </cell>
          <cell r="D116" t="str">
            <v>개</v>
          </cell>
          <cell r="L116">
            <v>18000</v>
          </cell>
          <cell r="M116">
            <v>18000</v>
          </cell>
        </row>
        <row r="117">
          <cell r="A117" t="str">
            <v xml:space="preserve"> 공청용 증폭기  VHF/UHF 겸용</v>
          </cell>
          <cell r="B117" t="str">
            <v xml:space="preserve"> 공청용 증폭기 </v>
          </cell>
          <cell r="C117" t="str">
            <v xml:space="preserve"> VHF/UHF 겸용</v>
          </cell>
          <cell r="D117" t="str">
            <v>개</v>
          </cell>
          <cell r="E117" t="str">
            <v>P903</v>
          </cell>
          <cell r="F117">
            <v>65000</v>
          </cell>
          <cell r="G117" t="str">
            <v>P977</v>
          </cell>
          <cell r="H117">
            <v>65000</v>
          </cell>
          <cell r="M117">
            <v>65000</v>
          </cell>
        </row>
        <row r="118">
          <cell r="A118" t="str">
            <v xml:space="preserve"> 공청용 혼합기  VHF H/L</v>
          </cell>
          <cell r="B118" t="str">
            <v xml:space="preserve"> 공청용 혼합기 </v>
          </cell>
          <cell r="C118" t="str">
            <v xml:space="preserve"> VHF H/L</v>
          </cell>
          <cell r="D118" t="str">
            <v>개</v>
          </cell>
          <cell r="E118" t="str">
            <v>P903</v>
          </cell>
          <cell r="F118">
            <v>6000</v>
          </cell>
          <cell r="G118" t="str">
            <v>P977</v>
          </cell>
          <cell r="H118">
            <v>6000</v>
          </cell>
          <cell r="M118">
            <v>6000</v>
          </cell>
        </row>
        <row r="119">
          <cell r="A119" t="str">
            <v xml:space="preserve"> 공청용 혼합기  VHF/UHF</v>
          </cell>
          <cell r="B119" t="str">
            <v xml:space="preserve"> 공청용 혼합기 </v>
          </cell>
          <cell r="C119" t="str">
            <v xml:space="preserve"> VHF/UHF</v>
          </cell>
          <cell r="D119" t="str">
            <v>개</v>
          </cell>
          <cell r="E119" t="str">
            <v>P903</v>
          </cell>
          <cell r="F119">
            <v>6000</v>
          </cell>
          <cell r="G119" t="str">
            <v>P977</v>
          </cell>
          <cell r="H119">
            <v>6000</v>
          </cell>
          <cell r="M119">
            <v>6000</v>
          </cell>
        </row>
        <row r="120">
          <cell r="A120" t="str">
            <v xml:space="preserve"> 공청용안테나  UHF 용</v>
          </cell>
          <cell r="B120" t="str">
            <v xml:space="preserve"> 공청용안테나 </v>
          </cell>
          <cell r="C120" t="str">
            <v xml:space="preserve"> UHF 용</v>
          </cell>
          <cell r="D120" t="str">
            <v>조</v>
          </cell>
          <cell r="E120" t="str">
            <v>P903</v>
          </cell>
          <cell r="F120">
            <v>20000</v>
          </cell>
          <cell r="G120" t="str">
            <v>P977</v>
          </cell>
          <cell r="H120">
            <v>20000</v>
          </cell>
          <cell r="M120">
            <v>20000</v>
          </cell>
        </row>
        <row r="121">
          <cell r="A121" t="str">
            <v xml:space="preserve"> 공청용안테나  VHF HIGH 찬넬용</v>
          </cell>
          <cell r="B121" t="str">
            <v xml:space="preserve"> 공청용안테나 </v>
          </cell>
          <cell r="C121" t="str">
            <v xml:space="preserve"> VHF HIGH 찬넬용</v>
          </cell>
          <cell r="D121" t="str">
            <v>조</v>
          </cell>
          <cell r="E121" t="str">
            <v>P903</v>
          </cell>
          <cell r="F121">
            <v>25000</v>
          </cell>
          <cell r="G121" t="str">
            <v>P977</v>
          </cell>
          <cell r="H121">
            <v>25000</v>
          </cell>
          <cell r="M121">
            <v>25000</v>
          </cell>
        </row>
        <row r="122">
          <cell r="A122" t="str">
            <v xml:space="preserve"> 공청용안테나  VHF LOW 찬넬용</v>
          </cell>
          <cell r="B122" t="str">
            <v xml:space="preserve"> 공청용안테나 </v>
          </cell>
          <cell r="C122" t="str">
            <v xml:space="preserve"> VHF LOW 찬넬용</v>
          </cell>
          <cell r="D122" t="str">
            <v>조</v>
          </cell>
          <cell r="E122" t="str">
            <v>P903</v>
          </cell>
          <cell r="F122">
            <v>30000</v>
          </cell>
          <cell r="G122" t="str">
            <v>P977</v>
          </cell>
          <cell r="H122">
            <v>30000</v>
          </cell>
          <cell r="M122">
            <v>30000</v>
          </cell>
        </row>
        <row r="123">
          <cell r="A123" t="str">
            <v xml:space="preserve"> 분배기   3회로</v>
          </cell>
          <cell r="B123" t="str">
            <v xml:space="preserve"> 분배기  </v>
          </cell>
          <cell r="C123" t="str">
            <v xml:space="preserve"> 3회로</v>
          </cell>
          <cell r="D123" t="str">
            <v>개</v>
          </cell>
          <cell r="G123" t="str">
            <v>P977</v>
          </cell>
          <cell r="H123">
            <v>6000</v>
          </cell>
          <cell r="M123">
            <v>6000</v>
          </cell>
        </row>
        <row r="124">
          <cell r="A124" t="str">
            <v xml:space="preserve"> 육송(재)  각재</v>
          </cell>
          <cell r="B124" t="str">
            <v xml:space="preserve"> 육송(재) </v>
          </cell>
          <cell r="C124" t="str">
            <v xml:space="preserve"> 각재</v>
          </cell>
          <cell r="D124" t="str">
            <v>재</v>
          </cell>
          <cell r="G124" t="str">
            <v xml:space="preserve"> P106</v>
          </cell>
          <cell r="H124">
            <v>1100</v>
          </cell>
          <cell r="M124">
            <v>1100</v>
          </cell>
        </row>
        <row r="125">
          <cell r="A125" t="str">
            <v xml:space="preserve"> 자갈(#57,Φ25)   인천(도착도)</v>
          </cell>
          <cell r="B125" t="str">
            <v xml:space="preserve"> 자갈(#57,Φ25)  </v>
          </cell>
          <cell r="C125" t="str">
            <v xml:space="preserve"> 인천(도착도)</v>
          </cell>
          <cell r="D125" t="str">
            <v>㎥</v>
          </cell>
          <cell r="E125" t="str">
            <v xml:space="preserve"> P111 </v>
          </cell>
          <cell r="F125">
            <v>23000</v>
          </cell>
          <cell r="G125" t="str">
            <v xml:space="preserve"> P95</v>
          </cell>
          <cell r="H125">
            <v>17500</v>
          </cell>
          <cell r="M125">
            <v>17500</v>
          </cell>
        </row>
        <row r="126">
          <cell r="A126" t="str">
            <v xml:space="preserve"> 용접봉(고강용)  Φ3.2 LC-600</v>
          </cell>
          <cell r="B126" t="str">
            <v xml:space="preserve"> 용접봉(고강용) </v>
          </cell>
          <cell r="C126" t="str">
            <v xml:space="preserve"> Φ3.2 LC-600</v>
          </cell>
          <cell r="D126" t="str">
            <v>kg</v>
          </cell>
          <cell r="E126" t="str">
            <v>P1029</v>
          </cell>
          <cell r="F126">
            <v>1620</v>
          </cell>
          <cell r="G126" t="str">
            <v>P751</v>
          </cell>
          <cell r="H126">
            <v>1670</v>
          </cell>
          <cell r="M126">
            <v>1620</v>
          </cell>
        </row>
        <row r="127">
          <cell r="A127" t="str">
            <v xml:space="preserve"> 산소(기체)</v>
          </cell>
          <cell r="B127" t="str">
            <v xml:space="preserve"> 산소(기체)</v>
          </cell>
          <cell r="D127" t="str">
            <v>ℓ</v>
          </cell>
          <cell r="E127" t="str">
            <v>P1111</v>
          </cell>
          <cell r="F127">
            <v>250</v>
          </cell>
          <cell r="G127" t="str">
            <v>P1026</v>
          </cell>
          <cell r="H127">
            <v>250</v>
          </cell>
          <cell r="M127">
            <v>250</v>
          </cell>
        </row>
        <row r="128">
          <cell r="A128" t="str">
            <v xml:space="preserve"> 아세틸렌</v>
          </cell>
          <cell r="B128" t="str">
            <v xml:space="preserve"> 아세틸렌</v>
          </cell>
          <cell r="D128" t="str">
            <v>㎏</v>
          </cell>
          <cell r="E128" t="str">
            <v>P1111</v>
          </cell>
          <cell r="F128">
            <v>12000</v>
          </cell>
          <cell r="G128" t="str">
            <v>P1026</v>
          </cell>
          <cell r="H128">
            <v>12000</v>
          </cell>
          <cell r="M128">
            <v>12000</v>
          </cell>
        </row>
        <row r="129">
          <cell r="A129" t="str">
            <v xml:space="preserve"> 백관 (SPP)   D40</v>
          </cell>
          <cell r="B129" t="str">
            <v xml:space="preserve"> 백관 (SPP)  </v>
          </cell>
          <cell r="C129" t="str">
            <v xml:space="preserve"> D40</v>
          </cell>
          <cell r="D129" t="str">
            <v>m</v>
          </cell>
          <cell r="E129" t="str">
            <v>P459</v>
          </cell>
          <cell r="F129">
            <v>2347</v>
          </cell>
          <cell r="G129" t="str">
            <v>P426</v>
          </cell>
          <cell r="H129">
            <v>1347</v>
          </cell>
          <cell r="M129">
            <v>1347</v>
          </cell>
        </row>
        <row r="130">
          <cell r="A130" t="str">
            <v xml:space="preserve"> 백관 (SPP)  D100</v>
          </cell>
          <cell r="B130" t="str">
            <v xml:space="preserve"> 백관 (SPP) </v>
          </cell>
          <cell r="C130" t="str">
            <v xml:space="preserve"> D100</v>
          </cell>
          <cell r="D130" t="str">
            <v>m</v>
          </cell>
          <cell r="E130" t="str">
            <v>P459</v>
          </cell>
          <cell r="F130">
            <v>7392</v>
          </cell>
          <cell r="G130" t="str">
            <v>P426</v>
          </cell>
          <cell r="H130">
            <v>7392</v>
          </cell>
          <cell r="M130">
            <v>7392</v>
          </cell>
        </row>
        <row r="131">
          <cell r="A131" t="str">
            <v xml:space="preserve"> 백레듀샤 (용접)   D100</v>
          </cell>
          <cell r="B131" t="str">
            <v xml:space="preserve"> 백레듀샤 (용접)  </v>
          </cell>
          <cell r="C131" t="str">
            <v xml:space="preserve"> D100</v>
          </cell>
          <cell r="D131" t="str">
            <v>개</v>
          </cell>
          <cell r="G131" t="str">
            <v>P430</v>
          </cell>
          <cell r="H131">
            <v>2700</v>
          </cell>
          <cell r="M131">
            <v>2700</v>
          </cell>
        </row>
        <row r="132">
          <cell r="A132" t="str">
            <v xml:space="preserve"> 열연강판   6t</v>
          </cell>
          <cell r="B132" t="str">
            <v xml:space="preserve"> 열연강판  </v>
          </cell>
          <cell r="C132" t="str">
            <v xml:space="preserve"> 6t</v>
          </cell>
          <cell r="D132" t="str">
            <v>kg</v>
          </cell>
          <cell r="E132" t="str">
            <v>P53</v>
          </cell>
          <cell r="F132">
            <v>360</v>
          </cell>
          <cell r="G132" t="str">
            <v xml:space="preserve"> P50</v>
          </cell>
          <cell r="H132">
            <v>360</v>
          </cell>
          <cell r="M132">
            <v>360</v>
          </cell>
        </row>
        <row r="133">
          <cell r="A133" t="str">
            <v xml:space="preserve"> 앵커볼트(7/8")  M22  L250</v>
          </cell>
          <cell r="B133" t="str">
            <v xml:space="preserve"> 앵커볼트(7/8") </v>
          </cell>
          <cell r="C133" t="str">
            <v xml:space="preserve"> M22  L250</v>
          </cell>
          <cell r="D133" t="str">
            <v>조</v>
          </cell>
          <cell r="G133" t="str">
            <v xml:space="preserve"> P76</v>
          </cell>
          <cell r="H133">
            <v>570</v>
          </cell>
          <cell r="M133">
            <v>570</v>
          </cell>
        </row>
        <row r="134">
          <cell r="A134" t="str">
            <v xml:space="preserve"> 너트 Φ22</v>
          </cell>
          <cell r="B134" t="str">
            <v xml:space="preserve"> 너트</v>
          </cell>
          <cell r="C134" t="str">
            <v xml:space="preserve"> Φ22</v>
          </cell>
          <cell r="D134" t="str">
            <v>개</v>
          </cell>
          <cell r="E134" t="str">
            <v>P99</v>
          </cell>
          <cell r="F134">
            <v>100</v>
          </cell>
          <cell r="G134" t="str">
            <v xml:space="preserve"> P78</v>
          </cell>
          <cell r="H134">
            <v>97</v>
          </cell>
          <cell r="M134">
            <v>97</v>
          </cell>
        </row>
        <row r="135">
          <cell r="A135" t="str">
            <v xml:space="preserve"> 스프링와샤 Φ22</v>
          </cell>
          <cell r="B135" t="str">
            <v xml:space="preserve"> 스프링와샤</v>
          </cell>
          <cell r="C135" t="str">
            <v xml:space="preserve"> Φ22</v>
          </cell>
          <cell r="D135" t="str">
            <v>개</v>
          </cell>
          <cell r="E135" t="str">
            <v>P100</v>
          </cell>
          <cell r="F135">
            <v>20</v>
          </cell>
          <cell r="G135" t="str">
            <v xml:space="preserve"> P79</v>
          </cell>
          <cell r="H135">
            <v>20</v>
          </cell>
          <cell r="M135">
            <v>20</v>
          </cell>
        </row>
        <row r="136">
          <cell r="A136" t="str">
            <v xml:space="preserve"> WB 벽부형 200×300×150</v>
          </cell>
          <cell r="B136" t="str">
            <v xml:space="preserve"> WB 벽부형</v>
          </cell>
          <cell r="C136" t="str">
            <v xml:space="preserve"> 200×300×150</v>
          </cell>
          <cell r="D136" t="str">
            <v>개</v>
          </cell>
          <cell r="E136" t="str">
            <v>P794</v>
          </cell>
          <cell r="F136">
            <v>6000</v>
          </cell>
          <cell r="G136" t="str">
            <v>P883</v>
          </cell>
          <cell r="H136">
            <v>5080</v>
          </cell>
          <cell r="M136">
            <v>5080</v>
          </cell>
        </row>
        <row r="137">
          <cell r="A137" t="str">
            <v xml:space="preserve"> TV 유니트   단말용</v>
          </cell>
          <cell r="B137" t="str">
            <v xml:space="preserve"> TV 유니트  </v>
          </cell>
          <cell r="C137" t="str">
            <v xml:space="preserve"> 단말용</v>
          </cell>
          <cell r="D137" t="str">
            <v>개</v>
          </cell>
          <cell r="G137" t="str">
            <v>P934</v>
          </cell>
          <cell r="H137">
            <v>2493</v>
          </cell>
          <cell r="M137">
            <v>2493</v>
          </cell>
        </row>
        <row r="138">
          <cell r="A138" t="str">
            <v xml:space="preserve"> TV 유니트   직렬분기용</v>
          </cell>
          <cell r="B138" t="str">
            <v xml:space="preserve"> TV 유니트  </v>
          </cell>
          <cell r="C138" t="str">
            <v xml:space="preserve"> 직렬분기용</v>
          </cell>
          <cell r="D138" t="str">
            <v>개</v>
          </cell>
          <cell r="G138" t="str">
            <v>P934</v>
          </cell>
          <cell r="H138">
            <v>2720</v>
          </cell>
          <cell r="M138">
            <v>2720</v>
          </cell>
        </row>
        <row r="139">
          <cell r="A139" t="str">
            <v xml:space="preserve"> TV 유니트   직렬용</v>
          </cell>
          <cell r="B139" t="str">
            <v xml:space="preserve"> TV 유니트  </v>
          </cell>
          <cell r="C139" t="str">
            <v xml:space="preserve"> 직렬용</v>
          </cell>
          <cell r="D139" t="str">
            <v>개</v>
          </cell>
          <cell r="E139" t="str">
            <v>P903</v>
          </cell>
          <cell r="F139">
            <v>2606</v>
          </cell>
          <cell r="G139" t="str">
            <v>P934</v>
          </cell>
          <cell r="H139">
            <v>2606</v>
          </cell>
          <cell r="M139">
            <v>2606</v>
          </cell>
        </row>
        <row r="140">
          <cell r="A140" t="str">
            <v xml:space="preserve"> CONSOLE RACK 14" MONITOR 4대</v>
          </cell>
          <cell r="B140" t="str">
            <v xml:space="preserve"> CONSOLE RACK</v>
          </cell>
          <cell r="C140" t="str">
            <v xml:space="preserve"> 14" MONITOR 4대</v>
          </cell>
          <cell r="D140" t="str">
            <v>대</v>
          </cell>
          <cell r="L140">
            <v>1500000</v>
          </cell>
          <cell r="M140">
            <v>1500000</v>
          </cell>
        </row>
        <row r="141">
          <cell r="A141" t="str">
            <v xml:space="preserve"> AUTO CODE TIME S/W 8CH</v>
          </cell>
          <cell r="B141" t="e">
            <v>#N/A</v>
          </cell>
          <cell r="C141" t="e">
            <v>#N/A</v>
          </cell>
          <cell r="D141" t="str">
            <v>개</v>
          </cell>
          <cell r="G141" t="str">
            <v>P1002</v>
          </cell>
          <cell r="H141">
            <v>850000</v>
          </cell>
          <cell r="M141">
            <v>850000</v>
          </cell>
        </row>
        <row r="142">
          <cell r="A142" t="str">
            <v xml:space="preserve"> COLOR MONITOR 14"</v>
          </cell>
          <cell r="B142" t="e">
            <v>#N/A</v>
          </cell>
          <cell r="C142" t="e">
            <v>#N/A</v>
          </cell>
          <cell r="D142" t="str">
            <v>대</v>
          </cell>
          <cell r="G142" t="str">
            <v>P996</v>
          </cell>
          <cell r="H142">
            <v>250000</v>
          </cell>
          <cell r="M142">
            <v>250000</v>
          </cell>
        </row>
        <row r="143">
          <cell r="A143" t="str">
            <v xml:space="preserve"> POWER CONTROLLER 8CH</v>
          </cell>
          <cell r="B143" t="str">
            <v xml:space="preserve"> POWER CONTROLLER</v>
          </cell>
          <cell r="C143" t="str">
            <v xml:space="preserve"> 8CH</v>
          </cell>
          <cell r="D143" t="str">
            <v>개</v>
          </cell>
          <cell r="G143" t="str">
            <v>P1002</v>
          </cell>
          <cell r="H143">
            <v>230000</v>
          </cell>
          <cell r="M143">
            <v>230000</v>
          </cell>
        </row>
        <row r="144">
          <cell r="A144" t="str">
            <v xml:space="preserve"> TIMER 24 Hr</v>
          </cell>
          <cell r="B144" t="str">
            <v xml:space="preserve"> TIMER</v>
          </cell>
          <cell r="C144" t="str">
            <v xml:space="preserve"> 24 Hr</v>
          </cell>
          <cell r="D144" t="str">
            <v>개</v>
          </cell>
          <cell r="G144" t="str">
            <v>P919</v>
          </cell>
          <cell r="H144">
            <v>48400</v>
          </cell>
          <cell r="M144">
            <v>48400</v>
          </cell>
        </row>
        <row r="145">
          <cell r="A145" t="str">
            <v xml:space="preserve"> COLOR MONITOR 20"</v>
          </cell>
          <cell r="B145" t="e">
            <v>#N/A</v>
          </cell>
          <cell r="C145" t="e">
            <v>#N/A</v>
          </cell>
          <cell r="D145" t="str">
            <v>대</v>
          </cell>
          <cell r="G145" t="str">
            <v>P996</v>
          </cell>
          <cell r="H145">
            <v>350000</v>
          </cell>
          <cell r="M145">
            <v>350000</v>
          </cell>
        </row>
        <row r="146">
          <cell r="A146" t="str">
            <v xml:space="preserve"> COLOR CAMERA 2 LUX</v>
          </cell>
          <cell r="B146" t="str">
            <v xml:space="preserve"> COLOR CAMERA</v>
          </cell>
          <cell r="C146" t="str">
            <v xml:space="preserve"> 2 LUX</v>
          </cell>
          <cell r="D146" t="str">
            <v>개</v>
          </cell>
          <cell r="G146" t="str">
            <v>P1002</v>
          </cell>
          <cell r="H146">
            <v>1250000</v>
          </cell>
          <cell r="M146">
            <v>1250000</v>
          </cell>
        </row>
        <row r="147">
          <cell r="A147" t="str">
            <v xml:space="preserve"> AUTO IRIS LENS 8mm</v>
          </cell>
          <cell r="B147" t="e">
            <v>#N/A</v>
          </cell>
          <cell r="C147" t="e">
            <v>#N/A</v>
          </cell>
          <cell r="D147" t="str">
            <v>개</v>
          </cell>
          <cell r="G147" t="str">
            <v>P1001</v>
          </cell>
          <cell r="H147">
            <v>180000</v>
          </cell>
          <cell r="M147">
            <v>180000</v>
          </cell>
        </row>
        <row r="148">
          <cell r="A148" t="str">
            <v xml:space="preserve"> 렌즈 AUTO IRIS(8mm)</v>
          </cell>
          <cell r="B148" t="str">
            <v xml:space="preserve"> 렌즈</v>
          </cell>
          <cell r="C148" t="str">
            <v xml:space="preserve"> AUTO IRIS(8mm)</v>
          </cell>
          <cell r="D148" t="str">
            <v>개</v>
          </cell>
          <cell r="L148">
            <v>160000</v>
          </cell>
          <cell r="M148">
            <v>160000</v>
          </cell>
        </row>
        <row r="149">
          <cell r="A149" t="str">
            <v xml:space="preserve"> AUTO IRIS LENS 16mm</v>
          </cell>
          <cell r="B149" t="e">
            <v>#N/A</v>
          </cell>
          <cell r="C149" t="e">
            <v>#N/A</v>
          </cell>
          <cell r="D149" t="str">
            <v>개</v>
          </cell>
          <cell r="G149" t="str">
            <v>P1001</v>
          </cell>
          <cell r="H149">
            <v>250000</v>
          </cell>
          <cell r="M149">
            <v>250000</v>
          </cell>
        </row>
        <row r="150">
          <cell r="A150" t="str">
            <v xml:space="preserve"> CAMERA BRACKET WALL TYPE</v>
          </cell>
          <cell r="B150" t="e">
            <v>#N/A</v>
          </cell>
          <cell r="C150" t="e">
            <v>#N/A</v>
          </cell>
          <cell r="D150" t="str">
            <v>개</v>
          </cell>
          <cell r="G150" t="str">
            <v>P1002</v>
          </cell>
          <cell r="H150">
            <v>50000</v>
          </cell>
          <cell r="M150">
            <v>50000</v>
          </cell>
        </row>
        <row r="151">
          <cell r="A151" t="str">
            <v xml:space="preserve"> CAMERA HOUSING INDOOR</v>
          </cell>
          <cell r="B151" t="e">
            <v>#N/A</v>
          </cell>
          <cell r="C151" t="e">
            <v>#N/A</v>
          </cell>
          <cell r="D151" t="str">
            <v>개</v>
          </cell>
          <cell r="L151">
            <v>60000</v>
          </cell>
          <cell r="M151">
            <v>60000</v>
          </cell>
        </row>
        <row r="152">
          <cell r="A152" t="str">
            <v xml:space="preserve"> CAMERA HOUSING OUTDOOR</v>
          </cell>
          <cell r="B152" t="e">
            <v>#N/A</v>
          </cell>
          <cell r="C152" t="e">
            <v>#N/A</v>
          </cell>
          <cell r="D152" t="str">
            <v>개</v>
          </cell>
          <cell r="L152">
            <v>300000</v>
          </cell>
          <cell r="M152">
            <v>300000</v>
          </cell>
        </row>
        <row r="153">
          <cell r="A153" t="str">
            <v xml:space="preserve"> MONITOR HOUSING 20"×2형</v>
          </cell>
          <cell r="B153" t="e">
            <v>#N/A</v>
          </cell>
          <cell r="C153" t="e">
            <v>#N/A</v>
          </cell>
          <cell r="D153" t="str">
            <v>대</v>
          </cell>
          <cell r="L153">
            <v>700000</v>
          </cell>
          <cell r="M153">
            <v>700000</v>
          </cell>
        </row>
        <row r="154">
          <cell r="A154" t="str">
            <v xml:space="preserve"> 강관주 100mm×4m</v>
          </cell>
          <cell r="B154" t="str">
            <v xml:space="preserve"> 강관주</v>
          </cell>
          <cell r="C154" t="str">
            <v xml:space="preserve"> 100mm×4m</v>
          </cell>
          <cell r="D154" t="str">
            <v>본</v>
          </cell>
          <cell r="L154">
            <v>1600000</v>
          </cell>
          <cell r="M154">
            <v>1600000</v>
          </cell>
        </row>
        <row r="155">
          <cell r="A155" t="str">
            <v xml:space="preserve"> 강관주 150mm×4m</v>
          </cell>
          <cell r="B155" t="str">
            <v xml:space="preserve"> 강관주</v>
          </cell>
          <cell r="C155" t="str">
            <v xml:space="preserve"> 150mm×4m</v>
          </cell>
          <cell r="D155" t="str">
            <v>본</v>
          </cell>
          <cell r="L155">
            <v>1750000</v>
          </cell>
          <cell r="M155">
            <v>1750000</v>
          </cell>
        </row>
        <row r="156">
          <cell r="A156" t="str">
            <v xml:space="preserve"> 볼트너트 Φ 25mm</v>
          </cell>
          <cell r="B156" t="str">
            <v xml:space="preserve"> 볼트너트</v>
          </cell>
          <cell r="C156" t="str">
            <v xml:space="preserve"> Φ 25mm</v>
          </cell>
          <cell r="D156" t="str">
            <v>개</v>
          </cell>
          <cell r="G156" t="str">
            <v>P353</v>
          </cell>
          <cell r="H156">
            <v>10</v>
          </cell>
          <cell r="M156">
            <v>10</v>
          </cell>
        </row>
        <row r="157">
          <cell r="A157" t="str">
            <v xml:space="preserve"> 셋트앵커(3/8")   M10 L75</v>
          </cell>
          <cell r="B157" t="str">
            <v xml:space="preserve"> 셋트앵커(3/8")  </v>
          </cell>
          <cell r="C157" t="str">
            <v xml:space="preserve"> M10 L75</v>
          </cell>
          <cell r="D157" t="str">
            <v>개</v>
          </cell>
          <cell r="G157" t="str">
            <v xml:space="preserve"> P77</v>
          </cell>
          <cell r="H157">
            <v>280</v>
          </cell>
          <cell r="M157">
            <v>280</v>
          </cell>
        </row>
        <row r="158">
          <cell r="A158" t="str">
            <v xml:space="preserve"> 철판 900×900×16t</v>
          </cell>
          <cell r="B158" t="str">
            <v xml:space="preserve"> 철판</v>
          </cell>
          <cell r="C158" t="str">
            <v xml:space="preserve"> 900×900×16t</v>
          </cell>
          <cell r="D158" t="str">
            <v>개</v>
          </cell>
          <cell r="E158" t="str">
            <v>P879</v>
          </cell>
          <cell r="F158">
            <v>49505</v>
          </cell>
          <cell r="M158">
            <v>49505</v>
          </cell>
        </row>
        <row r="159">
          <cell r="A159" t="str">
            <v xml:space="preserve"> 화재수신기-P형1급  5회로(벽부)</v>
          </cell>
          <cell r="B159" t="str">
            <v xml:space="preserve"> 화재수신기-P형1급 </v>
          </cell>
          <cell r="C159" t="str">
            <v xml:space="preserve"> 5회로(벽부)</v>
          </cell>
          <cell r="D159" t="str">
            <v>대</v>
          </cell>
          <cell r="E159" t="str">
            <v>P666</v>
          </cell>
          <cell r="F159">
            <v>200000</v>
          </cell>
          <cell r="G159" t="str">
            <v>P989</v>
          </cell>
          <cell r="H159">
            <v>170000</v>
          </cell>
          <cell r="M159">
            <v>170000</v>
          </cell>
        </row>
        <row r="160">
          <cell r="A160" t="str">
            <v xml:space="preserve"> 수신기 추가  수신 1회로당</v>
          </cell>
          <cell r="B160" t="str">
            <v xml:space="preserve"> 수신기 추가 </v>
          </cell>
          <cell r="C160" t="str">
            <v xml:space="preserve"> 수신 1회로당</v>
          </cell>
          <cell r="D160" t="str">
            <v>회로</v>
          </cell>
          <cell r="G160" t="str">
            <v>P989</v>
          </cell>
          <cell r="H160">
            <v>10000</v>
          </cell>
          <cell r="M160">
            <v>10000</v>
          </cell>
        </row>
        <row r="161">
          <cell r="A161" t="str">
            <v xml:space="preserve"> 발신기 P형1급</v>
          </cell>
          <cell r="B161" t="str">
            <v xml:space="preserve"> 발신기</v>
          </cell>
          <cell r="C161" t="str">
            <v xml:space="preserve"> P형1급</v>
          </cell>
          <cell r="D161" t="str">
            <v>개</v>
          </cell>
          <cell r="G161" t="str">
            <v>P989</v>
          </cell>
          <cell r="H161">
            <v>5000</v>
          </cell>
          <cell r="M161">
            <v>5000</v>
          </cell>
        </row>
        <row r="162">
          <cell r="A162" t="str">
            <v xml:space="preserve"> 경종   DC 24V</v>
          </cell>
          <cell r="B162" t="str">
            <v xml:space="preserve"> 경종  </v>
          </cell>
          <cell r="C162" t="str">
            <v xml:space="preserve"> DC 24V</v>
          </cell>
          <cell r="D162" t="str">
            <v>개</v>
          </cell>
          <cell r="G162" t="str">
            <v>P989</v>
          </cell>
          <cell r="H162">
            <v>5000</v>
          </cell>
          <cell r="M162">
            <v>5000</v>
          </cell>
        </row>
        <row r="163">
          <cell r="A163" t="str">
            <v xml:space="preserve"> 표시등   DC 24V</v>
          </cell>
          <cell r="B163" t="str">
            <v xml:space="preserve"> 표시등  </v>
          </cell>
          <cell r="C163" t="str">
            <v xml:space="preserve"> DC 24V</v>
          </cell>
          <cell r="D163" t="str">
            <v>개</v>
          </cell>
          <cell r="G163" t="str">
            <v>P989</v>
          </cell>
          <cell r="H163">
            <v>1000</v>
          </cell>
          <cell r="M163">
            <v>1000</v>
          </cell>
        </row>
        <row r="164">
          <cell r="A164" t="str">
            <v xml:space="preserve"> 소화전함 650×1200×180</v>
          </cell>
          <cell r="B164" t="str">
            <v xml:space="preserve"> 소화전함</v>
          </cell>
          <cell r="C164" t="str">
            <v xml:space="preserve"> 650×1200×180</v>
          </cell>
          <cell r="D164" t="str">
            <v>개</v>
          </cell>
          <cell r="I164" t="str">
            <v xml:space="preserve"> P806</v>
          </cell>
          <cell r="J164">
            <v>180000</v>
          </cell>
          <cell r="M164">
            <v>180000</v>
          </cell>
        </row>
        <row r="165">
          <cell r="A165" t="str">
            <v xml:space="preserve"> 연기감지기(노출)   이온화식 2종</v>
          </cell>
          <cell r="B165" t="str">
            <v xml:space="preserve"> 연기감지기(노출)  </v>
          </cell>
          <cell r="C165" t="str">
            <v xml:space="preserve"> 이온화식 2종</v>
          </cell>
          <cell r="D165" t="str">
            <v>개</v>
          </cell>
          <cell r="E165" t="str">
            <v>P666</v>
          </cell>
          <cell r="F165">
            <v>30000</v>
          </cell>
          <cell r="G165" t="str">
            <v>P989</v>
          </cell>
          <cell r="H165">
            <v>20000</v>
          </cell>
          <cell r="M165">
            <v>20000</v>
          </cell>
        </row>
        <row r="166">
          <cell r="A166" t="str">
            <v xml:space="preserve"> 열감지기   정온식스포트형</v>
          </cell>
          <cell r="B166" t="str">
            <v xml:space="preserve"> 열감지기  </v>
          </cell>
          <cell r="C166" t="str">
            <v xml:space="preserve"> 정온식스포트형</v>
          </cell>
          <cell r="D166" t="str">
            <v>개</v>
          </cell>
          <cell r="E166" t="str">
            <v>P666</v>
          </cell>
          <cell r="F166">
            <v>5000</v>
          </cell>
          <cell r="G166" t="str">
            <v>P989</v>
          </cell>
          <cell r="H166">
            <v>5000</v>
          </cell>
          <cell r="M166">
            <v>5000</v>
          </cell>
        </row>
        <row r="167">
          <cell r="A167" t="str">
            <v xml:space="preserve"> 열감지기   차동식스포트형</v>
          </cell>
          <cell r="B167" t="str">
            <v xml:space="preserve"> 열감지기  </v>
          </cell>
          <cell r="C167" t="str">
            <v xml:space="preserve"> 차동식스포트형</v>
          </cell>
          <cell r="D167" t="str">
            <v>개</v>
          </cell>
          <cell r="E167" t="str">
            <v>P666</v>
          </cell>
          <cell r="F167">
            <v>5000</v>
          </cell>
          <cell r="G167" t="str">
            <v>P989</v>
          </cell>
          <cell r="H167">
            <v>5000</v>
          </cell>
          <cell r="M167">
            <v>5000</v>
          </cell>
        </row>
        <row r="168">
          <cell r="A168" t="str">
            <v xml:space="preserve"> 열연강판 12t</v>
          </cell>
          <cell r="B168" t="str">
            <v xml:space="preserve"> 열연강판</v>
          </cell>
          <cell r="C168" t="str">
            <v xml:space="preserve"> 12t</v>
          </cell>
          <cell r="D168" t="str">
            <v>kg</v>
          </cell>
          <cell r="E168" t="str">
            <v>P53</v>
          </cell>
          <cell r="F168">
            <v>360</v>
          </cell>
          <cell r="G168" t="str">
            <v xml:space="preserve"> P50</v>
          </cell>
          <cell r="H168">
            <v>360</v>
          </cell>
          <cell r="M168">
            <v>360</v>
          </cell>
        </row>
      </sheetData>
      <sheetData sheetId="1"/>
      <sheetData sheetId="2" refreshError="1">
        <row r="2">
          <cell r="B2" t="str">
            <v>공  사  종  류</v>
          </cell>
        </row>
        <row r="3">
          <cell r="B3" t="str">
            <v>1. 일반 통신 설비</v>
          </cell>
        </row>
        <row r="4">
          <cell r="A4" t="str">
            <v xml:space="preserve"> 지중도체 신설  3Ω (100Ω,m)</v>
          </cell>
          <cell r="B4" t="str">
            <v xml:space="preserve"> 지중도체 신설</v>
          </cell>
          <cell r="C4" t="str">
            <v xml:space="preserve">  3Ω (100Ω,m)</v>
          </cell>
          <cell r="D4" t="str">
            <v>개소</v>
          </cell>
          <cell r="E4">
            <v>1</v>
          </cell>
          <cell r="G4">
            <v>2</v>
          </cell>
          <cell r="X4" t="str">
            <v>=</v>
          </cell>
          <cell r="Y4">
            <v>3</v>
          </cell>
          <cell r="Z4">
            <v>3</v>
          </cell>
        </row>
        <row r="5">
          <cell r="A5" t="str">
            <v xml:space="preserve"> 지중도체 신설 50Ω (100Ω,m)</v>
          </cell>
          <cell r="B5" t="str">
            <v xml:space="preserve"> 지중도체 신설</v>
          </cell>
          <cell r="C5" t="str">
            <v xml:space="preserve"> 50Ω (100Ω,m)</v>
          </cell>
          <cell r="D5" t="str">
            <v>개소</v>
          </cell>
          <cell r="E5">
            <v>1</v>
          </cell>
          <cell r="G5">
            <v>2</v>
          </cell>
          <cell r="X5" t="str">
            <v>=</v>
          </cell>
          <cell r="Y5">
            <v>3</v>
          </cell>
          <cell r="Z5">
            <v>3</v>
          </cell>
        </row>
        <row r="6">
          <cell r="A6" t="str">
            <v xml:space="preserve"> 핸드홀 신설 3호</v>
          </cell>
          <cell r="B6" t="str">
            <v xml:space="preserve"> 핸드홀 신설</v>
          </cell>
          <cell r="C6" t="str">
            <v xml:space="preserve"> 3호</v>
          </cell>
          <cell r="D6" t="str">
            <v>기</v>
          </cell>
          <cell r="G6">
            <v>1</v>
          </cell>
          <cell r="X6" t="str">
            <v>=</v>
          </cell>
          <cell r="Y6">
            <v>1</v>
          </cell>
          <cell r="Z6">
            <v>1</v>
          </cell>
        </row>
        <row r="8">
          <cell r="A8" t="str">
            <v xml:space="preserve"> 통신케이블 신설 CPEV 10P/.65</v>
          </cell>
          <cell r="B8" t="str">
            <v xml:space="preserve"> 통신케이블 신설</v>
          </cell>
          <cell r="C8" t="str">
            <v xml:space="preserve"> CPEV 10P/.65</v>
          </cell>
          <cell r="D8" t="str">
            <v>m</v>
          </cell>
          <cell r="E8" t="str">
            <v xml:space="preserve"> [ 역무실 TB - 매포실 TB ]</v>
          </cell>
          <cell r="Z8">
            <v>630.79999999999995</v>
          </cell>
        </row>
        <row r="9">
          <cell r="A9" t="str">
            <v/>
          </cell>
          <cell r="E9" t="str">
            <v>가설역사 :</v>
          </cell>
          <cell r="F9" t="str">
            <v xml:space="preserve">  1.5 + 1.5 +  0.5 ↓+  0.5 + 6.5 + 0.5 ↑+  1.5</v>
          </cell>
          <cell r="X9" t="str">
            <v>=</v>
          </cell>
          <cell r="Y9">
            <v>12.5</v>
          </cell>
        </row>
        <row r="10">
          <cell r="A10" t="str">
            <v/>
          </cell>
          <cell r="E10" t="str">
            <v xml:space="preserve"> [ MAIN TB - 전기실 TB ]</v>
          </cell>
        </row>
        <row r="11">
          <cell r="E11" t="str">
            <v xml:space="preserve">  15 + 5.5↑ + 0.5 + 9 + 0.5 + 10 + 0.5 + 5 + 0.5 + 8 + 0.5 + 5.5↓ + 0.4↓ + 0.5 +</v>
          </cell>
        </row>
        <row r="12">
          <cell r="A12" t="str">
            <v/>
          </cell>
          <cell r="E12" t="str">
            <v xml:space="preserve">  5.5 ↓+ 2 + 0.5</v>
          </cell>
          <cell r="X12" t="str">
            <v>=</v>
          </cell>
          <cell r="Y12">
            <v>69.400000000000006</v>
          </cell>
        </row>
        <row r="13">
          <cell r="A13" t="str">
            <v/>
          </cell>
          <cell r="E13" t="str">
            <v xml:space="preserve"> [ MAIN TB - 매  점 TB ]</v>
          </cell>
        </row>
        <row r="14">
          <cell r="A14" t="str">
            <v/>
          </cell>
          <cell r="E14" t="str">
            <v xml:space="preserve">  15 + 5.5 ↑+ 0.5 + 9 + 0.5 + 9 + 0.5 + 12 + 0.5 + 8 + 0.5 + 14 + 0.5 + 2 + 5 + 0.5</v>
          </cell>
          <cell r="X14" t="str">
            <v>=</v>
          </cell>
          <cell r="Y14">
            <v>83</v>
          </cell>
        </row>
        <row r="15">
          <cell r="A15" t="str">
            <v/>
          </cell>
          <cell r="E15" t="str">
            <v xml:space="preserve"> [ MAIN TB - 공중전화 ]</v>
          </cell>
        </row>
        <row r="16">
          <cell r="A16" t="str">
            <v/>
          </cell>
          <cell r="E16" t="str">
            <v xml:space="preserve"> 대합실</v>
          </cell>
          <cell r="F16" t="str">
            <v>(15 + 5.5 ↑+ 0.5 + 9 + 0.5 + 9 + 0.5) * 3</v>
          </cell>
        </row>
        <row r="17">
          <cell r="F17" t="str">
            <v>(17.5 + 0.5 + 7.5 + 0.5 + 5.5 ↓) * 2</v>
          </cell>
          <cell r="X17" t="str">
            <v>=</v>
          </cell>
          <cell r="Y17">
            <v>183</v>
          </cell>
        </row>
        <row r="18">
          <cell r="E18" t="str">
            <v>1 층상</v>
          </cell>
          <cell r="F18" t="str">
            <v>0.5 + 12 + 0.5 + 8 + 0.5 + 17 + 0.5 + 5.5 + 0.4 + 0.5 + 4 + 0.5 + 28 + 0.5 + 32 +</v>
          </cell>
        </row>
        <row r="19">
          <cell r="F19" t="str">
            <v>0.5 + 31 + 0.5 + 6 + 8 + 1.5 + 28 + 0.5 + 32 + 0.5 + 30 + 0.5 + 6 + 8 + 1.5</v>
          </cell>
          <cell r="X19" t="str">
            <v>=</v>
          </cell>
          <cell r="Y19">
            <v>264.5</v>
          </cell>
        </row>
        <row r="20">
          <cell r="A20" t="str">
            <v/>
          </cell>
          <cell r="E20" t="str">
            <v>2 층</v>
          </cell>
          <cell r="F20" t="str">
            <v>13 + 0.5 + 1.5</v>
          </cell>
          <cell r="X20" t="str">
            <v>=</v>
          </cell>
          <cell r="Y20">
            <v>15</v>
          </cell>
        </row>
        <row r="21">
          <cell r="A21" t="str">
            <v/>
          </cell>
          <cell r="E21" t="str">
            <v>1 층하</v>
          </cell>
          <cell r="F21" t="str">
            <v>0.4 + 0.5 + 2 + 0.5</v>
          </cell>
          <cell r="X21" t="str">
            <v>=</v>
          </cell>
          <cell r="Y21">
            <v>3.4</v>
          </cell>
        </row>
        <row r="22">
          <cell r="A22" t="str">
            <v xml:space="preserve"> 통신케이블 신설 CPEV 20P/.65</v>
          </cell>
          <cell r="B22" t="str">
            <v xml:space="preserve"> 통신케이블 신설</v>
          </cell>
          <cell r="C22" t="str">
            <v xml:space="preserve"> CPEV 20P/.65</v>
          </cell>
          <cell r="D22" t="str">
            <v>m</v>
          </cell>
          <cell r="E22" t="str">
            <v xml:space="preserve"> [ 통신실 TB - 매포실 ]</v>
          </cell>
          <cell r="Z22">
            <v>25</v>
          </cell>
        </row>
        <row r="23">
          <cell r="A23" t="str">
            <v/>
          </cell>
          <cell r="E23" t="str">
            <v xml:space="preserve"> 1.5 + 0.5 + 8 + 15</v>
          </cell>
          <cell r="X23" t="str">
            <v>=</v>
          </cell>
          <cell r="Y23">
            <v>25</v>
          </cell>
        </row>
        <row r="24">
          <cell r="A24" t="str">
            <v xml:space="preserve"> 통신케이블 신설 CPEV 30P/.65</v>
          </cell>
          <cell r="B24" t="str">
            <v xml:space="preserve"> 통신케이블 신설</v>
          </cell>
          <cell r="C24" t="str">
            <v xml:space="preserve"> CPEV 30P/.65</v>
          </cell>
          <cell r="D24" t="str">
            <v>m</v>
          </cell>
          <cell r="E24" t="str">
            <v xml:space="preserve"> [ K.T단자 -  통신실 TB ]</v>
          </cell>
          <cell r="Z24">
            <v>118.4</v>
          </cell>
        </row>
        <row r="25">
          <cell r="E25" t="str">
            <v xml:space="preserve"> 0.5 + 5.5 + 3.5 + 0.4 + 0.5 + 5.5 + 0.5 + 8 + 0.5 + 5 + 0.5 + 10 + 0.5 + 9 + 0.5 + 5.5 + 15</v>
          </cell>
          <cell r="X25" t="str">
            <v>=</v>
          </cell>
          <cell r="Y25">
            <v>70.900000000000006</v>
          </cell>
        </row>
        <row r="26">
          <cell r="E26" t="str">
            <v xml:space="preserve"> [ 통신실 TB - 역무실 ]</v>
          </cell>
          <cell r="K26" t="str">
            <v>가설역사</v>
          </cell>
        </row>
        <row r="27">
          <cell r="A27" t="str">
            <v/>
          </cell>
          <cell r="E27" t="str">
            <v>가설역사 :</v>
          </cell>
          <cell r="F27" t="str">
            <v xml:space="preserve">  1.5 + 1 + 3 ↑+ 0.5 + 12.5 + 0.5 + 16.5 + 0.5 + 6.5 + 0.5 + 3 ↓+ 1.5</v>
          </cell>
          <cell r="X27" t="str">
            <v>=</v>
          </cell>
          <cell r="Y27">
            <v>47.5</v>
          </cell>
        </row>
        <row r="28">
          <cell r="A28" t="str">
            <v/>
          </cell>
        </row>
        <row r="29">
          <cell r="A29" t="str">
            <v xml:space="preserve"> 전화선 신설 TIV 2C/.8mm</v>
          </cell>
          <cell r="B29" t="str">
            <v xml:space="preserve"> 전화선 신설</v>
          </cell>
          <cell r="C29" t="str">
            <v xml:space="preserve"> TIV 2C/.8mm</v>
          </cell>
          <cell r="D29" t="str">
            <v>m</v>
          </cell>
          <cell r="E29" t="str">
            <v xml:space="preserve"> [ 매점 TB - 매점, 안내소Unit ]</v>
          </cell>
          <cell r="Z29">
            <v>380.09999999999997</v>
          </cell>
        </row>
        <row r="30">
          <cell r="A30" t="str">
            <v/>
          </cell>
          <cell r="E30" t="str">
            <v xml:space="preserve"> (1.5 + 0.5 + 4 + 0.3 + 0.3) x 2 + (1.5 + 0.5 + 5 + 0.3 + 0.3) x 2</v>
          </cell>
        </row>
        <row r="31">
          <cell r="A31" t="str">
            <v/>
          </cell>
          <cell r="E31" t="str">
            <v xml:space="preserve"> (1.5 + 0.5 + 13 + 0.3 + 0.3) x 2 + (1.5 + 0.5 + 15 + 0.3 + 0.3) x 2</v>
          </cell>
          <cell r="X31" t="str">
            <v>=</v>
          </cell>
          <cell r="Y31">
            <v>94.8</v>
          </cell>
        </row>
        <row r="32">
          <cell r="A32" t="str">
            <v/>
          </cell>
          <cell r="E32" t="str">
            <v xml:space="preserve"> [ 역무관리실 TB - 각Unit ]</v>
          </cell>
        </row>
        <row r="33">
          <cell r="E33" t="str">
            <v xml:space="preserve"> (1.5 + 0.5 + 1.5 + 0.3 + 0.3) x 2 + (1.5 + 0.5 + 5 + 0.3 + 0.3) x 4</v>
          </cell>
        </row>
        <row r="34">
          <cell r="E34" t="str">
            <v xml:space="preserve"> ( 0.3 + 0.3 + 0.5 + 0.3 + 0.3) x 2 + (1.5 + 0.5 + 7.5 + 0.3 + 0.3) x 2</v>
          </cell>
        </row>
        <row r="35">
          <cell r="A35" t="str">
            <v/>
          </cell>
          <cell r="E35" t="str">
            <v xml:space="preserve"> (1.5 + 0.5 + 15 + 0.3 + 0.3) x 2</v>
          </cell>
          <cell r="X35" t="str">
            <v>=</v>
          </cell>
          <cell r="Y35">
            <v>97.4</v>
          </cell>
        </row>
        <row r="36">
          <cell r="E36" t="str">
            <v xml:space="preserve"> [ 역무실 TB - 휴게실Unit ]</v>
          </cell>
        </row>
        <row r="37">
          <cell r="E37" t="str">
            <v>가설역사</v>
          </cell>
          <cell r="G37" t="str">
            <v>(1.5 + 0.5 ↓ + 10 + 0.3 ↑+ 0.3) x 2</v>
          </cell>
          <cell r="X37" t="str">
            <v>=</v>
          </cell>
          <cell r="Y37">
            <v>25.2</v>
          </cell>
        </row>
        <row r="38">
          <cell r="E38" t="str">
            <v xml:space="preserve"> [ 역무실 TB - 각Unit ]</v>
          </cell>
        </row>
        <row r="39">
          <cell r="E39" t="str">
            <v>가설역사</v>
          </cell>
          <cell r="G39" t="str">
            <v>(1.5 + 0.5 ↓ + 7 +  0.3 ↑+ 0.3) x 4</v>
          </cell>
          <cell r="X39" t="str">
            <v>=</v>
          </cell>
          <cell r="Y39">
            <v>38.4</v>
          </cell>
        </row>
        <row r="40">
          <cell r="E40" t="str">
            <v xml:space="preserve"> [ 매표실 TB - 각Unit ]</v>
          </cell>
        </row>
        <row r="41">
          <cell r="E41" t="str">
            <v>가설역사</v>
          </cell>
          <cell r="G41" t="str">
            <v>1.5 + 0.5 ↓ + 7.5 + 0.3 ↑ + 0.3</v>
          </cell>
          <cell r="X41" t="str">
            <v>=</v>
          </cell>
          <cell r="Y41">
            <v>10.1</v>
          </cell>
        </row>
        <row r="42">
          <cell r="A42" t="str">
            <v/>
          </cell>
          <cell r="E42" t="str">
            <v xml:space="preserve"> [ 통신실 - 탕비실 ]</v>
          </cell>
        </row>
        <row r="43">
          <cell r="A43" t="str">
            <v/>
          </cell>
          <cell r="E43" t="str">
            <v xml:space="preserve"> (15 + 8 + 0.3 + 0.3) x 2</v>
          </cell>
          <cell r="X43" t="str">
            <v>=</v>
          </cell>
          <cell r="Y43">
            <v>47.2</v>
          </cell>
        </row>
        <row r="44">
          <cell r="A44" t="str">
            <v/>
          </cell>
          <cell r="E44" t="str">
            <v xml:space="preserve"> [ 전기실  - 보일러실 ]</v>
          </cell>
        </row>
        <row r="45">
          <cell r="A45" t="str">
            <v/>
          </cell>
          <cell r="E45" t="str">
            <v xml:space="preserve"> (1.5 + 0.5 + 18 + 0.3 + 0.3) x 2 + (1.5 + 0.5 + 6 + 0.3 + 0.3) x 3</v>
          </cell>
          <cell r="X45" t="str">
            <v>=</v>
          </cell>
          <cell r="Y45">
            <v>67</v>
          </cell>
        </row>
        <row r="47">
          <cell r="A47" t="str">
            <v xml:space="preserve"> 동축케이블 신설 7C-2V</v>
          </cell>
          <cell r="B47" t="str">
            <v xml:space="preserve"> 동축케이블 신설</v>
          </cell>
          <cell r="C47" t="str">
            <v xml:space="preserve"> 7C-2V</v>
          </cell>
          <cell r="D47" t="str">
            <v>m</v>
          </cell>
          <cell r="E47" t="str">
            <v xml:space="preserve"> [ TV ANT - 통신실 ]</v>
          </cell>
          <cell r="Z47">
            <v>21.9</v>
          </cell>
        </row>
        <row r="48">
          <cell r="A48" t="str">
            <v/>
          </cell>
          <cell r="E48" t="str">
            <v xml:space="preserve"> 15 + 0.4↓ + 5 ↓ +1.5</v>
          </cell>
          <cell r="X48" t="str">
            <v>=</v>
          </cell>
          <cell r="Y48">
            <v>21.9</v>
          </cell>
        </row>
        <row r="49">
          <cell r="A49" t="str">
            <v/>
          </cell>
        </row>
        <row r="50">
          <cell r="A50" t="str">
            <v xml:space="preserve"> 동축케이블 신설 5C-2V</v>
          </cell>
          <cell r="B50" t="str">
            <v xml:space="preserve"> 동축케이블 신설</v>
          </cell>
          <cell r="C50" t="str">
            <v xml:space="preserve"> 5C-2V</v>
          </cell>
          <cell r="D50" t="str">
            <v>m</v>
          </cell>
          <cell r="E50" t="str">
            <v>[통신실 → 임대매점]</v>
          </cell>
          <cell r="I50" t="str">
            <v>TV</v>
          </cell>
          <cell r="Z50">
            <v>207.4</v>
          </cell>
        </row>
        <row r="51">
          <cell r="A51" t="str">
            <v/>
          </cell>
          <cell r="E51" t="str">
            <v>1.5+0.5↓+3+0.3↑+0.3+0.3+5.2↑+0.3+2+0.5+9+0.5+9+0.5+12</v>
          </cell>
        </row>
        <row r="52">
          <cell r="A52" t="str">
            <v/>
          </cell>
          <cell r="E52" t="str">
            <v>0.5+8+0.5+14+0.5+2+4↓+1.5↓+4+(0.3↑+0.3)x2+6.5</v>
          </cell>
        </row>
        <row r="53">
          <cell r="E53" t="str">
            <v>(0.3↑+0.3)x2+8.5+0.3↑+0.3</v>
          </cell>
          <cell r="X53" t="str">
            <v>=</v>
          </cell>
          <cell r="Y53">
            <v>97.9</v>
          </cell>
        </row>
        <row r="54">
          <cell r="E54" t="str">
            <v>[통신실 → 매표실, 전기실]</v>
          </cell>
          <cell r="K54" t="str">
            <v>TV</v>
          </cell>
        </row>
        <row r="55">
          <cell r="E55" t="str">
            <v>1.5+0.5↓+3+5.5↑+2+0.5+9+0.5+10+0.5+5.2↓+0.3</v>
          </cell>
        </row>
        <row r="56">
          <cell r="E56" t="str">
            <v>0.3+0.3↓+1+(0.3↑+0.3)x2+11.5+(0.3↑+0.3)x2</v>
          </cell>
        </row>
        <row r="57">
          <cell r="E57" t="str">
            <v>2+(0.3↑+0.3)x2+11+(0.3↑+0.3)x2+0.5+0.3↑+0.3</v>
          </cell>
        </row>
        <row r="58">
          <cell r="E58" t="str">
            <v>0.3+5.2↑+0.5+5+0.5+8+0.5+5.5↓+0.4↓+0.5+5.5↓</v>
          </cell>
        </row>
        <row r="59">
          <cell r="A59" t="str">
            <v/>
          </cell>
          <cell r="E59" t="str">
            <v>0.5↓+6+0.3↑+0.3</v>
          </cell>
          <cell r="X59" t="str">
            <v>=</v>
          </cell>
          <cell r="Y59">
            <v>109.5</v>
          </cell>
        </row>
        <row r="60">
          <cell r="A60" t="str">
            <v/>
          </cell>
        </row>
        <row r="61">
          <cell r="A61" t="str">
            <v xml:space="preserve"> 접지선 신설 GV 38㎟</v>
          </cell>
          <cell r="B61" t="str">
            <v xml:space="preserve"> 접지선 신설</v>
          </cell>
          <cell r="C61" t="str">
            <v xml:space="preserve"> GV 38㎟</v>
          </cell>
          <cell r="D61" t="str">
            <v>m</v>
          </cell>
          <cell r="E61" t="str">
            <v xml:space="preserve"> [ GR - 통신실 접지단자함 ]</v>
          </cell>
          <cell r="Z61">
            <v>574.90000000000009</v>
          </cell>
        </row>
        <row r="62">
          <cell r="A62" t="str">
            <v/>
          </cell>
          <cell r="E62" t="str">
            <v>가설역사 :</v>
          </cell>
          <cell r="F62" t="str">
            <v>20 + 10 + 22.8</v>
          </cell>
          <cell r="X62" t="str">
            <v>=</v>
          </cell>
          <cell r="Y62">
            <v>52.8</v>
          </cell>
        </row>
        <row r="63">
          <cell r="E63" t="str">
            <v>가설역사 :</v>
          </cell>
          <cell r="F63" t="str">
            <v>1 + 4 + 0.5 + 7 + 0.5 + 28.5 + 0.5 + 4.5 + 3 + 15 + 5</v>
          </cell>
          <cell r="U63" t="str">
            <v>AFC</v>
          </cell>
          <cell r="X63" t="str">
            <v>=</v>
          </cell>
          <cell r="Y63">
            <v>69.5</v>
          </cell>
        </row>
        <row r="64">
          <cell r="A64" t="str">
            <v/>
          </cell>
          <cell r="E64" t="str">
            <v xml:space="preserve"> 20 + 20 + 130</v>
          </cell>
          <cell r="X64" t="str">
            <v>=</v>
          </cell>
          <cell r="Y64">
            <v>170</v>
          </cell>
        </row>
        <row r="65">
          <cell r="E65" t="str">
            <v xml:space="preserve"> 3 x 4 + (7 + 0.5 + 0.4 + 5.5 + 0.5 + 8 + 0.5 + 5 + 0.5 + 10) x 3</v>
          </cell>
        </row>
        <row r="66">
          <cell r="E66" t="str">
            <v xml:space="preserve"> (0.5 + 9 + 0.5 + 5.5 + 3 + 15) x 3</v>
          </cell>
        </row>
        <row r="67">
          <cell r="E67" t="str">
            <v xml:space="preserve"> 7 + 0.5 + 0.4 + 5.5 + 0.5 + 8 + 0.5 + 5 + 0.5 + 5.5 + 8 + 15</v>
          </cell>
          <cell r="X67" t="str">
            <v>=</v>
          </cell>
          <cell r="Y67">
            <v>282.60000000000002</v>
          </cell>
        </row>
        <row r="69">
          <cell r="A69" t="str">
            <v xml:space="preserve"> 접지선 신설 GV 5.5㎟</v>
          </cell>
          <cell r="B69" t="str">
            <v xml:space="preserve"> 접지선 신설</v>
          </cell>
          <cell r="C69" t="str">
            <v xml:space="preserve"> GV 5.5㎟</v>
          </cell>
          <cell r="D69" t="str">
            <v>m</v>
          </cell>
          <cell r="E69" t="str">
            <v xml:space="preserve"> [ 역무실 TB - 매포실 TB ]</v>
          </cell>
          <cell r="Z69">
            <v>774.19999999999993</v>
          </cell>
        </row>
        <row r="70">
          <cell r="E70" t="str">
            <v>가설역사 :</v>
          </cell>
          <cell r="F70" t="str">
            <v xml:space="preserve">  1.5 + 1.5 +  0.5 ↓+  0.5 + 6.5 + 0.5 ↑+  1.5</v>
          </cell>
          <cell r="X70" t="str">
            <v>=</v>
          </cell>
          <cell r="Y70">
            <v>12.5</v>
          </cell>
        </row>
        <row r="71">
          <cell r="E71" t="str">
            <v xml:space="preserve"> [ MAIN TB - 전기실 TB ]</v>
          </cell>
        </row>
        <row r="72">
          <cell r="E72" t="str">
            <v xml:space="preserve">  15 + 5.5↑ + 0.5 + 9 + 0.5 + 10 + 0.5 + 5 + 0.5 + 8 + 0.5 + 5.5↓ + 0.4↓ + 0.5 +</v>
          </cell>
        </row>
        <row r="73">
          <cell r="E73" t="str">
            <v xml:space="preserve">  5.5 ↓+ 2 + 0.5</v>
          </cell>
          <cell r="X73" t="str">
            <v>=</v>
          </cell>
          <cell r="Y73">
            <v>69.400000000000006</v>
          </cell>
        </row>
        <row r="74">
          <cell r="E74" t="str">
            <v xml:space="preserve"> [ MAIN TB - 매  점 TB ]</v>
          </cell>
        </row>
        <row r="75">
          <cell r="E75" t="str">
            <v xml:space="preserve">  15 + 5.5 ↑+ 0.5 + 9 + 0.5 + 9 + 0.5 + 12 + 0.5 + 8 + 0.5 + 14 + 0.5 + 2 + 5 + 0.5</v>
          </cell>
          <cell r="X75" t="str">
            <v>=</v>
          </cell>
          <cell r="Y75">
            <v>83</v>
          </cell>
        </row>
        <row r="76">
          <cell r="E76" t="str">
            <v xml:space="preserve"> [ MAIN TB - 공중전화 ]</v>
          </cell>
        </row>
        <row r="77">
          <cell r="E77" t="str">
            <v xml:space="preserve"> 대합실</v>
          </cell>
          <cell r="F77" t="str">
            <v>(15 + 5.5 ↑+ 0.5 + 9 + 0.5 + 9 + 0.5) * 3</v>
          </cell>
        </row>
        <row r="78">
          <cell r="F78" t="str">
            <v>(17.5 + 0.5 + 7.5 + 0.5 + 5.5 ↓) * 2</v>
          </cell>
          <cell r="X78" t="str">
            <v>=</v>
          </cell>
          <cell r="Y78">
            <v>183</v>
          </cell>
        </row>
        <row r="79">
          <cell r="E79" t="str">
            <v>1 층상</v>
          </cell>
          <cell r="F79" t="str">
            <v>0.5 + 12 + 0.5 + 8 + 0.5 + 17 + 0.5 + 5.5 + 0.4 + 0.5 + 4 + 0.5 + 28 + 0.5 + 32 +</v>
          </cell>
        </row>
        <row r="80">
          <cell r="F80" t="str">
            <v>0.5 + 31 + 0.5 + 6 + 8 + 1.5 + 28 + 0.5 + 32 + 0.5 + 30 + 0.5 + 6 + 8 + 1.5</v>
          </cell>
          <cell r="X80" t="str">
            <v>=</v>
          </cell>
          <cell r="Y80">
            <v>264.5</v>
          </cell>
        </row>
        <row r="81">
          <cell r="E81" t="str">
            <v>2 층</v>
          </cell>
          <cell r="F81" t="str">
            <v>13 + 0.5 + 1.5</v>
          </cell>
          <cell r="X81" t="str">
            <v>=</v>
          </cell>
          <cell r="Y81">
            <v>15</v>
          </cell>
        </row>
        <row r="82">
          <cell r="E82" t="str">
            <v>1 층하</v>
          </cell>
          <cell r="F82" t="str">
            <v>0.4 + 0.5 + 2 + 0.5</v>
          </cell>
          <cell r="X82" t="str">
            <v>=</v>
          </cell>
          <cell r="Y82">
            <v>3.4</v>
          </cell>
        </row>
        <row r="83">
          <cell r="E83" t="str">
            <v xml:space="preserve"> [ 통신실 TB - 매포실 ]</v>
          </cell>
        </row>
        <row r="84">
          <cell r="E84" t="str">
            <v xml:space="preserve"> 1.5 + 0.5 + 8 + 15</v>
          </cell>
          <cell r="X84" t="str">
            <v>=</v>
          </cell>
          <cell r="Y84">
            <v>25</v>
          </cell>
        </row>
        <row r="85">
          <cell r="E85" t="str">
            <v xml:space="preserve"> [ K.T단자 -  통신실 TB ]</v>
          </cell>
        </row>
        <row r="86">
          <cell r="E86" t="str">
            <v xml:space="preserve"> 0.5 + 5.5 + 3.5 + 0.4 + 0.5 + 5.5 + 0.5 + 8 + 0.5 + 5 + 0.5 + 10 + 0.5 + 9 + 0.5 + 5.5 + 15</v>
          </cell>
          <cell r="X86" t="str">
            <v>=</v>
          </cell>
          <cell r="Y86">
            <v>70.900000000000006</v>
          </cell>
        </row>
        <row r="87">
          <cell r="E87" t="str">
            <v xml:space="preserve"> [ 통신실 TB - 역무실 ]</v>
          </cell>
          <cell r="K87" t="str">
            <v>가설역사</v>
          </cell>
        </row>
        <row r="88">
          <cell r="E88" t="str">
            <v>가설역사 :</v>
          </cell>
          <cell r="F88" t="str">
            <v xml:space="preserve">  1.5 + 1 + 3 ↑+ 0.5 + 12.5 + 0.5 + 16.5 + 0.5 + 6.5 + 0.5 + 3 ↓+ 1.5</v>
          </cell>
          <cell r="X88" t="str">
            <v>=</v>
          </cell>
          <cell r="Y88">
            <v>47.5</v>
          </cell>
        </row>
        <row r="89">
          <cell r="A89" t="str">
            <v/>
          </cell>
        </row>
        <row r="90">
          <cell r="A90" t="str">
            <v xml:space="preserve"> 지중케이블 신설 CTC 2P(2열)</v>
          </cell>
          <cell r="B90" t="str">
            <v xml:space="preserve"> 지중케이블 신설</v>
          </cell>
          <cell r="C90" t="str">
            <v xml:space="preserve"> CTC 2P(2열)</v>
          </cell>
          <cell r="D90" t="str">
            <v>Km</v>
          </cell>
          <cell r="E90" t="str">
            <v xml:space="preserve"> [ 통신실 - 승강장 상,하 ]</v>
          </cell>
          <cell r="Z90">
            <v>0.5</v>
          </cell>
        </row>
        <row r="91">
          <cell r="A91" t="str">
            <v/>
          </cell>
          <cell r="E91" t="str">
            <v>(15+11+5.5+0.5+5+0.5+10+0.5+9+0.5+17+0.5+7.5+0.5)x2</v>
          </cell>
        </row>
        <row r="92">
          <cell r="A92" t="str">
            <v/>
          </cell>
          <cell r="E92" t="str">
            <v>(5.5+0.4+7+1.5)x2+110+230</v>
          </cell>
          <cell r="X92" t="str">
            <v>=</v>
          </cell>
          <cell r="Y92">
            <v>0.5</v>
          </cell>
        </row>
        <row r="93">
          <cell r="A93" t="str">
            <v xml:space="preserve"> 후강전선관 신설 16C (매입)</v>
          </cell>
          <cell r="B93" t="str">
            <v xml:space="preserve"> 후강전선관 신설</v>
          </cell>
          <cell r="C93" t="str">
            <v xml:space="preserve"> 16C (매입)</v>
          </cell>
          <cell r="D93" t="str">
            <v>m</v>
          </cell>
          <cell r="Z93">
            <v>176</v>
          </cell>
        </row>
        <row r="94">
          <cell r="E94" t="str">
            <v>가설역사 :</v>
          </cell>
          <cell r="F94" t="str">
            <v>7 + 10 + 7.5</v>
          </cell>
          <cell r="X94" t="str">
            <v>=</v>
          </cell>
          <cell r="Y94">
            <v>24.5</v>
          </cell>
        </row>
        <row r="95">
          <cell r="A95" t="str">
            <v/>
          </cell>
          <cell r="E95" t="str">
            <v xml:space="preserve"> 13 + 5 + 4 + 15 + 18 + 6 = 15 + 7.5 + 1.5 + 5 + 0.5 + 10</v>
          </cell>
          <cell r="X95" t="str">
            <v>=</v>
          </cell>
          <cell r="Y95">
            <v>100.5</v>
          </cell>
        </row>
        <row r="96">
          <cell r="A96" t="str">
            <v/>
          </cell>
          <cell r="E96" t="str">
            <v>TV :</v>
          </cell>
          <cell r="F96" t="str">
            <v>4 + 6.5 + 8.5 + 1 + 11.5 + 2 11 + 0.5 6</v>
          </cell>
          <cell r="X96" t="str">
            <v>=</v>
          </cell>
          <cell r="Y96">
            <v>51</v>
          </cell>
        </row>
        <row r="97">
          <cell r="A97" t="str">
            <v/>
          </cell>
        </row>
        <row r="98">
          <cell r="A98" t="str">
            <v xml:space="preserve"> 후강전선관 신설 16C (벽매입)</v>
          </cell>
          <cell r="B98" t="str">
            <v xml:space="preserve"> 후강전선관 신설</v>
          </cell>
          <cell r="C98" t="str">
            <v xml:space="preserve"> 16C (벽매입)</v>
          </cell>
          <cell r="D98" t="str">
            <v>m</v>
          </cell>
          <cell r="Z98">
            <v>29.400000000000002</v>
          </cell>
        </row>
        <row r="99">
          <cell r="A99" t="str">
            <v/>
          </cell>
          <cell r="E99" t="str">
            <v>가설역사:</v>
          </cell>
          <cell r="F99" t="str">
            <v>0.5 ↑ + 0.3 ↑ + 0.5 ↑ + 0.3 ↑ + 0.5 ↑ + 0.3 ↑</v>
          </cell>
          <cell r="X99" t="str">
            <v>=</v>
          </cell>
          <cell r="Y99">
            <v>2.4</v>
          </cell>
        </row>
        <row r="100">
          <cell r="E100" t="str">
            <v xml:space="preserve"> 0.3 x 8 + 0.3 x 4 + 0.3 x 10 + 0.3</v>
          </cell>
          <cell r="X100" t="str">
            <v>=</v>
          </cell>
          <cell r="Y100">
            <v>6.9</v>
          </cell>
        </row>
        <row r="101">
          <cell r="A101" t="str">
            <v/>
          </cell>
          <cell r="E101" t="str">
            <v>TV :</v>
          </cell>
          <cell r="F101" t="str">
            <v>5.5 + 0.3 x 5 + 0.4 + 4.5 + 5.5 + 0.3 x 9</v>
          </cell>
          <cell r="X101" t="str">
            <v>=</v>
          </cell>
          <cell r="Y101">
            <v>20.100000000000001</v>
          </cell>
        </row>
        <row r="102">
          <cell r="A102" t="str">
            <v xml:space="preserve"> 후강전선관 신설 16C (천장노출)</v>
          </cell>
          <cell r="B102" t="str">
            <v xml:space="preserve"> 후강전선관 신설</v>
          </cell>
          <cell r="C102" t="str">
            <v xml:space="preserve"> 16C (천장노출)</v>
          </cell>
          <cell r="D102" t="str">
            <v>m</v>
          </cell>
          <cell r="Z102">
            <v>69.5</v>
          </cell>
        </row>
        <row r="103">
          <cell r="A103" t="str">
            <v/>
          </cell>
          <cell r="E103" t="str">
            <v>TV :</v>
          </cell>
          <cell r="F103" t="str">
            <v>9 + 12 + 8 + 14 + 2 + 10 + 1.5 + 5 + 8</v>
          </cell>
          <cell r="X103" t="str">
            <v>=</v>
          </cell>
          <cell r="Y103">
            <v>69.5</v>
          </cell>
        </row>
        <row r="104">
          <cell r="A104" t="str">
            <v/>
          </cell>
        </row>
        <row r="105">
          <cell r="A105" t="str">
            <v xml:space="preserve"> 후강전선관 신설 22C (매입)</v>
          </cell>
          <cell r="B105" t="str">
            <v xml:space="preserve"> 후강전선관 신설</v>
          </cell>
          <cell r="C105" t="str">
            <v xml:space="preserve"> 22C (매입)</v>
          </cell>
          <cell r="D105" t="str">
            <v>m</v>
          </cell>
          <cell r="E105" t="str">
            <v>가설역사 :</v>
          </cell>
          <cell r="F105">
            <v>6.5</v>
          </cell>
          <cell r="X105" t="str">
            <v>=</v>
          </cell>
          <cell r="Y105">
            <v>6.5</v>
          </cell>
          <cell r="Z105">
            <v>22.5</v>
          </cell>
        </row>
        <row r="106">
          <cell r="F106">
            <v>13</v>
          </cell>
          <cell r="X106" t="str">
            <v>=</v>
          </cell>
          <cell r="Y106">
            <v>13</v>
          </cell>
        </row>
        <row r="107">
          <cell r="A107" t="str">
            <v/>
          </cell>
          <cell r="E107" t="str">
            <v>TV :</v>
          </cell>
          <cell r="F107">
            <v>3</v>
          </cell>
          <cell r="X107" t="str">
            <v>=</v>
          </cell>
          <cell r="Y107">
            <v>3</v>
          </cell>
        </row>
        <row r="108">
          <cell r="A108" t="str">
            <v xml:space="preserve"> 후강전선관 신설 22C (벽매입)</v>
          </cell>
          <cell r="B108" t="str">
            <v xml:space="preserve"> 후강전선관 신설</v>
          </cell>
          <cell r="C108" t="str">
            <v xml:space="preserve"> 22C (벽매입)</v>
          </cell>
          <cell r="D108" t="str">
            <v>m</v>
          </cell>
          <cell r="E108" t="str">
            <v>가설역사 :</v>
          </cell>
          <cell r="F108" t="str">
            <v>0.5 ↓ + 0.5 ↑</v>
          </cell>
          <cell r="X108" t="str">
            <v>=</v>
          </cell>
          <cell r="Y108">
            <v>1</v>
          </cell>
          <cell r="Z108">
            <v>67.400000000000006</v>
          </cell>
        </row>
        <row r="109">
          <cell r="E109" t="str">
            <v>4.5↓+5↓+0.5↑+5.5↓+0.5↓+5.5↓x3+4.5↓</v>
          </cell>
          <cell r="O109" t="str">
            <v>4.5↓+5.5↓+0.4↓+6.5↓+6↓</v>
          </cell>
          <cell r="X109" t="str">
            <v>=</v>
          </cell>
          <cell r="Y109">
            <v>59.9</v>
          </cell>
        </row>
        <row r="110">
          <cell r="A110" t="str">
            <v/>
          </cell>
          <cell r="E110" t="str">
            <v>TV :</v>
          </cell>
          <cell r="F110" t="str">
            <v>1 + 5.5</v>
          </cell>
          <cell r="X110" t="str">
            <v>=</v>
          </cell>
          <cell r="Y110">
            <v>6.5</v>
          </cell>
        </row>
        <row r="111">
          <cell r="A111" t="str">
            <v xml:space="preserve"> 후강전선관 신설 22C (천장노출)</v>
          </cell>
          <cell r="B111" t="str">
            <v xml:space="preserve"> 후강전선관 신설</v>
          </cell>
          <cell r="C111" t="str">
            <v xml:space="preserve"> 22C (천장노출)</v>
          </cell>
          <cell r="D111" t="str">
            <v>m</v>
          </cell>
          <cell r="E111" t="str">
            <v xml:space="preserve"> 18 + 14 + 2 + 12 + 9 + 9 x 2 + 12 + 10 + 17 + 4 + 28 + 32</v>
          </cell>
          <cell r="Z111">
            <v>366</v>
          </cell>
        </row>
        <row r="112">
          <cell r="A112" t="str">
            <v/>
          </cell>
          <cell r="E112" t="str">
            <v xml:space="preserve"> 8 + 5 + 8 + 2 + 4 + 31 + 6 + 8↓+ 3 + 28 + 32 + 30 + 6 + 8↓</v>
          </cell>
          <cell r="X112" t="str">
            <v>=</v>
          </cell>
          <cell r="Y112">
            <v>355</v>
          </cell>
        </row>
        <row r="113">
          <cell r="A113" t="str">
            <v/>
          </cell>
          <cell r="E113" t="str">
            <v>TV :</v>
          </cell>
          <cell r="F113" t="str">
            <v>2 + 9</v>
          </cell>
          <cell r="X113" t="str">
            <v>=</v>
          </cell>
          <cell r="Y113">
            <v>11</v>
          </cell>
        </row>
        <row r="114">
          <cell r="A114" t="str">
            <v/>
          </cell>
        </row>
        <row r="115">
          <cell r="A115" t="str">
            <v xml:space="preserve"> 후강전선관 신설 28C (매입)</v>
          </cell>
          <cell r="B115" t="str">
            <v xml:space="preserve"> 후강전선관 신설</v>
          </cell>
          <cell r="C115" t="str">
            <v xml:space="preserve"> 28C (매입)</v>
          </cell>
          <cell r="D115" t="str">
            <v>m</v>
          </cell>
          <cell r="E115">
            <v>8</v>
          </cell>
          <cell r="X115" t="str">
            <v>=</v>
          </cell>
          <cell r="Y115">
            <v>8</v>
          </cell>
          <cell r="Z115">
            <v>8</v>
          </cell>
        </row>
        <row r="116">
          <cell r="A116" t="str">
            <v xml:space="preserve"> 후강전선관 신설 28C (벽매입)</v>
          </cell>
          <cell r="B116" t="str">
            <v xml:space="preserve"> 후강전선관 신설</v>
          </cell>
          <cell r="C116" t="str">
            <v xml:space="preserve"> 28C (벽매입)</v>
          </cell>
          <cell r="D116" t="str">
            <v>m</v>
          </cell>
          <cell r="E116" t="str">
            <v xml:space="preserve"> 5.5 + 5.5 + 0.5</v>
          </cell>
          <cell r="X116" t="str">
            <v>=</v>
          </cell>
          <cell r="Y116">
            <v>11.5</v>
          </cell>
          <cell r="Z116">
            <v>11.5</v>
          </cell>
        </row>
        <row r="117">
          <cell r="A117" t="str">
            <v xml:space="preserve"> 후강전선관 신설 28C (천장노출)</v>
          </cell>
          <cell r="B117" t="str">
            <v xml:space="preserve"> 후강전선관 신설</v>
          </cell>
          <cell r="C117" t="str">
            <v xml:space="preserve"> 28C (천장노출)</v>
          </cell>
          <cell r="D117" t="str">
            <v>m</v>
          </cell>
          <cell r="E117" t="str">
            <v xml:space="preserve"> 9 + 8 + 10</v>
          </cell>
          <cell r="X117" t="str">
            <v>=</v>
          </cell>
          <cell r="Y117">
            <v>27</v>
          </cell>
          <cell r="Z117">
            <v>27</v>
          </cell>
        </row>
        <row r="118">
          <cell r="A118" t="str">
            <v/>
          </cell>
        </row>
        <row r="119">
          <cell r="A119" t="str">
            <v xml:space="preserve"> 후강전선관 신설 36C (벽매입)</v>
          </cell>
          <cell r="B119" t="str">
            <v xml:space="preserve"> 후강전선관 신설</v>
          </cell>
          <cell r="C119" t="str">
            <v xml:space="preserve"> 36C (벽매입)</v>
          </cell>
          <cell r="D119" t="str">
            <v>m</v>
          </cell>
          <cell r="E119" t="str">
            <v>가설역사 :</v>
          </cell>
          <cell r="F119" t="str">
            <v>4 ↑ + 4 ↓</v>
          </cell>
          <cell r="X119" t="str">
            <v>=</v>
          </cell>
          <cell r="Y119">
            <v>8</v>
          </cell>
          <cell r="Z119">
            <v>60</v>
          </cell>
        </row>
        <row r="120">
          <cell r="A120" t="str">
            <v/>
          </cell>
          <cell r="E120" t="str">
            <v>5↑x3+(5.5↓+0.4↓)x2+5↓+7↓+7↑+0.4↑+5.5↓</v>
          </cell>
          <cell r="X120" t="str">
            <v>=</v>
          </cell>
          <cell r="Y120">
            <v>52</v>
          </cell>
        </row>
        <row r="121">
          <cell r="A121" t="str">
            <v xml:space="preserve"> 후강전선관 신설 36C (천장노출)</v>
          </cell>
          <cell r="B121" t="str">
            <v xml:space="preserve"> 후강전선관 신설</v>
          </cell>
          <cell r="C121" t="str">
            <v xml:space="preserve"> 36C (천장노출)</v>
          </cell>
          <cell r="D121" t="str">
            <v>m</v>
          </cell>
          <cell r="E121" t="str">
            <v>가설역사 :</v>
          </cell>
          <cell r="F121" t="str">
            <v>6.5 +  16.5 + 12.5</v>
          </cell>
          <cell r="X121" t="str">
            <v>=</v>
          </cell>
          <cell r="Y121">
            <v>35.5</v>
          </cell>
          <cell r="Z121">
            <v>132</v>
          </cell>
        </row>
        <row r="122">
          <cell r="A122" t="str">
            <v/>
          </cell>
          <cell r="E122" t="str">
            <v>9+10+5+6x3+17.5+7.5+2x3+8x2+3.5+4</v>
          </cell>
          <cell r="X122" t="str">
            <v>=</v>
          </cell>
          <cell r="Y122">
            <v>96.5</v>
          </cell>
        </row>
        <row r="124">
          <cell r="A124" t="str">
            <v xml:space="preserve"> 후강전선관 신설 42C (벽매입)</v>
          </cell>
          <cell r="B124" t="str">
            <v xml:space="preserve"> 후강전선관 신설</v>
          </cell>
          <cell r="C124" t="str">
            <v xml:space="preserve"> 42C (벽매입)</v>
          </cell>
          <cell r="D124" t="str">
            <v>m</v>
          </cell>
          <cell r="X124" t="str">
            <v>=</v>
          </cell>
          <cell r="Y124">
            <v>0</v>
          </cell>
          <cell r="Z124">
            <v>0</v>
          </cell>
        </row>
        <row r="125">
          <cell r="A125" t="str">
            <v xml:space="preserve"> 후강전선관 신설 42C (천장노출)</v>
          </cell>
          <cell r="B125" t="str">
            <v xml:space="preserve"> 후강전선관 신설</v>
          </cell>
          <cell r="C125" t="str">
            <v xml:space="preserve"> 42C (천장노출)</v>
          </cell>
          <cell r="D125" t="str">
            <v>m</v>
          </cell>
          <cell r="E125" t="str">
            <v xml:space="preserve"> 9 + 9</v>
          </cell>
          <cell r="X125" t="str">
            <v>=</v>
          </cell>
          <cell r="Y125">
            <v>18</v>
          </cell>
          <cell r="Z125">
            <v>18</v>
          </cell>
        </row>
        <row r="127">
          <cell r="A127" t="str">
            <v xml:space="preserve"> 후강전선관 신설 54C (벽매입)</v>
          </cell>
          <cell r="B127" t="str">
            <v xml:space="preserve"> 후강전선관 신설</v>
          </cell>
          <cell r="C127" t="str">
            <v xml:space="preserve"> 54C (벽매입)</v>
          </cell>
          <cell r="D127" t="str">
            <v>m</v>
          </cell>
          <cell r="E127" t="str">
            <v>가설역사 :</v>
          </cell>
          <cell r="F127" t="str">
            <v>1.5 ↓+ 0.4 ↓+ 6 ↓</v>
          </cell>
          <cell r="X127" t="str">
            <v>=</v>
          </cell>
          <cell r="Y127">
            <v>7.9</v>
          </cell>
          <cell r="Z127">
            <v>39.200000000000003</v>
          </cell>
        </row>
        <row r="128">
          <cell r="A128" t="str">
            <v/>
          </cell>
          <cell r="E128" t="str">
            <v>5.5↓+(5.5↓+0.4↓)x2+7↓x2</v>
          </cell>
          <cell r="X128" t="str">
            <v>=</v>
          </cell>
          <cell r="Y128">
            <v>31.3</v>
          </cell>
        </row>
        <row r="129">
          <cell r="A129" t="str">
            <v xml:space="preserve"> 후강전선관 신설 54C (천장노출)</v>
          </cell>
          <cell r="B129" t="str">
            <v xml:space="preserve"> 후강전선관 신설</v>
          </cell>
          <cell r="C129" t="str">
            <v xml:space="preserve"> 54C (천장노출)</v>
          </cell>
          <cell r="D129" t="str">
            <v>m</v>
          </cell>
          <cell r="E129" t="str">
            <v>가설역사 :</v>
          </cell>
          <cell r="F129">
            <v>2</v>
          </cell>
          <cell r="X129" t="str">
            <v>=</v>
          </cell>
          <cell r="Y129">
            <v>2</v>
          </cell>
          <cell r="Z129">
            <v>47</v>
          </cell>
        </row>
        <row r="130">
          <cell r="A130" t="str">
            <v/>
          </cell>
          <cell r="E130" t="str">
            <v xml:space="preserve"> 9 + 10 + 8 x 2 + 5 x 2</v>
          </cell>
          <cell r="X130" t="str">
            <v>=</v>
          </cell>
          <cell r="Y130">
            <v>45</v>
          </cell>
        </row>
        <row r="132">
          <cell r="A132" t="str">
            <v xml:space="preserve"> 후강전선관 신설 82C (벽매입)</v>
          </cell>
          <cell r="B132" t="str">
            <v xml:space="preserve"> 후강전선관 신설</v>
          </cell>
          <cell r="C132" t="str">
            <v xml:space="preserve"> 82C (벽매입)</v>
          </cell>
          <cell r="D132" t="str">
            <v>m</v>
          </cell>
          <cell r="E132" t="str">
            <v>가설역사 :</v>
          </cell>
          <cell r="F132" t="str">
            <v>(4.5 ↓+ 4.5 ↓+ 0.4↓+ 6↓) x 2</v>
          </cell>
          <cell r="X132" t="str">
            <v>=</v>
          </cell>
          <cell r="Y132">
            <v>30.8</v>
          </cell>
          <cell r="Z132">
            <v>30.8</v>
          </cell>
        </row>
        <row r="133">
          <cell r="A133" t="str">
            <v xml:space="preserve"> 후강전선관 신설 82C (천장노출)</v>
          </cell>
          <cell r="B133" t="str">
            <v xml:space="preserve"> 후강전선관 신설</v>
          </cell>
          <cell r="C133" t="str">
            <v xml:space="preserve"> 82C (천장노출)</v>
          </cell>
          <cell r="D133" t="str">
            <v>m</v>
          </cell>
          <cell r="E133" t="str">
            <v>가설역사 :</v>
          </cell>
          <cell r="F133" t="str">
            <v>(12.5 + 16.5 + 6.5) x 2</v>
          </cell>
          <cell r="X133" t="str">
            <v>=</v>
          </cell>
          <cell r="Y133">
            <v>71</v>
          </cell>
          <cell r="Z133">
            <v>71</v>
          </cell>
        </row>
        <row r="134">
          <cell r="A134" t="str">
            <v/>
          </cell>
        </row>
        <row r="135">
          <cell r="A135" t="str">
            <v xml:space="preserve"> 노말밴드 28C</v>
          </cell>
          <cell r="B135" t="str">
            <v xml:space="preserve"> 노말밴드</v>
          </cell>
          <cell r="C135" t="str">
            <v xml:space="preserve"> 28C</v>
          </cell>
          <cell r="D135" t="str">
            <v>개</v>
          </cell>
          <cell r="E135">
            <v>0</v>
          </cell>
          <cell r="G135">
            <v>4</v>
          </cell>
          <cell r="X135" t="str">
            <v>=</v>
          </cell>
          <cell r="Y135">
            <v>4</v>
          </cell>
          <cell r="Z135">
            <v>4</v>
          </cell>
        </row>
        <row r="136">
          <cell r="A136" t="str">
            <v xml:space="preserve"> 노말밴드 36C</v>
          </cell>
          <cell r="B136" t="str">
            <v xml:space="preserve"> 노말밴드</v>
          </cell>
          <cell r="C136" t="str">
            <v xml:space="preserve"> 36C</v>
          </cell>
          <cell r="D136" t="str">
            <v>개</v>
          </cell>
          <cell r="E136">
            <v>4</v>
          </cell>
          <cell r="G136">
            <v>13</v>
          </cell>
          <cell r="X136" t="str">
            <v>=</v>
          </cell>
          <cell r="Y136">
            <v>17</v>
          </cell>
          <cell r="Z136">
            <v>17</v>
          </cell>
        </row>
        <row r="137">
          <cell r="A137" t="str">
            <v xml:space="preserve"> 노말밴드 42C</v>
          </cell>
          <cell r="B137" t="str">
            <v xml:space="preserve"> 노말밴드</v>
          </cell>
          <cell r="C137" t="str">
            <v xml:space="preserve"> 42C</v>
          </cell>
          <cell r="D137" t="str">
            <v>개</v>
          </cell>
          <cell r="E137">
            <v>0</v>
          </cell>
          <cell r="X137" t="str">
            <v>=</v>
          </cell>
          <cell r="Y137">
            <v>0</v>
          </cell>
          <cell r="Z137">
            <v>0</v>
          </cell>
        </row>
        <row r="138">
          <cell r="A138" t="str">
            <v xml:space="preserve"> 노말밴드 54C</v>
          </cell>
          <cell r="B138" t="str">
            <v xml:space="preserve"> 노말밴드</v>
          </cell>
          <cell r="C138" t="str">
            <v xml:space="preserve"> 54C</v>
          </cell>
          <cell r="D138" t="str">
            <v>개</v>
          </cell>
          <cell r="E138">
            <v>3</v>
          </cell>
          <cell r="G138">
            <v>9</v>
          </cell>
          <cell r="X138" t="str">
            <v>=</v>
          </cell>
          <cell r="Y138">
            <v>12</v>
          </cell>
          <cell r="Z138">
            <v>12</v>
          </cell>
        </row>
        <row r="139">
          <cell r="A139" t="str">
            <v xml:space="preserve"> 노말밴드 82C</v>
          </cell>
          <cell r="B139" t="str">
            <v xml:space="preserve"> 노말밴드</v>
          </cell>
          <cell r="C139" t="str">
            <v xml:space="preserve"> 82C</v>
          </cell>
          <cell r="D139" t="str">
            <v>개</v>
          </cell>
          <cell r="E139">
            <v>4</v>
          </cell>
          <cell r="X139" t="str">
            <v>=</v>
          </cell>
          <cell r="Y139">
            <v>4</v>
          </cell>
          <cell r="Z139">
            <v>4</v>
          </cell>
        </row>
        <row r="140">
          <cell r="A140" t="str">
            <v/>
          </cell>
        </row>
        <row r="141">
          <cell r="A141" t="str">
            <v xml:space="preserve"> HI-PVC 신설 28C</v>
          </cell>
          <cell r="B141" t="str">
            <v xml:space="preserve"> HI-PVC 신설</v>
          </cell>
          <cell r="C141" t="str">
            <v xml:space="preserve"> 28C</v>
          </cell>
          <cell r="D141" t="str">
            <v>m</v>
          </cell>
          <cell r="G141">
            <v>3</v>
          </cell>
          <cell r="X141" t="str">
            <v>=</v>
          </cell>
          <cell r="Y141">
            <v>3</v>
          </cell>
          <cell r="Z141">
            <v>3</v>
          </cell>
        </row>
        <row r="142">
          <cell r="A142" t="str">
            <v xml:space="preserve"> HI-PVC 신설 36C</v>
          </cell>
          <cell r="B142" t="str">
            <v xml:space="preserve"> HI-PVC 신설</v>
          </cell>
          <cell r="C142" t="str">
            <v xml:space="preserve"> 36C</v>
          </cell>
          <cell r="D142" t="str">
            <v>m</v>
          </cell>
          <cell r="G142">
            <v>3</v>
          </cell>
          <cell r="X142" t="str">
            <v>=</v>
          </cell>
          <cell r="Y142">
            <v>3</v>
          </cell>
          <cell r="Z142">
            <v>3</v>
          </cell>
        </row>
        <row r="143">
          <cell r="A143" t="str">
            <v/>
          </cell>
        </row>
        <row r="144">
          <cell r="A144" t="str">
            <v xml:space="preserve"> HI-PVC 신설 54C x 2열</v>
          </cell>
          <cell r="B144" t="str">
            <v xml:space="preserve"> HI-PVC 신설</v>
          </cell>
          <cell r="C144" t="str">
            <v xml:space="preserve"> 54C x 2열</v>
          </cell>
          <cell r="D144" t="str">
            <v>m</v>
          </cell>
          <cell r="F144">
            <v>10</v>
          </cell>
          <cell r="G144" t="str">
            <v>(가설역사)</v>
          </cell>
          <cell r="K144">
            <v>6</v>
          </cell>
          <cell r="X144" t="str">
            <v>=</v>
          </cell>
          <cell r="Y144">
            <v>16</v>
          </cell>
          <cell r="Z144">
            <v>16</v>
          </cell>
        </row>
        <row r="145">
          <cell r="A145" t="str">
            <v/>
          </cell>
        </row>
        <row r="146">
          <cell r="A146" t="str">
            <v xml:space="preserve"> HI-PVC 신설 82C x 2열</v>
          </cell>
          <cell r="B146" t="str">
            <v xml:space="preserve"> HI-PVC 신설</v>
          </cell>
          <cell r="C146" t="str">
            <v xml:space="preserve"> 82C x 2열</v>
          </cell>
          <cell r="D146" t="str">
            <v>m</v>
          </cell>
          <cell r="X146" t="str">
            <v>=</v>
          </cell>
          <cell r="Y146">
            <v>0</v>
          </cell>
          <cell r="Z146">
            <v>0</v>
          </cell>
        </row>
        <row r="147">
          <cell r="A147" t="str">
            <v/>
          </cell>
        </row>
        <row r="148">
          <cell r="A148" t="str">
            <v xml:space="preserve"> C형 찬넬 설치 60×30×10×2.3t</v>
          </cell>
          <cell r="B148" t="str">
            <v xml:space="preserve"> C형 찬넬 설치</v>
          </cell>
          <cell r="C148" t="str">
            <v xml:space="preserve"> 60×30×10×2.3t</v>
          </cell>
          <cell r="D148" t="str">
            <v>개</v>
          </cell>
          <cell r="E148" t="str">
            <v>가설역사 :</v>
          </cell>
          <cell r="F148" t="str">
            <v xml:space="preserve"> (35.5 + 2 + 71)÷ 3 ÷ 1.5</v>
          </cell>
          <cell r="X148" t="str">
            <v>=</v>
          </cell>
          <cell r="Y148">
            <v>24.1</v>
          </cell>
          <cell r="Z148">
            <v>163</v>
          </cell>
        </row>
        <row r="149">
          <cell r="F149" t="str">
            <v xml:space="preserve"> (355 + 27 + 96.5 + 18 + 45) ÷ 3 ÷ 1.5</v>
          </cell>
          <cell r="X149" t="str">
            <v>=</v>
          </cell>
          <cell r="Y149">
            <v>120.3</v>
          </cell>
        </row>
        <row r="150">
          <cell r="E150" t="str">
            <v>TV :</v>
          </cell>
          <cell r="F150" t="str">
            <v xml:space="preserve"> (69.5 + 11) ÷ 3 ÷ 1.5</v>
          </cell>
          <cell r="X150" t="str">
            <v>=</v>
          </cell>
          <cell r="Y150">
            <v>17.899999999999999</v>
          </cell>
        </row>
        <row r="151">
          <cell r="A151" t="str">
            <v/>
          </cell>
        </row>
        <row r="152">
          <cell r="A152" t="str">
            <v xml:space="preserve"> 클램프 16C</v>
          </cell>
          <cell r="B152" t="str">
            <v xml:space="preserve"> 클램프</v>
          </cell>
          <cell r="C152" t="str">
            <v xml:space="preserve"> 16C</v>
          </cell>
          <cell r="D152" t="str">
            <v>개</v>
          </cell>
          <cell r="P152" t="str">
            <v>TV :</v>
          </cell>
          <cell r="R152" t="str">
            <v>69.5 ÷ 1.5</v>
          </cell>
          <cell r="X152" t="str">
            <v>=</v>
          </cell>
          <cell r="Y152">
            <v>46.3</v>
          </cell>
          <cell r="Z152">
            <v>47</v>
          </cell>
        </row>
        <row r="153">
          <cell r="A153" t="str">
            <v xml:space="preserve"> 클램프 22C</v>
          </cell>
          <cell r="B153" t="str">
            <v xml:space="preserve"> 클램프</v>
          </cell>
          <cell r="C153" t="str">
            <v xml:space="preserve"> 22C</v>
          </cell>
          <cell r="D153" t="str">
            <v>개</v>
          </cell>
          <cell r="I153" t="str">
            <v>본역사 :</v>
          </cell>
          <cell r="L153" t="str">
            <v>355 ÷ 1.5</v>
          </cell>
          <cell r="R153" t="str">
            <v>11 ÷ 1.5</v>
          </cell>
          <cell r="X153" t="str">
            <v>=</v>
          </cell>
          <cell r="Y153">
            <v>244</v>
          </cell>
          <cell r="Z153">
            <v>244</v>
          </cell>
        </row>
        <row r="154">
          <cell r="A154" t="str">
            <v xml:space="preserve"> 클램프 28C</v>
          </cell>
          <cell r="B154" t="str">
            <v xml:space="preserve"> 클램프</v>
          </cell>
          <cell r="C154" t="str">
            <v xml:space="preserve"> 28C</v>
          </cell>
          <cell r="D154" t="str">
            <v>개</v>
          </cell>
          <cell r="L154" t="str">
            <v>27 ÷ 1.5</v>
          </cell>
          <cell r="X154" t="str">
            <v>=</v>
          </cell>
          <cell r="Y154">
            <v>18</v>
          </cell>
          <cell r="Z154">
            <v>18</v>
          </cell>
        </row>
        <row r="155">
          <cell r="A155" t="str">
            <v xml:space="preserve"> 클램프 36C</v>
          </cell>
          <cell r="B155" t="str">
            <v xml:space="preserve"> 클램프</v>
          </cell>
          <cell r="C155" t="str">
            <v xml:space="preserve"> 36C</v>
          </cell>
          <cell r="D155" t="str">
            <v>개</v>
          </cell>
          <cell r="E155" t="str">
            <v>가설역사 :</v>
          </cell>
          <cell r="F155" t="str">
            <v xml:space="preserve"> 35.1 ÷ 1.5</v>
          </cell>
          <cell r="L155" t="str">
            <v>96.5 ÷ 1.5</v>
          </cell>
          <cell r="X155" t="str">
            <v>=</v>
          </cell>
          <cell r="Y155">
            <v>88</v>
          </cell>
          <cell r="Z155">
            <v>88</v>
          </cell>
        </row>
        <row r="156">
          <cell r="A156" t="str">
            <v xml:space="preserve"> 클램프 42C</v>
          </cell>
          <cell r="B156" t="str">
            <v xml:space="preserve"> 클램프</v>
          </cell>
          <cell r="C156" t="str">
            <v xml:space="preserve"> 42C</v>
          </cell>
          <cell r="D156" t="str">
            <v>개</v>
          </cell>
          <cell r="L156" t="str">
            <v>18 ÷ 1.5</v>
          </cell>
          <cell r="X156" t="str">
            <v>=</v>
          </cell>
          <cell r="Y156">
            <v>12</v>
          </cell>
          <cell r="Z156">
            <v>12</v>
          </cell>
        </row>
        <row r="157">
          <cell r="A157" t="str">
            <v xml:space="preserve"> 클램프 54C</v>
          </cell>
          <cell r="B157" t="str">
            <v xml:space="preserve"> 클램프</v>
          </cell>
          <cell r="C157" t="str">
            <v xml:space="preserve"> 54C</v>
          </cell>
          <cell r="D157" t="str">
            <v>개</v>
          </cell>
          <cell r="F157" t="str">
            <v xml:space="preserve"> 2 ÷ 1.5</v>
          </cell>
          <cell r="L157" t="str">
            <v>45 ÷ 1.5</v>
          </cell>
          <cell r="X157" t="str">
            <v>=</v>
          </cell>
          <cell r="Y157">
            <v>31.3</v>
          </cell>
          <cell r="Z157">
            <v>32</v>
          </cell>
        </row>
        <row r="158">
          <cell r="A158" t="str">
            <v xml:space="preserve"> 클램프 82C</v>
          </cell>
          <cell r="B158" t="str">
            <v xml:space="preserve"> 클램프</v>
          </cell>
          <cell r="C158" t="str">
            <v xml:space="preserve"> 82C</v>
          </cell>
          <cell r="D158" t="str">
            <v>개</v>
          </cell>
          <cell r="F158" t="str">
            <v xml:space="preserve"> 71 ÷ 1.5</v>
          </cell>
          <cell r="X158" t="str">
            <v>=</v>
          </cell>
          <cell r="Y158">
            <v>47.3</v>
          </cell>
          <cell r="Z158">
            <v>48</v>
          </cell>
        </row>
        <row r="159">
          <cell r="A159" t="str">
            <v/>
          </cell>
        </row>
        <row r="160">
          <cell r="A160" t="str">
            <v xml:space="preserve"> 풀박스 설치 100×100×100</v>
          </cell>
          <cell r="B160" t="str">
            <v xml:space="preserve"> 풀박스 설치</v>
          </cell>
          <cell r="C160" t="str">
            <v xml:space="preserve"> 100×100×100</v>
          </cell>
          <cell r="D160" t="str">
            <v>개</v>
          </cell>
          <cell r="E160">
            <v>0</v>
          </cell>
          <cell r="G160">
            <v>1</v>
          </cell>
          <cell r="X160" t="str">
            <v>=</v>
          </cell>
          <cell r="Y160">
            <v>1</v>
          </cell>
          <cell r="Z160">
            <v>1</v>
          </cell>
        </row>
        <row r="161">
          <cell r="A161" t="str">
            <v xml:space="preserve"> 풀박스 설치 200×200×100</v>
          </cell>
          <cell r="B161" t="str">
            <v xml:space="preserve"> 풀박스 설치</v>
          </cell>
          <cell r="C161" t="str">
            <v xml:space="preserve"> 200×200×100</v>
          </cell>
          <cell r="D161" t="str">
            <v>개</v>
          </cell>
          <cell r="E161">
            <v>14</v>
          </cell>
          <cell r="G161">
            <v>1</v>
          </cell>
          <cell r="H161">
            <v>2</v>
          </cell>
          <cell r="X161" t="str">
            <v>=</v>
          </cell>
          <cell r="Y161">
            <v>17</v>
          </cell>
          <cell r="Z161">
            <v>17</v>
          </cell>
        </row>
        <row r="162">
          <cell r="A162" t="str">
            <v xml:space="preserve"> 풀박스 설치 200×200×150</v>
          </cell>
          <cell r="B162" t="str">
            <v xml:space="preserve"> 풀박스 설치</v>
          </cell>
          <cell r="C162" t="str">
            <v xml:space="preserve"> 200×200×150</v>
          </cell>
          <cell r="D162" t="str">
            <v>개</v>
          </cell>
          <cell r="L162">
            <v>2</v>
          </cell>
          <cell r="X162" t="str">
            <v>=</v>
          </cell>
          <cell r="Y162">
            <v>2</v>
          </cell>
          <cell r="Z162">
            <v>2</v>
          </cell>
        </row>
        <row r="163">
          <cell r="A163" t="str">
            <v xml:space="preserve"> 풀박스 설치 300×300×200</v>
          </cell>
          <cell r="B163" t="str">
            <v xml:space="preserve"> 풀박스 설치</v>
          </cell>
          <cell r="C163" t="str">
            <v xml:space="preserve"> 300×300×200</v>
          </cell>
          <cell r="D163" t="str">
            <v>개</v>
          </cell>
          <cell r="E163">
            <v>2</v>
          </cell>
          <cell r="G163">
            <v>1</v>
          </cell>
          <cell r="X163" t="str">
            <v>=</v>
          </cell>
          <cell r="Y163">
            <v>3</v>
          </cell>
          <cell r="Z163">
            <v>3</v>
          </cell>
        </row>
        <row r="164">
          <cell r="A164" t="str">
            <v xml:space="preserve"> 풀박스 설치 400×400×200</v>
          </cell>
          <cell r="B164" t="str">
            <v xml:space="preserve"> 풀박스 설치</v>
          </cell>
          <cell r="C164" t="str">
            <v xml:space="preserve"> 400×400×200</v>
          </cell>
          <cell r="D164" t="str">
            <v>개</v>
          </cell>
          <cell r="E164">
            <v>1</v>
          </cell>
          <cell r="G164">
            <v>2</v>
          </cell>
          <cell r="H164">
            <v>2</v>
          </cell>
          <cell r="X164" t="str">
            <v>=</v>
          </cell>
          <cell r="Y164">
            <v>5</v>
          </cell>
          <cell r="Z164">
            <v>5</v>
          </cell>
        </row>
        <row r="165">
          <cell r="A165" t="str">
            <v xml:space="preserve"> 풀박스 설치 500×500×300</v>
          </cell>
          <cell r="B165" t="str">
            <v xml:space="preserve"> 풀박스 설치</v>
          </cell>
          <cell r="C165" t="str">
            <v xml:space="preserve"> 500×500×300</v>
          </cell>
          <cell r="D165" t="str">
            <v>개</v>
          </cell>
          <cell r="E165">
            <v>1</v>
          </cell>
          <cell r="G165">
            <v>1</v>
          </cell>
          <cell r="X165" t="str">
            <v>=</v>
          </cell>
          <cell r="Y165">
            <v>2</v>
          </cell>
          <cell r="Z165">
            <v>2</v>
          </cell>
        </row>
        <row r="166">
          <cell r="A166" t="str">
            <v xml:space="preserve"> 풀박스 설치 600×600×300</v>
          </cell>
          <cell r="B166" t="str">
            <v xml:space="preserve"> 풀박스 설치</v>
          </cell>
          <cell r="C166" t="str">
            <v xml:space="preserve"> 600×600×300</v>
          </cell>
          <cell r="D166" t="str">
            <v>개</v>
          </cell>
          <cell r="E166">
            <v>2</v>
          </cell>
          <cell r="G166">
            <v>4</v>
          </cell>
          <cell r="H166">
            <v>1</v>
          </cell>
          <cell r="I166">
            <v>2</v>
          </cell>
          <cell r="X166" t="str">
            <v>=</v>
          </cell>
          <cell r="Y166">
            <v>9</v>
          </cell>
          <cell r="Z166">
            <v>9</v>
          </cell>
        </row>
        <row r="167">
          <cell r="A167" t="str">
            <v/>
          </cell>
        </row>
        <row r="168">
          <cell r="A168" t="str">
            <v xml:space="preserve"> 국선단자함 국선60/내선120</v>
          </cell>
          <cell r="B168" t="str">
            <v xml:space="preserve"> 국선단자함</v>
          </cell>
          <cell r="C168" t="str">
            <v xml:space="preserve"> 국선60/내선120</v>
          </cell>
          <cell r="D168" t="str">
            <v>개</v>
          </cell>
          <cell r="E168">
            <v>1</v>
          </cell>
          <cell r="X168" t="str">
            <v>=</v>
          </cell>
          <cell r="Y168">
            <v>1</v>
          </cell>
          <cell r="Z168">
            <v>1</v>
          </cell>
        </row>
        <row r="169">
          <cell r="A169" t="str">
            <v xml:space="preserve"> 전화단자함  10P</v>
          </cell>
          <cell r="B169" t="str">
            <v xml:space="preserve"> 전화단자함</v>
          </cell>
          <cell r="C169" t="str">
            <v xml:space="preserve">  10P</v>
          </cell>
          <cell r="D169" t="str">
            <v>개</v>
          </cell>
          <cell r="E169">
            <v>1</v>
          </cell>
          <cell r="G169">
            <v>3</v>
          </cell>
          <cell r="X169" t="str">
            <v>=</v>
          </cell>
          <cell r="Y169">
            <v>4</v>
          </cell>
          <cell r="Z169">
            <v>4</v>
          </cell>
        </row>
        <row r="170">
          <cell r="A170" t="str">
            <v xml:space="preserve"> 전화단자함  20P</v>
          </cell>
          <cell r="B170" t="str">
            <v xml:space="preserve"> 전화단자함</v>
          </cell>
          <cell r="C170" t="str">
            <v xml:space="preserve">  20P</v>
          </cell>
          <cell r="D170" t="str">
            <v>개</v>
          </cell>
          <cell r="G170">
            <v>1</v>
          </cell>
          <cell r="X170" t="str">
            <v>=</v>
          </cell>
          <cell r="Y170">
            <v>1</v>
          </cell>
          <cell r="Z170">
            <v>1</v>
          </cell>
        </row>
        <row r="171">
          <cell r="A171" t="str">
            <v xml:space="preserve"> 전화단자함  30P</v>
          </cell>
          <cell r="B171" t="str">
            <v xml:space="preserve"> 전화단자함</v>
          </cell>
          <cell r="C171" t="str">
            <v xml:space="preserve">  30P</v>
          </cell>
          <cell r="D171" t="str">
            <v>개</v>
          </cell>
          <cell r="E171">
            <v>1</v>
          </cell>
          <cell r="G171">
            <v>2</v>
          </cell>
          <cell r="X171" t="str">
            <v>=</v>
          </cell>
          <cell r="Y171">
            <v>3</v>
          </cell>
          <cell r="Z171">
            <v>3</v>
          </cell>
        </row>
        <row r="173">
          <cell r="A173" t="str">
            <v xml:space="preserve"> 접지단자함 설치 450×500×150</v>
          </cell>
          <cell r="B173" t="str">
            <v xml:space="preserve"> 접지단자함 설치</v>
          </cell>
          <cell r="C173" t="str">
            <v xml:space="preserve"> 450×500×150</v>
          </cell>
          <cell r="D173" t="str">
            <v>개</v>
          </cell>
          <cell r="E173">
            <v>1</v>
          </cell>
          <cell r="X173" t="str">
            <v>=</v>
          </cell>
          <cell r="Y173">
            <v>1</v>
          </cell>
          <cell r="Z173">
            <v>1</v>
          </cell>
        </row>
        <row r="174">
          <cell r="A174" t="str">
            <v/>
          </cell>
        </row>
        <row r="175">
          <cell r="A175" t="str">
            <v xml:space="preserve"> 전화콘센트 설치 4P</v>
          </cell>
          <cell r="B175" t="str">
            <v xml:space="preserve"> 전화콘센트 설치</v>
          </cell>
          <cell r="C175" t="str">
            <v xml:space="preserve"> 4P</v>
          </cell>
          <cell r="D175" t="str">
            <v>개</v>
          </cell>
          <cell r="E175">
            <v>6</v>
          </cell>
          <cell r="G175">
            <v>22</v>
          </cell>
          <cell r="X175" t="str">
            <v>=</v>
          </cell>
          <cell r="Y175">
            <v>28</v>
          </cell>
          <cell r="Z175">
            <v>28</v>
          </cell>
        </row>
        <row r="176">
          <cell r="A176" t="str">
            <v/>
          </cell>
        </row>
        <row r="177">
          <cell r="A177" t="str">
            <v xml:space="preserve"> 전화기 설치 MFC</v>
          </cell>
          <cell r="B177" t="str">
            <v xml:space="preserve"> 전화기 설치</v>
          </cell>
          <cell r="C177" t="str">
            <v xml:space="preserve"> MFC</v>
          </cell>
          <cell r="D177" t="str">
            <v>대</v>
          </cell>
          <cell r="E177">
            <v>6</v>
          </cell>
          <cell r="G177">
            <v>3</v>
          </cell>
          <cell r="X177" t="str">
            <v>=</v>
          </cell>
          <cell r="Y177">
            <v>9</v>
          </cell>
          <cell r="Z177">
            <v>9</v>
          </cell>
        </row>
        <row r="178">
          <cell r="A178" t="str">
            <v/>
          </cell>
        </row>
        <row r="179">
          <cell r="A179" t="str">
            <v xml:space="preserve"> 전화기 설치 자동식 직통</v>
          </cell>
          <cell r="B179" t="str">
            <v xml:space="preserve"> 전화기 설치</v>
          </cell>
          <cell r="C179" t="str">
            <v xml:space="preserve"> 자동식 직통</v>
          </cell>
          <cell r="D179" t="str">
            <v>대</v>
          </cell>
          <cell r="E179">
            <v>4</v>
          </cell>
          <cell r="X179" t="str">
            <v>=</v>
          </cell>
          <cell r="Y179">
            <v>4</v>
          </cell>
          <cell r="Z179">
            <v>4</v>
          </cell>
        </row>
        <row r="180">
          <cell r="A180" t="str">
            <v/>
          </cell>
        </row>
        <row r="181">
          <cell r="A181" t="str">
            <v xml:space="preserve"> TV증폭기 설치 BOOSTER AMP</v>
          </cell>
          <cell r="B181" t="str">
            <v xml:space="preserve"> TV증폭기 설치</v>
          </cell>
          <cell r="C181" t="str">
            <v xml:space="preserve"> BOOSTER AMP</v>
          </cell>
          <cell r="D181" t="str">
            <v>대</v>
          </cell>
          <cell r="E181">
            <v>1</v>
          </cell>
          <cell r="X181" t="str">
            <v>=</v>
          </cell>
          <cell r="Y181">
            <v>1</v>
          </cell>
          <cell r="Z181">
            <v>1</v>
          </cell>
        </row>
        <row r="182">
          <cell r="A182" t="str">
            <v/>
          </cell>
        </row>
        <row r="183">
          <cell r="A183" t="str">
            <v xml:space="preserve"> 분배기 설치 3분배</v>
          </cell>
          <cell r="B183" t="str">
            <v xml:space="preserve"> 분배기 설치</v>
          </cell>
          <cell r="C183" t="str">
            <v xml:space="preserve"> 3분배</v>
          </cell>
          <cell r="D183" t="str">
            <v>대</v>
          </cell>
          <cell r="E183">
            <v>1</v>
          </cell>
          <cell r="X183" t="str">
            <v>=</v>
          </cell>
          <cell r="Y183">
            <v>1</v>
          </cell>
          <cell r="Z183">
            <v>1</v>
          </cell>
        </row>
        <row r="184">
          <cell r="A184" t="str">
            <v/>
          </cell>
        </row>
        <row r="185">
          <cell r="A185" t="str">
            <v xml:space="preserve"> TV콘센트 설치 직렬형</v>
          </cell>
          <cell r="B185" t="str">
            <v xml:space="preserve"> TV콘센트 설치</v>
          </cell>
          <cell r="C185" t="str">
            <v xml:space="preserve"> 직렬형</v>
          </cell>
          <cell r="D185" t="str">
            <v>개</v>
          </cell>
          <cell r="E185">
            <v>8</v>
          </cell>
          <cell r="X185" t="str">
            <v>=</v>
          </cell>
          <cell r="Y185">
            <v>8</v>
          </cell>
          <cell r="Z185">
            <v>8</v>
          </cell>
        </row>
        <row r="186">
          <cell r="A186" t="str">
            <v xml:space="preserve"> TV콘센트 설치 종단형</v>
          </cell>
          <cell r="B186" t="str">
            <v xml:space="preserve"> TV콘센트 설치</v>
          </cell>
          <cell r="C186" t="str">
            <v xml:space="preserve"> 종단형</v>
          </cell>
          <cell r="D186" t="str">
            <v>개</v>
          </cell>
          <cell r="E186">
            <v>2</v>
          </cell>
          <cell r="X186" t="str">
            <v>=</v>
          </cell>
          <cell r="Y186">
            <v>2</v>
          </cell>
          <cell r="Z186">
            <v>2</v>
          </cell>
        </row>
        <row r="187">
          <cell r="A187" t="str">
            <v xml:space="preserve"> TV콘센트 설치 직렬분기형</v>
          </cell>
          <cell r="B187" t="str">
            <v xml:space="preserve"> TV콘센트 설치</v>
          </cell>
          <cell r="C187" t="str">
            <v xml:space="preserve"> 직렬분기형</v>
          </cell>
          <cell r="D187" t="str">
            <v>개</v>
          </cell>
          <cell r="E187">
            <v>0</v>
          </cell>
          <cell r="X187" t="str">
            <v>=</v>
          </cell>
          <cell r="Y187">
            <v>0</v>
          </cell>
          <cell r="Z187">
            <v>0</v>
          </cell>
        </row>
        <row r="188">
          <cell r="A188" t="str">
            <v/>
          </cell>
        </row>
        <row r="189">
          <cell r="A189" t="str">
            <v xml:space="preserve"> TV공시청 안테나 신설 UHF/VHF(H.L)</v>
          </cell>
          <cell r="B189" t="str">
            <v xml:space="preserve"> TV공시청 안테나 신설</v>
          </cell>
          <cell r="C189" t="str">
            <v xml:space="preserve"> UHF/VHF(H.L)</v>
          </cell>
          <cell r="D189" t="str">
            <v>기</v>
          </cell>
          <cell r="E189">
            <v>1</v>
          </cell>
          <cell r="X189" t="str">
            <v>=</v>
          </cell>
          <cell r="Y189">
            <v>1</v>
          </cell>
          <cell r="Z189">
            <v>1</v>
          </cell>
        </row>
        <row r="190">
          <cell r="A190" t="str">
            <v/>
          </cell>
        </row>
        <row r="191">
          <cell r="A191" t="str">
            <v xml:space="preserve"> 스위치 BOX 설치 벽부형</v>
          </cell>
          <cell r="B191" t="str">
            <v xml:space="preserve"> 스위치 BOX 설치</v>
          </cell>
          <cell r="C191" t="str">
            <v xml:space="preserve"> 벽부형</v>
          </cell>
          <cell r="D191" t="str">
            <v>개</v>
          </cell>
          <cell r="E191">
            <v>6</v>
          </cell>
          <cell r="G191">
            <v>22</v>
          </cell>
          <cell r="J191">
            <v>10</v>
          </cell>
          <cell r="X191" t="str">
            <v>=</v>
          </cell>
          <cell r="Y191">
            <v>38</v>
          </cell>
          <cell r="Z191">
            <v>38</v>
          </cell>
        </row>
        <row r="192">
          <cell r="A192" t="str">
            <v/>
          </cell>
        </row>
        <row r="193">
          <cell r="A193" t="str">
            <v xml:space="preserve"> OUTLET BOX 설치 중형 4각 54mm</v>
          </cell>
          <cell r="B193" t="str">
            <v xml:space="preserve"> OUTLET BOX 설치</v>
          </cell>
          <cell r="C193" t="str">
            <v xml:space="preserve"> 중형 4각 54mm</v>
          </cell>
          <cell r="D193" t="str">
            <v>개</v>
          </cell>
          <cell r="E193">
            <v>8</v>
          </cell>
          <cell r="X193" t="str">
            <v>=</v>
          </cell>
          <cell r="Y193">
            <v>8</v>
          </cell>
          <cell r="Z193">
            <v>8</v>
          </cell>
        </row>
        <row r="194">
          <cell r="A194" t="str">
            <v/>
          </cell>
        </row>
        <row r="195">
          <cell r="A195" t="str">
            <v xml:space="preserve"> KEY PHONE 설치 모장치</v>
          </cell>
          <cell r="B195" t="str">
            <v xml:space="preserve"> KEY PHONE 설치</v>
          </cell>
          <cell r="C195" t="str">
            <v xml:space="preserve"> 모장치</v>
          </cell>
          <cell r="D195" t="str">
            <v>대</v>
          </cell>
          <cell r="E195">
            <v>1</v>
          </cell>
          <cell r="X195" t="str">
            <v>=</v>
          </cell>
          <cell r="Y195">
            <v>1</v>
          </cell>
          <cell r="Z195">
            <v>1</v>
          </cell>
        </row>
        <row r="196">
          <cell r="A196" t="str">
            <v xml:space="preserve"> KEY PHONE 설치 자장치</v>
          </cell>
          <cell r="B196" t="str">
            <v xml:space="preserve"> KEY PHONE 설치</v>
          </cell>
          <cell r="C196" t="str">
            <v xml:space="preserve"> 자장치</v>
          </cell>
          <cell r="D196" t="str">
            <v>대</v>
          </cell>
          <cell r="E196">
            <v>5</v>
          </cell>
          <cell r="X196" t="str">
            <v>=</v>
          </cell>
          <cell r="Y196">
            <v>5</v>
          </cell>
          <cell r="Z196">
            <v>5</v>
          </cell>
        </row>
        <row r="197">
          <cell r="A197" t="str">
            <v/>
          </cell>
        </row>
        <row r="198">
          <cell r="A198" t="str">
            <v xml:space="preserve"> 배선반 신설 178P</v>
          </cell>
          <cell r="B198" t="str">
            <v xml:space="preserve"> 배선반 신설</v>
          </cell>
          <cell r="C198" t="str">
            <v xml:space="preserve"> 178P</v>
          </cell>
          <cell r="D198" t="str">
            <v>대</v>
          </cell>
          <cell r="E198">
            <v>1</v>
          </cell>
          <cell r="X198" t="str">
            <v>=</v>
          </cell>
          <cell r="Y198">
            <v>1</v>
          </cell>
          <cell r="Z198">
            <v>1</v>
          </cell>
        </row>
        <row r="200">
          <cell r="A200" t="str">
            <v xml:space="preserve"> 케이블 랙 설치 W : 150</v>
          </cell>
          <cell r="B200" t="str">
            <v xml:space="preserve"> 케이블 랙 설치</v>
          </cell>
          <cell r="C200" t="str">
            <v xml:space="preserve"> W : 150</v>
          </cell>
          <cell r="D200" t="str">
            <v>m</v>
          </cell>
          <cell r="E200">
            <v>9.5</v>
          </cell>
          <cell r="F200" t="str">
            <v>+</v>
          </cell>
          <cell r="G200">
            <v>17</v>
          </cell>
          <cell r="X200" t="str">
            <v>=</v>
          </cell>
          <cell r="Y200">
            <v>26.5</v>
          </cell>
          <cell r="Z200">
            <v>26.5</v>
          </cell>
        </row>
        <row r="202">
          <cell r="A202" t="str">
            <v xml:space="preserve"> 덕트 설치 400×150</v>
          </cell>
          <cell r="B202" t="str">
            <v xml:space="preserve"> 덕트 설치</v>
          </cell>
          <cell r="C202" t="str">
            <v xml:space="preserve"> 400×150</v>
          </cell>
          <cell r="D202" t="str">
            <v>m</v>
          </cell>
          <cell r="E202">
            <v>10</v>
          </cell>
          <cell r="X202" t="str">
            <v>=</v>
          </cell>
          <cell r="Y202">
            <v>10</v>
          </cell>
          <cell r="Z202">
            <v>10</v>
          </cell>
        </row>
        <row r="203">
          <cell r="A203" t="str">
            <v/>
          </cell>
        </row>
        <row r="209">
          <cell r="A209" t="str">
            <v xml:space="preserve"> 전선 신설 HIV 1.2mm</v>
          </cell>
          <cell r="B209" t="str">
            <v xml:space="preserve"> 전선 신설</v>
          </cell>
          <cell r="C209" t="str">
            <v xml:space="preserve"> HIV 1.2mm</v>
          </cell>
          <cell r="D209" t="str">
            <v>m</v>
          </cell>
          <cell r="E209" t="str">
            <v xml:space="preserve"> [ 매표실 AMP - 대합실 S.P ]</v>
          </cell>
          <cell r="Z209">
            <v>3280.3999999999996</v>
          </cell>
        </row>
        <row r="210">
          <cell r="A210" t="str">
            <v/>
          </cell>
          <cell r="E210" t="str">
            <v>가설역사 :</v>
          </cell>
          <cell r="F210" t="str">
            <v>(15 + 2.5 + 3 ↑ +(0.3 + 0.5) x 2 + 4.5 + 0.3 + 0.5) x 2</v>
          </cell>
          <cell r="X210" t="str">
            <v>=</v>
          </cell>
          <cell r="Y210">
            <v>54.8</v>
          </cell>
        </row>
        <row r="211">
          <cell r="A211" t="str">
            <v/>
          </cell>
          <cell r="E211" t="str">
            <v xml:space="preserve"> [ 역무실 AMP - 대합실 S.P ]</v>
          </cell>
        </row>
        <row r="212">
          <cell r="E212" t="str">
            <v>가설역사 :</v>
          </cell>
          <cell r="F212" t="str">
            <v>(15 + 4 + 4.5 + 0.5 + 13 +(0.3 + 1 + 0.3) x 2 + 13.5) x 2</v>
          </cell>
        </row>
        <row r="213">
          <cell r="F213" t="str">
            <v>((0.3 + 1 + 0.3) x 2 + 12.5 + (0.3 + 1 + 0.3) x 2) x 2</v>
          </cell>
        </row>
        <row r="214">
          <cell r="F214" t="str">
            <v>(10 + 0.3 + 1 + 0.3) x 2</v>
          </cell>
          <cell r="X214" t="str">
            <v>=</v>
          </cell>
          <cell r="Y214">
            <v>168.4</v>
          </cell>
        </row>
        <row r="215">
          <cell r="A215" t="str">
            <v/>
          </cell>
          <cell r="E215" t="str">
            <v xml:space="preserve"> [ 역무실 AMP - 매표실, 휴게실 S.P ]</v>
          </cell>
        </row>
        <row r="216">
          <cell r="A216" t="str">
            <v/>
          </cell>
          <cell r="E216" t="str">
            <v>가설역사 :</v>
          </cell>
          <cell r="F216" t="str">
            <v>(15 + 4 + 4.5 + 0.5 + 9 + ( 1.5 + 0.3 + 0.5) x 2 + 4 + 1.5 + 0.3 + 0.5) x 3</v>
          </cell>
          <cell r="X216" t="str">
            <v>=</v>
          </cell>
          <cell r="Y216">
            <v>131.69999999999999</v>
          </cell>
        </row>
        <row r="217">
          <cell r="A217" t="str">
            <v/>
          </cell>
          <cell r="E217" t="str">
            <v xml:space="preserve"> [ 역무실 AMP - 상선 S.P ]</v>
          </cell>
        </row>
        <row r="218">
          <cell r="A218" t="str">
            <v/>
          </cell>
          <cell r="E218" t="str">
            <v>가설역사 :</v>
          </cell>
          <cell r="F218" t="str">
            <v>(15 + 4 + 4.5 + 0.5 + 6.5 + 0.5  + 16.5 + 0.5 + 1.5 + 4.5 + 0.4) x 2</v>
          </cell>
        </row>
        <row r="219">
          <cell r="A219" t="str">
            <v/>
          </cell>
          <cell r="F219" t="str">
            <v>(3 + 0.5 + 30 + (0.5 + 7 + 0.3 + 0.3) x 2 + 30 + 0.5 + 30) x 2</v>
          </cell>
        </row>
        <row r="220">
          <cell r="F220" t="str">
            <v>((0.5 + 7 + 0.3 + 0.3) x 2 + 30 + 0.5 + 30 + (0.5 + 15 + 0.3 + 0.3) x 2) x 2</v>
          </cell>
        </row>
        <row r="221">
          <cell r="A221" t="str">
            <v/>
          </cell>
          <cell r="F221" t="str">
            <v>(30 + 0.5 + 30 + 0.5 + 19 + 0.3 + 0.3) x 2</v>
          </cell>
          <cell r="X221" t="str">
            <v>=</v>
          </cell>
          <cell r="Y221">
            <v>634.20000000000005</v>
          </cell>
        </row>
        <row r="222">
          <cell r="A222" t="str">
            <v/>
          </cell>
          <cell r="E222" t="str">
            <v xml:space="preserve"> [ 역무실 AMP - 하선 S.P ]</v>
          </cell>
        </row>
        <row r="223">
          <cell r="A223" t="str">
            <v/>
          </cell>
          <cell r="E223" t="str">
            <v>가설역사 :</v>
          </cell>
          <cell r="F223" t="str">
            <v>(15 + 4 + 4.5 + 0.5 + 6.5 + 0.5 + 1.5 + 4.5 + 0.4 + 3 + 0.5 + 30) x 2</v>
          </cell>
        </row>
        <row r="224">
          <cell r="A224" t="str">
            <v/>
          </cell>
          <cell r="F224" t="str">
            <v>((0.5 + 5 + 0.3 + 0.3) x 2 + 30 + 0.5 + 30 + (0.5 + 5 + 0.3 + 0.3) x 2) x 2</v>
          </cell>
        </row>
        <row r="225">
          <cell r="F225" t="str">
            <v xml:space="preserve">30 + 0.5 + 30 + (0.5 + 11 + 0.3 + 0.3) x 2 + 30 + 0.5 + 30 + 0.5 + 15 + 0.3 </v>
          </cell>
        </row>
        <row r="226">
          <cell r="A226" t="str">
            <v/>
          </cell>
          <cell r="F226" t="str">
            <v>+ 0.3) x 2</v>
          </cell>
          <cell r="X226" t="str">
            <v>=</v>
          </cell>
          <cell r="Y226">
            <v>708.2</v>
          </cell>
        </row>
        <row r="227">
          <cell r="A227" t="str">
            <v/>
          </cell>
          <cell r="E227" t="str">
            <v xml:space="preserve"> [ 전산실 - 각 기능실 SP ]</v>
          </cell>
        </row>
        <row r="228">
          <cell r="A228" t="str">
            <v/>
          </cell>
          <cell r="E228" t="str">
            <v>{15+4+3.8↑+(0.3+0.5)x2+1.7↑+0.3+9}x3</v>
          </cell>
          <cell r="X228" t="str">
            <v>=</v>
          </cell>
          <cell r="Y228">
            <v>106.20000000000002</v>
          </cell>
        </row>
        <row r="229">
          <cell r="A229" t="str">
            <v/>
          </cell>
          <cell r="E229" t="str">
            <v>{(0.3+1.7↓+0.3+0.5)x2+4.5+(0.3+1.7↓+0.3+0.5)x2}x3</v>
          </cell>
          <cell r="X229" t="str">
            <v>=</v>
          </cell>
          <cell r="Y229">
            <v>47.099999999999994</v>
          </cell>
        </row>
        <row r="230">
          <cell r="E230" t="str">
            <v>{(0.3+1.7↓+0.3+0.5)x2+4.5+(0.3+1.7↓+0.3+0.5)x2}x3</v>
          </cell>
          <cell r="X230" t="str">
            <v>=</v>
          </cell>
          <cell r="Y230">
            <v>47.099999999999994</v>
          </cell>
        </row>
        <row r="231">
          <cell r="E231" t="str">
            <v>{15+0.3+12+0.3+7+0.3+7.5+0.3+8+0.3+6+0.3+4.5}x3</v>
          </cell>
          <cell r="X231" t="str">
            <v>=</v>
          </cell>
          <cell r="Y231">
            <v>185.39999999999998</v>
          </cell>
        </row>
        <row r="232">
          <cell r="E232" t="str">
            <v>{(0.3+1.7↓+0.3+0.5)x2+8+(0.3+1.7↓+0.3+0.5)x2}x3</v>
          </cell>
          <cell r="X232" t="str">
            <v>=</v>
          </cell>
          <cell r="Y232">
            <v>57.599999999999994</v>
          </cell>
        </row>
        <row r="233">
          <cell r="E233" t="str">
            <v>{10.5+0.3+1.7↓+0.3+0.5+0.5+0.3+1.7↑+0.3+5+0.3}x3</v>
          </cell>
          <cell r="X233" t="str">
            <v>=</v>
          </cell>
          <cell r="Y233">
            <v>64.2</v>
          </cell>
        </row>
        <row r="234">
          <cell r="E234" t="str">
            <v>{5.5↓+0.4↓+3.5↓+0.3+0.5+0.5+0.3+1.7↑+0.3+20+0.3}x3</v>
          </cell>
          <cell r="X234" t="str">
            <v>=</v>
          </cell>
          <cell r="Y234">
            <v>99.899999999999991</v>
          </cell>
        </row>
        <row r="235">
          <cell r="E235" t="str">
            <v>{1.7↓+0.3+0.5x2+0.3+3.8↓+0.4↓+3.5↓+0.3+0.5}x3</v>
          </cell>
          <cell r="X235" t="str">
            <v>=</v>
          </cell>
          <cell r="Y235">
            <v>35.400000000000006</v>
          </cell>
        </row>
        <row r="236">
          <cell r="A236" t="str">
            <v/>
          </cell>
          <cell r="E236" t="str">
            <v>{15+4+3.8↑+0.3+1.7↑+0.3+6+0.3+3.5+0.3+5.5}x2</v>
          </cell>
          <cell r="X236" t="str">
            <v>=</v>
          </cell>
          <cell r="Y236">
            <v>81.400000000000006</v>
          </cell>
        </row>
        <row r="237">
          <cell r="E237" t="str">
            <v>{(0.3+3+0.3)x2+4+0.3+3+0.3+0.3+3+0.3+5.5+0.3+15}x2</v>
          </cell>
          <cell r="X237" t="str">
            <v>=</v>
          </cell>
          <cell r="Y237">
            <v>78.400000000000006</v>
          </cell>
        </row>
        <row r="238">
          <cell r="E238" t="str">
            <v>{(0.3+3+0.3)x2+7+(0.3+3+0.3)x2+7.5+(0.3+3+0.3)x2}x2</v>
          </cell>
          <cell r="X238" t="str">
            <v>=</v>
          </cell>
          <cell r="Y238">
            <v>72.199999999999989</v>
          </cell>
        </row>
        <row r="239">
          <cell r="E239" t="str">
            <v>{7.5+0.3+3+0.3+0.3+3+0.3+12+(0.3+3+0.3)x2+7}x2</v>
          </cell>
          <cell r="X239" t="str">
            <v>=</v>
          </cell>
          <cell r="Y239">
            <v>81.800000000000011</v>
          </cell>
        </row>
        <row r="240">
          <cell r="A240" t="str">
            <v/>
          </cell>
          <cell r="E240" t="str">
            <v>{(0.3+3+0.3)x2+7.5+(0.3+3+0.3)x2+8+(0.3+3+0.3)x2+6}x2</v>
          </cell>
          <cell r="X240" t="str">
            <v>=</v>
          </cell>
          <cell r="Y240">
            <v>86.199999999999989</v>
          </cell>
        </row>
        <row r="241">
          <cell r="A241" t="str">
            <v/>
          </cell>
          <cell r="E241" t="str">
            <v>{(0.3+3+0.3)x2+7.5+(0.3+3+0.3)x2+7.5+(0.3+3+0.3)x2}x2</v>
          </cell>
          <cell r="X241" t="str">
            <v>=</v>
          </cell>
          <cell r="Y241">
            <v>73.199999999999989</v>
          </cell>
        </row>
        <row r="242">
          <cell r="A242" t="str">
            <v/>
          </cell>
          <cell r="E242" t="str">
            <v>{10.5+0.3+1.7↓+0.3+0.5+0.5+0.3+1.7↑+0.3+5+0.3}x3</v>
          </cell>
          <cell r="X242" t="str">
            <v>=</v>
          </cell>
          <cell r="Y242">
            <v>64.2</v>
          </cell>
        </row>
        <row r="243">
          <cell r="A243" t="str">
            <v/>
          </cell>
          <cell r="E243" t="str">
            <v>{7+(0.3+3+0.3)x2+7.5+(0.3+3+0.3)x2+7.5+(0.3+3+0.3)x2}x2</v>
          </cell>
          <cell r="X243" t="str">
            <v>=</v>
          </cell>
          <cell r="Y243">
            <v>87.199999999999989</v>
          </cell>
        </row>
        <row r="244">
          <cell r="A244" t="str">
            <v/>
          </cell>
          <cell r="E244" t="str">
            <v>{(0.3+3+0.3)x2+7.5+0.3+3+0.3+0.3+3+0.3+7}x2</v>
          </cell>
          <cell r="X244" t="str">
            <v>=</v>
          </cell>
          <cell r="Y244">
            <v>57.800000000000004</v>
          </cell>
        </row>
        <row r="245">
          <cell r="A245" t="str">
            <v/>
          </cell>
          <cell r="E245" t="str">
            <v>{(0.3+3+0.3)x2+7+(0.3+3+0.3)x2+7+(0.3+3+0.3)x2}x2</v>
          </cell>
          <cell r="X245" t="str">
            <v>=</v>
          </cell>
          <cell r="Y245">
            <v>71.199999999999989</v>
          </cell>
        </row>
        <row r="246">
          <cell r="A246" t="str">
            <v/>
          </cell>
          <cell r="E246" t="str">
            <v>[매표소 AMP → 매표소 S.P]</v>
          </cell>
        </row>
        <row r="247">
          <cell r="A247" t="str">
            <v/>
          </cell>
          <cell r="E247" t="str">
            <v>{15+3.5+3.8↑+0.3+0.5+0.5+0.3+1.7↑+0.3+5}x2</v>
          </cell>
          <cell r="X247" t="str">
            <v>=</v>
          </cell>
          <cell r="Y247">
            <v>61.800000000000004</v>
          </cell>
        </row>
        <row r="248">
          <cell r="A248" t="str">
            <v/>
          </cell>
          <cell r="E248" t="str">
            <v>{0.3+1.7↓+0.3+0.5}x2+(0.3+0.5+1.7↑+0.3+10+0.3+15)x2</v>
          </cell>
          <cell r="X248" t="str">
            <v>=</v>
          </cell>
          <cell r="Y248">
            <v>61.800000000000004</v>
          </cell>
        </row>
        <row r="249">
          <cell r="E249" t="str">
            <v>(0.3+7.5+0.3+15+0.3+2+0.3+3+0.3+1.7↓+0.3+0.5)x2</v>
          </cell>
          <cell r="X249" t="str">
            <v>=</v>
          </cell>
          <cell r="Y249">
            <v>63.000000000000007</v>
          </cell>
        </row>
        <row r="250">
          <cell r="A250" t="str">
            <v/>
          </cell>
        </row>
        <row r="251">
          <cell r="A251" t="str">
            <v xml:space="preserve"> 제어선 신설 CVV-S 2C/1.25㎟</v>
          </cell>
          <cell r="B251" t="str">
            <v xml:space="preserve"> 제어선 신설</v>
          </cell>
          <cell r="C251" t="str">
            <v xml:space="preserve"> CVV-S 2C/1.25㎟</v>
          </cell>
          <cell r="D251" t="str">
            <v>m</v>
          </cell>
          <cell r="E251" t="str">
            <v xml:space="preserve"> [ 전산실 - 상선 ]</v>
          </cell>
          <cell r="Z251">
            <v>769</v>
          </cell>
        </row>
        <row r="252">
          <cell r="A252" t="str">
            <v/>
          </cell>
          <cell r="E252" t="str">
            <v>{15+3+5.5↑+0.5+6+0.5+8+0.5+8.5+12.5+24.5}x2</v>
          </cell>
          <cell r="X252" t="str">
            <v>=</v>
          </cell>
          <cell r="Y252">
            <v>169</v>
          </cell>
        </row>
        <row r="253">
          <cell r="A253" t="str">
            <v/>
          </cell>
          <cell r="E253" t="str">
            <v>0.5+5+(0.3+0.5)x4+35+(0.3+0.5)x3+0.3+0.5+30</v>
          </cell>
          <cell r="X253" t="str">
            <v>=</v>
          </cell>
          <cell r="Y253">
            <v>76.900000000000006</v>
          </cell>
        </row>
        <row r="254">
          <cell r="A254" t="str">
            <v/>
          </cell>
          <cell r="E254" t="str">
            <v>(0.3+0.5)x4+28+(0.3+0.5)x4+30+(0.3+0.5)x4</v>
          </cell>
          <cell r="X254" t="str">
            <v>=</v>
          </cell>
          <cell r="Y254">
            <v>67.600000000000009</v>
          </cell>
        </row>
        <row r="255">
          <cell r="A255" t="str">
            <v/>
          </cell>
          <cell r="E255" t="str">
            <v>{30+(0.3+0.5)x3}x2</v>
          </cell>
          <cell r="X255" t="str">
            <v>=</v>
          </cell>
          <cell r="Y255">
            <v>64.8</v>
          </cell>
        </row>
        <row r="256">
          <cell r="A256" t="str">
            <v/>
          </cell>
          <cell r="E256" t="str">
            <v>0.5+0.3+2+0.5+30+0.5+4+(0.3+0.5)x3</v>
          </cell>
          <cell r="X256" t="str">
            <v>=</v>
          </cell>
          <cell r="Y256">
            <v>40.199999999999996</v>
          </cell>
        </row>
        <row r="257">
          <cell r="A257" t="str">
            <v/>
          </cell>
          <cell r="E257" t="str">
            <v xml:space="preserve"> [ 전산실 - 상선 ]</v>
          </cell>
        </row>
        <row r="258">
          <cell r="A258" t="str">
            <v/>
          </cell>
          <cell r="E258" t="str">
            <v>{15+3+5.5↑+0.5+6+0.5+8+0.5+8.5+0.5+24+0.5}x2</v>
          </cell>
          <cell r="X258" t="str">
            <v>=</v>
          </cell>
          <cell r="Y258">
            <v>145</v>
          </cell>
        </row>
        <row r="259">
          <cell r="A259" t="str">
            <v/>
          </cell>
          <cell r="E259" t="str">
            <v>{5.5↓+0.4↓+4↓+0.5}x2</v>
          </cell>
          <cell r="X259" t="str">
            <v>=</v>
          </cell>
          <cell r="Y259">
            <v>20.8</v>
          </cell>
        </row>
        <row r="260">
          <cell r="A260" t="str">
            <v/>
          </cell>
          <cell r="E260" t="str">
            <v>0.5+5+(0.3+0.5)x4+35+(0.3+0.5)x3+0.3+0.5+30</v>
          </cell>
          <cell r="X260" t="str">
            <v>=</v>
          </cell>
          <cell r="Y260">
            <v>76.900000000000006</v>
          </cell>
        </row>
        <row r="261">
          <cell r="A261" t="str">
            <v/>
          </cell>
          <cell r="E261" t="str">
            <v>(0.3+0.5)x4+28+(0.3+0.5)x4+30+(0.3+0.5)x4</v>
          </cell>
          <cell r="X261" t="str">
            <v>=</v>
          </cell>
          <cell r="Y261">
            <v>67.599999999999994</v>
          </cell>
        </row>
        <row r="262">
          <cell r="A262" t="str">
            <v/>
          </cell>
          <cell r="E262" t="str">
            <v>0.5+0.3+2+0.5+30+0.5+4+(0.3+0.5)x3</v>
          </cell>
          <cell r="X262" t="str">
            <v>=</v>
          </cell>
          <cell r="Y262">
            <v>40.200000000000003</v>
          </cell>
        </row>
        <row r="263">
          <cell r="A263" t="str">
            <v/>
          </cell>
        </row>
        <row r="264">
          <cell r="A264" t="str">
            <v xml:space="preserve"> 후강전선관 신설 16C (천장노출)</v>
          </cell>
          <cell r="B264" t="str">
            <v xml:space="preserve"> 후강전선관 신설</v>
          </cell>
          <cell r="C264" t="str">
            <v xml:space="preserve"> 16C (천장노출)</v>
          </cell>
          <cell r="D264" t="str">
            <v>m</v>
          </cell>
          <cell r="E264" t="str">
            <v>가설역사 :</v>
          </cell>
          <cell r="F264" t="str">
            <v>2.5 + 13 + 13.5 + 12.5 + 10 + 9 + 4 + 6.5 + 1.5 + 16.5</v>
          </cell>
          <cell r="Z264">
            <v>1533</v>
          </cell>
        </row>
        <row r="265">
          <cell r="A265" t="str">
            <v/>
          </cell>
          <cell r="F265" t="str">
            <v>1.5 + 30 x 7 + 30 x 7 + 7 x 2 + 15 + 19 + 5 x 2 + 11 + 15</v>
          </cell>
          <cell r="X265" t="str">
            <v>=</v>
          </cell>
          <cell r="Y265">
            <v>594.5</v>
          </cell>
        </row>
        <row r="266">
          <cell r="E266" t="str">
            <v>10.5+8+4.5+2.5+4.5+3.5+5+4.5+5.5+5.5+9+5+20+7+7.5+7.5+7</v>
          </cell>
        </row>
        <row r="267">
          <cell r="E267" t="str">
            <v>7.5+7.5+9+7.5+7.5+7+7+7+7+7+7+7.5+7.5+7+4+5.5+5</v>
          </cell>
        </row>
        <row r="268">
          <cell r="E268" t="str">
            <v>{(35+5+30+28+30+30)x2+30+2+4}x2</v>
          </cell>
          <cell r="X268" t="str">
            <v>=</v>
          </cell>
          <cell r="Y268">
            <v>938.5</v>
          </cell>
        </row>
        <row r="269">
          <cell r="A269" t="str">
            <v xml:space="preserve"> 후강전선관 신설 16C (벽매입)</v>
          </cell>
          <cell r="B269" t="str">
            <v xml:space="preserve"> 후강전선관 신설</v>
          </cell>
          <cell r="C269" t="str">
            <v xml:space="preserve"> 16C (벽매입)</v>
          </cell>
          <cell r="D269" t="str">
            <v>m</v>
          </cell>
          <cell r="E269" t="str">
            <v>가설역사 :</v>
          </cell>
          <cell r="F269" t="str">
            <v>3 + 1.5 + 1.5 + 1.5 + 4.5 + 4.5 + 0.4 + 0.4</v>
          </cell>
          <cell r="Z269">
            <v>78.8</v>
          </cell>
        </row>
        <row r="270">
          <cell r="F270" t="str">
            <v>3 + 3 + 4</v>
          </cell>
          <cell r="X270" t="str">
            <v>=</v>
          </cell>
          <cell r="Y270">
            <v>27.3</v>
          </cell>
        </row>
        <row r="271">
          <cell r="A271" t="str">
            <v/>
          </cell>
          <cell r="E271" t="str">
            <v>1.7x15+5.5↑x2+0.4x2+3.5x2+3.8+1.7x2</v>
          </cell>
          <cell r="X271" t="str">
            <v>=</v>
          </cell>
          <cell r="Y271">
            <v>51.5</v>
          </cell>
        </row>
        <row r="272">
          <cell r="A272" t="str">
            <v xml:space="preserve"> 후강전선관 신설 16C (매입)</v>
          </cell>
          <cell r="B272" t="str">
            <v xml:space="preserve"> 후강전선관 신설</v>
          </cell>
          <cell r="C272" t="str">
            <v xml:space="preserve"> 16C (매입)</v>
          </cell>
          <cell r="D272" t="str">
            <v>m</v>
          </cell>
          <cell r="E272" t="str">
            <v>가설역사 :</v>
          </cell>
          <cell r="F272" t="str">
            <v>2.5 + 4</v>
          </cell>
          <cell r="X272" t="str">
            <v>=</v>
          </cell>
          <cell r="Y272">
            <v>6.5</v>
          </cell>
          <cell r="Z272">
            <v>10</v>
          </cell>
        </row>
        <row r="273">
          <cell r="E273">
            <v>3.5</v>
          </cell>
          <cell r="X273" t="str">
            <v>=</v>
          </cell>
          <cell r="Y273">
            <v>3.5</v>
          </cell>
        </row>
        <row r="274">
          <cell r="A274" t="str">
            <v/>
          </cell>
        </row>
        <row r="275">
          <cell r="A275" t="str">
            <v xml:space="preserve"> 후강전선관 신설 22C (천장노출)</v>
          </cell>
          <cell r="B275" t="str">
            <v xml:space="preserve"> 후강전선관 신설</v>
          </cell>
          <cell r="C275" t="str">
            <v xml:space="preserve"> 22C (천장노출)</v>
          </cell>
          <cell r="D275" t="str">
            <v>m</v>
          </cell>
          <cell r="E275" t="str">
            <v>6+3.5+15+12+7+7.5+8+6+(6+8+8.5)x2+12.5+24.5+24</v>
          </cell>
          <cell r="X275" t="str">
            <v>=</v>
          </cell>
          <cell r="Y275">
            <v>171</v>
          </cell>
          <cell r="Z275">
            <v>171</v>
          </cell>
        </row>
        <row r="276">
          <cell r="A276" t="str">
            <v xml:space="preserve"> 후강전선관 신설 22C (벽매입)</v>
          </cell>
          <cell r="B276" t="str">
            <v xml:space="preserve"> 후강전선관 신설</v>
          </cell>
          <cell r="C276" t="str">
            <v xml:space="preserve"> 22C (벽매입)</v>
          </cell>
          <cell r="D276" t="str">
            <v>m</v>
          </cell>
          <cell r="E276" t="str">
            <v>5.5+5.5x2+5.5x2+0.4x2+4x2</v>
          </cell>
          <cell r="X276" t="str">
            <v>=</v>
          </cell>
          <cell r="Y276">
            <v>36.299999999999997</v>
          </cell>
          <cell r="Z276">
            <v>36.299999999999997</v>
          </cell>
        </row>
        <row r="277">
          <cell r="A277" t="str">
            <v xml:space="preserve"> 후강전선관 신설 22C (매입)</v>
          </cell>
          <cell r="B277" t="str">
            <v xml:space="preserve"> 후강전선관 신설</v>
          </cell>
          <cell r="C277" t="str">
            <v xml:space="preserve"> 22C (매입)</v>
          </cell>
          <cell r="D277" t="str">
            <v>m</v>
          </cell>
          <cell r="E277" t="str">
            <v>4+3x2</v>
          </cell>
          <cell r="X277" t="str">
            <v>=</v>
          </cell>
          <cell r="Y277">
            <v>10</v>
          </cell>
          <cell r="Z277">
            <v>10</v>
          </cell>
        </row>
        <row r="278">
          <cell r="A278" t="str">
            <v/>
          </cell>
        </row>
        <row r="279">
          <cell r="A279" t="str">
            <v xml:space="preserve"> 후렉시블전선관 신설 16C (천장노출)</v>
          </cell>
          <cell r="B279" t="str">
            <v xml:space="preserve"> 후렉시블전선관 신설</v>
          </cell>
          <cell r="C279" t="str">
            <v xml:space="preserve"> 16C (천장노출)</v>
          </cell>
          <cell r="D279" t="str">
            <v>m</v>
          </cell>
          <cell r="E279">
            <v>78</v>
          </cell>
          <cell r="X279" t="str">
            <v>=</v>
          </cell>
          <cell r="Y279">
            <v>78</v>
          </cell>
          <cell r="Z279">
            <v>78</v>
          </cell>
        </row>
        <row r="280">
          <cell r="A280" t="str">
            <v xml:space="preserve"> 후렉시블전선관 신설 16C (철강조)</v>
          </cell>
          <cell r="B280" t="str">
            <v xml:space="preserve"> 후렉시블전선관 신설</v>
          </cell>
          <cell r="C280" t="str">
            <v xml:space="preserve"> 16C (철강조)</v>
          </cell>
          <cell r="D280" t="str">
            <v>m</v>
          </cell>
          <cell r="E280">
            <v>16</v>
          </cell>
          <cell r="X280" t="str">
            <v>=</v>
          </cell>
          <cell r="Y280">
            <v>16</v>
          </cell>
          <cell r="Z280">
            <v>16</v>
          </cell>
        </row>
        <row r="281">
          <cell r="A281" t="str">
            <v/>
          </cell>
        </row>
        <row r="282">
          <cell r="A282" t="str">
            <v xml:space="preserve"> OUTLET BOX 설치 중형 4각 54mm</v>
          </cell>
          <cell r="B282" t="str">
            <v xml:space="preserve"> OUTLET BOX 설치</v>
          </cell>
          <cell r="C282" t="str">
            <v xml:space="preserve"> 중형 4각 54mm</v>
          </cell>
          <cell r="D282" t="str">
            <v>개</v>
          </cell>
          <cell r="E282">
            <v>6</v>
          </cell>
          <cell r="F282">
            <v>16</v>
          </cell>
          <cell r="H282">
            <v>4</v>
          </cell>
          <cell r="J282">
            <v>64</v>
          </cell>
          <cell r="X282" t="str">
            <v>=</v>
          </cell>
          <cell r="Y282">
            <v>90</v>
          </cell>
          <cell r="Z282">
            <v>90</v>
          </cell>
        </row>
        <row r="283">
          <cell r="A283" t="str">
            <v/>
          </cell>
        </row>
        <row r="284">
          <cell r="A284" t="str">
            <v xml:space="preserve"> C형 찬넬 설치 60×30×10×2.3t</v>
          </cell>
          <cell r="B284" t="str">
            <v xml:space="preserve"> C형 찬넬 설치</v>
          </cell>
          <cell r="C284" t="str">
            <v xml:space="preserve"> 60×30×10×2.3t</v>
          </cell>
          <cell r="D284" t="str">
            <v>개</v>
          </cell>
          <cell r="E284" t="str">
            <v>가설역사</v>
          </cell>
          <cell r="F284" t="str">
            <v xml:space="preserve"> (594.5) ÷3 ÷1.5</v>
          </cell>
          <cell r="X284" t="str">
            <v>=</v>
          </cell>
          <cell r="Y284">
            <v>132.1</v>
          </cell>
          <cell r="Z284">
            <v>379</v>
          </cell>
        </row>
        <row r="285">
          <cell r="F285" t="str">
            <v xml:space="preserve"> (938.5+171) ÷3 ÷1.5</v>
          </cell>
          <cell r="X285" t="str">
            <v>=</v>
          </cell>
          <cell r="Y285">
            <v>246.6</v>
          </cell>
        </row>
        <row r="286">
          <cell r="A286" t="str">
            <v/>
          </cell>
        </row>
        <row r="287">
          <cell r="A287" t="str">
            <v xml:space="preserve"> 클램프 16C</v>
          </cell>
          <cell r="B287" t="str">
            <v xml:space="preserve"> 클램프</v>
          </cell>
          <cell r="C287" t="str">
            <v xml:space="preserve"> 16C</v>
          </cell>
          <cell r="D287" t="str">
            <v>개</v>
          </cell>
          <cell r="F287" t="str">
            <v xml:space="preserve"> 594.5 ÷ 1.5</v>
          </cell>
          <cell r="I287" t="str">
            <v>본역사 :</v>
          </cell>
          <cell r="L287" t="str">
            <v xml:space="preserve"> 938.5 ÷ 1.5</v>
          </cell>
          <cell r="X287" t="str">
            <v>=</v>
          </cell>
          <cell r="Y287">
            <v>1022</v>
          </cell>
          <cell r="Z287">
            <v>1022</v>
          </cell>
        </row>
        <row r="288">
          <cell r="A288" t="str">
            <v xml:space="preserve"> 클램프 22C</v>
          </cell>
          <cell r="B288" t="str">
            <v xml:space="preserve"> 클램프</v>
          </cell>
          <cell r="C288" t="str">
            <v xml:space="preserve"> 22C</v>
          </cell>
          <cell r="D288" t="str">
            <v>개</v>
          </cell>
          <cell r="L288" t="str">
            <v xml:space="preserve"> 171 ÷ 1.5</v>
          </cell>
          <cell r="X288" t="str">
            <v>=</v>
          </cell>
          <cell r="Y288">
            <v>114</v>
          </cell>
          <cell r="Z288">
            <v>114</v>
          </cell>
        </row>
        <row r="289">
          <cell r="A289" t="str">
            <v/>
          </cell>
        </row>
        <row r="290">
          <cell r="A290" t="str">
            <v xml:space="preserve"> AMP 설치 800W</v>
          </cell>
          <cell r="B290" t="str">
            <v xml:space="preserve"> AMP 설치</v>
          </cell>
          <cell r="C290" t="str">
            <v xml:space="preserve"> 800W</v>
          </cell>
          <cell r="D290" t="str">
            <v>대</v>
          </cell>
          <cell r="E290">
            <v>1</v>
          </cell>
          <cell r="X290" t="str">
            <v>=</v>
          </cell>
          <cell r="Y290">
            <v>1</v>
          </cell>
          <cell r="Z290">
            <v>1</v>
          </cell>
        </row>
        <row r="291">
          <cell r="A291" t="str">
            <v xml:space="preserve"> AMP(음성증폭기) 설치 창구용(5CH)</v>
          </cell>
          <cell r="B291" t="str">
            <v xml:space="preserve"> AMP(음성증폭기) 설치</v>
          </cell>
          <cell r="C291" t="str">
            <v xml:space="preserve"> 창구용(5CH)</v>
          </cell>
          <cell r="D291" t="str">
            <v>대</v>
          </cell>
          <cell r="E291">
            <v>1</v>
          </cell>
          <cell r="X291" t="str">
            <v>=</v>
          </cell>
          <cell r="Y291">
            <v>1</v>
          </cell>
          <cell r="Z291">
            <v>1</v>
          </cell>
        </row>
        <row r="292">
          <cell r="A292" t="str">
            <v/>
          </cell>
        </row>
        <row r="293">
          <cell r="A293" t="str">
            <v xml:space="preserve"> AMP 이설 150W</v>
          </cell>
          <cell r="B293" t="str">
            <v xml:space="preserve"> AMP 이설</v>
          </cell>
          <cell r="C293" t="str">
            <v xml:space="preserve"> 150W</v>
          </cell>
          <cell r="D293" t="str">
            <v>대</v>
          </cell>
          <cell r="E293">
            <v>1</v>
          </cell>
          <cell r="X293" t="str">
            <v>=</v>
          </cell>
          <cell r="Y293">
            <v>1</v>
          </cell>
          <cell r="Z293">
            <v>1</v>
          </cell>
        </row>
        <row r="294">
          <cell r="A294" t="str">
            <v xml:space="preserve"> AMP(음성증폭기) 이설 10W</v>
          </cell>
          <cell r="B294" t="str">
            <v xml:space="preserve"> AMP(음성증폭기) 이설</v>
          </cell>
          <cell r="C294" t="str">
            <v xml:space="preserve"> 10W</v>
          </cell>
          <cell r="D294" t="str">
            <v>대</v>
          </cell>
          <cell r="E294">
            <v>1</v>
          </cell>
          <cell r="X294" t="str">
            <v>=</v>
          </cell>
          <cell r="Y294">
            <v>1</v>
          </cell>
          <cell r="Z294">
            <v>1</v>
          </cell>
        </row>
        <row r="296">
          <cell r="A296" t="str">
            <v xml:space="preserve"> 스피커 설치 3W (천장형,ATT)</v>
          </cell>
          <cell r="B296" t="str">
            <v xml:space="preserve"> 스피커 설치</v>
          </cell>
          <cell r="C296" t="str">
            <v xml:space="preserve"> 3W (천장형,ATT)</v>
          </cell>
          <cell r="D296" t="str">
            <v>대</v>
          </cell>
          <cell r="E296">
            <v>2</v>
          </cell>
          <cell r="X296" t="str">
            <v>=</v>
          </cell>
          <cell r="Y296">
            <v>2</v>
          </cell>
          <cell r="Z296">
            <v>2</v>
          </cell>
        </row>
        <row r="297">
          <cell r="A297" t="str">
            <v xml:space="preserve"> 스피커 설치 3W (천장형)</v>
          </cell>
          <cell r="B297" t="str">
            <v xml:space="preserve"> 스피커 설치</v>
          </cell>
          <cell r="C297" t="str">
            <v xml:space="preserve"> 3W (천장형)</v>
          </cell>
          <cell r="D297" t="str">
            <v>대</v>
          </cell>
          <cell r="E297">
            <v>4</v>
          </cell>
          <cell r="J297">
            <v>27</v>
          </cell>
          <cell r="X297" t="str">
            <v>=</v>
          </cell>
          <cell r="Y297">
            <v>31</v>
          </cell>
          <cell r="Z297">
            <v>31</v>
          </cell>
        </row>
        <row r="298">
          <cell r="A298" t="str">
            <v xml:space="preserve"> 스피커 설치 3W (벽부형,ATT)</v>
          </cell>
          <cell r="B298" t="str">
            <v xml:space="preserve"> 스피커 설치</v>
          </cell>
          <cell r="C298" t="str">
            <v xml:space="preserve"> 3W (벽부형,ATT)</v>
          </cell>
          <cell r="D298" t="str">
            <v>대</v>
          </cell>
          <cell r="E298">
            <v>0</v>
          </cell>
          <cell r="J298">
            <v>17</v>
          </cell>
          <cell r="X298" t="str">
            <v>=</v>
          </cell>
          <cell r="Y298">
            <v>17</v>
          </cell>
          <cell r="Z298">
            <v>17</v>
          </cell>
        </row>
        <row r="299">
          <cell r="A299" t="str">
            <v xml:space="preserve"> 스피커 설치 3W (벽부형)</v>
          </cell>
          <cell r="B299" t="str">
            <v xml:space="preserve"> 스피커 설치</v>
          </cell>
          <cell r="C299" t="str">
            <v xml:space="preserve"> 3W (벽부형)</v>
          </cell>
          <cell r="D299" t="str">
            <v>대</v>
          </cell>
          <cell r="E299">
            <v>2</v>
          </cell>
          <cell r="J299">
            <v>2</v>
          </cell>
          <cell r="X299" t="str">
            <v>=</v>
          </cell>
          <cell r="Y299">
            <v>4</v>
          </cell>
          <cell r="Z299">
            <v>4</v>
          </cell>
        </row>
        <row r="300">
          <cell r="A300" t="str">
            <v xml:space="preserve"> 스피커 설치 10W(혼형)</v>
          </cell>
          <cell r="B300" t="str">
            <v xml:space="preserve"> 스피커 설치</v>
          </cell>
          <cell r="C300" t="str">
            <v xml:space="preserve"> 10W(혼형)</v>
          </cell>
          <cell r="D300" t="str">
            <v>대</v>
          </cell>
          <cell r="E300">
            <v>4</v>
          </cell>
          <cell r="F300">
            <v>12</v>
          </cell>
          <cell r="J300">
            <v>56</v>
          </cell>
          <cell r="X300" t="str">
            <v>=</v>
          </cell>
          <cell r="Y300">
            <v>72</v>
          </cell>
          <cell r="Z300">
            <v>72</v>
          </cell>
        </row>
        <row r="301">
          <cell r="A301" t="str">
            <v/>
          </cell>
        </row>
        <row r="302">
          <cell r="A302" t="str">
            <v xml:space="preserve"> 풀박스 설치 200×200×150(철강조)</v>
          </cell>
          <cell r="B302" t="str">
            <v xml:space="preserve"> 풀박스 설치</v>
          </cell>
          <cell r="C302" t="str">
            <v xml:space="preserve"> 200×200×150(철강조)</v>
          </cell>
          <cell r="D302" t="str">
            <v>개</v>
          </cell>
          <cell r="E302">
            <v>4</v>
          </cell>
          <cell r="X302" t="str">
            <v>=</v>
          </cell>
          <cell r="Y302">
            <v>4</v>
          </cell>
          <cell r="Z302">
            <v>4</v>
          </cell>
        </row>
        <row r="303">
          <cell r="A303" t="str">
            <v xml:space="preserve"> 풀박스 설치 200×200×150(매입)</v>
          </cell>
          <cell r="B303" t="str">
            <v xml:space="preserve"> 풀박스 설치</v>
          </cell>
          <cell r="C303" t="str">
            <v xml:space="preserve"> 200×200×150(매입)</v>
          </cell>
          <cell r="D303" t="str">
            <v>개</v>
          </cell>
          <cell r="E303">
            <v>4</v>
          </cell>
          <cell r="X303" t="str">
            <v>=</v>
          </cell>
          <cell r="Y303">
            <v>4</v>
          </cell>
          <cell r="Z303">
            <v>4</v>
          </cell>
        </row>
        <row r="304">
          <cell r="A304" t="str">
            <v xml:space="preserve"> 풀박스 설치 300×300×200</v>
          </cell>
          <cell r="B304" t="str">
            <v xml:space="preserve"> 풀박스 설치</v>
          </cell>
          <cell r="C304" t="str">
            <v xml:space="preserve"> 300×300×200</v>
          </cell>
          <cell r="D304" t="str">
            <v>개</v>
          </cell>
          <cell r="E304">
            <v>2</v>
          </cell>
          <cell r="X304" t="str">
            <v>=</v>
          </cell>
          <cell r="Y304">
            <v>2</v>
          </cell>
          <cell r="Z304">
            <v>2</v>
          </cell>
        </row>
        <row r="305">
          <cell r="A305" t="str">
            <v/>
          </cell>
        </row>
        <row r="324">
          <cell r="A324" t="str">
            <v xml:space="preserve"> 동축케이블 신설 5C-2V</v>
          </cell>
          <cell r="B324" t="str">
            <v xml:space="preserve"> 동축케이블 신설</v>
          </cell>
          <cell r="C324" t="str">
            <v xml:space="preserve"> 5C-2V</v>
          </cell>
          <cell r="D324" t="str">
            <v>m</v>
          </cell>
          <cell r="E324" t="str">
            <v xml:space="preserve"> [ 전산실 -  상선 ]</v>
          </cell>
          <cell r="Z324">
            <v>4948.6999999999989</v>
          </cell>
        </row>
        <row r="325">
          <cell r="A325" t="str">
            <v/>
          </cell>
          <cell r="E325" t="str">
            <v>가설역사 :</v>
          </cell>
          <cell r="F325" t="str">
            <v>C 1</v>
          </cell>
          <cell r="G325" t="str">
            <v xml:space="preserve">2 + 2 + 0.3 + 12 + 0.5 + 30 + 0.5 + 30 + 0.5 + 30 + 0.5 + 30 + 0.5 + 30  </v>
          </cell>
        </row>
        <row r="326">
          <cell r="G326" t="str">
            <v>0.5 + 30 + 0.5 + 30 +0.5 + 4 + 0.3 + 2 + 2</v>
          </cell>
        </row>
        <row r="327">
          <cell r="A327" t="str">
            <v/>
          </cell>
          <cell r="F327" t="str">
            <v>C 2</v>
          </cell>
          <cell r="G327" t="str">
            <v>2 + 2 + 0.3 + 11 + 0.5 + 4 + 0.3 + 2 + 2</v>
          </cell>
          <cell r="X327" t="str">
            <v>=</v>
          </cell>
          <cell r="Y327">
            <v>262.7</v>
          </cell>
        </row>
        <row r="328">
          <cell r="A328" t="str">
            <v/>
          </cell>
          <cell r="E328" t="str">
            <v xml:space="preserve"> [ 전산실 -  하선 ]</v>
          </cell>
        </row>
        <row r="329">
          <cell r="A329" t="str">
            <v/>
          </cell>
          <cell r="E329" t="str">
            <v>가설역사 :</v>
          </cell>
          <cell r="F329" t="str">
            <v>C 1</v>
          </cell>
          <cell r="G329" t="str">
            <v xml:space="preserve">2 + 2 + 0.3 + 11 + 0.5 + 17 + 0.3 + 2 + 2  </v>
          </cell>
        </row>
        <row r="330">
          <cell r="F330" t="str">
            <v>C 2</v>
          </cell>
          <cell r="G330" t="str">
            <v xml:space="preserve">2 + 2 + 0.3 + 12 + 0.5 + 30 + 0.5 + 30 + 0.5 + 30 + 0.5 + 30 + 0.5 + 30 </v>
          </cell>
        </row>
        <row r="331">
          <cell r="A331" t="str">
            <v/>
          </cell>
          <cell r="G331" t="str">
            <v>0.5 + 30 + 0.5 + 30 + 0.5 + 17 + 0.3 + 2 + 2</v>
          </cell>
          <cell r="X331" t="str">
            <v>=</v>
          </cell>
          <cell r="Y331">
            <v>288.7</v>
          </cell>
        </row>
        <row r="332">
          <cell r="A332" t="str">
            <v/>
          </cell>
          <cell r="E332" t="str">
            <v>[역무실 → CAMERA, VIDEO PHONE]</v>
          </cell>
        </row>
        <row r="333">
          <cell r="A333" t="str">
            <v/>
          </cell>
          <cell r="E333" t="str">
            <v>(15+6+5.5↑+0.5+0.5+20.5+0.5)x4+V.P:0.5+6+0.5+25</v>
          </cell>
          <cell r="X333" t="str">
            <v>=</v>
          </cell>
          <cell r="Y333">
            <v>226</v>
          </cell>
        </row>
        <row r="334">
          <cell r="E334" t="str">
            <v>4.5↓+0.3+CAMERA:0.5+4+0.3+2+V.P:(0.5+9+0.5)x2+0.5+3</v>
          </cell>
          <cell r="X334" t="str">
            <v>=</v>
          </cell>
          <cell r="Y334">
            <v>35.1</v>
          </cell>
        </row>
        <row r="335">
          <cell r="E335" t="str">
            <v>4.5↓+0.3+(0.5+5.5↓+0.4↓+0.5+4+7↓+0.3)</v>
          </cell>
          <cell r="X335" t="str">
            <v>=</v>
          </cell>
          <cell r="Y335">
            <v>23</v>
          </cell>
        </row>
        <row r="336">
          <cell r="E336" t="str">
            <v>(15+10+5.5↑+0.5+10+0.5+9+0.5)x10+(0.5+17.5+0.5)x4</v>
          </cell>
          <cell r="X336" t="str">
            <v>=</v>
          </cell>
          <cell r="Y336">
            <v>584</v>
          </cell>
        </row>
        <row r="337">
          <cell r="E337" t="str">
            <v>CAMERA:(0.5+1+0.3+2)x2+V.P:(0.5+7.5+0.5)x2+0.5+1+4.5↓</v>
          </cell>
          <cell r="X337" t="str">
            <v>=</v>
          </cell>
          <cell r="Y337">
            <v>30.6</v>
          </cell>
        </row>
        <row r="338">
          <cell r="E338" t="str">
            <v>0.3+(0.5+5.5↓+0.4↓+0.5+1+7↓+0.3)+(0.5+12+0.5)x6</v>
          </cell>
          <cell r="X338" t="str">
            <v>=</v>
          </cell>
          <cell r="Y338">
            <v>93.5</v>
          </cell>
        </row>
        <row r="339">
          <cell r="E339" t="str">
            <v>CAMERA:(0.5+7.5+0.3+2)+(0.5+8+0.5)x5+CAMERA:(0.5+11)</v>
          </cell>
          <cell r="X339" t="str">
            <v>=</v>
          </cell>
          <cell r="Y339">
            <v>66.8</v>
          </cell>
        </row>
        <row r="340">
          <cell r="E340" t="str">
            <v>(0.3+2)+(0.5+17+0.5)x4+V.P:(0.5+1+4.5↓+0.3)+(0.5+8.5)x2</v>
          </cell>
          <cell r="X340" t="str">
            <v>=</v>
          </cell>
          <cell r="Y340">
            <v>98.6</v>
          </cell>
        </row>
        <row r="341">
          <cell r="E341" t="str">
            <v>(0.5+8.5+0.5)x2+CAMERA:(0.5+4+0.3+2)+V.P:(0.5+8+4.5↓)</v>
          </cell>
          <cell r="X341" t="str">
            <v>=</v>
          </cell>
          <cell r="Y341">
            <v>38.799999999999997</v>
          </cell>
        </row>
        <row r="342">
          <cell r="E342" t="str">
            <v>(0.3)+V.P(1층):(0.5+5.5↓+0.4↓+0.5+1+7↓+0.3)</v>
          </cell>
          <cell r="X342" t="str">
            <v>=</v>
          </cell>
          <cell r="Y342">
            <v>15.500000000000002</v>
          </cell>
        </row>
        <row r="343">
          <cell r="E343" t="str">
            <v>[승강장 MONITOR → CAMERA]</v>
          </cell>
        </row>
        <row r="344">
          <cell r="E344" t="str">
            <v>(2+3+0.5+20+0.5+25+0.5+27+0.5+32+0.5+30+0.5)x4</v>
          </cell>
          <cell r="X344" t="str">
            <v>=</v>
          </cell>
          <cell r="Y344">
            <v>568</v>
          </cell>
        </row>
        <row r="345">
          <cell r="E345" t="str">
            <v>(5+4+2)x2+(0.5+30+0.5+30+0.5+16+0.5+5+2+2)x2</v>
          </cell>
          <cell r="X345" t="str">
            <v>=</v>
          </cell>
          <cell r="Y345">
            <v>196</v>
          </cell>
        </row>
        <row r="346">
          <cell r="E346" t="str">
            <v>(2+6+0.5+9+0.5+30+0.5+30+0.5+30+0.5+32+0.5)x4</v>
          </cell>
          <cell r="X346" t="str">
            <v>=</v>
          </cell>
          <cell r="Y346">
            <v>568</v>
          </cell>
        </row>
        <row r="347">
          <cell r="E347" t="str">
            <v>(4+3+2)x2+(0.5+27+0.5)x4</v>
          </cell>
          <cell r="X347" t="str">
            <v>=</v>
          </cell>
          <cell r="Y347">
            <v>130</v>
          </cell>
        </row>
        <row r="348">
          <cell r="E348" t="str">
            <v>(0.5+25+0.5+25+0.5+3+2)x2</v>
          </cell>
          <cell r="X348" t="str">
            <v>=</v>
          </cell>
          <cell r="Y348">
            <v>113</v>
          </cell>
        </row>
        <row r="349">
          <cell r="E349" t="str">
            <v>(0.5+5+0.5+0.4↑+5.5↑+0.5+16.5+0.5+8+0.5+12+0.5)x8</v>
          </cell>
          <cell r="X349" t="str">
            <v>=</v>
          </cell>
          <cell r="Y349">
            <v>403.2</v>
          </cell>
        </row>
        <row r="350">
          <cell r="E350" t="str">
            <v>(0.5+3+0.5+0.4↑+5.5↑+0.5+7.5+0.5+17+0.5)x8</v>
          </cell>
          <cell r="X350" t="str">
            <v>=</v>
          </cell>
          <cell r="Y350">
            <v>287.2</v>
          </cell>
        </row>
        <row r="351">
          <cell r="E351" t="str">
            <v>(0.5+9+0.5+10+0.5+5+0.5+5.5↓+11+15)x16</v>
          </cell>
          <cell r="X351" t="str">
            <v>=</v>
          </cell>
          <cell r="Y351">
            <v>920</v>
          </cell>
        </row>
        <row r="353">
          <cell r="A353" t="str">
            <v xml:space="preserve"> 전원선 신설 CV 2C/5.5㎟</v>
          </cell>
          <cell r="B353" t="str">
            <v xml:space="preserve"> 전원선 신설</v>
          </cell>
          <cell r="C353" t="str">
            <v xml:space="preserve"> CV 2C/5.5㎟</v>
          </cell>
          <cell r="D353" t="str">
            <v>m</v>
          </cell>
          <cell r="E353" t="str">
            <v xml:space="preserve"> [ 역무실 - 승강장 상선 M,C ]</v>
          </cell>
          <cell r="Z353">
            <v>1958.8</v>
          </cell>
        </row>
        <row r="354">
          <cell r="A354" t="str">
            <v/>
          </cell>
          <cell r="E354" t="str">
            <v>가설역사 :</v>
          </cell>
          <cell r="F354" t="str">
            <v>(1.5 + 3 + 0.5 + 6.5 + 0.5 + 16.5 + 0.5 + 1.5 + 4.5 + 0.4 + 3 + 0.5) x 2</v>
          </cell>
        </row>
        <row r="355">
          <cell r="F355" t="str">
            <v>Ca 1:</v>
          </cell>
          <cell r="G355" t="str">
            <v>(0.5 + 12 + 0.3 + 2 + 2) x 2</v>
          </cell>
        </row>
        <row r="356">
          <cell r="F356" t="str">
            <v>(30 + 0.5 + 30 + 0.5 + 30 + 0.5 + 30 + 0.5 + 30 + 0.5 + 30 +  0.5 + 30 +  0.5) x 2</v>
          </cell>
        </row>
        <row r="357">
          <cell r="F357" t="str">
            <v>Ca 2:</v>
          </cell>
          <cell r="G357" t="str">
            <v>11 +  0.3 + 2 + 2</v>
          </cell>
        </row>
        <row r="358">
          <cell r="A358" t="str">
            <v/>
          </cell>
          <cell r="F358" t="str">
            <v>Mo</v>
          </cell>
          <cell r="G358" t="str">
            <v>4 + 0.3 + 2 + 2</v>
          </cell>
          <cell r="X358" t="str">
            <v>=</v>
          </cell>
          <cell r="Y358">
            <v>562</v>
          </cell>
        </row>
        <row r="359">
          <cell r="A359" t="str">
            <v/>
          </cell>
          <cell r="E359" t="str">
            <v xml:space="preserve"> [ 역무실 - 승강장 하선 M,C ]</v>
          </cell>
        </row>
        <row r="360">
          <cell r="A360" t="str">
            <v/>
          </cell>
          <cell r="E360" t="str">
            <v>가설역사 :</v>
          </cell>
          <cell r="F360" t="str">
            <v>(1.5 + 3 + 0.5 + 6.5 + 0.5 +  1.5 + 4.5 + 0.4 + 3 + 0.5) x 2</v>
          </cell>
        </row>
        <row r="361">
          <cell r="F361" t="str">
            <v>Ca 1:</v>
          </cell>
          <cell r="G361" t="str">
            <v>(11 + 0.3 + 2 + 2) x 2 + 0.5 + 30 + 0.5 + 30 + 0.5 + 30 + 0.5 + 30 + 0.5</v>
          </cell>
        </row>
        <row r="362">
          <cell r="G362" t="str">
            <v>30 + 0.5 + 30 + 0.5 + 30 + 0.5 + 12 +  0.3 + 2 + 2</v>
          </cell>
        </row>
        <row r="363">
          <cell r="A363" t="str">
            <v/>
          </cell>
          <cell r="F363" t="str">
            <v>Mo</v>
          </cell>
          <cell r="G363" t="str">
            <v>0.5 + 17 + 0.3 + 2 + 2</v>
          </cell>
          <cell r="X363" t="str">
            <v>=</v>
          </cell>
          <cell r="Y363">
            <v>326.5</v>
          </cell>
        </row>
        <row r="364">
          <cell r="A364" t="str">
            <v/>
          </cell>
          <cell r="E364" t="str">
            <v>[역무실 → CAMERA, VIDEO PHONE]</v>
          </cell>
        </row>
        <row r="365">
          <cell r="A365" t="str">
            <v/>
          </cell>
          <cell r="E365" t="str">
            <v>(15+6+5.5↑+0.5+20.5+0.5)x4+CAMERA:0.5+4+0.3+2</v>
          </cell>
          <cell r="Y365">
            <v>198.8</v>
          </cell>
        </row>
        <row r="366">
          <cell r="E366" t="str">
            <v>V.P:0.5+6+0.5+25+4.5↓+0.3+V.P(2층):(0.5+9+0.5)x2</v>
          </cell>
          <cell r="Y366">
            <v>56.8</v>
          </cell>
        </row>
        <row r="367">
          <cell r="E367" t="str">
            <v>3+4.5↓+0.3+V.P(1층):0.5+5.5↓+0.4↓+0.5+4+7↓+0.3</v>
          </cell>
          <cell r="Y367">
            <v>26</v>
          </cell>
        </row>
        <row r="368">
          <cell r="E368" t="str">
            <v>(15+10+5.5↑+0.5+6+0.5+10+0.5+9+0.5)x7+(0.5+17.5+0.5)x3</v>
          </cell>
          <cell r="Y368">
            <v>458</v>
          </cell>
        </row>
        <row r="369">
          <cell r="E369" t="str">
            <v>CAMERA:(0.5+1+0.3+2)x3+V.P:(0.5+7.5+0.5)x2+1+4.5↓+0.3</v>
          </cell>
          <cell r="Y369">
            <v>34.200000000000003</v>
          </cell>
        </row>
        <row r="370">
          <cell r="E370" t="str">
            <v>V.P:0.5+5.5↓+0.4↓+0.5+1+7↓+0.3</v>
          </cell>
          <cell r="Y370">
            <v>15.2</v>
          </cell>
        </row>
        <row r="371">
          <cell r="E371" t="str">
            <v>CAMERA:0.5+12+(0.5+7.5+0.3+2)x2+8+(0.5+11+0.3+2)x2</v>
          </cell>
          <cell r="Y371">
            <v>68.7</v>
          </cell>
        </row>
        <row r="372">
          <cell r="E372" t="str">
            <v>17+0.5+8.5+0.5+8.5+0.5+4+0.3+2+V.P:(0.5+12+0.5+8)x3</v>
          </cell>
          <cell r="Y372">
            <v>104.8</v>
          </cell>
        </row>
        <row r="373">
          <cell r="E373" t="str">
            <v>(0.5+17+0.5)x3+(0.5+8.5+0.5+8.5+0.5+8+4.5↓+0.3)</v>
          </cell>
          <cell r="Y373">
            <v>85.3</v>
          </cell>
        </row>
        <row r="374">
          <cell r="E374" t="str">
            <v>(0.5+1+4.5+0.3)+(0.5+5.5+1.4+0.5+1+7+0.3)</v>
          </cell>
          <cell r="Y374">
            <v>22.5</v>
          </cell>
        </row>
        <row r="376">
          <cell r="A376" t="str">
            <v xml:space="preserve"> 접지선 신설 GV 5.5㎟</v>
          </cell>
          <cell r="B376" t="str">
            <v xml:space="preserve"> 접지선 신설</v>
          </cell>
          <cell r="C376" t="str">
            <v xml:space="preserve"> GV 5.5㎟</v>
          </cell>
          <cell r="D376" t="str">
            <v>m</v>
          </cell>
          <cell r="E376" t="str">
            <v xml:space="preserve"> [ 역무실 - 승강장 상선 M,C ]</v>
          </cell>
          <cell r="Z376">
            <v>1958.8</v>
          </cell>
        </row>
        <row r="377">
          <cell r="E377" t="str">
            <v>가설역사 :</v>
          </cell>
          <cell r="F377" t="str">
            <v>(1.5 + 3 + 0.5 + 6.5 + 0.5 + 16.5 + 0.5 + 1.5 + 4.5 + 0.4 + 3 + 0.5) x 2</v>
          </cell>
        </row>
        <row r="378">
          <cell r="F378" t="str">
            <v>Ca 1:</v>
          </cell>
          <cell r="G378" t="str">
            <v>(0.5 + 12 + 0.3 + 2 + 2) x 2</v>
          </cell>
        </row>
        <row r="379">
          <cell r="F379" t="str">
            <v>(30 + 0.5 + 30 + 0.5 + 30 + 0.5 + 30 + 0.5 + 30 + 0.5 + 30 +  0.5 + 30 +  0.5) x 2</v>
          </cell>
        </row>
        <row r="380">
          <cell r="F380" t="str">
            <v>Ca 2:</v>
          </cell>
          <cell r="G380" t="str">
            <v>11 +  0.3 + 2 + 2</v>
          </cell>
        </row>
        <row r="381">
          <cell r="F381" t="str">
            <v>Mo</v>
          </cell>
          <cell r="G381" t="str">
            <v>4 + 0.3 + 2 + 2</v>
          </cell>
          <cell r="X381" t="str">
            <v>=</v>
          </cell>
          <cell r="Y381">
            <v>562</v>
          </cell>
        </row>
        <row r="382">
          <cell r="E382" t="str">
            <v xml:space="preserve"> [ 역무실 - 승강장 하선 M,C ]</v>
          </cell>
        </row>
        <row r="383">
          <cell r="E383" t="str">
            <v>가설역사 :</v>
          </cell>
          <cell r="F383" t="str">
            <v>(1.5 + 3 + 0.5 + 6.5 + 0.5 +  1.5 + 4.5 + 0.4 + 3 + 0.5) x 2</v>
          </cell>
        </row>
        <row r="384">
          <cell r="F384" t="str">
            <v>Ca 1:</v>
          </cell>
          <cell r="G384" t="str">
            <v>(11 + 0.3 + 2 + 2) x 2 + 0.5 + 30 + 0.5 + 30 + 0.5 + 30 + 0.5 + 30 + 0.5</v>
          </cell>
        </row>
        <row r="385">
          <cell r="G385" t="str">
            <v>30 + 0.5 + 30 + 0.5 + 30 + 0.5 + 12 +  0.3 + 2 + 2</v>
          </cell>
        </row>
        <row r="386">
          <cell r="F386" t="str">
            <v>Mo</v>
          </cell>
          <cell r="G386" t="str">
            <v>0.5 + 17 + 0.3 + 2 + 2</v>
          </cell>
          <cell r="X386" t="str">
            <v>=</v>
          </cell>
          <cell r="Y386">
            <v>326.5</v>
          </cell>
        </row>
        <row r="387">
          <cell r="E387" t="str">
            <v>[역무실 → CAMERA, VIDEO PHONE]</v>
          </cell>
        </row>
        <row r="388">
          <cell r="E388" t="str">
            <v>(15+6+5.5↑+0.5+20.5+0.5)x4+CAMERA:0.5+4+0.3+2</v>
          </cell>
          <cell r="Y388">
            <v>198.8</v>
          </cell>
        </row>
        <row r="389">
          <cell r="E389" t="str">
            <v>V.P:0.5+6+0.5+25+4.5↓+0.3+V.P(2층):(0.5+9+0.5)x2</v>
          </cell>
          <cell r="Y389">
            <v>56.8</v>
          </cell>
        </row>
        <row r="390">
          <cell r="E390" t="str">
            <v>3+4.5↓+0.3+V.P(1층):0.5+5.5↓+0.4↓+0.5+4+7↓+0.3</v>
          </cell>
          <cell r="Y390">
            <v>26</v>
          </cell>
        </row>
        <row r="391">
          <cell r="E391" t="str">
            <v>(15+10+5.5↑+0.5+6+0.5+10+0.5+9+0.5)x7+(0.5+17.5+0.5)x3</v>
          </cell>
          <cell r="Y391">
            <v>458</v>
          </cell>
        </row>
        <row r="392">
          <cell r="E392" t="str">
            <v>CAMERA:(0.5+1+0.3+2)x3+V.P:(0.5+7.5+0.5)x2+1+4.5↓+0.3</v>
          </cell>
          <cell r="Y392">
            <v>34.200000000000003</v>
          </cell>
        </row>
        <row r="393">
          <cell r="E393" t="str">
            <v>V.P:0.5+5.5↓+0.4↓+0.5+1+7↓+0.3</v>
          </cell>
          <cell r="Y393">
            <v>15.2</v>
          </cell>
        </row>
        <row r="394">
          <cell r="E394" t="str">
            <v>CAMERA:0.5+12+(0.5+7.5+0.3+2)x2+8+(0.5+11+0.3+2)x2</v>
          </cell>
          <cell r="Y394">
            <v>68.7</v>
          </cell>
        </row>
        <row r="395">
          <cell r="E395" t="str">
            <v>17+0.5+8.5+0.5+8.5+0.5+4+0.3+2+V.P:(0.5+12+0.5+8)x3</v>
          </cell>
          <cell r="Y395">
            <v>104.8</v>
          </cell>
        </row>
        <row r="396">
          <cell r="E396" t="str">
            <v>(0.5+17+0.5)x3+(0.5+8.5+0.5+8.5+0.5+8+4.5↓+0.3)</v>
          </cell>
          <cell r="Y396">
            <v>85.3</v>
          </cell>
        </row>
        <row r="397">
          <cell r="E397" t="str">
            <v>(0.5+1+4.5+0.3)+(0.5+5.5+1.4+0.5+1+7+0.3)</v>
          </cell>
          <cell r="Y397">
            <v>22.5</v>
          </cell>
        </row>
        <row r="399">
          <cell r="A399" t="str">
            <v xml:space="preserve"> 후강전선관 신설 16C (천장노출)</v>
          </cell>
          <cell r="B399" t="str">
            <v xml:space="preserve"> 후강전선관 신설</v>
          </cell>
          <cell r="C399" t="str">
            <v xml:space="preserve"> 16C (천장노출)</v>
          </cell>
          <cell r="D399" t="str">
            <v>m</v>
          </cell>
          <cell r="E399" t="str">
            <v>가설역사 :</v>
          </cell>
          <cell r="F399" t="str">
            <v>11 + 12 + 30 x 7 + 11 + 12 + 30 x 7</v>
          </cell>
          <cell r="X399" t="str">
            <v>=</v>
          </cell>
          <cell r="Y399">
            <v>466</v>
          </cell>
          <cell r="Z399">
            <v>540.5</v>
          </cell>
        </row>
        <row r="400">
          <cell r="A400" t="str">
            <v/>
          </cell>
          <cell r="E400" t="str">
            <v>6+25+4+3=4+7.5+11+1+4+8+1</v>
          </cell>
          <cell r="X400" t="str">
            <v>=</v>
          </cell>
          <cell r="Y400">
            <v>74.5</v>
          </cell>
        </row>
        <row r="401">
          <cell r="A401" t="str">
            <v xml:space="preserve"> 후강전선관 신설 16C (벽매입)</v>
          </cell>
          <cell r="B401" t="str">
            <v xml:space="preserve"> 후강전선관 신설</v>
          </cell>
          <cell r="C401" t="str">
            <v xml:space="preserve"> 16C (벽매입)</v>
          </cell>
          <cell r="D401" t="str">
            <v>m</v>
          </cell>
          <cell r="E401" t="str">
            <v>4.5+4.5+5.5+0.4+7+4.5+4.5+5.5+0.4+7</v>
          </cell>
          <cell r="X401" t="str">
            <v>=</v>
          </cell>
          <cell r="Y401">
            <v>43.8</v>
          </cell>
          <cell r="Z401">
            <v>43.8</v>
          </cell>
        </row>
        <row r="402">
          <cell r="A402" t="str">
            <v xml:space="preserve"> 후강전선관 신설 16C (철강조)</v>
          </cell>
          <cell r="B402" t="str">
            <v xml:space="preserve"> 후강전선관 신설</v>
          </cell>
          <cell r="C402" t="str">
            <v xml:space="preserve"> 16C (철강조)</v>
          </cell>
          <cell r="D402" t="str">
            <v>m</v>
          </cell>
          <cell r="E402">
            <v>5</v>
          </cell>
          <cell r="X402" t="str">
            <v>=</v>
          </cell>
          <cell r="Y402">
            <v>5</v>
          </cell>
          <cell r="Z402">
            <v>5</v>
          </cell>
        </row>
        <row r="403">
          <cell r="A403" t="str">
            <v xml:space="preserve"> 후강전선관 신설 16C (매입)</v>
          </cell>
          <cell r="B403" t="str">
            <v xml:space="preserve"> 후강전선관 신설</v>
          </cell>
          <cell r="C403" t="str">
            <v xml:space="preserve"> 16C (매입)</v>
          </cell>
          <cell r="D403" t="str">
            <v>m</v>
          </cell>
          <cell r="X403" t="str">
            <v>=</v>
          </cell>
        </row>
        <row r="404">
          <cell r="A404" t="str">
            <v/>
          </cell>
        </row>
        <row r="405">
          <cell r="A405" t="str">
            <v xml:space="preserve"> 후강전선관 신설 22C (천장노출)</v>
          </cell>
          <cell r="B405" t="str">
            <v xml:space="preserve"> 후강전선관 신설</v>
          </cell>
          <cell r="C405" t="str">
            <v xml:space="preserve"> 22C (천장노출)</v>
          </cell>
          <cell r="D405" t="str">
            <v>m</v>
          </cell>
          <cell r="E405" t="str">
            <v>가설역사 :</v>
          </cell>
          <cell r="F405" t="str">
            <v>4 x 2 + 11 + 17 x 2 + 30 x 7 + 12</v>
          </cell>
          <cell r="X405" t="str">
            <v>=</v>
          </cell>
          <cell r="Y405">
            <v>286</v>
          </cell>
          <cell r="Z405">
            <v>1215</v>
          </cell>
        </row>
        <row r="406">
          <cell r="A406" t="str">
            <v/>
          </cell>
          <cell r="E406" t="str">
            <v>20.5+6+25+4+9+3+4+6x3+10x3+9x3+17.5+7.5x2+1+1+1+1</v>
          </cell>
        </row>
        <row r="407">
          <cell r="E407" t="str">
            <v>12x2+17+1+8.5+8.5+4+8+3+20+25+27+32+30+30+30+16+5+5+4</v>
          </cell>
        </row>
        <row r="408">
          <cell r="E408" t="str">
            <v>2+3+25+25+27+32+30+30+30+9+6</v>
          </cell>
        </row>
        <row r="409">
          <cell r="E409" t="str">
            <v>(5+3+16.5+8+12)x2+(7.5+17)x2+(9+10+5)x4</v>
          </cell>
          <cell r="X409" t="str">
            <v>=</v>
          </cell>
          <cell r="Y409">
            <v>929</v>
          </cell>
        </row>
        <row r="410">
          <cell r="A410" t="str">
            <v xml:space="preserve"> 후강전선관 신설 22C (벽매입)</v>
          </cell>
          <cell r="B410" t="str">
            <v xml:space="preserve"> 후강전선관 신설</v>
          </cell>
          <cell r="C410" t="str">
            <v xml:space="preserve"> 22C (벽매입)</v>
          </cell>
          <cell r="D410" t="str">
            <v>m</v>
          </cell>
          <cell r="E410" t="str">
            <v>4.5↓+4.5↓+5.5↓+0.4↓+7↓+(5.5↑+0.4↑)x2+7 x2</v>
          </cell>
          <cell r="X410" t="str">
            <v>=</v>
          </cell>
          <cell r="Y410">
            <v>47.7</v>
          </cell>
          <cell r="Z410">
            <v>116.2</v>
          </cell>
        </row>
        <row r="411">
          <cell r="A411" t="str">
            <v/>
          </cell>
          <cell r="E411" t="str">
            <v>4.5↓+4.5↓+5.5↓+0.4↓+1+7↓+(0.4↑+5.5↑)x4+5.5↓x4</v>
          </cell>
          <cell r="X411" t="str">
            <v>=</v>
          </cell>
          <cell r="Y411">
            <v>68.5</v>
          </cell>
        </row>
        <row r="412">
          <cell r="A412" t="str">
            <v xml:space="preserve"> 후강전선관 신설 22C (철강조)</v>
          </cell>
          <cell r="B412" t="str">
            <v xml:space="preserve"> 후강전선관 신설</v>
          </cell>
          <cell r="C412" t="str">
            <v xml:space="preserve"> 22C (철강조)</v>
          </cell>
          <cell r="D412" t="str">
            <v>m</v>
          </cell>
          <cell r="E412">
            <v>5</v>
          </cell>
          <cell r="X412" t="str">
            <v>=</v>
          </cell>
          <cell r="Y412">
            <v>5</v>
          </cell>
          <cell r="Z412">
            <v>5</v>
          </cell>
        </row>
        <row r="413">
          <cell r="A413" t="str">
            <v xml:space="preserve"> 후강전선관 신설 22C (매입)</v>
          </cell>
          <cell r="B413" t="str">
            <v xml:space="preserve"> 후강전선관 신설</v>
          </cell>
          <cell r="C413" t="str">
            <v xml:space="preserve"> 22C (매입)</v>
          </cell>
          <cell r="D413" t="str">
            <v>m</v>
          </cell>
          <cell r="E413" t="str">
            <v>10+10x3+11x4</v>
          </cell>
          <cell r="X413" t="str">
            <v>=</v>
          </cell>
          <cell r="Y413">
            <v>84</v>
          </cell>
          <cell r="Z413">
            <v>84</v>
          </cell>
        </row>
        <row r="414">
          <cell r="A414" t="str">
            <v/>
          </cell>
        </row>
        <row r="415">
          <cell r="A415" t="str">
            <v xml:space="preserve"> 후강전선관 신설 28C (천장노출)</v>
          </cell>
          <cell r="B415" t="str">
            <v xml:space="preserve"> 후강전선관 신설</v>
          </cell>
          <cell r="C415" t="str">
            <v xml:space="preserve"> 28C (천장노출)</v>
          </cell>
          <cell r="D415" t="str">
            <v>m</v>
          </cell>
          <cell r="E415" t="str">
            <v>17.5 + 8</v>
          </cell>
          <cell r="X415" t="str">
            <v>=</v>
          </cell>
          <cell r="Y415">
            <v>25.5</v>
          </cell>
          <cell r="Z415">
            <v>25.5</v>
          </cell>
        </row>
        <row r="416">
          <cell r="A416" t="str">
            <v xml:space="preserve"> 후강전선관 신설 28C (벽매입)</v>
          </cell>
          <cell r="B416" t="str">
            <v xml:space="preserve"> 후강전선관 신설</v>
          </cell>
          <cell r="C416" t="str">
            <v xml:space="preserve"> 28C (벽매입)</v>
          </cell>
          <cell r="D416" t="str">
            <v>m</v>
          </cell>
          <cell r="E416" t="str">
            <v>5.5 x 3</v>
          </cell>
          <cell r="X416" t="str">
            <v>=</v>
          </cell>
          <cell r="Y416">
            <v>16.5</v>
          </cell>
          <cell r="Z416">
            <v>16.5</v>
          </cell>
        </row>
        <row r="417">
          <cell r="A417" t="str">
            <v xml:space="preserve"> 후강전선관 신설 28C (철강조)</v>
          </cell>
          <cell r="B417" t="str">
            <v xml:space="preserve"> 후강전선관 신설</v>
          </cell>
          <cell r="C417" t="str">
            <v xml:space="preserve"> 28C (철강조)</v>
          </cell>
          <cell r="D417" t="str">
            <v>m</v>
          </cell>
          <cell r="E417">
            <v>10</v>
          </cell>
          <cell r="X417" t="str">
            <v>=</v>
          </cell>
          <cell r="Y417">
            <v>10</v>
          </cell>
          <cell r="Z417">
            <v>10</v>
          </cell>
        </row>
        <row r="418">
          <cell r="A418" t="str">
            <v xml:space="preserve"> 후강전선관 신설 28C (매입)</v>
          </cell>
          <cell r="B418" t="str">
            <v xml:space="preserve"> 후강전선관 신설</v>
          </cell>
          <cell r="C418" t="str">
            <v xml:space="preserve"> 28C (매입)</v>
          </cell>
          <cell r="D418" t="str">
            <v>m</v>
          </cell>
          <cell r="E418" t="str">
            <v>6 x 3</v>
          </cell>
          <cell r="X418" t="str">
            <v>=</v>
          </cell>
          <cell r="Y418">
            <v>18</v>
          </cell>
          <cell r="Z418">
            <v>18</v>
          </cell>
        </row>
        <row r="419">
          <cell r="A419" t="str">
            <v/>
          </cell>
        </row>
        <row r="420">
          <cell r="A420" t="str">
            <v xml:space="preserve"> 후강전선관 신설 36C (천장노출)</v>
          </cell>
          <cell r="B420" t="str">
            <v xml:space="preserve"> 후강전선관 신설</v>
          </cell>
          <cell r="C420" t="str">
            <v xml:space="preserve"> 36C (천장노출)</v>
          </cell>
          <cell r="D420" t="str">
            <v>m</v>
          </cell>
          <cell r="X420" t="str">
            <v>=</v>
          </cell>
          <cell r="Z420">
            <v>0</v>
          </cell>
        </row>
        <row r="421">
          <cell r="A421" t="str">
            <v xml:space="preserve"> 후강전선관 신설 36C (벽매입)</v>
          </cell>
          <cell r="B421" t="str">
            <v xml:space="preserve"> 후강전선관 신설</v>
          </cell>
          <cell r="C421" t="str">
            <v xml:space="preserve"> 36C (벽매입)</v>
          </cell>
          <cell r="D421" t="str">
            <v>m</v>
          </cell>
          <cell r="E421" t="str">
            <v>6x2+10x3</v>
          </cell>
          <cell r="X421" t="str">
            <v>=</v>
          </cell>
          <cell r="Y421">
            <v>42</v>
          </cell>
          <cell r="Z421">
            <v>42</v>
          </cell>
        </row>
        <row r="422">
          <cell r="A422" t="str">
            <v/>
          </cell>
        </row>
        <row r="423">
          <cell r="A423" t="str">
            <v xml:space="preserve"> 후강전선관 신설 42C (천장노출)</v>
          </cell>
          <cell r="B423" t="str">
            <v xml:space="preserve"> 후강전선관 신설</v>
          </cell>
          <cell r="C423" t="str">
            <v xml:space="preserve"> 42C (천장노출)</v>
          </cell>
          <cell r="D423" t="str">
            <v>m</v>
          </cell>
          <cell r="E423" t="str">
            <v>가설역사 :</v>
          </cell>
          <cell r="F423" t="str">
            <v>6.5 x 2 + 1.5 + 16.5 + 1.5 +  30  x 7 + 12 + 6 x 2</v>
          </cell>
          <cell r="X423" t="str">
            <v>=</v>
          </cell>
          <cell r="Y423">
            <v>266.5</v>
          </cell>
          <cell r="Z423">
            <v>311</v>
          </cell>
        </row>
        <row r="424">
          <cell r="E424" t="str">
            <v>9+7.5+11+8.5+8.5</v>
          </cell>
          <cell r="X424" t="str">
            <v>=</v>
          </cell>
          <cell r="Y424">
            <v>44.5</v>
          </cell>
        </row>
        <row r="425">
          <cell r="A425" t="str">
            <v xml:space="preserve"> 후강전선관 신설 42C (벽매입)</v>
          </cell>
          <cell r="B425" t="str">
            <v xml:space="preserve"> 후강전선관 신설</v>
          </cell>
          <cell r="C425" t="str">
            <v xml:space="preserve"> 42C (벽매입)</v>
          </cell>
          <cell r="D425" t="str">
            <v>m</v>
          </cell>
          <cell r="E425" t="str">
            <v>가설역사 :</v>
          </cell>
          <cell r="F425" t="str">
            <v>3 x 2 + 4.5 + 4.5 + 0.4 x 2</v>
          </cell>
          <cell r="X425" t="str">
            <v>=</v>
          </cell>
          <cell r="Y425">
            <v>15.8</v>
          </cell>
          <cell r="Z425">
            <v>15.8</v>
          </cell>
        </row>
        <row r="426">
          <cell r="A426" t="str">
            <v/>
          </cell>
        </row>
        <row r="427">
          <cell r="A427" t="str">
            <v xml:space="preserve"> 후강전선관 신설 54C (천정노출)</v>
          </cell>
          <cell r="B427" t="str">
            <v xml:space="preserve"> 후강전선관 신설</v>
          </cell>
          <cell r="C427" t="str">
            <v xml:space="preserve"> 54C (천정노출)</v>
          </cell>
          <cell r="D427" t="str">
            <v>m</v>
          </cell>
          <cell r="E427" t="str">
            <v>20.5+6+10+9+12+8+17</v>
          </cell>
          <cell r="X427" t="str">
            <v>=</v>
          </cell>
          <cell r="Y427">
            <v>82.5</v>
          </cell>
          <cell r="Z427">
            <v>82.5</v>
          </cell>
        </row>
        <row r="428">
          <cell r="A428" t="str">
            <v xml:space="preserve"> 후강전선관 신설 54C (벽매입)</v>
          </cell>
          <cell r="B428" t="str">
            <v xml:space="preserve"> 후강전선관 신설</v>
          </cell>
          <cell r="C428" t="str">
            <v xml:space="preserve"> 54C (벽매입)</v>
          </cell>
          <cell r="D428" t="str">
            <v>m</v>
          </cell>
          <cell r="E428" t="str">
            <v>5.5x2</v>
          </cell>
          <cell r="X428" t="str">
            <v>=</v>
          </cell>
          <cell r="Y428">
            <v>11</v>
          </cell>
          <cell r="Z428">
            <v>11</v>
          </cell>
        </row>
        <row r="429">
          <cell r="A429" t="str">
            <v/>
          </cell>
        </row>
        <row r="430">
          <cell r="A430" t="str">
            <v xml:space="preserve"> 후렉시블전선관 신설 16C (천장노출)</v>
          </cell>
          <cell r="B430" t="str">
            <v xml:space="preserve"> 후렉시블전선관 신설</v>
          </cell>
          <cell r="C430" t="str">
            <v xml:space="preserve"> 16C (천장노출)</v>
          </cell>
          <cell r="D430" t="str">
            <v>m</v>
          </cell>
          <cell r="E430" t="str">
            <v>가설역사 :</v>
          </cell>
          <cell r="F430" t="str">
            <v>2 x 4</v>
          </cell>
          <cell r="X430" t="str">
            <v>=</v>
          </cell>
          <cell r="Y430">
            <v>8</v>
          </cell>
          <cell r="Z430">
            <v>8</v>
          </cell>
        </row>
        <row r="431">
          <cell r="A431" t="str">
            <v xml:space="preserve"> 후렉시블전선관 신설 16C (철강조)</v>
          </cell>
          <cell r="B431" t="str">
            <v xml:space="preserve"> 후렉시블전선관 신설</v>
          </cell>
          <cell r="C431" t="str">
            <v xml:space="preserve"> 16C (철강조)</v>
          </cell>
          <cell r="D431" t="str">
            <v>m</v>
          </cell>
          <cell r="X431" t="str">
            <v>=</v>
          </cell>
          <cell r="Z431">
            <v>0</v>
          </cell>
        </row>
        <row r="432">
          <cell r="A432" t="str">
            <v/>
          </cell>
        </row>
        <row r="433">
          <cell r="A433" t="str">
            <v xml:space="preserve"> 후렉시블전선관 신설 22C (철강조)</v>
          </cell>
          <cell r="B433" t="str">
            <v xml:space="preserve"> 후렉시블전선관 신설</v>
          </cell>
          <cell r="C433" t="str">
            <v xml:space="preserve"> 22C (철강조)</v>
          </cell>
          <cell r="D433" t="str">
            <v>m</v>
          </cell>
          <cell r="E433" t="str">
            <v>가설역사 :</v>
          </cell>
          <cell r="F433" t="str">
            <v>2 x 7</v>
          </cell>
          <cell r="X433" t="str">
            <v>=</v>
          </cell>
          <cell r="Y433">
            <v>14</v>
          </cell>
          <cell r="Z433">
            <v>14</v>
          </cell>
        </row>
        <row r="434">
          <cell r="A434" t="str">
            <v/>
          </cell>
        </row>
        <row r="435">
          <cell r="A435" t="str">
            <v xml:space="preserve"> 후렉시블전선관 신설 28C (철강조)</v>
          </cell>
          <cell r="B435" t="str">
            <v xml:space="preserve"> 후렉시블전선관 신설</v>
          </cell>
          <cell r="C435" t="str">
            <v xml:space="preserve"> 28C (철강조)</v>
          </cell>
          <cell r="D435" t="str">
            <v>m</v>
          </cell>
          <cell r="E435">
            <v>5</v>
          </cell>
          <cell r="F435">
            <v>5</v>
          </cell>
          <cell r="G435">
            <v>5</v>
          </cell>
          <cell r="H435">
            <v>5</v>
          </cell>
          <cell r="X435" t="str">
            <v>=</v>
          </cell>
          <cell r="Y435">
            <v>20</v>
          </cell>
          <cell r="Z435">
            <v>20</v>
          </cell>
        </row>
        <row r="436">
          <cell r="A436" t="str">
            <v/>
          </cell>
        </row>
        <row r="437">
          <cell r="A437" t="str">
            <v xml:space="preserve"> 노말밴드 28C</v>
          </cell>
          <cell r="B437" t="str">
            <v xml:space="preserve"> 노말밴드</v>
          </cell>
          <cell r="C437" t="str">
            <v xml:space="preserve"> 28C</v>
          </cell>
          <cell r="D437" t="str">
            <v>개</v>
          </cell>
          <cell r="E437">
            <v>3</v>
          </cell>
          <cell r="F437">
            <v>3</v>
          </cell>
          <cell r="X437" t="str">
            <v>=</v>
          </cell>
          <cell r="Y437">
            <v>6</v>
          </cell>
          <cell r="Z437">
            <v>6</v>
          </cell>
        </row>
        <row r="438">
          <cell r="A438" t="str">
            <v xml:space="preserve"> 노말밴드 42C</v>
          </cell>
          <cell r="B438" t="str">
            <v xml:space="preserve"> 노말밴드</v>
          </cell>
          <cell r="C438" t="str">
            <v xml:space="preserve"> 42C</v>
          </cell>
          <cell r="D438" t="str">
            <v>개</v>
          </cell>
          <cell r="E438">
            <v>6</v>
          </cell>
          <cell r="F438">
            <v>5</v>
          </cell>
          <cell r="X438" t="str">
            <v>=</v>
          </cell>
          <cell r="Y438">
            <v>11</v>
          </cell>
          <cell r="Z438">
            <v>11</v>
          </cell>
        </row>
        <row r="439">
          <cell r="A439" t="str">
            <v xml:space="preserve"> 노말밴드 54C</v>
          </cell>
          <cell r="B439" t="str">
            <v xml:space="preserve"> 노말밴드</v>
          </cell>
          <cell r="C439" t="str">
            <v xml:space="preserve"> 54C</v>
          </cell>
          <cell r="D439" t="str">
            <v>개</v>
          </cell>
          <cell r="F439">
            <v>5</v>
          </cell>
          <cell r="X439" t="str">
            <v>=</v>
          </cell>
          <cell r="Y439">
            <v>5</v>
          </cell>
          <cell r="Z439">
            <v>5</v>
          </cell>
        </row>
        <row r="440">
          <cell r="A440" t="str">
            <v/>
          </cell>
        </row>
        <row r="441">
          <cell r="A441" t="str">
            <v xml:space="preserve"> 풀박스 설치 100×100×100</v>
          </cell>
          <cell r="B441" t="str">
            <v xml:space="preserve"> 풀박스 설치</v>
          </cell>
          <cell r="C441" t="str">
            <v xml:space="preserve"> 100×100×100</v>
          </cell>
          <cell r="D441" t="str">
            <v>개</v>
          </cell>
          <cell r="E441">
            <v>1</v>
          </cell>
          <cell r="X441" t="str">
            <v>=</v>
          </cell>
          <cell r="Y441">
            <v>1</v>
          </cell>
          <cell r="Z441">
            <v>1</v>
          </cell>
        </row>
        <row r="442">
          <cell r="A442" t="str">
            <v xml:space="preserve"> 풀박스 설치 200×200×100</v>
          </cell>
          <cell r="B442" t="str">
            <v xml:space="preserve"> 풀박스 설치</v>
          </cell>
          <cell r="C442" t="str">
            <v xml:space="preserve"> 200×200×100</v>
          </cell>
          <cell r="D442" t="str">
            <v>개</v>
          </cell>
          <cell r="E442">
            <v>1</v>
          </cell>
          <cell r="F442">
            <v>4</v>
          </cell>
          <cell r="G442">
            <v>4</v>
          </cell>
          <cell r="H442">
            <v>3</v>
          </cell>
          <cell r="X442" t="str">
            <v>=</v>
          </cell>
          <cell r="Y442">
            <v>12</v>
          </cell>
          <cell r="Z442">
            <v>12</v>
          </cell>
        </row>
        <row r="443">
          <cell r="A443" t="str">
            <v xml:space="preserve"> 풀박스 설치 300×300×200</v>
          </cell>
          <cell r="B443" t="str">
            <v xml:space="preserve"> 풀박스 설치</v>
          </cell>
          <cell r="C443" t="str">
            <v xml:space="preserve"> 300×300×200</v>
          </cell>
          <cell r="D443" t="str">
            <v>개</v>
          </cell>
          <cell r="E443">
            <v>1</v>
          </cell>
          <cell r="F443">
            <v>2</v>
          </cell>
          <cell r="X443" t="str">
            <v>=</v>
          </cell>
          <cell r="Y443">
            <v>3</v>
          </cell>
          <cell r="Z443">
            <v>3</v>
          </cell>
        </row>
        <row r="444">
          <cell r="A444" t="str">
            <v xml:space="preserve"> 풀박스 설치 400×400×200</v>
          </cell>
          <cell r="B444" t="str">
            <v xml:space="preserve"> 풀박스 설치</v>
          </cell>
          <cell r="C444" t="str">
            <v xml:space="preserve"> 400×400×200</v>
          </cell>
          <cell r="D444" t="str">
            <v>개</v>
          </cell>
          <cell r="F444">
            <v>4</v>
          </cell>
          <cell r="G444">
            <v>2</v>
          </cell>
          <cell r="H444">
            <v>2</v>
          </cell>
          <cell r="I444">
            <v>2</v>
          </cell>
          <cell r="J444">
            <v>1</v>
          </cell>
          <cell r="X444" t="str">
            <v>=</v>
          </cell>
          <cell r="Y444">
            <v>11</v>
          </cell>
          <cell r="Z444">
            <v>11</v>
          </cell>
        </row>
        <row r="445">
          <cell r="A445" t="str">
            <v/>
          </cell>
        </row>
        <row r="446">
          <cell r="A446" t="str">
            <v xml:space="preserve"> OUTLET BOX 설치 중형 4각 54mm</v>
          </cell>
          <cell r="B446" t="str">
            <v xml:space="preserve"> OUTLET BOX 설치</v>
          </cell>
          <cell r="C446" t="str">
            <v xml:space="preserve"> 중형 4각 54mm</v>
          </cell>
          <cell r="D446" t="str">
            <v>개</v>
          </cell>
          <cell r="E446">
            <v>6</v>
          </cell>
          <cell r="X446" t="str">
            <v>=</v>
          </cell>
          <cell r="Y446">
            <v>6</v>
          </cell>
          <cell r="Z446">
            <v>6</v>
          </cell>
        </row>
        <row r="447">
          <cell r="A447" t="str">
            <v/>
          </cell>
        </row>
        <row r="448">
          <cell r="A448" t="str">
            <v xml:space="preserve"> C형 찬넬 설치 60×30×10×2.3t</v>
          </cell>
          <cell r="B448" t="str">
            <v xml:space="preserve"> C형 찬넬 설치</v>
          </cell>
          <cell r="C448" t="str">
            <v xml:space="preserve"> 60×30×10×2.3t</v>
          </cell>
          <cell r="D448" t="str">
            <v>개</v>
          </cell>
          <cell r="E448" t="str">
            <v>가설역사 :</v>
          </cell>
          <cell r="F448" t="str">
            <v xml:space="preserve"> (466 + 286 + 266.5) ÷ 3 ÷ 1.5</v>
          </cell>
          <cell r="X448" t="str">
            <v>=</v>
          </cell>
          <cell r="Y448">
            <v>226.3</v>
          </cell>
          <cell r="Z448">
            <v>488</v>
          </cell>
        </row>
        <row r="449">
          <cell r="F449" t="str">
            <v xml:space="preserve"> (74.5 + 949 + 25.5 + 44.5 + 82.5) ÷ 3 ÷ 1.5</v>
          </cell>
          <cell r="X449" t="str">
            <v>=</v>
          </cell>
          <cell r="Y449">
            <v>261.3</v>
          </cell>
        </row>
        <row r="450">
          <cell r="A450" t="str">
            <v/>
          </cell>
        </row>
        <row r="451">
          <cell r="A451" t="str">
            <v xml:space="preserve"> 클램프 16C</v>
          </cell>
          <cell r="B451" t="str">
            <v xml:space="preserve"> 클램프</v>
          </cell>
          <cell r="C451" t="str">
            <v xml:space="preserve"> 16C</v>
          </cell>
          <cell r="D451" t="str">
            <v>개</v>
          </cell>
          <cell r="E451" t="str">
            <v>가설역사 :</v>
          </cell>
          <cell r="F451" t="str">
            <v xml:space="preserve"> 466 ÷ 1.5</v>
          </cell>
          <cell r="J451" t="str">
            <v>74.5 ÷ 1.5</v>
          </cell>
          <cell r="X451" t="str">
            <v>=</v>
          </cell>
          <cell r="Y451">
            <v>360.3</v>
          </cell>
          <cell r="Z451">
            <v>361</v>
          </cell>
        </row>
        <row r="452">
          <cell r="A452" t="str">
            <v xml:space="preserve"> 클램프 22C</v>
          </cell>
          <cell r="B452" t="str">
            <v xml:space="preserve"> 클램프</v>
          </cell>
          <cell r="C452" t="str">
            <v xml:space="preserve"> 22C</v>
          </cell>
          <cell r="D452" t="str">
            <v>개</v>
          </cell>
          <cell r="E452" t="str">
            <v>가설역사 :</v>
          </cell>
          <cell r="F452" t="str">
            <v xml:space="preserve"> 286 ÷ 1.5</v>
          </cell>
          <cell r="J452" t="str">
            <v>949 ÷ 1.5</v>
          </cell>
          <cell r="X452" t="str">
            <v>=</v>
          </cell>
          <cell r="Y452">
            <v>823.3</v>
          </cell>
          <cell r="Z452">
            <v>824</v>
          </cell>
        </row>
        <row r="453">
          <cell r="A453" t="str">
            <v xml:space="preserve"> 클램프 28C</v>
          </cell>
          <cell r="B453" t="str">
            <v xml:space="preserve"> 클램프</v>
          </cell>
          <cell r="C453" t="str">
            <v xml:space="preserve"> 28C</v>
          </cell>
          <cell r="D453" t="str">
            <v>개</v>
          </cell>
          <cell r="J453" t="str">
            <v>25.5 ÷ 1.5</v>
          </cell>
          <cell r="X453" t="str">
            <v>=</v>
          </cell>
          <cell r="Y453">
            <v>17</v>
          </cell>
          <cell r="Z453">
            <v>17</v>
          </cell>
        </row>
        <row r="454">
          <cell r="A454" t="str">
            <v xml:space="preserve"> 클램프 36C</v>
          </cell>
          <cell r="B454" t="str">
            <v xml:space="preserve"> 클램프</v>
          </cell>
          <cell r="C454" t="str">
            <v xml:space="preserve"> 36C</v>
          </cell>
          <cell r="D454" t="str">
            <v>개</v>
          </cell>
          <cell r="X454" t="str">
            <v>=</v>
          </cell>
          <cell r="Z454">
            <v>0</v>
          </cell>
        </row>
        <row r="455">
          <cell r="A455" t="str">
            <v xml:space="preserve"> 클램프 42C</v>
          </cell>
          <cell r="B455" t="str">
            <v xml:space="preserve"> 클램프</v>
          </cell>
          <cell r="C455" t="str">
            <v xml:space="preserve"> 42C</v>
          </cell>
          <cell r="D455" t="str">
            <v>개</v>
          </cell>
          <cell r="E455" t="str">
            <v>가설역사 :</v>
          </cell>
          <cell r="F455" t="str">
            <v xml:space="preserve"> 266.5 ÷ 1.5</v>
          </cell>
          <cell r="J455" t="str">
            <v>44.5 ÷ 1.5</v>
          </cell>
          <cell r="X455" t="str">
            <v>=</v>
          </cell>
          <cell r="Y455">
            <v>207.3</v>
          </cell>
          <cell r="Z455">
            <v>208</v>
          </cell>
        </row>
        <row r="456">
          <cell r="A456" t="str">
            <v xml:space="preserve"> 클램프 54C</v>
          </cell>
          <cell r="B456" t="str">
            <v xml:space="preserve"> 클램프</v>
          </cell>
          <cell r="C456" t="str">
            <v xml:space="preserve"> 54C</v>
          </cell>
          <cell r="D456" t="str">
            <v>개</v>
          </cell>
          <cell r="J456" t="str">
            <v>82.5 ÷ 1.5</v>
          </cell>
          <cell r="X456" t="str">
            <v>=</v>
          </cell>
          <cell r="Y456">
            <v>55</v>
          </cell>
          <cell r="Z456">
            <v>55</v>
          </cell>
        </row>
        <row r="457">
          <cell r="A457" t="str">
            <v/>
          </cell>
        </row>
        <row r="458">
          <cell r="A458" t="str">
            <v xml:space="preserve"> CCTV수상기 콘솔 신설 C14-4형</v>
          </cell>
          <cell r="B458" t="str">
            <v xml:space="preserve"> CCTV수상기 콘솔 신설</v>
          </cell>
          <cell r="C458" t="str">
            <v xml:space="preserve"> C14-4형</v>
          </cell>
          <cell r="D458" t="str">
            <v>대</v>
          </cell>
          <cell r="G458">
            <v>1</v>
          </cell>
          <cell r="X458" t="str">
            <v>=</v>
          </cell>
          <cell r="Y458">
            <v>1</v>
          </cell>
          <cell r="Z458">
            <v>1</v>
          </cell>
        </row>
        <row r="459">
          <cell r="A459" t="str">
            <v xml:space="preserve"> CCTV수상기 신설 M20-2형</v>
          </cell>
          <cell r="B459" t="str">
            <v xml:space="preserve"> CCTV수상기 신설</v>
          </cell>
          <cell r="C459" t="str">
            <v xml:space="preserve"> M20-2형</v>
          </cell>
          <cell r="D459" t="str">
            <v>대</v>
          </cell>
          <cell r="E459">
            <v>2</v>
          </cell>
          <cell r="G459">
            <v>2</v>
          </cell>
          <cell r="X459" t="str">
            <v>=</v>
          </cell>
          <cell r="Y459">
            <v>4</v>
          </cell>
          <cell r="Z459">
            <v>4</v>
          </cell>
        </row>
        <row r="460">
          <cell r="A460" t="str">
            <v xml:space="preserve"> CCTV카메라 신설 CCD- 8</v>
          </cell>
          <cell r="B460" t="str">
            <v xml:space="preserve"> CCTV카메라 신설</v>
          </cell>
          <cell r="C460" t="str">
            <v xml:space="preserve"> CCD- 8</v>
          </cell>
          <cell r="D460" t="str">
            <v>대</v>
          </cell>
          <cell r="G460">
            <v>12</v>
          </cell>
          <cell r="X460" t="str">
            <v>=</v>
          </cell>
          <cell r="Y460">
            <v>12</v>
          </cell>
          <cell r="Z460">
            <v>12</v>
          </cell>
        </row>
        <row r="461">
          <cell r="A461" t="str">
            <v xml:space="preserve"> CCTV카메라 신설 CCD-16</v>
          </cell>
          <cell r="B461" t="str">
            <v xml:space="preserve"> CCTV카메라 신설</v>
          </cell>
          <cell r="C461" t="str">
            <v xml:space="preserve"> CCD-16</v>
          </cell>
          <cell r="D461" t="str">
            <v>대</v>
          </cell>
          <cell r="E461">
            <v>4</v>
          </cell>
          <cell r="G461">
            <v>8</v>
          </cell>
          <cell r="X461" t="str">
            <v>=</v>
          </cell>
          <cell r="Y461">
            <v>12</v>
          </cell>
          <cell r="Z461">
            <v>12</v>
          </cell>
        </row>
        <row r="462">
          <cell r="A462" t="str">
            <v xml:space="preserve"> 강관주 설치 150mmx4m</v>
          </cell>
          <cell r="B462" t="str">
            <v xml:space="preserve"> 강관주 설치</v>
          </cell>
          <cell r="C462" t="str">
            <v xml:space="preserve"> 150mmx4m</v>
          </cell>
          <cell r="D462" t="str">
            <v>본</v>
          </cell>
          <cell r="G462">
            <v>2</v>
          </cell>
          <cell r="X462" t="str">
            <v>=</v>
          </cell>
          <cell r="Y462">
            <v>2</v>
          </cell>
          <cell r="Z462">
            <v>2</v>
          </cell>
        </row>
        <row r="463">
          <cell r="A463" t="str">
            <v xml:space="preserve"> 강관주 설치 100mmx4m</v>
          </cell>
          <cell r="B463" t="str">
            <v xml:space="preserve"> 강관주 설치</v>
          </cell>
          <cell r="C463" t="str">
            <v xml:space="preserve"> 100mmx4m</v>
          </cell>
          <cell r="D463" t="str">
            <v>본</v>
          </cell>
          <cell r="G463">
            <v>2</v>
          </cell>
          <cell r="X463" t="str">
            <v>=</v>
          </cell>
          <cell r="Y463">
            <v>2</v>
          </cell>
          <cell r="Z463">
            <v>2</v>
          </cell>
        </row>
        <row r="465">
          <cell r="A465" t="str">
            <v xml:space="preserve"> VIDEO PHONE 설치 모장치</v>
          </cell>
          <cell r="B465" t="str">
            <v xml:space="preserve"> VIDEO PHONE 설치</v>
          </cell>
          <cell r="C465" t="str">
            <v xml:space="preserve"> 모장치</v>
          </cell>
          <cell r="D465" t="str">
            <v>대</v>
          </cell>
          <cell r="E465">
            <v>1</v>
          </cell>
          <cell r="X465" t="str">
            <v>=</v>
          </cell>
          <cell r="Y465">
            <v>1</v>
          </cell>
          <cell r="Z465">
            <v>1</v>
          </cell>
        </row>
        <row r="466">
          <cell r="A466" t="str">
            <v xml:space="preserve"> VIDEO PHONE 설치 자장치</v>
          </cell>
          <cell r="B466" t="str">
            <v xml:space="preserve"> VIDEO PHONE 설치</v>
          </cell>
          <cell r="C466" t="str">
            <v xml:space="preserve"> 자장치</v>
          </cell>
          <cell r="D466" t="str">
            <v>대</v>
          </cell>
          <cell r="E466">
            <v>8</v>
          </cell>
          <cell r="X466" t="str">
            <v>=</v>
          </cell>
          <cell r="Y466">
            <v>8</v>
          </cell>
          <cell r="Z466">
            <v>8</v>
          </cell>
        </row>
        <row r="467">
          <cell r="A467" t="str">
            <v/>
          </cell>
        </row>
        <row r="468">
          <cell r="A468" t="str">
            <v/>
          </cell>
        </row>
        <row r="485">
          <cell r="A485" t="str">
            <v xml:space="preserve"> 제어선 신설 CVV-S 24C/1.25㎟</v>
          </cell>
          <cell r="B485" t="str">
            <v xml:space="preserve"> 제어선 신설</v>
          </cell>
          <cell r="C485" t="str">
            <v xml:space="preserve"> CVV-S 24C/1.25㎟</v>
          </cell>
          <cell r="D485" t="str">
            <v>m</v>
          </cell>
          <cell r="E485" t="str">
            <v xml:space="preserve"> (1층) :   </v>
          </cell>
          <cell r="G485" t="str">
            <v xml:space="preserve">{0.5 × 6 + 11 + 5.5 + 0.3 + 5.6↓ + 5 + 6 + 0.3 + 5.6↓ + 5 + </v>
          </cell>
          <cell r="Z485">
            <v>1607.8000000000002</v>
          </cell>
        </row>
        <row r="486">
          <cell r="A486" t="str">
            <v/>
          </cell>
          <cell r="G486" t="str">
            <v>(20 + 0.5 + 12 + 0.5 + 8.6↓ + 0.5↓ + 19 + 1 + 19 + 1)× 2 +</v>
          </cell>
        </row>
        <row r="487">
          <cell r="A487" t="str">
            <v/>
          </cell>
          <cell r="G487" t="str">
            <v xml:space="preserve">(0.5↑+3.5↑ + 1 ) × 2 + (6 + 0.3 + 0.5↓ + 5)×2}×2 + (8.6↓ + </v>
          </cell>
        </row>
        <row r="488">
          <cell r="A488" t="str">
            <v/>
          </cell>
          <cell r="G488" t="str">
            <v>0.5↓)×2 + (17.5 + 1 + 17.5 + 1 + 17 + 1 + 17 + 1)×2 + (0.5↑+</v>
          </cell>
        </row>
        <row r="489">
          <cell r="A489" t="str">
            <v/>
          </cell>
          <cell r="G489" t="str">
            <v>3.5↑ + 1)×2 + (8 + 0.3 + 0.5↓)×2 + (8.6↓ + 0.5↓)×2 + (17.5+</v>
          </cell>
        </row>
        <row r="490">
          <cell r="A490" t="str">
            <v/>
          </cell>
          <cell r="G490" t="str">
            <v>1 + 17.5 + 1 + 22 + 1 + 22 + 1)×2 + (0.5↑ + 3.5↑ + 1) ×2 +</v>
          </cell>
        </row>
        <row r="491">
          <cell r="A491" t="str">
            <v/>
          </cell>
          <cell r="G491" t="str">
            <v>2 + (4 + 0.3 + 0.5↓)×2</v>
          </cell>
          <cell r="X491" t="str">
            <v>=</v>
          </cell>
          <cell r="Y491">
            <v>887.80000000000007</v>
          </cell>
        </row>
        <row r="492">
          <cell r="A492" t="str">
            <v/>
          </cell>
          <cell r="E492" t="str">
            <v xml:space="preserve"> (2층) :</v>
          </cell>
          <cell r="G492" t="str">
            <v xml:space="preserve">(15 + 4.5↑ + 3 + 0.5 + 19 + 0.5) ×12 +(6 + 0.5 + 11.5 + 0.5 + </v>
          </cell>
        </row>
        <row r="493">
          <cell r="A493" t="str">
            <v/>
          </cell>
          <cell r="G493" t="str">
            <v>7 + 0.5)×6 + (4.5↓×6)×2</v>
          </cell>
          <cell r="X493" t="str">
            <v>=</v>
          </cell>
          <cell r="Y493">
            <v>720</v>
          </cell>
        </row>
        <row r="494">
          <cell r="A494" t="str">
            <v/>
          </cell>
        </row>
        <row r="495">
          <cell r="A495" t="str">
            <v xml:space="preserve"> 전원선 신설 IV 5.5㎟</v>
          </cell>
          <cell r="B495" t="str">
            <v xml:space="preserve"> 전원선 신설</v>
          </cell>
          <cell r="C495" t="str">
            <v xml:space="preserve"> IV 5.5㎟</v>
          </cell>
          <cell r="D495" t="str">
            <v>m</v>
          </cell>
          <cell r="E495" t="str">
            <v xml:space="preserve"> (1층) : [</v>
          </cell>
          <cell r="G495" t="str">
            <v>{0.5 × 4 + (11 + 0.3 + 5.6↓+ 5)×2 + 20 + 0.5 + 12 + 0.5 + 8.6↓+</v>
          </cell>
          <cell r="Z495">
            <v>1758.8</v>
          </cell>
        </row>
        <row r="496">
          <cell r="A496" t="str">
            <v/>
          </cell>
          <cell r="G496" t="str">
            <v>0.5↓+ 19 + 1 + 19 + 1 + 0.5↑+ 3.5↑ + (1×2) + (6 + 0.3 + 0.5↓+</v>
          </cell>
        </row>
        <row r="497">
          <cell r="A497" t="str">
            <v/>
          </cell>
          <cell r="G497" t="str">
            <v xml:space="preserve">5)×2 + 6 + 0.3 + 0.5↓+ 5}×2 + (6 + 0.3 + 5.6↓ + 5)×2 + 8.6↓ + </v>
          </cell>
        </row>
        <row r="498">
          <cell r="A498" t="str">
            <v/>
          </cell>
          <cell r="G498" t="str">
            <v xml:space="preserve">0.5↓ + 17.5 + 1 + 17.5 + 1 + 17 + 1 + 17 + 1 + 0.5↑ + 3.6↑ + 1× </v>
          </cell>
        </row>
        <row r="499">
          <cell r="A499" t="str">
            <v/>
          </cell>
          <cell r="G499" t="str">
            <v xml:space="preserve">2 + (8 + 0.3 + 0.5↓+ 5)×2 + (8 + 0.3 + 0.5↓ + 5) + (6 + 0.3 + </v>
          </cell>
        </row>
        <row r="500">
          <cell r="A500" t="str">
            <v/>
          </cell>
          <cell r="G500" t="str">
            <v xml:space="preserve">5.6↓+ 5) + 8.6↓ + 0.5↓ + 17.5 + 1 + 17.5 + 22 + 1 + 22 + 1 + </v>
          </cell>
        </row>
        <row r="501">
          <cell r="A501" t="str">
            <v/>
          </cell>
          <cell r="G501" t="str">
            <v>0.5↑ + 3.5↑ + (4 + 0.3 + 0.5↓ + 5)×2 + (4 + 0.3 + 0.5↓)]×2</v>
          </cell>
          <cell r="X501" t="str">
            <v>=</v>
          </cell>
          <cell r="Y501">
            <v>1276.8</v>
          </cell>
        </row>
        <row r="502">
          <cell r="A502" t="str">
            <v/>
          </cell>
          <cell r="E502" t="str">
            <v xml:space="preserve"> (2층) : {</v>
          </cell>
          <cell r="G502" t="str">
            <v>(15 + 4.5↑ + 3 + 0.5 + 19 + 0.5)×4 + (7 + 0.5 + 11.5 + 0.5 + 7)×2 +</v>
          </cell>
        </row>
        <row r="503">
          <cell r="A503" t="str">
            <v/>
          </cell>
          <cell r="G503" t="str">
            <v>(4.5↓×2)×2}×2</v>
          </cell>
          <cell r="X503" t="str">
            <v>=</v>
          </cell>
          <cell r="Y503">
            <v>482</v>
          </cell>
        </row>
        <row r="504">
          <cell r="A504" t="str">
            <v/>
          </cell>
        </row>
        <row r="505">
          <cell r="A505" t="str">
            <v xml:space="preserve"> 후강전선관 신설 54C (천장노출)</v>
          </cell>
          <cell r="B505" t="str">
            <v xml:space="preserve"> 후강전선관 신설</v>
          </cell>
          <cell r="C505" t="str">
            <v xml:space="preserve"> 54C (천장노출)</v>
          </cell>
          <cell r="D505" t="str">
            <v>m</v>
          </cell>
          <cell r="E505" t="str">
            <v>(9+9)x2+17+7.5+12+8+16.5+7x2+2.5x2+3+27+32+(7+3)x2</v>
          </cell>
          <cell r="Z505">
            <v>457</v>
          </cell>
        </row>
        <row r="506">
          <cell r="E506" t="str">
            <v>30+30+(7+3)x2+(6.5+2.5)x2+5+27+32+(6+3)x2</v>
          </cell>
        </row>
        <row r="507">
          <cell r="E507" t="str">
            <v>30+30+(6+3.5)x2</v>
          </cell>
          <cell r="X507" t="str">
            <v>=</v>
          </cell>
          <cell r="Y507">
            <v>457</v>
          </cell>
        </row>
        <row r="508">
          <cell r="A508" t="str">
            <v xml:space="preserve"> 후강전선관 신설 54C (벽매입)</v>
          </cell>
          <cell r="B508" t="str">
            <v xml:space="preserve"> 후강전선관 신설</v>
          </cell>
          <cell r="C508" t="str">
            <v xml:space="preserve"> 54C (벽매입)</v>
          </cell>
          <cell r="D508" t="str">
            <v>m</v>
          </cell>
          <cell r="E508" t="str">
            <v>5.5x2+5.5+0.4+5.5+0.4</v>
          </cell>
          <cell r="X508" t="str">
            <v>=</v>
          </cell>
          <cell r="Y508">
            <v>22.8</v>
          </cell>
          <cell r="Z508">
            <v>22.8</v>
          </cell>
        </row>
        <row r="510">
          <cell r="A510" t="str">
            <v xml:space="preserve"> 노말밴드 54C</v>
          </cell>
          <cell r="B510" t="str">
            <v xml:space="preserve"> 노말밴드</v>
          </cell>
          <cell r="C510" t="str">
            <v xml:space="preserve"> 54C</v>
          </cell>
          <cell r="D510" t="str">
            <v>개</v>
          </cell>
          <cell r="E510">
            <v>24</v>
          </cell>
          <cell r="F510" t="str">
            <v>(1x2+1+1+1+1+2+2+2+4+4+4)</v>
          </cell>
          <cell r="X510" t="str">
            <v>=</v>
          </cell>
          <cell r="Y510">
            <v>24</v>
          </cell>
          <cell r="Z510">
            <v>24</v>
          </cell>
        </row>
        <row r="512">
          <cell r="A512" t="str">
            <v xml:space="preserve"> 클램프 54C</v>
          </cell>
          <cell r="B512" t="str">
            <v xml:space="preserve"> 클램프</v>
          </cell>
          <cell r="C512" t="str">
            <v xml:space="preserve"> 54C</v>
          </cell>
          <cell r="D512" t="str">
            <v>개</v>
          </cell>
          <cell r="E512" t="str">
            <v xml:space="preserve"> 457 ÷ 1.5</v>
          </cell>
          <cell r="X512" t="str">
            <v>=</v>
          </cell>
          <cell r="Y512">
            <v>304.7</v>
          </cell>
          <cell r="Z512">
            <v>304.7</v>
          </cell>
        </row>
        <row r="514">
          <cell r="A514" t="str">
            <v xml:space="preserve"> C형 찬넬 설치 60×30×10×2.3t</v>
          </cell>
          <cell r="B514" t="str">
            <v xml:space="preserve"> C형 찬넬 설치</v>
          </cell>
          <cell r="C514" t="str">
            <v xml:space="preserve"> 60×30×10×2.3t</v>
          </cell>
          <cell r="D514" t="str">
            <v>개</v>
          </cell>
          <cell r="E514" t="str">
            <v xml:space="preserve"> (457) ÷ 3 ÷ 1.5</v>
          </cell>
          <cell r="X514" t="str">
            <v>=</v>
          </cell>
          <cell r="Y514">
            <v>102</v>
          </cell>
          <cell r="Z514">
            <v>102</v>
          </cell>
        </row>
        <row r="515">
          <cell r="A515" t="str">
            <v/>
          </cell>
        </row>
        <row r="528">
          <cell r="A528" t="str">
            <v xml:space="preserve"> 전원선 신설 IV 5.5㎟</v>
          </cell>
          <cell r="B528" t="str">
            <v xml:space="preserve"> 전원선 신설</v>
          </cell>
          <cell r="C528" t="str">
            <v xml:space="preserve"> IV 5.5㎟</v>
          </cell>
          <cell r="D528" t="str">
            <v>m</v>
          </cell>
          <cell r="E528" t="str">
            <v xml:space="preserve"> [ 역무실 (SACU) → 매표실 (POM) ]</v>
          </cell>
          <cell r="Z528">
            <v>3943.1000000000004</v>
          </cell>
        </row>
        <row r="529">
          <cell r="F529" t="str">
            <v xml:space="preserve"> 5 + 15 + 11.5 + (0.3 + 1) x 2 + 0.5 + (0.3 + 1) x 2 + 0.5 + (0.3 + 1) x 2 + </v>
          </cell>
        </row>
        <row r="530">
          <cell r="A530" t="str">
            <v/>
          </cell>
          <cell r="E530" t="str">
            <v>가설역사 :</v>
          </cell>
          <cell r="F530" t="str">
            <v xml:space="preserve"> 0.3 + 0.3 + 1</v>
          </cell>
          <cell r="X530" t="str">
            <v>=</v>
          </cell>
          <cell r="Y530">
            <v>41.9</v>
          </cell>
        </row>
        <row r="531">
          <cell r="A531" t="str">
            <v/>
          </cell>
          <cell r="E531" t="str">
            <v xml:space="preserve"> [ 역무실 (SACU) → AGM ]</v>
          </cell>
        </row>
        <row r="532">
          <cell r="E532" t="str">
            <v>가설역사 :</v>
          </cell>
          <cell r="F532" t="str">
            <v xml:space="preserve"> 5 + 15 + 14.5 + (0.3 + 1) x 2 + 1 + (0.3 + 1) x 2 + 1 (0.3 + 1) x 2</v>
          </cell>
        </row>
        <row r="533">
          <cell r="F533" t="str">
            <v xml:space="preserve"> 1 + (0.3 + 1) x 2 + 1 + (0.3 + 1) x 2 + 1 (0.3 + 1) x 2 + 1 + (0.3 + 1) x 2</v>
          </cell>
        </row>
        <row r="534">
          <cell r="A534" t="str">
            <v/>
          </cell>
          <cell r="F534" t="str">
            <v xml:space="preserve"> 1 + (0.3 + 1) x 2 + 1 + (0.3 + 1) x 2 + 1 (0.3 + 1) x 2 + 1 + 0.3 + 1</v>
          </cell>
          <cell r="X534" t="str">
            <v>=</v>
          </cell>
          <cell r="Y534">
            <v>71.8</v>
          </cell>
        </row>
        <row r="535">
          <cell r="A535" t="str">
            <v/>
          </cell>
          <cell r="E535" t="str">
            <v xml:space="preserve"> [ 역무실 (SACU) → ATVM, 통신실, AGM ]</v>
          </cell>
        </row>
        <row r="536">
          <cell r="A536" t="str">
            <v/>
          </cell>
          <cell r="E536" t="str">
            <v>가설역사 :</v>
          </cell>
          <cell r="F536" t="str">
            <v>(5 + 15 + 3 + 4.5 + 0.5 + 28.5) x 2</v>
          </cell>
        </row>
        <row r="537">
          <cell r="F537" t="str">
            <v>ATVM : 0.5 + 12 + 0.5 + 3.5 + (1 + 1) x 2 + 1.5 + (1 + 1) x 2 + 1.5 + 1 + 1</v>
          </cell>
        </row>
        <row r="538">
          <cell r="F538" t="str">
            <v>AGM :  0.5 + 4.5 + (0.3 + 1) x 2 + 1 + (0.3 + 1) x 2 + 1 + (0.3 + 1) x</v>
          </cell>
        </row>
        <row r="539">
          <cell r="A539" t="str">
            <v/>
          </cell>
          <cell r="F539" t="str">
            <v xml:space="preserve">       2 + 1 + 0.3 + 1</v>
          </cell>
          <cell r="X539" t="str">
            <v>=</v>
          </cell>
          <cell r="Y539">
            <v>160.6</v>
          </cell>
        </row>
        <row r="540">
          <cell r="A540" t="str">
            <v/>
          </cell>
          <cell r="E540" t="str">
            <v xml:space="preserve"> [ 통신실 - 승강장 상, 하 ]</v>
          </cell>
        </row>
        <row r="541">
          <cell r="E541" t="str">
            <v xml:space="preserve"> (15+5.5+0.5+9+0.5+9+0.5)x24</v>
          </cell>
          <cell r="X541" t="str">
            <v>=</v>
          </cell>
          <cell r="Y541">
            <v>960</v>
          </cell>
        </row>
        <row r="542">
          <cell r="A542" t="str">
            <v/>
          </cell>
          <cell r="E542" t="str">
            <v>[ 승강장  상 ]</v>
          </cell>
        </row>
        <row r="543">
          <cell r="E543" t="str">
            <v xml:space="preserve"> (0.5+12+0.5+8+0.5+16.5+0.5+5.5)x12</v>
          </cell>
          <cell r="X543" t="str">
            <v>=</v>
          </cell>
          <cell r="Y543">
            <v>528</v>
          </cell>
        </row>
        <row r="544">
          <cell r="E544" t="str">
            <v xml:space="preserve"> (6.5+2.5+1.5)x4+(0.5+5+0.5+27+0.5+32+0.5)x8</v>
          </cell>
          <cell r="X544" t="str">
            <v>=</v>
          </cell>
          <cell r="Y544">
            <v>570</v>
          </cell>
        </row>
        <row r="545">
          <cell r="E545" t="str">
            <v xml:space="preserve"> (6+3+1.5)x4+(0.5+30+0.5+30+0.5+6+3.5+1.5)x4</v>
          </cell>
          <cell r="X545" t="str">
            <v>=</v>
          </cell>
          <cell r="Y545">
            <v>332</v>
          </cell>
        </row>
        <row r="546">
          <cell r="E546" t="str">
            <v>[ 승강장  하 ]</v>
          </cell>
        </row>
        <row r="547">
          <cell r="E547" t="str">
            <v xml:space="preserve"> (0.5+17+0.5+7.5+0.5+5.5+0.4+0.5)x12</v>
          </cell>
          <cell r="X547" t="str">
            <v>=</v>
          </cell>
          <cell r="Y547">
            <v>388.8</v>
          </cell>
        </row>
        <row r="548">
          <cell r="A548" t="str">
            <v/>
          </cell>
          <cell r="E548" t="str">
            <v xml:space="preserve"> (7+2.5+1.5)x4+(0.5+3+0.5+27+0.5+32)x8</v>
          </cell>
          <cell r="X548" t="str">
            <v>=</v>
          </cell>
          <cell r="Y548">
            <v>552</v>
          </cell>
        </row>
        <row r="549">
          <cell r="A549" t="str">
            <v/>
          </cell>
          <cell r="E549" t="str">
            <v xml:space="preserve"> (7+3+1.5)x4+(0.5+30+0.5+30+0.5+7+3+1.5)x4</v>
          </cell>
          <cell r="X549" t="str">
            <v>=</v>
          </cell>
          <cell r="Y549">
            <v>338</v>
          </cell>
        </row>
        <row r="550">
          <cell r="A550" t="str">
            <v xml:space="preserve"> 접지선 신설 IV 3.5㎟</v>
          </cell>
          <cell r="B550" t="str">
            <v xml:space="preserve"> 접지선 신설</v>
          </cell>
          <cell r="C550" t="str">
            <v xml:space="preserve"> IV 3.5㎟</v>
          </cell>
          <cell r="D550" t="str">
            <v>m</v>
          </cell>
          <cell r="E550" t="str">
            <v xml:space="preserve"> [ 매표소 (SACU) → 자동발매기 (POM) ]</v>
          </cell>
          <cell r="Z550">
            <v>222.5</v>
          </cell>
        </row>
        <row r="551">
          <cell r="A551" t="str">
            <v/>
          </cell>
          <cell r="E551" t="str">
            <v xml:space="preserve"> 15 + 4.5↑ + 0.5 + 11.5 + 0.5 + 4.5↓ + 14 + 0.8 + 0.5 + 3×2 + 1.2 + 0.5 + 3</v>
          </cell>
          <cell r="X551" t="str">
            <v>=</v>
          </cell>
          <cell r="Y551">
            <v>62.5</v>
          </cell>
        </row>
        <row r="552">
          <cell r="A552" t="str">
            <v/>
          </cell>
          <cell r="E552" t="str">
            <v xml:space="preserve"> [ 매표소 (SACU) → AGM ]</v>
          </cell>
        </row>
        <row r="553">
          <cell r="A553" t="str">
            <v/>
          </cell>
          <cell r="E553" t="str">
            <v xml:space="preserve"> 15 + 4.5↑ + 0.5 + 11.5 + 0.5 + 4.5↓ + 8.5 + 0.3 ×2 + 0.8 + 0.3 ×2 + 0.8 + </v>
          </cell>
        </row>
        <row r="554">
          <cell r="A554" t="str">
            <v/>
          </cell>
          <cell r="E554" t="str">
            <v xml:space="preserve"> 0.3 ×2 + 0.8 + 0.3 ×2 + 0.8 + 0.3 × 2 + 0.7 × 2 + 0.8 + 0.3 × 2 +  0.7 × 2 + </v>
          </cell>
        </row>
        <row r="555">
          <cell r="A555" t="str">
            <v/>
          </cell>
          <cell r="E555" t="str">
            <v xml:space="preserve"> 0.8 + 0.3 ×2 + 0.7 ×2 + 0.8 + 0.3 ×2 + 0.7×2 + 0.8 + 0.3 + 0.7</v>
          </cell>
          <cell r="X555" t="str">
            <v>=</v>
          </cell>
          <cell r="Y555">
            <v>62.799999999999983</v>
          </cell>
        </row>
        <row r="556">
          <cell r="A556" t="str">
            <v/>
          </cell>
          <cell r="E556" t="str">
            <v xml:space="preserve"> [ 매표소 (SACU) → 자동발매기 (POM) ]</v>
          </cell>
        </row>
        <row r="557">
          <cell r="A557" t="str">
            <v/>
          </cell>
          <cell r="E557" t="str">
            <v xml:space="preserve"> 15 + 4.5↑ + 0.5 + 11.5 + 0.5 + 4.5↓ + 10 + 0.8 + 0.5 + 3×2 + 1.2 + 0.5 + 3×</v>
          </cell>
        </row>
        <row r="558">
          <cell r="A558" t="str">
            <v/>
          </cell>
          <cell r="E558" t="str">
            <v xml:space="preserve"> 2 + 1.2 + 0.5 + 3</v>
          </cell>
          <cell r="X558" t="str">
            <v>=</v>
          </cell>
          <cell r="Y558">
            <v>66.2</v>
          </cell>
        </row>
        <row r="559">
          <cell r="A559" t="str">
            <v/>
          </cell>
          <cell r="E559" t="str">
            <v xml:space="preserve"> [ 매표소 (SACU) → 매표실 (TOM) ]</v>
          </cell>
        </row>
        <row r="560">
          <cell r="A560" t="str">
            <v/>
          </cell>
          <cell r="E560" t="str">
            <v xml:space="preserve"> 15 + 5.5 + 3×2 + 1 + 3 + 0.5</v>
          </cell>
          <cell r="X560" t="str">
            <v>=</v>
          </cell>
          <cell r="Y560">
            <v>31</v>
          </cell>
        </row>
        <row r="561">
          <cell r="A561" t="str">
            <v/>
          </cell>
        </row>
        <row r="562">
          <cell r="A562" t="str">
            <v xml:space="preserve"> 접지선 신설 GV 5.5㎟</v>
          </cell>
          <cell r="B562" t="str">
            <v xml:space="preserve"> 접지선 신설</v>
          </cell>
          <cell r="C562" t="str">
            <v xml:space="preserve"> GV 5.5㎟</v>
          </cell>
          <cell r="D562" t="str">
            <v>m</v>
          </cell>
          <cell r="E562" t="str">
            <v xml:space="preserve"> [ 역무실 (SACU) → 매표실 (POM) ]</v>
          </cell>
          <cell r="Z562">
            <v>486.69999999999993</v>
          </cell>
        </row>
        <row r="563">
          <cell r="E563" t="str">
            <v>가설역사 :</v>
          </cell>
          <cell r="F563" t="str">
            <v>5 + 15 + 11.5 + (0.3 + 1) x 2 + 0.5 + (0.3 + 1) x 2 + 0.5 + (0.3 + 1) x 2 +</v>
          </cell>
        </row>
        <row r="564">
          <cell r="A564" t="str">
            <v/>
          </cell>
          <cell r="F564" t="str">
            <v>0.3 + 0.3 + 1</v>
          </cell>
          <cell r="X564" t="str">
            <v>=</v>
          </cell>
          <cell r="Y564">
            <v>41.9</v>
          </cell>
        </row>
        <row r="565">
          <cell r="A565" t="str">
            <v/>
          </cell>
          <cell r="E565" t="str">
            <v xml:space="preserve"> [ 역무실 (SACU) → AGM ]</v>
          </cell>
        </row>
        <row r="566">
          <cell r="A566" t="str">
            <v/>
          </cell>
          <cell r="E566" t="str">
            <v>가설역사 :</v>
          </cell>
          <cell r="F566" t="str">
            <v>5 + 15 + 14.5 + (0.3 + 1) x 2 + 1 + (0.3 + 1) x 2 + 1 + (0.3 + 1) x 2</v>
          </cell>
        </row>
        <row r="567">
          <cell r="A567" t="str">
            <v/>
          </cell>
          <cell r="F567" t="str">
            <v>1+(0.3 + 1) x 2 + 1 +(0.3 + 1) x 2 + 1 (0.3 + 1) x 2 + 1 + (0.3 + 1) x 2</v>
          </cell>
        </row>
        <row r="568">
          <cell r="A568" t="str">
            <v/>
          </cell>
          <cell r="F568" t="str">
            <v>1+(0.3 + 1) x 2 + 1 +(0.3 + 1) x 2 + 1 (0.3 + 1) x 2 + 1 + 0.3 + 1</v>
          </cell>
          <cell r="X568" t="str">
            <v>=</v>
          </cell>
          <cell r="Y568">
            <v>71.8</v>
          </cell>
        </row>
        <row r="569">
          <cell r="A569" t="str">
            <v/>
          </cell>
          <cell r="E569" t="str">
            <v xml:space="preserve"> [ 역무실 (SACU) → ATVM, 통신실, AGM ]</v>
          </cell>
        </row>
        <row r="570">
          <cell r="A570" t="str">
            <v/>
          </cell>
          <cell r="E570" t="str">
            <v>가설역사 :</v>
          </cell>
          <cell r="F570" t="str">
            <v>(5 + 15 + 3 + 4.5 + 0.5 + 28.5 + 0.5) x 2</v>
          </cell>
        </row>
        <row r="571">
          <cell r="F571" t="str">
            <v>ATVM</v>
          </cell>
          <cell r="G571" t="str">
            <v>0.5 + 12 + 0.5 + 3.5 + (1+1) x 2 + 1.5 + (1+1) x 2 + 1.5 + 1 + 1</v>
          </cell>
        </row>
        <row r="572">
          <cell r="F572" t="str">
            <v>AGM</v>
          </cell>
          <cell r="G572" t="str">
            <v>0.5 + 4.5 + (0.3 + 1) x 2 + 1 + ( 0.3 + 1) x 2 + 1 + (0.3 + 1) x 2 + 1 +</v>
          </cell>
        </row>
        <row r="573">
          <cell r="A573" t="str">
            <v/>
          </cell>
          <cell r="G573" t="str">
            <v>0.3 + 1</v>
          </cell>
          <cell r="X573" t="str">
            <v>=</v>
          </cell>
          <cell r="Y573">
            <v>160.6</v>
          </cell>
        </row>
        <row r="574">
          <cell r="A574" t="str">
            <v/>
          </cell>
          <cell r="E574" t="str">
            <v xml:space="preserve"> [ 전산실 SACU - TOM ]</v>
          </cell>
        </row>
        <row r="575">
          <cell r="A575" t="str">
            <v/>
          </cell>
          <cell r="E575" t="str">
            <v xml:space="preserve"> 15+5+(0.3+1)x2+1.5+(0.3+1)x2+1.5+(0.3+1)x2+1.5+0.3+1</v>
          </cell>
          <cell r="X575" t="str">
            <v>=</v>
          </cell>
          <cell r="Y575">
            <v>33.6</v>
          </cell>
        </row>
        <row r="576">
          <cell r="E576" t="str">
            <v xml:space="preserve"> [ 전산실 SACU - POM, AGM ]</v>
          </cell>
        </row>
        <row r="577">
          <cell r="E577" t="str">
            <v xml:space="preserve"> 15+7+5.5+0.5+26+0.5+6+5.5</v>
          </cell>
          <cell r="X577" t="str">
            <v>=</v>
          </cell>
          <cell r="Y577">
            <v>66</v>
          </cell>
        </row>
        <row r="578">
          <cell r="E578" t="str">
            <v xml:space="preserve"> AGM 상</v>
          </cell>
          <cell r="F578" t="str">
            <v>1.5+((0.3+1)x2+1)x4+0.3+1</v>
          </cell>
          <cell r="X578" t="str">
            <v>=</v>
          </cell>
          <cell r="Y578">
            <v>17.2</v>
          </cell>
        </row>
        <row r="579">
          <cell r="E579" t="str">
            <v xml:space="preserve"> POM 상</v>
          </cell>
          <cell r="F579" t="str">
            <v>1+0.3+1.5+0.5+4+(0.3+1)x2+1+(0.3+1)x2+1+0.3+1</v>
          </cell>
          <cell r="X579" t="str">
            <v>=</v>
          </cell>
          <cell r="Y579">
            <v>15.8</v>
          </cell>
        </row>
        <row r="580">
          <cell r="E580" t="str">
            <v xml:space="preserve"> POM 하</v>
          </cell>
          <cell r="F580" t="str">
            <v>15+5+(0.3+1)x2+1+0.3+1</v>
          </cell>
          <cell r="X580" t="str">
            <v>=</v>
          </cell>
          <cell r="Y580">
            <v>24.9</v>
          </cell>
        </row>
        <row r="581">
          <cell r="E581" t="str">
            <v xml:space="preserve"> AGM 하</v>
          </cell>
          <cell r="F581" t="str">
            <v>15+10+((0.3)x2)x11+0.3+1</v>
          </cell>
          <cell r="X581" t="str">
            <v>=</v>
          </cell>
          <cell r="Y581">
            <v>54.9</v>
          </cell>
        </row>
        <row r="583">
          <cell r="A583" t="str">
            <v xml:space="preserve"> 인터폰선 신설 SH 5P</v>
          </cell>
          <cell r="B583" t="str">
            <v xml:space="preserve"> 인터폰선 신설</v>
          </cell>
          <cell r="C583" t="str">
            <v xml:space="preserve"> SH 5P</v>
          </cell>
          <cell r="D583" t="str">
            <v>m</v>
          </cell>
          <cell r="E583" t="str">
            <v xml:space="preserve"> [ 매표소 (SACU) → 자동발매기 (POM) ]</v>
          </cell>
          <cell r="Z583">
            <v>190.9</v>
          </cell>
        </row>
        <row r="584">
          <cell r="E584" t="str">
            <v>가설역사 :</v>
          </cell>
          <cell r="F584" t="str">
            <v>5 + 15 + 3 + 4.5 + 0.5 + 28.5 + 0.5 + 12 + 0.5 + 3.5 + (1 + 1) x 2</v>
          </cell>
        </row>
        <row r="585">
          <cell r="A585" t="str">
            <v/>
          </cell>
          <cell r="F585" t="str">
            <v>1.5 +(1 + 1) x 2 + 1.5 + 1 + 1</v>
          </cell>
          <cell r="X585" t="str">
            <v>=</v>
          </cell>
          <cell r="Y585">
            <v>86</v>
          </cell>
        </row>
        <row r="586">
          <cell r="E586" t="str">
            <v>[ 매포소 - POM ]</v>
          </cell>
        </row>
        <row r="587">
          <cell r="E587" t="str">
            <v>하</v>
          </cell>
          <cell r="F587" t="str">
            <v>15+3+(0.3+1)x2+1+0.3+1</v>
          </cell>
        </row>
        <row r="588">
          <cell r="E588" t="str">
            <v>상</v>
          </cell>
          <cell r="F588" t="str">
            <v>15+10+5.5+0.5+26+0.5+6+0.5+5.5+4+(0.3+1)x2+1+(0.3+1)x2+1+0.3+1</v>
          </cell>
          <cell r="X588" t="str">
            <v>=</v>
          </cell>
          <cell r="Y588">
            <v>104.9</v>
          </cell>
        </row>
        <row r="589">
          <cell r="A589" t="str">
            <v/>
          </cell>
        </row>
        <row r="590">
          <cell r="A590" t="str">
            <v xml:space="preserve"> 후강전선관 신설 16C (천장노출)</v>
          </cell>
          <cell r="B590" t="str">
            <v xml:space="preserve"> 후강전선관 신설</v>
          </cell>
          <cell r="C590" t="str">
            <v xml:space="preserve"> 16C (천장노출)</v>
          </cell>
          <cell r="D590" t="str">
            <v>m</v>
          </cell>
          <cell r="E590" t="str">
            <v>가설역사 :</v>
          </cell>
          <cell r="F590" t="str">
            <v>28.5 + 12</v>
          </cell>
          <cell r="X590" t="str">
            <v>=</v>
          </cell>
          <cell r="Y590">
            <v>40.5</v>
          </cell>
          <cell r="Z590">
            <v>113.5</v>
          </cell>
        </row>
        <row r="591">
          <cell r="E591" t="str">
            <v>1+1+4+6+26+2.5x2+3x2+3.5x2+2.5x2+3x2+3x2</v>
          </cell>
          <cell r="X591" t="str">
            <v>=</v>
          </cell>
          <cell r="Y591">
            <v>73</v>
          </cell>
        </row>
        <row r="592">
          <cell r="A592" t="str">
            <v xml:space="preserve"> 후강전선관 신설 16C (벽매입)</v>
          </cell>
          <cell r="B592" t="str">
            <v xml:space="preserve"> 후강전선관 신설</v>
          </cell>
          <cell r="C592" t="str">
            <v xml:space="preserve"> 16C (벽매입)</v>
          </cell>
          <cell r="D592" t="str">
            <v>m</v>
          </cell>
          <cell r="E592" t="str">
            <v>가설역사 :</v>
          </cell>
          <cell r="F592" t="str">
            <v>4.5 + 3.5 + 4.5</v>
          </cell>
          <cell r="X592" t="str">
            <v>=</v>
          </cell>
          <cell r="Y592">
            <v>12.5</v>
          </cell>
          <cell r="Z592">
            <v>23.5</v>
          </cell>
        </row>
        <row r="593">
          <cell r="E593" t="str">
            <v>5.5+5.5</v>
          </cell>
          <cell r="X593" t="str">
            <v>=</v>
          </cell>
          <cell r="Y593">
            <v>11</v>
          </cell>
        </row>
        <row r="594">
          <cell r="A594" t="str">
            <v xml:space="preserve"> 후강전선관 신설 16C (매입)</v>
          </cell>
          <cell r="B594" t="str">
            <v xml:space="preserve"> 후강전선관 신설</v>
          </cell>
          <cell r="C594" t="str">
            <v xml:space="preserve"> 16C (매입)</v>
          </cell>
          <cell r="D594" t="str">
            <v>m</v>
          </cell>
          <cell r="E594" t="str">
            <v>가설역사 :</v>
          </cell>
          <cell r="F594" t="str">
            <v>3 + 11.5 + 1 x 3 + 14.5 + 1 x 10 + 1 x 3</v>
          </cell>
          <cell r="X594" t="str">
            <v>=</v>
          </cell>
          <cell r="Y594">
            <v>45</v>
          </cell>
          <cell r="Z594">
            <v>67.5</v>
          </cell>
        </row>
        <row r="595">
          <cell r="E595" t="str">
            <v>7+5+1.5x3+5+1</v>
          </cell>
          <cell r="X595" t="str">
            <v>=</v>
          </cell>
          <cell r="Y595">
            <v>22.5</v>
          </cell>
        </row>
        <row r="597">
          <cell r="A597" t="str">
            <v xml:space="preserve"> 후강전선관 신설 22C (천장노출)</v>
          </cell>
          <cell r="B597" t="str">
            <v xml:space="preserve"> 후강전선관 신설</v>
          </cell>
          <cell r="C597" t="str">
            <v xml:space="preserve"> 22C (천장노출)</v>
          </cell>
          <cell r="D597" t="str">
            <v>m</v>
          </cell>
          <cell r="E597" t="str">
            <v>(9+9)x4+(17+7.5)x2+(12+8+16.5)x2+6.5+(5+27+32)x2+6+30+30+6+7+(3+27+32)x2+7+30+30+7</v>
          </cell>
          <cell r="X597" t="str">
            <v>=</v>
          </cell>
          <cell r="Y597">
            <v>605.5</v>
          </cell>
          <cell r="Z597">
            <v>605.5</v>
          </cell>
        </row>
        <row r="598">
          <cell r="A598" t="str">
            <v xml:space="preserve"> 후강전선관 신설 22C (벽매입)</v>
          </cell>
          <cell r="B598" t="str">
            <v xml:space="preserve"> 후강전선관 신설</v>
          </cell>
          <cell r="C598" t="str">
            <v xml:space="preserve"> 22C (벽매입)</v>
          </cell>
          <cell r="D598" t="str">
            <v>m</v>
          </cell>
          <cell r="E598" t="str">
            <v>5.5x4+(5.5+0.4)x2+(5.5+0.4)x2</v>
          </cell>
          <cell r="X598" t="str">
            <v>=</v>
          </cell>
          <cell r="Y598">
            <v>45.6</v>
          </cell>
          <cell r="Z598">
            <v>45.6</v>
          </cell>
        </row>
        <row r="599">
          <cell r="A599" t="str">
            <v xml:space="preserve"> 후강전선관 신설 28C (천장노출)</v>
          </cell>
          <cell r="B599" t="str">
            <v xml:space="preserve"> 후강전선관 신설</v>
          </cell>
          <cell r="C599" t="str">
            <v xml:space="preserve"> 28C (천장노출)</v>
          </cell>
          <cell r="D599" t="str">
            <v>m</v>
          </cell>
          <cell r="E599" t="str">
            <v>가설역사 :</v>
          </cell>
          <cell r="F599" t="str">
            <v>28.5 x 6 + 7 x 2 + 2.5 + 12 x 4</v>
          </cell>
          <cell r="X599" t="str">
            <v>=</v>
          </cell>
          <cell r="Y599">
            <v>235.5</v>
          </cell>
          <cell r="Z599">
            <v>313.5</v>
          </cell>
        </row>
        <row r="600">
          <cell r="E600" t="str">
            <v>(6+26)x2+4+10</v>
          </cell>
          <cell r="X600" t="str">
            <v>=</v>
          </cell>
          <cell r="Y600">
            <v>78</v>
          </cell>
        </row>
        <row r="601">
          <cell r="A601" t="str">
            <v xml:space="preserve"> 후강전선관 신설 28C (벽매입)</v>
          </cell>
          <cell r="B601" t="str">
            <v xml:space="preserve"> 후강전선관 신설</v>
          </cell>
          <cell r="C601" t="str">
            <v xml:space="preserve"> 28C (벽매입)</v>
          </cell>
          <cell r="D601" t="str">
            <v>m</v>
          </cell>
          <cell r="E601" t="str">
            <v>가설역사 :</v>
          </cell>
          <cell r="F601" t="str">
            <v>4.5 x 6 + (1.5 x 2) x 4 + 4.5 x 3 + (1 x 3) x 3 + 4 x 2 + 3.5 x 4</v>
          </cell>
          <cell r="X601" t="str">
            <v>=</v>
          </cell>
          <cell r="Y601">
            <v>83.5</v>
          </cell>
          <cell r="Z601">
            <v>144</v>
          </cell>
        </row>
        <row r="602">
          <cell r="E602" t="str">
            <v>5.5x3+5.5x4+5.5+5.5x3</v>
          </cell>
          <cell r="X602" t="str">
            <v>=</v>
          </cell>
          <cell r="Y602">
            <v>60.5</v>
          </cell>
        </row>
        <row r="603">
          <cell r="A603" t="str">
            <v xml:space="preserve"> 후강전선관 신설 28C (매입)</v>
          </cell>
          <cell r="B603" t="str">
            <v xml:space="preserve"> 후강전선관 신설</v>
          </cell>
          <cell r="C603" t="str">
            <v xml:space="preserve"> 28C (매입)</v>
          </cell>
          <cell r="D603" t="str">
            <v>m</v>
          </cell>
          <cell r="E603" t="str">
            <v>가설역사 :</v>
          </cell>
          <cell r="F603" t="str">
            <v>(11.5 + 1 x 3) x 3 + (14.5 + 1 x 10) x 3 + 3 x 6</v>
          </cell>
          <cell r="X603" t="str">
            <v>=</v>
          </cell>
          <cell r="Y603">
            <v>135</v>
          </cell>
          <cell r="Z603">
            <v>321.5</v>
          </cell>
        </row>
        <row r="604">
          <cell r="E604" t="str">
            <v>(1+1+4)x3+(4+1.5)x4+3+7+(5+1)x4+(5+1.5x3)x3+(10+11)x4</v>
          </cell>
          <cell r="X604" t="str">
            <v>=</v>
          </cell>
          <cell r="Y604">
            <v>186.5</v>
          </cell>
        </row>
        <row r="605">
          <cell r="A605" t="str">
            <v xml:space="preserve"> 후강전선관 신설 36C (천장노출)</v>
          </cell>
          <cell r="B605" t="str">
            <v xml:space="preserve"> 후강전선관 신설</v>
          </cell>
          <cell r="C605" t="str">
            <v xml:space="preserve"> 36C (천장노출)</v>
          </cell>
          <cell r="D605" t="str">
            <v>m</v>
          </cell>
          <cell r="E605" t="str">
            <v>(6+26)x2+(5+10+9+17+7.5)x2</v>
          </cell>
          <cell r="X605" t="str">
            <v>=</v>
          </cell>
          <cell r="Y605">
            <v>161</v>
          </cell>
          <cell r="Z605">
            <v>161</v>
          </cell>
        </row>
        <row r="606">
          <cell r="A606" t="str">
            <v xml:space="preserve"> 후강전선관 신설 36C (벽매입)</v>
          </cell>
          <cell r="B606" t="str">
            <v xml:space="preserve"> 후강전선관 신설</v>
          </cell>
          <cell r="C606" t="str">
            <v xml:space="preserve"> 36C (벽매입)</v>
          </cell>
          <cell r="D606" t="str">
            <v>m</v>
          </cell>
          <cell r="E606" t="str">
            <v>5.5x2+5.5x2+(5.5+0.4+7+1.5)x2</v>
          </cell>
          <cell r="X606" t="str">
            <v>=</v>
          </cell>
          <cell r="Y606">
            <v>50.8</v>
          </cell>
          <cell r="Z606">
            <v>50.8</v>
          </cell>
        </row>
        <row r="607">
          <cell r="A607" t="str">
            <v xml:space="preserve"> 후강전선관 신설 36C (매입)</v>
          </cell>
          <cell r="B607" t="str">
            <v xml:space="preserve"> 후강전선관 신설</v>
          </cell>
          <cell r="C607" t="str">
            <v xml:space="preserve"> 36C (매입)</v>
          </cell>
          <cell r="D607" t="str">
            <v>m</v>
          </cell>
          <cell r="E607" t="str">
            <v>7x2+11x2</v>
          </cell>
          <cell r="X607" t="str">
            <v>=</v>
          </cell>
          <cell r="Y607">
            <v>36</v>
          </cell>
          <cell r="Z607">
            <v>36</v>
          </cell>
        </row>
        <row r="608">
          <cell r="A608" t="str">
            <v/>
          </cell>
        </row>
        <row r="609">
          <cell r="A609" t="str">
            <v xml:space="preserve"> 노말밴드 28C</v>
          </cell>
          <cell r="B609" t="str">
            <v xml:space="preserve"> 노말밴드</v>
          </cell>
          <cell r="C609" t="str">
            <v xml:space="preserve"> 28C</v>
          </cell>
          <cell r="D609" t="str">
            <v>개</v>
          </cell>
          <cell r="E609" t="str">
            <v>가설역사 :</v>
          </cell>
          <cell r="F609" t="str">
            <v>3 x 3 + 3 x 6 + 2 x 3 + 1 x 2 + 1 x 4 + 1 x 3</v>
          </cell>
          <cell r="X609" t="str">
            <v>=</v>
          </cell>
          <cell r="Y609">
            <v>42</v>
          </cell>
          <cell r="Z609">
            <v>71</v>
          </cell>
        </row>
        <row r="610">
          <cell r="F610" t="str">
            <v>3 x 3 + 4 + 4 + 2 + 3 + 3 + 1 x 3 + 1 x 4</v>
          </cell>
          <cell r="X610" t="str">
            <v>=</v>
          </cell>
          <cell r="Y610">
            <v>29</v>
          </cell>
        </row>
        <row r="611">
          <cell r="A611" t="str">
            <v xml:space="preserve"> 노말밴드 36C</v>
          </cell>
          <cell r="B611" t="str">
            <v xml:space="preserve"> 노말밴드</v>
          </cell>
          <cell r="C611" t="str">
            <v xml:space="preserve"> 36C</v>
          </cell>
          <cell r="D611" t="str">
            <v>개</v>
          </cell>
          <cell r="E611">
            <v>4</v>
          </cell>
          <cell r="X611" t="str">
            <v>=</v>
          </cell>
          <cell r="Y611">
            <v>4</v>
          </cell>
          <cell r="Z611">
            <v>4</v>
          </cell>
        </row>
        <row r="613">
          <cell r="A613" t="str">
            <v xml:space="preserve"> C형 찬넬 설치 60×30×10×2.3t</v>
          </cell>
          <cell r="B613" t="str">
            <v xml:space="preserve"> C형 찬넬 설치</v>
          </cell>
          <cell r="C613" t="str">
            <v xml:space="preserve"> 60×30×10×2.3t</v>
          </cell>
          <cell r="D613" t="str">
            <v>개</v>
          </cell>
          <cell r="E613" t="str">
            <v>가설역사 :</v>
          </cell>
          <cell r="F613" t="str">
            <v xml:space="preserve"> (40.5 + 235.5) ÷ 3 ÷ 1.5</v>
          </cell>
          <cell r="X613" t="str">
            <v>=</v>
          </cell>
          <cell r="Y613">
            <v>61.3</v>
          </cell>
          <cell r="Z613">
            <v>367</v>
          </cell>
        </row>
        <row r="614">
          <cell r="F614" t="str">
            <v xml:space="preserve"> (73+605.5+78+161+457) ÷ 3 ÷ 1.5</v>
          </cell>
          <cell r="X614" t="str">
            <v>=</v>
          </cell>
          <cell r="Y614">
            <v>305.39999999999998</v>
          </cell>
        </row>
        <row r="615">
          <cell r="A615" t="str">
            <v/>
          </cell>
        </row>
        <row r="616">
          <cell r="A616" t="str">
            <v xml:space="preserve"> 클램프 16C</v>
          </cell>
          <cell r="B616" t="str">
            <v xml:space="preserve"> 클램프</v>
          </cell>
          <cell r="C616" t="str">
            <v xml:space="preserve"> 16C</v>
          </cell>
          <cell r="D616" t="str">
            <v>개</v>
          </cell>
          <cell r="E616" t="str">
            <v>가설역사 :</v>
          </cell>
          <cell r="F616" t="str">
            <v xml:space="preserve"> 40.5 ÷ 1.5</v>
          </cell>
          <cell r="J616" t="str">
            <v xml:space="preserve"> 73 ÷ 1.5</v>
          </cell>
          <cell r="X616" t="str">
            <v>=</v>
          </cell>
          <cell r="Y616">
            <v>75.7</v>
          </cell>
          <cell r="Z616">
            <v>75.7</v>
          </cell>
        </row>
        <row r="617">
          <cell r="A617" t="str">
            <v xml:space="preserve"> 클램프 22C</v>
          </cell>
          <cell r="B617" t="str">
            <v xml:space="preserve"> 클램프</v>
          </cell>
          <cell r="C617" t="str">
            <v xml:space="preserve"> 22C</v>
          </cell>
          <cell r="D617" t="str">
            <v>개</v>
          </cell>
          <cell r="J617" t="str">
            <v xml:space="preserve"> 605.5 ÷ 1.5</v>
          </cell>
          <cell r="X617" t="str">
            <v>=</v>
          </cell>
          <cell r="Y617">
            <v>403.7</v>
          </cell>
          <cell r="Z617">
            <v>403.7</v>
          </cell>
        </row>
        <row r="618">
          <cell r="A618" t="str">
            <v xml:space="preserve"> 클램프 28C</v>
          </cell>
          <cell r="B618" t="str">
            <v xml:space="preserve"> 클램프</v>
          </cell>
          <cell r="C618" t="str">
            <v xml:space="preserve"> 28C</v>
          </cell>
          <cell r="D618" t="str">
            <v>개</v>
          </cell>
          <cell r="E618" t="str">
            <v>가설역사 :</v>
          </cell>
          <cell r="F618" t="str">
            <v xml:space="preserve"> 235.5 ÷ 1.5</v>
          </cell>
          <cell r="J618" t="str">
            <v xml:space="preserve"> 78 ÷ 1.5</v>
          </cell>
          <cell r="X618" t="str">
            <v>=</v>
          </cell>
          <cell r="Y618">
            <v>209</v>
          </cell>
          <cell r="Z618">
            <v>209</v>
          </cell>
        </row>
        <row r="619">
          <cell r="A619" t="str">
            <v xml:space="preserve"> 클램프 36C</v>
          </cell>
          <cell r="B619" t="str">
            <v xml:space="preserve"> 클램프</v>
          </cell>
          <cell r="C619" t="str">
            <v xml:space="preserve"> 36C</v>
          </cell>
          <cell r="D619" t="str">
            <v>개</v>
          </cell>
          <cell r="J619" t="str">
            <v xml:space="preserve"> 161 ÷ 1.5</v>
          </cell>
          <cell r="X619" t="str">
            <v>=</v>
          </cell>
          <cell r="Y619">
            <v>107.3</v>
          </cell>
          <cell r="Z619">
            <v>107.3</v>
          </cell>
        </row>
        <row r="620">
          <cell r="A620" t="str">
            <v/>
          </cell>
        </row>
        <row r="621">
          <cell r="A621" t="str">
            <v xml:space="preserve"> 노줄박스 설치 400×200×100</v>
          </cell>
          <cell r="B621" t="str">
            <v xml:space="preserve"> 노줄박스 설치</v>
          </cell>
          <cell r="C621" t="str">
            <v xml:space="preserve"> 400×200×100</v>
          </cell>
          <cell r="D621" t="str">
            <v>개</v>
          </cell>
          <cell r="E621" t="str">
            <v>가설역사 :</v>
          </cell>
          <cell r="F621">
            <v>22</v>
          </cell>
          <cell r="J621">
            <v>26</v>
          </cell>
          <cell r="X621" t="str">
            <v>=</v>
          </cell>
          <cell r="Y621">
            <v>48</v>
          </cell>
          <cell r="Z621">
            <v>48</v>
          </cell>
        </row>
        <row r="622">
          <cell r="A622" t="str">
            <v/>
          </cell>
        </row>
        <row r="623">
          <cell r="A623" t="str">
            <v xml:space="preserve"> 풀박스 설치 100×100×100</v>
          </cell>
          <cell r="B623" t="str">
            <v xml:space="preserve"> 풀박스 설치</v>
          </cell>
          <cell r="C623" t="str">
            <v xml:space="preserve"> 100×100×100</v>
          </cell>
          <cell r="D623" t="str">
            <v>개</v>
          </cell>
          <cell r="J623">
            <v>2</v>
          </cell>
          <cell r="X623" t="str">
            <v>=</v>
          </cell>
          <cell r="Y623">
            <v>2</v>
          </cell>
          <cell r="Z623">
            <v>2</v>
          </cell>
        </row>
        <row r="624">
          <cell r="A624" t="str">
            <v xml:space="preserve"> 풀박스 설치 400×400×200</v>
          </cell>
          <cell r="B624" t="str">
            <v xml:space="preserve"> 풀박스 설치</v>
          </cell>
          <cell r="C624" t="str">
            <v xml:space="preserve"> 400×400×200</v>
          </cell>
          <cell r="D624" t="str">
            <v>개</v>
          </cell>
          <cell r="E624" t="str">
            <v>가설역사 :</v>
          </cell>
          <cell r="F624">
            <v>1</v>
          </cell>
          <cell r="J624">
            <v>3</v>
          </cell>
          <cell r="X624" t="str">
            <v>=</v>
          </cell>
          <cell r="Y624">
            <v>4</v>
          </cell>
          <cell r="Z624">
            <v>4</v>
          </cell>
        </row>
        <row r="625">
          <cell r="A625" t="str">
            <v xml:space="preserve"> 풀박스 설치 500×500×300</v>
          </cell>
          <cell r="B625" t="str">
            <v xml:space="preserve"> 풀박스 설치</v>
          </cell>
          <cell r="C625" t="str">
            <v xml:space="preserve"> 500×500×300</v>
          </cell>
          <cell r="D625" t="str">
            <v>개</v>
          </cell>
          <cell r="E625" t="str">
            <v>가설역사 :</v>
          </cell>
          <cell r="F625">
            <v>2</v>
          </cell>
          <cell r="X625" t="str">
            <v>=</v>
          </cell>
          <cell r="Y625">
            <v>2</v>
          </cell>
          <cell r="Z625">
            <v>2</v>
          </cell>
        </row>
        <row r="626">
          <cell r="A626" t="str">
            <v xml:space="preserve"> 풀박스 설치 200×200×200(매입)</v>
          </cell>
          <cell r="B626" t="str">
            <v xml:space="preserve"> 풀박스 설치</v>
          </cell>
          <cell r="C626" t="str">
            <v xml:space="preserve"> 200×200×200(매입)</v>
          </cell>
          <cell r="D626" t="str">
            <v>개</v>
          </cell>
          <cell r="E626" t="str">
            <v>가설역사 :</v>
          </cell>
          <cell r="F626">
            <v>1</v>
          </cell>
          <cell r="X626" t="str">
            <v>=</v>
          </cell>
          <cell r="Y626">
            <v>1</v>
          </cell>
          <cell r="Z626">
            <v>1</v>
          </cell>
        </row>
        <row r="632">
          <cell r="A632" t="str">
            <v xml:space="preserve"> 전선 신설 HIV 1.2mm</v>
          </cell>
          <cell r="B632" t="str">
            <v xml:space="preserve"> 전선 신설</v>
          </cell>
          <cell r="C632" t="str">
            <v xml:space="preserve"> HIV 1.2mm</v>
          </cell>
          <cell r="D632" t="str">
            <v>m</v>
          </cell>
          <cell r="E632" t="str">
            <v>[역무실 → 소화전]</v>
          </cell>
          <cell r="Z632">
            <v>2219.4999999999995</v>
          </cell>
        </row>
        <row r="633">
          <cell r="A633" t="str">
            <v/>
          </cell>
          <cell r="E633" t="str">
            <v>(15+1.5+4↑+1.5+0.5)x9+(0.5+16.5+2.5↓+1.5)x15</v>
          </cell>
          <cell r="Y633">
            <v>517.5</v>
          </cell>
        </row>
        <row r="634">
          <cell r="A634" t="str">
            <v/>
          </cell>
          <cell r="E634" t="str">
            <v>(0.5+17+0.5)x7+(0.5+25+0.5+1.5+2.5↓+1.5)x12</v>
          </cell>
          <cell r="Y634">
            <v>504</v>
          </cell>
        </row>
        <row r="635">
          <cell r="A635" t="str">
            <v/>
          </cell>
          <cell r="E635" t="str">
            <v>(0.5+11.5+2.5↓+1.5)x5</v>
          </cell>
          <cell r="Y635">
            <v>80</v>
          </cell>
        </row>
        <row r="636">
          <cell r="A636" t="str">
            <v/>
          </cell>
          <cell r="E636" t="str">
            <v>[소화전 → 감지기]</v>
          </cell>
        </row>
        <row r="637">
          <cell r="A637" t="str">
            <v/>
          </cell>
          <cell r="E637" t="str">
            <v>(1.5+2.5↑+13.5+0.3+6.5+0.3+5+0.3+5+0.3+6+0.3)x4</v>
          </cell>
          <cell r="Y637">
            <v>166</v>
          </cell>
        </row>
        <row r="638">
          <cell r="A638" t="str">
            <v/>
          </cell>
          <cell r="E638" t="str">
            <v>(3+0.3+3.5)x4</v>
          </cell>
          <cell r="Y638">
            <v>27.2</v>
          </cell>
        </row>
        <row r="639">
          <cell r="A639" t="str">
            <v/>
          </cell>
          <cell r="E639" t="str">
            <v>(1.5+2.5↑+11+0.3)x4+(0.3+9+0.3+8+0.3+13.5+0.3)x2</v>
          </cell>
          <cell r="Y639">
            <v>124.6</v>
          </cell>
        </row>
        <row r="640">
          <cell r="A640" t="str">
            <v/>
          </cell>
          <cell r="E640" t="str">
            <v>(8.5+0.3+9+0.3+13.5+0.3)x2</v>
          </cell>
          <cell r="Y640">
            <v>63.8</v>
          </cell>
        </row>
        <row r="641">
          <cell r="A641" t="str">
            <v/>
          </cell>
          <cell r="E641" t="str">
            <v>(1.5+2.5↑+10+0.3+11+0.3+11.5+0.3)x4</v>
          </cell>
          <cell r="Y641">
            <v>149.6</v>
          </cell>
        </row>
        <row r="642">
          <cell r="A642" t="str">
            <v/>
          </cell>
          <cell r="E642" t="str">
            <v>(1.5+2.5↑+20+0.3+5+0.3+5+0.3+5+0.3+4+0.3)x4</v>
          </cell>
          <cell r="Y642">
            <v>178</v>
          </cell>
        </row>
        <row r="643">
          <cell r="A643" t="str">
            <v/>
          </cell>
          <cell r="E643" t="str">
            <v>(1.5+2.5↑+10.5+0.3+7+0.3+7.5+0.3)x4</v>
          </cell>
          <cell r="Y643">
            <v>119.6</v>
          </cell>
        </row>
        <row r="644">
          <cell r="A644" t="str">
            <v/>
          </cell>
          <cell r="E644" t="str">
            <v>(1.5+2.5↑+3.5+0.3+8.5+0.3)x8+(0.3+2.5)x4</v>
          </cell>
          <cell r="Y644">
            <v>144</v>
          </cell>
        </row>
        <row r="645">
          <cell r="A645" t="str">
            <v/>
          </cell>
          <cell r="E645" t="str">
            <v>(0.3+8.5+0.3+9+0.3)x4+(0.3+8+0.3+9+0.3)x4</v>
          </cell>
          <cell r="Y645">
            <v>145.19999999999999</v>
          </cell>
        </row>
        <row r="646">
          <cell r="A646" t="str">
            <v/>
          </cell>
        </row>
        <row r="647">
          <cell r="A647" t="str">
            <v xml:space="preserve"> 전선 신설 HIV 1.6mm</v>
          </cell>
          <cell r="B647" t="str">
            <v xml:space="preserve"> 전선 신설</v>
          </cell>
          <cell r="C647" t="str">
            <v xml:space="preserve"> HIV 1.6mm</v>
          </cell>
          <cell r="D647" t="str">
            <v>m</v>
          </cell>
          <cell r="E647" t="str">
            <v>(15+1.5+4+1.5+0.5)x5+(0.5+16.5+2.5+1.5)x8</v>
          </cell>
          <cell r="Z647">
            <v>668.5</v>
          </cell>
        </row>
        <row r="648">
          <cell r="A648" t="str">
            <v/>
          </cell>
          <cell r="E648" t="str">
            <v>(0.5+17+0.5)x4+(0.5+25+0.5+1.5+2.5+1.5)x8</v>
          </cell>
        </row>
        <row r="649">
          <cell r="A649" t="str">
            <v/>
          </cell>
          <cell r="E649" t="str">
            <v>(0.5+11.5+2.5+1.5)x4</v>
          </cell>
          <cell r="X649" t="str">
            <v>=</v>
          </cell>
          <cell r="Y649">
            <v>668.5</v>
          </cell>
        </row>
        <row r="650">
          <cell r="A650" t="str">
            <v/>
          </cell>
        </row>
        <row r="651">
          <cell r="A651" t="str">
            <v xml:space="preserve"> 전선 신설 HIV 2.0mm</v>
          </cell>
          <cell r="B651" t="str">
            <v xml:space="preserve"> 전선 신설</v>
          </cell>
          <cell r="C651" t="str">
            <v xml:space="preserve"> HIV 2.0mm</v>
          </cell>
          <cell r="D651" t="str">
            <v>m</v>
          </cell>
          <cell r="E651" t="str">
            <v>(15+1.5+4+1.5+0.5)x2+(0.5+16.5+2.5+1.5)x4</v>
          </cell>
          <cell r="Z651">
            <v>323</v>
          </cell>
        </row>
        <row r="652">
          <cell r="A652" t="str">
            <v/>
          </cell>
          <cell r="E652" t="str">
            <v>(0.5+17+0.5)x2+(0.5+25+0.5+1.5+2.5+1.5)x4</v>
          </cell>
        </row>
        <row r="653">
          <cell r="A653" t="str">
            <v/>
          </cell>
          <cell r="E653" t="str">
            <v>(0.5+11.5+2.5+1.5)x2</v>
          </cell>
          <cell r="X653" t="str">
            <v>=</v>
          </cell>
          <cell r="Y653">
            <v>323</v>
          </cell>
        </row>
        <row r="654">
          <cell r="A654" t="str">
            <v xml:space="preserve"> 제어선 신설 CVV-SB 2C/1.25㎟</v>
          </cell>
          <cell r="B654" t="str">
            <v xml:space="preserve"> 제어선 신설</v>
          </cell>
          <cell r="C654" t="str">
            <v xml:space="preserve"> CVV-SB 2C/1.25㎟</v>
          </cell>
          <cell r="D654" t="str">
            <v>m</v>
          </cell>
          <cell r="E654">
            <v>20</v>
          </cell>
          <cell r="X654" t="str">
            <v>=</v>
          </cell>
          <cell r="Y654">
            <v>20</v>
          </cell>
          <cell r="Z654">
            <v>20</v>
          </cell>
        </row>
        <row r="655">
          <cell r="A655" t="str">
            <v/>
          </cell>
        </row>
        <row r="656">
          <cell r="A656" t="str">
            <v xml:space="preserve"> 후강전선관 신설 16C (천장노출)</v>
          </cell>
          <cell r="B656" t="str">
            <v xml:space="preserve"> 후강전선관 신설</v>
          </cell>
          <cell r="C656" t="str">
            <v xml:space="preserve"> 16C (천장노출)</v>
          </cell>
          <cell r="D656" t="str">
            <v>m</v>
          </cell>
          <cell r="E656" t="str">
            <v>(1.5x2)+16.5x2+17x3+25x2+11.5x3</v>
          </cell>
          <cell r="Z656">
            <v>424.5</v>
          </cell>
        </row>
        <row r="657">
          <cell r="A657" t="str">
            <v/>
          </cell>
          <cell r="E657" t="str">
            <v>13.5+6.5+5+5+6+3+3.5+11+13.5+9+8.5+13.5+8</v>
          </cell>
        </row>
        <row r="658">
          <cell r="A658" t="str">
            <v/>
          </cell>
          <cell r="E658" t="str">
            <v>3.5+9+8.5+8+3.5+9</v>
          </cell>
          <cell r="X658" t="str">
            <v>=</v>
          </cell>
          <cell r="Y658">
            <v>424.5</v>
          </cell>
        </row>
        <row r="659">
          <cell r="A659" t="str">
            <v/>
          </cell>
        </row>
        <row r="660">
          <cell r="A660" t="str">
            <v xml:space="preserve"> 후강전선관 신설 16C (벽매입)</v>
          </cell>
          <cell r="B660" t="str">
            <v xml:space="preserve"> 후강전선관 신설</v>
          </cell>
          <cell r="C660" t="str">
            <v xml:space="preserve"> 16C (벽매입)</v>
          </cell>
          <cell r="D660" t="str">
            <v>m</v>
          </cell>
          <cell r="E660" t="str">
            <v>2.5x2+2.5x2+2.5x2+2.5x4+2.5x5</v>
          </cell>
          <cell r="X660" t="str">
            <v>=</v>
          </cell>
          <cell r="Y660">
            <v>37.5</v>
          </cell>
          <cell r="Z660">
            <v>37.5</v>
          </cell>
        </row>
        <row r="662">
          <cell r="A662" t="str">
            <v xml:space="preserve"> 후강전선관 신설 22C (천장노출)</v>
          </cell>
          <cell r="B662" t="str">
            <v xml:space="preserve"> 후강전선관 신설</v>
          </cell>
          <cell r="C662" t="str">
            <v xml:space="preserve"> 22C (천장노출)</v>
          </cell>
          <cell r="D662" t="str">
            <v>m</v>
          </cell>
          <cell r="E662" t="str">
            <v xml:space="preserve"> 1.5 + 16.5 + 25</v>
          </cell>
          <cell r="X662" t="str">
            <v>=</v>
          </cell>
          <cell r="Y662">
            <v>43</v>
          </cell>
          <cell r="Z662">
            <v>43</v>
          </cell>
        </row>
        <row r="663">
          <cell r="A663" t="str">
            <v xml:space="preserve"> 후강전선관 신설 22C (벽매입)</v>
          </cell>
          <cell r="B663" t="str">
            <v xml:space="preserve"> 후강전선관 신설</v>
          </cell>
          <cell r="C663" t="str">
            <v xml:space="preserve"> 22C (벽매입)</v>
          </cell>
          <cell r="D663" t="str">
            <v>m</v>
          </cell>
          <cell r="E663" t="str">
            <v xml:space="preserve"> 2.5 + 2.5 + 2.5</v>
          </cell>
          <cell r="X663" t="str">
            <v>=</v>
          </cell>
          <cell r="Y663">
            <v>7.5</v>
          </cell>
          <cell r="Z663">
            <v>7.5</v>
          </cell>
        </row>
        <row r="664">
          <cell r="A664" t="str">
            <v/>
          </cell>
        </row>
        <row r="665">
          <cell r="A665" t="str">
            <v xml:space="preserve"> 후렉시블전선관 신설 16C (천장노출)</v>
          </cell>
          <cell r="B665" t="str">
            <v xml:space="preserve"> 후렉시블전선관 신설</v>
          </cell>
          <cell r="C665" t="str">
            <v xml:space="preserve"> 16C (천장노출)</v>
          </cell>
          <cell r="D665" t="str">
            <v>m</v>
          </cell>
          <cell r="E665" t="str">
            <v xml:space="preserve"> 31 × 3</v>
          </cell>
          <cell r="X665" t="str">
            <v>=</v>
          </cell>
          <cell r="Y665">
            <v>93</v>
          </cell>
          <cell r="Z665">
            <v>93</v>
          </cell>
        </row>
        <row r="666">
          <cell r="A666" t="str">
            <v/>
          </cell>
        </row>
        <row r="667">
          <cell r="A667" t="str">
            <v xml:space="preserve"> 풀박스 설치 200×200×100</v>
          </cell>
          <cell r="B667" t="str">
            <v xml:space="preserve"> 풀박스 설치</v>
          </cell>
          <cell r="C667" t="str">
            <v xml:space="preserve"> 200×200×100</v>
          </cell>
          <cell r="D667" t="str">
            <v>개</v>
          </cell>
          <cell r="E667">
            <v>3</v>
          </cell>
          <cell r="X667" t="str">
            <v>=</v>
          </cell>
          <cell r="Y667">
            <v>3</v>
          </cell>
          <cell r="Z667">
            <v>3</v>
          </cell>
        </row>
        <row r="668">
          <cell r="A668" t="str">
            <v/>
          </cell>
        </row>
        <row r="669">
          <cell r="A669" t="str">
            <v xml:space="preserve"> OUTLET BOX 설치 중형 4각 54mm</v>
          </cell>
          <cell r="B669" t="str">
            <v xml:space="preserve"> OUTLET BOX 설치</v>
          </cell>
          <cell r="C669" t="str">
            <v xml:space="preserve"> 중형 4각 54mm</v>
          </cell>
          <cell r="D669" t="str">
            <v>개</v>
          </cell>
          <cell r="E669">
            <v>34</v>
          </cell>
          <cell r="X669" t="str">
            <v>=</v>
          </cell>
          <cell r="Y669">
            <v>34</v>
          </cell>
          <cell r="Z669">
            <v>34</v>
          </cell>
        </row>
        <row r="671">
          <cell r="A671" t="str">
            <v xml:space="preserve"> C형 찬넬 설치 60×30×10×2.3t</v>
          </cell>
          <cell r="B671" t="str">
            <v xml:space="preserve"> C형 찬넬 설치</v>
          </cell>
          <cell r="C671" t="str">
            <v xml:space="preserve"> 60×30×10×2.3t</v>
          </cell>
          <cell r="D671" t="str">
            <v>개</v>
          </cell>
          <cell r="E671" t="str">
            <v xml:space="preserve"> (424.5 + 43) ÷ 3 ÷ 1.5 </v>
          </cell>
          <cell r="X671" t="str">
            <v>=</v>
          </cell>
          <cell r="Y671">
            <v>104</v>
          </cell>
          <cell r="Z671">
            <v>104</v>
          </cell>
        </row>
        <row r="673">
          <cell r="A673" t="str">
            <v xml:space="preserve"> 클램프 16C</v>
          </cell>
          <cell r="B673" t="str">
            <v xml:space="preserve"> 클램프</v>
          </cell>
          <cell r="C673" t="str">
            <v xml:space="preserve"> 16C</v>
          </cell>
          <cell r="D673" t="str">
            <v>개</v>
          </cell>
          <cell r="E673" t="str">
            <v xml:space="preserve"> 557 ÷ 1.5 </v>
          </cell>
          <cell r="I673" t="str">
            <v>424.5 ÷ 1.5</v>
          </cell>
          <cell r="X673" t="str">
            <v>=</v>
          </cell>
          <cell r="Y673">
            <v>655</v>
          </cell>
          <cell r="Z673">
            <v>655</v>
          </cell>
        </row>
        <row r="674">
          <cell r="A674" t="str">
            <v xml:space="preserve"> 클램프 22C</v>
          </cell>
          <cell r="B674" t="str">
            <v xml:space="preserve"> 클램프</v>
          </cell>
          <cell r="C674" t="str">
            <v xml:space="preserve"> 22C</v>
          </cell>
          <cell r="D674" t="str">
            <v>개</v>
          </cell>
          <cell r="E674" t="str">
            <v xml:space="preserve"> 93 ÷ 1.5 </v>
          </cell>
          <cell r="I674" t="str">
            <v>43 ÷ 1.5</v>
          </cell>
          <cell r="X674" t="str">
            <v>=</v>
          </cell>
          <cell r="Y674">
            <v>91</v>
          </cell>
          <cell r="Z674">
            <v>91</v>
          </cell>
        </row>
        <row r="675">
          <cell r="A675" t="str">
            <v/>
          </cell>
        </row>
        <row r="676">
          <cell r="A676" t="str">
            <v xml:space="preserve"> 수신기 설치 P형 1급 (10회로)</v>
          </cell>
          <cell r="B676" t="str">
            <v xml:space="preserve"> 수신기 설치</v>
          </cell>
          <cell r="C676" t="str">
            <v xml:space="preserve"> P형 1급 (10회로)</v>
          </cell>
          <cell r="D676" t="str">
            <v>Set</v>
          </cell>
          <cell r="E676">
            <v>1</v>
          </cell>
          <cell r="X676" t="str">
            <v>=</v>
          </cell>
          <cell r="Y676">
            <v>1</v>
          </cell>
          <cell r="Z676">
            <v>1</v>
          </cell>
        </row>
        <row r="677">
          <cell r="A677" t="str">
            <v/>
          </cell>
          <cell r="Z677">
            <v>0</v>
          </cell>
        </row>
        <row r="678">
          <cell r="A678" t="str">
            <v xml:space="preserve"> 수동 발신기 설치 소화전 내장</v>
          </cell>
          <cell r="B678" t="str">
            <v xml:space="preserve"> 수동 발신기 설치</v>
          </cell>
          <cell r="C678" t="str">
            <v xml:space="preserve"> 소화전 내장</v>
          </cell>
          <cell r="D678" t="str">
            <v>Set</v>
          </cell>
          <cell r="E678">
            <v>4</v>
          </cell>
          <cell r="X678" t="str">
            <v>=</v>
          </cell>
          <cell r="Y678">
            <v>4</v>
          </cell>
          <cell r="Z678">
            <v>4</v>
          </cell>
        </row>
        <row r="679">
          <cell r="A679" t="str">
            <v/>
          </cell>
        </row>
        <row r="680">
          <cell r="A680" t="str">
            <v xml:space="preserve"> 감지기 설치 정온식</v>
          </cell>
          <cell r="B680" t="str">
            <v xml:space="preserve"> 감지기 설치</v>
          </cell>
          <cell r="C680" t="str">
            <v xml:space="preserve"> 정온식</v>
          </cell>
          <cell r="D680" t="str">
            <v>개</v>
          </cell>
          <cell r="E680">
            <v>1</v>
          </cell>
          <cell r="X680" t="str">
            <v>=</v>
          </cell>
          <cell r="Y680">
            <v>1</v>
          </cell>
          <cell r="Z680">
            <v>1</v>
          </cell>
        </row>
        <row r="681">
          <cell r="A681" t="str">
            <v xml:space="preserve"> 감지기 설치 차동식</v>
          </cell>
          <cell r="B681" t="str">
            <v xml:space="preserve"> 감지기 설치</v>
          </cell>
          <cell r="C681" t="str">
            <v xml:space="preserve"> 차동식</v>
          </cell>
          <cell r="D681" t="str">
            <v>개</v>
          </cell>
          <cell r="E681">
            <v>32</v>
          </cell>
          <cell r="X681" t="str">
            <v>=</v>
          </cell>
          <cell r="Y681">
            <v>32</v>
          </cell>
          <cell r="Z681">
            <v>32</v>
          </cell>
        </row>
        <row r="682">
          <cell r="A682" t="str">
            <v xml:space="preserve"> 감지기 설치 연기식</v>
          </cell>
          <cell r="B682" t="str">
            <v xml:space="preserve"> 감지기 설치</v>
          </cell>
          <cell r="C682" t="str">
            <v xml:space="preserve"> 연기식</v>
          </cell>
          <cell r="D682" t="str">
            <v>개</v>
          </cell>
          <cell r="E682">
            <v>1</v>
          </cell>
          <cell r="X682" t="str">
            <v>=</v>
          </cell>
          <cell r="Y682">
            <v>1</v>
          </cell>
          <cell r="Z682">
            <v>1</v>
          </cell>
        </row>
        <row r="683">
          <cell r="A683" t="str">
            <v/>
          </cell>
        </row>
        <row r="684">
          <cell r="A684" t="str">
            <v/>
          </cell>
        </row>
        <row r="695">
          <cell r="A695" t="str">
            <v/>
          </cell>
        </row>
        <row r="696">
          <cell r="A696" t="str">
            <v/>
          </cell>
        </row>
        <row r="697">
          <cell r="A697" t="str">
            <v/>
          </cell>
        </row>
        <row r="698">
          <cell r="A698" t="str">
            <v/>
          </cell>
        </row>
        <row r="699">
          <cell r="A699" t="str">
            <v/>
          </cell>
        </row>
      </sheetData>
      <sheetData sheetId="3"/>
      <sheetData sheetId="4"/>
      <sheetData sheetId="5"/>
      <sheetData sheetId="6"/>
      <sheetData sheetId="7"/>
      <sheetData sheetId="8"/>
      <sheetData sheetId="9"/>
      <sheetData sheetId="10"/>
      <sheetData sheetId="11"/>
      <sheetData sheetId="12"/>
      <sheetData sheetId="13" refreshError="1">
        <row r="3">
          <cell r="B3" t="str">
            <v>공   사   종   류</v>
          </cell>
          <cell r="D3" t="str">
            <v>규             격</v>
          </cell>
          <cell r="E3" t="str">
            <v>단위</v>
          </cell>
          <cell r="F3" t="str">
            <v>수 량</v>
          </cell>
          <cell r="G3" t="str">
            <v>단    가</v>
          </cell>
          <cell r="H3" t="str">
            <v>금    액</v>
          </cell>
          <cell r="I3" t="str">
            <v>기          사</v>
          </cell>
        </row>
        <row r="4">
          <cell r="B4">
            <v>1</v>
          </cell>
          <cell r="C4" t="str">
            <v xml:space="preserve"> 지중도체 신설</v>
          </cell>
          <cell r="D4" t="str">
            <v xml:space="preserve">  3Ω (100Ω,m)</v>
          </cell>
          <cell r="E4" t="str">
            <v>개소</v>
          </cell>
          <cell r="F4">
            <v>1</v>
          </cell>
        </row>
        <row r="5">
          <cell r="C5" t="str">
            <v>가, 재료비</v>
          </cell>
        </row>
        <row r="6">
          <cell r="A6" t="str">
            <v xml:space="preserve"> 접지봉  16D×1800㎜</v>
          </cell>
          <cell r="C6" t="str">
            <v xml:space="preserve"> 접지봉 </v>
          </cell>
          <cell r="D6" t="str">
            <v xml:space="preserve"> 16D×1800㎜</v>
          </cell>
          <cell r="E6" t="str">
            <v>본</v>
          </cell>
          <cell r="F6">
            <v>16</v>
          </cell>
          <cell r="G6">
            <v>3960</v>
          </cell>
          <cell r="H6">
            <v>63360</v>
          </cell>
          <cell r="I6">
            <v>0</v>
          </cell>
        </row>
        <row r="7">
          <cell r="A7" t="str">
            <v xml:space="preserve"> 접지봉콘넥터 Φ16</v>
          </cell>
          <cell r="C7" t="str">
            <v xml:space="preserve"> 접지봉콘넥터</v>
          </cell>
          <cell r="D7" t="str">
            <v xml:space="preserve"> Φ16</v>
          </cell>
          <cell r="E7" t="str">
            <v>개</v>
          </cell>
          <cell r="F7">
            <v>16</v>
          </cell>
          <cell r="G7">
            <v>700</v>
          </cell>
          <cell r="H7">
            <v>11200</v>
          </cell>
          <cell r="I7">
            <v>0</v>
          </cell>
        </row>
        <row r="8">
          <cell r="A8" t="str">
            <v xml:space="preserve"> 접지슬리브  100-60, 38㎜</v>
          </cell>
          <cell r="C8" t="str">
            <v xml:space="preserve"> 접지슬리브 </v>
          </cell>
          <cell r="D8" t="str">
            <v xml:space="preserve"> 100-60, 38㎜</v>
          </cell>
          <cell r="E8" t="str">
            <v>개</v>
          </cell>
          <cell r="F8">
            <v>17</v>
          </cell>
          <cell r="G8">
            <v>2000</v>
          </cell>
          <cell r="H8">
            <v>34000</v>
          </cell>
          <cell r="I8">
            <v>0</v>
          </cell>
        </row>
        <row r="9">
          <cell r="A9" t="str">
            <v xml:space="preserve"> 접지봉리드선   GV 38㎟</v>
          </cell>
          <cell r="C9" t="str">
            <v xml:space="preserve"> 접지봉리드선  </v>
          </cell>
          <cell r="D9" t="str">
            <v xml:space="preserve"> GV 38㎟</v>
          </cell>
          <cell r="E9" t="str">
            <v>m</v>
          </cell>
          <cell r="F9">
            <v>5.2</v>
          </cell>
          <cell r="G9">
            <v>2211</v>
          </cell>
          <cell r="H9">
            <v>11497</v>
          </cell>
          <cell r="I9">
            <v>0.1</v>
          </cell>
        </row>
        <row r="10">
          <cell r="A10" t="str">
            <v xml:space="preserve"> 접지용전선   GV 22㎟</v>
          </cell>
          <cell r="C10" t="str">
            <v xml:space="preserve"> 접지용전선  </v>
          </cell>
          <cell r="D10" t="str">
            <v xml:space="preserve"> GV 22㎟</v>
          </cell>
          <cell r="E10" t="str">
            <v>m</v>
          </cell>
          <cell r="F10">
            <v>33</v>
          </cell>
          <cell r="G10">
            <v>1468</v>
          </cell>
          <cell r="H10">
            <v>48444</v>
          </cell>
          <cell r="I10">
            <v>0.1</v>
          </cell>
        </row>
        <row r="11">
          <cell r="A11" t="str">
            <v xml:space="preserve"> 연동연선   AS 50㎟</v>
          </cell>
          <cell r="C11" t="str">
            <v xml:space="preserve"> 연동연선  </v>
          </cell>
          <cell r="D11" t="str">
            <v xml:space="preserve"> AS 50㎟</v>
          </cell>
          <cell r="E11" t="str">
            <v>m</v>
          </cell>
          <cell r="F11">
            <v>30</v>
          </cell>
          <cell r="G11">
            <v>2400</v>
          </cell>
          <cell r="H11">
            <v>72000</v>
          </cell>
          <cell r="I11">
            <v>0</v>
          </cell>
        </row>
        <row r="12">
          <cell r="A12" t="str">
            <v xml:space="preserve"> 동터미널 22㎟ 용</v>
          </cell>
          <cell r="C12" t="str">
            <v xml:space="preserve"> 동터미널</v>
          </cell>
          <cell r="D12" t="str">
            <v xml:space="preserve"> 22㎟ 용</v>
          </cell>
          <cell r="E12" t="str">
            <v>개</v>
          </cell>
          <cell r="F12">
            <v>1</v>
          </cell>
          <cell r="G12">
            <v>455</v>
          </cell>
          <cell r="H12">
            <v>455</v>
          </cell>
          <cell r="I12">
            <v>0</v>
          </cell>
        </row>
        <row r="13">
          <cell r="A13" t="str">
            <v xml:space="preserve"> 콘크리트표주 접지표당청규격</v>
          </cell>
          <cell r="C13" t="str">
            <v xml:space="preserve"> 콘크리트표주</v>
          </cell>
          <cell r="D13" t="str">
            <v xml:space="preserve"> 접지표당청규격</v>
          </cell>
          <cell r="E13" t="str">
            <v>개</v>
          </cell>
          <cell r="F13">
            <v>1</v>
          </cell>
          <cell r="G13">
            <v>10000</v>
          </cell>
          <cell r="H13">
            <v>10000</v>
          </cell>
          <cell r="I13">
            <v>0</v>
          </cell>
        </row>
        <row r="14">
          <cell r="B14" t="str">
            <v>소         계</v>
          </cell>
          <cell r="H14">
            <v>250956</v>
          </cell>
          <cell r="I14" t="str">
            <v>ⓐ</v>
          </cell>
        </row>
        <row r="15">
          <cell r="C15" t="str">
            <v>나, 노무비</v>
          </cell>
        </row>
        <row r="16">
          <cell r="A16" t="str">
            <v>1 통신외선공</v>
          </cell>
          <cell r="C16" t="str">
            <v xml:space="preserve"> 통신외선공</v>
          </cell>
          <cell r="E16" t="str">
            <v>인</v>
          </cell>
          <cell r="F16">
            <v>2.7600000000000002</v>
          </cell>
          <cell r="G16">
            <v>77946</v>
          </cell>
          <cell r="H16">
            <v>215130</v>
          </cell>
          <cell r="I16" t="str">
            <v>접지봉매설,통신 3-39</v>
          </cell>
        </row>
        <row r="17">
          <cell r="A17" t="str">
            <v>1 보통인부</v>
          </cell>
          <cell r="C17" t="str">
            <v xml:space="preserve"> 보통인부</v>
          </cell>
          <cell r="E17" t="str">
            <v>인</v>
          </cell>
          <cell r="F17">
            <v>4.5999999999999996</v>
          </cell>
          <cell r="G17">
            <v>34098</v>
          </cell>
          <cell r="H17">
            <v>156850</v>
          </cell>
          <cell r="I17" t="str">
            <v>접지봉매설,통신 3-39</v>
          </cell>
        </row>
        <row r="18">
          <cell r="B18" t="str">
            <v>소         계</v>
          </cell>
          <cell r="H18">
            <v>371980</v>
          </cell>
          <cell r="I18" t="str">
            <v>ⓑ</v>
          </cell>
        </row>
        <row r="19">
          <cell r="C19" t="str">
            <v>다, 기계경비</v>
          </cell>
        </row>
        <row r="20">
          <cell r="C20" t="str">
            <v xml:space="preserve"> 통신외선공</v>
          </cell>
          <cell r="E20" t="str">
            <v>인</v>
          </cell>
          <cell r="F20">
            <v>0.08</v>
          </cell>
          <cell r="G20">
            <v>77946</v>
          </cell>
          <cell r="H20">
            <v>6235.6</v>
          </cell>
        </row>
        <row r="21">
          <cell r="B21" t="str">
            <v>소         계</v>
          </cell>
          <cell r="H21">
            <v>6235</v>
          </cell>
          <cell r="I21" t="str">
            <v>ⓒ</v>
          </cell>
        </row>
        <row r="22">
          <cell r="A22" t="str">
            <v>1재   료   비</v>
          </cell>
          <cell r="B22" t="str">
            <v>재   료   비</v>
          </cell>
          <cell r="D22" t="str">
            <v>ⓐ</v>
          </cell>
          <cell r="H22">
            <v>250956</v>
          </cell>
        </row>
        <row r="23">
          <cell r="A23" t="str">
            <v>1노   무   비</v>
          </cell>
          <cell r="B23" t="str">
            <v>노   무   비</v>
          </cell>
          <cell r="D23" t="str">
            <v>ⓑ</v>
          </cell>
          <cell r="H23">
            <v>371980</v>
          </cell>
        </row>
        <row r="24">
          <cell r="A24" t="str">
            <v>1경        비</v>
          </cell>
          <cell r="B24" t="str">
            <v>경        비</v>
          </cell>
          <cell r="D24" t="str">
            <v>ⓒ</v>
          </cell>
          <cell r="H24">
            <v>6235</v>
          </cell>
        </row>
        <row r="25">
          <cell r="B25" t="str">
            <v>계</v>
          </cell>
          <cell r="H25">
            <v>629171</v>
          </cell>
        </row>
        <row r="40">
          <cell r="B40">
            <v>2</v>
          </cell>
          <cell r="C40" t="str">
            <v xml:space="preserve"> 지중도체 신설</v>
          </cell>
          <cell r="D40" t="str">
            <v xml:space="preserve"> 50Ω (100Ω,m)</v>
          </cell>
          <cell r="E40" t="str">
            <v>개소</v>
          </cell>
          <cell r="F40">
            <v>1</v>
          </cell>
        </row>
        <row r="41">
          <cell r="C41" t="str">
            <v>가, 재료비</v>
          </cell>
        </row>
        <row r="42">
          <cell r="A42" t="str">
            <v xml:space="preserve"> 접지봉  16D×1800㎜</v>
          </cell>
          <cell r="C42" t="str">
            <v xml:space="preserve"> 접지봉 </v>
          </cell>
          <cell r="D42" t="str">
            <v xml:space="preserve"> 16D×1800㎜</v>
          </cell>
          <cell r="E42" t="str">
            <v>본</v>
          </cell>
          <cell r="F42">
            <v>2</v>
          </cell>
          <cell r="G42">
            <v>3960</v>
          </cell>
          <cell r="H42">
            <v>7920</v>
          </cell>
          <cell r="I42">
            <v>0</v>
          </cell>
        </row>
        <row r="43">
          <cell r="A43" t="str">
            <v xml:space="preserve"> 접지봉콘넥터 Φ16</v>
          </cell>
          <cell r="C43" t="str">
            <v xml:space="preserve"> 접지봉콘넥터</v>
          </cell>
          <cell r="D43" t="str">
            <v xml:space="preserve"> Φ16</v>
          </cell>
          <cell r="E43" t="str">
            <v>개</v>
          </cell>
          <cell r="F43">
            <v>2</v>
          </cell>
          <cell r="G43">
            <v>700</v>
          </cell>
          <cell r="H43">
            <v>1400</v>
          </cell>
          <cell r="I43">
            <v>0</v>
          </cell>
        </row>
        <row r="44">
          <cell r="A44" t="str">
            <v xml:space="preserve"> 접지슬리브  100-60, 38㎜</v>
          </cell>
          <cell r="C44" t="str">
            <v xml:space="preserve"> 접지슬리브 </v>
          </cell>
          <cell r="D44" t="str">
            <v xml:space="preserve"> 100-60, 38㎜</v>
          </cell>
          <cell r="E44" t="str">
            <v>개</v>
          </cell>
          <cell r="F44">
            <v>3</v>
          </cell>
          <cell r="G44">
            <v>2000</v>
          </cell>
          <cell r="H44">
            <v>6000</v>
          </cell>
          <cell r="I44">
            <v>0</v>
          </cell>
        </row>
        <row r="45">
          <cell r="A45" t="str">
            <v xml:space="preserve"> 접지봉리드선   GV 38㎟</v>
          </cell>
          <cell r="C45" t="str">
            <v xml:space="preserve"> 접지봉리드선  </v>
          </cell>
          <cell r="D45" t="str">
            <v xml:space="preserve"> GV 38㎟</v>
          </cell>
          <cell r="E45" t="str">
            <v>m</v>
          </cell>
          <cell r="F45">
            <v>0.6</v>
          </cell>
          <cell r="G45">
            <v>2211</v>
          </cell>
          <cell r="H45">
            <v>1326</v>
          </cell>
          <cell r="I45">
            <v>0.1</v>
          </cell>
        </row>
        <row r="46">
          <cell r="A46" t="str">
            <v xml:space="preserve"> 접지용전선   GV 22㎟</v>
          </cell>
          <cell r="C46" t="str">
            <v xml:space="preserve"> 접지용전선  </v>
          </cell>
          <cell r="D46" t="str">
            <v xml:space="preserve"> GV 22㎟</v>
          </cell>
          <cell r="E46" t="str">
            <v>m</v>
          </cell>
          <cell r="F46">
            <v>33</v>
          </cell>
          <cell r="G46">
            <v>1468</v>
          </cell>
          <cell r="H46">
            <v>48444</v>
          </cell>
          <cell r="I46">
            <v>0.1</v>
          </cell>
        </row>
        <row r="47">
          <cell r="A47" t="str">
            <v xml:space="preserve"> 연동연선   AS 50㎟</v>
          </cell>
          <cell r="C47" t="str">
            <v xml:space="preserve"> 연동연선  </v>
          </cell>
          <cell r="D47" t="str">
            <v xml:space="preserve"> AS 50㎟</v>
          </cell>
          <cell r="E47" t="str">
            <v>m</v>
          </cell>
          <cell r="F47">
            <v>2</v>
          </cell>
          <cell r="G47">
            <v>2400</v>
          </cell>
          <cell r="H47">
            <v>4800</v>
          </cell>
          <cell r="I47">
            <v>0</v>
          </cell>
        </row>
        <row r="48">
          <cell r="A48" t="str">
            <v xml:space="preserve"> 동터미널 22㎟ 용</v>
          </cell>
          <cell r="C48" t="str">
            <v xml:space="preserve"> 동터미널</v>
          </cell>
          <cell r="D48" t="str">
            <v xml:space="preserve"> 22㎟ 용</v>
          </cell>
          <cell r="E48" t="str">
            <v>개</v>
          </cell>
          <cell r="F48">
            <v>1</v>
          </cell>
          <cell r="G48">
            <v>455</v>
          </cell>
          <cell r="H48">
            <v>455</v>
          </cell>
          <cell r="I48">
            <v>0</v>
          </cell>
        </row>
        <row r="49">
          <cell r="A49" t="str">
            <v xml:space="preserve"> 콘크리트표주 접지표당청규격</v>
          </cell>
          <cell r="C49" t="str">
            <v xml:space="preserve"> 콘크리트표주</v>
          </cell>
          <cell r="D49" t="str">
            <v xml:space="preserve"> 접지표당청규격</v>
          </cell>
          <cell r="E49" t="str">
            <v>개</v>
          </cell>
          <cell r="F49">
            <v>1</v>
          </cell>
          <cell r="G49">
            <v>10000</v>
          </cell>
          <cell r="H49">
            <v>10000</v>
          </cell>
          <cell r="I49">
            <v>0</v>
          </cell>
        </row>
        <row r="50">
          <cell r="B50" t="str">
            <v>소         계</v>
          </cell>
          <cell r="H50">
            <v>80345</v>
          </cell>
          <cell r="I50" t="str">
            <v>ⓐ</v>
          </cell>
        </row>
        <row r="51">
          <cell r="C51" t="str">
            <v>나, 노무비</v>
          </cell>
        </row>
        <row r="52">
          <cell r="A52" t="str">
            <v>2 통신외선공</v>
          </cell>
          <cell r="C52" t="str">
            <v xml:space="preserve"> 통신외선공</v>
          </cell>
          <cell r="E52" t="str">
            <v>인</v>
          </cell>
          <cell r="F52">
            <v>0.52499999999999991</v>
          </cell>
          <cell r="G52">
            <v>77946</v>
          </cell>
          <cell r="H52">
            <v>40921</v>
          </cell>
          <cell r="I52" t="str">
            <v>접지봉매설,통신 3-39</v>
          </cell>
        </row>
        <row r="53">
          <cell r="A53" t="str">
            <v>2 보통인부</v>
          </cell>
          <cell r="C53" t="str">
            <v xml:space="preserve"> 보통인부</v>
          </cell>
          <cell r="E53" t="str">
            <v>인</v>
          </cell>
          <cell r="F53">
            <v>0.49000000000000005</v>
          </cell>
          <cell r="G53">
            <v>34098</v>
          </cell>
          <cell r="H53">
            <v>16708</v>
          </cell>
          <cell r="I53" t="str">
            <v>접지봉매설,통신 3-39</v>
          </cell>
        </row>
        <row r="54">
          <cell r="B54" t="str">
            <v>소         계</v>
          </cell>
          <cell r="H54">
            <v>57629</v>
          </cell>
          <cell r="I54" t="str">
            <v>ⓑ</v>
          </cell>
        </row>
        <row r="55">
          <cell r="C55" t="str">
            <v>다, 기계경비</v>
          </cell>
        </row>
        <row r="56">
          <cell r="C56" t="str">
            <v xml:space="preserve"> 통신외선공</v>
          </cell>
          <cell r="E56" t="str">
            <v>인</v>
          </cell>
          <cell r="F56">
            <v>0.01</v>
          </cell>
          <cell r="G56">
            <v>77946</v>
          </cell>
          <cell r="H56">
            <v>779</v>
          </cell>
        </row>
        <row r="57">
          <cell r="B57" t="str">
            <v>소         계</v>
          </cell>
          <cell r="H57">
            <v>779</v>
          </cell>
          <cell r="I57" t="str">
            <v>ⓒ</v>
          </cell>
        </row>
        <row r="58">
          <cell r="A58" t="str">
            <v>2재   료   비</v>
          </cell>
          <cell r="B58" t="str">
            <v>재   료   비</v>
          </cell>
          <cell r="D58" t="str">
            <v>ⓐ</v>
          </cell>
          <cell r="H58">
            <v>80345</v>
          </cell>
        </row>
        <row r="59">
          <cell r="A59" t="str">
            <v>2노   무   비</v>
          </cell>
          <cell r="B59" t="str">
            <v>노   무   비</v>
          </cell>
          <cell r="D59" t="str">
            <v>ⓑ</v>
          </cell>
          <cell r="H59">
            <v>57629</v>
          </cell>
        </row>
        <row r="60">
          <cell r="A60" t="str">
            <v>2경        비</v>
          </cell>
          <cell r="B60" t="str">
            <v>경        비</v>
          </cell>
          <cell r="D60" t="str">
            <v>ⓒ</v>
          </cell>
          <cell r="H60">
            <v>779</v>
          </cell>
        </row>
        <row r="61">
          <cell r="B61" t="str">
            <v>계</v>
          </cell>
          <cell r="H61">
            <v>138753</v>
          </cell>
        </row>
        <row r="76">
          <cell r="B76">
            <v>3</v>
          </cell>
          <cell r="C76" t="str">
            <v xml:space="preserve"> 핸드홀 신설</v>
          </cell>
          <cell r="D76" t="str">
            <v xml:space="preserve"> 3호</v>
          </cell>
          <cell r="E76" t="str">
            <v>기</v>
          </cell>
          <cell r="F76">
            <v>1</v>
          </cell>
        </row>
        <row r="77">
          <cell r="C77" t="str">
            <v>가, 재료비</v>
          </cell>
        </row>
        <row r="78">
          <cell r="A78" t="str">
            <v xml:space="preserve"> 시멘트(40㎏)  분공장도</v>
          </cell>
          <cell r="C78" t="str">
            <v xml:space="preserve"> 시멘트(40㎏) </v>
          </cell>
          <cell r="D78" t="str">
            <v xml:space="preserve"> 분공장도</v>
          </cell>
          <cell r="E78" t="str">
            <v>포</v>
          </cell>
          <cell r="F78">
            <v>27.495999999999999</v>
          </cell>
          <cell r="G78">
            <v>2450</v>
          </cell>
          <cell r="H78">
            <v>67365.2</v>
          </cell>
          <cell r="I78">
            <v>0</v>
          </cell>
        </row>
        <row r="79">
          <cell r="A79" t="str">
            <v xml:space="preserve"> 이형철근 SD30A</v>
          </cell>
          <cell r="C79" t="str">
            <v xml:space="preserve"> 이형철근</v>
          </cell>
          <cell r="D79" t="str">
            <v xml:space="preserve"> SD30A</v>
          </cell>
          <cell r="E79" t="str">
            <v>TON</v>
          </cell>
          <cell r="F79">
            <v>0.14699999999999999</v>
          </cell>
          <cell r="G79">
            <v>380000</v>
          </cell>
          <cell r="H79">
            <v>55860</v>
          </cell>
          <cell r="I79">
            <v>0</v>
          </cell>
        </row>
        <row r="80">
          <cell r="A80" t="str">
            <v xml:space="preserve"> 통신용맨홀(주철제)  통신용1120x620x132</v>
          </cell>
          <cell r="C80" t="str">
            <v xml:space="preserve"> 통신용맨홀(주철제) </v>
          </cell>
          <cell r="D80" t="str">
            <v xml:space="preserve"> 통신용1120x620x132</v>
          </cell>
          <cell r="E80" t="str">
            <v>조</v>
          </cell>
          <cell r="F80">
            <v>1</v>
          </cell>
          <cell r="G80">
            <v>250000</v>
          </cell>
          <cell r="H80">
            <v>250000</v>
          </cell>
          <cell r="I80">
            <v>0</v>
          </cell>
        </row>
        <row r="81">
          <cell r="A81" t="str">
            <v xml:space="preserve"> 케이블걸이쇠   2호</v>
          </cell>
          <cell r="C81" t="str">
            <v xml:space="preserve"> 케이블걸이쇠  </v>
          </cell>
          <cell r="D81" t="str">
            <v xml:space="preserve"> 2호</v>
          </cell>
          <cell r="E81" t="str">
            <v>개</v>
          </cell>
          <cell r="F81">
            <v>4</v>
          </cell>
          <cell r="G81">
            <v>1850</v>
          </cell>
          <cell r="H81">
            <v>7400</v>
          </cell>
          <cell r="I81">
            <v>0</v>
          </cell>
        </row>
        <row r="82">
          <cell r="A82" t="str">
            <v xml:space="preserve"> 케이블받침대   33×14×3×607</v>
          </cell>
          <cell r="C82" t="str">
            <v xml:space="preserve"> 케이블받침대  </v>
          </cell>
          <cell r="D82" t="str">
            <v xml:space="preserve"> 33×14×3×607</v>
          </cell>
          <cell r="E82" t="str">
            <v>개</v>
          </cell>
          <cell r="F82">
            <v>2</v>
          </cell>
          <cell r="G82">
            <v>7000</v>
          </cell>
          <cell r="H82">
            <v>14000</v>
          </cell>
          <cell r="I82">
            <v>0</v>
          </cell>
        </row>
        <row r="83">
          <cell r="A83" t="str">
            <v xml:space="preserve"> 앵커볼트(5/8")  M16  L250</v>
          </cell>
          <cell r="C83" t="str">
            <v xml:space="preserve"> 앵커볼트(5/8") </v>
          </cell>
          <cell r="D83" t="str">
            <v xml:space="preserve"> M16  L250</v>
          </cell>
          <cell r="E83" t="str">
            <v>조</v>
          </cell>
          <cell r="F83">
            <v>4</v>
          </cell>
          <cell r="G83">
            <v>295</v>
          </cell>
          <cell r="H83">
            <v>1180</v>
          </cell>
          <cell r="I83">
            <v>0</v>
          </cell>
        </row>
        <row r="84">
          <cell r="A84" t="str">
            <v xml:space="preserve"> 혼합골재  75㎜ 이하</v>
          </cell>
          <cell r="C84" t="str">
            <v xml:space="preserve"> 혼합골재 </v>
          </cell>
          <cell r="D84" t="str">
            <v xml:space="preserve"> 75㎜ 이하</v>
          </cell>
          <cell r="E84" t="str">
            <v>㎥</v>
          </cell>
          <cell r="F84">
            <v>0.83</v>
          </cell>
          <cell r="G84">
            <v>12000</v>
          </cell>
          <cell r="H84">
            <v>9960</v>
          </cell>
          <cell r="I84">
            <v>0</v>
          </cell>
        </row>
        <row r="85">
          <cell r="A85" t="str">
            <v xml:space="preserve"> 모래(세척사)  인천(도착도)</v>
          </cell>
          <cell r="C85" t="str">
            <v xml:space="preserve"> 모래(세척사) </v>
          </cell>
          <cell r="D85" t="str">
            <v xml:space="preserve"> 인천(도착도)</v>
          </cell>
          <cell r="E85" t="str">
            <v>㎥</v>
          </cell>
          <cell r="F85">
            <v>1.6140000000000001</v>
          </cell>
          <cell r="G85">
            <v>1750</v>
          </cell>
          <cell r="H85">
            <v>2824.5</v>
          </cell>
          <cell r="I85">
            <v>0</v>
          </cell>
        </row>
        <row r="86">
          <cell r="A86" t="str">
            <v xml:space="preserve"> 자갈(#467,Φ40)   인천(도착도)</v>
          </cell>
          <cell r="C86" t="str">
            <v xml:space="preserve"> 자갈(#467,Φ40)  </v>
          </cell>
          <cell r="D86" t="str">
            <v xml:space="preserve"> 인천(도착도)</v>
          </cell>
          <cell r="E86" t="str">
            <v>㎥</v>
          </cell>
          <cell r="F86">
            <v>2.8359999999999999</v>
          </cell>
          <cell r="G86">
            <v>18500</v>
          </cell>
          <cell r="H86">
            <v>52466</v>
          </cell>
          <cell r="I86">
            <v>0</v>
          </cell>
        </row>
        <row r="87">
          <cell r="A87" t="str">
            <v xml:space="preserve"> 보통합판(1급)  12T  1.21*2.42</v>
          </cell>
          <cell r="C87" t="str">
            <v xml:space="preserve"> 보통합판(1급) </v>
          </cell>
          <cell r="D87" t="str">
            <v xml:space="preserve"> 12T  1.21*2.42</v>
          </cell>
          <cell r="E87" t="str">
            <v>㎡</v>
          </cell>
          <cell r="F87">
            <v>9.99</v>
          </cell>
          <cell r="G87">
            <v>6181</v>
          </cell>
          <cell r="H87">
            <v>61748.1</v>
          </cell>
          <cell r="I87">
            <v>0</v>
          </cell>
        </row>
        <row r="88">
          <cell r="A88" t="str">
            <v xml:space="preserve"> 라왕  각재</v>
          </cell>
          <cell r="C88" t="str">
            <v xml:space="preserve"> 라왕 </v>
          </cell>
          <cell r="D88" t="str">
            <v xml:space="preserve"> 각재</v>
          </cell>
          <cell r="E88" t="str">
            <v>㎥</v>
          </cell>
          <cell r="F88">
            <v>0.36799999999999999</v>
          </cell>
          <cell r="G88">
            <v>986023</v>
          </cell>
          <cell r="H88">
            <v>362856.4</v>
          </cell>
          <cell r="I88">
            <v>0</v>
          </cell>
        </row>
        <row r="89">
          <cell r="A89" t="str">
            <v xml:space="preserve"> 어니일링(소)철선   #8  4.0mm</v>
          </cell>
          <cell r="C89" t="str">
            <v xml:space="preserve"> 어니일링(소)철선  </v>
          </cell>
          <cell r="D89" t="str">
            <v xml:space="preserve"> #8  4.0mm</v>
          </cell>
          <cell r="E89" t="str">
            <v>kg</v>
          </cell>
          <cell r="F89">
            <v>2.81</v>
          </cell>
          <cell r="G89">
            <v>570</v>
          </cell>
          <cell r="H89">
            <v>1601.7</v>
          </cell>
          <cell r="I89">
            <v>0</v>
          </cell>
        </row>
        <row r="90">
          <cell r="A90" t="str">
            <v xml:space="preserve"> 철못   N 50</v>
          </cell>
          <cell r="C90" t="str">
            <v xml:space="preserve"> 철못  </v>
          </cell>
          <cell r="D90" t="str">
            <v xml:space="preserve"> N 50</v>
          </cell>
          <cell r="E90" t="str">
            <v>kg</v>
          </cell>
          <cell r="F90">
            <v>1.94</v>
          </cell>
          <cell r="G90">
            <v>700</v>
          </cell>
          <cell r="H90">
            <v>1358</v>
          </cell>
          <cell r="I90">
            <v>0</v>
          </cell>
        </row>
        <row r="91">
          <cell r="A91" t="str">
            <v xml:space="preserve"> 박리제   유성</v>
          </cell>
          <cell r="C91" t="str">
            <v xml:space="preserve"> 박리제  </v>
          </cell>
          <cell r="D91" t="str">
            <v xml:space="preserve"> 유성</v>
          </cell>
          <cell r="E91" t="str">
            <v>ℓ</v>
          </cell>
          <cell r="F91">
            <v>1.84</v>
          </cell>
          <cell r="G91">
            <v>1300</v>
          </cell>
          <cell r="H91">
            <v>2392</v>
          </cell>
          <cell r="I91">
            <v>0</v>
          </cell>
        </row>
        <row r="92">
          <cell r="B92" t="str">
            <v>소         계</v>
          </cell>
          <cell r="H92">
            <v>891011</v>
          </cell>
          <cell r="I92" t="str">
            <v>ⓐ</v>
          </cell>
        </row>
        <row r="94">
          <cell r="C94" t="str">
            <v>나, 노무비</v>
          </cell>
        </row>
        <row r="95">
          <cell r="A95" t="str">
            <v>3 콘크리트공</v>
          </cell>
          <cell r="C95" t="str">
            <v xml:space="preserve"> 콘크리트공</v>
          </cell>
          <cell r="E95" t="str">
            <v>인</v>
          </cell>
          <cell r="F95">
            <v>2.83</v>
          </cell>
          <cell r="G95">
            <v>63605</v>
          </cell>
          <cell r="H95">
            <v>180002.1</v>
          </cell>
          <cell r="I95" t="str">
            <v>콘크리트,건설 6-1</v>
          </cell>
        </row>
        <row r="96">
          <cell r="A96" t="str">
            <v>3 형틀목공</v>
          </cell>
          <cell r="C96" t="str">
            <v xml:space="preserve"> 형틀목공</v>
          </cell>
          <cell r="E96" t="str">
            <v>인</v>
          </cell>
          <cell r="F96">
            <v>2.9</v>
          </cell>
          <cell r="G96">
            <v>65381</v>
          </cell>
          <cell r="H96">
            <v>189604.9</v>
          </cell>
          <cell r="I96" t="str">
            <v>거푸집,건설 6-3-나</v>
          </cell>
        </row>
        <row r="97">
          <cell r="A97" t="str">
            <v>3 철근공</v>
          </cell>
          <cell r="C97" t="str">
            <v xml:space="preserve"> 철근공</v>
          </cell>
          <cell r="E97" t="str">
            <v>인</v>
          </cell>
          <cell r="F97">
            <v>0.56999999999999995</v>
          </cell>
          <cell r="G97">
            <v>66944</v>
          </cell>
          <cell r="H97">
            <v>38158</v>
          </cell>
          <cell r="I97" t="str">
            <v>철근가공및조립,건설 29-6</v>
          </cell>
        </row>
        <row r="98">
          <cell r="A98" t="str">
            <v>3 미장공</v>
          </cell>
          <cell r="C98" t="str">
            <v xml:space="preserve"> 미장공</v>
          </cell>
          <cell r="E98" t="str">
            <v>인</v>
          </cell>
          <cell r="F98">
            <v>0.6</v>
          </cell>
          <cell r="G98">
            <v>61569</v>
          </cell>
          <cell r="H98">
            <v>36941.4</v>
          </cell>
          <cell r="I98" t="str">
            <v>수공철개,통신 3-35</v>
          </cell>
        </row>
        <row r="99">
          <cell r="A99" t="str">
            <v>3 철공</v>
          </cell>
          <cell r="C99" t="str">
            <v xml:space="preserve"> 철공</v>
          </cell>
          <cell r="E99" t="str">
            <v>인</v>
          </cell>
          <cell r="F99">
            <v>0.06</v>
          </cell>
          <cell r="G99">
            <v>59917</v>
          </cell>
          <cell r="H99">
            <v>3595</v>
          </cell>
          <cell r="I99" t="str">
            <v>지지철물,통신 3-48</v>
          </cell>
        </row>
        <row r="100">
          <cell r="A100" t="str">
            <v>3 보통인부</v>
          </cell>
          <cell r="C100" t="str">
            <v xml:space="preserve"> 보통인부</v>
          </cell>
          <cell r="E100" t="str">
            <v>인</v>
          </cell>
          <cell r="F100">
            <v>14.540000000000001</v>
          </cell>
          <cell r="G100">
            <v>34098</v>
          </cell>
          <cell r="H100">
            <v>495784.9</v>
          </cell>
          <cell r="I100" t="str">
            <v>터파기,건설 3-1-나</v>
          </cell>
        </row>
        <row r="101">
          <cell r="B101" t="str">
            <v>소         계</v>
          </cell>
          <cell r="H101">
            <v>944086.3</v>
          </cell>
          <cell r="I101" t="str">
            <v>ⓑ</v>
          </cell>
        </row>
        <row r="102">
          <cell r="C102" t="str">
            <v>다, 기계경비</v>
          </cell>
        </row>
        <row r="103">
          <cell r="C103" t="str">
            <v xml:space="preserve"> 콘크리트공</v>
          </cell>
          <cell r="E103" t="str">
            <v>인</v>
          </cell>
          <cell r="F103">
            <v>0.08</v>
          </cell>
          <cell r="G103">
            <v>63605</v>
          </cell>
          <cell r="H103">
            <v>5088.3999999999996</v>
          </cell>
        </row>
        <row r="104">
          <cell r="C104" t="str">
            <v xml:space="preserve"> 형틀목공</v>
          </cell>
          <cell r="E104" t="str">
            <v>인</v>
          </cell>
          <cell r="F104">
            <v>0.08</v>
          </cell>
          <cell r="G104">
            <v>65381</v>
          </cell>
          <cell r="H104">
            <v>5230.3999999999996</v>
          </cell>
        </row>
        <row r="105">
          <cell r="C105" t="str">
            <v xml:space="preserve"> 철근공</v>
          </cell>
          <cell r="E105" t="str">
            <v>인</v>
          </cell>
          <cell r="F105">
            <v>0.01</v>
          </cell>
          <cell r="G105">
            <v>66944</v>
          </cell>
          <cell r="H105">
            <v>669.4</v>
          </cell>
        </row>
        <row r="106">
          <cell r="C106" t="str">
            <v xml:space="preserve"> 미장공</v>
          </cell>
          <cell r="E106" t="str">
            <v>인</v>
          </cell>
          <cell r="F106">
            <v>0.01</v>
          </cell>
          <cell r="G106">
            <v>61569</v>
          </cell>
          <cell r="H106">
            <v>615.6</v>
          </cell>
        </row>
        <row r="107">
          <cell r="B107" t="str">
            <v>소         계</v>
          </cell>
          <cell r="H107">
            <v>11603.8</v>
          </cell>
          <cell r="I107" t="str">
            <v>ⓒ</v>
          </cell>
        </row>
        <row r="112">
          <cell r="A112" t="str">
            <v>3재   료   비</v>
          </cell>
          <cell r="B112" t="str">
            <v>재   료   비</v>
          </cell>
          <cell r="D112" t="str">
            <v>ⓐ</v>
          </cell>
          <cell r="H112">
            <v>891011</v>
          </cell>
        </row>
        <row r="113">
          <cell r="A113" t="str">
            <v>3노   무   비</v>
          </cell>
          <cell r="B113" t="str">
            <v>노   무   비</v>
          </cell>
          <cell r="D113" t="str">
            <v>ⓑ</v>
          </cell>
          <cell r="H113">
            <v>944086.3</v>
          </cell>
        </row>
        <row r="114">
          <cell r="A114" t="str">
            <v>3경        비</v>
          </cell>
          <cell r="B114" t="str">
            <v>경        비</v>
          </cell>
          <cell r="D114" t="str">
            <v>ⓒ</v>
          </cell>
          <cell r="H114">
            <v>11603.8</v>
          </cell>
        </row>
        <row r="115">
          <cell r="B115" t="str">
            <v>계</v>
          </cell>
          <cell r="H115">
            <v>1846701.1</v>
          </cell>
        </row>
        <row r="130">
          <cell r="B130">
            <v>4</v>
          </cell>
          <cell r="C130" t="str">
            <v xml:space="preserve"> 전화기 설치</v>
          </cell>
          <cell r="D130" t="str">
            <v xml:space="preserve"> MFC</v>
          </cell>
          <cell r="E130" t="str">
            <v>대</v>
          </cell>
          <cell r="F130">
            <v>1</v>
          </cell>
        </row>
        <row r="131">
          <cell r="C131" t="str">
            <v>가, 재료비</v>
          </cell>
        </row>
        <row r="132">
          <cell r="A132" t="str">
            <v xml:space="preserve"> 전화기  자동전화기(MFC)</v>
          </cell>
          <cell r="C132" t="str">
            <v xml:space="preserve"> 전화기 </v>
          </cell>
          <cell r="D132" t="str">
            <v xml:space="preserve"> 자동전화기(MFC)</v>
          </cell>
          <cell r="E132" t="str">
            <v>대</v>
          </cell>
          <cell r="F132">
            <v>1</v>
          </cell>
          <cell r="G132">
            <v>30000</v>
          </cell>
          <cell r="H132">
            <v>30000</v>
          </cell>
          <cell r="I132">
            <v>0</v>
          </cell>
        </row>
        <row r="133">
          <cell r="B133" t="str">
            <v>소         계</v>
          </cell>
          <cell r="H133">
            <v>30000</v>
          </cell>
          <cell r="I133" t="str">
            <v>ⓐ</v>
          </cell>
        </row>
        <row r="134">
          <cell r="C134" t="str">
            <v>나, 노무비</v>
          </cell>
        </row>
        <row r="135">
          <cell r="A135" t="str">
            <v>4 통신내선공</v>
          </cell>
          <cell r="C135" t="str">
            <v xml:space="preserve"> 통신내선공</v>
          </cell>
          <cell r="E135" t="str">
            <v>인</v>
          </cell>
          <cell r="F135">
            <v>0.02</v>
          </cell>
          <cell r="G135">
            <v>63738</v>
          </cell>
          <cell r="H135">
            <v>1274</v>
          </cell>
          <cell r="I135" t="str">
            <v>기본x(0.7),통신 3-29</v>
          </cell>
        </row>
        <row r="136">
          <cell r="B136" t="str">
            <v>소         계</v>
          </cell>
          <cell r="H136">
            <v>1274</v>
          </cell>
          <cell r="I136" t="str">
            <v>ⓑ</v>
          </cell>
        </row>
        <row r="137">
          <cell r="C137" t="str">
            <v>다, 기계경비</v>
          </cell>
        </row>
        <row r="138">
          <cell r="C138" t="str">
            <v xml:space="preserve"> 통신내선공</v>
          </cell>
          <cell r="E138" t="str">
            <v>인</v>
          </cell>
          <cell r="F138">
            <v>5.9999999999999995E-4</v>
          </cell>
          <cell r="G138">
            <v>63738</v>
          </cell>
          <cell r="H138">
            <v>38</v>
          </cell>
        </row>
        <row r="139">
          <cell r="B139" t="str">
            <v>소         계</v>
          </cell>
          <cell r="H139">
            <v>38</v>
          </cell>
          <cell r="I139" t="str">
            <v>ⓒ</v>
          </cell>
        </row>
        <row r="141">
          <cell r="A141" t="str">
            <v>4재   료   비</v>
          </cell>
          <cell r="B141" t="str">
            <v>재   료   비</v>
          </cell>
          <cell r="D141" t="str">
            <v>ⓐ</v>
          </cell>
          <cell r="H141">
            <v>30000</v>
          </cell>
        </row>
        <row r="142">
          <cell r="A142" t="str">
            <v>4노   무   비</v>
          </cell>
          <cell r="B142" t="str">
            <v>노   무   비</v>
          </cell>
          <cell r="D142" t="str">
            <v>ⓑ</v>
          </cell>
          <cell r="H142">
            <v>1274</v>
          </cell>
        </row>
        <row r="143">
          <cell r="A143" t="str">
            <v>4경        비</v>
          </cell>
          <cell r="B143" t="str">
            <v>경        비</v>
          </cell>
          <cell r="D143" t="str">
            <v>ⓒ</v>
          </cell>
          <cell r="H143">
            <v>38</v>
          </cell>
        </row>
        <row r="144">
          <cell r="B144" t="str">
            <v>계</v>
          </cell>
          <cell r="H144">
            <v>31312</v>
          </cell>
        </row>
        <row r="148">
          <cell r="B148">
            <v>5</v>
          </cell>
          <cell r="C148" t="str">
            <v xml:space="preserve"> 전화기 설치</v>
          </cell>
          <cell r="D148" t="str">
            <v xml:space="preserve"> 자동식 직통</v>
          </cell>
          <cell r="E148" t="str">
            <v>대</v>
          </cell>
          <cell r="F148">
            <v>1</v>
          </cell>
        </row>
        <row r="149">
          <cell r="C149" t="str">
            <v>가, 재료비</v>
          </cell>
        </row>
        <row r="150">
          <cell r="A150" t="str">
            <v xml:space="preserve"> 전화기  자동식직통</v>
          </cell>
          <cell r="C150" t="str">
            <v xml:space="preserve"> 전화기 </v>
          </cell>
          <cell r="D150" t="str">
            <v xml:space="preserve"> 자동식직통</v>
          </cell>
          <cell r="E150" t="str">
            <v>대</v>
          </cell>
          <cell r="F150">
            <v>1</v>
          </cell>
          <cell r="G150">
            <v>280000</v>
          </cell>
          <cell r="H150">
            <v>280000</v>
          </cell>
          <cell r="I150">
            <v>0</v>
          </cell>
        </row>
        <row r="151">
          <cell r="B151" t="str">
            <v>소         계</v>
          </cell>
          <cell r="H151">
            <v>280000</v>
          </cell>
          <cell r="I151" t="str">
            <v>ⓐ</v>
          </cell>
        </row>
        <row r="152">
          <cell r="C152" t="str">
            <v>나, 노무비</v>
          </cell>
        </row>
        <row r="153">
          <cell r="A153" t="str">
            <v>5 통신내선공</v>
          </cell>
          <cell r="C153" t="str">
            <v xml:space="preserve"> 통신내선공</v>
          </cell>
          <cell r="E153" t="str">
            <v>인</v>
          </cell>
          <cell r="F153">
            <v>0.35</v>
          </cell>
          <cell r="G153">
            <v>63738</v>
          </cell>
          <cell r="H153">
            <v>22308</v>
          </cell>
          <cell r="I153" t="str">
            <v>기본x(0.7),통신 3-29</v>
          </cell>
        </row>
        <row r="154">
          <cell r="B154" t="str">
            <v>소         계</v>
          </cell>
          <cell r="H154">
            <v>22308</v>
          </cell>
          <cell r="I154" t="str">
            <v>ⓑ</v>
          </cell>
        </row>
        <row r="155">
          <cell r="C155" t="str">
            <v>다, 기계경비</v>
          </cell>
        </row>
        <row r="156">
          <cell r="C156" t="str">
            <v xml:space="preserve"> 통신내선공</v>
          </cell>
          <cell r="E156" t="str">
            <v>인</v>
          </cell>
          <cell r="F156">
            <v>0.01</v>
          </cell>
          <cell r="G156">
            <v>63738</v>
          </cell>
          <cell r="H156">
            <v>637</v>
          </cell>
        </row>
        <row r="157">
          <cell r="B157" t="str">
            <v>소         계</v>
          </cell>
          <cell r="H157">
            <v>637</v>
          </cell>
          <cell r="I157" t="str">
            <v>ⓒ</v>
          </cell>
        </row>
        <row r="159">
          <cell r="A159" t="str">
            <v>5재   료   비</v>
          </cell>
          <cell r="B159" t="str">
            <v>재   료   비</v>
          </cell>
          <cell r="D159" t="str">
            <v>ⓐ</v>
          </cell>
          <cell r="H159">
            <v>280000</v>
          </cell>
        </row>
        <row r="160">
          <cell r="A160" t="str">
            <v>5노   무   비</v>
          </cell>
          <cell r="B160" t="str">
            <v>노   무   비</v>
          </cell>
          <cell r="D160" t="str">
            <v>ⓑ</v>
          </cell>
          <cell r="H160">
            <v>22308</v>
          </cell>
        </row>
        <row r="161">
          <cell r="A161" t="str">
            <v>5경        비</v>
          </cell>
          <cell r="B161" t="str">
            <v>경        비</v>
          </cell>
          <cell r="D161" t="str">
            <v>ⓒ</v>
          </cell>
          <cell r="H161">
            <v>637</v>
          </cell>
        </row>
        <row r="162">
          <cell r="B162" t="str">
            <v>계</v>
          </cell>
          <cell r="H162">
            <v>302945</v>
          </cell>
        </row>
        <row r="166">
          <cell r="B166">
            <v>6</v>
          </cell>
          <cell r="C166" t="str">
            <v xml:space="preserve"> KEY PHONE 설치</v>
          </cell>
          <cell r="D166" t="str">
            <v xml:space="preserve"> 모장치</v>
          </cell>
          <cell r="E166" t="str">
            <v>대</v>
          </cell>
          <cell r="F166">
            <v>1</v>
          </cell>
        </row>
        <row r="167">
          <cell r="C167" t="str">
            <v>가, 재료비</v>
          </cell>
        </row>
        <row r="168">
          <cell r="A168" t="str">
            <v xml:space="preserve"> KEY PHONE 모장치(GK50HB)10/16</v>
          </cell>
          <cell r="C168" t="str">
            <v xml:space="preserve"> KEY PHONE</v>
          </cell>
          <cell r="D168" t="str">
            <v xml:space="preserve"> 모장치(GK50HB)10/16</v>
          </cell>
          <cell r="E168" t="str">
            <v>대</v>
          </cell>
          <cell r="F168">
            <v>1</v>
          </cell>
          <cell r="G168">
            <v>456000</v>
          </cell>
          <cell r="H168">
            <v>456000</v>
          </cell>
          <cell r="I168">
            <v>0</v>
          </cell>
        </row>
        <row r="169">
          <cell r="B169" t="str">
            <v>소         계</v>
          </cell>
          <cell r="H169">
            <v>456000</v>
          </cell>
          <cell r="I169" t="str">
            <v>ⓐ</v>
          </cell>
        </row>
        <row r="170">
          <cell r="C170" t="str">
            <v>나, 노무비</v>
          </cell>
        </row>
        <row r="171">
          <cell r="A171" t="str">
            <v>6 통신설비공</v>
          </cell>
          <cell r="C171" t="str">
            <v xml:space="preserve"> 통신설비공</v>
          </cell>
          <cell r="E171" t="str">
            <v>인</v>
          </cell>
          <cell r="F171">
            <v>2</v>
          </cell>
          <cell r="G171">
            <v>66296</v>
          </cell>
          <cell r="H171">
            <v>132592</v>
          </cell>
          <cell r="I171" t="str">
            <v>기본,통신 3-29</v>
          </cell>
        </row>
        <row r="172">
          <cell r="A172" t="str">
            <v>6 통신내선공</v>
          </cell>
          <cell r="C172" t="str">
            <v xml:space="preserve"> 통신내선공</v>
          </cell>
          <cell r="E172" t="str">
            <v>인</v>
          </cell>
          <cell r="F172">
            <v>1</v>
          </cell>
          <cell r="G172">
            <v>63738</v>
          </cell>
          <cell r="H172">
            <v>63738</v>
          </cell>
          <cell r="I172" t="str">
            <v>기본,통신 3-29</v>
          </cell>
        </row>
        <row r="173">
          <cell r="B173" t="str">
            <v>소         계</v>
          </cell>
          <cell r="H173">
            <v>196330</v>
          </cell>
          <cell r="I173" t="str">
            <v>ⓑ</v>
          </cell>
        </row>
        <row r="174">
          <cell r="C174" t="str">
            <v>다, 기계경비</v>
          </cell>
        </row>
        <row r="175">
          <cell r="C175" t="str">
            <v xml:space="preserve"> 통신설비공</v>
          </cell>
          <cell r="E175" t="str">
            <v>인</v>
          </cell>
          <cell r="F175">
            <v>0.06</v>
          </cell>
          <cell r="G175">
            <v>66296</v>
          </cell>
          <cell r="H175">
            <v>3977</v>
          </cell>
        </row>
        <row r="176">
          <cell r="C176" t="str">
            <v xml:space="preserve"> 통신내선공</v>
          </cell>
          <cell r="E176" t="str">
            <v>인</v>
          </cell>
          <cell r="F176">
            <v>0.03</v>
          </cell>
          <cell r="G176">
            <v>63738</v>
          </cell>
          <cell r="H176">
            <v>1912</v>
          </cell>
        </row>
        <row r="177">
          <cell r="B177" t="str">
            <v>소         계</v>
          </cell>
          <cell r="H177">
            <v>5889</v>
          </cell>
          <cell r="I177" t="str">
            <v>ⓒ</v>
          </cell>
        </row>
        <row r="179">
          <cell r="A179" t="str">
            <v>6재   료   비</v>
          </cell>
          <cell r="B179" t="str">
            <v>재   료   비</v>
          </cell>
          <cell r="D179" t="str">
            <v>ⓐ</v>
          </cell>
          <cell r="H179">
            <v>456000</v>
          </cell>
        </row>
        <row r="180">
          <cell r="A180" t="str">
            <v>6노   무   비</v>
          </cell>
          <cell r="B180" t="str">
            <v>노   무   비</v>
          </cell>
          <cell r="D180" t="str">
            <v>ⓑ</v>
          </cell>
          <cell r="H180">
            <v>196330</v>
          </cell>
        </row>
        <row r="181">
          <cell r="A181" t="str">
            <v>6경        비</v>
          </cell>
          <cell r="B181" t="str">
            <v>경        비</v>
          </cell>
          <cell r="D181" t="str">
            <v>ⓒ</v>
          </cell>
          <cell r="H181">
            <v>5889</v>
          </cell>
        </row>
        <row r="182">
          <cell r="B182" t="str">
            <v>계</v>
          </cell>
          <cell r="H182">
            <v>658219</v>
          </cell>
        </row>
        <row r="184">
          <cell r="B184">
            <v>7</v>
          </cell>
          <cell r="C184" t="str">
            <v xml:space="preserve"> KEY PHONE 설치</v>
          </cell>
          <cell r="D184" t="str">
            <v xml:space="preserve"> 자장치</v>
          </cell>
          <cell r="E184" t="str">
            <v>대</v>
          </cell>
          <cell r="F184">
            <v>1</v>
          </cell>
        </row>
        <row r="185">
          <cell r="C185" t="str">
            <v>가, 재료비</v>
          </cell>
        </row>
        <row r="186">
          <cell r="A186" t="str">
            <v xml:space="preserve"> KEY PHONE 자장치(33LG)</v>
          </cell>
          <cell r="C186" t="str">
            <v xml:space="preserve"> KEY PHONE</v>
          </cell>
          <cell r="D186" t="str">
            <v xml:space="preserve"> 자장치(33LG)</v>
          </cell>
          <cell r="E186" t="str">
            <v>대</v>
          </cell>
          <cell r="F186">
            <v>1</v>
          </cell>
          <cell r="G186">
            <v>95000</v>
          </cell>
          <cell r="H186">
            <v>95000</v>
          </cell>
          <cell r="I186">
            <v>0</v>
          </cell>
        </row>
        <row r="187">
          <cell r="B187" t="str">
            <v>소         계</v>
          </cell>
          <cell r="H187">
            <v>95000</v>
          </cell>
          <cell r="I187" t="str">
            <v>ⓐ</v>
          </cell>
        </row>
        <row r="188">
          <cell r="C188" t="str">
            <v>나, 노무비</v>
          </cell>
        </row>
        <row r="189">
          <cell r="A189" t="str">
            <v>7 통신내선공</v>
          </cell>
          <cell r="C189" t="str">
            <v xml:space="preserve"> 통신내선공</v>
          </cell>
          <cell r="E189" t="str">
            <v>인</v>
          </cell>
          <cell r="F189">
            <v>0.5</v>
          </cell>
          <cell r="G189">
            <v>63738</v>
          </cell>
          <cell r="H189">
            <v>31869</v>
          </cell>
          <cell r="I189" t="str">
            <v>기본,통신 3-29</v>
          </cell>
        </row>
        <row r="190">
          <cell r="B190" t="str">
            <v>소         계</v>
          </cell>
          <cell r="H190">
            <v>31869</v>
          </cell>
          <cell r="I190" t="str">
            <v>ⓑ</v>
          </cell>
        </row>
        <row r="191">
          <cell r="C191" t="str">
            <v>다, 기계경비</v>
          </cell>
        </row>
        <row r="192">
          <cell r="C192" t="str">
            <v xml:space="preserve"> 통신내선공</v>
          </cell>
          <cell r="E192" t="str">
            <v>인</v>
          </cell>
          <cell r="F192">
            <v>0.01</v>
          </cell>
          <cell r="G192">
            <v>63738</v>
          </cell>
          <cell r="H192">
            <v>637</v>
          </cell>
        </row>
        <row r="193">
          <cell r="B193" t="str">
            <v>소         계</v>
          </cell>
          <cell r="H193">
            <v>637</v>
          </cell>
          <cell r="I193" t="str">
            <v>ⓒ</v>
          </cell>
        </row>
        <row r="195">
          <cell r="A195" t="str">
            <v>7재   료   비</v>
          </cell>
          <cell r="B195" t="str">
            <v>재   료   비</v>
          </cell>
          <cell r="D195" t="str">
            <v>ⓐ</v>
          </cell>
          <cell r="H195">
            <v>95000</v>
          </cell>
        </row>
        <row r="196">
          <cell r="A196" t="str">
            <v>7노   무   비</v>
          </cell>
          <cell r="B196" t="str">
            <v>노   무   비</v>
          </cell>
          <cell r="D196" t="str">
            <v>ⓑ</v>
          </cell>
          <cell r="H196">
            <v>31869</v>
          </cell>
        </row>
        <row r="197">
          <cell r="A197" t="str">
            <v>7경        비</v>
          </cell>
          <cell r="B197" t="str">
            <v>경        비</v>
          </cell>
          <cell r="D197" t="str">
            <v>ⓒ</v>
          </cell>
          <cell r="H197">
            <v>637</v>
          </cell>
        </row>
        <row r="198">
          <cell r="B198" t="str">
            <v>계</v>
          </cell>
          <cell r="H198">
            <v>127506</v>
          </cell>
        </row>
        <row r="202">
          <cell r="B202">
            <v>8</v>
          </cell>
          <cell r="C202" t="str">
            <v xml:space="preserve"> VIDEO PHONE 설치</v>
          </cell>
          <cell r="D202" t="str">
            <v xml:space="preserve"> 모장치</v>
          </cell>
          <cell r="E202" t="str">
            <v>대</v>
          </cell>
          <cell r="F202">
            <v>1</v>
          </cell>
        </row>
        <row r="203">
          <cell r="C203" t="str">
            <v>가, 재료비</v>
          </cell>
        </row>
        <row r="204">
          <cell r="A204" t="str">
            <v xml:space="preserve"> 비디오폰  모장치</v>
          </cell>
          <cell r="C204" t="str">
            <v xml:space="preserve"> 비디오폰 </v>
          </cell>
          <cell r="D204" t="str">
            <v xml:space="preserve"> 모장치</v>
          </cell>
          <cell r="E204" t="str">
            <v>대</v>
          </cell>
          <cell r="F204">
            <v>1</v>
          </cell>
          <cell r="G204">
            <v>180000</v>
          </cell>
          <cell r="H204">
            <v>180000</v>
          </cell>
          <cell r="I204">
            <v>0</v>
          </cell>
        </row>
        <row r="205">
          <cell r="B205" t="str">
            <v>소         계</v>
          </cell>
          <cell r="H205">
            <v>180000</v>
          </cell>
          <cell r="I205" t="str">
            <v>ⓐ</v>
          </cell>
        </row>
        <row r="206">
          <cell r="C206" t="str">
            <v>나, 노무비</v>
          </cell>
        </row>
        <row r="207">
          <cell r="A207" t="str">
            <v>8 통신설비공</v>
          </cell>
          <cell r="C207" t="str">
            <v xml:space="preserve"> 통신설비공</v>
          </cell>
          <cell r="E207" t="str">
            <v>인</v>
          </cell>
          <cell r="F207">
            <v>1</v>
          </cell>
          <cell r="G207">
            <v>66296</v>
          </cell>
          <cell r="H207">
            <v>66296</v>
          </cell>
          <cell r="I207" t="str">
            <v>기본,통신 3-29</v>
          </cell>
        </row>
        <row r="208">
          <cell r="A208" t="str">
            <v>8 통신내선공</v>
          </cell>
          <cell r="C208" t="str">
            <v xml:space="preserve"> 통신내선공</v>
          </cell>
          <cell r="E208" t="str">
            <v>인</v>
          </cell>
          <cell r="F208">
            <v>1</v>
          </cell>
          <cell r="G208">
            <v>63738</v>
          </cell>
          <cell r="H208">
            <v>63738</v>
          </cell>
          <cell r="I208" t="str">
            <v>기본,통신 3-29</v>
          </cell>
        </row>
        <row r="209">
          <cell r="B209" t="str">
            <v>소         계</v>
          </cell>
          <cell r="H209">
            <v>130034</v>
          </cell>
          <cell r="I209" t="str">
            <v>ⓑ</v>
          </cell>
        </row>
        <row r="210">
          <cell r="C210" t="str">
            <v>다, 기계경비</v>
          </cell>
        </row>
        <row r="211">
          <cell r="C211" t="str">
            <v xml:space="preserve"> 통신설비공</v>
          </cell>
          <cell r="E211" t="str">
            <v>인</v>
          </cell>
          <cell r="F211">
            <v>0.03</v>
          </cell>
          <cell r="G211">
            <v>66296</v>
          </cell>
          <cell r="H211">
            <v>1988.8</v>
          </cell>
        </row>
        <row r="212">
          <cell r="C212" t="str">
            <v xml:space="preserve"> 통신내선공</v>
          </cell>
          <cell r="E212" t="str">
            <v>인</v>
          </cell>
          <cell r="F212">
            <v>0.03</v>
          </cell>
          <cell r="G212">
            <v>63738</v>
          </cell>
          <cell r="H212">
            <v>1912.1</v>
          </cell>
        </row>
        <row r="213">
          <cell r="B213" t="str">
            <v>소         계</v>
          </cell>
          <cell r="H213">
            <v>3900</v>
          </cell>
          <cell r="I213" t="str">
            <v>ⓒ</v>
          </cell>
        </row>
        <row r="215">
          <cell r="A215" t="str">
            <v>8재   료   비</v>
          </cell>
          <cell r="B215" t="str">
            <v>재   료   비</v>
          </cell>
          <cell r="D215" t="str">
            <v>ⓐ</v>
          </cell>
          <cell r="H215">
            <v>180000</v>
          </cell>
        </row>
        <row r="216">
          <cell r="A216" t="str">
            <v>8노   무   비</v>
          </cell>
          <cell r="B216" t="str">
            <v>노   무   비</v>
          </cell>
          <cell r="D216" t="str">
            <v>ⓑ</v>
          </cell>
          <cell r="H216">
            <v>130034</v>
          </cell>
        </row>
        <row r="217">
          <cell r="A217" t="str">
            <v>8경        비</v>
          </cell>
          <cell r="B217" t="str">
            <v>경        비</v>
          </cell>
          <cell r="D217" t="str">
            <v>ⓒ</v>
          </cell>
          <cell r="H217">
            <v>3900</v>
          </cell>
        </row>
        <row r="218">
          <cell r="B218" t="str">
            <v>계</v>
          </cell>
          <cell r="H218">
            <v>313934</v>
          </cell>
        </row>
        <row r="220">
          <cell r="B220">
            <v>9</v>
          </cell>
          <cell r="C220" t="str">
            <v xml:space="preserve"> VIDEO PHONE 설치</v>
          </cell>
          <cell r="D220" t="str">
            <v xml:space="preserve"> 자장치</v>
          </cell>
          <cell r="E220" t="str">
            <v>대</v>
          </cell>
          <cell r="F220">
            <v>1</v>
          </cell>
        </row>
        <row r="221">
          <cell r="C221" t="str">
            <v>가, 재료비</v>
          </cell>
        </row>
        <row r="222">
          <cell r="A222" t="str">
            <v xml:space="preserve"> 비디오폰  자장치</v>
          </cell>
          <cell r="C222" t="str">
            <v xml:space="preserve"> 비디오폰 </v>
          </cell>
          <cell r="D222" t="str">
            <v xml:space="preserve"> 자장치</v>
          </cell>
          <cell r="E222" t="str">
            <v>대</v>
          </cell>
          <cell r="F222">
            <v>1</v>
          </cell>
          <cell r="G222">
            <v>140000</v>
          </cell>
          <cell r="H222">
            <v>140000</v>
          </cell>
          <cell r="I222">
            <v>0</v>
          </cell>
        </row>
        <row r="223">
          <cell r="A223" t="str">
            <v xml:space="preserve"> 렌즈 AUTO IRIS(8mm)</v>
          </cell>
          <cell r="C223" t="str">
            <v xml:space="preserve"> 렌즈</v>
          </cell>
          <cell r="D223" t="str">
            <v xml:space="preserve"> AUTO IRIS(8mm)</v>
          </cell>
          <cell r="E223" t="str">
            <v>개</v>
          </cell>
          <cell r="F223">
            <v>1</v>
          </cell>
          <cell r="G223">
            <v>160000</v>
          </cell>
          <cell r="H223">
            <v>160000</v>
          </cell>
          <cell r="I223">
            <v>0</v>
          </cell>
        </row>
        <row r="224">
          <cell r="B224" t="str">
            <v>소         계</v>
          </cell>
          <cell r="H224">
            <v>300000</v>
          </cell>
          <cell r="I224" t="str">
            <v>ⓐ</v>
          </cell>
        </row>
        <row r="225">
          <cell r="C225" t="str">
            <v>나, 노무비</v>
          </cell>
        </row>
        <row r="226">
          <cell r="A226" t="str">
            <v>9 통신설비공</v>
          </cell>
          <cell r="C226" t="str">
            <v xml:space="preserve"> 통신설비공</v>
          </cell>
          <cell r="E226" t="str">
            <v>인</v>
          </cell>
          <cell r="F226">
            <v>0.5</v>
          </cell>
          <cell r="G226">
            <v>66296</v>
          </cell>
          <cell r="H226">
            <v>33148</v>
          </cell>
          <cell r="I226" t="str">
            <v>기본,통신 3-29</v>
          </cell>
        </row>
        <row r="227">
          <cell r="B227" t="str">
            <v>소         계</v>
          </cell>
          <cell r="H227">
            <v>33148</v>
          </cell>
          <cell r="I227" t="str">
            <v>ⓑ</v>
          </cell>
        </row>
        <row r="228">
          <cell r="C228" t="str">
            <v>다, 기계경비</v>
          </cell>
        </row>
        <row r="229">
          <cell r="C229" t="str">
            <v xml:space="preserve"> 통신설비공</v>
          </cell>
          <cell r="E229" t="str">
            <v>인</v>
          </cell>
          <cell r="F229">
            <v>1.4999999999999999E-2</v>
          </cell>
          <cell r="G229">
            <v>66296</v>
          </cell>
          <cell r="H229">
            <v>994.4</v>
          </cell>
        </row>
        <row r="230">
          <cell r="B230" t="str">
            <v>소         계</v>
          </cell>
          <cell r="H230">
            <v>994</v>
          </cell>
          <cell r="I230" t="str">
            <v>ⓒ</v>
          </cell>
        </row>
        <row r="232">
          <cell r="A232" t="str">
            <v>9재   료   비</v>
          </cell>
          <cell r="B232" t="str">
            <v>재   료   비</v>
          </cell>
          <cell r="D232" t="str">
            <v>ⓐ</v>
          </cell>
          <cell r="H232">
            <v>300000</v>
          </cell>
        </row>
        <row r="233">
          <cell r="A233" t="str">
            <v>9노   무   비</v>
          </cell>
          <cell r="B233" t="str">
            <v>노   무   비</v>
          </cell>
          <cell r="D233" t="str">
            <v>ⓑ</v>
          </cell>
          <cell r="H233">
            <v>33148</v>
          </cell>
        </row>
        <row r="234">
          <cell r="A234" t="str">
            <v>9경        비</v>
          </cell>
          <cell r="B234" t="str">
            <v>경        비</v>
          </cell>
          <cell r="D234" t="str">
            <v>ⓒ</v>
          </cell>
          <cell r="H234">
            <v>994</v>
          </cell>
        </row>
        <row r="235">
          <cell r="B235" t="str">
            <v>계</v>
          </cell>
          <cell r="H235">
            <v>334142</v>
          </cell>
        </row>
        <row r="238">
          <cell r="B238">
            <v>10</v>
          </cell>
          <cell r="C238" t="str">
            <v xml:space="preserve"> 통신케이블 신설</v>
          </cell>
          <cell r="D238" t="str">
            <v xml:space="preserve"> CPEV 10P/.65</v>
          </cell>
          <cell r="E238" t="str">
            <v>m</v>
          </cell>
          <cell r="F238">
            <v>1</v>
          </cell>
        </row>
        <row r="239">
          <cell r="C239" t="str">
            <v>가, 재료비</v>
          </cell>
        </row>
        <row r="240">
          <cell r="A240" t="str">
            <v xml:space="preserve"> 통신케이블 CPEV 10P/0.65</v>
          </cell>
          <cell r="C240" t="str">
            <v xml:space="preserve"> 통신케이블</v>
          </cell>
          <cell r="D240" t="str">
            <v xml:space="preserve"> CPEV 10P/0.65</v>
          </cell>
          <cell r="E240" t="str">
            <v>m</v>
          </cell>
          <cell r="F240">
            <v>1.03</v>
          </cell>
          <cell r="G240">
            <v>902</v>
          </cell>
          <cell r="H240">
            <v>929</v>
          </cell>
          <cell r="I240">
            <v>0.03</v>
          </cell>
        </row>
        <row r="241">
          <cell r="B241" t="str">
            <v>소         계</v>
          </cell>
          <cell r="H241">
            <v>929</v>
          </cell>
          <cell r="I241" t="str">
            <v>ⓐ</v>
          </cell>
        </row>
        <row r="242">
          <cell r="C242" t="str">
            <v>나, 노무비</v>
          </cell>
        </row>
        <row r="243">
          <cell r="A243" t="str">
            <v>10 통신케이블공</v>
          </cell>
          <cell r="C243" t="str">
            <v xml:space="preserve"> 통신케이블공</v>
          </cell>
          <cell r="E243" t="str">
            <v>인</v>
          </cell>
          <cell r="F243">
            <v>1.7999999999999999E-2</v>
          </cell>
          <cell r="G243">
            <v>80042</v>
          </cell>
          <cell r="H243">
            <v>1440.7</v>
          </cell>
          <cell r="I243" t="str">
            <v>기본,통신 3-16</v>
          </cell>
        </row>
        <row r="244">
          <cell r="B244" t="str">
            <v>소         계</v>
          </cell>
          <cell r="H244">
            <v>1440</v>
          </cell>
          <cell r="I244" t="str">
            <v>ⓑ</v>
          </cell>
        </row>
        <row r="245">
          <cell r="C245" t="str">
            <v>다, 기계경비</v>
          </cell>
        </row>
        <row r="246">
          <cell r="C246" t="str">
            <v xml:space="preserve"> 통신케이블공</v>
          </cell>
          <cell r="E246" t="str">
            <v>인</v>
          </cell>
          <cell r="F246">
            <v>5.0000000000000001E-4</v>
          </cell>
          <cell r="G246">
            <v>80042</v>
          </cell>
          <cell r="H246">
            <v>40</v>
          </cell>
        </row>
        <row r="247">
          <cell r="B247" t="str">
            <v>소         계</v>
          </cell>
          <cell r="H247">
            <v>40</v>
          </cell>
          <cell r="I247" t="str">
            <v>ⓒ</v>
          </cell>
        </row>
        <row r="249">
          <cell r="A249" t="str">
            <v>10재   료   비</v>
          </cell>
          <cell r="B249" t="str">
            <v>재   료   비</v>
          </cell>
          <cell r="D249" t="str">
            <v>ⓐ</v>
          </cell>
          <cell r="H249">
            <v>929</v>
          </cell>
        </row>
        <row r="250">
          <cell r="A250" t="str">
            <v>10노   무   비</v>
          </cell>
          <cell r="B250" t="str">
            <v>노   무   비</v>
          </cell>
          <cell r="D250" t="str">
            <v>ⓑ</v>
          </cell>
          <cell r="H250">
            <v>1440</v>
          </cell>
        </row>
        <row r="251">
          <cell r="A251" t="str">
            <v>10경        비</v>
          </cell>
          <cell r="B251" t="str">
            <v>경        비</v>
          </cell>
          <cell r="D251" t="str">
            <v>ⓒ</v>
          </cell>
          <cell r="H251">
            <v>40</v>
          </cell>
        </row>
        <row r="252">
          <cell r="B252" t="str">
            <v>계</v>
          </cell>
          <cell r="H252">
            <v>2409</v>
          </cell>
        </row>
        <row r="256">
          <cell r="B256">
            <v>11</v>
          </cell>
          <cell r="C256" t="str">
            <v xml:space="preserve"> 통신케이블 신설</v>
          </cell>
          <cell r="D256" t="str">
            <v xml:space="preserve"> CPEV 20P/.65</v>
          </cell>
          <cell r="E256" t="str">
            <v>m</v>
          </cell>
          <cell r="F256">
            <v>1</v>
          </cell>
        </row>
        <row r="257">
          <cell r="C257" t="str">
            <v>가, 재료비</v>
          </cell>
        </row>
        <row r="258">
          <cell r="A258" t="str">
            <v xml:space="preserve"> 통신케이블 CPEV 20P/0.65</v>
          </cell>
          <cell r="C258" t="str">
            <v xml:space="preserve"> 통신케이블</v>
          </cell>
          <cell r="D258" t="str">
            <v xml:space="preserve"> CPEV 20P/0.65</v>
          </cell>
          <cell r="E258" t="str">
            <v>m</v>
          </cell>
          <cell r="F258">
            <v>1.03</v>
          </cell>
          <cell r="G258">
            <v>1333</v>
          </cell>
          <cell r="H258">
            <v>1372.9</v>
          </cell>
          <cell r="I258">
            <v>0.03</v>
          </cell>
        </row>
        <row r="259">
          <cell r="B259" t="str">
            <v>소         계</v>
          </cell>
          <cell r="H259">
            <v>1372</v>
          </cell>
          <cell r="I259" t="str">
            <v>ⓐ</v>
          </cell>
        </row>
        <row r="260">
          <cell r="C260" t="str">
            <v>나, 노무비</v>
          </cell>
        </row>
        <row r="261">
          <cell r="A261" t="str">
            <v>11 통신케이블공</v>
          </cell>
          <cell r="C261" t="str">
            <v xml:space="preserve"> 통신케이블공</v>
          </cell>
          <cell r="E261" t="str">
            <v>인</v>
          </cell>
          <cell r="F261">
            <v>2.1999999999999999E-2</v>
          </cell>
          <cell r="G261">
            <v>80042</v>
          </cell>
          <cell r="H261">
            <v>1760.9</v>
          </cell>
          <cell r="I261" t="str">
            <v>기본,통신 3-16</v>
          </cell>
        </row>
        <row r="262">
          <cell r="B262" t="str">
            <v>소         계</v>
          </cell>
          <cell r="H262">
            <v>1760</v>
          </cell>
          <cell r="I262" t="str">
            <v>ⓑ</v>
          </cell>
        </row>
        <row r="263">
          <cell r="C263" t="str">
            <v>다, 기계경비</v>
          </cell>
        </row>
        <row r="264">
          <cell r="C264" t="str">
            <v xml:space="preserve"> 통신케이블공</v>
          </cell>
          <cell r="E264" t="str">
            <v>인</v>
          </cell>
          <cell r="F264">
            <v>5.9999999999999995E-4</v>
          </cell>
          <cell r="G264">
            <v>80042</v>
          </cell>
          <cell r="H264">
            <v>48</v>
          </cell>
        </row>
        <row r="265">
          <cell r="B265" t="str">
            <v>소         계</v>
          </cell>
          <cell r="H265">
            <v>48</v>
          </cell>
          <cell r="I265" t="str">
            <v>ⓒ</v>
          </cell>
        </row>
        <row r="267">
          <cell r="A267" t="str">
            <v>11재   료   비</v>
          </cell>
          <cell r="B267" t="str">
            <v>재   료   비</v>
          </cell>
          <cell r="D267" t="str">
            <v>ⓐ</v>
          </cell>
          <cell r="H267">
            <v>1372</v>
          </cell>
        </row>
        <row r="268">
          <cell r="A268" t="str">
            <v>11노   무   비</v>
          </cell>
          <cell r="B268" t="str">
            <v>노   무   비</v>
          </cell>
          <cell r="D268" t="str">
            <v>ⓑ</v>
          </cell>
          <cell r="H268">
            <v>1760</v>
          </cell>
        </row>
        <row r="269">
          <cell r="A269" t="str">
            <v>11경        비</v>
          </cell>
          <cell r="B269" t="str">
            <v>경        비</v>
          </cell>
          <cell r="D269" t="str">
            <v>ⓒ</v>
          </cell>
          <cell r="H269">
            <v>48</v>
          </cell>
        </row>
        <row r="270">
          <cell r="B270" t="str">
            <v>계</v>
          </cell>
          <cell r="H270">
            <v>3180</v>
          </cell>
        </row>
        <row r="274">
          <cell r="B274">
            <v>12</v>
          </cell>
          <cell r="C274" t="str">
            <v xml:space="preserve"> 통신케이블 신설</v>
          </cell>
          <cell r="D274" t="str">
            <v xml:space="preserve"> CPEV 30P/.65</v>
          </cell>
          <cell r="E274" t="str">
            <v>m</v>
          </cell>
          <cell r="F274">
            <v>1</v>
          </cell>
        </row>
        <row r="275">
          <cell r="C275" t="str">
            <v>가, 재료비</v>
          </cell>
        </row>
        <row r="276">
          <cell r="A276" t="str">
            <v xml:space="preserve"> 통신케이블 CPEV 30P/0.65</v>
          </cell>
          <cell r="C276" t="str">
            <v xml:space="preserve"> 통신케이블</v>
          </cell>
          <cell r="D276" t="str">
            <v xml:space="preserve"> CPEV 30P/0.65</v>
          </cell>
          <cell r="E276" t="str">
            <v>m</v>
          </cell>
          <cell r="F276">
            <v>1.03</v>
          </cell>
          <cell r="G276">
            <v>1333</v>
          </cell>
          <cell r="H276">
            <v>1372.9</v>
          </cell>
          <cell r="I276">
            <v>0.03</v>
          </cell>
        </row>
        <row r="277">
          <cell r="B277" t="str">
            <v>소         계</v>
          </cell>
          <cell r="H277">
            <v>1372</v>
          </cell>
          <cell r="I277" t="str">
            <v>ⓐ</v>
          </cell>
        </row>
        <row r="278">
          <cell r="C278" t="str">
            <v>나, 노무비</v>
          </cell>
        </row>
        <row r="279">
          <cell r="A279" t="str">
            <v>12 통신케이블공</v>
          </cell>
          <cell r="C279" t="str">
            <v xml:space="preserve"> 통신케이블공</v>
          </cell>
          <cell r="E279" t="str">
            <v>인</v>
          </cell>
          <cell r="F279">
            <v>2.3E-2</v>
          </cell>
          <cell r="G279">
            <v>80042</v>
          </cell>
          <cell r="H279">
            <v>1840.9</v>
          </cell>
          <cell r="I279" t="str">
            <v>기본,통신 3-16</v>
          </cell>
        </row>
        <row r="280">
          <cell r="B280" t="str">
            <v>소         계</v>
          </cell>
          <cell r="H280">
            <v>1840</v>
          </cell>
          <cell r="I280" t="str">
            <v>ⓑ</v>
          </cell>
        </row>
        <row r="281">
          <cell r="C281" t="str">
            <v>다, 기계경비</v>
          </cell>
        </row>
        <row r="282">
          <cell r="C282" t="str">
            <v xml:space="preserve"> 통신케이블공</v>
          </cell>
          <cell r="E282" t="str">
            <v>인</v>
          </cell>
          <cell r="F282">
            <v>5.9999999999999995E-4</v>
          </cell>
          <cell r="G282">
            <v>80042</v>
          </cell>
          <cell r="H282">
            <v>48</v>
          </cell>
        </row>
        <row r="283">
          <cell r="B283" t="str">
            <v>소         계</v>
          </cell>
          <cell r="H283">
            <v>48</v>
          </cell>
          <cell r="I283" t="str">
            <v>ⓒ</v>
          </cell>
        </row>
        <row r="285">
          <cell r="A285" t="str">
            <v>12재   료   비</v>
          </cell>
          <cell r="B285" t="str">
            <v>재   료   비</v>
          </cell>
          <cell r="D285" t="str">
            <v>ⓐ</v>
          </cell>
          <cell r="H285">
            <v>1372</v>
          </cell>
        </row>
        <row r="286">
          <cell r="A286" t="str">
            <v>12노   무   비</v>
          </cell>
          <cell r="B286" t="str">
            <v>노   무   비</v>
          </cell>
          <cell r="D286" t="str">
            <v>ⓑ</v>
          </cell>
          <cell r="H286">
            <v>1840</v>
          </cell>
        </row>
        <row r="287">
          <cell r="A287" t="str">
            <v>12경        비</v>
          </cell>
          <cell r="B287" t="str">
            <v>경        비</v>
          </cell>
          <cell r="D287" t="str">
            <v>ⓒ</v>
          </cell>
          <cell r="H287">
            <v>48</v>
          </cell>
        </row>
        <row r="288">
          <cell r="B288" t="str">
            <v>계</v>
          </cell>
          <cell r="H288">
            <v>3260</v>
          </cell>
        </row>
        <row r="292">
          <cell r="B292">
            <v>13</v>
          </cell>
          <cell r="C292" t="str">
            <v xml:space="preserve"> 동축케이블 신설</v>
          </cell>
          <cell r="D292" t="str">
            <v xml:space="preserve"> 5C-2V</v>
          </cell>
          <cell r="E292" t="str">
            <v>m</v>
          </cell>
          <cell r="F292">
            <v>1</v>
          </cell>
        </row>
        <row r="293">
          <cell r="C293" t="str">
            <v>가, 재료비</v>
          </cell>
        </row>
        <row r="294">
          <cell r="A294" t="str">
            <v xml:space="preserve"> ECX CABLE   5C-2V</v>
          </cell>
          <cell r="C294" t="str">
            <v xml:space="preserve"> ECX CABLE  </v>
          </cell>
          <cell r="D294" t="str">
            <v xml:space="preserve"> 5C-2V</v>
          </cell>
          <cell r="E294" t="str">
            <v>m</v>
          </cell>
          <cell r="F294">
            <v>1.03</v>
          </cell>
          <cell r="G294">
            <v>488</v>
          </cell>
          <cell r="H294">
            <v>502.6</v>
          </cell>
          <cell r="I294">
            <v>0.03</v>
          </cell>
        </row>
        <row r="295">
          <cell r="B295" t="str">
            <v>소         계</v>
          </cell>
          <cell r="H295">
            <v>502</v>
          </cell>
          <cell r="I295" t="str">
            <v>ⓐ</v>
          </cell>
        </row>
        <row r="296">
          <cell r="C296" t="str">
            <v>나, 노무비</v>
          </cell>
        </row>
        <row r="297">
          <cell r="A297" t="str">
            <v>13 통신설비공</v>
          </cell>
          <cell r="C297" t="str">
            <v xml:space="preserve"> 통신설비공</v>
          </cell>
          <cell r="E297" t="str">
            <v>인</v>
          </cell>
          <cell r="F297">
            <v>1.7999999999999999E-2</v>
          </cell>
          <cell r="G297">
            <v>66296</v>
          </cell>
          <cell r="H297">
            <v>1193.3</v>
          </cell>
          <cell r="I297" t="str">
            <v>기본,통신 5-89</v>
          </cell>
        </row>
        <row r="298">
          <cell r="B298" t="str">
            <v>소         계</v>
          </cell>
          <cell r="H298">
            <v>1193</v>
          </cell>
          <cell r="I298" t="str">
            <v>ⓑ</v>
          </cell>
        </row>
        <row r="299">
          <cell r="C299" t="str">
            <v>다, 기계경비</v>
          </cell>
        </row>
        <row r="300">
          <cell r="C300" t="str">
            <v xml:space="preserve"> 통신설비공</v>
          </cell>
          <cell r="E300" t="str">
            <v>인</v>
          </cell>
          <cell r="F300">
            <v>5.0000000000000001E-4</v>
          </cell>
          <cell r="G300">
            <v>66296</v>
          </cell>
          <cell r="H300">
            <v>33.1</v>
          </cell>
        </row>
        <row r="301">
          <cell r="B301" t="str">
            <v>소         계</v>
          </cell>
          <cell r="H301">
            <v>33</v>
          </cell>
          <cell r="I301" t="str">
            <v>ⓒ</v>
          </cell>
        </row>
        <row r="303">
          <cell r="A303" t="str">
            <v>13재   료   비</v>
          </cell>
          <cell r="B303" t="str">
            <v>재   료   비</v>
          </cell>
          <cell r="D303" t="str">
            <v>ⓐ</v>
          </cell>
          <cell r="H303">
            <v>502</v>
          </cell>
        </row>
        <row r="304">
          <cell r="A304" t="str">
            <v>13노   무   비</v>
          </cell>
          <cell r="B304" t="str">
            <v>노   무   비</v>
          </cell>
          <cell r="D304" t="str">
            <v>ⓑ</v>
          </cell>
          <cell r="H304">
            <v>1193</v>
          </cell>
        </row>
        <row r="305">
          <cell r="A305" t="str">
            <v>13경        비</v>
          </cell>
          <cell r="B305" t="str">
            <v>경        비</v>
          </cell>
          <cell r="D305" t="str">
            <v>ⓒ</v>
          </cell>
          <cell r="H305">
            <v>33</v>
          </cell>
        </row>
        <row r="306">
          <cell r="B306" t="str">
            <v>계</v>
          </cell>
          <cell r="H306">
            <v>1728</v>
          </cell>
        </row>
        <row r="310">
          <cell r="B310">
            <v>14</v>
          </cell>
          <cell r="C310" t="str">
            <v xml:space="preserve"> 동축케이블 신설</v>
          </cell>
          <cell r="D310" t="str">
            <v xml:space="preserve"> 7C-2V</v>
          </cell>
          <cell r="E310" t="str">
            <v>m</v>
          </cell>
          <cell r="F310">
            <v>1</v>
          </cell>
        </row>
        <row r="311">
          <cell r="C311" t="str">
            <v>가, 재료비</v>
          </cell>
        </row>
        <row r="312">
          <cell r="A312" t="str">
            <v xml:space="preserve"> ECX CABLE   7C-2V</v>
          </cell>
          <cell r="C312" t="str">
            <v xml:space="preserve"> ECX CABLE  </v>
          </cell>
          <cell r="D312" t="str">
            <v xml:space="preserve"> 7C-2V</v>
          </cell>
          <cell r="E312" t="str">
            <v>m</v>
          </cell>
          <cell r="F312">
            <v>1.03</v>
          </cell>
          <cell r="G312">
            <v>883</v>
          </cell>
          <cell r="H312">
            <v>909.4</v>
          </cell>
          <cell r="I312">
            <v>0.03</v>
          </cell>
        </row>
        <row r="313">
          <cell r="B313" t="str">
            <v>소         계</v>
          </cell>
          <cell r="H313">
            <v>909</v>
          </cell>
          <cell r="I313" t="str">
            <v>ⓐ</v>
          </cell>
        </row>
        <row r="314">
          <cell r="C314" t="str">
            <v>나, 노무비</v>
          </cell>
        </row>
        <row r="315">
          <cell r="A315" t="str">
            <v>14 통신설비공</v>
          </cell>
          <cell r="C315" t="str">
            <v xml:space="preserve"> 통신설비공</v>
          </cell>
          <cell r="E315" t="str">
            <v>인</v>
          </cell>
          <cell r="F315">
            <v>2.1999999999999999E-2</v>
          </cell>
          <cell r="G315">
            <v>66296</v>
          </cell>
          <cell r="H315">
            <v>1458.5</v>
          </cell>
          <cell r="I315" t="str">
            <v>기본,통신 5-89</v>
          </cell>
        </row>
        <row r="316">
          <cell r="B316" t="str">
            <v>소         계</v>
          </cell>
          <cell r="H316">
            <v>1458</v>
          </cell>
          <cell r="I316" t="str">
            <v>ⓑ</v>
          </cell>
        </row>
        <row r="317">
          <cell r="C317" t="str">
            <v>다, 기계경비</v>
          </cell>
        </row>
        <row r="318">
          <cell r="C318" t="str">
            <v xml:space="preserve"> 통신설비공</v>
          </cell>
          <cell r="E318" t="str">
            <v>인</v>
          </cell>
          <cell r="F318">
            <v>5.9999999999999995E-4</v>
          </cell>
          <cell r="G318">
            <v>66296</v>
          </cell>
          <cell r="H318">
            <v>39.700000000000003</v>
          </cell>
        </row>
        <row r="319">
          <cell r="B319" t="str">
            <v>소         계</v>
          </cell>
          <cell r="H319">
            <v>39</v>
          </cell>
          <cell r="I319" t="str">
            <v>ⓒ</v>
          </cell>
        </row>
        <row r="321">
          <cell r="A321" t="str">
            <v>14재   료   비</v>
          </cell>
          <cell r="B321" t="str">
            <v>재   료   비</v>
          </cell>
          <cell r="D321" t="str">
            <v>ⓐ</v>
          </cell>
          <cell r="H321">
            <v>909</v>
          </cell>
        </row>
        <row r="322">
          <cell r="A322" t="str">
            <v>14노   무   비</v>
          </cell>
          <cell r="B322" t="str">
            <v>노   무   비</v>
          </cell>
          <cell r="D322" t="str">
            <v>ⓑ</v>
          </cell>
          <cell r="H322">
            <v>1458</v>
          </cell>
        </row>
        <row r="323">
          <cell r="A323" t="str">
            <v>14경        비</v>
          </cell>
          <cell r="B323" t="str">
            <v>경        비</v>
          </cell>
          <cell r="D323" t="str">
            <v>ⓒ</v>
          </cell>
          <cell r="H323">
            <v>39</v>
          </cell>
        </row>
        <row r="324">
          <cell r="B324" t="str">
            <v>계</v>
          </cell>
          <cell r="H324">
            <v>2406</v>
          </cell>
        </row>
        <row r="328">
          <cell r="B328">
            <v>15</v>
          </cell>
          <cell r="C328" t="str">
            <v xml:space="preserve"> 전원선 신설</v>
          </cell>
          <cell r="D328" t="str">
            <v xml:space="preserve"> CV 2C/5.5㎟</v>
          </cell>
          <cell r="E328" t="str">
            <v>m</v>
          </cell>
          <cell r="F328">
            <v>1</v>
          </cell>
        </row>
        <row r="329">
          <cell r="C329" t="str">
            <v>가, 재료비</v>
          </cell>
        </row>
        <row r="330">
          <cell r="A330" t="str">
            <v xml:space="preserve"> 600V 가교PE 케이블   CV 2C/5.5㎟</v>
          </cell>
          <cell r="C330" t="str">
            <v xml:space="preserve"> 600V 가교PE 케이블  </v>
          </cell>
          <cell r="D330" t="str">
            <v xml:space="preserve"> CV 2C/5.5㎟</v>
          </cell>
          <cell r="E330" t="str">
            <v>m</v>
          </cell>
          <cell r="F330">
            <v>1.03</v>
          </cell>
          <cell r="G330">
            <v>918</v>
          </cell>
          <cell r="H330">
            <v>945.5</v>
          </cell>
          <cell r="I330">
            <v>0.03</v>
          </cell>
        </row>
        <row r="331">
          <cell r="B331" t="str">
            <v>소         계</v>
          </cell>
          <cell r="H331">
            <v>945</v>
          </cell>
          <cell r="I331" t="str">
            <v>ⓐ</v>
          </cell>
        </row>
        <row r="332">
          <cell r="C332" t="str">
            <v>나, 노무비</v>
          </cell>
        </row>
        <row r="333">
          <cell r="A333" t="str">
            <v>15 저압케이블전공</v>
          </cell>
          <cell r="C333" t="str">
            <v xml:space="preserve"> 저압케이블전공</v>
          </cell>
          <cell r="E333" t="str">
            <v>인</v>
          </cell>
          <cell r="F333">
            <v>1.7999999999999999E-2</v>
          </cell>
          <cell r="G333">
            <v>55486</v>
          </cell>
          <cell r="H333">
            <v>998.7</v>
          </cell>
          <cell r="I333" t="str">
            <v>기본,전기 7-10</v>
          </cell>
        </row>
        <row r="334">
          <cell r="B334" t="str">
            <v>소         계</v>
          </cell>
          <cell r="H334">
            <v>998</v>
          </cell>
          <cell r="I334" t="str">
            <v>ⓑ</v>
          </cell>
        </row>
        <row r="335">
          <cell r="C335" t="str">
            <v>다, 기계경비</v>
          </cell>
        </row>
        <row r="336">
          <cell r="C336" t="str">
            <v xml:space="preserve"> 저압케이블전공</v>
          </cell>
          <cell r="E336" t="str">
            <v>인</v>
          </cell>
          <cell r="F336">
            <v>5.0000000000000001E-4</v>
          </cell>
          <cell r="G336">
            <v>55486</v>
          </cell>
          <cell r="H336">
            <v>27.7</v>
          </cell>
        </row>
        <row r="337">
          <cell r="B337" t="str">
            <v>소         계</v>
          </cell>
          <cell r="H337">
            <v>27</v>
          </cell>
          <cell r="I337" t="str">
            <v>ⓒ</v>
          </cell>
        </row>
        <row r="339">
          <cell r="A339" t="str">
            <v>15재   료   비</v>
          </cell>
          <cell r="B339" t="str">
            <v>재   료   비</v>
          </cell>
          <cell r="D339" t="str">
            <v>ⓐ</v>
          </cell>
          <cell r="H339">
            <v>945</v>
          </cell>
        </row>
        <row r="340">
          <cell r="A340" t="str">
            <v>15노   무   비</v>
          </cell>
          <cell r="B340" t="str">
            <v>노   무   비</v>
          </cell>
          <cell r="D340" t="str">
            <v>ⓑ</v>
          </cell>
          <cell r="H340">
            <v>998</v>
          </cell>
        </row>
        <row r="341">
          <cell r="A341" t="str">
            <v>15경        비</v>
          </cell>
          <cell r="B341" t="str">
            <v>경        비</v>
          </cell>
          <cell r="D341" t="str">
            <v>ⓒ</v>
          </cell>
          <cell r="H341">
            <v>27</v>
          </cell>
        </row>
        <row r="342">
          <cell r="B342" t="str">
            <v>계</v>
          </cell>
          <cell r="H342">
            <v>1970</v>
          </cell>
        </row>
        <row r="346">
          <cell r="B346">
            <v>16</v>
          </cell>
          <cell r="C346" t="str">
            <v xml:space="preserve"> 전화선 신설</v>
          </cell>
          <cell r="D346" t="str">
            <v xml:space="preserve"> TIV 2C/.8mm</v>
          </cell>
          <cell r="E346" t="str">
            <v>m</v>
          </cell>
          <cell r="F346">
            <v>1</v>
          </cell>
        </row>
        <row r="347">
          <cell r="C347" t="str">
            <v>가, 재료비</v>
          </cell>
        </row>
        <row r="348">
          <cell r="A348" t="str">
            <v xml:space="preserve"> 전화선  TIV  2C/0.8㎜</v>
          </cell>
          <cell r="C348" t="str">
            <v xml:space="preserve"> 전화선 </v>
          </cell>
          <cell r="D348" t="str">
            <v xml:space="preserve"> TIV  2C/0.8㎜</v>
          </cell>
          <cell r="E348" t="str">
            <v>m</v>
          </cell>
          <cell r="F348">
            <v>1.05</v>
          </cell>
          <cell r="G348">
            <v>78</v>
          </cell>
          <cell r="H348">
            <v>81.900000000000006</v>
          </cell>
          <cell r="I348">
            <v>0.05</v>
          </cell>
        </row>
        <row r="349">
          <cell r="B349" t="str">
            <v>소         계</v>
          </cell>
          <cell r="H349">
            <v>81</v>
          </cell>
          <cell r="I349" t="str">
            <v>ⓐ</v>
          </cell>
        </row>
        <row r="350">
          <cell r="C350" t="str">
            <v>나, 노무비</v>
          </cell>
        </row>
        <row r="351">
          <cell r="A351" t="str">
            <v>16 통신내선공</v>
          </cell>
          <cell r="C351" t="str">
            <v xml:space="preserve"> 통신내선공</v>
          </cell>
          <cell r="E351" t="str">
            <v>인</v>
          </cell>
          <cell r="F351">
            <v>1.4999999999999999E-2</v>
          </cell>
          <cell r="G351">
            <v>63738</v>
          </cell>
          <cell r="H351">
            <v>956</v>
          </cell>
          <cell r="I351" t="str">
            <v>기본,통신 3-16</v>
          </cell>
        </row>
        <row r="352">
          <cell r="B352" t="str">
            <v>소         계</v>
          </cell>
          <cell r="H352">
            <v>956</v>
          </cell>
          <cell r="I352" t="str">
            <v>ⓑ</v>
          </cell>
        </row>
        <row r="353">
          <cell r="C353" t="str">
            <v>다, 기계경비</v>
          </cell>
        </row>
        <row r="354">
          <cell r="C354" t="str">
            <v xml:space="preserve"> 통신내선공</v>
          </cell>
          <cell r="E354" t="str">
            <v>인</v>
          </cell>
          <cell r="F354">
            <v>4.0000000000000002E-4</v>
          </cell>
          <cell r="G354">
            <v>63738</v>
          </cell>
          <cell r="H354">
            <v>25.4</v>
          </cell>
        </row>
        <row r="355">
          <cell r="B355" t="str">
            <v>소         계</v>
          </cell>
          <cell r="H355">
            <v>25</v>
          </cell>
          <cell r="I355" t="str">
            <v>ⓒ</v>
          </cell>
        </row>
        <row r="357">
          <cell r="A357" t="str">
            <v>16재   료   비</v>
          </cell>
          <cell r="B357" t="str">
            <v>재   료   비</v>
          </cell>
          <cell r="D357" t="str">
            <v>ⓐ</v>
          </cell>
          <cell r="H357">
            <v>81</v>
          </cell>
        </row>
        <row r="358">
          <cell r="A358" t="str">
            <v>16노   무   비</v>
          </cell>
          <cell r="B358" t="str">
            <v>노   무   비</v>
          </cell>
          <cell r="D358" t="str">
            <v>ⓑ</v>
          </cell>
          <cell r="H358">
            <v>956</v>
          </cell>
        </row>
        <row r="359">
          <cell r="A359" t="str">
            <v>16경        비</v>
          </cell>
          <cell r="B359" t="str">
            <v>경        비</v>
          </cell>
          <cell r="D359" t="str">
            <v>ⓒ</v>
          </cell>
          <cell r="H359">
            <v>25</v>
          </cell>
        </row>
        <row r="360">
          <cell r="B360" t="str">
            <v>계</v>
          </cell>
          <cell r="H360">
            <v>1062</v>
          </cell>
        </row>
        <row r="364">
          <cell r="B364">
            <v>17</v>
          </cell>
          <cell r="C364" t="str">
            <v xml:space="preserve"> 접지선 신설</v>
          </cell>
          <cell r="D364" t="str">
            <v xml:space="preserve"> GV 38㎟</v>
          </cell>
          <cell r="E364" t="str">
            <v>m</v>
          </cell>
          <cell r="F364">
            <v>1</v>
          </cell>
        </row>
        <row r="365">
          <cell r="C365" t="str">
            <v>가, 재료비</v>
          </cell>
        </row>
        <row r="366">
          <cell r="A366" t="str">
            <v xml:space="preserve"> 접지봉리드선   GV 38㎟</v>
          </cell>
          <cell r="C366" t="str">
            <v xml:space="preserve"> 접지봉리드선  </v>
          </cell>
          <cell r="D366" t="str">
            <v xml:space="preserve"> GV 38㎟</v>
          </cell>
          <cell r="E366" t="str">
            <v>m</v>
          </cell>
          <cell r="F366">
            <v>1.1000000000000001</v>
          </cell>
          <cell r="G366">
            <v>2211</v>
          </cell>
          <cell r="H366">
            <v>2432.1</v>
          </cell>
          <cell r="I366">
            <v>0.1</v>
          </cell>
        </row>
        <row r="367">
          <cell r="B367" t="str">
            <v>소         계</v>
          </cell>
          <cell r="H367">
            <v>2432</v>
          </cell>
          <cell r="I367" t="str">
            <v>ⓐ</v>
          </cell>
        </row>
        <row r="368">
          <cell r="C368" t="str">
            <v>나, 노무비</v>
          </cell>
        </row>
        <row r="369">
          <cell r="A369" t="str">
            <v>17 저압케이블전공</v>
          </cell>
          <cell r="C369" t="str">
            <v xml:space="preserve"> 저압케이블전공</v>
          </cell>
          <cell r="E369" t="str">
            <v>인</v>
          </cell>
          <cell r="F369">
            <v>3.1E-2</v>
          </cell>
          <cell r="G369">
            <v>55486</v>
          </cell>
          <cell r="H369">
            <v>1720</v>
          </cell>
          <cell r="I369" t="str">
            <v>기본,전기 7-8</v>
          </cell>
        </row>
        <row r="370">
          <cell r="B370" t="str">
            <v>소         계</v>
          </cell>
          <cell r="H370">
            <v>1720</v>
          </cell>
          <cell r="I370" t="str">
            <v>ⓑ</v>
          </cell>
        </row>
        <row r="371">
          <cell r="C371" t="str">
            <v>다, 기계경비</v>
          </cell>
        </row>
        <row r="372">
          <cell r="C372" t="str">
            <v xml:space="preserve"> 저압케이블전공</v>
          </cell>
          <cell r="E372" t="str">
            <v>인</v>
          </cell>
          <cell r="F372">
            <v>8.9999999999999998E-4</v>
          </cell>
          <cell r="G372">
            <v>55486</v>
          </cell>
          <cell r="H372">
            <v>49.9</v>
          </cell>
        </row>
        <row r="373">
          <cell r="B373" t="str">
            <v>소         계</v>
          </cell>
          <cell r="H373">
            <v>49</v>
          </cell>
          <cell r="I373" t="str">
            <v>ⓒ</v>
          </cell>
        </row>
        <row r="375">
          <cell r="A375" t="str">
            <v>17재   료   비</v>
          </cell>
          <cell r="B375" t="str">
            <v>재   료   비</v>
          </cell>
          <cell r="D375" t="str">
            <v>ⓐ</v>
          </cell>
          <cell r="H375">
            <v>2432</v>
          </cell>
        </row>
        <row r="376">
          <cell r="A376" t="str">
            <v>17노   무   비</v>
          </cell>
          <cell r="B376" t="str">
            <v>노   무   비</v>
          </cell>
          <cell r="D376" t="str">
            <v>ⓑ</v>
          </cell>
          <cell r="H376">
            <v>1720</v>
          </cell>
        </row>
        <row r="377">
          <cell r="A377" t="str">
            <v>17경        비</v>
          </cell>
          <cell r="B377" t="str">
            <v>경        비</v>
          </cell>
          <cell r="D377" t="str">
            <v>ⓒ</v>
          </cell>
          <cell r="H377">
            <v>49</v>
          </cell>
        </row>
        <row r="378">
          <cell r="B378" t="str">
            <v>계</v>
          </cell>
          <cell r="H378">
            <v>4201</v>
          </cell>
        </row>
        <row r="382">
          <cell r="B382">
            <v>18</v>
          </cell>
          <cell r="C382" t="str">
            <v xml:space="preserve"> 접지선 신설</v>
          </cell>
          <cell r="D382" t="str">
            <v xml:space="preserve"> GV 5.5㎟</v>
          </cell>
          <cell r="E382" t="str">
            <v>m</v>
          </cell>
          <cell r="F382">
            <v>1</v>
          </cell>
        </row>
        <row r="383">
          <cell r="C383" t="str">
            <v>가, 재료비</v>
          </cell>
        </row>
        <row r="384">
          <cell r="A384" t="str">
            <v xml:space="preserve"> 접지용전선   GV 5.5㎟</v>
          </cell>
          <cell r="C384" t="str">
            <v xml:space="preserve"> 접지용전선  </v>
          </cell>
          <cell r="D384" t="str">
            <v xml:space="preserve"> GV 5.5㎟</v>
          </cell>
          <cell r="E384" t="str">
            <v>m</v>
          </cell>
          <cell r="F384">
            <v>1.1000000000000001</v>
          </cell>
          <cell r="G384">
            <v>410</v>
          </cell>
          <cell r="H384">
            <v>451</v>
          </cell>
          <cell r="I384">
            <v>0.1</v>
          </cell>
        </row>
        <row r="385">
          <cell r="B385" t="str">
            <v>소         계</v>
          </cell>
          <cell r="H385">
            <v>451</v>
          </cell>
          <cell r="I385" t="str">
            <v>ⓐ</v>
          </cell>
        </row>
        <row r="386">
          <cell r="C386" t="str">
            <v>나, 노무비</v>
          </cell>
        </row>
        <row r="387">
          <cell r="A387" t="str">
            <v>18 저압케이블전공</v>
          </cell>
          <cell r="C387" t="str">
            <v xml:space="preserve"> 저압케이블전공</v>
          </cell>
          <cell r="E387" t="str">
            <v>인</v>
          </cell>
          <cell r="F387">
            <v>0.01</v>
          </cell>
          <cell r="G387">
            <v>55486</v>
          </cell>
          <cell r="H387">
            <v>554.79999999999995</v>
          </cell>
          <cell r="I387" t="str">
            <v>기본,전기 7-8</v>
          </cell>
        </row>
        <row r="388">
          <cell r="B388" t="str">
            <v>소         계</v>
          </cell>
          <cell r="H388">
            <v>554</v>
          </cell>
          <cell r="I388" t="str">
            <v>ⓑ</v>
          </cell>
        </row>
        <row r="389">
          <cell r="C389" t="str">
            <v>다, 기계경비</v>
          </cell>
        </row>
        <row r="390">
          <cell r="C390" t="str">
            <v xml:space="preserve"> 저압케이블전공</v>
          </cell>
          <cell r="E390" t="str">
            <v>인</v>
          </cell>
          <cell r="F390">
            <v>2.9999999999999997E-4</v>
          </cell>
          <cell r="G390">
            <v>55486</v>
          </cell>
          <cell r="H390">
            <v>16.600000000000001</v>
          </cell>
        </row>
        <row r="391">
          <cell r="B391" t="str">
            <v>소         계</v>
          </cell>
          <cell r="H391">
            <v>16</v>
          </cell>
          <cell r="I391" t="str">
            <v>ⓒ</v>
          </cell>
        </row>
        <row r="393">
          <cell r="A393" t="str">
            <v>18재   료   비</v>
          </cell>
          <cell r="B393" t="str">
            <v>재   료   비</v>
          </cell>
          <cell r="D393" t="str">
            <v>ⓐ</v>
          </cell>
          <cell r="H393">
            <v>451</v>
          </cell>
        </row>
        <row r="394">
          <cell r="A394" t="str">
            <v>18노   무   비</v>
          </cell>
          <cell r="B394" t="str">
            <v>노   무   비</v>
          </cell>
          <cell r="D394" t="str">
            <v>ⓑ</v>
          </cell>
          <cell r="H394">
            <v>554</v>
          </cell>
        </row>
        <row r="395">
          <cell r="A395" t="str">
            <v>18경        비</v>
          </cell>
          <cell r="B395" t="str">
            <v>경        비</v>
          </cell>
          <cell r="D395" t="str">
            <v>ⓒ</v>
          </cell>
          <cell r="H395">
            <v>16</v>
          </cell>
        </row>
        <row r="396">
          <cell r="B396" t="str">
            <v>계</v>
          </cell>
          <cell r="H396">
            <v>1021</v>
          </cell>
        </row>
        <row r="400">
          <cell r="B400">
            <v>19</v>
          </cell>
          <cell r="C400" t="str">
            <v xml:space="preserve"> 전원선 신설</v>
          </cell>
          <cell r="D400" t="str">
            <v xml:space="preserve"> IV 5.5㎟</v>
          </cell>
          <cell r="E400" t="str">
            <v>m</v>
          </cell>
          <cell r="F400">
            <v>1</v>
          </cell>
        </row>
        <row r="401">
          <cell r="C401" t="str">
            <v>가, 재료비</v>
          </cell>
        </row>
        <row r="402">
          <cell r="A402" t="str">
            <v xml:space="preserve"> 600V 비닐절연전선  IV 5.5㎟</v>
          </cell>
          <cell r="C402" t="str">
            <v xml:space="preserve"> 600V 비닐절연전선 </v>
          </cell>
          <cell r="D402" t="str">
            <v xml:space="preserve"> IV 5.5㎟</v>
          </cell>
          <cell r="E402" t="str">
            <v>m</v>
          </cell>
          <cell r="F402">
            <v>1.1000000000000001</v>
          </cell>
          <cell r="G402">
            <v>252</v>
          </cell>
          <cell r="H402">
            <v>277.2</v>
          </cell>
          <cell r="I402">
            <v>0.1</v>
          </cell>
        </row>
        <row r="403">
          <cell r="B403" t="str">
            <v>소         계</v>
          </cell>
          <cell r="H403">
            <v>277</v>
          </cell>
          <cell r="I403" t="str">
            <v>ⓐ</v>
          </cell>
        </row>
        <row r="404">
          <cell r="C404" t="str">
            <v>나, 노무비</v>
          </cell>
        </row>
        <row r="405">
          <cell r="A405" t="str">
            <v>19 저압케이블전공</v>
          </cell>
          <cell r="C405" t="str">
            <v xml:space="preserve"> 저압케이블전공</v>
          </cell>
          <cell r="E405" t="str">
            <v>인</v>
          </cell>
          <cell r="F405">
            <v>1.2999999999999999E-2</v>
          </cell>
          <cell r="G405">
            <v>55486</v>
          </cell>
          <cell r="H405">
            <v>721.3</v>
          </cell>
          <cell r="I405" t="str">
            <v>기본,전기 7-10</v>
          </cell>
        </row>
        <row r="406">
          <cell r="B406" t="str">
            <v>소         계</v>
          </cell>
          <cell r="H406">
            <v>721</v>
          </cell>
          <cell r="I406" t="str">
            <v>ⓑ</v>
          </cell>
        </row>
        <row r="407">
          <cell r="C407" t="str">
            <v>다, 기계경비</v>
          </cell>
        </row>
        <row r="408">
          <cell r="C408" t="str">
            <v xml:space="preserve"> 저압케이블전공</v>
          </cell>
          <cell r="E408" t="str">
            <v>인</v>
          </cell>
          <cell r="F408">
            <v>2.9999999999999997E-4</v>
          </cell>
          <cell r="G408">
            <v>55486</v>
          </cell>
          <cell r="H408">
            <v>16.600000000000001</v>
          </cell>
        </row>
        <row r="409">
          <cell r="B409" t="str">
            <v>소         계</v>
          </cell>
          <cell r="H409">
            <v>16</v>
          </cell>
          <cell r="I409" t="str">
            <v>ⓒ</v>
          </cell>
        </row>
        <row r="411">
          <cell r="A411" t="str">
            <v>19재   료   비</v>
          </cell>
          <cell r="B411" t="str">
            <v>재   료   비</v>
          </cell>
          <cell r="D411" t="str">
            <v>ⓐ</v>
          </cell>
          <cell r="H411">
            <v>277</v>
          </cell>
        </row>
        <row r="412">
          <cell r="A412" t="str">
            <v>19노   무   비</v>
          </cell>
          <cell r="B412" t="str">
            <v>노   무   비</v>
          </cell>
          <cell r="D412" t="str">
            <v>ⓑ</v>
          </cell>
          <cell r="H412">
            <v>721</v>
          </cell>
        </row>
        <row r="413">
          <cell r="A413" t="str">
            <v>19경        비</v>
          </cell>
          <cell r="B413" t="str">
            <v>경        비</v>
          </cell>
          <cell r="D413" t="str">
            <v>ⓒ</v>
          </cell>
          <cell r="H413">
            <v>16</v>
          </cell>
        </row>
        <row r="414">
          <cell r="B414" t="str">
            <v>계</v>
          </cell>
          <cell r="H414">
            <v>1014</v>
          </cell>
        </row>
        <row r="418">
          <cell r="B418">
            <v>20</v>
          </cell>
          <cell r="C418" t="str">
            <v xml:space="preserve"> 제어선 신설</v>
          </cell>
          <cell r="D418" t="str">
            <v xml:space="preserve"> CVV-S 2C/1.25㎟</v>
          </cell>
          <cell r="E418" t="str">
            <v>m</v>
          </cell>
          <cell r="F418">
            <v>1</v>
          </cell>
        </row>
        <row r="419">
          <cell r="C419" t="str">
            <v>가, 재료비</v>
          </cell>
        </row>
        <row r="420">
          <cell r="A420" t="str">
            <v xml:space="preserve"> 제어케이블 CVV-S  2C×1.25㎟</v>
          </cell>
          <cell r="C420" t="str">
            <v xml:space="preserve"> 제어케이블</v>
          </cell>
          <cell r="D420" t="str">
            <v xml:space="preserve"> CVV-S  2C×1.25㎟</v>
          </cell>
          <cell r="E420" t="str">
            <v>m</v>
          </cell>
          <cell r="F420">
            <v>1.03</v>
          </cell>
          <cell r="G420">
            <v>672</v>
          </cell>
          <cell r="H420">
            <v>692.1</v>
          </cell>
          <cell r="I420">
            <v>0.03</v>
          </cell>
        </row>
        <row r="421">
          <cell r="B421" t="str">
            <v>소         계</v>
          </cell>
          <cell r="H421">
            <v>692</v>
          </cell>
          <cell r="I421" t="str">
            <v>ⓐ</v>
          </cell>
        </row>
        <row r="422">
          <cell r="C422" t="str">
            <v>나, 노무비</v>
          </cell>
        </row>
        <row r="423">
          <cell r="A423" t="str">
            <v>20 저압케이블전공</v>
          </cell>
          <cell r="C423" t="str">
            <v xml:space="preserve"> 저압케이블전공</v>
          </cell>
          <cell r="E423" t="str">
            <v>인</v>
          </cell>
          <cell r="F423">
            <v>1.6E-2</v>
          </cell>
          <cell r="G423">
            <v>55486</v>
          </cell>
          <cell r="H423">
            <v>887.7</v>
          </cell>
          <cell r="I423" t="str">
            <v>기본x(실드),전기 7-10</v>
          </cell>
        </row>
        <row r="424">
          <cell r="B424" t="str">
            <v>소         계</v>
          </cell>
          <cell r="H424">
            <v>887</v>
          </cell>
          <cell r="I424" t="str">
            <v>ⓑ</v>
          </cell>
        </row>
        <row r="425">
          <cell r="C425" t="str">
            <v>다, 기계경비</v>
          </cell>
        </row>
        <row r="426">
          <cell r="C426" t="str">
            <v xml:space="preserve"> 저압케이블전공</v>
          </cell>
          <cell r="E426" t="str">
            <v>인</v>
          </cell>
          <cell r="F426">
            <v>4.0000000000000002E-4</v>
          </cell>
          <cell r="G426">
            <v>55486</v>
          </cell>
          <cell r="H426">
            <v>22.1</v>
          </cell>
        </row>
        <row r="427">
          <cell r="B427" t="str">
            <v>소         계</v>
          </cell>
          <cell r="H427">
            <v>22</v>
          </cell>
          <cell r="I427" t="str">
            <v>ⓒ</v>
          </cell>
        </row>
        <row r="429">
          <cell r="A429" t="str">
            <v>20재   료   비</v>
          </cell>
          <cell r="B429" t="str">
            <v>재   료   비</v>
          </cell>
          <cell r="D429" t="str">
            <v>ⓐ</v>
          </cell>
          <cell r="H429">
            <v>692</v>
          </cell>
        </row>
        <row r="430">
          <cell r="A430" t="str">
            <v>20노   무   비</v>
          </cell>
          <cell r="B430" t="str">
            <v>노   무   비</v>
          </cell>
          <cell r="D430" t="str">
            <v>ⓑ</v>
          </cell>
          <cell r="H430">
            <v>887</v>
          </cell>
        </row>
        <row r="431">
          <cell r="A431" t="str">
            <v>20경        비</v>
          </cell>
          <cell r="B431" t="str">
            <v>경        비</v>
          </cell>
          <cell r="D431" t="str">
            <v>ⓒ</v>
          </cell>
          <cell r="H431">
            <v>22</v>
          </cell>
        </row>
        <row r="432">
          <cell r="B432" t="str">
            <v>계</v>
          </cell>
          <cell r="H432">
            <v>1601</v>
          </cell>
        </row>
        <row r="436">
          <cell r="B436">
            <v>21</v>
          </cell>
          <cell r="C436" t="str">
            <v xml:space="preserve"> 인터폰선 신설</v>
          </cell>
          <cell r="D436" t="str">
            <v xml:space="preserve"> SH 5P</v>
          </cell>
          <cell r="E436" t="str">
            <v>m</v>
          </cell>
          <cell r="F436">
            <v>1</v>
          </cell>
        </row>
        <row r="437">
          <cell r="C437" t="str">
            <v>가, 재료비</v>
          </cell>
        </row>
        <row r="438">
          <cell r="A438" t="str">
            <v xml:space="preserve"> 국내케이블  SWV-SH  2개연 10C</v>
          </cell>
          <cell r="C438" t="str">
            <v xml:space="preserve"> 국내케이블 </v>
          </cell>
          <cell r="D438" t="str">
            <v xml:space="preserve"> SWV-SH  2개연 10C</v>
          </cell>
          <cell r="E438" t="str">
            <v>m</v>
          </cell>
          <cell r="F438">
            <v>1.03</v>
          </cell>
          <cell r="G438">
            <v>673</v>
          </cell>
          <cell r="H438">
            <v>693.1</v>
          </cell>
          <cell r="I438">
            <v>0.03</v>
          </cell>
        </row>
        <row r="439">
          <cell r="B439" t="str">
            <v>소         계</v>
          </cell>
          <cell r="H439">
            <v>693</v>
          </cell>
          <cell r="I439" t="str">
            <v>ⓐ</v>
          </cell>
        </row>
        <row r="440">
          <cell r="C440" t="str">
            <v>나, 노무비</v>
          </cell>
        </row>
        <row r="441">
          <cell r="A441" t="str">
            <v>21 통신케이블공</v>
          </cell>
          <cell r="C441" t="str">
            <v xml:space="preserve"> 통신케이블공</v>
          </cell>
          <cell r="E441" t="str">
            <v>인</v>
          </cell>
          <cell r="F441">
            <v>1.7999999999999999E-2</v>
          </cell>
          <cell r="G441">
            <v>80042</v>
          </cell>
          <cell r="H441">
            <v>1440.7</v>
          </cell>
          <cell r="I441" t="str">
            <v>기본,통신 3-16</v>
          </cell>
        </row>
        <row r="442">
          <cell r="B442" t="str">
            <v>소         계</v>
          </cell>
          <cell r="H442">
            <v>1440</v>
          </cell>
          <cell r="I442" t="str">
            <v>ⓑ</v>
          </cell>
        </row>
        <row r="443">
          <cell r="C443" t="str">
            <v>다, 기계경비</v>
          </cell>
        </row>
        <row r="444">
          <cell r="C444" t="str">
            <v xml:space="preserve"> 통신케이블공</v>
          </cell>
          <cell r="E444" t="str">
            <v>인</v>
          </cell>
          <cell r="F444">
            <v>5.0000000000000001E-4</v>
          </cell>
          <cell r="G444">
            <v>80042</v>
          </cell>
          <cell r="H444">
            <v>40</v>
          </cell>
        </row>
        <row r="445">
          <cell r="B445" t="str">
            <v>소         계</v>
          </cell>
          <cell r="H445">
            <v>40</v>
          </cell>
          <cell r="I445" t="str">
            <v>ⓒ</v>
          </cell>
        </row>
        <row r="447">
          <cell r="A447" t="str">
            <v>21재   료   비</v>
          </cell>
          <cell r="B447" t="str">
            <v>재   료   비</v>
          </cell>
          <cell r="D447" t="str">
            <v>ⓐ</v>
          </cell>
          <cell r="H447">
            <v>693</v>
          </cell>
        </row>
        <row r="448">
          <cell r="A448" t="str">
            <v>21노   무   비</v>
          </cell>
          <cell r="B448" t="str">
            <v>노   무   비</v>
          </cell>
          <cell r="D448" t="str">
            <v>ⓑ</v>
          </cell>
          <cell r="H448">
            <v>1440</v>
          </cell>
        </row>
        <row r="449">
          <cell r="A449" t="str">
            <v>21경        비</v>
          </cell>
          <cell r="B449" t="str">
            <v>경        비</v>
          </cell>
          <cell r="D449" t="str">
            <v>ⓒ</v>
          </cell>
          <cell r="H449">
            <v>40</v>
          </cell>
        </row>
        <row r="450">
          <cell r="B450" t="str">
            <v>계</v>
          </cell>
          <cell r="H450">
            <v>2173</v>
          </cell>
        </row>
        <row r="454">
          <cell r="B454">
            <v>22</v>
          </cell>
          <cell r="C454" t="str">
            <v xml:space="preserve"> 전선 신설</v>
          </cell>
          <cell r="D454" t="str">
            <v xml:space="preserve"> HIV 1.2mm</v>
          </cell>
          <cell r="E454" t="str">
            <v>m</v>
          </cell>
          <cell r="F454">
            <v>1</v>
          </cell>
        </row>
        <row r="455">
          <cell r="C455" t="str">
            <v>가, 재료비</v>
          </cell>
        </row>
        <row r="456">
          <cell r="A456" t="str">
            <v xml:space="preserve"> 2종 비닐절연전선 HIV 1.2㎜</v>
          </cell>
          <cell r="C456" t="str">
            <v xml:space="preserve"> 2종 비닐절연전선</v>
          </cell>
          <cell r="D456" t="str">
            <v xml:space="preserve"> HIV 1.2㎜</v>
          </cell>
          <cell r="E456" t="str">
            <v>m</v>
          </cell>
          <cell r="F456">
            <v>1.1000000000000001</v>
          </cell>
          <cell r="G456">
            <v>58</v>
          </cell>
          <cell r="H456">
            <v>63.8</v>
          </cell>
          <cell r="I456">
            <v>0.1</v>
          </cell>
        </row>
        <row r="457">
          <cell r="B457" t="str">
            <v>소         계</v>
          </cell>
          <cell r="H457">
            <v>63</v>
          </cell>
          <cell r="I457" t="str">
            <v>ⓐ</v>
          </cell>
        </row>
        <row r="458">
          <cell r="C458" t="str">
            <v>나, 노무비</v>
          </cell>
        </row>
        <row r="459">
          <cell r="A459" t="str">
            <v>22 저압케이블전공</v>
          </cell>
          <cell r="C459" t="str">
            <v xml:space="preserve"> 저압케이블전공</v>
          </cell>
          <cell r="E459" t="str">
            <v>인</v>
          </cell>
          <cell r="F459">
            <v>0.01</v>
          </cell>
          <cell r="G459">
            <v>55486</v>
          </cell>
          <cell r="H459">
            <v>554.79999999999995</v>
          </cell>
          <cell r="I459" t="str">
            <v>기본,전기 7-10</v>
          </cell>
        </row>
        <row r="460">
          <cell r="B460" t="str">
            <v>소         계</v>
          </cell>
          <cell r="H460">
            <v>554</v>
          </cell>
          <cell r="I460" t="str">
            <v>ⓑ</v>
          </cell>
        </row>
        <row r="461">
          <cell r="C461" t="str">
            <v>다, 기계경비</v>
          </cell>
        </row>
        <row r="462">
          <cell r="C462" t="str">
            <v xml:space="preserve"> 저압케이블전공</v>
          </cell>
          <cell r="E462" t="str">
            <v>인</v>
          </cell>
          <cell r="F462">
            <v>2.9999999999999997E-4</v>
          </cell>
          <cell r="G462">
            <v>55486</v>
          </cell>
          <cell r="H462">
            <v>16.600000000000001</v>
          </cell>
        </row>
        <row r="463">
          <cell r="B463" t="str">
            <v>소         계</v>
          </cell>
          <cell r="H463">
            <v>16</v>
          </cell>
          <cell r="I463" t="str">
            <v>ⓒ</v>
          </cell>
        </row>
        <row r="465">
          <cell r="A465" t="str">
            <v>22재   료   비</v>
          </cell>
          <cell r="B465" t="str">
            <v>재   료   비</v>
          </cell>
          <cell r="D465" t="str">
            <v>ⓐ</v>
          </cell>
          <cell r="H465">
            <v>63</v>
          </cell>
        </row>
        <row r="466">
          <cell r="A466" t="str">
            <v>22노   무   비</v>
          </cell>
          <cell r="B466" t="str">
            <v>노   무   비</v>
          </cell>
          <cell r="D466" t="str">
            <v>ⓑ</v>
          </cell>
          <cell r="H466">
            <v>554</v>
          </cell>
        </row>
        <row r="467">
          <cell r="A467" t="str">
            <v>22경        비</v>
          </cell>
          <cell r="B467" t="str">
            <v>경        비</v>
          </cell>
          <cell r="D467" t="str">
            <v>ⓒ</v>
          </cell>
          <cell r="H467">
            <v>16</v>
          </cell>
        </row>
        <row r="468">
          <cell r="B468" t="str">
            <v>계</v>
          </cell>
          <cell r="H468">
            <v>633</v>
          </cell>
        </row>
        <row r="472">
          <cell r="B472">
            <v>23</v>
          </cell>
          <cell r="C472" t="str">
            <v xml:space="preserve"> 지중케이블 신설</v>
          </cell>
          <cell r="D472" t="str">
            <v xml:space="preserve"> CTC 2P(2열)</v>
          </cell>
          <cell r="E472" t="str">
            <v>Km</v>
          </cell>
          <cell r="F472">
            <v>1</v>
          </cell>
        </row>
        <row r="473">
          <cell r="C473" t="str">
            <v>가, 재료비</v>
          </cell>
        </row>
        <row r="474">
          <cell r="A474" t="str">
            <v xml:space="preserve"> 지중케이블 신설 CTC 2P</v>
          </cell>
          <cell r="C474" t="str">
            <v xml:space="preserve"> 지중케이블 신설</v>
          </cell>
          <cell r="D474" t="str">
            <v xml:space="preserve"> CTC 2P</v>
          </cell>
          <cell r="E474" t="str">
            <v>m</v>
          </cell>
          <cell r="F474">
            <v>2060</v>
          </cell>
          <cell r="G474">
            <v>580</v>
          </cell>
          <cell r="H474">
            <v>1194800</v>
          </cell>
          <cell r="I474">
            <v>0.03</v>
          </cell>
        </row>
        <row r="475">
          <cell r="B475" t="str">
            <v>소         계</v>
          </cell>
          <cell r="H475">
            <v>1194800</v>
          </cell>
          <cell r="I475" t="str">
            <v>ⓐ</v>
          </cell>
        </row>
        <row r="476">
          <cell r="C476" t="str">
            <v>나, 노무비</v>
          </cell>
        </row>
        <row r="477">
          <cell r="A477" t="str">
            <v>23 통신케이블공</v>
          </cell>
          <cell r="C477" t="str">
            <v xml:space="preserve"> 통신케이블공</v>
          </cell>
          <cell r="E477" t="str">
            <v>인</v>
          </cell>
          <cell r="F477">
            <v>15.497000000000002</v>
          </cell>
          <cell r="G477">
            <v>80042</v>
          </cell>
          <cell r="H477">
            <v>1240410.8</v>
          </cell>
          <cell r="I477" t="str">
            <v>기본,통신 15-15</v>
          </cell>
        </row>
        <row r="478">
          <cell r="A478" t="str">
            <v>23 보통인부</v>
          </cell>
          <cell r="C478" t="str">
            <v xml:space="preserve"> 보통인부</v>
          </cell>
          <cell r="E478" t="str">
            <v>인</v>
          </cell>
          <cell r="F478">
            <v>26.325000000000003</v>
          </cell>
          <cell r="G478">
            <v>34098</v>
          </cell>
          <cell r="H478">
            <v>897629.8</v>
          </cell>
          <cell r="I478" t="str">
            <v>기본,통신 15-15</v>
          </cell>
        </row>
        <row r="479">
          <cell r="B479" t="str">
            <v>소         계</v>
          </cell>
          <cell r="H479">
            <v>2138040</v>
          </cell>
          <cell r="I479" t="str">
            <v>ⓑ</v>
          </cell>
        </row>
        <row r="480">
          <cell r="C480" t="str">
            <v>다, 기계경비</v>
          </cell>
        </row>
        <row r="481">
          <cell r="C481" t="str">
            <v xml:space="preserve"> 통신케이블공</v>
          </cell>
          <cell r="E481" t="str">
            <v>인</v>
          </cell>
          <cell r="F481">
            <v>0.46400000000000002</v>
          </cell>
          <cell r="G481">
            <v>80042</v>
          </cell>
          <cell r="H481">
            <v>37139.4</v>
          </cell>
        </row>
        <row r="482">
          <cell r="C482" t="str">
            <v xml:space="preserve"> 보통인부</v>
          </cell>
          <cell r="E482" t="str">
            <v>인</v>
          </cell>
          <cell r="F482">
            <v>0.78900000000000003</v>
          </cell>
          <cell r="G482">
            <v>34098</v>
          </cell>
          <cell r="H482">
            <v>26903.3</v>
          </cell>
        </row>
        <row r="483">
          <cell r="B483" t="str">
            <v>소         계</v>
          </cell>
          <cell r="H483">
            <v>64042</v>
          </cell>
          <cell r="I483" t="str">
            <v>ⓒ</v>
          </cell>
        </row>
        <row r="485">
          <cell r="A485" t="str">
            <v>23재   료   비</v>
          </cell>
          <cell r="B485" t="str">
            <v>재   료   비</v>
          </cell>
          <cell r="D485" t="str">
            <v>ⓐ</v>
          </cell>
          <cell r="H485">
            <v>1194800</v>
          </cell>
        </row>
        <row r="486">
          <cell r="A486" t="str">
            <v>23노   무   비</v>
          </cell>
          <cell r="B486" t="str">
            <v>노   무   비</v>
          </cell>
          <cell r="D486" t="str">
            <v>ⓑ</v>
          </cell>
          <cell r="H486">
            <v>2138040</v>
          </cell>
        </row>
        <row r="487">
          <cell r="A487" t="str">
            <v>23경        비</v>
          </cell>
          <cell r="B487" t="str">
            <v>경        비</v>
          </cell>
          <cell r="D487" t="str">
            <v>ⓒ</v>
          </cell>
          <cell r="H487">
            <v>64042</v>
          </cell>
        </row>
        <row r="488">
          <cell r="B488" t="str">
            <v>계</v>
          </cell>
          <cell r="H488">
            <v>3396882</v>
          </cell>
        </row>
        <row r="490">
          <cell r="B490">
            <v>24</v>
          </cell>
          <cell r="C490" t="str">
            <v xml:space="preserve"> 후강전선관 신설</v>
          </cell>
          <cell r="D490" t="str">
            <v xml:space="preserve"> 16C (매입)</v>
          </cell>
          <cell r="E490" t="str">
            <v>m</v>
          </cell>
          <cell r="F490">
            <v>1</v>
          </cell>
        </row>
        <row r="491">
          <cell r="C491" t="str">
            <v>가, 재료비</v>
          </cell>
        </row>
        <row r="492">
          <cell r="A492" t="str">
            <v xml:space="preserve"> 후강전선관  아연도 16C</v>
          </cell>
          <cell r="C492" t="str">
            <v xml:space="preserve"> 후강전선관 </v>
          </cell>
          <cell r="D492" t="str">
            <v xml:space="preserve"> 아연도 16C</v>
          </cell>
          <cell r="E492" t="str">
            <v>m</v>
          </cell>
          <cell r="F492">
            <v>1.1000000000000001</v>
          </cell>
          <cell r="G492">
            <v>913</v>
          </cell>
          <cell r="H492">
            <v>1004.3</v>
          </cell>
          <cell r="I492">
            <v>0.1</v>
          </cell>
        </row>
        <row r="493">
          <cell r="C493" t="str">
            <v xml:space="preserve"> 전선관부속품비</v>
          </cell>
          <cell r="D493" t="str">
            <v xml:space="preserve"> 전선관비의 15%</v>
          </cell>
          <cell r="E493" t="str">
            <v>식</v>
          </cell>
          <cell r="F493">
            <v>1</v>
          </cell>
          <cell r="G493">
            <v>150.6</v>
          </cell>
          <cell r="H493">
            <v>150.6</v>
          </cell>
        </row>
        <row r="494">
          <cell r="B494" t="str">
            <v>소         계</v>
          </cell>
          <cell r="H494">
            <v>1154</v>
          </cell>
          <cell r="I494" t="str">
            <v>ⓐ</v>
          </cell>
        </row>
        <row r="495">
          <cell r="C495" t="str">
            <v>나, 노무비</v>
          </cell>
        </row>
        <row r="496">
          <cell r="A496" t="str">
            <v>24 통신내선공</v>
          </cell>
          <cell r="C496" t="str">
            <v xml:space="preserve"> 통신내선공</v>
          </cell>
          <cell r="E496" t="str">
            <v>인</v>
          </cell>
          <cell r="F496">
            <v>0.08</v>
          </cell>
          <cell r="G496">
            <v>63738</v>
          </cell>
          <cell r="H496">
            <v>5099</v>
          </cell>
          <cell r="I496" t="str">
            <v>기본,통신 3-61-가</v>
          </cell>
        </row>
        <row r="497">
          <cell r="B497" t="str">
            <v>소         계</v>
          </cell>
          <cell r="H497">
            <v>5099</v>
          </cell>
          <cell r="I497" t="str">
            <v>ⓑ</v>
          </cell>
        </row>
        <row r="498">
          <cell r="C498" t="str">
            <v>다, 기계경비</v>
          </cell>
        </row>
        <row r="499">
          <cell r="C499" t="str">
            <v xml:space="preserve"> 통신내선공</v>
          </cell>
          <cell r="E499" t="str">
            <v>인</v>
          </cell>
          <cell r="F499">
            <v>2E-3</v>
          </cell>
          <cell r="G499">
            <v>63738</v>
          </cell>
          <cell r="H499">
            <v>127.4</v>
          </cell>
        </row>
        <row r="500">
          <cell r="B500" t="str">
            <v>소         계</v>
          </cell>
          <cell r="H500">
            <v>127</v>
          </cell>
          <cell r="I500" t="str">
            <v>ⓒ</v>
          </cell>
        </row>
        <row r="502">
          <cell r="A502" t="str">
            <v>24재   료   비</v>
          </cell>
          <cell r="B502" t="str">
            <v>재   료   비</v>
          </cell>
          <cell r="D502" t="str">
            <v>ⓐ</v>
          </cell>
          <cell r="H502">
            <v>1154</v>
          </cell>
        </row>
        <row r="503">
          <cell r="A503" t="str">
            <v>24노   무   비</v>
          </cell>
          <cell r="B503" t="str">
            <v>노   무   비</v>
          </cell>
          <cell r="D503" t="str">
            <v>ⓑ</v>
          </cell>
          <cell r="H503">
            <v>5099</v>
          </cell>
        </row>
        <row r="504">
          <cell r="A504" t="str">
            <v>24경        비</v>
          </cell>
          <cell r="B504" t="str">
            <v>경        비</v>
          </cell>
          <cell r="D504" t="str">
            <v>ⓒ</v>
          </cell>
          <cell r="H504">
            <v>127</v>
          </cell>
        </row>
        <row r="505">
          <cell r="B505" t="str">
            <v>계</v>
          </cell>
          <cell r="H505">
            <v>6380</v>
          </cell>
        </row>
        <row r="508">
          <cell r="B508">
            <v>25</v>
          </cell>
          <cell r="C508" t="str">
            <v xml:space="preserve"> 후강전선관 신설</v>
          </cell>
          <cell r="D508" t="str">
            <v xml:space="preserve"> 16C (벽매입)</v>
          </cell>
          <cell r="E508" t="str">
            <v>m</v>
          </cell>
          <cell r="F508">
            <v>1</v>
          </cell>
        </row>
        <row r="509">
          <cell r="C509" t="str">
            <v>가, 재료비</v>
          </cell>
        </row>
        <row r="510">
          <cell r="A510" t="str">
            <v xml:space="preserve"> 후강전선관  아연도 16C</v>
          </cell>
          <cell r="C510" t="str">
            <v xml:space="preserve"> 후강전선관 </v>
          </cell>
          <cell r="D510" t="str">
            <v xml:space="preserve"> 아연도 16C</v>
          </cell>
          <cell r="E510" t="str">
            <v>m</v>
          </cell>
          <cell r="F510">
            <v>1.1000000000000001</v>
          </cell>
          <cell r="G510">
            <v>913</v>
          </cell>
          <cell r="H510">
            <v>1004.3</v>
          </cell>
          <cell r="I510">
            <v>0.1</v>
          </cell>
        </row>
        <row r="511">
          <cell r="C511" t="str">
            <v xml:space="preserve"> 전선관부속품비</v>
          </cell>
          <cell r="D511" t="str">
            <v xml:space="preserve"> 전선관비의 15%</v>
          </cell>
          <cell r="E511" t="str">
            <v>식</v>
          </cell>
          <cell r="F511">
            <v>1</v>
          </cell>
          <cell r="G511">
            <v>150.6</v>
          </cell>
          <cell r="H511">
            <v>150.6</v>
          </cell>
        </row>
        <row r="512">
          <cell r="B512" t="str">
            <v>소         계</v>
          </cell>
          <cell r="H512">
            <v>1154</v>
          </cell>
          <cell r="I512" t="str">
            <v>ⓐ</v>
          </cell>
        </row>
        <row r="513">
          <cell r="C513" t="str">
            <v>나, 노무비</v>
          </cell>
        </row>
        <row r="514">
          <cell r="A514" t="str">
            <v>25 통신내선공</v>
          </cell>
          <cell r="C514" t="str">
            <v xml:space="preserve"> 통신내선공</v>
          </cell>
          <cell r="E514" t="str">
            <v>인</v>
          </cell>
          <cell r="F514">
            <v>0.09</v>
          </cell>
          <cell r="G514">
            <v>63738</v>
          </cell>
          <cell r="H514">
            <v>5736.4</v>
          </cell>
          <cell r="I514" t="str">
            <v>기본×(1+벽내),통신 3-61-가</v>
          </cell>
        </row>
        <row r="515">
          <cell r="B515" t="str">
            <v>소         계</v>
          </cell>
          <cell r="H515">
            <v>5736</v>
          </cell>
          <cell r="I515" t="str">
            <v>ⓑ</v>
          </cell>
        </row>
        <row r="516">
          <cell r="C516" t="str">
            <v>다, 기계경비</v>
          </cell>
        </row>
        <row r="517">
          <cell r="C517" t="str">
            <v xml:space="preserve"> 통신내선공</v>
          </cell>
          <cell r="E517" t="str">
            <v>인</v>
          </cell>
          <cell r="F517">
            <v>2E-3</v>
          </cell>
          <cell r="G517">
            <v>63738</v>
          </cell>
          <cell r="H517">
            <v>127.4</v>
          </cell>
        </row>
        <row r="518">
          <cell r="B518" t="str">
            <v>소         계</v>
          </cell>
          <cell r="H518">
            <v>127</v>
          </cell>
          <cell r="I518" t="str">
            <v>ⓒ</v>
          </cell>
        </row>
        <row r="520">
          <cell r="A520" t="str">
            <v>25재   료   비</v>
          </cell>
          <cell r="B520" t="str">
            <v>재   료   비</v>
          </cell>
          <cell r="D520" t="str">
            <v>ⓐ</v>
          </cell>
          <cell r="H520">
            <v>1154</v>
          </cell>
        </row>
        <row r="521">
          <cell r="A521" t="str">
            <v>25노   무   비</v>
          </cell>
          <cell r="B521" t="str">
            <v>노   무   비</v>
          </cell>
          <cell r="D521" t="str">
            <v>ⓑ</v>
          </cell>
          <cell r="H521">
            <v>5736</v>
          </cell>
        </row>
        <row r="522">
          <cell r="A522" t="str">
            <v>25경        비</v>
          </cell>
          <cell r="B522" t="str">
            <v>경        비</v>
          </cell>
          <cell r="D522" t="str">
            <v>ⓒ</v>
          </cell>
          <cell r="H522">
            <v>127</v>
          </cell>
        </row>
        <row r="523">
          <cell r="B523" t="str">
            <v>계</v>
          </cell>
          <cell r="H523">
            <v>7017</v>
          </cell>
        </row>
        <row r="526">
          <cell r="B526">
            <v>26</v>
          </cell>
          <cell r="C526" t="str">
            <v xml:space="preserve"> 후강전선관 신설</v>
          </cell>
          <cell r="D526" t="str">
            <v xml:space="preserve"> 16C (천장노출)</v>
          </cell>
          <cell r="E526" t="str">
            <v>m</v>
          </cell>
          <cell r="F526">
            <v>1</v>
          </cell>
        </row>
        <row r="527">
          <cell r="C527" t="str">
            <v>가, 재료비</v>
          </cell>
        </row>
        <row r="528">
          <cell r="A528" t="str">
            <v xml:space="preserve"> 후강전선관  아연도 16C</v>
          </cell>
          <cell r="C528" t="str">
            <v xml:space="preserve"> 후강전선관 </v>
          </cell>
          <cell r="D528" t="str">
            <v xml:space="preserve"> 아연도 16C</v>
          </cell>
          <cell r="E528" t="str">
            <v>m</v>
          </cell>
          <cell r="F528">
            <v>1.1000000000000001</v>
          </cell>
          <cell r="G528">
            <v>913</v>
          </cell>
          <cell r="H528">
            <v>1004.3</v>
          </cell>
          <cell r="I528">
            <v>0.1</v>
          </cell>
        </row>
        <row r="529">
          <cell r="C529" t="str">
            <v xml:space="preserve"> 전선관부속품비</v>
          </cell>
          <cell r="D529" t="str">
            <v xml:space="preserve"> 전선관비의 15%</v>
          </cell>
          <cell r="E529" t="str">
            <v>식</v>
          </cell>
          <cell r="F529">
            <v>1</v>
          </cell>
          <cell r="G529">
            <v>150.6</v>
          </cell>
          <cell r="H529">
            <v>150.6</v>
          </cell>
        </row>
        <row r="530">
          <cell r="B530" t="str">
            <v>소         계</v>
          </cell>
          <cell r="H530">
            <v>1154</v>
          </cell>
          <cell r="I530" t="str">
            <v>ⓐ</v>
          </cell>
        </row>
        <row r="531">
          <cell r="C531" t="str">
            <v>나, 노무비</v>
          </cell>
        </row>
        <row r="532">
          <cell r="A532" t="str">
            <v>26 통신내선공</v>
          </cell>
          <cell r="C532" t="str">
            <v xml:space="preserve"> 통신내선공</v>
          </cell>
          <cell r="E532" t="str">
            <v>인</v>
          </cell>
          <cell r="F532">
            <v>0.09</v>
          </cell>
          <cell r="G532">
            <v>63738</v>
          </cell>
          <cell r="H532">
            <v>5736.4</v>
          </cell>
          <cell r="I532" t="str">
            <v>기본×(1+천장노출),통신 3-61-가</v>
          </cell>
        </row>
        <row r="533">
          <cell r="B533" t="str">
            <v>소         계</v>
          </cell>
          <cell r="H533">
            <v>5736</v>
          </cell>
          <cell r="I533" t="str">
            <v>ⓑ</v>
          </cell>
        </row>
        <row r="534">
          <cell r="C534" t="str">
            <v>다, 기계경비</v>
          </cell>
        </row>
        <row r="535">
          <cell r="C535" t="str">
            <v xml:space="preserve"> 통신내선공</v>
          </cell>
          <cell r="E535" t="str">
            <v>인</v>
          </cell>
          <cell r="F535">
            <v>2E-3</v>
          </cell>
          <cell r="G535">
            <v>63738</v>
          </cell>
          <cell r="H535">
            <v>127.4</v>
          </cell>
        </row>
        <row r="536">
          <cell r="B536" t="str">
            <v>소         계</v>
          </cell>
          <cell r="H536">
            <v>127</v>
          </cell>
          <cell r="I536" t="str">
            <v>ⓒ</v>
          </cell>
        </row>
        <row r="538">
          <cell r="A538" t="str">
            <v>26재   료   비</v>
          </cell>
          <cell r="B538" t="str">
            <v>재   료   비</v>
          </cell>
          <cell r="D538" t="str">
            <v>ⓐ</v>
          </cell>
          <cell r="H538">
            <v>1154</v>
          </cell>
        </row>
        <row r="539">
          <cell r="A539" t="str">
            <v>26노   무   비</v>
          </cell>
          <cell r="B539" t="str">
            <v>노   무   비</v>
          </cell>
          <cell r="D539" t="str">
            <v>ⓑ</v>
          </cell>
          <cell r="H539">
            <v>5736</v>
          </cell>
        </row>
        <row r="540">
          <cell r="A540" t="str">
            <v>26경        비</v>
          </cell>
          <cell r="B540" t="str">
            <v>경        비</v>
          </cell>
          <cell r="D540" t="str">
            <v>ⓒ</v>
          </cell>
          <cell r="H540">
            <v>127</v>
          </cell>
        </row>
        <row r="541">
          <cell r="B541" t="str">
            <v>계</v>
          </cell>
          <cell r="H541">
            <v>7017</v>
          </cell>
        </row>
        <row r="544">
          <cell r="B544">
            <v>27</v>
          </cell>
          <cell r="C544" t="str">
            <v xml:space="preserve"> 후강전선관 신설</v>
          </cell>
          <cell r="D544" t="str">
            <v xml:space="preserve"> 16C (철강조)</v>
          </cell>
          <cell r="E544" t="str">
            <v>m</v>
          </cell>
          <cell r="F544">
            <v>1</v>
          </cell>
        </row>
        <row r="545">
          <cell r="C545" t="str">
            <v>가, 재료비</v>
          </cell>
        </row>
        <row r="546">
          <cell r="A546" t="str">
            <v xml:space="preserve"> 후강전선관  아연도 16C</v>
          </cell>
          <cell r="C546" t="str">
            <v xml:space="preserve"> 후강전선관 </v>
          </cell>
          <cell r="D546" t="str">
            <v xml:space="preserve"> 아연도 16C</v>
          </cell>
          <cell r="E546" t="str">
            <v>m</v>
          </cell>
          <cell r="F546">
            <v>1.1000000000000001</v>
          </cell>
          <cell r="G546">
            <v>913</v>
          </cell>
          <cell r="H546">
            <v>1004.3</v>
          </cell>
          <cell r="I546">
            <v>0.1</v>
          </cell>
        </row>
        <row r="547">
          <cell r="C547" t="str">
            <v xml:space="preserve"> 전선관부속품비</v>
          </cell>
          <cell r="D547" t="str">
            <v xml:space="preserve"> 전선관비의 15%</v>
          </cell>
          <cell r="E547" t="str">
            <v>식</v>
          </cell>
          <cell r="F547">
            <v>1</v>
          </cell>
          <cell r="G547">
            <v>150.6</v>
          </cell>
          <cell r="H547">
            <v>150.6</v>
          </cell>
        </row>
        <row r="548">
          <cell r="B548" t="str">
            <v>소         계</v>
          </cell>
          <cell r="H548">
            <v>1154</v>
          </cell>
          <cell r="I548" t="str">
            <v>ⓐ</v>
          </cell>
        </row>
        <row r="549">
          <cell r="C549" t="str">
            <v>나, 노무비</v>
          </cell>
        </row>
        <row r="550">
          <cell r="A550" t="str">
            <v>27 통신내선공</v>
          </cell>
          <cell r="C550" t="str">
            <v xml:space="preserve"> 통신내선공</v>
          </cell>
          <cell r="E550" t="str">
            <v>인</v>
          </cell>
          <cell r="F550">
            <v>0.1</v>
          </cell>
          <cell r="G550">
            <v>63738</v>
          </cell>
          <cell r="H550">
            <v>6373.8</v>
          </cell>
          <cell r="I550" t="str">
            <v>기본×(1+철강조노출),통신 3-61-가</v>
          </cell>
        </row>
        <row r="551">
          <cell r="B551" t="str">
            <v>소         계</v>
          </cell>
          <cell r="H551">
            <v>6373</v>
          </cell>
          <cell r="I551" t="str">
            <v>ⓑ</v>
          </cell>
        </row>
        <row r="552">
          <cell r="C552" t="str">
            <v>다, 기계경비</v>
          </cell>
        </row>
        <row r="553">
          <cell r="C553" t="str">
            <v xml:space="preserve"> 통신내선공</v>
          </cell>
          <cell r="E553" t="str">
            <v>인</v>
          </cell>
          <cell r="F553">
            <v>3.0000000000000001E-3</v>
          </cell>
          <cell r="G553">
            <v>63738</v>
          </cell>
          <cell r="H553">
            <v>191.2</v>
          </cell>
        </row>
        <row r="554">
          <cell r="B554" t="str">
            <v>소         계</v>
          </cell>
          <cell r="H554">
            <v>191</v>
          </cell>
          <cell r="I554" t="str">
            <v>ⓒ</v>
          </cell>
        </row>
        <row r="556">
          <cell r="A556" t="str">
            <v>27재   료   비</v>
          </cell>
          <cell r="B556" t="str">
            <v>재   료   비</v>
          </cell>
          <cell r="D556" t="str">
            <v>ⓐ</v>
          </cell>
          <cell r="H556">
            <v>1154</v>
          </cell>
        </row>
        <row r="557">
          <cell r="A557" t="str">
            <v>27노   무   비</v>
          </cell>
          <cell r="B557" t="str">
            <v>노   무   비</v>
          </cell>
          <cell r="D557" t="str">
            <v>ⓑ</v>
          </cell>
          <cell r="H557">
            <v>6373</v>
          </cell>
        </row>
        <row r="558">
          <cell r="A558" t="str">
            <v>27경        비</v>
          </cell>
          <cell r="B558" t="str">
            <v>경        비</v>
          </cell>
          <cell r="D558" t="str">
            <v>ⓒ</v>
          </cell>
          <cell r="H558">
            <v>191</v>
          </cell>
        </row>
        <row r="559">
          <cell r="B559" t="str">
            <v>계</v>
          </cell>
          <cell r="H559">
            <v>7718</v>
          </cell>
        </row>
        <row r="562">
          <cell r="B562">
            <v>28</v>
          </cell>
          <cell r="C562" t="str">
            <v xml:space="preserve"> 후강전선관 신설</v>
          </cell>
          <cell r="D562" t="str">
            <v xml:space="preserve"> 22C (매입)</v>
          </cell>
          <cell r="E562" t="str">
            <v>m</v>
          </cell>
          <cell r="F562">
            <v>1</v>
          </cell>
        </row>
        <row r="563">
          <cell r="C563" t="str">
            <v>가, 재료비</v>
          </cell>
        </row>
        <row r="564">
          <cell r="A564" t="str">
            <v xml:space="preserve"> 후강전선관  아연도 22C</v>
          </cell>
          <cell r="C564" t="str">
            <v xml:space="preserve"> 후강전선관 </v>
          </cell>
          <cell r="D564" t="str">
            <v xml:space="preserve"> 아연도 22C</v>
          </cell>
          <cell r="E564" t="str">
            <v>m</v>
          </cell>
          <cell r="F564">
            <v>1.1000000000000001</v>
          </cell>
          <cell r="G564">
            <v>1169</v>
          </cell>
          <cell r="H564">
            <v>1285.9000000000001</v>
          </cell>
          <cell r="I564">
            <v>0.1</v>
          </cell>
        </row>
        <row r="565">
          <cell r="C565" t="str">
            <v xml:space="preserve"> 전선관부속품비</v>
          </cell>
          <cell r="D565" t="str">
            <v xml:space="preserve"> 전선관비의 15%</v>
          </cell>
          <cell r="E565" t="str">
            <v>식</v>
          </cell>
          <cell r="F565">
            <v>1</v>
          </cell>
          <cell r="G565">
            <v>192.8</v>
          </cell>
          <cell r="H565">
            <v>192.8</v>
          </cell>
        </row>
        <row r="566">
          <cell r="B566" t="str">
            <v>소         계</v>
          </cell>
          <cell r="H566">
            <v>1478</v>
          </cell>
          <cell r="I566" t="str">
            <v>ⓐ</v>
          </cell>
        </row>
        <row r="567">
          <cell r="C567" t="str">
            <v>나, 노무비</v>
          </cell>
        </row>
        <row r="568">
          <cell r="A568" t="str">
            <v>28 통신내선공</v>
          </cell>
          <cell r="C568" t="str">
            <v xml:space="preserve"> 통신내선공</v>
          </cell>
          <cell r="E568" t="str">
            <v>인</v>
          </cell>
          <cell r="F568">
            <v>0.11</v>
          </cell>
          <cell r="G568">
            <v>63738</v>
          </cell>
          <cell r="H568">
            <v>7011.1</v>
          </cell>
          <cell r="I568" t="str">
            <v>기본,통신 3-61-가</v>
          </cell>
        </row>
        <row r="569">
          <cell r="B569" t="str">
            <v>소         계</v>
          </cell>
          <cell r="H569">
            <v>7011</v>
          </cell>
          <cell r="I569" t="str">
            <v>ⓑ</v>
          </cell>
        </row>
        <row r="570">
          <cell r="C570" t="str">
            <v>다, 기계경비</v>
          </cell>
        </row>
        <row r="571">
          <cell r="C571" t="str">
            <v xml:space="preserve"> 통신내선공</v>
          </cell>
          <cell r="E571" t="str">
            <v>인</v>
          </cell>
          <cell r="F571">
            <v>3.0000000000000001E-3</v>
          </cell>
          <cell r="G571">
            <v>63738</v>
          </cell>
          <cell r="H571">
            <v>191.2</v>
          </cell>
        </row>
        <row r="572">
          <cell r="B572" t="str">
            <v>소         계</v>
          </cell>
          <cell r="H572">
            <v>191</v>
          </cell>
          <cell r="I572" t="str">
            <v>ⓒ</v>
          </cell>
        </row>
        <row r="574">
          <cell r="A574" t="str">
            <v>28재   료   비</v>
          </cell>
          <cell r="B574" t="str">
            <v>재   료   비</v>
          </cell>
          <cell r="D574" t="str">
            <v>ⓐ</v>
          </cell>
          <cell r="H574">
            <v>1478</v>
          </cell>
        </row>
        <row r="575">
          <cell r="A575" t="str">
            <v>28노   무   비</v>
          </cell>
          <cell r="B575" t="str">
            <v>노   무   비</v>
          </cell>
          <cell r="D575" t="str">
            <v>ⓑ</v>
          </cell>
          <cell r="H575">
            <v>7011</v>
          </cell>
        </row>
        <row r="576">
          <cell r="A576" t="str">
            <v>28경        비</v>
          </cell>
          <cell r="B576" t="str">
            <v>경        비</v>
          </cell>
          <cell r="D576" t="str">
            <v>ⓒ</v>
          </cell>
          <cell r="H576">
            <v>191</v>
          </cell>
        </row>
        <row r="577">
          <cell r="B577" t="str">
            <v>계</v>
          </cell>
          <cell r="H577">
            <v>8680</v>
          </cell>
        </row>
        <row r="580">
          <cell r="B580">
            <v>29</v>
          </cell>
          <cell r="C580" t="str">
            <v xml:space="preserve"> 후강전선관 신설</v>
          </cell>
          <cell r="D580" t="str">
            <v xml:space="preserve"> 22C (벽매입)</v>
          </cell>
          <cell r="E580" t="str">
            <v>m</v>
          </cell>
          <cell r="F580">
            <v>1</v>
          </cell>
        </row>
        <row r="581">
          <cell r="C581" t="str">
            <v>가, 재료비</v>
          </cell>
        </row>
        <row r="582">
          <cell r="A582" t="str">
            <v xml:space="preserve"> 후강전선관  아연도 22C</v>
          </cell>
          <cell r="C582" t="str">
            <v xml:space="preserve"> 후강전선관 </v>
          </cell>
          <cell r="D582" t="str">
            <v xml:space="preserve"> 아연도 22C</v>
          </cell>
          <cell r="E582" t="str">
            <v>m</v>
          </cell>
          <cell r="F582">
            <v>1.1000000000000001</v>
          </cell>
          <cell r="G582">
            <v>1169</v>
          </cell>
          <cell r="H582">
            <v>1285.9000000000001</v>
          </cell>
          <cell r="I582">
            <v>0.1</v>
          </cell>
        </row>
        <row r="583">
          <cell r="C583" t="str">
            <v xml:space="preserve"> 전선관부속품비</v>
          </cell>
          <cell r="D583" t="str">
            <v xml:space="preserve"> 전선관비의 15%</v>
          </cell>
          <cell r="E583" t="str">
            <v>식</v>
          </cell>
          <cell r="F583">
            <v>1</v>
          </cell>
          <cell r="G583">
            <v>192.8</v>
          </cell>
          <cell r="H583">
            <v>192.8</v>
          </cell>
        </row>
        <row r="584">
          <cell r="B584" t="str">
            <v>소         계</v>
          </cell>
          <cell r="H584">
            <v>1478</v>
          </cell>
          <cell r="I584" t="str">
            <v>ⓐ</v>
          </cell>
        </row>
        <row r="585">
          <cell r="C585" t="str">
            <v>나, 노무비</v>
          </cell>
        </row>
        <row r="586">
          <cell r="A586" t="str">
            <v>29 통신내선공</v>
          </cell>
          <cell r="C586" t="str">
            <v xml:space="preserve"> 통신내선공</v>
          </cell>
          <cell r="E586" t="str">
            <v>인</v>
          </cell>
          <cell r="F586">
            <v>0.13</v>
          </cell>
          <cell r="G586">
            <v>63738</v>
          </cell>
          <cell r="H586">
            <v>8285.9</v>
          </cell>
          <cell r="I586" t="str">
            <v>기본×(1+벽내),통신 3-61-가</v>
          </cell>
        </row>
        <row r="587">
          <cell r="B587" t="str">
            <v>소         계</v>
          </cell>
          <cell r="H587">
            <v>8285</v>
          </cell>
          <cell r="I587" t="str">
            <v>ⓑ</v>
          </cell>
        </row>
        <row r="588">
          <cell r="C588" t="str">
            <v>다, 기계경비</v>
          </cell>
        </row>
        <row r="589">
          <cell r="C589" t="str">
            <v xml:space="preserve"> 통신내선공</v>
          </cell>
          <cell r="E589" t="str">
            <v>인</v>
          </cell>
          <cell r="F589">
            <v>3.0000000000000001E-3</v>
          </cell>
          <cell r="G589">
            <v>63738</v>
          </cell>
          <cell r="H589">
            <v>191.2</v>
          </cell>
        </row>
        <row r="590">
          <cell r="B590" t="str">
            <v>소         계</v>
          </cell>
          <cell r="H590">
            <v>191</v>
          </cell>
          <cell r="I590" t="str">
            <v>ⓒ</v>
          </cell>
        </row>
        <row r="592">
          <cell r="A592" t="str">
            <v>29재   료   비</v>
          </cell>
          <cell r="B592" t="str">
            <v>재   료   비</v>
          </cell>
          <cell r="D592" t="str">
            <v>ⓐ</v>
          </cell>
          <cell r="H592">
            <v>1478</v>
          </cell>
        </row>
        <row r="593">
          <cell r="A593" t="str">
            <v>29노   무   비</v>
          </cell>
          <cell r="B593" t="str">
            <v>노   무   비</v>
          </cell>
          <cell r="D593" t="str">
            <v>ⓑ</v>
          </cell>
          <cell r="H593">
            <v>8285</v>
          </cell>
        </row>
        <row r="594">
          <cell r="A594" t="str">
            <v>29경        비</v>
          </cell>
          <cell r="B594" t="str">
            <v>경        비</v>
          </cell>
          <cell r="D594" t="str">
            <v>ⓒ</v>
          </cell>
          <cell r="H594">
            <v>191</v>
          </cell>
        </row>
        <row r="595">
          <cell r="B595" t="str">
            <v>계</v>
          </cell>
          <cell r="H595">
            <v>9954</v>
          </cell>
        </row>
        <row r="598">
          <cell r="B598">
            <v>30</v>
          </cell>
          <cell r="C598" t="str">
            <v xml:space="preserve"> 후강전선관 신설</v>
          </cell>
          <cell r="D598" t="str">
            <v xml:space="preserve"> 22C (천장노출)</v>
          </cell>
          <cell r="E598" t="str">
            <v>m</v>
          </cell>
          <cell r="F598">
            <v>1</v>
          </cell>
        </row>
        <row r="599">
          <cell r="C599" t="str">
            <v>가, 재료비</v>
          </cell>
        </row>
        <row r="600">
          <cell r="A600" t="str">
            <v xml:space="preserve"> 후강전선관  아연도 22C</v>
          </cell>
          <cell r="C600" t="str">
            <v xml:space="preserve"> 후강전선관 </v>
          </cell>
          <cell r="D600" t="str">
            <v xml:space="preserve"> 아연도 22C</v>
          </cell>
          <cell r="E600" t="str">
            <v>m</v>
          </cell>
          <cell r="F600">
            <v>1.1000000000000001</v>
          </cell>
          <cell r="G600">
            <v>1169</v>
          </cell>
          <cell r="H600">
            <v>1285.9000000000001</v>
          </cell>
          <cell r="I600">
            <v>0.1</v>
          </cell>
        </row>
        <row r="601">
          <cell r="C601" t="str">
            <v xml:space="preserve"> 전선관부속품비</v>
          </cell>
          <cell r="D601" t="str">
            <v xml:space="preserve"> 전선관비의 15%</v>
          </cell>
          <cell r="E601" t="str">
            <v>식</v>
          </cell>
          <cell r="F601">
            <v>1</v>
          </cell>
          <cell r="G601">
            <v>192.8</v>
          </cell>
          <cell r="H601">
            <v>192.8</v>
          </cell>
        </row>
        <row r="602">
          <cell r="B602" t="str">
            <v>소         계</v>
          </cell>
          <cell r="H602">
            <v>1478</v>
          </cell>
          <cell r="I602" t="str">
            <v>ⓐ</v>
          </cell>
        </row>
        <row r="603">
          <cell r="C603" t="str">
            <v>나, 노무비</v>
          </cell>
        </row>
        <row r="604">
          <cell r="A604" t="str">
            <v>30 통신내선공</v>
          </cell>
          <cell r="C604" t="str">
            <v xml:space="preserve"> 통신내선공</v>
          </cell>
          <cell r="E604" t="str">
            <v>인</v>
          </cell>
          <cell r="F604">
            <v>0.13</v>
          </cell>
          <cell r="G604">
            <v>63738</v>
          </cell>
          <cell r="H604">
            <v>8285.9</v>
          </cell>
          <cell r="I604" t="str">
            <v>기본×(1+천장노출),통신 3-61-가</v>
          </cell>
        </row>
        <row r="605">
          <cell r="B605" t="str">
            <v>소         계</v>
          </cell>
          <cell r="H605">
            <v>8285</v>
          </cell>
          <cell r="I605" t="str">
            <v>ⓑ</v>
          </cell>
        </row>
        <row r="606">
          <cell r="C606" t="str">
            <v>다, 기계경비</v>
          </cell>
        </row>
        <row r="607">
          <cell r="C607" t="str">
            <v xml:space="preserve"> 통신내선공</v>
          </cell>
          <cell r="E607" t="str">
            <v>인</v>
          </cell>
          <cell r="F607">
            <v>3.0000000000000001E-3</v>
          </cell>
          <cell r="G607">
            <v>63738</v>
          </cell>
          <cell r="H607">
            <v>191.2</v>
          </cell>
        </row>
        <row r="608">
          <cell r="B608" t="str">
            <v>소         계</v>
          </cell>
          <cell r="H608">
            <v>191</v>
          </cell>
          <cell r="I608" t="str">
            <v>ⓒ</v>
          </cell>
        </row>
        <row r="610">
          <cell r="A610" t="str">
            <v>30재   료   비</v>
          </cell>
          <cell r="B610" t="str">
            <v>재   료   비</v>
          </cell>
          <cell r="D610" t="str">
            <v>ⓐ</v>
          </cell>
          <cell r="H610">
            <v>1478</v>
          </cell>
        </row>
        <row r="611">
          <cell r="A611" t="str">
            <v>30노   무   비</v>
          </cell>
          <cell r="B611" t="str">
            <v>노   무   비</v>
          </cell>
          <cell r="D611" t="str">
            <v>ⓑ</v>
          </cell>
          <cell r="H611">
            <v>8285</v>
          </cell>
        </row>
        <row r="612">
          <cell r="A612" t="str">
            <v>30경        비</v>
          </cell>
          <cell r="B612" t="str">
            <v>경        비</v>
          </cell>
          <cell r="D612" t="str">
            <v>ⓒ</v>
          </cell>
          <cell r="H612">
            <v>191</v>
          </cell>
        </row>
        <row r="613">
          <cell r="B613" t="str">
            <v>계</v>
          </cell>
          <cell r="H613">
            <v>9954</v>
          </cell>
        </row>
        <row r="616">
          <cell r="B616">
            <v>31</v>
          </cell>
          <cell r="C616" t="str">
            <v xml:space="preserve"> 후강전선관 신설</v>
          </cell>
          <cell r="D616" t="str">
            <v xml:space="preserve"> 22C (철강조)</v>
          </cell>
          <cell r="E616" t="str">
            <v>m</v>
          </cell>
          <cell r="F616">
            <v>1</v>
          </cell>
        </row>
        <row r="617">
          <cell r="C617" t="str">
            <v>가, 재료비</v>
          </cell>
        </row>
        <row r="618">
          <cell r="A618" t="str">
            <v xml:space="preserve"> 후강전선관  아연도 22C</v>
          </cell>
          <cell r="C618" t="str">
            <v xml:space="preserve"> 후강전선관 </v>
          </cell>
          <cell r="D618" t="str">
            <v xml:space="preserve"> 아연도 22C</v>
          </cell>
          <cell r="E618" t="str">
            <v>m</v>
          </cell>
          <cell r="F618">
            <v>1.1000000000000001</v>
          </cell>
          <cell r="G618">
            <v>1169</v>
          </cell>
          <cell r="H618">
            <v>1285.9000000000001</v>
          </cell>
          <cell r="I618">
            <v>0.1</v>
          </cell>
        </row>
        <row r="619">
          <cell r="C619" t="str">
            <v xml:space="preserve"> 전선관부속품비</v>
          </cell>
          <cell r="D619" t="str">
            <v xml:space="preserve"> 전선관비의 15%</v>
          </cell>
          <cell r="E619" t="str">
            <v>식</v>
          </cell>
          <cell r="F619">
            <v>1</v>
          </cell>
          <cell r="G619">
            <v>192.8</v>
          </cell>
          <cell r="H619">
            <v>192.8</v>
          </cell>
        </row>
        <row r="620">
          <cell r="B620" t="str">
            <v>소         계</v>
          </cell>
          <cell r="H620">
            <v>1478</v>
          </cell>
          <cell r="I620" t="str">
            <v>ⓐ</v>
          </cell>
        </row>
        <row r="621">
          <cell r="C621" t="str">
            <v>나, 노무비</v>
          </cell>
        </row>
        <row r="622">
          <cell r="A622" t="str">
            <v>31 통신내선공</v>
          </cell>
          <cell r="C622" t="str">
            <v xml:space="preserve"> 통신내선공</v>
          </cell>
          <cell r="E622" t="str">
            <v>인</v>
          </cell>
          <cell r="F622">
            <v>0.13</v>
          </cell>
          <cell r="G622">
            <v>63738</v>
          </cell>
          <cell r="H622">
            <v>8285.9</v>
          </cell>
          <cell r="I622" t="str">
            <v>기본×(1+철강조노출),통신 3-61-가</v>
          </cell>
        </row>
        <row r="623">
          <cell r="B623" t="str">
            <v>소         계</v>
          </cell>
          <cell r="H623">
            <v>8285</v>
          </cell>
          <cell r="I623" t="str">
            <v>ⓑ</v>
          </cell>
        </row>
        <row r="624">
          <cell r="C624" t="str">
            <v>다, 기계경비</v>
          </cell>
        </row>
        <row r="625">
          <cell r="C625" t="str">
            <v xml:space="preserve"> 통신내선공</v>
          </cell>
          <cell r="E625" t="str">
            <v>인</v>
          </cell>
          <cell r="F625">
            <v>3.0000000000000001E-3</v>
          </cell>
          <cell r="G625">
            <v>63738</v>
          </cell>
          <cell r="H625">
            <v>191.2</v>
          </cell>
        </row>
        <row r="626">
          <cell r="B626" t="str">
            <v>소         계</v>
          </cell>
          <cell r="H626">
            <v>191</v>
          </cell>
          <cell r="I626" t="str">
            <v>ⓒ</v>
          </cell>
        </row>
        <row r="628">
          <cell r="A628" t="str">
            <v>31재   료   비</v>
          </cell>
          <cell r="B628" t="str">
            <v>재   료   비</v>
          </cell>
          <cell r="D628" t="str">
            <v>ⓐ</v>
          </cell>
          <cell r="H628">
            <v>1478</v>
          </cell>
        </row>
        <row r="629">
          <cell r="A629" t="str">
            <v>31노   무   비</v>
          </cell>
          <cell r="B629" t="str">
            <v>노   무   비</v>
          </cell>
          <cell r="D629" t="str">
            <v>ⓑ</v>
          </cell>
          <cell r="H629">
            <v>8285</v>
          </cell>
        </row>
        <row r="630">
          <cell r="A630" t="str">
            <v>31경        비</v>
          </cell>
          <cell r="B630" t="str">
            <v>경        비</v>
          </cell>
          <cell r="D630" t="str">
            <v>ⓒ</v>
          </cell>
          <cell r="H630">
            <v>191</v>
          </cell>
        </row>
        <row r="631">
          <cell r="B631" t="str">
            <v>계</v>
          </cell>
          <cell r="H631">
            <v>9954</v>
          </cell>
        </row>
        <row r="634">
          <cell r="B634">
            <v>32</v>
          </cell>
          <cell r="C634" t="str">
            <v xml:space="preserve"> 후강전선관 신설</v>
          </cell>
          <cell r="D634" t="str">
            <v xml:space="preserve"> 28C (매입)</v>
          </cell>
          <cell r="E634" t="str">
            <v>m</v>
          </cell>
          <cell r="F634">
            <v>1</v>
          </cell>
        </row>
        <row r="635">
          <cell r="C635" t="str">
            <v>가, 재료비</v>
          </cell>
        </row>
        <row r="636">
          <cell r="A636" t="str">
            <v xml:space="preserve"> 후강전선관  아연도 28C</v>
          </cell>
          <cell r="C636" t="str">
            <v xml:space="preserve"> 후강전선관 </v>
          </cell>
          <cell r="D636" t="str">
            <v xml:space="preserve"> 아연도 28C</v>
          </cell>
          <cell r="E636" t="str">
            <v>m</v>
          </cell>
          <cell r="F636">
            <v>1.1000000000000001</v>
          </cell>
          <cell r="G636">
            <v>1526</v>
          </cell>
          <cell r="H636">
            <v>1678.6</v>
          </cell>
          <cell r="I636">
            <v>0.1</v>
          </cell>
        </row>
        <row r="637">
          <cell r="C637" t="str">
            <v xml:space="preserve"> 전선관부속품비</v>
          </cell>
          <cell r="D637" t="str">
            <v xml:space="preserve"> 전선관비의 15%</v>
          </cell>
          <cell r="E637" t="str">
            <v>식</v>
          </cell>
          <cell r="F637">
            <v>1</v>
          </cell>
          <cell r="G637">
            <v>251.7</v>
          </cell>
          <cell r="H637">
            <v>251.7</v>
          </cell>
        </row>
        <row r="638">
          <cell r="B638" t="str">
            <v>소         계</v>
          </cell>
          <cell r="H638">
            <v>1930</v>
          </cell>
          <cell r="I638" t="str">
            <v>ⓐ</v>
          </cell>
        </row>
        <row r="639">
          <cell r="C639" t="str">
            <v>나, 노무비</v>
          </cell>
        </row>
        <row r="640">
          <cell r="A640" t="str">
            <v>32 통신내선공</v>
          </cell>
          <cell r="C640" t="str">
            <v xml:space="preserve"> 통신내선공</v>
          </cell>
          <cell r="E640" t="str">
            <v>인</v>
          </cell>
          <cell r="F640">
            <v>0.14000000000000001</v>
          </cell>
          <cell r="G640">
            <v>63738</v>
          </cell>
          <cell r="H640">
            <v>8923.2999999999993</v>
          </cell>
          <cell r="I640" t="str">
            <v>기본,통신 3-61-가</v>
          </cell>
        </row>
        <row r="641">
          <cell r="B641" t="str">
            <v>소         계</v>
          </cell>
          <cell r="H641">
            <v>8923</v>
          </cell>
          <cell r="I641" t="str">
            <v>ⓑ</v>
          </cell>
        </row>
        <row r="642">
          <cell r="C642" t="str">
            <v>다, 기계경비</v>
          </cell>
        </row>
        <row r="643">
          <cell r="C643" t="str">
            <v xml:space="preserve"> 통신내선공</v>
          </cell>
          <cell r="E643" t="str">
            <v>인</v>
          </cell>
          <cell r="F643">
            <v>4.0000000000000001E-3</v>
          </cell>
          <cell r="G643">
            <v>63738</v>
          </cell>
          <cell r="H643">
            <v>254.9</v>
          </cell>
        </row>
        <row r="644">
          <cell r="B644" t="str">
            <v>소         계</v>
          </cell>
          <cell r="H644">
            <v>254</v>
          </cell>
          <cell r="I644" t="str">
            <v>ⓒ</v>
          </cell>
        </row>
        <row r="646">
          <cell r="A646" t="str">
            <v>32재   료   비</v>
          </cell>
          <cell r="B646" t="str">
            <v>재   료   비</v>
          </cell>
          <cell r="D646" t="str">
            <v>ⓐ</v>
          </cell>
          <cell r="H646">
            <v>1930</v>
          </cell>
        </row>
        <row r="647">
          <cell r="A647" t="str">
            <v>32노   무   비</v>
          </cell>
          <cell r="B647" t="str">
            <v>노   무   비</v>
          </cell>
          <cell r="D647" t="str">
            <v>ⓑ</v>
          </cell>
          <cell r="H647">
            <v>8923</v>
          </cell>
        </row>
        <row r="648">
          <cell r="A648" t="str">
            <v>32경        비</v>
          </cell>
          <cell r="B648" t="str">
            <v>경        비</v>
          </cell>
          <cell r="D648" t="str">
            <v>ⓒ</v>
          </cell>
          <cell r="H648">
            <v>254</v>
          </cell>
        </row>
        <row r="649">
          <cell r="B649" t="str">
            <v>계</v>
          </cell>
          <cell r="H649">
            <v>11107</v>
          </cell>
        </row>
        <row r="652">
          <cell r="B652">
            <v>33</v>
          </cell>
          <cell r="C652" t="str">
            <v xml:space="preserve"> 후강전선관 신설</v>
          </cell>
          <cell r="D652" t="str">
            <v xml:space="preserve"> 28C (벽매입)</v>
          </cell>
          <cell r="E652" t="str">
            <v>m</v>
          </cell>
          <cell r="F652">
            <v>1</v>
          </cell>
        </row>
        <row r="653">
          <cell r="C653" t="str">
            <v>가, 재료비</v>
          </cell>
        </row>
        <row r="654">
          <cell r="A654" t="str">
            <v xml:space="preserve"> 후강전선관  아연도 28C</v>
          </cell>
          <cell r="C654" t="str">
            <v xml:space="preserve"> 후강전선관 </v>
          </cell>
          <cell r="D654" t="str">
            <v xml:space="preserve"> 아연도 28C</v>
          </cell>
          <cell r="E654" t="str">
            <v>m</v>
          </cell>
          <cell r="F654">
            <v>1.1000000000000001</v>
          </cell>
          <cell r="G654">
            <v>1526</v>
          </cell>
          <cell r="H654">
            <v>1678.6</v>
          </cell>
          <cell r="I654">
            <v>0.1</v>
          </cell>
        </row>
        <row r="655">
          <cell r="C655" t="str">
            <v xml:space="preserve"> 전선관부속품비</v>
          </cell>
          <cell r="D655" t="str">
            <v xml:space="preserve"> 전선관비의 15%</v>
          </cell>
          <cell r="E655" t="str">
            <v>식</v>
          </cell>
          <cell r="F655">
            <v>1</v>
          </cell>
          <cell r="G655">
            <v>251.7</v>
          </cell>
          <cell r="H655">
            <v>251.7</v>
          </cell>
        </row>
        <row r="656">
          <cell r="B656" t="str">
            <v>소         계</v>
          </cell>
          <cell r="H656">
            <v>1930</v>
          </cell>
          <cell r="I656" t="str">
            <v>ⓐ</v>
          </cell>
        </row>
        <row r="657">
          <cell r="C657" t="str">
            <v>나, 노무비</v>
          </cell>
        </row>
        <row r="658">
          <cell r="A658" t="str">
            <v>33 통신내선공</v>
          </cell>
          <cell r="C658" t="str">
            <v xml:space="preserve"> 통신내선공</v>
          </cell>
          <cell r="E658" t="str">
            <v>인</v>
          </cell>
          <cell r="F658">
            <v>0.16</v>
          </cell>
          <cell r="G658">
            <v>63738</v>
          </cell>
          <cell r="H658">
            <v>10198</v>
          </cell>
          <cell r="I658" t="str">
            <v>기본×(1+벽내),통신 3-61-가</v>
          </cell>
        </row>
        <row r="659">
          <cell r="B659" t="str">
            <v>소         계</v>
          </cell>
          <cell r="H659">
            <v>10198</v>
          </cell>
          <cell r="I659" t="str">
            <v>ⓑ</v>
          </cell>
        </row>
        <row r="660">
          <cell r="C660" t="str">
            <v>다, 기계경비</v>
          </cell>
        </row>
        <row r="661">
          <cell r="C661" t="str">
            <v xml:space="preserve"> 통신내선공</v>
          </cell>
          <cell r="E661" t="str">
            <v>인</v>
          </cell>
          <cell r="F661">
            <v>4.0000000000000001E-3</v>
          </cell>
          <cell r="G661">
            <v>63738</v>
          </cell>
          <cell r="H661">
            <v>254.9</v>
          </cell>
        </row>
        <row r="662">
          <cell r="B662" t="str">
            <v>소         계</v>
          </cell>
          <cell r="H662">
            <v>254</v>
          </cell>
          <cell r="I662" t="str">
            <v>ⓒ</v>
          </cell>
        </row>
        <row r="664">
          <cell r="A664" t="str">
            <v>33재   료   비</v>
          </cell>
          <cell r="B664" t="str">
            <v>재   료   비</v>
          </cell>
          <cell r="D664" t="str">
            <v>ⓐ</v>
          </cell>
          <cell r="H664">
            <v>1930</v>
          </cell>
        </row>
        <row r="665">
          <cell r="A665" t="str">
            <v>33노   무   비</v>
          </cell>
          <cell r="B665" t="str">
            <v>노   무   비</v>
          </cell>
          <cell r="D665" t="str">
            <v>ⓑ</v>
          </cell>
          <cell r="H665">
            <v>10198</v>
          </cell>
        </row>
        <row r="666">
          <cell r="A666" t="str">
            <v>33경        비</v>
          </cell>
          <cell r="B666" t="str">
            <v>경        비</v>
          </cell>
          <cell r="D666" t="str">
            <v>ⓒ</v>
          </cell>
          <cell r="H666">
            <v>254</v>
          </cell>
        </row>
        <row r="667">
          <cell r="B667" t="str">
            <v>계</v>
          </cell>
          <cell r="H667">
            <v>12382</v>
          </cell>
        </row>
        <row r="670">
          <cell r="B670">
            <v>34</v>
          </cell>
          <cell r="C670" t="str">
            <v xml:space="preserve"> 후강전선관 신설</v>
          </cell>
          <cell r="D670" t="str">
            <v xml:space="preserve"> 28C (천장노출)</v>
          </cell>
          <cell r="E670" t="str">
            <v>m</v>
          </cell>
          <cell r="F670">
            <v>1</v>
          </cell>
        </row>
        <row r="671">
          <cell r="C671" t="str">
            <v>가, 재료비</v>
          </cell>
        </row>
        <row r="672">
          <cell r="A672" t="str">
            <v xml:space="preserve"> 후강전선관  아연도 28C</v>
          </cell>
          <cell r="C672" t="str">
            <v xml:space="preserve"> 후강전선관 </v>
          </cell>
          <cell r="D672" t="str">
            <v xml:space="preserve"> 아연도 28C</v>
          </cell>
          <cell r="E672" t="str">
            <v>m</v>
          </cell>
          <cell r="F672">
            <v>1.1000000000000001</v>
          </cell>
          <cell r="G672">
            <v>1526</v>
          </cell>
          <cell r="H672">
            <v>1678.6</v>
          </cell>
          <cell r="I672">
            <v>0.1</v>
          </cell>
        </row>
        <row r="673">
          <cell r="C673" t="str">
            <v xml:space="preserve"> 전선관부속품비</v>
          </cell>
          <cell r="D673" t="str">
            <v xml:space="preserve"> 전선관비의 15%</v>
          </cell>
          <cell r="E673" t="str">
            <v>식</v>
          </cell>
          <cell r="F673">
            <v>1</v>
          </cell>
          <cell r="G673">
            <v>251.7</v>
          </cell>
          <cell r="H673">
            <v>251.7</v>
          </cell>
        </row>
        <row r="674">
          <cell r="B674" t="str">
            <v>소         계</v>
          </cell>
          <cell r="H674">
            <v>1930</v>
          </cell>
          <cell r="I674" t="str">
            <v>ⓐ</v>
          </cell>
        </row>
        <row r="675">
          <cell r="C675" t="str">
            <v>나, 노무비</v>
          </cell>
        </row>
        <row r="676">
          <cell r="A676" t="str">
            <v>34 통신내선공</v>
          </cell>
          <cell r="C676" t="str">
            <v xml:space="preserve"> 통신내선공</v>
          </cell>
          <cell r="E676" t="str">
            <v>인</v>
          </cell>
          <cell r="F676">
            <v>0.16</v>
          </cell>
          <cell r="G676">
            <v>63738</v>
          </cell>
          <cell r="H676">
            <v>10198</v>
          </cell>
          <cell r="I676" t="str">
            <v>기본×(1+천장노출),통신 3-61-가</v>
          </cell>
        </row>
        <row r="677">
          <cell r="B677" t="str">
            <v>소         계</v>
          </cell>
          <cell r="H677">
            <v>10198</v>
          </cell>
          <cell r="I677" t="str">
            <v>ⓑ</v>
          </cell>
        </row>
        <row r="678">
          <cell r="C678" t="str">
            <v>다, 기계경비</v>
          </cell>
        </row>
        <row r="679">
          <cell r="C679" t="str">
            <v xml:space="preserve"> 통신내선공</v>
          </cell>
          <cell r="E679" t="str">
            <v>인</v>
          </cell>
          <cell r="F679">
            <v>4.0000000000000001E-3</v>
          </cell>
          <cell r="G679">
            <v>63738</v>
          </cell>
          <cell r="H679">
            <v>254.9</v>
          </cell>
        </row>
        <row r="680">
          <cell r="B680" t="str">
            <v>소         계</v>
          </cell>
          <cell r="H680">
            <v>254</v>
          </cell>
          <cell r="I680" t="str">
            <v>ⓒ</v>
          </cell>
        </row>
        <row r="682">
          <cell r="A682" t="str">
            <v>34재   료   비</v>
          </cell>
          <cell r="B682" t="str">
            <v>재   료   비</v>
          </cell>
          <cell r="D682" t="str">
            <v>ⓐ</v>
          </cell>
          <cell r="H682">
            <v>1930</v>
          </cell>
        </row>
        <row r="683">
          <cell r="A683" t="str">
            <v>34노   무   비</v>
          </cell>
          <cell r="B683" t="str">
            <v>노   무   비</v>
          </cell>
          <cell r="D683" t="str">
            <v>ⓑ</v>
          </cell>
          <cell r="H683">
            <v>10198</v>
          </cell>
        </row>
        <row r="684">
          <cell r="A684" t="str">
            <v>34경        비</v>
          </cell>
          <cell r="B684" t="str">
            <v>경        비</v>
          </cell>
          <cell r="D684" t="str">
            <v>ⓒ</v>
          </cell>
          <cell r="H684">
            <v>254</v>
          </cell>
        </row>
        <row r="685">
          <cell r="B685" t="str">
            <v>계</v>
          </cell>
          <cell r="H685">
            <v>12382</v>
          </cell>
        </row>
        <row r="688">
          <cell r="B688">
            <v>35</v>
          </cell>
          <cell r="C688" t="str">
            <v xml:space="preserve"> 후강전선관 신설</v>
          </cell>
          <cell r="D688" t="str">
            <v xml:space="preserve"> 28C (철강조)</v>
          </cell>
          <cell r="E688" t="str">
            <v>m</v>
          </cell>
          <cell r="F688">
            <v>1</v>
          </cell>
        </row>
        <row r="689">
          <cell r="C689" t="str">
            <v>가, 재료비</v>
          </cell>
        </row>
        <row r="690">
          <cell r="A690" t="str">
            <v xml:space="preserve"> 후강전선관  아연도 28C</v>
          </cell>
          <cell r="C690" t="str">
            <v xml:space="preserve"> 후강전선관 </v>
          </cell>
          <cell r="D690" t="str">
            <v xml:space="preserve"> 아연도 28C</v>
          </cell>
          <cell r="E690" t="str">
            <v>m</v>
          </cell>
          <cell r="F690">
            <v>1.1000000000000001</v>
          </cell>
          <cell r="G690">
            <v>1526</v>
          </cell>
          <cell r="H690">
            <v>1678.6</v>
          </cell>
          <cell r="I690">
            <v>0.1</v>
          </cell>
        </row>
        <row r="691">
          <cell r="C691" t="str">
            <v xml:space="preserve"> 전선관부속품비</v>
          </cell>
          <cell r="D691" t="str">
            <v xml:space="preserve"> 전선관비의 15%</v>
          </cell>
          <cell r="E691" t="str">
            <v>식</v>
          </cell>
          <cell r="F691">
            <v>1</v>
          </cell>
          <cell r="G691">
            <v>251.7</v>
          </cell>
          <cell r="H691">
            <v>251.7</v>
          </cell>
        </row>
        <row r="692">
          <cell r="B692" t="str">
            <v>소         계</v>
          </cell>
          <cell r="H692">
            <v>1930</v>
          </cell>
          <cell r="I692" t="str">
            <v>ⓐ</v>
          </cell>
        </row>
        <row r="693">
          <cell r="C693" t="str">
            <v>나, 노무비</v>
          </cell>
        </row>
        <row r="694">
          <cell r="A694" t="str">
            <v>35 통신내선공</v>
          </cell>
          <cell r="C694" t="str">
            <v xml:space="preserve"> 통신내선공</v>
          </cell>
          <cell r="E694" t="str">
            <v>인</v>
          </cell>
          <cell r="F694">
            <v>0.17</v>
          </cell>
          <cell r="G694">
            <v>63738</v>
          </cell>
          <cell r="H694">
            <v>10835.4</v>
          </cell>
          <cell r="I694" t="str">
            <v>기본×(1+철강조노출),통신 3-61-가</v>
          </cell>
        </row>
        <row r="695">
          <cell r="B695" t="str">
            <v>소         계</v>
          </cell>
          <cell r="H695">
            <v>10835</v>
          </cell>
          <cell r="I695" t="str">
            <v>ⓑ</v>
          </cell>
        </row>
        <row r="696">
          <cell r="C696" t="str">
            <v>다, 기계경비</v>
          </cell>
        </row>
        <row r="697">
          <cell r="C697" t="str">
            <v xml:space="preserve"> 통신내선공</v>
          </cell>
          <cell r="E697" t="str">
            <v>인</v>
          </cell>
          <cell r="F697">
            <v>5.0000000000000001E-3</v>
          </cell>
          <cell r="G697">
            <v>63738</v>
          </cell>
          <cell r="H697">
            <v>318.60000000000002</v>
          </cell>
        </row>
        <row r="698">
          <cell r="B698" t="str">
            <v>소         계</v>
          </cell>
          <cell r="H698">
            <v>318</v>
          </cell>
          <cell r="I698" t="str">
            <v>ⓒ</v>
          </cell>
        </row>
        <row r="700">
          <cell r="A700" t="str">
            <v>35재   료   비</v>
          </cell>
          <cell r="B700" t="str">
            <v>재   료   비</v>
          </cell>
          <cell r="D700" t="str">
            <v>ⓐ</v>
          </cell>
          <cell r="H700">
            <v>1930</v>
          </cell>
        </row>
        <row r="701">
          <cell r="A701" t="str">
            <v>35노   무   비</v>
          </cell>
          <cell r="B701" t="str">
            <v>노   무   비</v>
          </cell>
          <cell r="D701" t="str">
            <v>ⓑ</v>
          </cell>
          <cell r="H701">
            <v>10835</v>
          </cell>
        </row>
        <row r="702">
          <cell r="A702" t="str">
            <v>35경        비</v>
          </cell>
          <cell r="B702" t="str">
            <v>경        비</v>
          </cell>
          <cell r="D702" t="str">
            <v>ⓒ</v>
          </cell>
          <cell r="H702">
            <v>318</v>
          </cell>
        </row>
        <row r="703">
          <cell r="B703" t="str">
            <v>계</v>
          </cell>
          <cell r="H703">
            <v>13083</v>
          </cell>
        </row>
        <row r="706">
          <cell r="B706">
            <v>36</v>
          </cell>
          <cell r="C706" t="str">
            <v xml:space="preserve"> 후강전선관 신설</v>
          </cell>
          <cell r="D706" t="str">
            <v xml:space="preserve"> 36C (매입)</v>
          </cell>
          <cell r="E706" t="str">
            <v>m</v>
          </cell>
          <cell r="F706">
            <v>1</v>
          </cell>
        </row>
        <row r="707">
          <cell r="C707" t="str">
            <v>가, 재료비</v>
          </cell>
        </row>
        <row r="708">
          <cell r="A708" t="str">
            <v xml:space="preserve"> 후강전선관  아연도 36C</v>
          </cell>
          <cell r="C708" t="str">
            <v xml:space="preserve"> 후강전선관 </v>
          </cell>
          <cell r="D708" t="str">
            <v xml:space="preserve"> 아연도 36C</v>
          </cell>
          <cell r="E708" t="str">
            <v>m</v>
          </cell>
          <cell r="F708">
            <v>1.1000000000000001</v>
          </cell>
          <cell r="G708">
            <v>1873</v>
          </cell>
          <cell r="H708">
            <v>2060.3000000000002</v>
          </cell>
          <cell r="I708">
            <v>0.1</v>
          </cell>
        </row>
        <row r="709">
          <cell r="C709" t="str">
            <v xml:space="preserve"> 전선관부속품비</v>
          </cell>
          <cell r="D709" t="str">
            <v xml:space="preserve"> 전선관비의 15%</v>
          </cell>
          <cell r="E709" t="str">
            <v>식</v>
          </cell>
          <cell r="F709">
            <v>1</v>
          </cell>
          <cell r="G709">
            <v>309</v>
          </cell>
          <cell r="H709">
            <v>309</v>
          </cell>
        </row>
        <row r="710">
          <cell r="B710" t="str">
            <v>소         계</v>
          </cell>
          <cell r="H710">
            <v>2369</v>
          </cell>
          <cell r="I710" t="str">
            <v>ⓐ</v>
          </cell>
        </row>
        <row r="711">
          <cell r="C711" t="str">
            <v>나, 노무비</v>
          </cell>
        </row>
        <row r="712">
          <cell r="A712" t="str">
            <v>36 통신내선공</v>
          </cell>
          <cell r="C712" t="str">
            <v xml:space="preserve"> 통신내선공</v>
          </cell>
          <cell r="E712" t="str">
            <v>인</v>
          </cell>
          <cell r="F712">
            <v>0.2</v>
          </cell>
          <cell r="G712">
            <v>63738</v>
          </cell>
          <cell r="H712">
            <v>12747.6</v>
          </cell>
          <cell r="I712" t="str">
            <v>기본,통신 3-61-가</v>
          </cell>
        </row>
        <row r="713">
          <cell r="B713" t="str">
            <v>소         계</v>
          </cell>
          <cell r="H713">
            <v>12747</v>
          </cell>
          <cell r="I713" t="str">
            <v>ⓑ</v>
          </cell>
        </row>
        <row r="714">
          <cell r="C714" t="str">
            <v>다, 기계경비</v>
          </cell>
        </row>
        <row r="715">
          <cell r="C715" t="str">
            <v xml:space="preserve"> 통신내선공</v>
          </cell>
          <cell r="E715" t="str">
            <v>인</v>
          </cell>
          <cell r="F715">
            <v>6.0000000000000001E-3</v>
          </cell>
          <cell r="G715">
            <v>63738</v>
          </cell>
          <cell r="H715">
            <v>382.4</v>
          </cell>
        </row>
        <row r="716">
          <cell r="B716" t="str">
            <v>소         계</v>
          </cell>
          <cell r="H716">
            <v>382</v>
          </cell>
          <cell r="I716" t="str">
            <v>ⓒ</v>
          </cell>
        </row>
        <row r="718">
          <cell r="A718" t="str">
            <v>36재   료   비</v>
          </cell>
          <cell r="B718" t="str">
            <v>재   료   비</v>
          </cell>
          <cell r="D718" t="str">
            <v>ⓐ</v>
          </cell>
          <cell r="H718">
            <v>2369</v>
          </cell>
        </row>
        <row r="719">
          <cell r="A719" t="str">
            <v>36노   무   비</v>
          </cell>
          <cell r="B719" t="str">
            <v>노   무   비</v>
          </cell>
          <cell r="D719" t="str">
            <v>ⓑ</v>
          </cell>
          <cell r="H719">
            <v>12747</v>
          </cell>
        </row>
        <row r="720">
          <cell r="A720" t="str">
            <v>36경        비</v>
          </cell>
          <cell r="B720" t="str">
            <v>경        비</v>
          </cell>
          <cell r="D720" t="str">
            <v>ⓒ</v>
          </cell>
          <cell r="H720">
            <v>382</v>
          </cell>
        </row>
        <row r="721">
          <cell r="B721" t="str">
            <v>계</v>
          </cell>
          <cell r="H721">
            <v>15498</v>
          </cell>
        </row>
        <row r="724">
          <cell r="B724">
            <v>37</v>
          </cell>
          <cell r="C724" t="str">
            <v xml:space="preserve"> 후강전선관 신설</v>
          </cell>
          <cell r="D724" t="str">
            <v xml:space="preserve"> 36C (벽매입)</v>
          </cell>
          <cell r="E724" t="str">
            <v>m</v>
          </cell>
          <cell r="F724">
            <v>1</v>
          </cell>
        </row>
        <row r="725">
          <cell r="C725" t="str">
            <v>가, 재료비</v>
          </cell>
        </row>
        <row r="726">
          <cell r="A726" t="str">
            <v xml:space="preserve"> 후강전선관  아연도 36C</v>
          </cell>
          <cell r="C726" t="str">
            <v xml:space="preserve"> 후강전선관 </v>
          </cell>
          <cell r="D726" t="str">
            <v xml:space="preserve"> 아연도 36C</v>
          </cell>
          <cell r="E726" t="str">
            <v>m</v>
          </cell>
          <cell r="F726">
            <v>1.1000000000000001</v>
          </cell>
          <cell r="G726">
            <v>1873</v>
          </cell>
          <cell r="H726">
            <v>2060.3000000000002</v>
          </cell>
          <cell r="I726">
            <v>0.1</v>
          </cell>
        </row>
        <row r="727">
          <cell r="C727" t="str">
            <v xml:space="preserve"> 전선관부속품비</v>
          </cell>
          <cell r="D727" t="str">
            <v xml:space="preserve"> 전선관비의 15%</v>
          </cell>
          <cell r="E727" t="str">
            <v>식</v>
          </cell>
          <cell r="F727">
            <v>1</v>
          </cell>
          <cell r="G727">
            <v>309</v>
          </cell>
          <cell r="H727">
            <v>309</v>
          </cell>
        </row>
        <row r="728">
          <cell r="B728" t="str">
            <v>소         계</v>
          </cell>
          <cell r="H728">
            <v>2369</v>
          </cell>
          <cell r="I728" t="str">
            <v>ⓐ</v>
          </cell>
        </row>
        <row r="729">
          <cell r="C729" t="str">
            <v>나, 노무비</v>
          </cell>
        </row>
        <row r="730">
          <cell r="A730" t="str">
            <v>37 통신내선공</v>
          </cell>
          <cell r="C730" t="str">
            <v xml:space="preserve"> 통신내선공</v>
          </cell>
          <cell r="E730" t="str">
            <v>인</v>
          </cell>
          <cell r="F730">
            <v>0.24</v>
          </cell>
          <cell r="G730">
            <v>63738</v>
          </cell>
          <cell r="H730">
            <v>15297.1</v>
          </cell>
          <cell r="I730" t="str">
            <v>기본×(1+벽내),통신 3-61-가</v>
          </cell>
        </row>
        <row r="731">
          <cell r="B731" t="str">
            <v>소         계</v>
          </cell>
          <cell r="H731">
            <v>15297</v>
          </cell>
          <cell r="I731" t="str">
            <v>ⓑ</v>
          </cell>
        </row>
        <row r="732">
          <cell r="C732" t="str">
            <v>다, 기계경비</v>
          </cell>
        </row>
        <row r="733">
          <cell r="C733" t="str">
            <v xml:space="preserve"> 통신내선공</v>
          </cell>
          <cell r="E733" t="str">
            <v>인</v>
          </cell>
          <cell r="F733">
            <v>7.0000000000000001E-3</v>
          </cell>
          <cell r="G733">
            <v>63738</v>
          </cell>
          <cell r="H733">
            <v>446.1</v>
          </cell>
        </row>
        <row r="734">
          <cell r="B734" t="str">
            <v>소         계</v>
          </cell>
          <cell r="H734">
            <v>446</v>
          </cell>
          <cell r="I734" t="str">
            <v>ⓒ</v>
          </cell>
        </row>
        <row r="736">
          <cell r="A736" t="str">
            <v>37재   료   비</v>
          </cell>
          <cell r="B736" t="str">
            <v>재   료   비</v>
          </cell>
          <cell r="D736" t="str">
            <v>ⓐ</v>
          </cell>
          <cell r="H736">
            <v>2369</v>
          </cell>
        </row>
        <row r="737">
          <cell r="A737" t="str">
            <v>37노   무   비</v>
          </cell>
          <cell r="B737" t="str">
            <v>노   무   비</v>
          </cell>
          <cell r="D737" t="str">
            <v>ⓑ</v>
          </cell>
          <cell r="H737">
            <v>15297</v>
          </cell>
        </row>
        <row r="738">
          <cell r="A738" t="str">
            <v>37경        비</v>
          </cell>
          <cell r="B738" t="str">
            <v>경        비</v>
          </cell>
          <cell r="D738" t="str">
            <v>ⓒ</v>
          </cell>
          <cell r="H738">
            <v>446</v>
          </cell>
        </row>
        <row r="739">
          <cell r="B739" t="str">
            <v>계</v>
          </cell>
          <cell r="H739">
            <v>18112</v>
          </cell>
        </row>
        <row r="742">
          <cell r="B742">
            <v>38</v>
          </cell>
          <cell r="C742" t="str">
            <v xml:space="preserve"> 후강전선관 신설</v>
          </cell>
          <cell r="D742" t="str">
            <v xml:space="preserve"> 36C (천장노출)</v>
          </cell>
          <cell r="E742" t="str">
            <v>m</v>
          </cell>
          <cell r="F742">
            <v>1</v>
          </cell>
        </row>
        <row r="743">
          <cell r="C743" t="str">
            <v>가, 재료비</v>
          </cell>
        </row>
        <row r="744">
          <cell r="A744" t="str">
            <v xml:space="preserve"> 후강전선관  아연도 36C</v>
          </cell>
          <cell r="C744" t="str">
            <v xml:space="preserve"> 후강전선관 </v>
          </cell>
          <cell r="D744" t="str">
            <v xml:space="preserve"> 아연도 36C</v>
          </cell>
          <cell r="E744" t="str">
            <v>m</v>
          </cell>
          <cell r="F744">
            <v>1.1000000000000001</v>
          </cell>
          <cell r="G744">
            <v>1873</v>
          </cell>
          <cell r="H744">
            <v>2060.3000000000002</v>
          </cell>
          <cell r="I744">
            <v>0.1</v>
          </cell>
        </row>
        <row r="745">
          <cell r="C745" t="str">
            <v xml:space="preserve"> 전선관부속품비</v>
          </cell>
          <cell r="D745" t="str">
            <v xml:space="preserve"> 전선관비의 15%</v>
          </cell>
          <cell r="E745" t="str">
            <v>식</v>
          </cell>
          <cell r="F745">
            <v>1</v>
          </cell>
          <cell r="G745">
            <v>309</v>
          </cell>
          <cell r="H745">
            <v>309</v>
          </cell>
        </row>
        <row r="746">
          <cell r="B746" t="str">
            <v>소         계</v>
          </cell>
          <cell r="H746">
            <v>2369</v>
          </cell>
          <cell r="I746" t="str">
            <v>ⓐ</v>
          </cell>
        </row>
        <row r="747">
          <cell r="C747" t="str">
            <v>나, 노무비</v>
          </cell>
        </row>
        <row r="748">
          <cell r="A748" t="str">
            <v>38 통신내선공</v>
          </cell>
          <cell r="C748" t="str">
            <v xml:space="preserve"> 통신내선공</v>
          </cell>
          <cell r="E748" t="str">
            <v>인</v>
          </cell>
          <cell r="F748">
            <v>0.24</v>
          </cell>
          <cell r="G748">
            <v>63738</v>
          </cell>
          <cell r="H748">
            <v>15297.1</v>
          </cell>
          <cell r="I748" t="str">
            <v>기본×(1+천장노출),통신 3-61-가</v>
          </cell>
        </row>
        <row r="749">
          <cell r="B749" t="str">
            <v>소         계</v>
          </cell>
          <cell r="H749">
            <v>15297</v>
          </cell>
          <cell r="I749" t="str">
            <v>ⓑ</v>
          </cell>
        </row>
        <row r="750">
          <cell r="C750" t="str">
            <v>다, 기계경비</v>
          </cell>
        </row>
        <row r="751">
          <cell r="C751" t="str">
            <v xml:space="preserve"> 통신내선공</v>
          </cell>
          <cell r="E751" t="str">
            <v>인</v>
          </cell>
          <cell r="F751">
            <v>7.0000000000000001E-3</v>
          </cell>
          <cell r="G751">
            <v>63738</v>
          </cell>
          <cell r="H751">
            <v>446.1</v>
          </cell>
        </row>
        <row r="752">
          <cell r="B752" t="str">
            <v>소         계</v>
          </cell>
          <cell r="H752">
            <v>446</v>
          </cell>
          <cell r="I752" t="str">
            <v>ⓒ</v>
          </cell>
        </row>
        <row r="754">
          <cell r="A754" t="str">
            <v>38재   료   비</v>
          </cell>
          <cell r="B754" t="str">
            <v>재   료   비</v>
          </cell>
          <cell r="D754" t="str">
            <v>ⓐ</v>
          </cell>
          <cell r="H754">
            <v>2369</v>
          </cell>
        </row>
        <row r="755">
          <cell r="A755" t="str">
            <v>38노   무   비</v>
          </cell>
          <cell r="B755" t="str">
            <v>노   무   비</v>
          </cell>
          <cell r="D755" t="str">
            <v>ⓑ</v>
          </cell>
          <cell r="H755">
            <v>15297</v>
          </cell>
        </row>
        <row r="756">
          <cell r="A756" t="str">
            <v>38경        비</v>
          </cell>
          <cell r="B756" t="str">
            <v>경        비</v>
          </cell>
          <cell r="D756" t="str">
            <v>ⓒ</v>
          </cell>
          <cell r="H756">
            <v>446</v>
          </cell>
        </row>
        <row r="757">
          <cell r="B757" t="str">
            <v>계</v>
          </cell>
          <cell r="H757">
            <v>18112</v>
          </cell>
        </row>
        <row r="760">
          <cell r="B760">
            <v>39</v>
          </cell>
          <cell r="C760" t="str">
            <v xml:space="preserve"> 후강전선관 신설</v>
          </cell>
          <cell r="D760" t="str">
            <v xml:space="preserve"> 42C (벽매입)</v>
          </cell>
          <cell r="E760" t="str">
            <v>m</v>
          </cell>
          <cell r="F760">
            <v>1</v>
          </cell>
        </row>
        <row r="761">
          <cell r="C761" t="str">
            <v>가, 재료비</v>
          </cell>
        </row>
        <row r="762">
          <cell r="A762" t="str">
            <v xml:space="preserve"> 후강전선관  아연도 42C</v>
          </cell>
          <cell r="C762" t="str">
            <v xml:space="preserve"> 후강전선관 </v>
          </cell>
          <cell r="D762" t="str">
            <v xml:space="preserve"> 아연도 42C</v>
          </cell>
          <cell r="E762" t="str">
            <v>m</v>
          </cell>
          <cell r="F762">
            <v>1.1000000000000001</v>
          </cell>
          <cell r="G762">
            <v>2171</v>
          </cell>
          <cell r="H762">
            <v>2388.1</v>
          </cell>
          <cell r="I762">
            <v>0.1</v>
          </cell>
        </row>
        <row r="763">
          <cell r="C763" t="str">
            <v xml:space="preserve"> 전선관부속품비</v>
          </cell>
          <cell r="D763" t="str">
            <v xml:space="preserve"> 전선관비의 15%</v>
          </cell>
          <cell r="E763" t="str">
            <v>식</v>
          </cell>
          <cell r="F763">
            <v>1</v>
          </cell>
          <cell r="G763">
            <v>358.2</v>
          </cell>
          <cell r="H763">
            <v>358.2</v>
          </cell>
        </row>
        <row r="764">
          <cell r="B764" t="str">
            <v>소         계</v>
          </cell>
          <cell r="H764">
            <v>2746</v>
          </cell>
          <cell r="I764" t="str">
            <v>ⓐ</v>
          </cell>
        </row>
        <row r="765">
          <cell r="C765" t="str">
            <v>나, 노무비</v>
          </cell>
        </row>
        <row r="766">
          <cell r="A766" t="str">
            <v>39 통신내선공</v>
          </cell>
          <cell r="C766" t="str">
            <v xml:space="preserve"> 통신내선공</v>
          </cell>
          <cell r="E766" t="str">
            <v>인</v>
          </cell>
          <cell r="F766">
            <v>0.3</v>
          </cell>
          <cell r="G766">
            <v>63738</v>
          </cell>
          <cell r="H766">
            <v>19121.400000000001</v>
          </cell>
          <cell r="I766" t="str">
            <v>기본×(1+벽내),통신 3-61-가</v>
          </cell>
        </row>
        <row r="767">
          <cell r="B767" t="str">
            <v>소         계</v>
          </cell>
          <cell r="H767">
            <v>19121</v>
          </cell>
          <cell r="I767" t="str">
            <v>ⓑ</v>
          </cell>
        </row>
        <row r="768">
          <cell r="C768" t="str">
            <v>다, 기계경비</v>
          </cell>
        </row>
        <row r="769">
          <cell r="C769" t="str">
            <v xml:space="preserve"> 통신내선공</v>
          </cell>
          <cell r="E769" t="str">
            <v>인</v>
          </cell>
          <cell r="F769">
            <v>8.9999999999999993E-3</v>
          </cell>
          <cell r="G769">
            <v>63738</v>
          </cell>
          <cell r="H769">
            <v>573.6</v>
          </cell>
        </row>
        <row r="770">
          <cell r="B770" t="str">
            <v>소         계</v>
          </cell>
          <cell r="H770">
            <v>573</v>
          </cell>
          <cell r="I770" t="str">
            <v>ⓒ</v>
          </cell>
        </row>
        <row r="772">
          <cell r="A772" t="str">
            <v>39재   료   비</v>
          </cell>
          <cell r="B772" t="str">
            <v>재   료   비</v>
          </cell>
          <cell r="D772" t="str">
            <v>ⓐ</v>
          </cell>
          <cell r="H772">
            <v>2746</v>
          </cell>
        </row>
        <row r="773">
          <cell r="A773" t="str">
            <v>39노   무   비</v>
          </cell>
          <cell r="B773" t="str">
            <v>노   무   비</v>
          </cell>
          <cell r="D773" t="str">
            <v>ⓑ</v>
          </cell>
          <cell r="H773">
            <v>19121</v>
          </cell>
        </row>
        <row r="774">
          <cell r="A774" t="str">
            <v>39경        비</v>
          </cell>
          <cell r="B774" t="str">
            <v>경        비</v>
          </cell>
          <cell r="D774" t="str">
            <v>ⓒ</v>
          </cell>
          <cell r="H774">
            <v>573</v>
          </cell>
        </row>
        <row r="775">
          <cell r="B775" t="str">
            <v>계</v>
          </cell>
          <cell r="H775">
            <v>22440</v>
          </cell>
        </row>
        <row r="778">
          <cell r="B778">
            <v>40</v>
          </cell>
          <cell r="C778" t="str">
            <v xml:space="preserve"> 후강전선관 신설</v>
          </cell>
          <cell r="D778" t="str">
            <v xml:space="preserve"> 42C (천장노출)</v>
          </cell>
          <cell r="E778" t="str">
            <v>m</v>
          </cell>
          <cell r="F778">
            <v>1</v>
          </cell>
        </row>
        <row r="779">
          <cell r="C779" t="str">
            <v>가, 재료비</v>
          </cell>
        </row>
        <row r="780">
          <cell r="A780" t="str">
            <v xml:space="preserve"> 후강전선관  아연도 42C</v>
          </cell>
          <cell r="C780" t="str">
            <v xml:space="preserve"> 후강전선관 </v>
          </cell>
          <cell r="D780" t="str">
            <v xml:space="preserve"> 아연도 42C</v>
          </cell>
          <cell r="E780" t="str">
            <v>m</v>
          </cell>
          <cell r="F780">
            <v>1.1000000000000001</v>
          </cell>
          <cell r="G780">
            <v>2171</v>
          </cell>
          <cell r="H780">
            <v>2388.1</v>
          </cell>
          <cell r="I780">
            <v>0.1</v>
          </cell>
        </row>
        <row r="781">
          <cell r="C781" t="str">
            <v xml:space="preserve"> 전선관부속품비</v>
          </cell>
          <cell r="D781" t="str">
            <v xml:space="preserve"> 전선관비의 15%</v>
          </cell>
          <cell r="E781" t="str">
            <v>식</v>
          </cell>
          <cell r="F781">
            <v>1</v>
          </cell>
          <cell r="G781">
            <v>358.2</v>
          </cell>
          <cell r="H781">
            <v>358.2</v>
          </cell>
        </row>
        <row r="782">
          <cell r="B782" t="str">
            <v>소         계</v>
          </cell>
          <cell r="H782">
            <v>2746</v>
          </cell>
          <cell r="I782" t="str">
            <v>ⓐ</v>
          </cell>
        </row>
        <row r="783">
          <cell r="C783" t="str">
            <v>나, 노무비</v>
          </cell>
        </row>
        <row r="784">
          <cell r="A784" t="str">
            <v>40 통신내선공</v>
          </cell>
          <cell r="C784" t="str">
            <v xml:space="preserve"> 통신내선공</v>
          </cell>
          <cell r="E784" t="str">
            <v>인</v>
          </cell>
          <cell r="F784">
            <v>0.3</v>
          </cell>
          <cell r="G784">
            <v>63738</v>
          </cell>
          <cell r="H784">
            <v>19121.400000000001</v>
          </cell>
          <cell r="I784" t="str">
            <v>기본×(1+천장노출),통신 3-61-가</v>
          </cell>
        </row>
        <row r="785">
          <cell r="B785" t="str">
            <v>소         계</v>
          </cell>
          <cell r="H785">
            <v>19121</v>
          </cell>
          <cell r="I785" t="str">
            <v>ⓑ</v>
          </cell>
        </row>
        <row r="786">
          <cell r="C786" t="str">
            <v>다, 기계경비</v>
          </cell>
        </row>
        <row r="787">
          <cell r="C787" t="str">
            <v xml:space="preserve"> 통신내선공</v>
          </cell>
          <cell r="E787" t="str">
            <v>인</v>
          </cell>
          <cell r="F787">
            <v>8.9999999999999993E-3</v>
          </cell>
          <cell r="G787">
            <v>63738</v>
          </cell>
          <cell r="H787">
            <v>573.6</v>
          </cell>
        </row>
        <row r="788">
          <cell r="B788" t="str">
            <v>소         계</v>
          </cell>
          <cell r="H788">
            <v>573</v>
          </cell>
          <cell r="I788" t="str">
            <v>ⓒ</v>
          </cell>
        </row>
        <row r="790">
          <cell r="A790" t="str">
            <v>40재   료   비</v>
          </cell>
          <cell r="B790" t="str">
            <v>재   료   비</v>
          </cell>
          <cell r="D790" t="str">
            <v>ⓐ</v>
          </cell>
          <cell r="H790">
            <v>2746</v>
          </cell>
        </row>
        <row r="791">
          <cell r="A791" t="str">
            <v>40노   무   비</v>
          </cell>
          <cell r="B791" t="str">
            <v>노   무   비</v>
          </cell>
          <cell r="D791" t="str">
            <v>ⓑ</v>
          </cell>
          <cell r="H791">
            <v>19121</v>
          </cell>
        </row>
        <row r="792">
          <cell r="A792" t="str">
            <v>40경        비</v>
          </cell>
          <cell r="B792" t="str">
            <v>경        비</v>
          </cell>
          <cell r="D792" t="str">
            <v>ⓒ</v>
          </cell>
          <cell r="H792">
            <v>573</v>
          </cell>
        </row>
        <row r="793">
          <cell r="B793" t="str">
            <v>계</v>
          </cell>
          <cell r="H793">
            <v>22440</v>
          </cell>
        </row>
        <row r="796">
          <cell r="B796">
            <v>41</v>
          </cell>
          <cell r="C796" t="str">
            <v xml:space="preserve"> 후강전선관 신설</v>
          </cell>
          <cell r="D796" t="str">
            <v xml:space="preserve"> 54C (벽매입)</v>
          </cell>
          <cell r="E796" t="str">
            <v>m</v>
          </cell>
          <cell r="F796">
            <v>1</v>
          </cell>
        </row>
        <row r="797">
          <cell r="C797" t="str">
            <v>가, 재료비</v>
          </cell>
        </row>
        <row r="798">
          <cell r="A798" t="str">
            <v xml:space="preserve"> 후강전선관  아연도 54C</v>
          </cell>
          <cell r="C798" t="str">
            <v xml:space="preserve"> 후강전선관 </v>
          </cell>
          <cell r="D798" t="str">
            <v xml:space="preserve"> 아연도 54C</v>
          </cell>
          <cell r="E798" t="str">
            <v>m</v>
          </cell>
          <cell r="F798">
            <v>1.1000000000000001</v>
          </cell>
          <cell r="G798">
            <v>3027</v>
          </cell>
          <cell r="H798">
            <v>3329.7</v>
          </cell>
          <cell r="I798">
            <v>0.1</v>
          </cell>
        </row>
        <row r="799">
          <cell r="C799" t="str">
            <v xml:space="preserve"> 전선관부속품비</v>
          </cell>
          <cell r="D799" t="str">
            <v xml:space="preserve"> 전선관비의 15%</v>
          </cell>
          <cell r="E799" t="str">
            <v>식</v>
          </cell>
          <cell r="F799">
            <v>1</v>
          </cell>
          <cell r="G799">
            <v>499.4</v>
          </cell>
          <cell r="H799">
            <v>499.4</v>
          </cell>
        </row>
        <row r="800">
          <cell r="B800" t="str">
            <v>소         계</v>
          </cell>
          <cell r="H800">
            <v>3829</v>
          </cell>
          <cell r="I800" t="str">
            <v>ⓐ</v>
          </cell>
        </row>
        <row r="801">
          <cell r="C801" t="str">
            <v>나, 노무비</v>
          </cell>
        </row>
        <row r="802">
          <cell r="A802" t="str">
            <v>41 통신내선공</v>
          </cell>
          <cell r="C802" t="str">
            <v xml:space="preserve"> 통신내선공</v>
          </cell>
          <cell r="E802" t="str">
            <v>인</v>
          </cell>
          <cell r="F802">
            <v>0.4</v>
          </cell>
          <cell r="G802">
            <v>63738</v>
          </cell>
          <cell r="H802">
            <v>25495.200000000001</v>
          </cell>
          <cell r="I802" t="str">
            <v>기본×(1+벽내),통신 3-61-가</v>
          </cell>
        </row>
        <row r="803">
          <cell r="B803" t="str">
            <v>소         계</v>
          </cell>
          <cell r="H803">
            <v>25495</v>
          </cell>
          <cell r="I803" t="str">
            <v>ⓑ</v>
          </cell>
        </row>
        <row r="804">
          <cell r="C804" t="str">
            <v>다, 기계경비</v>
          </cell>
        </row>
        <row r="805">
          <cell r="C805" t="str">
            <v xml:space="preserve"> 통신내선공</v>
          </cell>
          <cell r="E805" t="str">
            <v>인</v>
          </cell>
          <cell r="F805">
            <v>1.2E-2</v>
          </cell>
          <cell r="G805">
            <v>63738</v>
          </cell>
          <cell r="H805">
            <v>764.8</v>
          </cell>
        </row>
        <row r="806">
          <cell r="B806" t="str">
            <v>소         계</v>
          </cell>
          <cell r="H806">
            <v>764</v>
          </cell>
          <cell r="I806" t="str">
            <v>ⓒ</v>
          </cell>
        </row>
        <row r="808">
          <cell r="A808" t="str">
            <v>41재   료   비</v>
          </cell>
          <cell r="B808" t="str">
            <v>재   료   비</v>
          </cell>
          <cell r="D808" t="str">
            <v>ⓐ</v>
          </cell>
          <cell r="H808">
            <v>3829</v>
          </cell>
        </row>
        <row r="809">
          <cell r="A809" t="str">
            <v>41노   무   비</v>
          </cell>
          <cell r="B809" t="str">
            <v>노   무   비</v>
          </cell>
          <cell r="D809" t="str">
            <v>ⓑ</v>
          </cell>
          <cell r="H809">
            <v>25495</v>
          </cell>
        </row>
        <row r="810">
          <cell r="A810" t="str">
            <v>41경        비</v>
          </cell>
          <cell r="B810" t="str">
            <v>경        비</v>
          </cell>
          <cell r="D810" t="str">
            <v>ⓒ</v>
          </cell>
          <cell r="H810">
            <v>764</v>
          </cell>
        </row>
        <row r="811">
          <cell r="B811" t="str">
            <v>계</v>
          </cell>
          <cell r="H811">
            <v>30088</v>
          </cell>
        </row>
        <row r="814">
          <cell r="B814">
            <v>42</v>
          </cell>
          <cell r="C814" t="str">
            <v xml:space="preserve"> 후강전선관 신설</v>
          </cell>
          <cell r="D814" t="str">
            <v xml:space="preserve"> 54C (천장노출)</v>
          </cell>
          <cell r="E814" t="str">
            <v>m</v>
          </cell>
          <cell r="F814">
            <v>1</v>
          </cell>
        </row>
        <row r="815">
          <cell r="C815" t="str">
            <v>가, 재료비</v>
          </cell>
        </row>
        <row r="816">
          <cell r="A816" t="str">
            <v xml:space="preserve"> 후강전선관  아연도 54C</v>
          </cell>
          <cell r="C816" t="str">
            <v xml:space="preserve"> 후강전선관 </v>
          </cell>
          <cell r="D816" t="str">
            <v xml:space="preserve"> 아연도 54C</v>
          </cell>
          <cell r="E816" t="str">
            <v>m</v>
          </cell>
          <cell r="F816">
            <v>1.1000000000000001</v>
          </cell>
          <cell r="G816">
            <v>3027</v>
          </cell>
          <cell r="H816">
            <v>3329.7</v>
          </cell>
          <cell r="I816">
            <v>0.1</v>
          </cell>
        </row>
        <row r="817">
          <cell r="C817" t="str">
            <v xml:space="preserve"> 전선관부속품비</v>
          </cell>
          <cell r="D817" t="str">
            <v xml:space="preserve"> 전선관비의 15%</v>
          </cell>
          <cell r="E817" t="str">
            <v>식</v>
          </cell>
          <cell r="F817">
            <v>1</v>
          </cell>
          <cell r="G817">
            <v>499.4</v>
          </cell>
          <cell r="H817">
            <v>499.4</v>
          </cell>
        </row>
        <row r="818">
          <cell r="B818" t="str">
            <v>소         계</v>
          </cell>
          <cell r="H818">
            <v>3829</v>
          </cell>
          <cell r="I818" t="str">
            <v>ⓐ</v>
          </cell>
        </row>
        <row r="819">
          <cell r="C819" t="str">
            <v>나, 노무비</v>
          </cell>
        </row>
        <row r="820">
          <cell r="A820" t="str">
            <v>42 통신내선공</v>
          </cell>
          <cell r="C820" t="str">
            <v xml:space="preserve"> 통신내선공</v>
          </cell>
          <cell r="E820" t="str">
            <v>인</v>
          </cell>
          <cell r="F820">
            <v>0.4</v>
          </cell>
          <cell r="G820">
            <v>63738</v>
          </cell>
          <cell r="H820">
            <v>25495.200000000001</v>
          </cell>
          <cell r="I820" t="str">
            <v>기본×(1+천장노출),통신 3-61-가</v>
          </cell>
        </row>
        <row r="821">
          <cell r="B821" t="str">
            <v>소         계</v>
          </cell>
          <cell r="H821">
            <v>25495</v>
          </cell>
          <cell r="I821" t="str">
            <v>ⓑ</v>
          </cell>
        </row>
        <row r="822">
          <cell r="C822" t="str">
            <v>다, 기계경비</v>
          </cell>
        </row>
        <row r="823">
          <cell r="C823" t="str">
            <v xml:space="preserve"> 통신내선공</v>
          </cell>
          <cell r="E823" t="str">
            <v>인</v>
          </cell>
          <cell r="F823">
            <v>1.2E-2</v>
          </cell>
          <cell r="G823">
            <v>63738</v>
          </cell>
          <cell r="H823">
            <v>764.8</v>
          </cell>
        </row>
        <row r="824">
          <cell r="B824" t="str">
            <v>소         계</v>
          </cell>
          <cell r="H824">
            <v>764</v>
          </cell>
          <cell r="I824" t="str">
            <v>ⓒ</v>
          </cell>
        </row>
        <row r="826">
          <cell r="A826" t="str">
            <v>42재   료   비</v>
          </cell>
          <cell r="B826" t="str">
            <v>재   료   비</v>
          </cell>
          <cell r="D826" t="str">
            <v>ⓐ</v>
          </cell>
          <cell r="H826">
            <v>3829</v>
          </cell>
        </row>
        <row r="827">
          <cell r="A827" t="str">
            <v>42노   무   비</v>
          </cell>
          <cell r="B827" t="str">
            <v>노   무   비</v>
          </cell>
          <cell r="D827" t="str">
            <v>ⓑ</v>
          </cell>
          <cell r="H827">
            <v>25495</v>
          </cell>
        </row>
        <row r="828">
          <cell r="A828" t="str">
            <v>42경        비</v>
          </cell>
          <cell r="B828" t="str">
            <v>경        비</v>
          </cell>
          <cell r="D828" t="str">
            <v>ⓒ</v>
          </cell>
          <cell r="H828">
            <v>764</v>
          </cell>
        </row>
        <row r="829">
          <cell r="B829" t="str">
            <v>계</v>
          </cell>
          <cell r="H829">
            <v>30088</v>
          </cell>
        </row>
        <row r="832">
          <cell r="B832">
            <v>43</v>
          </cell>
          <cell r="C832" t="str">
            <v xml:space="preserve"> 후강전선관 신설</v>
          </cell>
          <cell r="D832" t="str">
            <v xml:space="preserve"> 82C (벽매입)</v>
          </cell>
          <cell r="E832" t="str">
            <v>m</v>
          </cell>
          <cell r="F832">
            <v>1</v>
          </cell>
        </row>
        <row r="833">
          <cell r="C833" t="str">
            <v>가, 재료비</v>
          </cell>
        </row>
        <row r="834">
          <cell r="A834" t="str">
            <v xml:space="preserve"> 후강전선관  아연도 82C</v>
          </cell>
          <cell r="C834" t="str">
            <v xml:space="preserve"> 후강전선관 </v>
          </cell>
          <cell r="D834" t="str">
            <v xml:space="preserve"> 아연도 82C</v>
          </cell>
          <cell r="E834" t="str">
            <v>m</v>
          </cell>
          <cell r="F834">
            <v>1.1000000000000001</v>
          </cell>
          <cell r="G834">
            <v>4324</v>
          </cell>
          <cell r="H834">
            <v>4756.3999999999996</v>
          </cell>
          <cell r="I834">
            <v>0.1</v>
          </cell>
        </row>
        <row r="835">
          <cell r="C835" t="str">
            <v xml:space="preserve"> 전선관부속품비</v>
          </cell>
          <cell r="D835" t="str">
            <v xml:space="preserve"> 전선관비의 15%</v>
          </cell>
          <cell r="E835" t="str">
            <v>식</v>
          </cell>
          <cell r="F835">
            <v>1</v>
          </cell>
          <cell r="G835">
            <v>713.4</v>
          </cell>
          <cell r="H835">
            <v>713.4</v>
          </cell>
        </row>
        <row r="836">
          <cell r="B836" t="str">
            <v>소         계</v>
          </cell>
          <cell r="H836">
            <v>5469</v>
          </cell>
          <cell r="I836" t="str">
            <v>ⓐ</v>
          </cell>
        </row>
        <row r="837">
          <cell r="C837" t="str">
            <v>나, 노무비</v>
          </cell>
        </row>
        <row r="838">
          <cell r="A838" t="str">
            <v>43 통신내선공</v>
          </cell>
          <cell r="C838" t="str">
            <v xml:space="preserve"> 통신내선공</v>
          </cell>
          <cell r="E838" t="str">
            <v>인</v>
          </cell>
          <cell r="F838">
            <v>0.64</v>
          </cell>
          <cell r="G838">
            <v>63738</v>
          </cell>
          <cell r="H838">
            <v>40792.300000000003</v>
          </cell>
          <cell r="I838" t="str">
            <v>기본×(1+천장노출),통신 3-61-가</v>
          </cell>
        </row>
        <row r="839">
          <cell r="B839" t="str">
            <v>소         계</v>
          </cell>
          <cell r="H839">
            <v>40792</v>
          </cell>
          <cell r="I839" t="str">
            <v>ⓑ</v>
          </cell>
        </row>
        <row r="840">
          <cell r="C840" t="str">
            <v>다, 기계경비</v>
          </cell>
        </row>
        <row r="841">
          <cell r="C841" t="str">
            <v xml:space="preserve"> 통신내선공</v>
          </cell>
          <cell r="E841" t="str">
            <v>인</v>
          </cell>
          <cell r="F841">
            <v>1.9E-2</v>
          </cell>
          <cell r="G841">
            <v>63738</v>
          </cell>
          <cell r="H841">
            <v>1211</v>
          </cell>
        </row>
        <row r="842">
          <cell r="B842" t="str">
            <v>소         계</v>
          </cell>
          <cell r="H842">
            <v>1211</v>
          </cell>
          <cell r="I842" t="str">
            <v>ⓒ</v>
          </cell>
        </row>
        <row r="844">
          <cell r="A844" t="str">
            <v>43재   료   비</v>
          </cell>
          <cell r="B844" t="str">
            <v>재   료   비</v>
          </cell>
          <cell r="D844" t="str">
            <v>ⓐ</v>
          </cell>
          <cell r="H844">
            <v>5469</v>
          </cell>
        </row>
        <row r="845">
          <cell r="A845" t="str">
            <v>43노   무   비</v>
          </cell>
          <cell r="B845" t="str">
            <v>노   무   비</v>
          </cell>
          <cell r="D845" t="str">
            <v>ⓑ</v>
          </cell>
          <cell r="H845">
            <v>40792</v>
          </cell>
        </row>
        <row r="846">
          <cell r="A846" t="str">
            <v>43경        비</v>
          </cell>
          <cell r="B846" t="str">
            <v>경        비</v>
          </cell>
          <cell r="D846" t="str">
            <v>ⓒ</v>
          </cell>
          <cell r="H846">
            <v>1211</v>
          </cell>
        </row>
        <row r="847">
          <cell r="B847" t="str">
            <v>계</v>
          </cell>
          <cell r="H847">
            <v>47472</v>
          </cell>
        </row>
        <row r="850">
          <cell r="B850">
            <v>44</v>
          </cell>
          <cell r="C850" t="str">
            <v xml:space="preserve"> 후강전선관 신설</v>
          </cell>
          <cell r="D850" t="str">
            <v xml:space="preserve"> 82C (천장노출)</v>
          </cell>
          <cell r="E850" t="str">
            <v>m</v>
          </cell>
          <cell r="F850">
            <v>1</v>
          </cell>
        </row>
        <row r="851">
          <cell r="C851" t="str">
            <v>가, 재료비</v>
          </cell>
        </row>
        <row r="852">
          <cell r="A852" t="str">
            <v xml:space="preserve"> 후강전선관  아연도 82C</v>
          </cell>
          <cell r="C852" t="str">
            <v xml:space="preserve"> 후강전선관 </v>
          </cell>
          <cell r="D852" t="str">
            <v xml:space="preserve"> 아연도 82C</v>
          </cell>
          <cell r="E852" t="str">
            <v>m</v>
          </cell>
          <cell r="F852">
            <v>1.1000000000000001</v>
          </cell>
          <cell r="G852">
            <v>4324</v>
          </cell>
          <cell r="H852">
            <v>4756.3999999999996</v>
          </cell>
          <cell r="I852">
            <v>0.1</v>
          </cell>
        </row>
        <row r="853">
          <cell r="C853" t="str">
            <v xml:space="preserve"> 전선관부속품비</v>
          </cell>
          <cell r="D853" t="str">
            <v xml:space="preserve"> 전선관비의 15%</v>
          </cell>
          <cell r="E853" t="str">
            <v>식</v>
          </cell>
          <cell r="F853">
            <v>1</v>
          </cell>
          <cell r="G853">
            <v>713.4</v>
          </cell>
          <cell r="H853">
            <v>713.4</v>
          </cell>
        </row>
        <row r="854">
          <cell r="B854" t="str">
            <v>소         계</v>
          </cell>
          <cell r="H854">
            <v>5469</v>
          </cell>
          <cell r="I854" t="str">
            <v>ⓐ</v>
          </cell>
        </row>
        <row r="855">
          <cell r="C855" t="str">
            <v>나, 노무비</v>
          </cell>
        </row>
        <row r="856">
          <cell r="A856" t="str">
            <v>44 통신내선공</v>
          </cell>
          <cell r="C856" t="str">
            <v xml:space="preserve"> 통신내선공</v>
          </cell>
          <cell r="E856" t="str">
            <v>인</v>
          </cell>
          <cell r="F856">
            <v>0.67</v>
          </cell>
          <cell r="G856">
            <v>63738</v>
          </cell>
          <cell r="H856">
            <v>42704.4</v>
          </cell>
          <cell r="I856" t="str">
            <v>기본×(1+철강조노출),통신 3-61-가</v>
          </cell>
        </row>
        <row r="857">
          <cell r="B857" t="str">
            <v>소         계</v>
          </cell>
          <cell r="H857">
            <v>42704</v>
          </cell>
          <cell r="I857" t="str">
            <v>ⓑ</v>
          </cell>
        </row>
        <row r="858">
          <cell r="C858" t="str">
            <v>다, 기계경비</v>
          </cell>
        </row>
        <row r="859">
          <cell r="C859" t="str">
            <v xml:space="preserve"> 통신내선공</v>
          </cell>
          <cell r="E859" t="str">
            <v>인</v>
          </cell>
          <cell r="F859">
            <v>0.02</v>
          </cell>
          <cell r="G859">
            <v>63738</v>
          </cell>
          <cell r="H859">
            <v>1274.7</v>
          </cell>
        </row>
        <row r="860">
          <cell r="B860" t="str">
            <v>소         계</v>
          </cell>
          <cell r="H860">
            <v>1274</v>
          </cell>
          <cell r="I860" t="str">
            <v>ⓒ</v>
          </cell>
        </row>
        <row r="862">
          <cell r="A862" t="str">
            <v>44재   료   비</v>
          </cell>
          <cell r="B862" t="str">
            <v>재   료   비</v>
          </cell>
          <cell r="D862" t="str">
            <v>ⓐ</v>
          </cell>
          <cell r="H862">
            <v>5469</v>
          </cell>
        </row>
        <row r="863">
          <cell r="A863" t="str">
            <v>44노   무   비</v>
          </cell>
          <cell r="B863" t="str">
            <v>노   무   비</v>
          </cell>
          <cell r="D863" t="str">
            <v>ⓑ</v>
          </cell>
          <cell r="H863">
            <v>42704</v>
          </cell>
        </row>
        <row r="864">
          <cell r="A864" t="str">
            <v>44경        비</v>
          </cell>
          <cell r="B864" t="str">
            <v>경        비</v>
          </cell>
          <cell r="D864" t="str">
            <v>ⓒ</v>
          </cell>
          <cell r="H864">
            <v>1274</v>
          </cell>
        </row>
        <row r="865">
          <cell r="B865" t="str">
            <v>계</v>
          </cell>
          <cell r="H865">
            <v>49447</v>
          </cell>
        </row>
        <row r="868">
          <cell r="B868">
            <v>45</v>
          </cell>
          <cell r="C868" t="str">
            <v xml:space="preserve"> 후렉시블전선관 신설</v>
          </cell>
          <cell r="D868" t="str">
            <v xml:space="preserve"> 16C (천장노출)</v>
          </cell>
          <cell r="E868" t="str">
            <v>m</v>
          </cell>
          <cell r="F868">
            <v>1</v>
          </cell>
        </row>
        <row r="869">
          <cell r="C869" t="str">
            <v>가, 재료비</v>
          </cell>
        </row>
        <row r="870">
          <cell r="A870" t="str">
            <v xml:space="preserve"> 1종가요관   16C ㉿비방수</v>
          </cell>
          <cell r="C870" t="str">
            <v xml:space="preserve"> 1종가요관  </v>
          </cell>
          <cell r="D870" t="str">
            <v xml:space="preserve"> 16C ㉿비방수</v>
          </cell>
          <cell r="E870" t="str">
            <v>m</v>
          </cell>
          <cell r="F870">
            <v>1.1000000000000001</v>
          </cell>
          <cell r="G870">
            <v>145</v>
          </cell>
          <cell r="H870">
            <v>159.5</v>
          </cell>
          <cell r="I870">
            <v>0.1</v>
          </cell>
        </row>
        <row r="871">
          <cell r="C871" t="str">
            <v xml:space="preserve"> 전선관부속품비</v>
          </cell>
          <cell r="D871" t="str">
            <v xml:space="preserve"> 전선관비의 15%</v>
          </cell>
          <cell r="E871" t="str">
            <v>식</v>
          </cell>
          <cell r="F871">
            <v>1</v>
          </cell>
          <cell r="G871">
            <v>23.9</v>
          </cell>
          <cell r="H871">
            <v>23.9</v>
          </cell>
        </row>
        <row r="872">
          <cell r="B872" t="str">
            <v>소         계</v>
          </cell>
          <cell r="H872">
            <v>183</v>
          </cell>
          <cell r="I872" t="str">
            <v>ⓐ</v>
          </cell>
        </row>
        <row r="873">
          <cell r="C873" t="str">
            <v>나, 노무비</v>
          </cell>
        </row>
        <row r="874">
          <cell r="A874" t="str">
            <v>45 통신내선공</v>
          </cell>
          <cell r="C874" t="str">
            <v xml:space="preserve"> 통신내선공</v>
          </cell>
          <cell r="E874" t="str">
            <v>인</v>
          </cell>
          <cell r="F874">
            <v>0.06</v>
          </cell>
          <cell r="G874">
            <v>63738</v>
          </cell>
          <cell r="H874">
            <v>3824.2</v>
          </cell>
          <cell r="I874" t="str">
            <v>기본×(1+천장노출),통신 3-61-가</v>
          </cell>
        </row>
        <row r="875">
          <cell r="B875" t="str">
            <v>소         계</v>
          </cell>
          <cell r="H875">
            <v>3824</v>
          </cell>
          <cell r="I875" t="str">
            <v>ⓑ</v>
          </cell>
        </row>
        <row r="876">
          <cell r="C876" t="str">
            <v>다, 기계경비</v>
          </cell>
        </row>
        <row r="877">
          <cell r="C877" t="str">
            <v xml:space="preserve"> 통신내선공</v>
          </cell>
          <cell r="E877" t="str">
            <v>인</v>
          </cell>
          <cell r="F877">
            <v>1E-3</v>
          </cell>
          <cell r="G877">
            <v>63738</v>
          </cell>
          <cell r="H877">
            <v>63.7</v>
          </cell>
        </row>
        <row r="878">
          <cell r="B878" t="str">
            <v>소         계</v>
          </cell>
          <cell r="H878">
            <v>63</v>
          </cell>
          <cell r="I878" t="str">
            <v>ⓒ</v>
          </cell>
        </row>
        <row r="880">
          <cell r="A880" t="str">
            <v>45재   료   비</v>
          </cell>
          <cell r="B880" t="str">
            <v>재   료   비</v>
          </cell>
          <cell r="D880" t="str">
            <v>ⓐ</v>
          </cell>
          <cell r="H880">
            <v>183</v>
          </cell>
        </row>
        <row r="881">
          <cell r="A881" t="str">
            <v>45노   무   비</v>
          </cell>
          <cell r="B881" t="str">
            <v>노   무   비</v>
          </cell>
          <cell r="D881" t="str">
            <v>ⓑ</v>
          </cell>
          <cell r="H881">
            <v>3824</v>
          </cell>
        </row>
        <row r="882">
          <cell r="A882" t="str">
            <v>45경        비</v>
          </cell>
          <cell r="B882" t="str">
            <v>경        비</v>
          </cell>
          <cell r="D882" t="str">
            <v>ⓒ</v>
          </cell>
          <cell r="H882">
            <v>63</v>
          </cell>
        </row>
        <row r="883">
          <cell r="B883" t="str">
            <v>계</v>
          </cell>
          <cell r="H883">
            <v>4070</v>
          </cell>
        </row>
        <row r="886">
          <cell r="B886">
            <v>46</v>
          </cell>
          <cell r="C886" t="str">
            <v xml:space="preserve"> 후렉시블전선관 신설</v>
          </cell>
          <cell r="D886" t="str">
            <v xml:space="preserve"> 16C (철강조)</v>
          </cell>
          <cell r="E886" t="str">
            <v>m</v>
          </cell>
          <cell r="F886">
            <v>1</v>
          </cell>
        </row>
        <row r="887">
          <cell r="C887" t="str">
            <v>가, 재료비</v>
          </cell>
        </row>
        <row r="888">
          <cell r="A888" t="str">
            <v xml:space="preserve"> 1종가요관   16C ㉿비방수</v>
          </cell>
          <cell r="C888" t="str">
            <v xml:space="preserve"> 1종가요관  </v>
          </cell>
          <cell r="D888" t="str">
            <v xml:space="preserve"> 16C ㉿비방수</v>
          </cell>
          <cell r="E888" t="str">
            <v>m</v>
          </cell>
          <cell r="F888">
            <v>1.1000000000000001</v>
          </cell>
          <cell r="G888">
            <v>145</v>
          </cell>
          <cell r="H888">
            <v>159.5</v>
          </cell>
          <cell r="I888">
            <v>0.1</v>
          </cell>
        </row>
        <row r="889">
          <cell r="C889" t="str">
            <v xml:space="preserve"> 전선관부속품비</v>
          </cell>
          <cell r="D889" t="str">
            <v xml:space="preserve"> 전선관비의 15%</v>
          </cell>
          <cell r="E889" t="str">
            <v>식</v>
          </cell>
          <cell r="F889">
            <v>1</v>
          </cell>
          <cell r="G889">
            <v>23.9</v>
          </cell>
          <cell r="H889">
            <v>23.9</v>
          </cell>
        </row>
        <row r="890">
          <cell r="B890" t="str">
            <v>소         계</v>
          </cell>
          <cell r="H890">
            <v>183</v>
          </cell>
          <cell r="I890" t="str">
            <v>ⓐ</v>
          </cell>
        </row>
        <row r="891">
          <cell r="C891" t="str">
            <v>나, 노무비</v>
          </cell>
        </row>
        <row r="892">
          <cell r="A892" t="str">
            <v>46 통신내선공</v>
          </cell>
          <cell r="C892" t="str">
            <v xml:space="preserve"> 통신내선공</v>
          </cell>
          <cell r="E892" t="str">
            <v>인</v>
          </cell>
          <cell r="F892">
            <v>0.06</v>
          </cell>
          <cell r="G892">
            <v>63738</v>
          </cell>
          <cell r="H892">
            <v>3824.2</v>
          </cell>
          <cell r="I892" t="str">
            <v>기본×(1+철강조),통신 3-61-가</v>
          </cell>
        </row>
        <row r="893">
          <cell r="B893" t="str">
            <v>소         계</v>
          </cell>
          <cell r="H893">
            <v>3824</v>
          </cell>
          <cell r="I893" t="str">
            <v>ⓑ</v>
          </cell>
        </row>
        <row r="894">
          <cell r="C894" t="str">
            <v>다, 기계경비</v>
          </cell>
        </row>
        <row r="895">
          <cell r="C895" t="str">
            <v xml:space="preserve"> 통신내선공</v>
          </cell>
          <cell r="E895" t="str">
            <v>인</v>
          </cell>
          <cell r="F895">
            <v>1E-3</v>
          </cell>
          <cell r="G895">
            <v>63738</v>
          </cell>
          <cell r="H895">
            <v>63.7</v>
          </cell>
        </row>
        <row r="896">
          <cell r="B896" t="str">
            <v>소         계</v>
          </cell>
          <cell r="H896">
            <v>63</v>
          </cell>
          <cell r="I896" t="str">
            <v>ⓒ</v>
          </cell>
        </row>
        <row r="898">
          <cell r="A898" t="str">
            <v>46재   료   비</v>
          </cell>
          <cell r="B898" t="str">
            <v>재   료   비</v>
          </cell>
          <cell r="D898" t="str">
            <v>ⓐ</v>
          </cell>
          <cell r="H898">
            <v>183</v>
          </cell>
        </row>
        <row r="899">
          <cell r="A899" t="str">
            <v>46노   무   비</v>
          </cell>
          <cell r="B899" t="str">
            <v>노   무   비</v>
          </cell>
          <cell r="D899" t="str">
            <v>ⓑ</v>
          </cell>
          <cell r="H899">
            <v>3824</v>
          </cell>
        </row>
        <row r="900">
          <cell r="A900" t="str">
            <v>46경        비</v>
          </cell>
          <cell r="B900" t="str">
            <v>경        비</v>
          </cell>
          <cell r="D900" t="str">
            <v>ⓒ</v>
          </cell>
          <cell r="H900">
            <v>63</v>
          </cell>
        </row>
        <row r="901">
          <cell r="B901" t="str">
            <v>계</v>
          </cell>
          <cell r="H901">
            <v>4070</v>
          </cell>
        </row>
        <row r="904">
          <cell r="B904">
            <v>47</v>
          </cell>
          <cell r="C904" t="str">
            <v xml:space="preserve"> 후렉시블전선관 신설</v>
          </cell>
          <cell r="D904" t="str">
            <v xml:space="preserve"> 22C (철강조)</v>
          </cell>
          <cell r="E904" t="str">
            <v>m</v>
          </cell>
          <cell r="F904">
            <v>1</v>
          </cell>
        </row>
        <row r="905">
          <cell r="C905" t="str">
            <v>가, 재료비</v>
          </cell>
        </row>
        <row r="906">
          <cell r="A906" t="str">
            <v xml:space="preserve"> 1종가요관   22C ㉿비방수</v>
          </cell>
          <cell r="C906" t="str">
            <v xml:space="preserve"> 1종가요관  </v>
          </cell>
          <cell r="D906" t="str">
            <v xml:space="preserve"> 22C ㉿비방수</v>
          </cell>
          <cell r="E906" t="str">
            <v>m</v>
          </cell>
          <cell r="F906">
            <v>1.1000000000000001</v>
          </cell>
          <cell r="G906">
            <v>215</v>
          </cell>
          <cell r="H906">
            <v>236.5</v>
          </cell>
          <cell r="I906">
            <v>0.1</v>
          </cell>
        </row>
        <row r="907">
          <cell r="C907" t="str">
            <v xml:space="preserve"> 전선관부속품비</v>
          </cell>
          <cell r="D907" t="str">
            <v xml:space="preserve"> 전선관비의 15%</v>
          </cell>
          <cell r="E907" t="str">
            <v>식</v>
          </cell>
          <cell r="F907">
            <v>1</v>
          </cell>
          <cell r="G907">
            <v>35.4</v>
          </cell>
          <cell r="H907">
            <v>35.4</v>
          </cell>
        </row>
        <row r="908">
          <cell r="B908" t="str">
            <v>소         계</v>
          </cell>
          <cell r="H908">
            <v>271</v>
          </cell>
          <cell r="I908" t="str">
            <v>ⓐ</v>
          </cell>
        </row>
        <row r="909">
          <cell r="C909" t="str">
            <v>나, 노무비</v>
          </cell>
        </row>
        <row r="910">
          <cell r="A910" t="str">
            <v>47 통신내선공</v>
          </cell>
          <cell r="C910" t="str">
            <v xml:space="preserve"> 통신내선공</v>
          </cell>
          <cell r="E910" t="str">
            <v>인</v>
          </cell>
          <cell r="F910">
            <v>7.0000000000000007E-2</v>
          </cell>
          <cell r="G910">
            <v>63738</v>
          </cell>
          <cell r="H910">
            <v>4461.6000000000004</v>
          </cell>
          <cell r="I910" t="str">
            <v>기본×(1+철강조),통신 3-61-가</v>
          </cell>
        </row>
        <row r="911">
          <cell r="B911" t="str">
            <v>소         계</v>
          </cell>
          <cell r="H911">
            <v>4461</v>
          </cell>
          <cell r="I911" t="str">
            <v>ⓑ</v>
          </cell>
        </row>
        <row r="912">
          <cell r="C912" t="str">
            <v>다, 기계경비</v>
          </cell>
        </row>
        <row r="913">
          <cell r="C913" t="str">
            <v xml:space="preserve"> 통신내선공</v>
          </cell>
          <cell r="E913" t="str">
            <v>인</v>
          </cell>
          <cell r="F913">
            <v>2E-3</v>
          </cell>
          <cell r="G913">
            <v>63738</v>
          </cell>
          <cell r="H913">
            <v>127.4</v>
          </cell>
        </row>
        <row r="914">
          <cell r="B914" t="str">
            <v>소         계</v>
          </cell>
          <cell r="H914">
            <v>127</v>
          </cell>
          <cell r="I914" t="str">
            <v>ⓒ</v>
          </cell>
        </row>
        <row r="916">
          <cell r="A916" t="str">
            <v>47재   료   비</v>
          </cell>
          <cell r="B916" t="str">
            <v>재   료   비</v>
          </cell>
          <cell r="D916" t="str">
            <v>ⓐ</v>
          </cell>
          <cell r="H916">
            <v>271</v>
          </cell>
        </row>
        <row r="917">
          <cell r="A917" t="str">
            <v>47노   무   비</v>
          </cell>
          <cell r="B917" t="str">
            <v>노   무   비</v>
          </cell>
          <cell r="D917" t="str">
            <v>ⓑ</v>
          </cell>
          <cell r="H917">
            <v>4461</v>
          </cell>
        </row>
        <row r="918">
          <cell r="A918" t="str">
            <v>47경        비</v>
          </cell>
          <cell r="B918" t="str">
            <v>경        비</v>
          </cell>
          <cell r="D918" t="str">
            <v>ⓒ</v>
          </cell>
          <cell r="H918">
            <v>127</v>
          </cell>
        </row>
        <row r="919">
          <cell r="B919" t="str">
            <v>계</v>
          </cell>
          <cell r="H919">
            <v>4859</v>
          </cell>
        </row>
        <row r="922">
          <cell r="B922">
            <v>48</v>
          </cell>
          <cell r="C922" t="str">
            <v xml:space="preserve"> 후렉시블전선관 신설</v>
          </cell>
          <cell r="D922" t="str">
            <v xml:space="preserve"> 28C (철강조)</v>
          </cell>
          <cell r="E922" t="str">
            <v>m</v>
          </cell>
          <cell r="F922">
            <v>1</v>
          </cell>
        </row>
        <row r="923">
          <cell r="C923" t="str">
            <v>가, 재료비</v>
          </cell>
        </row>
        <row r="924">
          <cell r="A924" t="str">
            <v xml:space="preserve"> 1종가요관   28C ㉿비방수</v>
          </cell>
          <cell r="C924" t="str">
            <v xml:space="preserve"> 1종가요관  </v>
          </cell>
          <cell r="D924" t="str">
            <v xml:space="preserve"> 28C ㉿비방수</v>
          </cell>
          <cell r="E924" t="str">
            <v>m</v>
          </cell>
          <cell r="F924">
            <v>1.1000000000000001</v>
          </cell>
          <cell r="G924">
            <v>290</v>
          </cell>
          <cell r="H924">
            <v>319</v>
          </cell>
          <cell r="I924">
            <v>0.1</v>
          </cell>
        </row>
        <row r="925">
          <cell r="C925" t="str">
            <v xml:space="preserve"> 전선관부속품비</v>
          </cell>
          <cell r="D925" t="str">
            <v xml:space="preserve"> 전선관비의 15%</v>
          </cell>
          <cell r="E925" t="str">
            <v>식</v>
          </cell>
          <cell r="F925">
            <v>1</v>
          </cell>
          <cell r="G925">
            <v>47.8</v>
          </cell>
          <cell r="H925">
            <v>47.8</v>
          </cell>
        </row>
        <row r="926">
          <cell r="B926" t="str">
            <v>소         계</v>
          </cell>
          <cell r="H926">
            <v>366</v>
          </cell>
          <cell r="I926" t="str">
            <v>ⓐ</v>
          </cell>
        </row>
        <row r="927">
          <cell r="C927" t="str">
            <v>나, 노무비</v>
          </cell>
        </row>
        <row r="928">
          <cell r="A928" t="str">
            <v>48 통신내선공</v>
          </cell>
          <cell r="C928" t="str">
            <v xml:space="preserve"> 통신내선공</v>
          </cell>
          <cell r="E928" t="str">
            <v>인</v>
          </cell>
          <cell r="F928">
            <v>0.1</v>
          </cell>
          <cell r="G928">
            <v>63738</v>
          </cell>
          <cell r="H928">
            <v>6373.8</v>
          </cell>
          <cell r="I928" t="str">
            <v>기본×(1+철강조),통신 3-61-가</v>
          </cell>
        </row>
        <row r="929">
          <cell r="B929" t="str">
            <v>소         계</v>
          </cell>
          <cell r="H929">
            <v>6373</v>
          </cell>
          <cell r="I929" t="str">
            <v>ⓑ</v>
          </cell>
        </row>
        <row r="930">
          <cell r="C930" t="str">
            <v>다, 기계경비</v>
          </cell>
        </row>
        <row r="931">
          <cell r="C931" t="str">
            <v xml:space="preserve"> 통신내선공</v>
          </cell>
          <cell r="E931" t="str">
            <v>인</v>
          </cell>
          <cell r="F931">
            <v>3.0000000000000001E-3</v>
          </cell>
          <cell r="G931">
            <v>63738</v>
          </cell>
          <cell r="H931">
            <v>191.2</v>
          </cell>
        </row>
        <row r="932">
          <cell r="B932" t="str">
            <v>소         계</v>
          </cell>
          <cell r="H932">
            <v>191</v>
          </cell>
          <cell r="I932" t="str">
            <v>ⓒ</v>
          </cell>
        </row>
        <row r="934">
          <cell r="A934" t="str">
            <v>48재   료   비</v>
          </cell>
          <cell r="B934" t="str">
            <v>재   료   비</v>
          </cell>
          <cell r="D934" t="str">
            <v>ⓐ</v>
          </cell>
          <cell r="H934">
            <v>366</v>
          </cell>
        </row>
        <row r="935">
          <cell r="A935" t="str">
            <v>48노   무   비</v>
          </cell>
          <cell r="B935" t="str">
            <v>노   무   비</v>
          </cell>
          <cell r="D935" t="str">
            <v>ⓑ</v>
          </cell>
          <cell r="H935">
            <v>6373</v>
          </cell>
        </row>
        <row r="936">
          <cell r="A936" t="str">
            <v>48경        비</v>
          </cell>
          <cell r="B936" t="str">
            <v>경        비</v>
          </cell>
          <cell r="D936" t="str">
            <v>ⓒ</v>
          </cell>
          <cell r="H936">
            <v>191</v>
          </cell>
        </row>
        <row r="937">
          <cell r="B937" t="str">
            <v>계</v>
          </cell>
          <cell r="H937">
            <v>6930</v>
          </cell>
        </row>
        <row r="940">
          <cell r="B940">
            <v>49</v>
          </cell>
          <cell r="C940" t="str">
            <v xml:space="preserve"> HI-PVC 신설</v>
          </cell>
          <cell r="D940" t="str">
            <v xml:space="preserve"> 28C</v>
          </cell>
          <cell r="E940" t="str">
            <v>m</v>
          </cell>
          <cell r="F940">
            <v>1</v>
          </cell>
        </row>
        <row r="941">
          <cell r="C941" t="str">
            <v>가, 재료비</v>
          </cell>
        </row>
        <row r="942">
          <cell r="A942" t="str">
            <v xml:space="preserve"> 경질비닐 전선관 HI 28C</v>
          </cell>
          <cell r="C942" t="str">
            <v xml:space="preserve"> 경질비닐 전선관</v>
          </cell>
          <cell r="D942" t="str">
            <v xml:space="preserve"> HI 28C</v>
          </cell>
          <cell r="E942" t="str">
            <v>m</v>
          </cell>
          <cell r="F942">
            <v>6.12</v>
          </cell>
          <cell r="G942">
            <v>744</v>
          </cell>
          <cell r="H942">
            <v>4553.2</v>
          </cell>
          <cell r="I942">
            <v>0.02</v>
          </cell>
        </row>
        <row r="943">
          <cell r="B943" t="str">
            <v>소         계</v>
          </cell>
          <cell r="H943">
            <v>4553</v>
          </cell>
          <cell r="I943" t="str">
            <v>ⓐ</v>
          </cell>
        </row>
        <row r="944">
          <cell r="C944" t="str">
            <v>나, 노무비</v>
          </cell>
        </row>
        <row r="945">
          <cell r="A945" t="str">
            <v>49 배관공</v>
          </cell>
          <cell r="C945" t="str">
            <v xml:space="preserve"> 배관공</v>
          </cell>
          <cell r="E945" t="str">
            <v>인</v>
          </cell>
          <cell r="F945">
            <v>6.7000000000000004E-2</v>
          </cell>
          <cell r="G945">
            <v>52004</v>
          </cell>
          <cell r="H945">
            <v>3484.2</v>
          </cell>
          <cell r="I945" t="str">
            <v>기본,통신 3-26</v>
          </cell>
        </row>
        <row r="946">
          <cell r="A946" t="str">
            <v>49 보통인부</v>
          </cell>
          <cell r="C946" t="str">
            <v xml:space="preserve"> 보통인부</v>
          </cell>
          <cell r="E946" t="str">
            <v>인</v>
          </cell>
          <cell r="F946">
            <v>0.182</v>
          </cell>
          <cell r="G946">
            <v>34098</v>
          </cell>
          <cell r="H946">
            <v>6205.8</v>
          </cell>
          <cell r="I946" t="str">
            <v>기본,통신 3-26</v>
          </cell>
        </row>
        <row r="947">
          <cell r="B947" t="str">
            <v>소         계</v>
          </cell>
          <cell r="H947">
            <v>9690</v>
          </cell>
          <cell r="I947" t="str">
            <v>ⓑ</v>
          </cell>
        </row>
        <row r="948">
          <cell r="C948" t="str">
            <v>다, 기계경비</v>
          </cell>
        </row>
        <row r="949">
          <cell r="C949" t="str">
            <v xml:space="preserve"> 배관공</v>
          </cell>
          <cell r="E949" t="str">
            <v>인</v>
          </cell>
          <cell r="F949">
            <v>2E-3</v>
          </cell>
          <cell r="G949">
            <v>52004</v>
          </cell>
          <cell r="H949">
            <v>104</v>
          </cell>
        </row>
        <row r="950">
          <cell r="B950" t="str">
            <v>소         계</v>
          </cell>
          <cell r="H950">
            <v>104</v>
          </cell>
          <cell r="I950" t="str">
            <v>ⓒ</v>
          </cell>
        </row>
        <row r="952">
          <cell r="A952" t="str">
            <v>49재   료   비</v>
          </cell>
          <cell r="B952" t="str">
            <v>재   료   비</v>
          </cell>
          <cell r="D952" t="str">
            <v>ⓐ</v>
          </cell>
          <cell r="H952">
            <v>4553</v>
          </cell>
        </row>
        <row r="953">
          <cell r="A953" t="str">
            <v>49노   무   비</v>
          </cell>
          <cell r="B953" t="str">
            <v>노   무   비</v>
          </cell>
          <cell r="D953" t="str">
            <v>ⓑ</v>
          </cell>
          <cell r="H953">
            <v>9690</v>
          </cell>
        </row>
        <row r="954">
          <cell r="A954" t="str">
            <v>49경        비</v>
          </cell>
          <cell r="B954" t="str">
            <v>경        비</v>
          </cell>
          <cell r="D954" t="str">
            <v>ⓒ</v>
          </cell>
          <cell r="H954">
            <v>104</v>
          </cell>
        </row>
        <row r="955">
          <cell r="B955" t="str">
            <v>계</v>
          </cell>
          <cell r="H955">
            <v>14347</v>
          </cell>
        </row>
        <row r="958">
          <cell r="B958">
            <v>50</v>
          </cell>
          <cell r="C958" t="str">
            <v xml:space="preserve"> HI-PVC 신설</v>
          </cell>
          <cell r="D958" t="str">
            <v xml:space="preserve"> 36C</v>
          </cell>
          <cell r="E958" t="str">
            <v>m</v>
          </cell>
          <cell r="F958">
            <v>1</v>
          </cell>
        </row>
        <row r="959">
          <cell r="C959" t="str">
            <v>가, 재료비</v>
          </cell>
        </row>
        <row r="960">
          <cell r="A960" t="str">
            <v xml:space="preserve"> 경질비닐 전선관 HI 36C</v>
          </cell>
          <cell r="C960" t="str">
            <v xml:space="preserve"> 경질비닐 전선관</v>
          </cell>
          <cell r="D960" t="str">
            <v xml:space="preserve"> HI 36C</v>
          </cell>
          <cell r="E960" t="str">
            <v>m</v>
          </cell>
          <cell r="F960">
            <v>6.12</v>
          </cell>
          <cell r="G960">
            <v>1040</v>
          </cell>
          <cell r="H960">
            <v>6364.8</v>
          </cell>
          <cell r="I960">
            <v>0.02</v>
          </cell>
        </row>
        <row r="961">
          <cell r="B961" t="str">
            <v>소         계</v>
          </cell>
          <cell r="H961">
            <v>6364</v>
          </cell>
          <cell r="I961" t="str">
            <v>ⓐ</v>
          </cell>
        </row>
        <row r="962">
          <cell r="C962" t="str">
            <v>나, 노무비</v>
          </cell>
        </row>
        <row r="963">
          <cell r="A963" t="str">
            <v>50 배관공</v>
          </cell>
          <cell r="C963" t="str">
            <v xml:space="preserve"> 배관공</v>
          </cell>
          <cell r="E963" t="str">
            <v>인</v>
          </cell>
          <cell r="F963">
            <v>6.7000000000000004E-2</v>
          </cell>
          <cell r="G963">
            <v>52004</v>
          </cell>
          <cell r="H963">
            <v>3484.2</v>
          </cell>
          <cell r="I963" t="str">
            <v>기본,통신 3-26</v>
          </cell>
        </row>
        <row r="964">
          <cell r="A964" t="str">
            <v>50 보통인부</v>
          </cell>
          <cell r="C964" t="str">
            <v xml:space="preserve"> 보통인부</v>
          </cell>
          <cell r="E964" t="str">
            <v>인</v>
          </cell>
          <cell r="F964">
            <v>0.182</v>
          </cell>
          <cell r="G964">
            <v>34098</v>
          </cell>
          <cell r="H964">
            <v>6205.8</v>
          </cell>
          <cell r="I964" t="str">
            <v>기본,통신 3-26</v>
          </cell>
        </row>
        <row r="965">
          <cell r="B965" t="str">
            <v>소         계</v>
          </cell>
          <cell r="H965">
            <v>9690</v>
          </cell>
          <cell r="I965" t="str">
            <v>ⓑ</v>
          </cell>
        </row>
        <row r="966">
          <cell r="C966" t="str">
            <v>다, 기계경비</v>
          </cell>
        </row>
        <row r="967">
          <cell r="C967" t="str">
            <v xml:space="preserve"> 배관공</v>
          </cell>
          <cell r="E967" t="str">
            <v>인</v>
          </cell>
          <cell r="F967">
            <v>2E-3</v>
          </cell>
          <cell r="G967">
            <v>52004</v>
          </cell>
          <cell r="H967">
            <v>104</v>
          </cell>
        </row>
        <row r="968">
          <cell r="B968" t="str">
            <v>소         계</v>
          </cell>
          <cell r="H968">
            <v>104</v>
          </cell>
          <cell r="I968" t="str">
            <v>ⓒ</v>
          </cell>
        </row>
        <row r="970">
          <cell r="A970" t="str">
            <v>50재   료   비</v>
          </cell>
          <cell r="B970" t="str">
            <v>재   료   비</v>
          </cell>
          <cell r="D970" t="str">
            <v>ⓐ</v>
          </cell>
          <cell r="H970">
            <v>6364</v>
          </cell>
        </row>
        <row r="971">
          <cell r="A971" t="str">
            <v>50노   무   비</v>
          </cell>
          <cell r="B971" t="str">
            <v>노   무   비</v>
          </cell>
          <cell r="D971" t="str">
            <v>ⓑ</v>
          </cell>
          <cell r="H971">
            <v>9690</v>
          </cell>
        </row>
        <row r="972">
          <cell r="A972" t="str">
            <v>50경        비</v>
          </cell>
          <cell r="B972" t="str">
            <v>경        비</v>
          </cell>
          <cell r="D972" t="str">
            <v>ⓒ</v>
          </cell>
          <cell r="H972">
            <v>104</v>
          </cell>
        </row>
        <row r="973">
          <cell r="B973" t="str">
            <v>계</v>
          </cell>
          <cell r="H973">
            <v>16158</v>
          </cell>
        </row>
        <row r="976">
          <cell r="B976">
            <v>51</v>
          </cell>
          <cell r="C976" t="str">
            <v xml:space="preserve"> HI-PVC 신설</v>
          </cell>
          <cell r="D976" t="str">
            <v xml:space="preserve"> 54C x 2열</v>
          </cell>
          <cell r="E976" t="str">
            <v>m</v>
          </cell>
          <cell r="F976">
            <v>1</v>
          </cell>
        </row>
        <row r="977">
          <cell r="C977" t="str">
            <v>가, 재료비</v>
          </cell>
        </row>
        <row r="978">
          <cell r="A978" t="str">
            <v xml:space="preserve"> 경질비닐 전선관 HI 54C</v>
          </cell>
          <cell r="C978" t="str">
            <v xml:space="preserve"> 경질비닐 전선관</v>
          </cell>
          <cell r="D978" t="str">
            <v xml:space="preserve"> HI 54C</v>
          </cell>
          <cell r="E978" t="str">
            <v>m</v>
          </cell>
          <cell r="F978">
            <v>12.24</v>
          </cell>
          <cell r="G978">
            <v>1930</v>
          </cell>
          <cell r="H978">
            <v>23623.200000000001</v>
          </cell>
          <cell r="I978">
            <v>0.02</v>
          </cell>
        </row>
        <row r="979">
          <cell r="B979" t="str">
            <v>소         계</v>
          </cell>
          <cell r="H979">
            <v>23623</v>
          </cell>
          <cell r="I979" t="str">
            <v>ⓐ</v>
          </cell>
        </row>
        <row r="980">
          <cell r="C980" t="str">
            <v>나, 노무비</v>
          </cell>
        </row>
        <row r="981">
          <cell r="A981" t="str">
            <v>51 배관공</v>
          </cell>
          <cell r="C981" t="str">
            <v xml:space="preserve"> 배관공</v>
          </cell>
          <cell r="E981" t="str">
            <v>인</v>
          </cell>
          <cell r="F981">
            <v>0.14899999999999999</v>
          </cell>
          <cell r="G981">
            <v>52004</v>
          </cell>
          <cell r="H981">
            <v>7748.5</v>
          </cell>
          <cell r="I981" t="str">
            <v>기본+(2열),통신 3-26</v>
          </cell>
        </row>
        <row r="982">
          <cell r="A982" t="str">
            <v>51 보통인부</v>
          </cell>
          <cell r="C982" t="str">
            <v xml:space="preserve"> 보통인부</v>
          </cell>
          <cell r="E982" t="str">
            <v>인</v>
          </cell>
          <cell r="F982">
            <v>0.40300000000000002</v>
          </cell>
          <cell r="G982">
            <v>34098</v>
          </cell>
          <cell r="H982">
            <v>13741.4</v>
          </cell>
          <cell r="I982" t="str">
            <v>기본+(2열),통신 3-26</v>
          </cell>
        </row>
        <row r="983">
          <cell r="B983" t="str">
            <v>소         계</v>
          </cell>
          <cell r="H983">
            <v>21489</v>
          </cell>
          <cell r="I983" t="str">
            <v>ⓑ</v>
          </cell>
        </row>
        <row r="984">
          <cell r="C984" t="str">
            <v>다, 기계경비</v>
          </cell>
        </row>
        <row r="985">
          <cell r="C985" t="str">
            <v xml:space="preserve"> 배관공</v>
          </cell>
          <cell r="E985" t="str">
            <v>인</v>
          </cell>
          <cell r="F985">
            <v>4.0000000000000001E-3</v>
          </cell>
          <cell r="G985">
            <v>52004</v>
          </cell>
          <cell r="H985">
            <v>208</v>
          </cell>
        </row>
        <row r="986">
          <cell r="B986" t="str">
            <v>소         계</v>
          </cell>
          <cell r="H986">
            <v>208</v>
          </cell>
          <cell r="I986" t="str">
            <v>ⓒ</v>
          </cell>
        </row>
        <row r="988">
          <cell r="A988" t="str">
            <v>51재   료   비</v>
          </cell>
          <cell r="B988" t="str">
            <v>재   료   비</v>
          </cell>
          <cell r="D988" t="str">
            <v>ⓐ</v>
          </cell>
          <cell r="H988">
            <v>23623</v>
          </cell>
        </row>
        <row r="989">
          <cell r="A989" t="str">
            <v>51노   무   비</v>
          </cell>
          <cell r="B989" t="str">
            <v>노   무   비</v>
          </cell>
          <cell r="D989" t="str">
            <v>ⓑ</v>
          </cell>
          <cell r="H989">
            <v>21489</v>
          </cell>
        </row>
        <row r="990">
          <cell r="A990" t="str">
            <v>51경        비</v>
          </cell>
          <cell r="B990" t="str">
            <v>경        비</v>
          </cell>
          <cell r="D990" t="str">
            <v>ⓒ</v>
          </cell>
          <cell r="H990">
            <v>208</v>
          </cell>
        </row>
        <row r="991">
          <cell r="B991" t="str">
            <v>계</v>
          </cell>
          <cell r="H991">
            <v>45320</v>
          </cell>
        </row>
        <row r="994">
          <cell r="B994">
            <v>52</v>
          </cell>
          <cell r="C994" t="str">
            <v xml:space="preserve"> C형 찬넬 설치</v>
          </cell>
          <cell r="D994" t="str">
            <v xml:space="preserve"> 60×30×10×2.3t</v>
          </cell>
          <cell r="E994" t="str">
            <v>개</v>
          </cell>
          <cell r="F994">
            <v>1</v>
          </cell>
        </row>
        <row r="995">
          <cell r="C995" t="str">
            <v>가, 재료비</v>
          </cell>
        </row>
        <row r="996">
          <cell r="A996" t="str">
            <v xml:space="preserve"> C형 찬넬 60x30x10x 2.3t</v>
          </cell>
          <cell r="C996" t="str">
            <v xml:space="preserve"> C형 찬넬</v>
          </cell>
          <cell r="D996" t="str">
            <v xml:space="preserve"> 60x30x10x 2.3t</v>
          </cell>
          <cell r="E996" t="str">
            <v>m</v>
          </cell>
          <cell r="F996">
            <v>0.5</v>
          </cell>
          <cell r="G996">
            <v>510</v>
          </cell>
          <cell r="H996">
            <v>255</v>
          </cell>
          <cell r="I996">
            <v>0</v>
          </cell>
        </row>
        <row r="997">
          <cell r="A997" t="str">
            <v xml:space="preserve"> 스트롱앵커   5/8" (M16)</v>
          </cell>
          <cell r="C997" t="str">
            <v xml:space="preserve"> 스트롱앵커  </v>
          </cell>
          <cell r="D997" t="str">
            <v xml:space="preserve"> 5/8" (M16)</v>
          </cell>
          <cell r="E997" t="str">
            <v>개</v>
          </cell>
          <cell r="F997">
            <v>2</v>
          </cell>
          <cell r="G997">
            <v>180</v>
          </cell>
          <cell r="H997">
            <v>360</v>
          </cell>
          <cell r="I997">
            <v>0</v>
          </cell>
        </row>
        <row r="998">
          <cell r="A998" t="str">
            <v xml:space="preserve"> 달대볼트(아연도)  M16  L1000</v>
          </cell>
          <cell r="C998" t="str">
            <v xml:space="preserve"> 달대볼트(아연도) </v>
          </cell>
          <cell r="D998" t="str">
            <v xml:space="preserve"> M16  L1000</v>
          </cell>
          <cell r="E998" t="str">
            <v>개</v>
          </cell>
          <cell r="F998">
            <v>2</v>
          </cell>
          <cell r="G998">
            <v>1252</v>
          </cell>
          <cell r="H998">
            <v>2504</v>
          </cell>
          <cell r="I998">
            <v>0</v>
          </cell>
        </row>
        <row r="999">
          <cell r="B999" t="str">
            <v>소         계</v>
          </cell>
          <cell r="H999">
            <v>3119</v>
          </cell>
          <cell r="I999" t="str">
            <v>ⓐ</v>
          </cell>
        </row>
        <row r="1000">
          <cell r="C1000" t="str">
            <v>나, 노무비</v>
          </cell>
        </row>
        <row r="1001">
          <cell r="A1001" t="str">
            <v>52 통신내선공</v>
          </cell>
          <cell r="C1001" t="str">
            <v xml:space="preserve"> 통신내선공</v>
          </cell>
          <cell r="E1001" t="str">
            <v>인</v>
          </cell>
          <cell r="F1001">
            <v>0.36</v>
          </cell>
          <cell r="G1001">
            <v>63738</v>
          </cell>
          <cell r="H1001">
            <v>22945.599999999999</v>
          </cell>
          <cell r="I1001" t="str">
            <v>기본×(1+천장)×개수,통신 3-61-사</v>
          </cell>
        </row>
        <row r="1002">
          <cell r="A1002" t="str">
            <v>52 보통인부</v>
          </cell>
          <cell r="C1002" t="str">
            <v xml:space="preserve"> 보통인부</v>
          </cell>
          <cell r="E1002" t="str">
            <v>인</v>
          </cell>
          <cell r="F1002">
            <v>0.108</v>
          </cell>
          <cell r="G1002">
            <v>34098</v>
          </cell>
          <cell r="H1002">
            <v>3682.5</v>
          </cell>
          <cell r="I1002" t="str">
            <v>기본×(1+천장)×개수,통신 3-61-사</v>
          </cell>
        </row>
        <row r="1003">
          <cell r="B1003" t="str">
            <v>소         계</v>
          </cell>
          <cell r="H1003">
            <v>26628</v>
          </cell>
          <cell r="I1003" t="str">
            <v>ⓑ</v>
          </cell>
        </row>
        <row r="1004">
          <cell r="C1004" t="str">
            <v>다, 기계경비</v>
          </cell>
        </row>
        <row r="1005">
          <cell r="C1005" t="str">
            <v xml:space="preserve"> 통신내선공</v>
          </cell>
          <cell r="E1005" t="str">
            <v>인</v>
          </cell>
          <cell r="F1005">
            <v>0.01</v>
          </cell>
          <cell r="G1005">
            <v>63738</v>
          </cell>
          <cell r="H1005">
            <v>637.29999999999995</v>
          </cell>
        </row>
        <row r="1006">
          <cell r="B1006" t="str">
            <v>소         계</v>
          </cell>
          <cell r="H1006">
            <v>637</v>
          </cell>
          <cell r="I1006" t="str">
            <v>ⓒ</v>
          </cell>
        </row>
        <row r="1008">
          <cell r="A1008" t="str">
            <v>52재   료   비</v>
          </cell>
          <cell r="B1008" t="str">
            <v>재   료   비</v>
          </cell>
          <cell r="D1008" t="str">
            <v>ⓐ</v>
          </cell>
          <cell r="H1008">
            <v>3119</v>
          </cell>
        </row>
        <row r="1009">
          <cell r="A1009" t="str">
            <v>52노   무   비</v>
          </cell>
          <cell r="B1009" t="str">
            <v>노   무   비</v>
          </cell>
          <cell r="D1009" t="str">
            <v>ⓑ</v>
          </cell>
          <cell r="H1009">
            <v>26628</v>
          </cell>
        </row>
        <row r="1010">
          <cell r="A1010" t="str">
            <v>52경        비</v>
          </cell>
          <cell r="B1010" t="str">
            <v>경        비</v>
          </cell>
          <cell r="D1010" t="str">
            <v>ⓒ</v>
          </cell>
          <cell r="H1010">
            <v>637</v>
          </cell>
        </row>
        <row r="1011">
          <cell r="B1011" t="str">
            <v>계</v>
          </cell>
          <cell r="H1011">
            <v>30384</v>
          </cell>
        </row>
        <row r="1012">
          <cell r="B1012">
            <v>53</v>
          </cell>
          <cell r="C1012" t="str">
            <v xml:space="preserve"> 풀박스 설치</v>
          </cell>
          <cell r="D1012" t="str">
            <v xml:space="preserve"> 100×100×100</v>
          </cell>
          <cell r="E1012" t="str">
            <v>개</v>
          </cell>
          <cell r="F1012">
            <v>1</v>
          </cell>
        </row>
        <row r="1013">
          <cell r="C1013" t="str">
            <v>가, 재료비</v>
          </cell>
        </row>
        <row r="1014">
          <cell r="A1014" t="str">
            <v xml:space="preserve"> 풀박스  100×100×100</v>
          </cell>
          <cell r="C1014" t="str">
            <v xml:space="preserve"> 풀박스 </v>
          </cell>
          <cell r="D1014" t="str">
            <v xml:space="preserve"> 100×100×100</v>
          </cell>
          <cell r="E1014" t="str">
            <v>개</v>
          </cell>
          <cell r="F1014">
            <v>1</v>
          </cell>
          <cell r="G1014">
            <v>1750</v>
          </cell>
          <cell r="H1014">
            <v>1750</v>
          </cell>
          <cell r="I1014">
            <v>0</v>
          </cell>
        </row>
        <row r="1015">
          <cell r="A1015" t="str">
            <v xml:space="preserve"> 스트롱앵커   5/8" (M16)</v>
          </cell>
          <cell r="C1015" t="str">
            <v xml:space="preserve"> 스트롱앵커  </v>
          </cell>
          <cell r="D1015" t="str">
            <v xml:space="preserve"> 5/8" (M16)</v>
          </cell>
          <cell r="E1015" t="str">
            <v>개</v>
          </cell>
          <cell r="F1015">
            <v>2</v>
          </cell>
          <cell r="G1015">
            <v>180</v>
          </cell>
          <cell r="H1015">
            <v>360</v>
          </cell>
          <cell r="I1015">
            <v>0</v>
          </cell>
        </row>
        <row r="1016">
          <cell r="A1016" t="str">
            <v xml:space="preserve"> 달대볼트(아연도)  M16  L1000</v>
          </cell>
          <cell r="C1016" t="str">
            <v xml:space="preserve"> 달대볼트(아연도) </v>
          </cell>
          <cell r="D1016" t="str">
            <v xml:space="preserve"> M16  L1000</v>
          </cell>
          <cell r="E1016" t="str">
            <v>개</v>
          </cell>
          <cell r="F1016">
            <v>2</v>
          </cell>
          <cell r="G1016">
            <v>1252</v>
          </cell>
          <cell r="H1016">
            <v>2504</v>
          </cell>
          <cell r="I1016">
            <v>0</v>
          </cell>
        </row>
        <row r="1017">
          <cell r="B1017" t="str">
            <v>소         계</v>
          </cell>
          <cell r="H1017">
            <v>4614</v>
          </cell>
          <cell r="I1017" t="str">
            <v>ⓐ</v>
          </cell>
        </row>
        <row r="1018">
          <cell r="C1018" t="str">
            <v>나, 노무비</v>
          </cell>
        </row>
        <row r="1019">
          <cell r="A1019" t="str">
            <v>53 통신내선공</v>
          </cell>
          <cell r="C1019" t="str">
            <v xml:space="preserve"> 통신내선공</v>
          </cell>
          <cell r="E1019" t="str">
            <v>인</v>
          </cell>
          <cell r="F1019">
            <v>0.71</v>
          </cell>
          <cell r="G1019">
            <v>63738</v>
          </cell>
          <cell r="H1019">
            <v>45253.9</v>
          </cell>
          <cell r="I1019" t="str">
            <v>기본,통신 3-61-라</v>
          </cell>
        </row>
        <row r="1020">
          <cell r="A1020" t="str">
            <v>53 보통인부</v>
          </cell>
          <cell r="C1020" t="str">
            <v xml:space="preserve"> 보통인부</v>
          </cell>
          <cell r="E1020" t="str">
            <v>인</v>
          </cell>
          <cell r="F1020">
            <v>0.108</v>
          </cell>
          <cell r="G1020">
            <v>34098</v>
          </cell>
          <cell r="H1020">
            <v>3682.5</v>
          </cell>
          <cell r="I1020" t="str">
            <v>기본×(1+천장)×개수,통신 3-61-사</v>
          </cell>
        </row>
        <row r="1021">
          <cell r="B1021" t="str">
            <v>소         계</v>
          </cell>
          <cell r="H1021">
            <v>48936</v>
          </cell>
          <cell r="I1021" t="str">
            <v>ⓑ</v>
          </cell>
        </row>
        <row r="1022">
          <cell r="C1022" t="str">
            <v>다, 기계경비</v>
          </cell>
        </row>
        <row r="1023">
          <cell r="C1023" t="str">
            <v xml:space="preserve"> 통신내선공</v>
          </cell>
          <cell r="E1023" t="str">
            <v>인</v>
          </cell>
          <cell r="F1023">
            <v>2.1000000000000001E-2</v>
          </cell>
          <cell r="G1023">
            <v>63738</v>
          </cell>
          <cell r="H1023">
            <v>1338.4</v>
          </cell>
        </row>
        <row r="1024">
          <cell r="B1024" t="str">
            <v>소         계</v>
          </cell>
          <cell r="H1024">
            <v>1338</v>
          </cell>
          <cell r="I1024" t="str">
            <v>ⓒ</v>
          </cell>
        </row>
        <row r="1026">
          <cell r="A1026" t="str">
            <v>53재   료   비</v>
          </cell>
          <cell r="B1026" t="str">
            <v>재   료   비</v>
          </cell>
          <cell r="D1026" t="str">
            <v>ⓐ</v>
          </cell>
          <cell r="H1026">
            <v>4614</v>
          </cell>
        </row>
        <row r="1027">
          <cell r="A1027" t="str">
            <v>53노   무   비</v>
          </cell>
          <cell r="B1027" t="str">
            <v>노   무   비</v>
          </cell>
          <cell r="D1027" t="str">
            <v>ⓑ</v>
          </cell>
          <cell r="H1027">
            <v>48936</v>
          </cell>
        </row>
        <row r="1028">
          <cell r="A1028" t="str">
            <v>53경        비</v>
          </cell>
          <cell r="B1028" t="str">
            <v>경        비</v>
          </cell>
          <cell r="D1028" t="str">
            <v>ⓒ</v>
          </cell>
          <cell r="H1028">
            <v>1338</v>
          </cell>
        </row>
        <row r="1029">
          <cell r="B1029" t="str">
            <v>계</v>
          </cell>
          <cell r="H1029">
            <v>54888</v>
          </cell>
        </row>
        <row r="1030">
          <cell r="B1030">
            <v>54</v>
          </cell>
          <cell r="C1030" t="str">
            <v xml:space="preserve"> 풀박스 설치</v>
          </cell>
          <cell r="D1030" t="str">
            <v xml:space="preserve"> 200×200×100</v>
          </cell>
          <cell r="E1030" t="str">
            <v>개</v>
          </cell>
          <cell r="F1030">
            <v>1</v>
          </cell>
        </row>
        <row r="1031">
          <cell r="C1031" t="str">
            <v>가, 재료비</v>
          </cell>
        </row>
        <row r="1032">
          <cell r="A1032" t="str">
            <v xml:space="preserve"> 풀박스  200×200×100</v>
          </cell>
          <cell r="C1032" t="str">
            <v xml:space="preserve"> 풀박스 </v>
          </cell>
          <cell r="D1032" t="str">
            <v xml:space="preserve"> 200×200×100</v>
          </cell>
          <cell r="E1032" t="str">
            <v>개</v>
          </cell>
          <cell r="F1032">
            <v>1</v>
          </cell>
          <cell r="G1032">
            <v>3420</v>
          </cell>
          <cell r="H1032">
            <v>3420</v>
          </cell>
          <cell r="I1032">
            <v>0</v>
          </cell>
        </row>
        <row r="1033">
          <cell r="A1033" t="str">
            <v xml:space="preserve"> 스트롱앵커   5/8" (M16)</v>
          </cell>
          <cell r="C1033" t="str">
            <v xml:space="preserve"> 스트롱앵커  </v>
          </cell>
          <cell r="D1033" t="str">
            <v xml:space="preserve"> 5/8" (M16)</v>
          </cell>
          <cell r="E1033" t="str">
            <v>개</v>
          </cell>
          <cell r="F1033">
            <v>2</v>
          </cell>
          <cell r="G1033">
            <v>180</v>
          </cell>
          <cell r="H1033">
            <v>360</v>
          </cell>
          <cell r="I1033">
            <v>0</v>
          </cell>
        </row>
        <row r="1034">
          <cell r="A1034" t="str">
            <v xml:space="preserve"> 달대볼트(아연도)  M16  L1000</v>
          </cell>
          <cell r="C1034" t="str">
            <v xml:space="preserve"> 달대볼트(아연도) </v>
          </cell>
          <cell r="D1034" t="str">
            <v xml:space="preserve"> M16  L1000</v>
          </cell>
          <cell r="E1034" t="str">
            <v>개</v>
          </cell>
          <cell r="F1034">
            <v>2</v>
          </cell>
          <cell r="G1034">
            <v>1252</v>
          </cell>
          <cell r="H1034">
            <v>2504</v>
          </cell>
          <cell r="I1034">
            <v>0</v>
          </cell>
        </row>
        <row r="1035">
          <cell r="B1035" t="str">
            <v>소         계</v>
          </cell>
          <cell r="H1035">
            <v>6284</v>
          </cell>
          <cell r="I1035" t="str">
            <v>ⓐ</v>
          </cell>
        </row>
        <row r="1036">
          <cell r="C1036" t="str">
            <v>나, 노무비</v>
          </cell>
        </row>
        <row r="1037">
          <cell r="A1037" t="str">
            <v>54 통신내선공</v>
          </cell>
          <cell r="C1037" t="str">
            <v xml:space="preserve"> 통신내선공</v>
          </cell>
          <cell r="E1037" t="str">
            <v>인</v>
          </cell>
          <cell r="F1037">
            <v>0.71</v>
          </cell>
          <cell r="G1037">
            <v>63738</v>
          </cell>
          <cell r="H1037">
            <v>45253.9</v>
          </cell>
          <cell r="I1037" t="str">
            <v>기본,통신 3-61-라</v>
          </cell>
        </row>
        <row r="1038">
          <cell r="A1038" t="str">
            <v>54 보통인부</v>
          </cell>
          <cell r="C1038" t="str">
            <v xml:space="preserve"> 보통인부</v>
          </cell>
          <cell r="E1038" t="str">
            <v>인</v>
          </cell>
          <cell r="F1038">
            <v>0.108</v>
          </cell>
          <cell r="G1038">
            <v>34098</v>
          </cell>
          <cell r="H1038">
            <v>3682.5</v>
          </cell>
          <cell r="I1038" t="str">
            <v>기본×(1+천장)×개수,통신 3-61-사</v>
          </cell>
        </row>
        <row r="1039">
          <cell r="B1039" t="str">
            <v>소         계</v>
          </cell>
          <cell r="H1039">
            <v>48936</v>
          </cell>
          <cell r="I1039" t="str">
            <v>ⓑ</v>
          </cell>
        </row>
        <row r="1040">
          <cell r="C1040" t="str">
            <v>다, 기계경비</v>
          </cell>
        </row>
        <row r="1041">
          <cell r="C1041" t="str">
            <v xml:space="preserve"> 통신내선공</v>
          </cell>
          <cell r="E1041" t="str">
            <v>인</v>
          </cell>
          <cell r="F1041">
            <v>2.1000000000000001E-2</v>
          </cell>
          <cell r="G1041">
            <v>63738</v>
          </cell>
          <cell r="H1041">
            <v>1338.4</v>
          </cell>
        </row>
        <row r="1042">
          <cell r="B1042" t="str">
            <v>소         계</v>
          </cell>
          <cell r="H1042">
            <v>1338</v>
          </cell>
          <cell r="I1042" t="str">
            <v>ⓒ</v>
          </cell>
        </row>
        <row r="1044">
          <cell r="A1044" t="str">
            <v>54재   료   비</v>
          </cell>
          <cell r="B1044" t="str">
            <v>재   료   비</v>
          </cell>
          <cell r="D1044" t="str">
            <v>ⓐ</v>
          </cell>
          <cell r="H1044">
            <v>6284</v>
          </cell>
        </row>
        <row r="1045">
          <cell r="A1045" t="str">
            <v>54노   무   비</v>
          </cell>
          <cell r="B1045" t="str">
            <v>노   무   비</v>
          </cell>
          <cell r="D1045" t="str">
            <v>ⓑ</v>
          </cell>
          <cell r="H1045">
            <v>48936</v>
          </cell>
        </row>
        <row r="1046">
          <cell r="A1046" t="str">
            <v>54경        비</v>
          </cell>
          <cell r="B1046" t="str">
            <v>경        비</v>
          </cell>
          <cell r="D1046" t="str">
            <v>ⓒ</v>
          </cell>
          <cell r="H1046">
            <v>1338</v>
          </cell>
        </row>
        <row r="1047">
          <cell r="B1047" t="str">
            <v>계</v>
          </cell>
          <cell r="H1047">
            <v>56558</v>
          </cell>
        </row>
        <row r="1048">
          <cell r="B1048">
            <v>55</v>
          </cell>
          <cell r="C1048" t="str">
            <v xml:space="preserve"> 풀박스 설치</v>
          </cell>
          <cell r="D1048" t="str">
            <v xml:space="preserve"> 200×200×150</v>
          </cell>
          <cell r="E1048" t="str">
            <v>개</v>
          </cell>
          <cell r="F1048">
            <v>1</v>
          </cell>
        </row>
        <row r="1049">
          <cell r="C1049" t="str">
            <v>가, 재료비</v>
          </cell>
        </row>
        <row r="1050">
          <cell r="A1050" t="str">
            <v xml:space="preserve"> 풀박스  200×200×150</v>
          </cell>
          <cell r="C1050" t="str">
            <v xml:space="preserve"> 풀박스 </v>
          </cell>
          <cell r="D1050" t="str">
            <v xml:space="preserve"> 200×200×150</v>
          </cell>
          <cell r="E1050" t="str">
            <v>개</v>
          </cell>
          <cell r="F1050">
            <v>1</v>
          </cell>
          <cell r="G1050">
            <v>4050</v>
          </cell>
          <cell r="H1050">
            <v>4050</v>
          </cell>
          <cell r="I1050">
            <v>0</v>
          </cell>
        </row>
        <row r="1051">
          <cell r="A1051" t="str">
            <v xml:space="preserve"> 스트롱앵커   5/8" (M16)</v>
          </cell>
          <cell r="C1051" t="str">
            <v xml:space="preserve"> 스트롱앵커  </v>
          </cell>
          <cell r="D1051" t="str">
            <v xml:space="preserve"> 5/8" (M16)</v>
          </cell>
          <cell r="E1051" t="str">
            <v>개</v>
          </cell>
          <cell r="F1051">
            <v>2</v>
          </cell>
          <cell r="G1051">
            <v>180</v>
          </cell>
          <cell r="H1051">
            <v>360</v>
          </cell>
          <cell r="I1051">
            <v>0</v>
          </cell>
        </row>
        <row r="1052">
          <cell r="A1052" t="str">
            <v xml:space="preserve"> 달대볼트(아연도)  M16  L1000</v>
          </cell>
          <cell r="C1052" t="str">
            <v xml:space="preserve"> 달대볼트(아연도) </v>
          </cell>
          <cell r="D1052" t="str">
            <v xml:space="preserve"> M16  L1000</v>
          </cell>
          <cell r="E1052" t="str">
            <v>개</v>
          </cell>
          <cell r="F1052">
            <v>2</v>
          </cell>
          <cell r="G1052">
            <v>1252</v>
          </cell>
          <cell r="H1052">
            <v>2504</v>
          </cell>
          <cell r="I1052">
            <v>0</v>
          </cell>
        </row>
        <row r="1053">
          <cell r="B1053" t="str">
            <v>소         계</v>
          </cell>
          <cell r="H1053">
            <v>6914</v>
          </cell>
          <cell r="I1053" t="str">
            <v>ⓐ</v>
          </cell>
        </row>
        <row r="1054">
          <cell r="C1054" t="str">
            <v>나, 노무비</v>
          </cell>
        </row>
        <row r="1055">
          <cell r="A1055" t="str">
            <v>55 통신내선공</v>
          </cell>
          <cell r="C1055" t="str">
            <v xml:space="preserve"> 통신내선공</v>
          </cell>
          <cell r="E1055" t="str">
            <v>인</v>
          </cell>
          <cell r="F1055">
            <v>0.71</v>
          </cell>
          <cell r="G1055">
            <v>63738</v>
          </cell>
          <cell r="H1055">
            <v>45253.9</v>
          </cell>
          <cell r="I1055" t="str">
            <v>기본,통신 3-61-라</v>
          </cell>
        </row>
        <row r="1056">
          <cell r="A1056" t="str">
            <v>55 보통인부</v>
          </cell>
          <cell r="C1056" t="str">
            <v xml:space="preserve"> 보통인부</v>
          </cell>
          <cell r="E1056" t="str">
            <v>인</v>
          </cell>
          <cell r="F1056">
            <v>0.108</v>
          </cell>
          <cell r="G1056">
            <v>34098</v>
          </cell>
          <cell r="H1056">
            <v>3682.5</v>
          </cell>
          <cell r="I1056" t="str">
            <v>기본×(1+천장)×개수,통신 3-61-사</v>
          </cell>
        </row>
        <row r="1057">
          <cell r="B1057" t="str">
            <v>소         계</v>
          </cell>
          <cell r="H1057">
            <v>48936</v>
          </cell>
          <cell r="I1057" t="str">
            <v>ⓑ</v>
          </cell>
        </row>
        <row r="1058">
          <cell r="C1058" t="str">
            <v>다, 기계경비</v>
          </cell>
        </row>
        <row r="1059">
          <cell r="C1059" t="str">
            <v xml:space="preserve"> 통신내선공</v>
          </cell>
          <cell r="E1059" t="str">
            <v>인</v>
          </cell>
          <cell r="F1059">
            <v>2.1000000000000001E-2</v>
          </cell>
          <cell r="G1059">
            <v>63738</v>
          </cell>
          <cell r="H1059">
            <v>1338.4</v>
          </cell>
        </row>
        <row r="1060">
          <cell r="B1060" t="str">
            <v>소         계</v>
          </cell>
          <cell r="H1060">
            <v>1338</v>
          </cell>
          <cell r="I1060" t="str">
            <v>ⓒ</v>
          </cell>
        </row>
        <row r="1062">
          <cell r="A1062" t="str">
            <v>55재   료   비</v>
          </cell>
          <cell r="B1062" t="str">
            <v>재   료   비</v>
          </cell>
          <cell r="D1062" t="str">
            <v>ⓐ</v>
          </cell>
          <cell r="H1062">
            <v>6914</v>
          </cell>
        </row>
        <row r="1063">
          <cell r="A1063" t="str">
            <v>55노   무   비</v>
          </cell>
          <cell r="B1063" t="str">
            <v>노   무   비</v>
          </cell>
          <cell r="D1063" t="str">
            <v>ⓑ</v>
          </cell>
          <cell r="H1063">
            <v>48936</v>
          </cell>
        </row>
        <row r="1064">
          <cell r="A1064" t="str">
            <v>55경        비</v>
          </cell>
          <cell r="B1064" t="str">
            <v>경        비</v>
          </cell>
          <cell r="D1064" t="str">
            <v>ⓒ</v>
          </cell>
          <cell r="H1064">
            <v>1338</v>
          </cell>
        </row>
        <row r="1065">
          <cell r="B1065" t="str">
            <v>계</v>
          </cell>
          <cell r="H1065">
            <v>57188</v>
          </cell>
        </row>
        <row r="1066">
          <cell r="B1066">
            <v>56</v>
          </cell>
          <cell r="C1066" t="str">
            <v xml:space="preserve"> 풀박스 설치</v>
          </cell>
          <cell r="D1066" t="str">
            <v xml:space="preserve"> 300×300×200</v>
          </cell>
          <cell r="E1066" t="str">
            <v>개</v>
          </cell>
          <cell r="F1066">
            <v>1</v>
          </cell>
        </row>
        <row r="1067">
          <cell r="C1067" t="str">
            <v>가, 재료비</v>
          </cell>
        </row>
        <row r="1068">
          <cell r="A1068" t="str">
            <v xml:space="preserve"> 풀박스  300×300×200</v>
          </cell>
          <cell r="C1068" t="str">
            <v xml:space="preserve"> 풀박스 </v>
          </cell>
          <cell r="D1068" t="str">
            <v xml:space="preserve"> 300×300×200</v>
          </cell>
          <cell r="E1068" t="str">
            <v>개</v>
          </cell>
          <cell r="F1068">
            <v>1</v>
          </cell>
          <cell r="G1068">
            <v>7200</v>
          </cell>
          <cell r="H1068">
            <v>7200</v>
          </cell>
          <cell r="I1068">
            <v>0</v>
          </cell>
        </row>
        <row r="1069">
          <cell r="A1069" t="str">
            <v xml:space="preserve"> 스트롱앵커   5/8" (M16)</v>
          </cell>
          <cell r="C1069" t="str">
            <v xml:space="preserve"> 스트롱앵커  </v>
          </cell>
          <cell r="D1069" t="str">
            <v xml:space="preserve"> 5/8" (M16)</v>
          </cell>
          <cell r="E1069" t="str">
            <v>개</v>
          </cell>
          <cell r="F1069">
            <v>2</v>
          </cell>
          <cell r="G1069">
            <v>180</v>
          </cell>
          <cell r="H1069">
            <v>360</v>
          </cell>
          <cell r="I1069">
            <v>0</v>
          </cell>
        </row>
        <row r="1070">
          <cell r="A1070" t="str">
            <v xml:space="preserve"> 달대볼트(아연도)  M16  L1000</v>
          </cell>
          <cell r="C1070" t="str">
            <v xml:space="preserve"> 달대볼트(아연도) </v>
          </cell>
          <cell r="D1070" t="str">
            <v xml:space="preserve"> M16  L1000</v>
          </cell>
          <cell r="E1070" t="str">
            <v>개</v>
          </cell>
          <cell r="F1070">
            <v>2</v>
          </cell>
          <cell r="G1070">
            <v>1252</v>
          </cell>
          <cell r="H1070">
            <v>2504</v>
          </cell>
          <cell r="I1070">
            <v>0</v>
          </cell>
        </row>
        <row r="1071">
          <cell r="B1071" t="str">
            <v>소         계</v>
          </cell>
          <cell r="H1071">
            <v>10064</v>
          </cell>
          <cell r="I1071" t="str">
            <v>ⓐ</v>
          </cell>
        </row>
        <row r="1072">
          <cell r="C1072" t="str">
            <v>나, 노무비</v>
          </cell>
        </row>
        <row r="1073">
          <cell r="A1073" t="str">
            <v>56 통신내선공</v>
          </cell>
          <cell r="C1073" t="str">
            <v xml:space="preserve"> 통신내선공</v>
          </cell>
          <cell r="E1073" t="str">
            <v>인</v>
          </cell>
          <cell r="F1073">
            <v>0.71</v>
          </cell>
          <cell r="G1073">
            <v>63738</v>
          </cell>
          <cell r="H1073">
            <v>45253.9</v>
          </cell>
          <cell r="I1073" t="str">
            <v>기본,통신 3-61-라</v>
          </cell>
        </row>
        <row r="1074">
          <cell r="A1074" t="str">
            <v>56 보통인부</v>
          </cell>
          <cell r="C1074" t="str">
            <v xml:space="preserve"> 보통인부</v>
          </cell>
          <cell r="E1074" t="str">
            <v>인</v>
          </cell>
          <cell r="F1074">
            <v>0.108</v>
          </cell>
          <cell r="G1074">
            <v>34098</v>
          </cell>
          <cell r="H1074">
            <v>3682.5</v>
          </cell>
          <cell r="I1074" t="str">
            <v>기본×(1+천장)×개수,통신 3-61-사</v>
          </cell>
        </row>
        <row r="1075">
          <cell r="B1075" t="str">
            <v>소         계</v>
          </cell>
          <cell r="H1075">
            <v>48936</v>
          </cell>
          <cell r="I1075" t="str">
            <v>ⓑ</v>
          </cell>
        </row>
        <row r="1076">
          <cell r="C1076" t="str">
            <v>다, 기계경비</v>
          </cell>
        </row>
        <row r="1077">
          <cell r="C1077" t="str">
            <v xml:space="preserve"> 통신내선공</v>
          </cell>
          <cell r="E1077" t="str">
            <v>인</v>
          </cell>
          <cell r="F1077">
            <v>2.1000000000000001E-2</v>
          </cell>
          <cell r="G1077">
            <v>63738</v>
          </cell>
          <cell r="H1077">
            <v>1338.4</v>
          </cell>
        </row>
        <row r="1078">
          <cell r="B1078" t="str">
            <v>소         계</v>
          </cell>
          <cell r="H1078">
            <v>1338</v>
          </cell>
          <cell r="I1078" t="str">
            <v>ⓒ</v>
          </cell>
        </row>
        <row r="1080">
          <cell r="A1080" t="str">
            <v>56재   료   비</v>
          </cell>
          <cell r="B1080" t="str">
            <v>재   료   비</v>
          </cell>
          <cell r="D1080" t="str">
            <v>ⓐ</v>
          </cell>
          <cell r="H1080">
            <v>10064</v>
          </cell>
        </row>
        <row r="1081">
          <cell r="A1081" t="str">
            <v>56노   무   비</v>
          </cell>
          <cell r="B1081" t="str">
            <v>노   무   비</v>
          </cell>
          <cell r="D1081" t="str">
            <v>ⓑ</v>
          </cell>
          <cell r="H1081">
            <v>48936</v>
          </cell>
        </row>
        <row r="1082">
          <cell r="A1082" t="str">
            <v>56경        비</v>
          </cell>
          <cell r="B1082" t="str">
            <v>경        비</v>
          </cell>
          <cell r="D1082" t="str">
            <v>ⓒ</v>
          </cell>
          <cell r="H1082">
            <v>1338</v>
          </cell>
        </row>
        <row r="1083">
          <cell r="B1083" t="str">
            <v>계</v>
          </cell>
          <cell r="H1083">
            <v>60338</v>
          </cell>
        </row>
        <row r="1084">
          <cell r="B1084">
            <v>57</v>
          </cell>
          <cell r="C1084" t="str">
            <v xml:space="preserve"> 풀박스 설치</v>
          </cell>
          <cell r="D1084" t="str">
            <v xml:space="preserve"> 400×400×200</v>
          </cell>
          <cell r="E1084" t="str">
            <v>개</v>
          </cell>
          <cell r="F1084">
            <v>1</v>
          </cell>
        </row>
        <row r="1085">
          <cell r="C1085" t="str">
            <v>가, 재료비</v>
          </cell>
        </row>
        <row r="1086">
          <cell r="A1086" t="str">
            <v xml:space="preserve"> 풀박스  400×400×200</v>
          </cell>
          <cell r="C1086" t="str">
            <v xml:space="preserve"> 풀박스 </v>
          </cell>
          <cell r="D1086" t="str">
            <v xml:space="preserve"> 400×400×200</v>
          </cell>
          <cell r="E1086" t="str">
            <v>개</v>
          </cell>
          <cell r="F1086">
            <v>1</v>
          </cell>
          <cell r="G1086">
            <v>11160</v>
          </cell>
          <cell r="H1086">
            <v>11160</v>
          </cell>
          <cell r="I1086">
            <v>0</v>
          </cell>
        </row>
        <row r="1087">
          <cell r="A1087" t="str">
            <v xml:space="preserve"> 스트롱앵커   5/8" (M16)</v>
          </cell>
          <cell r="C1087" t="str">
            <v xml:space="preserve"> 스트롱앵커  </v>
          </cell>
          <cell r="D1087" t="str">
            <v xml:space="preserve"> 5/8" (M16)</v>
          </cell>
          <cell r="E1087" t="str">
            <v>개</v>
          </cell>
          <cell r="F1087">
            <v>2</v>
          </cell>
          <cell r="G1087">
            <v>180</v>
          </cell>
          <cell r="H1087">
            <v>360</v>
          </cell>
          <cell r="I1087">
            <v>0</v>
          </cell>
        </row>
        <row r="1088">
          <cell r="A1088" t="str">
            <v xml:space="preserve"> 달대볼트(아연도)  M16  L1000</v>
          </cell>
          <cell r="C1088" t="str">
            <v xml:space="preserve"> 달대볼트(아연도) </v>
          </cell>
          <cell r="D1088" t="str">
            <v xml:space="preserve"> M16  L1000</v>
          </cell>
          <cell r="E1088" t="str">
            <v>개</v>
          </cell>
          <cell r="F1088">
            <v>2</v>
          </cell>
          <cell r="G1088">
            <v>1252</v>
          </cell>
          <cell r="H1088">
            <v>2504</v>
          </cell>
          <cell r="I1088">
            <v>0</v>
          </cell>
        </row>
        <row r="1089">
          <cell r="B1089" t="str">
            <v>소         계</v>
          </cell>
          <cell r="H1089">
            <v>14024</v>
          </cell>
          <cell r="I1089" t="str">
            <v>ⓐ</v>
          </cell>
        </row>
        <row r="1090">
          <cell r="C1090" t="str">
            <v>나, 노무비</v>
          </cell>
        </row>
        <row r="1091">
          <cell r="A1091" t="str">
            <v>57 통신내선공</v>
          </cell>
          <cell r="C1091" t="str">
            <v xml:space="preserve"> 통신내선공</v>
          </cell>
          <cell r="E1091" t="str">
            <v>인</v>
          </cell>
          <cell r="F1091">
            <v>1.02</v>
          </cell>
          <cell r="G1091">
            <v>63738</v>
          </cell>
          <cell r="H1091">
            <v>65012.7</v>
          </cell>
          <cell r="I1091" t="str">
            <v>기본,통신 3-61-라</v>
          </cell>
        </row>
        <row r="1092">
          <cell r="A1092" t="str">
            <v>57 보통인부</v>
          </cell>
          <cell r="C1092" t="str">
            <v xml:space="preserve"> 보통인부</v>
          </cell>
          <cell r="E1092" t="str">
            <v>인</v>
          </cell>
          <cell r="F1092">
            <v>0.108</v>
          </cell>
          <cell r="G1092">
            <v>34098</v>
          </cell>
          <cell r="H1092">
            <v>3682.5</v>
          </cell>
          <cell r="I1092" t="str">
            <v>기본×(1+천장)×개수,통신 3-61-사</v>
          </cell>
        </row>
        <row r="1093">
          <cell r="B1093" t="str">
            <v>소         계</v>
          </cell>
          <cell r="H1093">
            <v>68695</v>
          </cell>
          <cell r="I1093" t="str">
            <v>ⓑ</v>
          </cell>
        </row>
        <row r="1094">
          <cell r="C1094" t="str">
            <v>다, 기계경비</v>
          </cell>
        </row>
        <row r="1095">
          <cell r="C1095" t="str">
            <v xml:space="preserve"> 통신내선공</v>
          </cell>
          <cell r="E1095" t="str">
            <v>인</v>
          </cell>
          <cell r="F1095">
            <v>0.03</v>
          </cell>
          <cell r="G1095">
            <v>63738</v>
          </cell>
          <cell r="H1095">
            <v>1912.1</v>
          </cell>
        </row>
        <row r="1096">
          <cell r="B1096" t="str">
            <v>소         계</v>
          </cell>
          <cell r="H1096">
            <v>1912</v>
          </cell>
          <cell r="I1096" t="str">
            <v>ⓒ</v>
          </cell>
        </row>
        <row r="1098">
          <cell r="A1098" t="str">
            <v>57재   료   비</v>
          </cell>
          <cell r="B1098" t="str">
            <v>재   료   비</v>
          </cell>
          <cell r="D1098" t="str">
            <v>ⓐ</v>
          </cell>
          <cell r="H1098">
            <v>14024</v>
          </cell>
        </row>
        <row r="1099">
          <cell r="A1099" t="str">
            <v>57노   무   비</v>
          </cell>
          <cell r="B1099" t="str">
            <v>노   무   비</v>
          </cell>
          <cell r="D1099" t="str">
            <v>ⓑ</v>
          </cell>
          <cell r="H1099">
            <v>68695</v>
          </cell>
        </row>
        <row r="1100">
          <cell r="A1100" t="str">
            <v>57경        비</v>
          </cell>
          <cell r="B1100" t="str">
            <v>경        비</v>
          </cell>
          <cell r="D1100" t="str">
            <v>ⓒ</v>
          </cell>
          <cell r="H1100">
            <v>1912</v>
          </cell>
        </row>
        <row r="1101">
          <cell r="B1101" t="str">
            <v>계</v>
          </cell>
          <cell r="H1101">
            <v>84631</v>
          </cell>
        </row>
        <row r="1102">
          <cell r="B1102">
            <v>58</v>
          </cell>
          <cell r="C1102" t="str">
            <v xml:space="preserve"> 풀박스 설치</v>
          </cell>
          <cell r="D1102" t="str">
            <v xml:space="preserve"> 500×500×300</v>
          </cell>
          <cell r="E1102" t="str">
            <v>개</v>
          </cell>
          <cell r="F1102">
            <v>1</v>
          </cell>
        </row>
        <row r="1103">
          <cell r="C1103" t="str">
            <v>가, 재료비</v>
          </cell>
        </row>
        <row r="1104">
          <cell r="A1104" t="str">
            <v xml:space="preserve"> 풀박스  500×500×300</v>
          </cell>
          <cell r="C1104" t="str">
            <v xml:space="preserve"> 풀박스 </v>
          </cell>
          <cell r="D1104" t="str">
            <v xml:space="preserve"> 500×500×300</v>
          </cell>
          <cell r="E1104" t="str">
            <v>개</v>
          </cell>
          <cell r="F1104">
            <v>1</v>
          </cell>
          <cell r="G1104">
            <v>22500</v>
          </cell>
          <cell r="H1104">
            <v>22500</v>
          </cell>
          <cell r="I1104">
            <v>0</v>
          </cell>
        </row>
        <row r="1105">
          <cell r="A1105" t="str">
            <v xml:space="preserve"> 스트롱앵커   5/8" (M16)</v>
          </cell>
          <cell r="C1105" t="str">
            <v xml:space="preserve"> 스트롱앵커  </v>
          </cell>
          <cell r="D1105" t="str">
            <v xml:space="preserve"> 5/8" (M16)</v>
          </cell>
          <cell r="E1105" t="str">
            <v>개</v>
          </cell>
          <cell r="F1105">
            <v>2</v>
          </cell>
          <cell r="G1105">
            <v>180</v>
          </cell>
          <cell r="H1105">
            <v>360</v>
          </cell>
          <cell r="I1105">
            <v>0</v>
          </cell>
        </row>
        <row r="1106">
          <cell r="A1106" t="str">
            <v xml:space="preserve"> 달대볼트(아연도)  M16  L1000</v>
          </cell>
          <cell r="C1106" t="str">
            <v xml:space="preserve"> 달대볼트(아연도) </v>
          </cell>
          <cell r="D1106" t="str">
            <v xml:space="preserve"> M16  L1000</v>
          </cell>
          <cell r="E1106" t="str">
            <v>개</v>
          </cell>
          <cell r="F1106">
            <v>2</v>
          </cell>
          <cell r="G1106">
            <v>1252</v>
          </cell>
          <cell r="H1106">
            <v>2504</v>
          </cell>
          <cell r="I1106">
            <v>0</v>
          </cell>
        </row>
        <row r="1107">
          <cell r="B1107" t="str">
            <v>소         계</v>
          </cell>
          <cell r="H1107">
            <v>25364</v>
          </cell>
          <cell r="I1107" t="str">
            <v>ⓐ</v>
          </cell>
        </row>
        <row r="1108">
          <cell r="C1108" t="str">
            <v>나, 노무비</v>
          </cell>
        </row>
        <row r="1109">
          <cell r="A1109" t="str">
            <v>58 통신내선공</v>
          </cell>
          <cell r="C1109" t="str">
            <v xml:space="preserve"> 통신내선공</v>
          </cell>
          <cell r="E1109" t="str">
            <v>인</v>
          </cell>
          <cell r="F1109">
            <v>1.02</v>
          </cell>
          <cell r="G1109">
            <v>63738</v>
          </cell>
          <cell r="H1109">
            <v>65012.7</v>
          </cell>
          <cell r="I1109" t="str">
            <v>기본,통신 3-61-라</v>
          </cell>
        </row>
        <row r="1110">
          <cell r="A1110" t="str">
            <v>58 보통인부</v>
          </cell>
          <cell r="C1110" t="str">
            <v xml:space="preserve"> 보통인부</v>
          </cell>
          <cell r="E1110" t="str">
            <v>인</v>
          </cell>
          <cell r="F1110">
            <v>0.108</v>
          </cell>
          <cell r="G1110">
            <v>34098</v>
          </cell>
          <cell r="H1110">
            <v>3682.5</v>
          </cell>
          <cell r="I1110" t="str">
            <v>기본×(1+천장)×개수,통신 3-61-사</v>
          </cell>
        </row>
        <row r="1111">
          <cell r="B1111" t="str">
            <v>소         계</v>
          </cell>
          <cell r="H1111">
            <v>68695</v>
          </cell>
          <cell r="I1111" t="str">
            <v>ⓑ</v>
          </cell>
        </row>
        <row r="1112">
          <cell r="C1112" t="str">
            <v>다, 기계경비</v>
          </cell>
        </row>
        <row r="1113">
          <cell r="C1113" t="str">
            <v xml:space="preserve"> 통신내선공</v>
          </cell>
          <cell r="E1113" t="str">
            <v>인</v>
          </cell>
          <cell r="F1113">
            <v>0.03</v>
          </cell>
          <cell r="G1113">
            <v>63738</v>
          </cell>
          <cell r="H1113">
            <v>1912.1</v>
          </cell>
        </row>
        <row r="1114">
          <cell r="B1114" t="str">
            <v>소         계</v>
          </cell>
          <cell r="H1114">
            <v>1912</v>
          </cell>
          <cell r="I1114" t="str">
            <v>ⓒ</v>
          </cell>
        </row>
        <row r="1116">
          <cell r="A1116" t="str">
            <v>58재   료   비</v>
          </cell>
          <cell r="B1116" t="str">
            <v>재   료   비</v>
          </cell>
          <cell r="D1116" t="str">
            <v>ⓐ</v>
          </cell>
          <cell r="H1116">
            <v>25364</v>
          </cell>
        </row>
        <row r="1117">
          <cell r="A1117" t="str">
            <v>58노   무   비</v>
          </cell>
          <cell r="B1117" t="str">
            <v>노   무   비</v>
          </cell>
          <cell r="D1117" t="str">
            <v>ⓑ</v>
          </cell>
          <cell r="H1117">
            <v>68695</v>
          </cell>
        </row>
        <row r="1118">
          <cell r="A1118" t="str">
            <v>58경        비</v>
          </cell>
          <cell r="B1118" t="str">
            <v>경        비</v>
          </cell>
          <cell r="D1118" t="str">
            <v>ⓒ</v>
          </cell>
          <cell r="H1118">
            <v>1912</v>
          </cell>
        </row>
        <row r="1119">
          <cell r="B1119" t="str">
            <v>계</v>
          </cell>
          <cell r="H1119">
            <v>95971</v>
          </cell>
        </row>
        <row r="1120">
          <cell r="B1120">
            <v>59</v>
          </cell>
          <cell r="C1120" t="str">
            <v xml:space="preserve"> 풀박스 설치</v>
          </cell>
          <cell r="D1120" t="str">
            <v xml:space="preserve"> 600×600×300</v>
          </cell>
          <cell r="E1120" t="str">
            <v>개</v>
          </cell>
          <cell r="F1120">
            <v>1</v>
          </cell>
        </row>
        <row r="1121">
          <cell r="C1121" t="str">
            <v>가, 재료비</v>
          </cell>
        </row>
        <row r="1122">
          <cell r="A1122" t="str">
            <v xml:space="preserve"> 풀박스  600×600×300</v>
          </cell>
          <cell r="C1122" t="str">
            <v xml:space="preserve"> 풀박스 </v>
          </cell>
          <cell r="D1122" t="str">
            <v xml:space="preserve"> 600×600×300</v>
          </cell>
          <cell r="E1122" t="str">
            <v>개</v>
          </cell>
          <cell r="F1122">
            <v>1</v>
          </cell>
          <cell r="G1122">
            <v>27450</v>
          </cell>
          <cell r="H1122">
            <v>27450</v>
          </cell>
          <cell r="I1122">
            <v>0</v>
          </cell>
        </row>
        <row r="1123">
          <cell r="A1123" t="str">
            <v xml:space="preserve"> 스트롱앵커   5/8" (M16)</v>
          </cell>
          <cell r="C1123" t="str">
            <v xml:space="preserve"> 스트롱앵커  </v>
          </cell>
          <cell r="D1123" t="str">
            <v xml:space="preserve"> 5/8" (M16)</v>
          </cell>
          <cell r="E1123" t="str">
            <v>개</v>
          </cell>
          <cell r="F1123">
            <v>2</v>
          </cell>
          <cell r="G1123">
            <v>180</v>
          </cell>
          <cell r="H1123">
            <v>360</v>
          </cell>
          <cell r="I1123">
            <v>0</v>
          </cell>
        </row>
        <row r="1124">
          <cell r="A1124" t="str">
            <v xml:space="preserve"> 달대볼트(아연도)  M16  L1000</v>
          </cell>
          <cell r="C1124" t="str">
            <v xml:space="preserve"> 달대볼트(아연도) </v>
          </cell>
          <cell r="D1124" t="str">
            <v xml:space="preserve"> M16  L1000</v>
          </cell>
          <cell r="E1124" t="str">
            <v>개</v>
          </cell>
          <cell r="F1124">
            <v>2</v>
          </cell>
          <cell r="G1124">
            <v>1252</v>
          </cell>
          <cell r="H1124">
            <v>2504</v>
          </cell>
          <cell r="I1124">
            <v>0</v>
          </cell>
        </row>
        <row r="1125">
          <cell r="B1125" t="str">
            <v>소         계</v>
          </cell>
          <cell r="H1125">
            <v>30314</v>
          </cell>
          <cell r="I1125" t="str">
            <v>ⓐ</v>
          </cell>
        </row>
        <row r="1126">
          <cell r="C1126" t="str">
            <v>나, 노무비</v>
          </cell>
        </row>
        <row r="1127">
          <cell r="A1127" t="str">
            <v>59 통신내선공</v>
          </cell>
          <cell r="C1127" t="str">
            <v xml:space="preserve"> 통신내선공</v>
          </cell>
          <cell r="E1127" t="str">
            <v>인</v>
          </cell>
          <cell r="F1127">
            <v>1.02</v>
          </cell>
          <cell r="G1127">
            <v>63738</v>
          </cell>
          <cell r="H1127">
            <v>65012.7</v>
          </cell>
          <cell r="I1127" t="str">
            <v>기본,통신 3-61-라</v>
          </cell>
        </row>
        <row r="1128">
          <cell r="A1128" t="str">
            <v>59 보통인부</v>
          </cell>
          <cell r="C1128" t="str">
            <v xml:space="preserve"> 보통인부</v>
          </cell>
          <cell r="E1128" t="str">
            <v>인</v>
          </cell>
          <cell r="F1128">
            <v>0.108</v>
          </cell>
          <cell r="G1128">
            <v>34098</v>
          </cell>
          <cell r="H1128">
            <v>3682.5</v>
          </cell>
          <cell r="I1128" t="str">
            <v>기본×(1+천장)×개수,통신 3-61-사</v>
          </cell>
        </row>
        <row r="1129">
          <cell r="B1129" t="str">
            <v>소         계</v>
          </cell>
          <cell r="H1129">
            <v>68695</v>
          </cell>
          <cell r="I1129" t="str">
            <v>ⓑ</v>
          </cell>
        </row>
        <row r="1130">
          <cell r="C1130" t="str">
            <v>다, 기계경비</v>
          </cell>
        </row>
        <row r="1131">
          <cell r="C1131" t="str">
            <v xml:space="preserve"> 통신내선공</v>
          </cell>
          <cell r="E1131" t="str">
            <v>인</v>
          </cell>
          <cell r="F1131">
            <v>0.03</v>
          </cell>
          <cell r="G1131">
            <v>63738</v>
          </cell>
          <cell r="H1131">
            <v>1912.1</v>
          </cell>
        </row>
        <row r="1132">
          <cell r="B1132" t="str">
            <v>소         계</v>
          </cell>
          <cell r="H1132">
            <v>1912</v>
          </cell>
          <cell r="I1132" t="str">
            <v>ⓒ</v>
          </cell>
        </row>
        <row r="1134">
          <cell r="A1134" t="str">
            <v>59재   료   비</v>
          </cell>
          <cell r="B1134" t="str">
            <v>재   료   비</v>
          </cell>
          <cell r="D1134" t="str">
            <v>ⓐ</v>
          </cell>
          <cell r="H1134">
            <v>30314</v>
          </cell>
        </row>
        <row r="1135">
          <cell r="A1135" t="str">
            <v>59노   무   비</v>
          </cell>
          <cell r="B1135" t="str">
            <v>노   무   비</v>
          </cell>
          <cell r="D1135" t="str">
            <v>ⓑ</v>
          </cell>
          <cell r="H1135">
            <v>68695</v>
          </cell>
        </row>
        <row r="1136">
          <cell r="A1136" t="str">
            <v>59경        비</v>
          </cell>
          <cell r="B1136" t="str">
            <v>경        비</v>
          </cell>
          <cell r="D1136" t="str">
            <v>ⓒ</v>
          </cell>
          <cell r="H1136">
            <v>1912</v>
          </cell>
        </row>
        <row r="1137">
          <cell r="B1137" t="str">
            <v>계</v>
          </cell>
          <cell r="H1137">
            <v>100921</v>
          </cell>
        </row>
        <row r="1138">
          <cell r="B1138">
            <v>60</v>
          </cell>
          <cell r="C1138" t="str">
            <v xml:space="preserve"> 풀박스 설치</v>
          </cell>
          <cell r="D1138" t="str">
            <v xml:space="preserve"> 200×200×150(매입)</v>
          </cell>
          <cell r="E1138" t="str">
            <v>개</v>
          </cell>
          <cell r="F1138">
            <v>1</v>
          </cell>
        </row>
        <row r="1139">
          <cell r="C1139" t="str">
            <v>가, 재료비</v>
          </cell>
        </row>
        <row r="1140">
          <cell r="A1140" t="str">
            <v xml:space="preserve"> 풀박스  200×200×150</v>
          </cell>
          <cell r="C1140" t="str">
            <v xml:space="preserve"> 풀박스 </v>
          </cell>
          <cell r="D1140" t="str">
            <v xml:space="preserve"> 200×200×150</v>
          </cell>
          <cell r="E1140" t="str">
            <v>개</v>
          </cell>
          <cell r="F1140">
            <v>1</v>
          </cell>
          <cell r="G1140">
            <v>4050</v>
          </cell>
          <cell r="H1140">
            <v>4050</v>
          </cell>
          <cell r="I1140">
            <v>0</v>
          </cell>
        </row>
        <row r="1141">
          <cell r="B1141" t="str">
            <v>소         계</v>
          </cell>
          <cell r="H1141">
            <v>4050</v>
          </cell>
          <cell r="I1141" t="str">
            <v>ⓐ</v>
          </cell>
        </row>
        <row r="1142">
          <cell r="C1142" t="str">
            <v>나, 노무비</v>
          </cell>
        </row>
        <row r="1143">
          <cell r="A1143" t="str">
            <v>60 통신내선공</v>
          </cell>
          <cell r="C1143" t="str">
            <v xml:space="preserve"> 통신내선공</v>
          </cell>
          <cell r="E1143" t="str">
            <v>인</v>
          </cell>
          <cell r="F1143">
            <v>0.66</v>
          </cell>
          <cell r="G1143">
            <v>63738</v>
          </cell>
          <cell r="H1143">
            <v>42067</v>
          </cell>
          <cell r="I1143" t="str">
            <v>기본,통신 3-61-라</v>
          </cell>
        </row>
        <row r="1144">
          <cell r="B1144" t="str">
            <v>소         계</v>
          </cell>
          <cell r="H1144">
            <v>42067</v>
          </cell>
          <cell r="I1144" t="str">
            <v>ⓑ</v>
          </cell>
        </row>
        <row r="1145">
          <cell r="C1145" t="str">
            <v>다, 기계경비</v>
          </cell>
        </row>
        <row r="1146">
          <cell r="C1146" t="str">
            <v xml:space="preserve"> 통신내선공</v>
          </cell>
          <cell r="E1146" t="str">
            <v>인</v>
          </cell>
          <cell r="F1146">
            <v>1.9E-2</v>
          </cell>
          <cell r="G1146">
            <v>63738</v>
          </cell>
          <cell r="H1146">
            <v>1211</v>
          </cell>
        </row>
        <row r="1147">
          <cell r="B1147" t="str">
            <v>소         계</v>
          </cell>
          <cell r="H1147">
            <v>1211</v>
          </cell>
          <cell r="I1147" t="str">
            <v>ⓒ</v>
          </cell>
        </row>
        <row r="1149">
          <cell r="A1149" t="str">
            <v>60재   료   비</v>
          </cell>
          <cell r="B1149" t="str">
            <v>재   료   비</v>
          </cell>
          <cell r="D1149" t="str">
            <v>ⓐ</v>
          </cell>
          <cell r="H1149">
            <v>4050</v>
          </cell>
        </row>
        <row r="1150">
          <cell r="A1150" t="str">
            <v>60노   무   비</v>
          </cell>
          <cell r="B1150" t="str">
            <v>노   무   비</v>
          </cell>
          <cell r="D1150" t="str">
            <v>ⓑ</v>
          </cell>
          <cell r="H1150">
            <v>42067</v>
          </cell>
        </row>
        <row r="1151">
          <cell r="A1151" t="str">
            <v>60경        비</v>
          </cell>
          <cell r="B1151" t="str">
            <v>경        비</v>
          </cell>
          <cell r="D1151" t="str">
            <v>ⓒ</v>
          </cell>
          <cell r="H1151">
            <v>1211</v>
          </cell>
        </row>
        <row r="1152">
          <cell r="B1152" t="str">
            <v>계</v>
          </cell>
          <cell r="H1152">
            <v>47328</v>
          </cell>
        </row>
        <row r="1156">
          <cell r="B1156">
            <v>61</v>
          </cell>
          <cell r="C1156" t="str">
            <v xml:space="preserve"> 풀박스 설치</v>
          </cell>
          <cell r="D1156" t="str">
            <v xml:space="preserve"> 200×200×200(매입)</v>
          </cell>
          <cell r="E1156" t="str">
            <v>개</v>
          </cell>
          <cell r="F1156">
            <v>1</v>
          </cell>
        </row>
        <row r="1157">
          <cell r="C1157" t="str">
            <v>가, 재료비</v>
          </cell>
        </row>
        <row r="1158">
          <cell r="A1158" t="str">
            <v xml:space="preserve"> 풀박스  200×200×200</v>
          </cell>
          <cell r="C1158" t="str">
            <v xml:space="preserve"> 풀박스 </v>
          </cell>
          <cell r="D1158" t="str">
            <v xml:space="preserve"> 200×200×200</v>
          </cell>
          <cell r="E1158" t="str">
            <v>개</v>
          </cell>
          <cell r="F1158">
            <v>1</v>
          </cell>
          <cell r="G1158">
            <v>4680</v>
          </cell>
          <cell r="H1158">
            <v>4680</v>
          </cell>
          <cell r="I1158">
            <v>0</v>
          </cell>
        </row>
        <row r="1159">
          <cell r="B1159" t="str">
            <v>소         계</v>
          </cell>
          <cell r="H1159">
            <v>4680</v>
          </cell>
          <cell r="I1159" t="str">
            <v>ⓐ</v>
          </cell>
        </row>
        <row r="1160">
          <cell r="C1160" t="str">
            <v>나, 노무비</v>
          </cell>
        </row>
        <row r="1161">
          <cell r="A1161" t="str">
            <v>61 통신내선공</v>
          </cell>
          <cell r="C1161" t="str">
            <v xml:space="preserve"> 통신내선공</v>
          </cell>
          <cell r="E1161" t="str">
            <v>인</v>
          </cell>
          <cell r="F1161">
            <v>0.66</v>
          </cell>
          <cell r="G1161">
            <v>63738</v>
          </cell>
          <cell r="H1161">
            <v>42067</v>
          </cell>
          <cell r="I1161" t="str">
            <v>기본,통신 3-61-라</v>
          </cell>
        </row>
        <row r="1162">
          <cell r="B1162" t="str">
            <v>소         계</v>
          </cell>
          <cell r="H1162">
            <v>42067</v>
          </cell>
          <cell r="I1162" t="str">
            <v>ⓑ</v>
          </cell>
        </row>
        <row r="1163">
          <cell r="C1163" t="str">
            <v>다, 기계경비</v>
          </cell>
        </row>
        <row r="1164">
          <cell r="C1164" t="str">
            <v xml:space="preserve"> 통신내선공</v>
          </cell>
          <cell r="E1164" t="str">
            <v>인</v>
          </cell>
          <cell r="F1164">
            <v>1.9E-2</v>
          </cell>
          <cell r="G1164">
            <v>63738</v>
          </cell>
          <cell r="H1164">
            <v>1211</v>
          </cell>
        </row>
        <row r="1165">
          <cell r="B1165" t="str">
            <v>소         계</v>
          </cell>
          <cell r="H1165">
            <v>1211</v>
          </cell>
          <cell r="I1165" t="str">
            <v>ⓒ</v>
          </cell>
        </row>
        <row r="1167">
          <cell r="A1167" t="str">
            <v>61재   료   비</v>
          </cell>
          <cell r="B1167" t="str">
            <v>재   료   비</v>
          </cell>
          <cell r="D1167" t="str">
            <v>ⓐ</v>
          </cell>
          <cell r="H1167">
            <v>4680</v>
          </cell>
        </row>
        <row r="1168">
          <cell r="A1168" t="str">
            <v>61노   무   비</v>
          </cell>
          <cell r="B1168" t="str">
            <v>노   무   비</v>
          </cell>
          <cell r="D1168" t="str">
            <v>ⓑ</v>
          </cell>
          <cell r="H1168">
            <v>42067</v>
          </cell>
        </row>
        <row r="1169">
          <cell r="A1169" t="str">
            <v>61경        비</v>
          </cell>
          <cell r="B1169" t="str">
            <v>경        비</v>
          </cell>
          <cell r="D1169" t="str">
            <v>ⓒ</v>
          </cell>
          <cell r="H1169">
            <v>1211</v>
          </cell>
        </row>
        <row r="1170">
          <cell r="B1170" t="str">
            <v>계</v>
          </cell>
          <cell r="H1170">
            <v>47958</v>
          </cell>
        </row>
        <row r="1174">
          <cell r="B1174">
            <v>62</v>
          </cell>
          <cell r="C1174" t="str">
            <v xml:space="preserve"> 풀박스 설치</v>
          </cell>
          <cell r="D1174" t="str">
            <v xml:space="preserve"> 200×200×150(철강조)</v>
          </cell>
          <cell r="E1174" t="str">
            <v>개</v>
          </cell>
          <cell r="F1174">
            <v>1</v>
          </cell>
        </row>
        <row r="1175">
          <cell r="C1175" t="str">
            <v>가, 재료비</v>
          </cell>
        </row>
        <row r="1176">
          <cell r="A1176" t="str">
            <v xml:space="preserve"> 풀박스  200×200×150</v>
          </cell>
          <cell r="C1176" t="str">
            <v xml:space="preserve"> 풀박스 </v>
          </cell>
          <cell r="D1176" t="str">
            <v xml:space="preserve"> 200×200×150</v>
          </cell>
          <cell r="E1176" t="str">
            <v>개</v>
          </cell>
          <cell r="F1176">
            <v>1</v>
          </cell>
          <cell r="G1176">
            <v>4050</v>
          </cell>
          <cell r="H1176">
            <v>4050</v>
          </cell>
          <cell r="I1176">
            <v>0</v>
          </cell>
        </row>
        <row r="1177">
          <cell r="B1177" t="str">
            <v>소         계</v>
          </cell>
          <cell r="H1177">
            <v>4050</v>
          </cell>
          <cell r="I1177" t="str">
            <v>ⓐ</v>
          </cell>
        </row>
        <row r="1178">
          <cell r="C1178" t="str">
            <v>나, 노무비</v>
          </cell>
        </row>
        <row r="1179">
          <cell r="A1179" t="str">
            <v>62 통신내선공</v>
          </cell>
          <cell r="C1179" t="str">
            <v xml:space="preserve"> 통신내선공</v>
          </cell>
          <cell r="E1179" t="str">
            <v>인</v>
          </cell>
          <cell r="F1179">
            <v>0.43</v>
          </cell>
          <cell r="G1179">
            <v>63738</v>
          </cell>
          <cell r="H1179">
            <v>27407.3</v>
          </cell>
          <cell r="I1179" t="str">
            <v>기본×(1+철강조),통신 3-61-라</v>
          </cell>
        </row>
        <row r="1180">
          <cell r="B1180" t="str">
            <v>소         계</v>
          </cell>
          <cell r="H1180">
            <v>27407</v>
          </cell>
          <cell r="I1180" t="str">
            <v>ⓑ</v>
          </cell>
        </row>
        <row r="1181">
          <cell r="C1181" t="str">
            <v>다, 기계경비</v>
          </cell>
        </row>
        <row r="1182">
          <cell r="C1182" t="str">
            <v xml:space="preserve"> 통신내선공</v>
          </cell>
          <cell r="E1182" t="str">
            <v>인</v>
          </cell>
          <cell r="F1182">
            <v>1.2E-2</v>
          </cell>
          <cell r="G1182">
            <v>63738</v>
          </cell>
          <cell r="H1182">
            <v>764.8</v>
          </cell>
        </row>
        <row r="1183">
          <cell r="B1183" t="str">
            <v>소         계</v>
          </cell>
          <cell r="H1183">
            <v>764</v>
          </cell>
          <cell r="I1183" t="str">
            <v>ⓒ</v>
          </cell>
        </row>
        <row r="1185">
          <cell r="A1185" t="str">
            <v>62재   료   비</v>
          </cell>
          <cell r="B1185" t="str">
            <v>재   료   비</v>
          </cell>
          <cell r="D1185" t="str">
            <v>ⓐ</v>
          </cell>
          <cell r="H1185">
            <v>4050</v>
          </cell>
        </row>
        <row r="1186">
          <cell r="A1186" t="str">
            <v>62노   무   비</v>
          </cell>
          <cell r="B1186" t="str">
            <v>노   무   비</v>
          </cell>
          <cell r="D1186" t="str">
            <v>ⓑ</v>
          </cell>
          <cell r="H1186">
            <v>27407</v>
          </cell>
        </row>
        <row r="1187">
          <cell r="A1187" t="str">
            <v>62경        비</v>
          </cell>
          <cell r="B1187" t="str">
            <v>경        비</v>
          </cell>
          <cell r="D1187" t="str">
            <v>ⓒ</v>
          </cell>
          <cell r="H1187">
            <v>764</v>
          </cell>
        </row>
        <row r="1188">
          <cell r="B1188" t="str">
            <v>계</v>
          </cell>
          <cell r="H1188">
            <v>32221</v>
          </cell>
        </row>
        <row r="1192">
          <cell r="B1192">
            <v>63</v>
          </cell>
          <cell r="C1192" t="str">
            <v xml:space="preserve"> 배선반 신설</v>
          </cell>
          <cell r="D1192" t="str">
            <v xml:space="preserve"> 178P</v>
          </cell>
          <cell r="E1192" t="str">
            <v>대</v>
          </cell>
          <cell r="F1192">
            <v>1</v>
          </cell>
        </row>
        <row r="1193">
          <cell r="C1193" t="str">
            <v>가, 재료비</v>
          </cell>
        </row>
        <row r="1194">
          <cell r="A1194" t="str">
            <v xml:space="preserve"> 배선반 178P</v>
          </cell>
          <cell r="C1194" t="str">
            <v xml:space="preserve"> 배선반</v>
          </cell>
          <cell r="D1194" t="str">
            <v xml:space="preserve"> 178P</v>
          </cell>
          <cell r="E1194" t="str">
            <v>m</v>
          </cell>
          <cell r="F1194">
            <v>1</v>
          </cell>
          <cell r="G1194">
            <v>6877600</v>
          </cell>
          <cell r="H1194">
            <v>6877600</v>
          </cell>
          <cell r="I1194">
            <v>0</v>
          </cell>
        </row>
        <row r="1195">
          <cell r="B1195" t="str">
            <v>소         계</v>
          </cell>
          <cell r="H1195">
            <v>6877600</v>
          </cell>
          <cell r="I1195" t="str">
            <v>ⓐ</v>
          </cell>
        </row>
        <row r="1196">
          <cell r="C1196" t="str">
            <v>나, 노무비</v>
          </cell>
        </row>
        <row r="1197">
          <cell r="A1197" t="str">
            <v>63 플랜트전공</v>
          </cell>
          <cell r="C1197" t="str">
            <v xml:space="preserve"> 플랜트전공</v>
          </cell>
          <cell r="E1197" t="str">
            <v>인</v>
          </cell>
          <cell r="F1197">
            <v>2.44</v>
          </cell>
          <cell r="G1197">
            <v>54503</v>
          </cell>
          <cell r="H1197">
            <v>132987.29999999999</v>
          </cell>
          <cell r="I1197" t="str">
            <v>기본,전기 3-81</v>
          </cell>
        </row>
        <row r="1198">
          <cell r="A1198" t="str">
            <v>63 보통인부</v>
          </cell>
          <cell r="C1198" t="str">
            <v xml:space="preserve"> 보통인부</v>
          </cell>
          <cell r="E1198" t="str">
            <v>인</v>
          </cell>
          <cell r="F1198">
            <v>1.63</v>
          </cell>
          <cell r="G1198">
            <v>34098</v>
          </cell>
          <cell r="H1198">
            <v>55579.7</v>
          </cell>
          <cell r="I1198" t="str">
            <v>기본,전기 3-81</v>
          </cell>
        </row>
        <row r="1199">
          <cell r="B1199" t="str">
            <v>소         계</v>
          </cell>
          <cell r="H1199">
            <v>188567</v>
          </cell>
          <cell r="I1199" t="str">
            <v>ⓑ</v>
          </cell>
        </row>
        <row r="1200">
          <cell r="C1200" t="str">
            <v>다, 기계경비</v>
          </cell>
        </row>
        <row r="1201">
          <cell r="C1201" t="str">
            <v xml:space="preserve"> 플랜트전공</v>
          </cell>
          <cell r="E1201" t="str">
            <v>인</v>
          </cell>
          <cell r="F1201">
            <v>7.2999999999999995E-2</v>
          </cell>
          <cell r="G1201">
            <v>54503</v>
          </cell>
          <cell r="H1201">
            <v>3978.7</v>
          </cell>
        </row>
        <row r="1202">
          <cell r="C1202" t="str">
            <v xml:space="preserve"> 보통인부</v>
          </cell>
          <cell r="E1202" t="str">
            <v>인</v>
          </cell>
          <cell r="F1202">
            <v>4.8000000000000001E-2</v>
          </cell>
          <cell r="G1202">
            <v>34098</v>
          </cell>
          <cell r="H1202">
            <v>1636.7</v>
          </cell>
        </row>
        <row r="1203">
          <cell r="B1203" t="str">
            <v>소         계</v>
          </cell>
          <cell r="H1203">
            <v>5615</v>
          </cell>
          <cell r="I1203" t="str">
            <v>ⓒ</v>
          </cell>
        </row>
        <row r="1205">
          <cell r="A1205" t="str">
            <v>63재   료   비</v>
          </cell>
          <cell r="B1205" t="str">
            <v>재   료   비</v>
          </cell>
          <cell r="D1205" t="str">
            <v>ⓐ</v>
          </cell>
          <cell r="H1205">
            <v>6877600</v>
          </cell>
        </row>
        <row r="1206">
          <cell r="A1206" t="str">
            <v>63노   무   비</v>
          </cell>
          <cell r="B1206" t="str">
            <v>노   무   비</v>
          </cell>
          <cell r="D1206" t="str">
            <v>ⓑ</v>
          </cell>
          <cell r="H1206">
            <v>188567</v>
          </cell>
        </row>
        <row r="1207">
          <cell r="A1207" t="str">
            <v>63경        비</v>
          </cell>
          <cell r="B1207" t="str">
            <v>경        비</v>
          </cell>
          <cell r="D1207" t="str">
            <v>ⓒ</v>
          </cell>
          <cell r="H1207">
            <v>5615</v>
          </cell>
        </row>
        <row r="1208">
          <cell r="B1208" t="str">
            <v>계</v>
          </cell>
          <cell r="H1208">
            <v>7071782</v>
          </cell>
        </row>
        <row r="1210">
          <cell r="B1210">
            <v>64</v>
          </cell>
          <cell r="C1210" t="str">
            <v xml:space="preserve"> 국선단자함</v>
          </cell>
          <cell r="D1210" t="str">
            <v xml:space="preserve"> 국선60/내선120</v>
          </cell>
          <cell r="E1210" t="str">
            <v>개</v>
          </cell>
          <cell r="F1210">
            <v>1</v>
          </cell>
        </row>
        <row r="1211">
          <cell r="C1211" t="str">
            <v>가, 재료비</v>
          </cell>
        </row>
        <row r="1212">
          <cell r="A1212" t="str">
            <v xml:space="preserve"> 국선단자함 국선60/내선120</v>
          </cell>
          <cell r="C1212" t="str">
            <v xml:space="preserve"> 국선단자함</v>
          </cell>
          <cell r="D1212" t="str">
            <v xml:space="preserve"> 국선60/내선120</v>
          </cell>
          <cell r="E1212" t="str">
            <v>개</v>
          </cell>
          <cell r="F1212">
            <v>1</v>
          </cell>
          <cell r="G1212">
            <v>420000</v>
          </cell>
          <cell r="H1212">
            <v>420000</v>
          </cell>
          <cell r="I1212">
            <v>0</v>
          </cell>
        </row>
        <row r="1213">
          <cell r="B1213" t="str">
            <v>소         계</v>
          </cell>
          <cell r="H1213">
            <v>420000</v>
          </cell>
          <cell r="I1213" t="str">
            <v>ⓐ</v>
          </cell>
        </row>
        <row r="1214">
          <cell r="C1214" t="str">
            <v>나, 노무비</v>
          </cell>
        </row>
        <row r="1215">
          <cell r="A1215" t="str">
            <v>64 통신내선공</v>
          </cell>
          <cell r="C1215" t="str">
            <v xml:space="preserve"> 통신내선공</v>
          </cell>
          <cell r="E1215" t="str">
            <v>인</v>
          </cell>
          <cell r="F1215">
            <v>0.69</v>
          </cell>
          <cell r="G1215">
            <v>63738</v>
          </cell>
          <cell r="H1215">
            <v>43979.199999999997</v>
          </cell>
          <cell r="I1215" t="str">
            <v>기본,통신 3-30</v>
          </cell>
        </row>
        <row r="1216">
          <cell r="A1216" t="str">
            <v>64 보통인부</v>
          </cell>
          <cell r="C1216" t="str">
            <v xml:space="preserve"> 보통인부</v>
          </cell>
          <cell r="E1216" t="str">
            <v>인</v>
          </cell>
          <cell r="F1216">
            <v>0.49</v>
          </cell>
          <cell r="G1216">
            <v>34098</v>
          </cell>
          <cell r="H1216">
            <v>16708</v>
          </cell>
          <cell r="I1216" t="str">
            <v>기본,통신 3-30</v>
          </cell>
        </row>
        <row r="1217">
          <cell r="B1217" t="str">
            <v>소         계</v>
          </cell>
          <cell r="H1217">
            <v>60687</v>
          </cell>
          <cell r="I1217" t="str">
            <v>ⓑ</v>
          </cell>
        </row>
        <row r="1218">
          <cell r="C1218" t="str">
            <v>다, 기계경비</v>
          </cell>
        </row>
        <row r="1219">
          <cell r="C1219" t="str">
            <v xml:space="preserve"> 통신내선공</v>
          </cell>
          <cell r="E1219" t="str">
            <v>인</v>
          </cell>
          <cell r="F1219">
            <v>0.02</v>
          </cell>
          <cell r="G1219">
            <v>63738</v>
          </cell>
          <cell r="H1219">
            <v>1274.7</v>
          </cell>
        </row>
        <row r="1220">
          <cell r="B1220" t="str">
            <v>소         계</v>
          </cell>
          <cell r="H1220">
            <v>1274</v>
          </cell>
          <cell r="I1220" t="str">
            <v>ⓒ</v>
          </cell>
        </row>
        <row r="1222">
          <cell r="A1222" t="str">
            <v>64재   료   비</v>
          </cell>
          <cell r="B1222" t="str">
            <v>재   료   비</v>
          </cell>
          <cell r="D1222" t="str">
            <v>ⓐ</v>
          </cell>
          <cell r="H1222">
            <v>420000</v>
          </cell>
        </row>
        <row r="1223">
          <cell r="A1223" t="str">
            <v>64노   무   비</v>
          </cell>
          <cell r="B1223" t="str">
            <v>노   무   비</v>
          </cell>
          <cell r="D1223" t="str">
            <v>ⓑ</v>
          </cell>
          <cell r="H1223">
            <v>60687</v>
          </cell>
        </row>
        <row r="1224">
          <cell r="A1224" t="str">
            <v>64경        비</v>
          </cell>
          <cell r="B1224" t="str">
            <v>경        비</v>
          </cell>
          <cell r="D1224" t="str">
            <v>ⓒ</v>
          </cell>
          <cell r="H1224">
            <v>1274</v>
          </cell>
        </row>
        <row r="1225">
          <cell r="B1225" t="str">
            <v>계</v>
          </cell>
          <cell r="H1225">
            <v>481961</v>
          </cell>
        </row>
        <row r="1228">
          <cell r="B1228">
            <v>65</v>
          </cell>
          <cell r="C1228" t="str">
            <v xml:space="preserve"> 전화단자함</v>
          </cell>
          <cell r="D1228" t="str">
            <v xml:space="preserve">  10P</v>
          </cell>
          <cell r="E1228" t="str">
            <v>개</v>
          </cell>
          <cell r="F1228">
            <v>1</v>
          </cell>
        </row>
        <row r="1229">
          <cell r="C1229" t="str">
            <v>가, 재료비</v>
          </cell>
        </row>
        <row r="1230">
          <cell r="A1230" t="str">
            <v xml:space="preserve"> 전화단자함 10P</v>
          </cell>
          <cell r="C1230" t="str">
            <v xml:space="preserve"> 전화단자함</v>
          </cell>
          <cell r="D1230" t="str">
            <v xml:space="preserve"> 10P</v>
          </cell>
          <cell r="E1230" t="str">
            <v>개</v>
          </cell>
          <cell r="F1230">
            <v>1</v>
          </cell>
          <cell r="G1230">
            <v>70000</v>
          </cell>
          <cell r="H1230">
            <v>70000</v>
          </cell>
          <cell r="I1230">
            <v>0</v>
          </cell>
        </row>
        <row r="1231">
          <cell r="B1231" t="str">
            <v>소         계</v>
          </cell>
          <cell r="H1231">
            <v>70000</v>
          </cell>
          <cell r="I1231" t="str">
            <v>ⓐ</v>
          </cell>
        </row>
        <row r="1232">
          <cell r="C1232" t="str">
            <v>나, 노무비</v>
          </cell>
        </row>
        <row r="1233">
          <cell r="A1233" t="str">
            <v>65 통신내선공</v>
          </cell>
          <cell r="C1233" t="str">
            <v xml:space="preserve"> 통신내선공</v>
          </cell>
          <cell r="E1233" t="str">
            <v>인</v>
          </cell>
          <cell r="F1233">
            <v>0.34</v>
          </cell>
          <cell r="G1233">
            <v>63738</v>
          </cell>
          <cell r="H1233">
            <v>21670.9</v>
          </cell>
          <cell r="I1233" t="str">
            <v>기본,통신 3-30</v>
          </cell>
        </row>
        <row r="1234">
          <cell r="A1234" t="str">
            <v>65 보통인부</v>
          </cell>
          <cell r="C1234" t="str">
            <v xml:space="preserve"> 보통인부</v>
          </cell>
          <cell r="E1234" t="str">
            <v>인</v>
          </cell>
          <cell r="F1234">
            <v>0.17</v>
          </cell>
          <cell r="G1234">
            <v>34098</v>
          </cell>
          <cell r="H1234">
            <v>5796.6</v>
          </cell>
          <cell r="I1234" t="str">
            <v>기본,통신 3-30</v>
          </cell>
        </row>
        <row r="1235">
          <cell r="B1235" t="str">
            <v>소         계</v>
          </cell>
          <cell r="H1235">
            <v>27467</v>
          </cell>
          <cell r="I1235" t="str">
            <v>ⓑ</v>
          </cell>
        </row>
        <row r="1236">
          <cell r="C1236" t="str">
            <v>다, 기계경비</v>
          </cell>
        </row>
        <row r="1237">
          <cell r="C1237" t="str">
            <v xml:space="preserve"> 통신내선공</v>
          </cell>
          <cell r="E1237" t="str">
            <v>인</v>
          </cell>
          <cell r="F1237">
            <v>0.01</v>
          </cell>
          <cell r="G1237">
            <v>63738</v>
          </cell>
          <cell r="H1237">
            <v>637.29999999999995</v>
          </cell>
        </row>
        <row r="1238">
          <cell r="B1238" t="str">
            <v>소         계</v>
          </cell>
          <cell r="H1238">
            <v>637</v>
          </cell>
          <cell r="I1238" t="str">
            <v>ⓒ</v>
          </cell>
        </row>
        <row r="1240">
          <cell r="A1240" t="str">
            <v>65재   료   비</v>
          </cell>
          <cell r="B1240" t="str">
            <v>재   료   비</v>
          </cell>
          <cell r="D1240" t="str">
            <v>ⓐ</v>
          </cell>
          <cell r="H1240">
            <v>70000</v>
          </cell>
        </row>
        <row r="1241">
          <cell r="A1241" t="str">
            <v>65노   무   비</v>
          </cell>
          <cell r="B1241" t="str">
            <v>노   무   비</v>
          </cell>
          <cell r="D1241" t="str">
            <v>ⓑ</v>
          </cell>
          <cell r="H1241">
            <v>27467</v>
          </cell>
        </row>
        <row r="1242">
          <cell r="A1242" t="str">
            <v>65경        비</v>
          </cell>
          <cell r="B1242" t="str">
            <v>경        비</v>
          </cell>
          <cell r="D1242" t="str">
            <v>ⓒ</v>
          </cell>
          <cell r="H1242">
            <v>637</v>
          </cell>
        </row>
        <row r="1243">
          <cell r="B1243" t="str">
            <v>계</v>
          </cell>
          <cell r="H1243">
            <v>98104</v>
          </cell>
        </row>
        <row r="1246">
          <cell r="B1246">
            <v>66</v>
          </cell>
          <cell r="C1246" t="str">
            <v xml:space="preserve"> 전화단자함</v>
          </cell>
          <cell r="D1246" t="str">
            <v xml:space="preserve">  20P</v>
          </cell>
          <cell r="E1246" t="str">
            <v>개</v>
          </cell>
          <cell r="F1246">
            <v>1</v>
          </cell>
        </row>
        <row r="1247">
          <cell r="C1247" t="str">
            <v>가, 재료비</v>
          </cell>
        </row>
        <row r="1248">
          <cell r="A1248" t="str">
            <v xml:space="preserve"> 전화단자함 20P</v>
          </cell>
          <cell r="C1248" t="str">
            <v xml:space="preserve"> 전화단자함</v>
          </cell>
          <cell r="D1248" t="str">
            <v xml:space="preserve"> 20P</v>
          </cell>
          <cell r="E1248" t="str">
            <v>개</v>
          </cell>
          <cell r="F1248">
            <v>1</v>
          </cell>
          <cell r="G1248">
            <v>90000</v>
          </cell>
          <cell r="H1248">
            <v>90000</v>
          </cell>
          <cell r="I1248">
            <v>0</v>
          </cell>
        </row>
        <row r="1249">
          <cell r="B1249" t="str">
            <v>소         계</v>
          </cell>
          <cell r="H1249">
            <v>90000</v>
          </cell>
          <cell r="I1249" t="str">
            <v>ⓐ</v>
          </cell>
        </row>
        <row r="1250">
          <cell r="C1250" t="str">
            <v>나, 노무비</v>
          </cell>
        </row>
        <row r="1251">
          <cell r="A1251" t="str">
            <v>66 통신내선공</v>
          </cell>
          <cell r="C1251" t="str">
            <v xml:space="preserve"> 통신내선공</v>
          </cell>
          <cell r="E1251" t="str">
            <v>인</v>
          </cell>
          <cell r="F1251">
            <v>0.36</v>
          </cell>
          <cell r="G1251">
            <v>63738</v>
          </cell>
          <cell r="H1251">
            <v>22945.599999999999</v>
          </cell>
          <cell r="I1251" t="str">
            <v>기본,통신 3-30</v>
          </cell>
        </row>
        <row r="1252">
          <cell r="A1252" t="str">
            <v>66 보통인부</v>
          </cell>
          <cell r="C1252" t="str">
            <v xml:space="preserve"> 보통인부</v>
          </cell>
          <cell r="E1252" t="str">
            <v>인</v>
          </cell>
          <cell r="F1252">
            <v>0.18</v>
          </cell>
          <cell r="G1252">
            <v>34098</v>
          </cell>
          <cell r="H1252">
            <v>6137.6</v>
          </cell>
          <cell r="I1252" t="str">
            <v>기본,통신 3-30</v>
          </cell>
        </row>
        <row r="1253">
          <cell r="B1253" t="str">
            <v>소         계</v>
          </cell>
          <cell r="H1253">
            <v>29083</v>
          </cell>
          <cell r="I1253" t="str">
            <v>ⓑ</v>
          </cell>
        </row>
        <row r="1254">
          <cell r="C1254" t="str">
            <v>다, 기계경비</v>
          </cell>
        </row>
        <row r="1255">
          <cell r="C1255" t="str">
            <v xml:space="preserve"> 통신내선공</v>
          </cell>
          <cell r="E1255" t="str">
            <v>인</v>
          </cell>
          <cell r="F1255">
            <v>0.01</v>
          </cell>
          <cell r="G1255">
            <v>63738</v>
          </cell>
          <cell r="H1255">
            <v>637.29999999999995</v>
          </cell>
        </row>
        <row r="1256">
          <cell r="B1256" t="str">
            <v>소         계</v>
          </cell>
          <cell r="H1256">
            <v>637</v>
          </cell>
          <cell r="I1256" t="str">
            <v>ⓒ</v>
          </cell>
        </row>
        <row r="1258">
          <cell r="A1258" t="str">
            <v>66재   료   비</v>
          </cell>
          <cell r="B1258" t="str">
            <v>재   료   비</v>
          </cell>
          <cell r="D1258" t="str">
            <v>ⓐ</v>
          </cell>
          <cell r="H1258">
            <v>90000</v>
          </cell>
        </row>
        <row r="1259">
          <cell r="A1259" t="str">
            <v>66노   무   비</v>
          </cell>
          <cell r="B1259" t="str">
            <v>노   무   비</v>
          </cell>
          <cell r="D1259" t="str">
            <v>ⓑ</v>
          </cell>
          <cell r="H1259">
            <v>29083</v>
          </cell>
        </row>
        <row r="1260">
          <cell r="A1260" t="str">
            <v>66경        비</v>
          </cell>
          <cell r="B1260" t="str">
            <v>경        비</v>
          </cell>
          <cell r="D1260" t="str">
            <v>ⓒ</v>
          </cell>
          <cell r="H1260">
            <v>637</v>
          </cell>
        </row>
        <row r="1261">
          <cell r="B1261" t="str">
            <v>계</v>
          </cell>
          <cell r="H1261">
            <v>119720</v>
          </cell>
        </row>
        <row r="1264">
          <cell r="B1264">
            <v>67</v>
          </cell>
          <cell r="C1264" t="str">
            <v xml:space="preserve"> 전화단자함</v>
          </cell>
          <cell r="D1264" t="str">
            <v xml:space="preserve">  30P</v>
          </cell>
          <cell r="E1264" t="str">
            <v>개</v>
          </cell>
          <cell r="F1264">
            <v>1</v>
          </cell>
        </row>
        <row r="1265">
          <cell r="C1265" t="str">
            <v>가, 재료비</v>
          </cell>
        </row>
        <row r="1266">
          <cell r="A1266" t="str">
            <v xml:space="preserve"> 전화단자함 30P</v>
          </cell>
          <cell r="C1266" t="str">
            <v xml:space="preserve"> 전화단자함</v>
          </cell>
          <cell r="D1266" t="str">
            <v xml:space="preserve"> 30P</v>
          </cell>
          <cell r="E1266" t="str">
            <v>개</v>
          </cell>
          <cell r="F1266">
            <v>1</v>
          </cell>
          <cell r="G1266">
            <v>95000</v>
          </cell>
          <cell r="H1266">
            <v>95000</v>
          </cell>
          <cell r="I1266">
            <v>0</v>
          </cell>
        </row>
        <row r="1267">
          <cell r="B1267" t="str">
            <v>소         계</v>
          </cell>
          <cell r="H1267">
            <v>95000</v>
          </cell>
          <cell r="I1267" t="str">
            <v>ⓐ</v>
          </cell>
        </row>
        <row r="1268">
          <cell r="C1268" t="str">
            <v>나, 노무비</v>
          </cell>
        </row>
        <row r="1269">
          <cell r="A1269" t="str">
            <v>67 통신내선공</v>
          </cell>
          <cell r="C1269" t="str">
            <v xml:space="preserve"> 통신내선공</v>
          </cell>
          <cell r="E1269" t="str">
            <v>인</v>
          </cell>
          <cell r="F1269">
            <v>0.65</v>
          </cell>
          <cell r="G1269">
            <v>63738</v>
          </cell>
          <cell r="H1269">
            <v>41429.699999999997</v>
          </cell>
          <cell r="I1269" t="str">
            <v>기본,통신 3-30</v>
          </cell>
        </row>
        <row r="1270">
          <cell r="A1270" t="str">
            <v>67 보통인부</v>
          </cell>
          <cell r="C1270" t="str">
            <v xml:space="preserve"> 보통인부</v>
          </cell>
          <cell r="E1270" t="str">
            <v>인</v>
          </cell>
          <cell r="F1270">
            <v>0.45</v>
          </cell>
          <cell r="G1270">
            <v>34098</v>
          </cell>
          <cell r="H1270">
            <v>15344.1</v>
          </cell>
          <cell r="I1270" t="str">
            <v>기본,통신 3-30</v>
          </cell>
        </row>
        <row r="1271">
          <cell r="B1271" t="str">
            <v>소         계</v>
          </cell>
          <cell r="H1271">
            <v>56773</v>
          </cell>
          <cell r="I1271" t="str">
            <v>ⓑ</v>
          </cell>
        </row>
        <row r="1272">
          <cell r="C1272" t="str">
            <v>다, 기계경비</v>
          </cell>
        </row>
        <row r="1273">
          <cell r="C1273" t="str">
            <v xml:space="preserve"> 통신내선공</v>
          </cell>
          <cell r="E1273" t="str">
            <v>인</v>
          </cell>
          <cell r="F1273">
            <v>1.9E-2</v>
          </cell>
          <cell r="G1273">
            <v>63738</v>
          </cell>
          <cell r="H1273">
            <v>1211</v>
          </cell>
        </row>
        <row r="1274">
          <cell r="B1274" t="str">
            <v>소         계</v>
          </cell>
          <cell r="H1274">
            <v>1211</v>
          </cell>
          <cell r="I1274" t="str">
            <v>ⓒ</v>
          </cell>
        </row>
        <row r="1276">
          <cell r="A1276" t="str">
            <v>67재   료   비</v>
          </cell>
          <cell r="B1276" t="str">
            <v>재   료   비</v>
          </cell>
          <cell r="D1276" t="str">
            <v>ⓐ</v>
          </cell>
          <cell r="H1276">
            <v>95000</v>
          </cell>
        </row>
        <row r="1277">
          <cell r="A1277" t="str">
            <v>67노   무   비</v>
          </cell>
          <cell r="B1277" t="str">
            <v>노   무   비</v>
          </cell>
          <cell r="D1277" t="str">
            <v>ⓑ</v>
          </cell>
          <cell r="H1277">
            <v>56773</v>
          </cell>
        </row>
        <row r="1278">
          <cell r="A1278" t="str">
            <v>67경        비</v>
          </cell>
          <cell r="B1278" t="str">
            <v>경        비</v>
          </cell>
          <cell r="D1278" t="str">
            <v>ⓒ</v>
          </cell>
          <cell r="H1278">
            <v>1211</v>
          </cell>
        </row>
        <row r="1279">
          <cell r="B1279" t="str">
            <v>계</v>
          </cell>
          <cell r="H1279">
            <v>152984</v>
          </cell>
        </row>
        <row r="1282">
          <cell r="B1282">
            <v>68</v>
          </cell>
          <cell r="C1282" t="str">
            <v xml:space="preserve"> 접지단자함 설치</v>
          </cell>
          <cell r="D1282" t="str">
            <v xml:space="preserve"> 450×500×150</v>
          </cell>
          <cell r="E1282" t="str">
            <v>개</v>
          </cell>
          <cell r="F1282">
            <v>1</v>
          </cell>
        </row>
        <row r="1283">
          <cell r="C1283" t="str">
            <v>가, 재료비</v>
          </cell>
        </row>
        <row r="1284">
          <cell r="A1284" t="str">
            <v xml:space="preserve"> 접지단자함(SUS)   450×500×150</v>
          </cell>
          <cell r="C1284" t="str">
            <v xml:space="preserve"> 접지단자함(SUS)  </v>
          </cell>
          <cell r="D1284" t="str">
            <v xml:space="preserve"> 450×500×150</v>
          </cell>
          <cell r="E1284" t="str">
            <v>개</v>
          </cell>
          <cell r="F1284">
            <v>1</v>
          </cell>
          <cell r="G1284">
            <v>180000</v>
          </cell>
          <cell r="H1284">
            <v>180000</v>
          </cell>
          <cell r="I1284">
            <v>0</v>
          </cell>
        </row>
        <row r="1285">
          <cell r="B1285" t="str">
            <v>소         계</v>
          </cell>
          <cell r="H1285">
            <v>180000</v>
          </cell>
          <cell r="I1285" t="str">
            <v>ⓐ</v>
          </cell>
        </row>
        <row r="1286">
          <cell r="C1286" t="str">
            <v>나, 노무비</v>
          </cell>
        </row>
        <row r="1287">
          <cell r="A1287" t="str">
            <v>68 통신내선공</v>
          </cell>
          <cell r="C1287" t="str">
            <v xml:space="preserve"> 통신내선공</v>
          </cell>
          <cell r="E1287" t="str">
            <v>인</v>
          </cell>
          <cell r="F1287">
            <v>0.95</v>
          </cell>
          <cell r="G1287">
            <v>63738</v>
          </cell>
          <cell r="H1287">
            <v>60551.1</v>
          </cell>
          <cell r="I1287" t="str">
            <v>기본,통신 3-61-라</v>
          </cell>
        </row>
        <row r="1288">
          <cell r="B1288" t="str">
            <v>소         계</v>
          </cell>
          <cell r="H1288">
            <v>60551</v>
          </cell>
          <cell r="I1288" t="str">
            <v>ⓑ</v>
          </cell>
        </row>
        <row r="1289">
          <cell r="C1289" t="str">
            <v>다, 기계경비</v>
          </cell>
        </row>
        <row r="1290">
          <cell r="C1290" t="str">
            <v xml:space="preserve"> 통신내선공</v>
          </cell>
          <cell r="E1290" t="str">
            <v>인</v>
          </cell>
          <cell r="F1290">
            <v>2.8000000000000001E-2</v>
          </cell>
          <cell r="G1290">
            <v>63738</v>
          </cell>
          <cell r="H1290">
            <v>1784.6</v>
          </cell>
        </row>
        <row r="1291">
          <cell r="B1291" t="str">
            <v>소         계</v>
          </cell>
          <cell r="H1291">
            <v>1784</v>
          </cell>
          <cell r="I1291" t="str">
            <v>ⓒ</v>
          </cell>
        </row>
        <row r="1293">
          <cell r="A1293" t="str">
            <v>68재   료   비</v>
          </cell>
          <cell r="B1293" t="str">
            <v>재   료   비</v>
          </cell>
          <cell r="D1293" t="str">
            <v>ⓐ</v>
          </cell>
          <cell r="H1293">
            <v>180000</v>
          </cell>
        </row>
        <row r="1294">
          <cell r="A1294" t="str">
            <v>68노   무   비</v>
          </cell>
          <cell r="B1294" t="str">
            <v>노   무   비</v>
          </cell>
          <cell r="D1294" t="str">
            <v>ⓑ</v>
          </cell>
          <cell r="H1294">
            <v>60551</v>
          </cell>
        </row>
        <row r="1295">
          <cell r="A1295" t="str">
            <v>68경        비</v>
          </cell>
          <cell r="B1295" t="str">
            <v>경        비</v>
          </cell>
          <cell r="D1295" t="str">
            <v>ⓒ</v>
          </cell>
          <cell r="H1295">
            <v>1784</v>
          </cell>
        </row>
        <row r="1296">
          <cell r="B1296" t="str">
            <v>계</v>
          </cell>
          <cell r="H1296">
            <v>242335</v>
          </cell>
        </row>
        <row r="1300">
          <cell r="B1300">
            <v>69</v>
          </cell>
          <cell r="C1300" t="str">
            <v xml:space="preserve"> 전화콘센트 설치</v>
          </cell>
          <cell r="D1300" t="str">
            <v xml:space="preserve"> 4P</v>
          </cell>
          <cell r="E1300" t="str">
            <v>개</v>
          </cell>
          <cell r="F1300">
            <v>1</v>
          </cell>
        </row>
        <row r="1301">
          <cell r="C1301" t="str">
            <v>가, 재료비</v>
          </cell>
        </row>
        <row r="1302">
          <cell r="A1302" t="str">
            <v xml:space="preserve"> 전화기 콘센트   4P</v>
          </cell>
          <cell r="C1302" t="str">
            <v xml:space="preserve"> 전화기 콘센트  </v>
          </cell>
          <cell r="D1302" t="str">
            <v xml:space="preserve"> 4P</v>
          </cell>
          <cell r="E1302" t="str">
            <v>개</v>
          </cell>
          <cell r="F1302">
            <v>1</v>
          </cell>
          <cell r="G1302">
            <v>560</v>
          </cell>
          <cell r="H1302">
            <v>560</v>
          </cell>
          <cell r="I1302">
            <v>0</v>
          </cell>
        </row>
        <row r="1303">
          <cell r="B1303" t="str">
            <v>소         계</v>
          </cell>
          <cell r="H1303">
            <v>560</v>
          </cell>
          <cell r="I1303" t="str">
            <v>ⓐ</v>
          </cell>
        </row>
        <row r="1304">
          <cell r="C1304" t="str">
            <v>나, 노무비</v>
          </cell>
        </row>
        <row r="1305">
          <cell r="A1305" t="str">
            <v>69 통신내선공</v>
          </cell>
          <cell r="C1305" t="str">
            <v xml:space="preserve"> 통신내선공</v>
          </cell>
          <cell r="E1305" t="str">
            <v>인</v>
          </cell>
          <cell r="F1305">
            <v>7.0000000000000007E-2</v>
          </cell>
          <cell r="G1305">
            <v>63738</v>
          </cell>
          <cell r="H1305">
            <v>4461.6000000000004</v>
          </cell>
          <cell r="I1305" t="str">
            <v>기본×콘센트미설치,통신 3-29</v>
          </cell>
        </row>
        <row r="1306">
          <cell r="B1306" t="str">
            <v>소         계</v>
          </cell>
          <cell r="H1306">
            <v>4461</v>
          </cell>
          <cell r="I1306" t="str">
            <v>ⓑ</v>
          </cell>
        </row>
        <row r="1307">
          <cell r="C1307" t="str">
            <v>다, 기계경비</v>
          </cell>
        </row>
        <row r="1308">
          <cell r="C1308" t="str">
            <v xml:space="preserve"> 통신내선공</v>
          </cell>
          <cell r="E1308" t="str">
            <v>인</v>
          </cell>
          <cell r="F1308">
            <v>2E-3</v>
          </cell>
          <cell r="G1308">
            <v>63738</v>
          </cell>
          <cell r="H1308">
            <v>127.4</v>
          </cell>
        </row>
        <row r="1309">
          <cell r="B1309" t="str">
            <v>소         계</v>
          </cell>
          <cell r="H1309">
            <v>127</v>
          </cell>
          <cell r="I1309" t="str">
            <v>ⓒ</v>
          </cell>
        </row>
        <row r="1311">
          <cell r="A1311" t="str">
            <v>69재   료   비</v>
          </cell>
          <cell r="B1311" t="str">
            <v>재   료   비</v>
          </cell>
          <cell r="D1311" t="str">
            <v>ⓐ</v>
          </cell>
          <cell r="H1311">
            <v>560</v>
          </cell>
        </row>
        <row r="1312">
          <cell r="A1312" t="str">
            <v>69노   무   비</v>
          </cell>
          <cell r="B1312" t="str">
            <v>노   무   비</v>
          </cell>
          <cell r="D1312" t="str">
            <v>ⓑ</v>
          </cell>
          <cell r="H1312">
            <v>4461</v>
          </cell>
        </row>
        <row r="1313">
          <cell r="A1313" t="str">
            <v>69경        비</v>
          </cell>
          <cell r="B1313" t="str">
            <v>경        비</v>
          </cell>
          <cell r="D1313" t="str">
            <v>ⓒ</v>
          </cell>
          <cell r="H1313">
            <v>127</v>
          </cell>
        </row>
        <row r="1314">
          <cell r="B1314" t="str">
            <v>계</v>
          </cell>
          <cell r="H1314">
            <v>5148</v>
          </cell>
        </row>
        <row r="1318">
          <cell r="B1318">
            <v>70</v>
          </cell>
          <cell r="C1318" t="str">
            <v xml:space="preserve"> 스위치 BOX 설치</v>
          </cell>
          <cell r="D1318" t="str">
            <v xml:space="preserve"> 벽부형</v>
          </cell>
          <cell r="E1318" t="str">
            <v>개</v>
          </cell>
          <cell r="F1318">
            <v>1</v>
          </cell>
        </row>
        <row r="1319">
          <cell r="C1319" t="str">
            <v>가, 재료비</v>
          </cell>
        </row>
        <row r="1320">
          <cell r="A1320" t="str">
            <v xml:space="preserve"> 스위치박스   2개용 54㎜</v>
          </cell>
          <cell r="C1320" t="str">
            <v xml:space="preserve"> 스위치박스  </v>
          </cell>
          <cell r="D1320" t="str">
            <v xml:space="preserve"> 2개용 54㎜</v>
          </cell>
          <cell r="E1320" t="str">
            <v>개</v>
          </cell>
          <cell r="F1320">
            <v>1</v>
          </cell>
          <cell r="G1320">
            <v>660</v>
          </cell>
          <cell r="H1320">
            <v>660</v>
          </cell>
          <cell r="I1320">
            <v>0</v>
          </cell>
        </row>
        <row r="1321">
          <cell r="A1321" t="str">
            <v xml:space="preserve"> 박스커버-4각   2개용S/W (평)</v>
          </cell>
          <cell r="C1321" t="str">
            <v xml:space="preserve"> 박스커버-4각  </v>
          </cell>
          <cell r="D1321" t="str">
            <v xml:space="preserve"> 2개용S/W (평)</v>
          </cell>
          <cell r="E1321" t="str">
            <v>개</v>
          </cell>
          <cell r="F1321">
            <v>1</v>
          </cell>
          <cell r="G1321">
            <v>190</v>
          </cell>
          <cell r="H1321">
            <v>190</v>
          </cell>
          <cell r="I1321">
            <v>0</v>
          </cell>
        </row>
        <row r="1322">
          <cell r="B1322" t="str">
            <v>소         계</v>
          </cell>
          <cell r="H1322">
            <v>850</v>
          </cell>
          <cell r="I1322" t="str">
            <v>ⓐ</v>
          </cell>
        </row>
        <row r="1323">
          <cell r="C1323" t="str">
            <v>나, 노무비</v>
          </cell>
        </row>
        <row r="1324">
          <cell r="A1324" t="str">
            <v>70 통신내선공</v>
          </cell>
          <cell r="C1324" t="str">
            <v xml:space="preserve"> 통신내선공</v>
          </cell>
          <cell r="E1324" t="str">
            <v>인</v>
          </cell>
          <cell r="F1324">
            <v>0.2</v>
          </cell>
          <cell r="G1324">
            <v>63738</v>
          </cell>
          <cell r="H1324">
            <v>12747.6</v>
          </cell>
          <cell r="I1324" t="str">
            <v>기본,통신 3-61-다</v>
          </cell>
        </row>
        <row r="1325">
          <cell r="B1325" t="str">
            <v>소         계</v>
          </cell>
          <cell r="H1325">
            <v>12747</v>
          </cell>
          <cell r="I1325" t="str">
            <v>ⓑ</v>
          </cell>
        </row>
        <row r="1326">
          <cell r="C1326" t="str">
            <v>다, 기계경비</v>
          </cell>
        </row>
        <row r="1327">
          <cell r="C1327" t="str">
            <v xml:space="preserve"> 통신내선공</v>
          </cell>
          <cell r="E1327" t="str">
            <v>인</v>
          </cell>
          <cell r="F1327">
            <v>6.0000000000000001E-3</v>
          </cell>
          <cell r="G1327">
            <v>63738</v>
          </cell>
          <cell r="H1327">
            <v>382.4</v>
          </cell>
        </row>
        <row r="1328">
          <cell r="B1328" t="str">
            <v>소         계</v>
          </cell>
          <cell r="H1328">
            <v>382</v>
          </cell>
          <cell r="I1328" t="str">
            <v>ⓒ</v>
          </cell>
        </row>
        <row r="1330">
          <cell r="A1330" t="str">
            <v>70재   료   비</v>
          </cell>
          <cell r="B1330" t="str">
            <v>재   료   비</v>
          </cell>
          <cell r="D1330" t="str">
            <v>ⓐ</v>
          </cell>
          <cell r="H1330">
            <v>850</v>
          </cell>
        </row>
        <row r="1331">
          <cell r="A1331" t="str">
            <v>70노   무   비</v>
          </cell>
          <cell r="B1331" t="str">
            <v>노   무   비</v>
          </cell>
          <cell r="D1331" t="str">
            <v>ⓑ</v>
          </cell>
          <cell r="H1331">
            <v>12747</v>
          </cell>
        </row>
        <row r="1332">
          <cell r="A1332" t="str">
            <v>70경        비</v>
          </cell>
          <cell r="B1332" t="str">
            <v>경        비</v>
          </cell>
          <cell r="D1332" t="str">
            <v>ⓒ</v>
          </cell>
          <cell r="H1332">
            <v>382</v>
          </cell>
        </row>
        <row r="1333">
          <cell r="B1333" t="str">
            <v>계</v>
          </cell>
          <cell r="H1333">
            <v>13979</v>
          </cell>
        </row>
        <row r="1336">
          <cell r="B1336">
            <v>71</v>
          </cell>
          <cell r="C1336" t="str">
            <v xml:space="preserve"> OUTLET BOX 설치</v>
          </cell>
          <cell r="D1336" t="str">
            <v xml:space="preserve"> 중형 4각 54mm</v>
          </cell>
          <cell r="E1336" t="str">
            <v>개</v>
          </cell>
          <cell r="F1336">
            <v>1</v>
          </cell>
        </row>
        <row r="1337">
          <cell r="C1337" t="str">
            <v>가, 재료비</v>
          </cell>
        </row>
        <row r="1338">
          <cell r="A1338" t="str">
            <v xml:space="preserve"> 아우트레트박스  중형 4각 54㎜</v>
          </cell>
          <cell r="C1338" t="str">
            <v xml:space="preserve"> 아우트레트박스 </v>
          </cell>
          <cell r="D1338" t="str">
            <v xml:space="preserve"> 중형 4각 54㎜</v>
          </cell>
          <cell r="E1338" t="str">
            <v>개</v>
          </cell>
          <cell r="F1338">
            <v>1</v>
          </cell>
          <cell r="G1338">
            <v>660</v>
          </cell>
          <cell r="H1338">
            <v>660</v>
          </cell>
          <cell r="I1338">
            <v>0</v>
          </cell>
        </row>
        <row r="1339">
          <cell r="A1339" t="str">
            <v xml:space="preserve"> 박스커버-4각   둥근구멍(평)</v>
          </cell>
          <cell r="C1339" t="str">
            <v xml:space="preserve"> 박스커버-4각  </v>
          </cell>
          <cell r="D1339" t="str">
            <v xml:space="preserve"> 둥근구멍(평)</v>
          </cell>
          <cell r="E1339" t="str">
            <v>개</v>
          </cell>
          <cell r="F1339">
            <v>1</v>
          </cell>
          <cell r="G1339">
            <v>190</v>
          </cell>
          <cell r="H1339">
            <v>190</v>
          </cell>
          <cell r="I1339">
            <v>0</v>
          </cell>
        </row>
        <row r="1340">
          <cell r="B1340" t="str">
            <v>소         계</v>
          </cell>
          <cell r="H1340">
            <v>850</v>
          </cell>
          <cell r="I1340" t="str">
            <v>ⓐ</v>
          </cell>
        </row>
        <row r="1341">
          <cell r="C1341" t="str">
            <v>나, 노무비</v>
          </cell>
        </row>
        <row r="1342">
          <cell r="A1342" t="str">
            <v>71 통신내선공</v>
          </cell>
          <cell r="C1342" t="str">
            <v xml:space="preserve"> 통신내선공</v>
          </cell>
          <cell r="E1342" t="str">
            <v>인</v>
          </cell>
          <cell r="F1342">
            <v>0.24</v>
          </cell>
          <cell r="G1342">
            <v>63738</v>
          </cell>
          <cell r="H1342">
            <v>15297.1</v>
          </cell>
          <cell r="I1342" t="str">
            <v>기본×(천장노출),통신 3-61-다</v>
          </cell>
        </row>
        <row r="1343">
          <cell r="B1343" t="str">
            <v>소         계</v>
          </cell>
          <cell r="H1343">
            <v>15297</v>
          </cell>
          <cell r="I1343" t="str">
            <v>ⓑ</v>
          </cell>
        </row>
        <row r="1344">
          <cell r="C1344" t="str">
            <v>다, 기계경비</v>
          </cell>
        </row>
        <row r="1345">
          <cell r="C1345" t="str">
            <v xml:space="preserve"> 통신내선공</v>
          </cell>
          <cell r="E1345" t="str">
            <v>인</v>
          </cell>
          <cell r="F1345">
            <v>7.0000000000000001E-3</v>
          </cell>
          <cell r="G1345">
            <v>63738</v>
          </cell>
          <cell r="H1345">
            <v>446.1</v>
          </cell>
        </row>
        <row r="1346">
          <cell r="B1346" t="str">
            <v>소         계</v>
          </cell>
          <cell r="H1346">
            <v>446</v>
          </cell>
          <cell r="I1346" t="str">
            <v>ⓒ</v>
          </cell>
        </row>
        <row r="1348">
          <cell r="A1348" t="str">
            <v>71재   료   비</v>
          </cell>
          <cell r="B1348" t="str">
            <v>재   료   비</v>
          </cell>
          <cell r="D1348" t="str">
            <v>ⓐ</v>
          </cell>
          <cell r="H1348">
            <v>850</v>
          </cell>
        </row>
        <row r="1349">
          <cell r="A1349" t="str">
            <v>71노   무   비</v>
          </cell>
          <cell r="B1349" t="str">
            <v>노   무   비</v>
          </cell>
          <cell r="D1349" t="str">
            <v>ⓑ</v>
          </cell>
          <cell r="H1349">
            <v>15297</v>
          </cell>
        </row>
        <row r="1350">
          <cell r="A1350" t="str">
            <v>71경        비</v>
          </cell>
          <cell r="B1350" t="str">
            <v>경        비</v>
          </cell>
          <cell r="D1350" t="str">
            <v>ⓒ</v>
          </cell>
          <cell r="H1350">
            <v>446</v>
          </cell>
        </row>
        <row r="1351">
          <cell r="B1351" t="str">
            <v>계</v>
          </cell>
          <cell r="H1351">
            <v>16593</v>
          </cell>
        </row>
        <row r="1354">
          <cell r="B1354">
            <v>72</v>
          </cell>
          <cell r="C1354" t="str">
            <v xml:space="preserve"> 노줄박스 설치</v>
          </cell>
          <cell r="D1354" t="str">
            <v xml:space="preserve"> 400×200×100</v>
          </cell>
          <cell r="E1354" t="str">
            <v>개</v>
          </cell>
          <cell r="F1354">
            <v>1</v>
          </cell>
        </row>
        <row r="1355">
          <cell r="C1355" t="str">
            <v>가, 재료비</v>
          </cell>
        </row>
        <row r="1356">
          <cell r="A1356" t="str">
            <v xml:space="preserve"> 노줄박스 설치 400×200×100</v>
          </cell>
          <cell r="C1356" t="str">
            <v xml:space="preserve"> 노줄박스 설치</v>
          </cell>
          <cell r="D1356" t="str">
            <v xml:space="preserve"> 400×200×100</v>
          </cell>
          <cell r="E1356" t="str">
            <v>대</v>
          </cell>
          <cell r="F1356">
            <v>1</v>
          </cell>
          <cell r="G1356">
            <v>128800</v>
          </cell>
          <cell r="H1356">
            <v>128800</v>
          </cell>
          <cell r="I1356">
            <v>0</v>
          </cell>
        </row>
        <row r="1357">
          <cell r="B1357" t="str">
            <v>소         계</v>
          </cell>
          <cell r="H1357">
            <v>128800</v>
          </cell>
          <cell r="I1357" t="str">
            <v>ⓐ</v>
          </cell>
        </row>
        <row r="1358">
          <cell r="C1358" t="str">
            <v>나, 노무비</v>
          </cell>
        </row>
        <row r="1359">
          <cell r="A1359" t="str">
            <v>72 통신내선공</v>
          </cell>
          <cell r="C1359" t="str">
            <v xml:space="preserve"> 통신내선공</v>
          </cell>
          <cell r="E1359" t="str">
            <v>인</v>
          </cell>
          <cell r="F1359">
            <v>0.2</v>
          </cell>
          <cell r="G1359">
            <v>63738</v>
          </cell>
          <cell r="H1359">
            <v>12747.6</v>
          </cell>
          <cell r="I1359" t="str">
            <v>기본,통신 3-61-다</v>
          </cell>
        </row>
        <row r="1360">
          <cell r="B1360" t="str">
            <v>소         계</v>
          </cell>
          <cell r="H1360">
            <v>12747</v>
          </cell>
          <cell r="I1360" t="str">
            <v>ⓑ</v>
          </cell>
        </row>
        <row r="1361">
          <cell r="C1361" t="str">
            <v>다, 기계경비</v>
          </cell>
        </row>
        <row r="1362">
          <cell r="C1362" t="str">
            <v xml:space="preserve"> 통신내선공</v>
          </cell>
          <cell r="E1362" t="str">
            <v>인</v>
          </cell>
          <cell r="F1362">
            <v>6.0000000000000001E-3</v>
          </cell>
          <cell r="G1362">
            <v>63738</v>
          </cell>
          <cell r="H1362">
            <v>382.4</v>
          </cell>
        </row>
        <row r="1363">
          <cell r="B1363" t="str">
            <v>소         계</v>
          </cell>
          <cell r="H1363">
            <v>382</v>
          </cell>
          <cell r="I1363" t="str">
            <v>ⓒ</v>
          </cell>
        </row>
        <row r="1365">
          <cell r="A1365" t="str">
            <v>72재   료   비</v>
          </cell>
          <cell r="B1365" t="str">
            <v>재   료   비</v>
          </cell>
          <cell r="D1365" t="str">
            <v>ⓐ</v>
          </cell>
          <cell r="H1365">
            <v>128800</v>
          </cell>
        </row>
        <row r="1366">
          <cell r="A1366" t="str">
            <v>72노   무   비</v>
          </cell>
          <cell r="B1366" t="str">
            <v>노   무   비</v>
          </cell>
          <cell r="D1366" t="str">
            <v>ⓑ</v>
          </cell>
          <cell r="H1366">
            <v>12747</v>
          </cell>
        </row>
        <row r="1367">
          <cell r="A1367" t="str">
            <v>72경        비</v>
          </cell>
          <cell r="B1367" t="str">
            <v>경        비</v>
          </cell>
          <cell r="D1367" t="str">
            <v>ⓒ</v>
          </cell>
          <cell r="H1367">
            <v>382</v>
          </cell>
        </row>
        <row r="1368">
          <cell r="B1368" t="str">
            <v>계</v>
          </cell>
          <cell r="H1368">
            <v>141929</v>
          </cell>
        </row>
        <row r="1372">
          <cell r="B1372">
            <v>73</v>
          </cell>
          <cell r="C1372" t="str">
            <v xml:space="preserve"> 케이블 랙 설치</v>
          </cell>
          <cell r="D1372" t="str">
            <v xml:space="preserve"> W : 150</v>
          </cell>
          <cell r="E1372" t="str">
            <v>m</v>
          </cell>
          <cell r="F1372">
            <v>1</v>
          </cell>
        </row>
        <row r="1373">
          <cell r="C1373" t="str">
            <v>가, 재료비</v>
          </cell>
        </row>
        <row r="1374">
          <cell r="A1374" t="str">
            <v xml:space="preserve"> 케이블 랙 W : 150</v>
          </cell>
          <cell r="C1374" t="str">
            <v xml:space="preserve"> 케이블 랙</v>
          </cell>
          <cell r="D1374" t="str">
            <v xml:space="preserve"> W : 150</v>
          </cell>
          <cell r="E1374" t="str">
            <v>m</v>
          </cell>
          <cell r="F1374">
            <v>1</v>
          </cell>
          <cell r="G1374">
            <v>10250</v>
          </cell>
          <cell r="H1374">
            <v>10250</v>
          </cell>
          <cell r="I1374">
            <v>0</v>
          </cell>
        </row>
        <row r="1375">
          <cell r="B1375" t="str">
            <v>소         계</v>
          </cell>
          <cell r="H1375">
            <v>10250</v>
          </cell>
          <cell r="I1375" t="str">
            <v>ⓐ</v>
          </cell>
        </row>
        <row r="1376">
          <cell r="C1376" t="str">
            <v>나, 노무비</v>
          </cell>
        </row>
        <row r="1377">
          <cell r="A1377" t="str">
            <v>73 통신설비공</v>
          </cell>
          <cell r="C1377" t="str">
            <v xml:space="preserve"> 통신설비공</v>
          </cell>
          <cell r="E1377" t="str">
            <v>인</v>
          </cell>
          <cell r="F1377">
            <v>0.1</v>
          </cell>
          <cell r="G1377">
            <v>66296</v>
          </cell>
          <cell r="H1377">
            <v>6629.6</v>
          </cell>
          <cell r="I1377" t="str">
            <v>기본,전기 7-5</v>
          </cell>
        </row>
        <row r="1378">
          <cell r="A1378" t="str">
            <v>73 보통인부</v>
          </cell>
          <cell r="C1378" t="str">
            <v xml:space="preserve"> 보통인부</v>
          </cell>
          <cell r="E1378" t="str">
            <v>인</v>
          </cell>
          <cell r="F1378">
            <v>0.1</v>
          </cell>
          <cell r="G1378">
            <v>34098</v>
          </cell>
          <cell r="H1378">
            <v>3409.8</v>
          </cell>
          <cell r="I1378" t="str">
            <v>기본,전기 7-5</v>
          </cell>
        </row>
        <row r="1379">
          <cell r="B1379" t="str">
            <v>소         계</v>
          </cell>
          <cell r="H1379">
            <v>10039</v>
          </cell>
          <cell r="I1379" t="str">
            <v>ⓑ</v>
          </cell>
        </row>
        <row r="1380">
          <cell r="C1380" t="str">
            <v>다, 기계경비</v>
          </cell>
        </row>
        <row r="1381">
          <cell r="C1381" t="str">
            <v xml:space="preserve"> 통신설비공</v>
          </cell>
          <cell r="E1381" t="str">
            <v>인</v>
          </cell>
          <cell r="F1381">
            <v>3.0000000000000001E-3</v>
          </cell>
          <cell r="G1381">
            <v>66296</v>
          </cell>
          <cell r="H1381">
            <v>198.8</v>
          </cell>
        </row>
        <row r="1382">
          <cell r="C1382" t="str">
            <v xml:space="preserve"> 보통인부</v>
          </cell>
          <cell r="E1382" t="str">
            <v>인</v>
          </cell>
          <cell r="F1382">
            <v>3.0000000000000001E-3</v>
          </cell>
          <cell r="G1382">
            <v>34098</v>
          </cell>
          <cell r="H1382">
            <v>102.2</v>
          </cell>
        </row>
        <row r="1383">
          <cell r="B1383" t="str">
            <v>소         계</v>
          </cell>
          <cell r="H1383">
            <v>301</v>
          </cell>
          <cell r="I1383" t="str">
            <v>ⓒ</v>
          </cell>
        </row>
        <row r="1385">
          <cell r="A1385" t="str">
            <v>73재   료   비</v>
          </cell>
          <cell r="B1385" t="str">
            <v>재   료   비</v>
          </cell>
          <cell r="D1385" t="str">
            <v>ⓐ</v>
          </cell>
          <cell r="H1385">
            <v>10250</v>
          </cell>
        </row>
        <row r="1386">
          <cell r="A1386" t="str">
            <v>73노   무   비</v>
          </cell>
          <cell r="B1386" t="str">
            <v>노   무   비</v>
          </cell>
          <cell r="D1386" t="str">
            <v>ⓑ</v>
          </cell>
          <cell r="H1386">
            <v>10039</v>
          </cell>
        </row>
        <row r="1387">
          <cell r="A1387" t="str">
            <v>73경        비</v>
          </cell>
          <cell r="B1387" t="str">
            <v>경        비</v>
          </cell>
          <cell r="D1387" t="str">
            <v>ⓒ</v>
          </cell>
          <cell r="H1387">
            <v>301</v>
          </cell>
        </row>
        <row r="1388">
          <cell r="B1388" t="str">
            <v>계</v>
          </cell>
          <cell r="H1388">
            <v>20590</v>
          </cell>
        </row>
        <row r="1390">
          <cell r="B1390">
            <v>74</v>
          </cell>
          <cell r="C1390" t="str">
            <v xml:space="preserve"> 덕트 설치</v>
          </cell>
          <cell r="D1390" t="str">
            <v xml:space="preserve"> 400×150</v>
          </cell>
          <cell r="E1390" t="str">
            <v>m</v>
          </cell>
          <cell r="F1390">
            <v>1</v>
          </cell>
        </row>
        <row r="1391">
          <cell r="C1391" t="str">
            <v>가, 재료비</v>
          </cell>
        </row>
        <row r="1392">
          <cell r="A1392" t="str">
            <v xml:space="preserve"> 케이블 덕트  400×150</v>
          </cell>
          <cell r="C1392" t="str">
            <v xml:space="preserve"> 케이블 덕트 </v>
          </cell>
          <cell r="D1392" t="str">
            <v xml:space="preserve"> 400×150</v>
          </cell>
          <cell r="E1392" t="str">
            <v>m</v>
          </cell>
          <cell r="F1392">
            <v>1</v>
          </cell>
          <cell r="G1392">
            <v>32300</v>
          </cell>
          <cell r="H1392">
            <v>32300</v>
          </cell>
          <cell r="I1392">
            <v>0</v>
          </cell>
        </row>
        <row r="1393">
          <cell r="B1393" t="str">
            <v>소         계</v>
          </cell>
          <cell r="H1393">
            <v>32300</v>
          </cell>
          <cell r="I1393" t="str">
            <v>ⓐ</v>
          </cell>
        </row>
        <row r="1394">
          <cell r="C1394" t="str">
            <v>나, 노무비</v>
          </cell>
        </row>
        <row r="1395">
          <cell r="A1395" t="str">
            <v>74 내선전공</v>
          </cell>
          <cell r="C1395" t="str">
            <v xml:space="preserve"> 내선전공</v>
          </cell>
          <cell r="E1395" t="str">
            <v>인</v>
          </cell>
          <cell r="F1395">
            <v>0.6</v>
          </cell>
          <cell r="G1395">
            <v>51021</v>
          </cell>
          <cell r="H1395">
            <v>30612.6</v>
          </cell>
          <cell r="I1395" t="str">
            <v>기본,전기 7-5</v>
          </cell>
        </row>
        <row r="1396">
          <cell r="B1396" t="str">
            <v>소         계</v>
          </cell>
          <cell r="H1396">
            <v>30612</v>
          </cell>
          <cell r="I1396" t="str">
            <v>ⓑ</v>
          </cell>
        </row>
        <row r="1397">
          <cell r="C1397" t="str">
            <v>다, 기계경비</v>
          </cell>
        </row>
        <row r="1398">
          <cell r="C1398" t="str">
            <v xml:space="preserve"> 내선전공</v>
          </cell>
          <cell r="E1398" t="str">
            <v>인</v>
          </cell>
          <cell r="F1398">
            <v>1.7999999999999999E-2</v>
          </cell>
          <cell r="G1398">
            <v>51021</v>
          </cell>
          <cell r="H1398">
            <v>918.3</v>
          </cell>
        </row>
        <row r="1399">
          <cell r="B1399" t="str">
            <v>소         계</v>
          </cell>
          <cell r="H1399">
            <v>918</v>
          </cell>
          <cell r="I1399" t="str">
            <v>ⓒ</v>
          </cell>
        </row>
        <row r="1401">
          <cell r="A1401" t="str">
            <v>74재   료   비</v>
          </cell>
          <cell r="B1401" t="str">
            <v>재   료   비</v>
          </cell>
          <cell r="D1401" t="str">
            <v>ⓐ</v>
          </cell>
          <cell r="H1401">
            <v>32300</v>
          </cell>
        </row>
        <row r="1402">
          <cell r="A1402" t="str">
            <v>74노   무   비</v>
          </cell>
          <cell r="B1402" t="str">
            <v>노   무   비</v>
          </cell>
          <cell r="D1402" t="str">
            <v>ⓑ</v>
          </cell>
          <cell r="H1402">
            <v>30612</v>
          </cell>
        </row>
        <row r="1403">
          <cell r="A1403" t="str">
            <v>74경        비</v>
          </cell>
          <cell r="B1403" t="str">
            <v>경        비</v>
          </cell>
          <cell r="D1403" t="str">
            <v>ⓒ</v>
          </cell>
          <cell r="H1403">
            <v>918</v>
          </cell>
        </row>
        <row r="1404">
          <cell r="B1404" t="str">
            <v>계</v>
          </cell>
          <cell r="H1404">
            <v>63830</v>
          </cell>
        </row>
        <row r="1408">
          <cell r="B1408">
            <v>75</v>
          </cell>
          <cell r="C1408" t="str">
            <v xml:space="preserve"> AMP 설치</v>
          </cell>
          <cell r="D1408" t="str">
            <v xml:space="preserve"> 800W</v>
          </cell>
          <cell r="E1408" t="str">
            <v>대</v>
          </cell>
          <cell r="F1408">
            <v>1</v>
          </cell>
        </row>
        <row r="1409">
          <cell r="C1409" t="str">
            <v>가, 재료비</v>
          </cell>
        </row>
        <row r="1410">
          <cell r="A1410" t="str">
            <v xml:space="preserve"> AMP  800W</v>
          </cell>
          <cell r="C1410" t="str">
            <v xml:space="preserve"> AMP </v>
          </cell>
          <cell r="D1410" t="str">
            <v xml:space="preserve"> 800W</v>
          </cell>
          <cell r="E1410" t="str">
            <v>대</v>
          </cell>
          <cell r="F1410">
            <v>1</v>
          </cell>
          <cell r="G1410">
            <v>28900000</v>
          </cell>
          <cell r="H1410">
            <v>28900000</v>
          </cell>
          <cell r="I1410">
            <v>0</v>
          </cell>
        </row>
        <row r="1411">
          <cell r="A1411" t="str">
            <v xml:space="preserve"> 충전기 48V 10A</v>
          </cell>
          <cell r="C1411" t="str">
            <v xml:space="preserve"> 충전기</v>
          </cell>
          <cell r="D1411" t="str">
            <v xml:space="preserve"> 48V 10A</v>
          </cell>
          <cell r="E1411" t="str">
            <v>대</v>
          </cell>
          <cell r="F1411">
            <v>1</v>
          </cell>
          <cell r="G1411">
            <v>2500000</v>
          </cell>
          <cell r="H1411">
            <v>2500000</v>
          </cell>
          <cell r="I1411">
            <v>0</v>
          </cell>
        </row>
        <row r="1412">
          <cell r="A1412" t="str">
            <v xml:space="preserve"> BATTERY MF 12V 50A </v>
          </cell>
          <cell r="C1412" t="str">
            <v xml:space="preserve"> BATTERY</v>
          </cell>
          <cell r="D1412" t="str">
            <v xml:space="preserve"> MF 12V 50A </v>
          </cell>
          <cell r="E1412" t="str">
            <v>개</v>
          </cell>
          <cell r="F1412">
            <v>4</v>
          </cell>
          <cell r="G1412">
            <v>85000</v>
          </cell>
          <cell r="H1412">
            <v>340000</v>
          </cell>
          <cell r="I1412">
            <v>0</v>
          </cell>
        </row>
        <row r="1413">
          <cell r="B1413" t="str">
            <v>소         계</v>
          </cell>
          <cell r="H1413">
            <v>31740000</v>
          </cell>
          <cell r="I1413" t="str">
            <v>ⓐ</v>
          </cell>
        </row>
        <row r="1414">
          <cell r="C1414" t="str">
            <v>나, 노무비</v>
          </cell>
        </row>
        <row r="1415">
          <cell r="A1415" t="str">
            <v>75 통신기사 2급</v>
          </cell>
          <cell r="C1415" t="str">
            <v xml:space="preserve"> 통신기사 2급</v>
          </cell>
          <cell r="E1415" t="str">
            <v>인</v>
          </cell>
          <cell r="F1415">
            <v>1.8</v>
          </cell>
          <cell r="G1415">
            <v>78519</v>
          </cell>
          <cell r="H1415">
            <v>141334.20000000001</v>
          </cell>
          <cell r="I1415" t="str">
            <v>기본,통신 3-29</v>
          </cell>
        </row>
        <row r="1416">
          <cell r="A1416" t="str">
            <v>75 통신설비공</v>
          </cell>
          <cell r="C1416" t="str">
            <v xml:space="preserve"> 통신설비공</v>
          </cell>
          <cell r="E1416" t="str">
            <v>인</v>
          </cell>
          <cell r="F1416">
            <v>5</v>
          </cell>
          <cell r="G1416">
            <v>66296</v>
          </cell>
          <cell r="H1416">
            <v>331480</v>
          </cell>
        </row>
        <row r="1417">
          <cell r="A1417" t="str">
            <v>75 플랜트전공</v>
          </cell>
          <cell r="C1417" t="str">
            <v xml:space="preserve"> 플랜트전공</v>
          </cell>
          <cell r="E1417" t="str">
            <v>인</v>
          </cell>
          <cell r="F1417">
            <v>3.93</v>
          </cell>
          <cell r="G1417">
            <v>54503</v>
          </cell>
          <cell r="H1417">
            <v>214196.7</v>
          </cell>
        </row>
        <row r="1418">
          <cell r="A1418" t="str">
            <v>75 보통인부</v>
          </cell>
          <cell r="C1418" t="str">
            <v xml:space="preserve"> 보통인부</v>
          </cell>
          <cell r="E1418" t="str">
            <v>인</v>
          </cell>
          <cell r="F1418">
            <v>4.45</v>
          </cell>
          <cell r="G1418">
            <v>34098</v>
          </cell>
          <cell r="H1418">
            <v>151736.1</v>
          </cell>
        </row>
        <row r="1419">
          <cell r="B1419" t="str">
            <v>소         계</v>
          </cell>
          <cell r="H1419">
            <v>838747</v>
          </cell>
          <cell r="I1419" t="str">
            <v>ⓑ</v>
          </cell>
        </row>
        <row r="1421">
          <cell r="C1421" t="str">
            <v xml:space="preserve"> 통신기사 2급</v>
          </cell>
          <cell r="E1421" t="str">
            <v>인</v>
          </cell>
          <cell r="F1421">
            <v>5.3999999999999999E-2</v>
          </cell>
          <cell r="G1421">
            <v>78519</v>
          </cell>
          <cell r="H1421">
            <v>4240</v>
          </cell>
        </row>
        <row r="1422">
          <cell r="C1422" t="str">
            <v xml:space="preserve"> 통신설비공</v>
          </cell>
          <cell r="E1422" t="str">
            <v>인</v>
          </cell>
          <cell r="F1422">
            <v>0.15</v>
          </cell>
          <cell r="G1422">
            <v>66296</v>
          </cell>
          <cell r="H1422">
            <v>9944.4</v>
          </cell>
        </row>
        <row r="1423">
          <cell r="C1423" t="str">
            <v xml:space="preserve"> 플랜트전공</v>
          </cell>
          <cell r="E1423" t="str">
            <v>인</v>
          </cell>
          <cell r="F1423">
            <v>0.11700000000000001</v>
          </cell>
          <cell r="G1423">
            <v>54503</v>
          </cell>
          <cell r="H1423">
            <v>6376.8</v>
          </cell>
        </row>
        <row r="1424">
          <cell r="C1424" t="str">
            <v xml:space="preserve"> 보통인부</v>
          </cell>
          <cell r="E1424" t="str">
            <v>인</v>
          </cell>
          <cell r="F1424">
            <v>0.13300000000000001</v>
          </cell>
          <cell r="G1424">
            <v>34098</v>
          </cell>
          <cell r="H1424">
            <v>4535</v>
          </cell>
        </row>
        <row r="1425">
          <cell r="B1425" t="str">
            <v>소         계</v>
          </cell>
          <cell r="H1425">
            <v>25096</v>
          </cell>
          <cell r="I1425" t="str">
            <v>ⓒ</v>
          </cell>
        </row>
        <row r="1426">
          <cell r="A1426" t="str">
            <v>75재   료   비</v>
          </cell>
          <cell r="B1426" t="str">
            <v>재   료   비</v>
          </cell>
          <cell r="D1426" t="str">
            <v>ⓐ</v>
          </cell>
          <cell r="H1426">
            <v>31740000</v>
          </cell>
        </row>
        <row r="1427">
          <cell r="A1427" t="str">
            <v>75노   무   비</v>
          </cell>
          <cell r="B1427" t="str">
            <v>노   무   비</v>
          </cell>
          <cell r="D1427" t="str">
            <v>ⓑ</v>
          </cell>
          <cell r="H1427">
            <v>838747</v>
          </cell>
        </row>
        <row r="1428">
          <cell r="A1428" t="str">
            <v>75경        비</v>
          </cell>
          <cell r="B1428" t="str">
            <v>경        비</v>
          </cell>
          <cell r="D1428" t="str">
            <v>ⓒ</v>
          </cell>
          <cell r="H1428">
            <v>25096</v>
          </cell>
        </row>
        <row r="1429">
          <cell r="B1429" t="str">
            <v>계</v>
          </cell>
          <cell r="H1429">
            <v>32603843</v>
          </cell>
        </row>
        <row r="1444">
          <cell r="B1444">
            <v>76</v>
          </cell>
          <cell r="C1444" t="str">
            <v xml:space="preserve"> AMP(음성증폭기) 설치</v>
          </cell>
          <cell r="D1444" t="str">
            <v xml:space="preserve"> 창구용(5CH)</v>
          </cell>
          <cell r="E1444" t="str">
            <v>대</v>
          </cell>
          <cell r="F1444">
            <v>1</v>
          </cell>
        </row>
        <row r="1445">
          <cell r="C1445" t="str">
            <v>가, 재료비</v>
          </cell>
        </row>
        <row r="1446">
          <cell r="A1446" t="str">
            <v xml:space="preserve"> AMP(음성증폭기)  창구용(5CH)</v>
          </cell>
          <cell r="C1446" t="str">
            <v xml:space="preserve"> AMP(음성증폭기) </v>
          </cell>
          <cell r="D1446" t="str">
            <v xml:space="preserve"> 창구용(5CH)</v>
          </cell>
          <cell r="E1446" t="str">
            <v>대</v>
          </cell>
          <cell r="F1446">
            <v>1</v>
          </cell>
          <cell r="G1446">
            <v>1890000</v>
          </cell>
          <cell r="H1446">
            <v>1890000</v>
          </cell>
          <cell r="I1446">
            <v>0</v>
          </cell>
        </row>
        <row r="1447">
          <cell r="B1447" t="str">
            <v>소         계</v>
          </cell>
          <cell r="H1447">
            <v>1890000</v>
          </cell>
          <cell r="I1447" t="str">
            <v>ⓐ</v>
          </cell>
        </row>
        <row r="1448">
          <cell r="C1448" t="str">
            <v>나, 노무비</v>
          </cell>
        </row>
        <row r="1449">
          <cell r="A1449" t="str">
            <v>76 통신내선공</v>
          </cell>
          <cell r="C1449" t="str">
            <v xml:space="preserve"> 통신내선공</v>
          </cell>
          <cell r="E1449" t="str">
            <v>인</v>
          </cell>
          <cell r="F1449">
            <v>0.7</v>
          </cell>
          <cell r="G1449">
            <v>63738</v>
          </cell>
          <cell r="H1449">
            <v>44616.6</v>
          </cell>
          <cell r="I1449" t="str">
            <v>기본,통신 3-29</v>
          </cell>
        </row>
        <row r="1450">
          <cell r="B1450" t="str">
            <v>소         계</v>
          </cell>
          <cell r="H1450">
            <v>44616</v>
          </cell>
          <cell r="I1450" t="str">
            <v>ⓑ</v>
          </cell>
        </row>
        <row r="1451">
          <cell r="C1451" t="str">
            <v>다, 기계경비</v>
          </cell>
        </row>
        <row r="1452">
          <cell r="C1452" t="str">
            <v xml:space="preserve"> 통신내선공</v>
          </cell>
          <cell r="E1452" t="str">
            <v>인</v>
          </cell>
          <cell r="F1452">
            <v>2.1000000000000001E-2</v>
          </cell>
          <cell r="G1452">
            <v>63738</v>
          </cell>
          <cell r="H1452">
            <v>1338.4</v>
          </cell>
        </row>
        <row r="1453">
          <cell r="B1453" t="str">
            <v>소         계</v>
          </cell>
          <cell r="H1453">
            <v>1338</v>
          </cell>
          <cell r="I1453" t="str">
            <v>ⓒ</v>
          </cell>
        </row>
        <row r="1455">
          <cell r="A1455" t="str">
            <v>76재   료   비</v>
          </cell>
          <cell r="B1455" t="str">
            <v>재   료   비</v>
          </cell>
          <cell r="D1455" t="str">
            <v>ⓐ</v>
          </cell>
          <cell r="H1455">
            <v>1890000</v>
          </cell>
        </row>
        <row r="1456">
          <cell r="A1456" t="str">
            <v>76노   무   비</v>
          </cell>
          <cell r="B1456" t="str">
            <v>노   무   비</v>
          </cell>
          <cell r="D1456" t="str">
            <v>ⓑ</v>
          </cell>
          <cell r="H1456">
            <v>44616</v>
          </cell>
        </row>
        <row r="1457">
          <cell r="A1457" t="str">
            <v>76경        비</v>
          </cell>
          <cell r="B1457" t="str">
            <v>경        비</v>
          </cell>
          <cell r="D1457" t="str">
            <v>ⓒ</v>
          </cell>
          <cell r="H1457">
            <v>1338</v>
          </cell>
        </row>
        <row r="1458">
          <cell r="B1458" t="str">
            <v>계</v>
          </cell>
          <cell r="H1458">
            <v>1935954</v>
          </cell>
        </row>
        <row r="1462">
          <cell r="B1462">
            <v>77</v>
          </cell>
          <cell r="C1462" t="str">
            <v xml:space="preserve"> AMP 이설</v>
          </cell>
          <cell r="D1462" t="str">
            <v xml:space="preserve"> 150W</v>
          </cell>
          <cell r="E1462" t="str">
            <v>대</v>
          </cell>
          <cell r="F1462">
            <v>1</v>
          </cell>
        </row>
        <row r="1463">
          <cell r="C1463" t="str">
            <v>가, 재료비</v>
          </cell>
        </row>
        <row r="1464">
          <cell r="A1464" t="str">
            <v xml:space="preserve"> AMP  150W</v>
          </cell>
          <cell r="C1464" t="str">
            <v xml:space="preserve"> AMP </v>
          </cell>
          <cell r="D1464" t="str">
            <v xml:space="preserve"> 150W</v>
          </cell>
          <cell r="E1464" t="str">
            <v>대</v>
          </cell>
          <cell r="F1464">
            <v>1</v>
          </cell>
          <cell r="G1464">
            <v>0</v>
          </cell>
          <cell r="H1464">
            <v>0</v>
          </cell>
          <cell r="I1464">
            <v>0</v>
          </cell>
        </row>
        <row r="1465">
          <cell r="B1465" t="str">
            <v>소         계</v>
          </cell>
          <cell r="H1465">
            <v>0</v>
          </cell>
          <cell r="I1465" t="str">
            <v>ⓐ</v>
          </cell>
        </row>
        <row r="1466">
          <cell r="C1466" t="str">
            <v>나, 노무비</v>
          </cell>
        </row>
        <row r="1467">
          <cell r="A1467" t="str">
            <v>77 통신기사 2급</v>
          </cell>
          <cell r="C1467" t="str">
            <v xml:space="preserve"> 통신기사 2급</v>
          </cell>
          <cell r="E1467" t="str">
            <v>인</v>
          </cell>
          <cell r="F1467">
            <v>1.4400000000000002</v>
          </cell>
          <cell r="G1467">
            <v>78519</v>
          </cell>
          <cell r="H1467">
            <v>113067.3</v>
          </cell>
          <cell r="I1467" t="str">
            <v>기본,통신 3-29</v>
          </cell>
        </row>
        <row r="1468">
          <cell r="A1468" t="str">
            <v>77 통신설비공</v>
          </cell>
          <cell r="C1468" t="str">
            <v xml:space="preserve"> 통신설비공</v>
          </cell>
          <cell r="E1468" t="str">
            <v>인</v>
          </cell>
          <cell r="F1468">
            <v>4</v>
          </cell>
          <cell r="G1468">
            <v>66296</v>
          </cell>
          <cell r="H1468">
            <v>265184</v>
          </cell>
        </row>
        <row r="1469">
          <cell r="A1469" t="str">
            <v>77 플랜트전공</v>
          </cell>
          <cell r="C1469" t="str">
            <v xml:space="preserve"> 플랜트전공</v>
          </cell>
          <cell r="E1469" t="str">
            <v>인</v>
          </cell>
          <cell r="F1469">
            <v>3.1440000000000001</v>
          </cell>
          <cell r="G1469">
            <v>54503</v>
          </cell>
          <cell r="H1469">
            <v>171357.4</v>
          </cell>
        </row>
        <row r="1470">
          <cell r="A1470" t="str">
            <v>77 보통인부</v>
          </cell>
          <cell r="C1470" t="str">
            <v xml:space="preserve"> 보통인부</v>
          </cell>
          <cell r="E1470" t="str">
            <v>인</v>
          </cell>
          <cell r="F1470">
            <v>3.5600000000000005</v>
          </cell>
          <cell r="G1470">
            <v>34098</v>
          </cell>
          <cell r="H1470">
            <v>121388.8</v>
          </cell>
        </row>
        <row r="1471">
          <cell r="B1471" t="str">
            <v>소         계</v>
          </cell>
          <cell r="H1471">
            <v>670997</v>
          </cell>
          <cell r="I1471" t="str">
            <v>ⓑ</v>
          </cell>
        </row>
        <row r="1473">
          <cell r="C1473" t="str">
            <v xml:space="preserve"> 통신기사 2급</v>
          </cell>
          <cell r="E1473" t="str">
            <v>인</v>
          </cell>
          <cell r="F1473">
            <v>4.2999999999999997E-2</v>
          </cell>
          <cell r="G1473">
            <v>78519</v>
          </cell>
          <cell r="H1473">
            <v>3376.3</v>
          </cell>
        </row>
        <row r="1474">
          <cell r="C1474" t="str">
            <v xml:space="preserve"> 통신설비공</v>
          </cell>
          <cell r="E1474" t="str">
            <v>인</v>
          </cell>
          <cell r="F1474">
            <v>0.12</v>
          </cell>
          <cell r="G1474">
            <v>66296</v>
          </cell>
          <cell r="H1474">
            <v>7955.5</v>
          </cell>
        </row>
        <row r="1475">
          <cell r="C1475" t="str">
            <v xml:space="preserve"> 플랜트전공</v>
          </cell>
          <cell r="E1475" t="str">
            <v>인</v>
          </cell>
          <cell r="F1475">
            <v>9.4E-2</v>
          </cell>
          <cell r="G1475">
            <v>54503</v>
          </cell>
          <cell r="H1475">
            <v>5123.2</v>
          </cell>
        </row>
        <row r="1476">
          <cell r="C1476" t="str">
            <v xml:space="preserve"> 보통인부</v>
          </cell>
          <cell r="E1476" t="str">
            <v>인</v>
          </cell>
          <cell r="F1476">
            <v>0.106</v>
          </cell>
          <cell r="G1476">
            <v>34098</v>
          </cell>
          <cell r="H1476">
            <v>3614.3</v>
          </cell>
        </row>
        <row r="1477">
          <cell r="B1477" t="str">
            <v>소         계</v>
          </cell>
          <cell r="H1477">
            <v>20069</v>
          </cell>
          <cell r="I1477" t="str">
            <v>ⓒ</v>
          </cell>
        </row>
        <row r="1480">
          <cell r="A1480" t="str">
            <v>77재   료   비</v>
          </cell>
          <cell r="B1480" t="str">
            <v>재   료   비</v>
          </cell>
          <cell r="D1480" t="str">
            <v>ⓐ</v>
          </cell>
          <cell r="H1480">
            <v>0</v>
          </cell>
        </row>
        <row r="1481">
          <cell r="A1481" t="str">
            <v>77노   무   비</v>
          </cell>
          <cell r="B1481" t="str">
            <v>노   무   비</v>
          </cell>
          <cell r="D1481" t="str">
            <v>ⓑ</v>
          </cell>
          <cell r="H1481">
            <v>670997</v>
          </cell>
        </row>
        <row r="1482">
          <cell r="A1482" t="str">
            <v>77경        비</v>
          </cell>
          <cell r="B1482" t="str">
            <v>경        비</v>
          </cell>
          <cell r="D1482" t="str">
            <v>ⓒ</v>
          </cell>
          <cell r="H1482">
            <v>20069</v>
          </cell>
        </row>
        <row r="1483">
          <cell r="B1483" t="str">
            <v>계</v>
          </cell>
          <cell r="H1483">
            <v>691066</v>
          </cell>
        </row>
        <row r="1498">
          <cell r="B1498">
            <v>78</v>
          </cell>
          <cell r="C1498" t="str">
            <v xml:space="preserve"> AMP(음성증폭기) 이설</v>
          </cell>
          <cell r="D1498" t="str">
            <v xml:space="preserve"> 10W</v>
          </cell>
          <cell r="E1498" t="str">
            <v>대</v>
          </cell>
          <cell r="F1498">
            <v>1</v>
          </cell>
        </row>
        <row r="1499">
          <cell r="C1499" t="str">
            <v>가, 재료비</v>
          </cell>
        </row>
        <row r="1500">
          <cell r="A1500" t="str">
            <v xml:space="preserve"> AMP(음성증폭기)  10W</v>
          </cell>
          <cell r="C1500" t="str">
            <v xml:space="preserve"> AMP(음성증폭기) </v>
          </cell>
          <cell r="D1500" t="str">
            <v xml:space="preserve"> 10W</v>
          </cell>
          <cell r="E1500" t="str">
            <v>대</v>
          </cell>
          <cell r="F1500">
            <v>1</v>
          </cell>
          <cell r="G1500">
            <v>0</v>
          </cell>
          <cell r="H1500">
            <v>0</v>
          </cell>
          <cell r="I1500">
            <v>0</v>
          </cell>
        </row>
        <row r="1501">
          <cell r="B1501" t="str">
            <v>소         계</v>
          </cell>
          <cell r="H1501">
            <v>0</v>
          </cell>
          <cell r="I1501" t="str">
            <v>ⓐ</v>
          </cell>
        </row>
        <row r="1502">
          <cell r="C1502" t="str">
            <v>나, 노무비</v>
          </cell>
        </row>
        <row r="1503">
          <cell r="A1503" t="str">
            <v>78 통신내선공</v>
          </cell>
          <cell r="C1503" t="str">
            <v xml:space="preserve"> 통신내선공</v>
          </cell>
          <cell r="E1503" t="str">
            <v>인</v>
          </cell>
          <cell r="F1503">
            <v>0.55999999999999994</v>
          </cell>
          <cell r="G1503">
            <v>63738</v>
          </cell>
          <cell r="H1503">
            <v>35693.199999999997</v>
          </cell>
          <cell r="I1503" t="str">
            <v>기본,통신 3-29</v>
          </cell>
        </row>
        <row r="1504">
          <cell r="B1504" t="str">
            <v>소         계</v>
          </cell>
          <cell r="H1504">
            <v>35693</v>
          </cell>
          <cell r="I1504" t="str">
            <v>ⓑ</v>
          </cell>
        </row>
        <row r="1505">
          <cell r="C1505" t="str">
            <v>다, 기계경비</v>
          </cell>
        </row>
        <row r="1506">
          <cell r="C1506" t="str">
            <v xml:space="preserve"> 통신내선공</v>
          </cell>
          <cell r="E1506" t="str">
            <v>인</v>
          </cell>
          <cell r="F1506">
            <v>1.6E-2</v>
          </cell>
          <cell r="G1506">
            <v>63738</v>
          </cell>
          <cell r="H1506">
            <v>1019.8</v>
          </cell>
        </row>
        <row r="1507">
          <cell r="B1507" t="str">
            <v>소         계</v>
          </cell>
          <cell r="H1507">
            <v>1019</v>
          </cell>
          <cell r="I1507" t="str">
            <v>ⓒ</v>
          </cell>
        </row>
        <row r="1509">
          <cell r="A1509" t="str">
            <v>78재   료   비</v>
          </cell>
          <cell r="B1509" t="str">
            <v>재   료   비</v>
          </cell>
          <cell r="D1509" t="str">
            <v>ⓐ</v>
          </cell>
          <cell r="H1509">
            <v>0</v>
          </cell>
        </row>
        <row r="1510">
          <cell r="A1510" t="str">
            <v>78노   무   비</v>
          </cell>
          <cell r="B1510" t="str">
            <v>노   무   비</v>
          </cell>
          <cell r="D1510" t="str">
            <v>ⓑ</v>
          </cell>
          <cell r="H1510">
            <v>35693</v>
          </cell>
        </row>
        <row r="1511">
          <cell r="A1511" t="str">
            <v>78경        비</v>
          </cell>
          <cell r="B1511" t="str">
            <v>경        비</v>
          </cell>
          <cell r="D1511" t="str">
            <v>ⓒ</v>
          </cell>
          <cell r="H1511">
            <v>1019</v>
          </cell>
        </row>
        <row r="1512">
          <cell r="B1512" t="str">
            <v>계</v>
          </cell>
          <cell r="H1512">
            <v>36712</v>
          </cell>
        </row>
        <row r="1516">
          <cell r="B1516">
            <v>79</v>
          </cell>
          <cell r="C1516" t="str">
            <v xml:space="preserve"> 스피커 설치</v>
          </cell>
          <cell r="D1516" t="str">
            <v xml:space="preserve"> 3W (천장형,ATT)</v>
          </cell>
          <cell r="E1516" t="str">
            <v>대</v>
          </cell>
          <cell r="F1516">
            <v>1</v>
          </cell>
        </row>
        <row r="1517">
          <cell r="C1517" t="str">
            <v>가, 재료비</v>
          </cell>
        </row>
        <row r="1518">
          <cell r="A1518" t="str">
            <v xml:space="preserve"> 스피커  천정형(3W,ATT부착)</v>
          </cell>
          <cell r="C1518" t="str">
            <v xml:space="preserve"> 스피커 </v>
          </cell>
          <cell r="D1518" t="str">
            <v xml:space="preserve"> 천정형(3W,ATT부착)</v>
          </cell>
          <cell r="E1518" t="str">
            <v>개</v>
          </cell>
          <cell r="F1518">
            <v>1</v>
          </cell>
          <cell r="G1518">
            <v>26000</v>
          </cell>
          <cell r="H1518">
            <v>26000</v>
          </cell>
          <cell r="I1518">
            <v>0</v>
          </cell>
        </row>
        <row r="1519">
          <cell r="B1519" t="str">
            <v>소         계</v>
          </cell>
          <cell r="H1519">
            <v>26000</v>
          </cell>
          <cell r="I1519" t="str">
            <v>ⓐ</v>
          </cell>
        </row>
        <row r="1520">
          <cell r="C1520" t="str">
            <v>나, 노무비</v>
          </cell>
        </row>
        <row r="1521">
          <cell r="A1521" t="str">
            <v>79 통신내선공</v>
          </cell>
          <cell r="C1521" t="str">
            <v xml:space="preserve"> 통신내선공</v>
          </cell>
          <cell r="E1521" t="str">
            <v>인</v>
          </cell>
          <cell r="F1521">
            <v>0.52</v>
          </cell>
          <cell r="G1521">
            <v>63738</v>
          </cell>
          <cell r="H1521">
            <v>33143.699999999997</v>
          </cell>
          <cell r="I1521" t="str">
            <v>기본,통신 3-29</v>
          </cell>
        </row>
        <row r="1522">
          <cell r="B1522" t="str">
            <v>소         계</v>
          </cell>
          <cell r="H1522">
            <v>33143</v>
          </cell>
          <cell r="I1522" t="str">
            <v>ⓑ</v>
          </cell>
        </row>
        <row r="1523">
          <cell r="C1523" t="str">
            <v>다, 기계경비</v>
          </cell>
        </row>
        <row r="1524">
          <cell r="C1524" t="str">
            <v xml:space="preserve"> 통신내선공</v>
          </cell>
          <cell r="E1524" t="str">
            <v>인</v>
          </cell>
          <cell r="F1524">
            <v>1.4999999999999999E-2</v>
          </cell>
          <cell r="G1524">
            <v>63738</v>
          </cell>
          <cell r="H1524">
            <v>956</v>
          </cell>
        </row>
        <row r="1525">
          <cell r="B1525" t="str">
            <v>소         계</v>
          </cell>
          <cell r="H1525">
            <v>956</v>
          </cell>
          <cell r="I1525" t="str">
            <v>ⓒ</v>
          </cell>
        </row>
        <row r="1527">
          <cell r="A1527" t="str">
            <v>79재   료   비</v>
          </cell>
          <cell r="B1527" t="str">
            <v>재   료   비</v>
          </cell>
          <cell r="D1527" t="str">
            <v>ⓐ</v>
          </cell>
          <cell r="H1527">
            <v>26000</v>
          </cell>
        </row>
        <row r="1528">
          <cell r="A1528" t="str">
            <v>79노   무   비</v>
          </cell>
          <cell r="B1528" t="str">
            <v>노   무   비</v>
          </cell>
          <cell r="D1528" t="str">
            <v>ⓑ</v>
          </cell>
          <cell r="H1528">
            <v>33143</v>
          </cell>
        </row>
        <row r="1529">
          <cell r="A1529" t="str">
            <v>79경        비</v>
          </cell>
          <cell r="B1529" t="str">
            <v>경        비</v>
          </cell>
          <cell r="D1529" t="str">
            <v>ⓒ</v>
          </cell>
          <cell r="H1529">
            <v>956</v>
          </cell>
        </row>
        <row r="1530">
          <cell r="B1530" t="str">
            <v>계</v>
          </cell>
          <cell r="H1530">
            <v>60099</v>
          </cell>
        </row>
        <row r="1534">
          <cell r="B1534">
            <v>80</v>
          </cell>
          <cell r="C1534" t="str">
            <v xml:space="preserve"> 스피커 설치</v>
          </cell>
          <cell r="D1534" t="str">
            <v xml:space="preserve"> 3W (천장형)</v>
          </cell>
          <cell r="E1534" t="str">
            <v>대</v>
          </cell>
          <cell r="F1534">
            <v>1</v>
          </cell>
        </row>
        <row r="1535">
          <cell r="C1535" t="str">
            <v>가, 재료비</v>
          </cell>
        </row>
        <row r="1536">
          <cell r="A1536" t="str">
            <v xml:space="preserve"> 스피커  천정형(3W)</v>
          </cell>
          <cell r="C1536" t="str">
            <v xml:space="preserve"> 스피커 </v>
          </cell>
          <cell r="D1536" t="str">
            <v xml:space="preserve"> 천정형(3W)</v>
          </cell>
          <cell r="E1536" t="str">
            <v>개</v>
          </cell>
          <cell r="F1536">
            <v>1</v>
          </cell>
          <cell r="G1536">
            <v>18000</v>
          </cell>
          <cell r="H1536">
            <v>18000</v>
          </cell>
          <cell r="I1536">
            <v>0</v>
          </cell>
        </row>
        <row r="1537">
          <cell r="B1537" t="str">
            <v>소         계</v>
          </cell>
          <cell r="H1537">
            <v>18000</v>
          </cell>
          <cell r="I1537" t="str">
            <v>ⓐ</v>
          </cell>
        </row>
        <row r="1538">
          <cell r="C1538" t="str">
            <v>나, 노무비</v>
          </cell>
        </row>
        <row r="1539">
          <cell r="A1539" t="str">
            <v>80 통신내선공</v>
          </cell>
          <cell r="C1539" t="str">
            <v xml:space="preserve"> 통신내선공</v>
          </cell>
          <cell r="E1539" t="str">
            <v>인</v>
          </cell>
          <cell r="F1539">
            <v>0.45</v>
          </cell>
          <cell r="G1539">
            <v>63738</v>
          </cell>
          <cell r="H1539">
            <v>28682.1</v>
          </cell>
          <cell r="I1539" t="str">
            <v>기본,통신 3-29</v>
          </cell>
        </row>
        <row r="1540">
          <cell r="B1540" t="str">
            <v>소         계</v>
          </cell>
          <cell r="H1540">
            <v>28682</v>
          </cell>
          <cell r="I1540" t="str">
            <v>ⓑ</v>
          </cell>
        </row>
        <row r="1541">
          <cell r="C1541" t="str">
            <v>다, 기계경비</v>
          </cell>
        </row>
        <row r="1542">
          <cell r="C1542" t="str">
            <v xml:space="preserve"> 통신내선공</v>
          </cell>
          <cell r="E1542" t="str">
            <v>인</v>
          </cell>
          <cell r="F1542">
            <v>1.2999999999999999E-2</v>
          </cell>
          <cell r="G1542">
            <v>63738</v>
          </cell>
          <cell r="H1542">
            <v>828.5</v>
          </cell>
        </row>
        <row r="1543">
          <cell r="B1543" t="str">
            <v>소         계</v>
          </cell>
          <cell r="H1543">
            <v>828</v>
          </cell>
          <cell r="I1543" t="str">
            <v>ⓒ</v>
          </cell>
        </row>
        <row r="1545">
          <cell r="A1545" t="str">
            <v>80재   료   비</v>
          </cell>
          <cell r="B1545" t="str">
            <v>재   료   비</v>
          </cell>
          <cell r="D1545" t="str">
            <v>ⓐ</v>
          </cell>
          <cell r="H1545">
            <v>18000</v>
          </cell>
        </row>
        <row r="1546">
          <cell r="A1546" t="str">
            <v>80노   무   비</v>
          </cell>
          <cell r="B1546" t="str">
            <v>노   무   비</v>
          </cell>
          <cell r="D1546" t="str">
            <v>ⓑ</v>
          </cell>
          <cell r="H1546">
            <v>28682</v>
          </cell>
        </row>
        <row r="1547">
          <cell r="A1547" t="str">
            <v>80경        비</v>
          </cell>
          <cell r="B1547" t="str">
            <v>경        비</v>
          </cell>
          <cell r="D1547" t="str">
            <v>ⓒ</v>
          </cell>
          <cell r="H1547">
            <v>828</v>
          </cell>
        </row>
        <row r="1548">
          <cell r="B1548" t="str">
            <v>계</v>
          </cell>
          <cell r="H1548">
            <v>47510</v>
          </cell>
        </row>
        <row r="1552">
          <cell r="B1552">
            <v>81</v>
          </cell>
          <cell r="C1552" t="str">
            <v xml:space="preserve"> 스피커 설치</v>
          </cell>
          <cell r="D1552" t="str">
            <v xml:space="preserve"> 3W (벽부형,ATT)</v>
          </cell>
          <cell r="E1552" t="str">
            <v>대</v>
          </cell>
          <cell r="F1552">
            <v>1</v>
          </cell>
        </row>
        <row r="1553">
          <cell r="C1553" t="str">
            <v>가, 재료비</v>
          </cell>
        </row>
        <row r="1554">
          <cell r="A1554" t="str">
            <v xml:space="preserve"> 스피커  벽부형(3W,ATT부착)</v>
          </cell>
          <cell r="C1554" t="str">
            <v xml:space="preserve"> 스피커 </v>
          </cell>
          <cell r="D1554" t="str">
            <v xml:space="preserve"> 벽부형(3W,ATT부착)</v>
          </cell>
          <cell r="E1554" t="str">
            <v>개</v>
          </cell>
          <cell r="F1554">
            <v>1</v>
          </cell>
          <cell r="G1554">
            <v>31500</v>
          </cell>
          <cell r="H1554">
            <v>31500</v>
          </cell>
          <cell r="I1554">
            <v>0</v>
          </cell>
        </row>
        <row r="1555">
          <cell r="B1555" t="str">
            <v>소         계</v>
          </cell>
          <cell r="H1555">
            <v>31500</v>
          </cell>
          <cell r="I1555" t="str">
            <v>ⓐ</v>
          </cell>
        </row>
        <row r="1556">
          <cell r="C1556" t="str">
            <v>나, 노무비</v>
          </cell>
        </row>
        <row r="1557">
          <cell r="A1557" t="str">
            <v>81 통신내선공</v>
          </cell>
          <cell r="C1557" t="str">
            <v xml:space="preserve"> 통신내선공</v>
          </cell>
          <cell r="E1557" t="str">
            <v>인</v>
          </cell>
          <cell r="F1557">
            <v>0.52</v>
          </cell>
          <cell r="G1557">
            <v>63738</v>
          </cell>
          <cell r="H1557">
            <v>33143.699999999997</v>
          </cell>
          <cell r="I1557" t="str">
            <v>기본,통신 3-29</v>
          </cell>
        </row>
        <row r="1558">
          <cell r="B1558" t="str">
            <v>소         계</v>
          </cell>
          <cell r="H1558">
            <v>33143</v>
          </cell>
          <cell r="I1558" t="str">
            <v>ⓑ</v>
          </cell>
        </row>
        <row r="1559">
          <cell r="C1559" t="str">
            <v>다, 기계경비</v>
          </cell>
        </row>
        <row r="1560">
          <cell r="C1560" t="str">
            <v xml:space="preserve"> 통신내선공</v>
          </cell>
          <cell r="E1560" t="str">
            <v>인</v>
          </cell>
          <cell r="F1560">
            <v>1.4999999999999999E-2</v>
          </cell>
          <cell r="G1560">
            <v>63738</v>
          </cell>
          <cell r="H1560">
            <v>956</v>
          </cell>
        </row>
        <row r="1561">
          <cell r="B1561" t="str">
            <v>소         계</v>
          </cell>
          <cell r="H1561">
            <v>956</v>
          </cell>
          <cell r="I1561" t="str">
            <v>ⓒ</v>
          </cell>
        </row>
        <row r="1563">
          <cell r="A1563" t="str">
            <v>81재   료   비</v>
          </cell>
          <cell r="B1563" t="str">
            <v>재   료   비</v>
          </cell>
          <cell r="D1563" t="str">
            <v>ⓐ</v>
          </cell>
          <cell r="H1563">
            <v>31500</v>
          </cell>
        </row>
        <row r="1564">
          <cell r="A1564" t="str">
            <v>81노   무   비</v>
          </cell>
          <cell r="B1564" t="str">
            <v>노   무   비</v>
          </cell>
          <cell r="D1564" t="str">
            <v>ⓑ</v>
          </cell>
          <cell r="H1564">
            <v>33143</v>
          </cell>
        </row>
        <row r="1565">
          <cell r="A1565" t="str">
            <v>81경        비</v>
          </cell>
          <cell r="B1565" t="str">
            <v>경        비</v>
          </cell>
          <cell r="D1565" t="str">
            <v>ⓒ</v>
          </cell>
          <cell r="H1565">
            <v>956</v>
          </cell>
        </row>
        <row r="1566">
          <cell r="B1566" t="str">
            <v>계</v>
          </cell>
          <cell r="H1566">
            <v>65599</v>
          </cell>
        </row>
        <row r="1570">
          <cell r="B1570">
            <v>82</v>
          </cell>
          <cell r="C1570" t="str">
            <v xml:space="preserve"> 스피커 설치</v>
          </cell>
          <cell r="D1570" t="str">
            <v xml:space="preserve"> 3W (벽부형)</v>
          </cell>
          <cell r="E1570" t="str">
            <v>대</v>
          </cell>
          <cell r="F1570">
            <v>1</v>
          </cell>
        </row>
        <row r="1571">
          <cell r="C1571" t="str">
            <v>가, 재료비</v>
          </cell>
        </row>
        <row r="1572">
          <cell r="A1572" t="str">
            <v xml:space="preserve"> 스피커  벽부형(3W)</v>
          </cell>
          <cell r="C1572" t="str">
            <v xml:space="preserve"> 스피커 </v>
          </cell>
          <cell r="D1572" t="str">
            <v xml:space="preserve"> 벽부형(3W)</v>
          </cell>
          <cell r="E1572" t="str">
            <v>개</v>
          </cell>
          <cell r="F1572">
            <v>1</v>
          </cell>
          <cell r="G1572">
            <v>26000</v>
          </cell>
          <cell r="H1572">
            <v>26000</v>
          </cell>
          <cell r="I1572">
            <v>0</v>
          </cell>
        </row>
        <row r="1573">
          <cell r="B1573" t="str">
            <v>소         계</v>
          </cell>
          <cell r="H1573">
            <v>26000</v>
          </cell>
          <cell r="I1573" t="str">
            <v>ⓐ</v>
          </cell>
        </row>
        <row r="1574">
          <cell r="C1574" t="str">
            <v>나, 노무비</v>
          </cell>
        </row>
        <row r="1575">
          <cell r="A1575" t="str">
            <v>82 통신내선공</v>
          </cell>
          <cell r="C1575" t="str">
            <v xml:space="preserve"> 통신내선공</v>
          </cell>
          <cell r="E1575" t="str">
            <v>인</v>
          </cell>
          <cell r="F1575">
            <v>0.45</v>
          </cell>
          <cell r="G1575">
            <v>63738</v>
          </cell>
          <cell r="H1575">
            <v>28682.1</v>
          </cell>
          <cell r="I1575" t="str">
            <v>기본,통신 3-29</v>
          </cell>
        </row>
        <row r="1576">
          <cell r="B1576" t="str">
            <v>소         계</v>
          </cell>
          <cell r="H1576">
            <v>28682</v>
          </cell>
          <cell r="I1576" t="str">
            <v>ⓑ</v>
          </cell>
        </row>
        <row r="1577">
          <cell r="C1577" t="str">
            <v>다, 기계경비</v>
          </cell>
        </row>
        <row r="1578">
          <cell r="C1578" t="str">
            <v xml:space="preserve"> 통신내선공</v>
          </cell>
          <cell r="E1578" t="str">
            <v>인</v>
          </cell>
          <cell r="F1578">
            <v>1.2999999999999999E-2</v>
          </cell>
          <cell r="G1578">
            <v>63738</v>
          </cell>
          <cell r="H1578">
            <v>828.5</v>
          </cell>
        </row>
        <row r="1579">
          <cell r="B1579" t="str">
            <v>소         계</v>
          </cell>
          <cell r="H1579">
            <v>828</v>
          </cell>
          <cell r="I1579" t="str">
            <v>ⓒ</v>
          </cell>
        </row>
        <row r="1581">
          <cell r="A1581" t="str">
            <v>82재   료   비</v>
          </cell>
          <cell r="B1581" t="str">
            <v>재   료   비</v>
          </cell>
          <cell r="D1581" t="str">
            <v>ⓐ</v>
          </cell>
          <cell r="H1581">
            <v>26000</v>
          </cell>
        </row>
        <row r="1582">
          <cell r="A1582" t="str">
            <v>82노   무   비</v>
          </cell>
          <cell r="B1582" t="str">
            <v>노   무   비</v>
          </cell>
          <cell r="D1582" t="str">
            <v>ⓑ</v>
          </cell>
          <cell r="H1582">
            <v>28682</v>
          </cell>
        </row>
        <row r="1583">
          <cell r="A1583" t="str">
            <v>82경        비</v>
          </cell>
          <cell r="B1583" t="str">
            <v>경        비</v>
          </cell>
          <cell r="D1583" t="str">
            <v>ⓒ</v>
          </cell>
          <cell r="H1583">
            <v>828</v>
          </cell>
        </row>
        <row r="1584">
          <cell r="B1584" t="str">
            <v>계</v>
          </cell>
          <cell r="H1584">
            <v>55510</v>
          </cell>
        </row>
        <row r="1588">
          <cell r="B1588">
            <v>83</v>
          </cell>
          <cell r="C1588" t="str">
            <v xml:space="preserve"> 스피커 설치</v>
          </cell>
          <cell r="D1588" t="str">
            <v xml:space="preserve"> 10W(혼형)</v>
          </cell>
          <cell r="E1588" t="str">
            <v>대</v>
          </cell>
          <cell r="F1588">
            <v>1</v>
          </cell>
        </row>
        <row r="1589">
          <cell r="C1589" t="str">
            <v>가, 재료비</v>
          </cell>
        </row>
        <row r="1590">
          <cell r="A1590" t="str">
            <v xml:space="preserve"> 스피커  10W(혼형)</v>
          </cell>
          <cell r="C1590" t="str">
            <v xml:space="preserve"> 스피커 </v>
          </cell>
          <cell r="D1590" t="str">
            <v xml:space="preserve"> 10W(혼형)</v>
          </cell>
          <cell r="E1590" t="str">
            <v>개</v>
          </cell>
          <cell r="F1590">
            <v>1</v>
          </cell>
          <cell r="G1590">
            <v>35000</v>
          </cell>
          <cell r="H1590">
            <v>35000</v>
          </cell>
          <cell r="I1590">
            <v>0</v>
          </cell>
        </row>
        <row r="1591">
          <cell r="A1591" t="str">
            <v xml:space="preserve"> 스피커 취부대 아연도금(도면참조)</v>
          </cell>
          <cell r="C1591" t="str">
            <v xml:space="preserve"> 스피커 취부대</v>
          </cell>
          <cell r="D1591" t="str">
            <v xml:space="preserve"> 아연도금(도면참조)</v>
          </cell>
          <cell r="E1591" t="str">
            <v>개</v>
          </cell>
          <cell r="F1591">
            <v>1</v>
          </cell>
          <cell r="G1591">
            <v>18000</v>
          </cell>
          <cell r="H1591">
            <v>18000</v>
          </cell>
          <cell r="I1591">
            <v>0</v>
          </cell>
        </row>
        <row r="1592">
          <cell r="B1592" t="str">
            <v>소         계</v>
          </cell>
          <cell r="H1592">
            <v>53000</v>
          </cell>
          <cell r="I1592" t="str">
            <v>ⓐ</v>
          </cell>
        </row>
        <row r="1593">
          <cell r="C1593" t="str">
            <v>나, 노무비</v>
          </cell>
        </row>
        <row r="1594">
          <cell r="A1594" t="str">
            <v>83 통신내선공</v>
          </cell>
          <cell r="C1594" t="str">
            <v xml:space="preserve"> 통신내선공</v>
          </cell>
          <cell r="E1594" t="str">
            <v>인</v>
          </cell>
          <cell r="F1594">
            <v>0.45</v>
          </cell>
          <cell r="G1594">
            <v>63738</v>
          </cell>
          <cell r="H1594">
            <v>28682.1</v>
          </cell>
          <cell r="I1594" t="str">
            <v>기본,통신 3-29</v>
          </cell>
        </row>
        <row r="1595">
          <cell r="A1595" t="str">
            <v>83 통신외선공</v>
          </cell>
          <cell r="C1595" t="str">
            <v xml:space="preserve"> 통신외선공</v>
          </cell>
          <cell r="E1595" t="str">
            <v>인</v>
          </cell>
          <cell r="F1595">
            <v>0.06</v>
          </cell>
          <cell r="G1595">
            <v>77946</v>
          </cell>
          <cell r="H1595">
            <v>4676.7</v>
          </cell>
          <cell r="I1595" t="str">
            <v>기본,통신 3-29</v>
          </cell>
        </row>
        <row r="1596">
          <cell r="A1596" t="str">
            <v>83 보통인부</v>
          </cell>
          <cell r="C1596" t="str">
            <v xml:space="preserve"> 보통인부</v>
          </cell>
          <cell r="E1596" t="str">
            <v>인</v>
          </cell>
          <cell r="F1596">
            <v>0.03</v>
          </cell>
          <cell r="G1596">
            <v>34098</v>
          </cell>
          <cell r="H1596">
            <v>1022.9</v>
          </cell>
          <cell r="I1596" t="str">
            <v>기본,통신 3-29</v>
          </cell>
        </row>
        <row r="1597">
          <cell r="B1597" t="str">
            <v>소         계</v>
          </cell>
          <cell r="H1597">
            <v>34381</v>
          </cell>
          <cell r="I1597" t="str">
            <v>ⓑ</v>
          </cell>
        </row>
        <row r="1598">
          <cell r="C1598" t="str">
            <v>다, 기계경비</v>
          </cell>
        </row>
        <row r="1599">
          <cell r="C1599" t="str">
            <v xml:space="preserve"> 통신내선공</v>
          </cell>
          <cell r="E1599" t="str">
            <v>인</v>
          </cell>
          <cell r="F1599">
            <v>1.2999999999999999E-2</v>
          </cell>
          <cell r="G1599">
            <v>63738</v>
          </cell>
          <cell r="H1599">
            <v>828.5</v>
          </cell>
        </row>
        <row r="1600">
          <cell r="C1600" t="str">
            <v xml:space="preserve"> 통신외선공</v>
          </cell>
          <cell r="E1600" t="str">
            <v>인</v>
          </cell>
          <cell r="F1600">
            <v>1E-3</v>
          </cell>
          <cell r="G1600">
            <v>77946</v>
          </cell>
          <cell r="H1600">
            <v>77.900000000000006</v>
          </cell>
        </row>
        <row r="1601">
          <cell r="B1601" t="str">
            <v>소         계</v>
          </cell>
          <cell r="H1601">
            <v>906</v>
          </cell>
          <cell r="I1601" t="str">
            <v>ⓒ</v>
          </cell>
        </row>
        <row r="1602">
          <cell r="A1602" t="str">
            <v>83재   료   비</v>
          </cell>
          <cell r="B1602" t="str">
            <v>재   료   비</v>
          </cell>
          <cell r="D1602" t="str">
            <v>ⓐ</v>
          </cell>
          <cell r="H1602">
            <v>53000</v>
          </cell>
        </row>
        <row r="1603">
          <cell r="A1603" t="str">
            <v>83노   무   비</v>
          </cell>
          <cell r="B1603" t="str">
            <v>노   무   비</v>
          </cell>
          <cell r="D1603" t="str">
            <v>ⓑ</v>
          </cell>
          <cell r="H1603">
            <v>34381</v>
          </cell>
        </row>
        <row r="1604">
          <cell r="A1604" t="str">
            <v>83경        비</v>
          </cell>
          <cell r="B1604" t="str">
            <v>경        비</v>
          </cell>
          <cell r="D1604" t="str">
            <v>ⓒ</v>
          </cell>
          <cell r="H1604">
            <v>906</v>
          </cell>
        </row>
        <row r="1605">
          <cell r="B1605" t="str">
            <v>계</v>
          </cell>
          <cell r="H1605">
            <v>88287</v>
          </cell>
        </row>
        <row r="1606">
          <cell r="B1606">
            <v>84</v>
          </cell>
          <cell r="C1606" t="str">
            <v xml:space="preserve"> TV증폭기 설치</v>
          </cell>
          <cell r="D1606" t="str">
            <v xml:space="preserve"> BOOSTER AMP</v>
          </cell>
          <cell r="E1606" t="str">
            <v>대</v>
          </cell>
          <cell r="F1606">
            <v>1</v>
          </cell>
        </row>
        <row r="1607">
          <cell r="C1607" t="str">
            <v>가, 재료비</v>
          </cell>
        </row>
        <row r="1608">
          <cell r="A1608" t="str">
            <v xml:space="preserve"> 공청용 증폭기  VHF/UHF 겸용</v>
          </cell>
          <cell r="C1608" t="str">
            <v xml:space="preserve"> 공청용 증폭기 </v>
          </cell>
          <cell r="D1608" t="str">
            <v xml:space="preserve"> VHF/UHF 겸용</v>
          </cell>
          <cell r="E1608" t="str">
            <v>개</v>
          </cell>
          <cell r="F1608">
            <v>1</v>
          </cell>
          <cell r="G1608">
            <v>65000</v>
          </cell>
          <cell r="H1608">
            <v>65000</v>
          </cell>
          <cell r="I1608">
            <v>0</v>
          </cell>
        </row>
        <row r="1609">
          <cell r="B1609" t="str">
            <v>소         계</v>
          </cell>
          <cell r="H1609">
            <v>65000</v>
          </cell>
          <cell r="I1609" t="str">
            <v>ⓐ</v>
          </cell>
        </row>
        <row r="1610">
          <cell r="C1610" t="str">
            <v>나, 노무비</v>
          </cell>
        </row>
        <row r="1611">
          <cell r="A1611" t="str">
            <v>84 통신내선공</v>
          </cell>
          <cell r="C1611" t="str">
            <v xml:space="preserve"> 통신내선공</v>
          </cell>
          <cell r="E1611" t="str">
            <v>인</v>
          </cell>
          <cell r="F1611">
            <v>0.31</v>
          </cell>
          <cell r="G1611">
            <v>63738</v>
          </cell>
          <cell r="H1611">
            <v>19758.7</v>
          </cell>
          <cell r="I1611" t="str">
            <v>기본,통신 5-89</v>
          </cell>
        </row>
        <row r="1612">
          <cell r="A1612" t="str">
            <v>84 무선안테나공</v>
          </cell>
          <cell r="C1612" t="str">
            <v xml:space="preserve"> 무선안테나공</v>
          </cell>
          <cell r="E1612" t="str">
            <v>인</v>
          </cell>
          <cell r="F1612">
            <v>0.78</v>
          </cell>
          <cell r="G1612">
            <v>97216</v>
          </cell>
          <cell r="H1612">
            <v>75828.399999999994</v>
          </cell>
          <cell r="I1612" t="str">
            <v>기본,통신 5-89</v>
          </cell>
        </row>
        <row r="1613">
          <cell r="B1613" t="str">
            <v>소         계</v>
          </cell>
          <cell r="H1613">
            <v>95587</v>
          </cell>
          <cell r="I1613" t="str">
            <v>ⓑ</v>
          </cell>
        </row>
        <row r="1614">
          <cell r="C1614" t="str">
            <v>다, 기계경비</v>
          </cell>
        </row>
        <row r="1615">
          <cell r="C1615" t="str">
            <v xml:space="preserve"> 통신내선공</v>
          </cell>
          <cell r="E1615" t="str">
            <v>인</v>
          </cell>
          <cell r="F1615">
            <v>8.9999999999999993E-3</v>
          </cell>
          <cell r="G1615">
            <v>63738</v>
          </cell>
          <cell r="H1615">
            <v>573.6</v>
          </cell>
        </row>
        <row r="1616">
          <cell r="C1616" t="str">
            <v xml:space="preserve"> 무선안테나공</v>
          </cell>
          <cell r="E1616" t="str">
            <v>인</v>
          </cell>
          <cell r="F1616">
            <v>2.3E-2</v>
          </cell>
          <cell r="G1616">
            <v>97216</v>
          </cell>
          <cell r="H1616">
            <v>2235.9</v>
          </cell>
        </row>
        <row r="1617">
          <cell r="B1617" t="str">
            <v>소         계</v>
          </cell>
          <cell r="H1617">
            <v>2809</v>
          </cell>
          <cell r="I1617" t="str">
            <v>ⓒ</v>
          </cell>
        </row>
        <row r="1619">
          <cell r="A1619" t="str">
            <v>84재   료   비</v>
          </cell>
          <cell r="B1619" t="str">
            <v>재   료   비</v>
          </cell>
          <cell r="D1619" t="str">
            <v>ⓐ</v>
          </cell>
          <cell r="H1619">
            <v>65000</v>
          </cell>
        </row>
        <row r="1620">
          <cell r="A1620" t="str">
            <v>84노   무   비</v>
          </cell>
          <cell r="B1620" t="str">
            <v>노   무   비</v>
          </cell>
          <cell r="D1620" t="str">
            <v>ⓑ</v>
          </cell>
          <cell r="H1620">
            <v>95587</v>
          </cell>
        </row>
        <row r="1621">
          <cell r="A1621" t="str">
            <v>84경        비</v>
          </cell>
          <cell r="B1621" t="str">
            <v>경        비</v>
          </cell>
          <cell r="D1621" t="str">
            <v>ⓒ</v>
          </cell>
          <cell r="H1621">
            <v>2809</v>
          </cell>
        </row>
        <row r="1622">
          <cell r="B1622" t="str">
            <v>계</v>
          </cell>
          <cell r="H1622">
            <v>163396</v>
          </cell>
        </row>
        <row r="1624">
          <cell r="B1624">
            <v>85</v>
          </cell>
          <cell r="C1624" t="str">
            <v xml:space="preserve"> 분배기 설치</v>
          </cell>
          <cell r="D1624" t="str">
            <v xml:space="preserve"> 3분배</v>
          </cell>
          <cell r="E1624" t="str">
            <v>대</v>
          </cell>
          <cell r="F1624">
            <v>1</v>
          </cell>
        </row>
        <row r="1625">
          <cell r="C1625" t="str">
            <v>가, 재료비</v>
          </cell>
        </row>
        <row r="1626">
          <cell r="A1626" t="str">
            <v xml:space="preserve"> 분배기   3회로</v>
          </cell>
          <cell r="C1626" t="str">
            <v xml:space="preserve"> 분배기  </v>
          </cell>
          <cell r="D1626" t="str">
            <v xml:space="preserve"> 3회로</v>
          </cell>
          <cell r="E1626" t="str">
            <v>개</v>
          </cell>
          <cell r="F1626">
            <v>1</v>
          </cell>
          <cell r="G1626">
            <v>6000</v>
          </cell>
          <cell r="H1626">
            <v>6000</v>
          </cell>
          <cell r="I1626">
            <v>0</v>
          </cell>
        </row>
        <row r="1627">
          <cell r="B1627" t="str">
            <v>소         계</v>
          </cell>
          <cell r="H1627">
            <v>6000</v>
          </cell>
          <cell r="I1627" t="str">
            <v>ⓐ</v>
          </cell>
        </row>
        <row r="1628">
          <cell r="C1628" t="str">
            <v>나, 노무비</v>
          </cell>
        </row>
        <row r="1629">
          <cell r="A1629" t="str">
            <v>85 통신내선공</v>
          </cell>
          <cell r="C1629" t="str">
            <v xml:space="preserve"> 통신내선공</v>
          </cell>
          <cell r="E1629" t="str">
            <v>인</v>
          </cell>
          <cell r="F1629">
            <v>0.2</v>
          </cell>
          <cell r="G1629">
            <v>63738</v>
          </cell>
          <cell r="H1629">
            <v>12747.6</v>
          </cell>
          <cell r="I1629" t="str">
            <v>기본,통신 5-89</v>
          </cell>
        </row>
        <row r="1630">
          <cell r="A1630" t="str">
            <v>85 무선안테나공</v>
          </cell>
          <cell r="C1630" t="str">
            <v xml:space="preserve"> 무선안테나공</v>
          </cell>
          <cell r="E1630" t="str">
            <v>인</v>
          </cell>
          <cell r="F1630">
            <v>0.09</v>
          </cell>
          <cell r="G1630">
            <v>97216</v>
          </cell>
          <cell r="H1630">
            <v>8749.4</v>
          </cell>
          <cell r="I1630" t="str">
            <v>기본,통신 5-89</v>
          </cell>
        </row>
        <row r="1631">
          <cell r="B1631" t="str">
            <v>소         계</v>
          </cell>
          <cell r="H1631">
            <v>21497</v>
          </cell>
          <cell r="I1631" t="str">
            <v>ⓑ</v>
          </cell>
        </row>
        <row r="1632">
          <cell r="C1632" t="str">
            <v>다, 기계경비</v>
          </cell>
        </row>
        <row r="1633">
          <cell r="C1633" t="str">
            <v xml:space="preserve"> 통신내선공</v>
          </cell>
          <cell r="E1633" t="str">
            <v>인</v>
          </cell>
          <cell r="F1633">
            <v>6.0000000000000001E-3</v>
          </cell>
          <cell r="G1633">
            <v>63738</v>
          </cell>
          <cell r="H1633">
            <v>382.4</v>
          </cell>
        </row>
        <row r="1634">
          <cell r="C1634" t="str">
            <v xml:space="preserve"> 무선안테나공</v>
          </cell>
          <cell r="E1634" t="str">
            <v>인</v>
          </cell>
          <cell r="F1634">
            <v>2E-3</v>
          </cell>
          <cell r="G1634">
            <v>97216</v>
          </cell>
          <cell r="H1634">
            <v>194.4</v>
          </cell>
        </row>
        <row r="1635">
          <cell r="B1635" t="str">
            <v>소         계</v>
          </cell>
          <cell r="H1635">
            <v>576</v>
          </cell>
          <cell r="I1635" t="str">
            <v>ⓒ</v>
          </cell>
        </row>
        <row r="1637">
          <cell r="A1637" t="str">
            <v>85재   료   비</v>
          </cell>
          <cell r="B1637" t="str">
            <v>재   료   비</v>
          </cell>
          <cell r="D1637" t="str">
            <v>ⓐ</v>
          </cell>
          <cell r="H1637">
            <v>6000</v>
          </cell>
        </row>
        <row r="1638">
          <cell r="A1638" t="str">
            <v>85노   무   비</v>
          </cell>
          <cell r="B1638" t="str">
            <v>노   무   비</v>
          </cell>
          <cell r="D1638" t="str">
            <v>ⓑ</v>
          </cell>
          <cell r="H1638">
            <v>21497</v>
          </cell>
        </row>
        <row r="1639">
          <cell r="A1639" t="str">
            <v>85경        비</v>
          </cell>
          <cell r="B1639" t="str">
            <v>경        비</v>
          </cell>
          <cell r="D1639" t="str">
            <v>ⓒ</v>
          </cell>
          <cell r="H1639">
            <v>576</v>
          </cell>
        </row>
        <row r="1640">
          <cell r="B1640" t="str">
            <v>계</v>
          </cell>
          <cell r="H1640">
            <v>28073</v>
          </cell>
        </row>
        <row r="1642">
          <cell r="B1642">
            <v>86</v>
          </cell>
          <cell r="C1642" t="str">
            <v xml:space="preserve"> TV콘센트 설치</v>
          </cell>
          <cell r="D1642" t="str">
            <v xml:space="preserve"> 직렬형</v>
          </cell>
          <cell r="E1642" t="str">
            <v>개</v>
          </cell>
          <cell r="F1642">
            <v>1</v>
          </cell>
        </row>
        <row r="1643">
          <cell r="C1643" t="str">
            <v>가, 재료비</v>
          </cell>
        </row>
        <row r="1644">
          <cell r="A1644" t="str">
            <v xml:space="preserve"> TV 유니트   직렬용</v>
          </cell>
          <cell r="C1644" t="str">
            <v xml:space="preserve"> TV 유니트  </v>
          </cell>
          <cell r="D1644" t="str">
            <v xml:space="preserve"> 직렬용</v>
          </cell>
          <cell r="E1644" t="str">
            <v>개</v>
          </cell>
          <cell r="F1644">
            <v>1</v>
          </cell>
          <cell r="G1644">
            <v>2606</v>
          </cell>
          <cell r="H1644">
            <v>2606</v>
          </cell>
          <cell r="I1644">
            <v>0</v>
          </cell>
        </row>
        <row r="1645">
          <cell r="B1645" t="str">
            <v>소         계</v>
          </cell>
          <cell r="H1645">
            <v>2606</v>
          </cell>
          <cell r="I1645" t="str">
            <v>ⓐ</v>
          </cell>
        </row>
        <row r="1646">
          <cell r="C1646" t="str">
            <v>나, 노무비</v>
          </cell>
        </row>
        <row r="1647">
          <cell r="A1647" t="str">
            <v>86 통신내선공</v>
          </cell>
          <cell r="C1647" t="str">
            <v xml:space="preserve"> 통신내선공</v>
          </cell>
          <cell r="E1647" t="str">
            <v>인</v>
          </cell>
          <cell r="F1647">
            <v>0.08</v>
          </cell>
          <cell r="G1647">
            <v>63738</v>
          </cell>
          <cell r="H1647">
            <v>5099</v>
          </cell>
          <cell r="I1647" t="str">
            <v>기본,통신 5-89</v>
          </cell>
        </row>
        <row r="1648">
          <cell r="B1648" t="str">
            <v>소         계</v>
          </cell>
          <cell r="H1648">
            <v>5099</v>
          </cell>
          <cell r="I1648" t="str">
            <v>ⓑ</v>
          </cell>
        </row>
        <row r="1649">
          <cell r="C1649" t="str">
            <v>다, 기계경비</v>
          </cell>
        </row>
        <row r="1650">
          <cell r="C1650" t="str">
            <v xml:space="preserve"> 통신내선공</v>
          </cell>
          <cell r="E1650" t="str">
            <v>인</v>
          </cell>
          <cell r="F1650">
            <v>2E-3</v>
          </cell>
          <cell r="G1650">
            <v>63738</v>
          </cell>
          <cell r="H1650">
            <v>127.4</v>
          </cell>
        </row>
        <row r="1651">
          <cell r="B1651" t="str">
            <v>소         계</v>
          </cell>
          <cell r="H1651">
            <v>127</v>
          </cell>
          <cell r="I1651" t="str">
            <v>ⓒ</v>
          </cell>
        </row>
        <row r="1653">
          <cell r="A1653" t="str">
            <v>86재   료   비</v>
          </cell>
          <cell r="B1653" t="str">
            <v>재   료   비</v>
          </cell>
          <cell r="D1653" t="str">
            <v>ⓐ</v>
          </cell>
          <cell r="H1653">
            <v>2606</v>
          </cell>
        </row>
        <row r="1654">
          <cell r="A1654" t="str">
            <v>86노   무   비</v>
          </cell>
          <cell r="B1654" t="str">
            <v>노   무   비</v>
          </cell>
          <cell r="D1654" t="str">
            <v>ⓑ</v>
          </cell>
          <cell r="H1654">
            <v>5099</v>
          </cell>
        </row>
        <row r="1655">
          <cell r="A1655" t="str">
            <v>86경        비</v>
          </cell>
          <cell r="B1655" t="str">
            <v>경        비</v>
          </cell>
          <cell r="D1655" t="str">
            <v>ⓒ</v>
          </cell>
          <cell r="H1655">
            <v>127</v>
          </cell>
        </row>
        <row r="1656">
          <cell r="B1656" t="str">
            <v>계</v>
          </cell>
          <cell r="H1656">
            <v>7832</v>
          </cell>
        </row>
        <row r="1660">
          <cell r="B1660">
            <v>87</v>
          </cell>
          <cell r="C1660" t="str">
            <v xml:space="preserve"> TV콘센트 설치</v>
          </cell>
          <cell r="D1660" t="str">
            <v xml:space="preserve"> 종단형</v>
          </cell>
          <cell r="E1660" t="str">
            <v>개</v>
          </cell>
          <cell r="F1660">
            <v>1</v>
          </cell>
        </row>
        <row r="1661">
          <cell r="C1661" t="str">
            <v>가, 재료비</v>
          </cell>
        </row>
        <row r="1662">
          <cell r="A1662" t="str">
            <v xml:space="preserve"> TV 유니트   단말용</v>
          </cell>
          <cell r="C1662" t="str">
            <v xml:space="preserve"> TV 유니트  </v>
          </cell>
          <cell r="D1662" t="str">
            <v xml:space="preserve"> 단말용</v>
          </cell>
          <cell r="E1662" t="str">
            <v>개</v>
          </cell>
          <cell r="F1662">
            <v>1</v>
          </cell>
          <cell r="G1662">
            <v>2493</v>
          </cell>
          <cell r="H1662">
            <v>2493</v>
          </cell>
          <cell r="I1662">
            <v>0</v>
          </cell>
        </row>
        <row r="1663">
          <cell r="B1663" t="str">
            <v>소         계</v>
          </cell>
          <cell r="H1663">
            <v>2493</v>
          </cell>
          <cell r="I1663" t="str">
            <v>ⓐ</v>
          </cell>
        </row>
        <row r="1664">
          <cell r="C1664" t="str">
            <v>나, 노무비</v>
          </cell>
        </row>
        <row r="1665">
          <cell r="A1665" t="str">
            <v>87 통신내선공</v>
          </cell>
          <cell r="C1665" t="str">
            <v xml:space="preserve"> 통신내선공</v>
          </cell>
          <cell r="E1665" t="str">
            <v>인</v>
          </cell>
          <cell r="F1665">
            <v>0.08</v>
          </cell>
          <cell r="G1665">
            <v>63738</v>
          </cell>
          <cell r="H1665">
            <v>5099</v>
          </cell>
          <cell r="I1665" t="str">
            <v>기본,통신 5-89</v>
          </cell>
        </row>
        <row r="1666">
          <cell r="B1666" t="str">
            <v>소         계</v>
          </cell>
          <cell r="H1666">
            <v>5099</v>
          </cell>
          <cell r="I1666" t="str">
            <v>ⓑ</v>
          </cell>
        </row>
        <row r="1667">
          <cell r="C1667" t="str">
            <v>다, 기계경비</v>
          </cell>
        </row>
        <row r="1668">
          <cell r="C1668" t="str">
            <v xml:space="preserve"> 통신내선공</v>
          </cell>
          <cell r="E1668" t="str">
            <v>인</v>
          </cell>
          <cell r="F1668">
            <v>2E-3</v>
          </cell>
          <cell r="G1668">
            <v>63738</v>
          </cell>
          <cell r="H1668">
            <v>127.4</v>
          </cell>
        </row>
        <row r="1669">
          <cell r="B1669" t="str">
            <v>소         계</v>
          </cell>
          <cell r="H1669">
            <v>127</v>
          </cell>
          <cell r="I1669" t="str">
            <v>ⓒ</v>
          </cell>
        </row>
        <row r="1671">
          <cell r="A1671" t="str">
            <v>87재   료   비</v>
          </cell>
          <cell r="B1671" t="str">
            <v>재   료   비</v>
          </cell>
          <cell r="D1671" t="str">
            <v>ⓐ</v>
          </cell>
          <cell r="H1671">
            <v>2493</v>
          </cell>
        </row>
        <row r="1672">
          <cell r="A1672" t="str">
            <v>87노   무   비</v>
          </cell>
          <cell r="B1672" t="str">
            <v>노   무   비</v>
          </cell>
          <cell r="D1672" t="str">
            <v>ⓑ</v>
          </cell>
          <cell r="H1672">
            <v>5099</v>
          </cell>
        </row>
        <row r="1673">
          <cell r="A1673" t="str">
            <v>87경        비</v>
          </cell>
          <cell r="B1673" t="str">
            <v>경        비</v>
          </cell>
          <cell r="D1673" t="str">
            <v>ⓒ</v>
          </cell>
          <cell r="H1673">
            <v>127</v>
          </cell>
        </row>
        <row r="1674">
          <cell r="B1674" t="str">
            <v>계</v>
          </cell>
          <cell r="H1674">
            <v>7719</v>
          </cell>
        </row>
        <row r="1678">
          <cell r="B1678">
            <v>88</v>
          </cell>
          <cell r="C1678" t="str">
            <v xml:space="preserve"> TV공시청 안테나 신설</v>
          </cell>
          <cell r="D1678" t="str">
            <v xml:space="preserve"> UHF/VHF(H.L)</v>
          </cell>
          <cell r="E1678" t="str">
            <v>기</v>
          </cell>
          <cell r="F1678">
            <v>1</v>
          </cell>
        </row>
        <row r="1679">
          <cell r="C1679" t="str">
            <v>가, 재료비</v>
          </cell>
        </row>
        <row r="1680">
          <cell r="A1680" t="str">
            <v xml:space="preserve"> 공청용안테나  UHF 용</v>
          </cell>
          <cell r="C1680" t="str">
            <v xml:space="preserve"> 공청용안테나 </v>
          </cell>
          <cell r="D1680" t="str">
            <v xml:space="preserve"> UHF 용</v>
          </cell>
          <cell r="E1680" t="str">
            <v>조</v>
          </cell>
          <cell r="F1680">
            <v>1</v>
          </cell>
          <cell r="G1680">
            <v>20000</v>
          </cell>
          <cell r="H1680">
            <v>20000</v>
          </cell>
          <cell r="I1680">
            <v>0</v>
          </cell>
        </row>
        <row r="1681">
          <cell r="A1681" t="str">
            <v xml:space="preserve"> 공청용안테나  VHF HIGH 찬넬용</v>
          </cell>
          <cell r="C1681" t="str">
            <v xml:space="preserve"> 공청용안테나 </v>
          </cell>
          <cell r="D1681" t="str">
            <v xml:space="preserve"> VHF HIGH 찬넬용</v>
          </cell>
          <cell r="E1681" t="str">
            <v>조</v>
          </cell>
          <cell r="F1681">
            <v>1</v>
          </cell>
          <cell r="G1681">
            <v>25000</v>
          </cell>
          <cell r="H1681">
            <v>25000</v>
          </cell>
          <cell r="I1681">
            <v>0</v>
          </cell>
        </row>
        <row r="1682">
          <cell r="A1682" t="str">
            <v xml:space="preserve"> 공청용안테나  VHF LOW 찬넬용</v>
          </cell>
          <cell r="C1682" t="str">
            <v xml:space="preserve"> 공청용안테나 </v>
          </cell>
          <cell r="D1682" t="str">
            <v xml:space="preserve"> VHF LOW 찬넬용</v>
          </cell>
          <cell r="E1682" t="str">
            <v>조</v>
          </cell>
          <cell r="F1682">
            <v>1</v>
          </cell>
          <cell r="G1682">
            <v>30000</v>
          </cell>
          <cell r="H1682">
            <v>30000</v>
          </cell>
          <cell r="I1682">
            <v>0</v>
          </cell>
        </row>
        <row r="1683">
          <cell r="A1683" t="str">
            <v xml:space="preserve"> 공청용 혼합기  VHF H/L</v>
          </cell>
          <cell r="C1683" t="str">
            <v xml:space="preserve"> 공청용 혼합기 </v>
          </cell>
          <cell r="D1683" t="str">
            <v xml:space="preserve"> VHF H/L</v>
          </cell>
          <cell r="E1683" t="str">
            <v>개</v>
          </cell>
          <cell r="F1683">
            <v>1</v>
          </cell>
          <cell r="G1683">
            <v>6000</v>
          </cell>
          <cell r="H1683">
            <v>6000</v>
          </cell>
          <cell r="I1683">
            <v>0</v>
          </cell>
        </row>
        <row r="1684">
          <cell r="A1684" t="str">
            <v xml:space="preserve"> 공청용 혼합기  VHF/UHF</v>
          </cell>
          <cell r="C1684" t="str">
            <v xml:space="preserve"> 공청용 혼합기 </v>
          </cell>
          <cell r="D1684" t="str">
            <v xml:space="preserve"> VHF/UHF</v>
          </cell>
          <cell r="E1684" t="str">
            <v>개</v>
          </cell>
          <cell r="F1684">
            <v>1</v>
          </cell>
          <cell r="G1684">
            <v>6000</v>
          </cell>
          <cell r="H1684">
            <v>6000</v>
          </cell>
          <cell r="I1684">
            <v>0</v>
          </cell>
        </row>
        <row r="1685">
          <cell r="A1685" t="str">
            <v xml:space="preserve"> 시멘트(40㎏)  분공장도</v>
          </cell>
          <cell r="C1685" t="str">
            <v xml:space="preserve"> 시멘트(40㎏) </v>
          </cell>
          <cell r="D1685" t="str">
            <v xml:space="preserve"> 분공장도</v>
          </cell>
          <cell r="E1685" t="str">
            <v>포</v>
          </cell>
          <cell r="F1685">
            <v>0.55200000000000005</v>
          </cell>
          <cell r="G1685">
            <v>2450</v>
          </cell>
          <cell r="H1685">
            <v>1352.4</v>
          </cell>
          <cell r="I1685">
            <v>0</v>
          </cell>
        </row>
        <row r="1686">
          <cell r="A1686" t="str">
            <v xml:space="preserve"> 모래(세척사)  인천(도착도)</v>
          </cell>
          <cell r="C1686" t="str">
            <v xml:space="preserve"> 모래(세척사) </v>
          </cell>
          <cell r="D1686" t="str">
            <v xml:space="preserve"> 인천(도착도)</v>
          </cell>
          <cell r="E1686" t="str">
            <v>㎥</v>
          </cell>
          <cell r="F1686">
            <v>3.1E-2</v>
          </cell>
          <cell r="G1686">
            <v>1750</v>
          </cell>
          <cell r="H1686">
            <v>54.2</v>
          </cell>
          <cell r="I1686">
            <v>0</v>
          </cell>
        </row>
        <row r="1687">
          <cell r="A1687" t="str">
            <v xml:space="preserve"> 자갈(#57,Φ25)   인천(도착도)</v>
          </cell>
          <cell r="C1687" t="str">
            <v xml:space="preserve"> 자갈(#57,Φ25)  </v>
          </cell>
          <cell r="D1687" t="str">
            <v xml:space="preserve"> 인천(도착도)</v>
          </cell>
          <cell r="E1687" t="str">
            <v>㎥</v>
          </cell>
          <cell r="F1687">
            <v>6.2E-2</v>
          </cell>
          <cell r="G1687">
            <v>17500</v>
          </cell>
          <cell r="H1687">
            <v>1085</v>
          </cell>
          <cell r="I1687">
            <v>0</v>
          </cell>
        </row>
        <row r="1688">
          <cell r="A1688" t="str">
            <v xml:space="preserve"> 보통합판(1급)  12T  1.21*2.42</v>
          </cell>
          <cell r="C1688" t="str">
            <v xml:space="preserve"> 보통합판(1급) </v>
          </cell>
          <cell r="D1688" t="str">
            <v xml:space="preserve"> 12T  1.21*2.42</v>
          </cell>
          <cell r="E1688" t="str">
            <v>㎡</v>
          </cell>
          <cell r="F1688">
            <v>0.20499999999999999</v>
          </cell>
          <cell r="G1688">
            <v>6181</v>
          </cell>
          <cell r="H1688">
            <v>1267.0999999999999</v>
          </cell>
          <cell r="I1688">
            <v>0</v>
          </cell>
        </row>
        <row r="1689">
          <cell r="A1689" t="str">
            <v xml:space="preserve"> 라왕  각재</v>
          </cell>
          <cell r="C1689" t="str">
            <v xml:space="preserve"> 라왕 </v>
          </cell>
          <cell r="D1689" t="str">
            <v xml:space="preserve"> 각재</v>
          </cell>
          <cell r="E1689" t="str">
            <v>㎥</v>
          </cell>
          <cell r="F1689">
            <v>8.0000000000000002E-3</v>
          </cell>
          <cell r="G1689">
            <v>986023</v>
          </cell>
          <cell r="H1689">
            <v>7888.1</v>
          </cell>
          <cell r="I1689">
            <v>0</v>
          </cell>
        </row>
        <row r="1690">
          <cell r="A1690" t="str">
            <v xml:space="preserve"> 어니일링(소)철선   #8  4.0mm</v>
          </cell>
          <cell r="C1690" t="str">
            <v xml:space="preserve"> 어니일링(소)철선  </v>
          </cell>
          <cell r="D1690" t="str">
            <v xml:space="preserve"> #8  4.0mm</v>
          </cell>
          <cell r="E1690" t="str">
            <v>kg</v>
          </cell>
          <cell r="F1690">
            <v>5.8000000000000003E-2</v>
          </cell>
          <cell r="G1690">
            <v>570</v>
          </cell>
          <cell r="H1690">
            <v>33</v>
          </cell>
          <cell r="I1690">
            <v>0</v>
          </cell>
        </row>
        <row r="1691">
          <cell r="A1691" t="str">
            <v xml:space="preserve"> 철못   N 50</v>
          </cell>
          <cell r="C1691" t="str">
            <v xml:space="preserve"> 철못  </v>
          </cell>
          <cell r="D1691" t="str">
            <v xml:space="preserve"> N 50</v>
          </cell>
          <cell r="E1691" t="str">
            <v>kg</v>
          </cell>
          <cell r="F1691">
            <v>0.04</v>
          </cell>
          <cell r="G1691">
            <v>700</v>
          </cell>
          <cell r="H1691">
            <v>28</v>
          </cell>
          <cell r="I1691">
            <v>0</v>
          </cell>
        </row>
        <row r="1692">
          <cell r="A1692" t="str">
            <v xml:space="preserve"> 박리제   유성</v>
          </cell>
          <cell r="C1692" t="str">
            <v xml:space="preserve"> 박리제  </v>
          </cell>
          <cell r="D1692" t="str">
            <v xml:space="preserve"> 유성</v>
          </cell>
          <cell r="E1692" t="str">
            <v>ℓ</v>
          </cell>
          <cell r="F1692">
            <v>3.7999999999999999E-2</v>
          </cell>
          <cell r="G1692">
            <v>1300</v>
          </cell>
          <cell r="H1692">
            <v>49.4</v>
          </cell>
          <cell r="I1692">
            <v>0</v>
          </cell>
        </row>
        <row r="1693">
          <cell r="A1693" t="str">
            <v xml:space="preserve"> 용접봉(고강용)  Φ3.2 LC-600</v>
          </cell>
          <cell r="C1693" t="str">
            <v xml:space="preserve"> 용접봉(고강용) </v>
          </cell>
          <cell r="D1693" t="str">
            <v xml:space="preserve"> Φ3.2 LC-600</v>
          </cell>
          <cell r="E1693" t="str">
            <v>kg</v>
          </cell>
          <cell r="F1693">
            <v>1</v>
          </cell>
          <cell r="G1693">
            <v>1620</v>
          </cell>
          <cell r="H1693">
            <v>1620</v>
          </cell>
          <cell r="I1693">
            <v>0</v>
          </cell>
        </row>
        <row r="1694">
          <cell r="A1694" t="str">
            <v xml:space="preserve"> 산소(기체)</v>
          </cell>
          <cell r="C1694" t="str">
            <v xml:space="preserve"> 산소(기체)</v>
          </cell>
          <cell r="D1694">
            <v>0</v>
          </cell>
          <cell r="E1694" t="str">
            <v>ℓ</v>
          </cell>
          <cell r="F1694">
            <v>343.35</v>
          </cell>
          <cell r="G1694">
            <v>250</v>
          </cell>
          <cell r="H1694">
            <v>85837.5</v>
          </cell>
          <cell r="I1694">
            <v>0</v>
          </cell>
        </row>
        <row r="1695">
          <cell r="A1695" t="str">
            <v xml:space="preserve"> 아세틸렌</v>
          </cell>
          <cell r="C1695" t="str">
            <v xml:space="preserve"> 아세틸렌</v>
          </cell>
          <cell r="D1695">
            <v>0</v>
          </cell>
          <cell r="E1695" t="str">
            <v>㎏</v>
          </cell>
          <cell r="F1695">
            <v>0.153</v>
          </cell>
          <cell r="G1695">
            <v>12000</v>
          </cell>
          <cell r="H1695">
            <v>1836</v>
          </cell>
          <cell r="I1695">
            <v>0</v>
          </cell>
        </row>
        <row r="1696">
          <cell r="A1696" t="str">
            <v xml:space="preserve"> 백관 (SPP)   D40</v>
          </cell>
          <cell r="C1696" t="str">
            <v xml:space="preserve"> 백관 (SPP)  </v>
          </cell>
          <cell r="D1696" t="str">
            <v xml:space="preserve"> D40</v>
          </cell>
          <cell r="E1696" t="str">
            <v>m</v>
          </cell>
          <cell r="F1696">
            <v>1.5</v>
          </cell>
          <cell r="G1696">
            <v>1347</v>
          </cell>
          <cell r="H1696">
            <v>2020.5</v>
          </cell>
          <cell r="I1696">
            <v>0</v>
          </cell>
        </row>
        <row r="1697">
          <cell r="A1697" t="str">
            <v xml:space="preserve"> 백관 (SPP)  D100</v>
          </cell>
          <cell r="C1697" t="str">
            <v xml:space="preserve"> 백관 (SPP) </v>
          </cell>
          <cell r="D1697" t="str">
            <v xml:space="preserve"> D100</v>
          </cell>
          <cell r="E1697" t="str">
            <v>m</v>
          </cell>
          <cell r="F1697">
            <v>3</v>
          </cell>
          <cell r="G1697">
            <v>7392</v>
          </cell>
          <cell r="H1697">
            <v>22176</v>
          </cell>
          <cell r="I1697">
            <v>0</v>
          </cell>
        </row>
        <row r="1698">
          <cell r="A1698" t="str">
            <v xml:space="preserve"> 백레듀샤 (용접)   D100</v>
          </cell>
          <cell r="C1698" t="str">
            <v xml:space="preserve"> 백레듀샤 (용접)  </v>
          </cell>
          <cell r="D1698" t="str">
            <v xml:space="preserve"> D100</v>
          </cell>
          <cell r="E1698" t="str">
            <v>개</v>
          </cell>
          <cell r="F1698">
            <v>1</v>
          </cell>
          <cell r="G1698">
            <v>2700</v>
          </cell>
          <cell r="H1698">
            <v>2700</v>
          </cell>
          <cell r="I1698">
            <v>0</v>
          </cell>
        </row>
        <row r="1699">
          <cell r="A1699" t="str">
            <v xml:space="preserve"> 열연강판   6t</v>
          </cell>
          <cell r="C1699" t="str">
            <v xml:space="preserve"> 열연강판  </v>
          </cell>
          <cell r="D1699" t="str">
            <v xml:space="preserve"> 6t</v>
          </cell>
          <cell r="E1699" t="str">
            <v>kg</v>
          </cell>
          <cell r="F1699">
            <v>12.43</v>
          </cell>
          <cell r="G1699">
            <v>360</v>
          </cell>
          <cell r="H1699">
            <v>4474.8</v>
          </cell>
          <cell r="I1699">
            <v>0</v>
          </cell>
        </row>
        <row r="1700">
          <cell r="A1700" t="str">
            <v xml:space="preserve"> 앵커볼트(7/8")  M22  L250</v>
          </cell>
          <cell r="C1700" t="str">
            <v xml:space="preserve"> 앵커볼트(7/8") </v>
          </cell>
          <cell r="D1700" t="str">
            <v xml:space="preserve"> M22  L250</v>
          </cell>
          <cell r="E1700" t="str">
            <v>조</v>
          </cell>
          <cell r="F1700">
            <v>4</v>
          </cell>
          <cell r="G1700">
            <v>570</v>
          </cell>
          <cell r="H1700">
            <v>2280</v>
          </cell>
          <cell r="I1700">
            <v>0</v>
          </cell>
        </row>
        <row r="1701">
          <cell r="A1701" t="str">
            <v xml:space="preserve"> 너트 Φ22</v>
          </cell>
          <cell r="C1701" t="str">
            <v xml:space="preserve"> 너트</v>
          </cell>
          <cell r="D1701" t="str">
            <v xml:space="preserve"> Φ22</v>
          </cell>
          <cell r="E1701" t="str">
            <v>개</v>
          </cell>
          <cell r="F1701">
            <v>4</v>
          </cell>
          <cell r="G1701">
            <v>97</v>
          </cell>
          <cell r="H1701">
            <v>388</v>
          </cell>
          <cell r="I1701">
            <v>0</v>
          </cell>
        </row>
        <row r="1702">
          <cell r="A1702" t="str">
            <v xml:space="preserve"> 스프링와샤 Φ22</v>
          </cell>
          <cell r="C1702" t="str">
            <v xml:space="preserve"> 스프링와샤</v>
          </cell>
          <cell r="D1702" t="str">
            <v xml:space="preserve"> Φ22</v>
          </cell>
          <cell r="E1702" t="str">
            <v>개</v>
          </cell>
          <cell r="F1702">
            <v>4</v>
          </cell>
          <cell r="G1702">
            <v>20</v>
          </cell>
          <cell r="H1702">
            <v>80</v>
          </cell>
          <cell r="I1702">
            <v>0</v>
          </cell>
        </row>
        <row r="1703">
          <cell r="A1703" t="str">
            <v xml:space="preserve"> WB 벽부형 200×300×150</v>
          </cell>
          <cell r="C1703" t="str">
            <v xml:space="preserve"> WB 벽부형</v>
          </cell>
          <cell r="D1703" t="str">
            <v xml:space="preserve"> 200×300×150</v>
          </cell>
          <cell r="E1703" t="str">
            <v>개</v>
          </cell>
          <cell r="F1703">
            <v>1</v>
          </cell>
          <cell r="G1703">
            <v>5080</v>
          </cell>
          <cell r="H1703">
            <v>5080</v>
          </cell>
          <cell r="I1703">
            <v>0</v>
          </cell>
        </row>
        <row r="1704">
          <cell r="B1704" t="str">
            <v>소         계</v>
          </cell>
          <cell r="H1704">
            <v>227250</v>
          </cell>
          <cell r="I1704" t="str">
            <v>ⓐ</v>
          </cell>
        </row>
        <row r="1705">
          <cell r="C1705" t="str">
            <v>나, 노무비</v>
          </cell>
        </row>
        <row r="1706">
          <cell r="A1706" t="str">
            <v>88 형틀목공</v>
          </cell>
          <cell r="C1706" t="str">
            <v xml:space="preserve"> 형틀목공</v>
          </cell>
          <cell r="E1706" t="str">
            <v>인</v>
          </cell>
          <cell r="F1706">
            <v>5.3999999999999999E-2</v>
          </cell>
          <cell r="G1706">
            <v>65381</v>
          </cell>
          <cell r="H1706">
            <v>3530.5</v>
          </cell>
          <cell r="I1706" t="str">
            <v>거푸집,건설 6-3-나</v>
          </cell>
        </row>
        <row r="1707">
          <cell r="A1707" t="str">
            <v>88 철공</v>
          </cell>
          <cell r="C1707" t="str">
            <v xml:space="preserve"> 철공</v>
          </cell>
          <cell r="E1707" t="str">
            <v>인</v>
          </cell>
          <cell r="F1707">
            <v>1.506</v>
          </cell>
          <cell r="G1707">
            <v>59917</v>
          </cell>
          <cell r="H1707">
            <v>90235</v>
          </cell>
          <cell r="I1707" t="str">
            <v>잡철물제작,건설 29-6</v>
          </cell>
        </row>
        <row r="1708">
          <cell r="A1708" t="str">
            <v>88 콘크리트공</v>
          </cell>
          <cell r="C1708" t="str">
            <v xml:space="preserve"> 콘크리트공</v>
          </cell>
          <cell r="E1708" t="str">
            <v>인</v>
          </cell>
          <cell r="F1708">
            <v>6.2E-2</v>
          </cell>
          <cell r="G1708">
            <v>63605</v>
          </cell>
          <cell r="H1708">
            <v>3943.5</v>
          </cell>
          <cell r="I1708" t="str">
            <v>콘크리트,건설 6-1</v>
          </cell>
        </row>
        <row r="1709">
          <cell r="A1709" t="str">
            <v>88 통신내선공</v>
          </cell>
          <cell r="C1709" t="str">
            <v xml:space="preserve"> 통신내선공</v>
          </cell>
          <cell r="E1709" t="str">
            <v>인</v>
          </cell>
          <cell r="F1709">
            <v>0.66</v>
          </cell>
          <cell r="G1709">
            <v>63738</v>
          </cell>
          <cell r="H1709">
            <v>42067</v>
          </cell>
          <cell r="I1709" t="str">
            <v>BOX,통신 3-61-라</v>
          </cell>
        </row>
        <row r="1710">
          <cell r="A1710" t="str">
            <v>88 통신설비공</v>
          </cell>
          <cell r="C1710" t="str">
            <v xml:space="preserve"> 통신설비공</v>
          </cell>
          <cell r="E1710" t="str">
            <v>인</v>
          </cell>
          <cell r="F1710">
            <v>1.55</v>
          </cell>
          <cell r="G1710">
            <v>66296</v>
          </cell>
          <cell r="H1710">
            <v>102758.8</v>
          </cell>
          <cell r="I1710" t="str">
            <v>ANT+혼합기,통신 5-89</v>
          </cell>
        </row>
        <row r="1711">
          <cell r="A1711" t="str">
            <v>88 무선안테나공</v>
          </cell>
          <cell r="C1711" t="str">
            <v xml:space="preserve"> 무선안테나공</v>
          </cell>
          <cell r="E1711" t="str">
            <v>인</v>
          </cell>
          <cell r="F1711">
            <v>0.5</v>
          </cell>
          <cell r="G1711">
            <v>97216</v>
          </cell>
          <cell r="H1711">
            <v>48608</v>
          </cell>
          <cell r="I1711" t="str">
            <v>시험및조정,통신 5-89</v>
          </cell>
        </row>
        <row r="1712">
          <cell r="A1712" t="str">
            <v>88 특별인부</v>
          </cell>
          <cell r="C1712" t="str">
            <v xml:space="preserve"> 특별인부</v>
          </cell>
          <cell r="E1712" t="str">
            <v>인</v>
          </cell>
          <cell r="F1712">
            <v>0.04</v>
          </cell>
          <cell r="G1712">
            <v>49659</v>
          </cell>
          <cell r="H1712">
            <v>1986.3</v>
          </cell>
          <cell r="I1712" t="str">
            <v>잡철물제작,건설 29-6</v>
          </cell>
        </row>
        <row r="1713">
          <cell r="A1713" t="str">
            <v>88 용접공</v>
          </cell>
          <cell r="C1713" t="str">
            <v xml:space="preserve"> 용접공</v>
          </cell>
          <cell r="E1713" t="str">
            <v>인</v>
          </cell>
          <cell r="F1713">
            <v>0.14099999999999999</v>
          </cell>
          <cell r="G1713">
            <v>61021</v>
          </cell>
          <cell r="H1713">
            <v>8603.9</v>
          </cell>
          <cell r="I1713" t="str">
            <v>잡철물제작,건설 29-6</v>
          </cell>
        </row>
        <row r="1714">
          <cell r="A1714" t="str">
            <v>88 보통인부</v>
          </cell>
          <cell r="C1714" t="str">
            <v xml:space="preserve"> 보통인부</v>
          </cell>
          <cell r="E1714" t="str">
            <v>인</v>
          </cell>
          <cell r="F1714">
            <v>0.15</v>
          </cell>
          <cell r="G1714">
            <v>34098</v>
          </cell>
          <cell r="H1714">
            <v>5114.7</v>
          </cell>
          <cell r="I1714" t="str">
            <v>거푸집,콘크리트,잡철물제작</v>
          </cell>
        </row>
        <row r="1715">
          <cell r="B1715" t="str">
            <v>소         계</v>
          </cell>
          <cell r="H1715">
            <v>306847</v>
          </cell>
          <cell r="I1715" t="str">
            <v>ⓑ</v>
          </cell>
        </row>
        <row r="1716">
          <cell r="C1716" t="str">
            <v>다, 기계경비</v>
          </cell>
        </row>
        <row r="1717">
          <cell r="C1717" t="str">
            <v xml:space="preserve"> 형틀목공</v>
          </cell>
          <cell r="E1717" t="str">
            <v>인</v>
          </cell>
          <cell r="F1717">
            <v>1E-3</v>
          </cell>
          <cell r="G1717">
            <v>65381</v>
          </cell>
          <cell r="H1717">
            <v>65.3</v>
          </cell>
        </row>
        <row r="1718">
          <cell r="C1718" t="str">
            <v xml:space="preserve"> 철공</v>
          </cell>
          <cell r="E1718" t="str">
            <v>인</v>
          </cell>
          <cell r="F1718">
            <v>4.4999999999999998E-2</v>
          </cell>
          <cell r="G1718">
            <v>59917</v>
          </cell>
          <cell r="H1718">
            <v>2696.2</v>
          </cell>
        </row>
        <row r="1719">
          <cell r="C1719" t="str">
            <v xml:space="preserve"> 콘크리트공</v>
          </cell>
          <cell r="E1719" t="str">
            <v>인</v>
          </cell>
          <cell r="F1719">
            <v>1E-3</v>
          </cell>
          <cell r="G1719">
            <v>63605</v>
          </cell>
          <cell r="H1719">
            <v>63.6</v>
          </cell>
        </row>
        <row r="1720">
          <cell r="C1720" t="str">
            <v xml:space="preserve"> 통신내선공</v>
          </cell>
          <cell r="E1720" t="str">
            <v>인</v>
          </cell>
          <cell r="F1720">
            <v>1.9E-2</v>
          </cell>
          <cell r="G1720">
            <v>63738</v>
          </cell>
          <cell r="H1720">
            <v>1211</v>
          </cell>
        </row>
        <row r="1721">
          <cell r="C1721" t="str">
            <v xml:space="preserve"> 통신설비공</v>
          </cell>
          <cell r="E1721" t="str">
            <v>인</v>
          </cell>
          <cell r="F1721">
            <v>4.5999999999999999E-2</v>
          </cell>
          <cell r="G1721">
            <v>66296</v>
          </cell>
          <cell r="H1721">
            <v>3049.6</v>
          </cell>
        </row>
        <row r="1722">
          <cell r="C1722" t="str">
            <v xml:space="preserve"> 무선안테나공</v>
          </cell>
          <cell r="E1722" t="str">
            <v>인</v>
          </cell>
          <cell r="F1722">
            <v>1.4999999999999999E-2</v>
          </cell>
          <cell r="G1722">
            <v>97216</v>
          </cell>
          <cell r="H1722">
            <v>1458.2</v>
          </cell>
        </row>
        <row r="1723">
          <cell r="C1723" t="str">
            <v xml:space="preserve"> 특별인부</v>
          </cell>
          <cell r="E1723" t="str">
            <v>인</v>
          </cell>
          <cell r="F1723">
            <v>1E-3</v>
          </cell>
          <cell r="G1723">
            <v>49659</v>
          </cell>
          <cell r="H1723">
            <v>49.6</v>
          </cell>
        </row>
        <row r="1724">
          <cell r="C1724" t="str">
            <v xml:space="preserve"> 용접공</v>
          </cell>
          <cell r="E1724" t="str">
            <v>인</v>
          </cell>
          <cell r="F1724">
            <v>4.0000000000000001E-3</v>
          </cell>
          <cell r="G1724">
            <v>61021</v>
          </cell>
          <cell r="H1724">
            <v>244</v>
          </cell>
        </row>
        <row r="1725">
          <cell r="B1725" t="str">
            <v>소         계</v>
          </cell>
          <cell r="H1725">
            <v>8837</v>
          </cell>
          <cell r="I1725" t="str">
            <v>ⓒ</v>
          </cell>
        </row>
        <row r="1727">
          <cell r="A1727" t="str">
            <v>88재   료   비</v>
          </cell>
          <cell r="B1727" t="str">
            <v>재   료   비</v>
          </cell>
          <cell r="D1727" t="str">
            <v>ⓐ</v>
          </cell>
          <cell r="H1727">
            <v>227250</v>
          </cell>
        </row>
        <row r="1728">
          <cell r="A1728" t="str">
            <v>88노   무   비</v>
          </cell>
          <cell r="B1728" t="str">
            <v>노   무   비</v>
          </cell>
          <cell r="D1728" t="str">
            <v>ⓑ</v>
          </cell>
          <cell r="H1728">
            <v>306847</v>
          </cell>
        </row>
        <row r="1729">
          <cell r="A1729" t="str">
            <v>88경        비</v>
          </cell>
          <cell r="B1729" t="str">
            <v>경        비</v>
          </cell>
          <cell r="D1729" t="str">
            <v>ⓒ</v>
          </cell>
          <cell r="H1729">
            <v>8837</v>
          </cell>
        </row>
        <row r="1730">
          <cell r="B1730" t="str">
            <v>계</v>
          </cell>
          <cell r="H1730">
            <v>542934</v>
          </cell>
        </row>
        <row r="1732">
          <cell r="B1732">
            <v>89</v>
          </cell>
          <cell r="C1732" t="str">
            <v xml:space="preserve"> CCTV수상기 콘솔 신설</v>
          </cell>
          <cell r="D1732" t="str">
            <v xml:space="preserve"> C14-4형</v>
          </cell>
          <cell r="E1732" t="str">
            <v>대</v>
          </cell>
          <cell r="F1732">
            <v>1</v>
          </cell>
        </row>
        <row r="1733">
          <cell r="C1733" t="str">
            <v>가, 재료비</v>
          </cell>
        </row>
        <row r="1734">
          <cell r="A1734" t="str">
            <v xml:space="preserve"> CONSOLE RACK 14" MONITOR 4대</v>
          </cell>
          <cell r="C1734" t="str">
            <v xml:space="preserve"> CONSOLE RACK</v>
          </cell>
          <cell r="D1734" t="str">
            <v xml:space="preserve"> 14" MONITOR 4대</v>
          </cell>
          <cell r="E1734" t="str">
            <v>대</v>
          </cell>
          <cell r="F1734">
            <v>1</v>
          </cell>
          <cell r="G1734">
            <v>1500000</v>
          </cell>
          <cell r="H1734">
            <v>1500000</v>
          </cell>
          <cell r="I1734">
            <v>0</v>
          </cell>
        </row>
        <row r="1735">
          <cell r="A1735" t="str">
            <v xml:space="preserve"> AUTO CODE TIME S/W 8CH</v>
          </cell>
          <cell r="C1735" t="str">
            <v xml:space="preserve"> AUTO CODE TIME S/W</v>
          </cell>
          <cell r="D1735" t="str">
            <v xml:space="preserve"> 8CH</v>
          </cell>
          <cell r="E1735" t="str">
            <v>개</v>
          </cell>
          <cell r="F1735">
            <v>4</v>
          </cell>
          <cell r="G1735">
            <v>850000</v>
          </cell>
          <cell r="H1735">
            <v>3400000</v>
          </cell>
          <cell r="I1735">
            <v>0</v>
          </cell>
        </row>
        <row r="1736">
          <cell r="A1736" t="str">
            <v xml:space="preserve"> COLOR MONITOR 14"</v>
          </cell>
          <cell r="C1736" t="str">
            <v xml:space="preserve"> COLOR MONITOR</v>
          </cell>
          <cell r="D1736" t="str">
            <v xml:space="preserve"> 14"</v>
          </cell>
          <cell r="E1736" t="str">
            <v>대</v>
          </cell>
          <cell r="F1736">
            <v>4</v>
          </cell>
          <cell r="G1736">
            <v>250000</v>
          </cell>
          <cell r="H1736">
            <v>1000000</v>
          </cell>
          <cell r="I1736">
            <v>0</v>
          </cell>
        </row>
        <row r="1737">
          <cell r="A1737" t="str">
            <v xml:space="preserve"> POWER CONTROLLER 8CH</v>
          </cell>
          <cell r="C1737" t="str">
            <v xml:space="preserve"> POWER CONTROLLER</v>
          </cell>
          <cell r="D1737" t="str">
            <v xml:space="preserve"> 8CH</v>
          </cell>
          <cell r="E1737" t="str">
            <v>개</v>
          </cell>
          <cell r="F1737">
            <v>1</v>
          </cell>
          <cell r="G1737">
            <v>230000</v>
          </cell>
          <cell r="H1737">
            <v>230000</v>
          </cell>
          <cell r="I1737">
            <v>0</v>
          </cell>
        </row>
        <row r="1738">
          <cell r="A1738" t="str">
            <v xml:space="preserve"> TIMER 24 Hr</v>
          </cell>
          <cell r="C1738" t="str">
            <v xml:space="preserve"> TIMER</v>
          </cell>
          <cell r="D1738" t="str">
            <v xml:space="preserve"> 24 Hr</v>
          </cell>
          <cell r="E1738" t="str">
            <v>개</v>
          </cell>
          <cell r="F1738">
            <v>1</v>
          </cell>
          <cell r="G1738">
            <v>48400</v>
          </cell>
          <cell r="H1738">
            <v>48400</v>
          </cell>
          <cell r="I1738">
            <v>0</v>
          </cell>
        </row>
        <row r="1739">
          <cell r="B1739" t="str">
            <v>소         계</v>
          </cell>
          <cell r="H1739">
            <v>6178400</v>
          </cell>
          <cell r="I1739" t="str">
            <v>ⓐ</v>
          </cell>
        </row>
        <row r="1740">
          <cell r="C1740" t="str">
            <v>나, 노무비</v>
          </cell>
        </row>
        <row r="1741">
          <cell r="A1741" t="str">
            <v>89 통신기사 2급</v>
          </cell>
          <cell r="C1741" t="str">
            <v xml:space="preserve"> 통신기사 2급</v>
          </cell>
          <cell r="E1741" t="str">
            <v>인</v>
          </cell>
          <cell r="F1741">
            <v>3.67</v>
          </cell>
          <cell r="G1741">
            <v>78519</v>
          </cell>
          <cell r="H1741">
            <v>288164.7</v>
          </cell>
          <cell r="I1741" t="str">
            <v>기본,통신 3-29</v>
          </cell>
        </row>
        <row r="1742">
          <cell r="A1742" t="str">
            <v>89 통신설비공</v>
          </cell>
          <cell r="C1742" t="str">
            <v xml:space="preserve"> 통신설비공</v>
          </cell>
          <cell r="E1742" t="str">
            <v>인</v>
          </cell>
          <cell r="F1742">
            <v>4.5600000000000005</v>
          </cell>
          <cell r="G1742">
            <v>66296</v>
          </cell>
          <cell r="H1742">
            <v>302309.7</v>
          </cell>
          <cell r="I1742" t="str">
            <v>기본,통신 3-29</v>
          </cell>
        </row>
        <row r="1743">
          <cell r="A1743" t="str">
            <v>89 보통인부</v>
          </cell>
          <cell r="C1743" t="str">
            <v xml:space="preserve"> 보통인부</v>
          </cell>
          <cell r="E1743" t="str">
            <v>인</v>
          </cell>
          <cell r="F1743">
            <v>0.8</v>
          </cell>
          <cell r="G1743">
            <v>34098</v>
          </cell>
          <cell r="H1743">
            <v>27278.400000000001</v>
          </cell>
          <cell r="I1743" t="str">
            <v>기본,통신 3-29</v>
          </cell>
        </row>
        <row r="1744">
          <cell r="B1744" t="str">
            <v>소         계</v>
          </cell>
          <cell r="H1744">
            <v>617752</v>
          </cell>
          <cell r="I1744" t="str">
            <v>ⓑ</v>
          </cell>
        </row>
        <row r="1745">
          <cell r="C1745" t="str">
            <v>다, 기계경비</v>
          </cell>
        </row>
        <row r="1746">
          <cell r="C1746" t="str">
            <v xml:space="preserve"> 통신기사 2급</v>
          </cell>
          <cell r="E1746" t="str">
            <v>인</v>
          </cell>
          <cell r="F1746">
            <v>0.11</v>
          </cell>
          <cell r="G1746">
            <v>78519</v>
          </cell>
          <cell r="H1746">
            <v>8637</v>
          </cell>
        </row>
        <row r="1747">
          <cell r="C1747" t="str">
            <v xml:space="preserve"> 통신설비공</v>
          </cell>
          <cell r="E1747" t="str">
            <v>인</v>
          </cell>
          <cell r="F1747">
            <v>0.13600000000000001</v>
          </cell>
          <cell r="G1747">
            <v>66296</v>
          </cell>
          <cell r="H1747">
            <v>9016.2000000000007</v>
          </cell>
        </row>
        <row r="1748">
          <cell r="C1748" t="str">
            <v xml:space="preserve"> 보통인부</v>
          </cell>
          <cell r="E1748" t="str">
            <v>인</v>
          </cell>
          <cell r="F1748">
            <v>2.4E-2</v>
          </cell>
          <cell r="G1748">
            <v>34098</v>
          </cell>
          <cell r="H1748">
            <v>818.3</v>
          </cell>
        </row>
        <row r="1749">
          <cell r="B1749" t="str">
            <v>소         계</v>
          </cell>
          <cell r="H1749">
            <v>18471</v>
          </cell>
          <cell r="I1749" t="str">
            <v>ⓒ</v>
          </cell>
        </row>
        <row r="1750">
          <cell r="A1750" t="str">
            <v>89재   료   비</v>
          </cell>
          <cell r="B1750" t="str">
            <v>재   료   비</v>
          </cell>
          <cell r="D1750" t="str">
            <v>ⓐ</v>
          </cell>
          <cell r="H1750">
            <v>6178400</v>
          </cell>
        </row>
        <row r="1751">
          <cell r="A1751" t="str">
            <v>89노   무   비</v>
          </cell>
          <cell r="B1751" t="str">
            <v>노   무   비</v>
          </cell>
          <cell r="D1751" t="str">
            <v>ⓑ</v>
          </cell>
          <cell r="H1751">
            <v>617752</v>
          </cell>
        </row>
        <row r="1752">
          <cell r="A1752" t="str">
            <v>89경        비</v>
          </cell>
          <cell r="B1752" t="str">
            <v>경        비</v>
          </cell>
          <cell r="D1752" t="str">
            <v>ⓒ</v>
          </cell>
          <cell r="H1752">
            <v>18471</v>
          </cell>
        </row>
        <row r="1753">
          <cell r="B1753" t="str">
            <v>계</v>
          </cell>
          <cell r="H1753">
            <v>6814623</v>
          </cell>
        </row>
        <row r="1768">
          <cell r="B1768">
            <v>90</v>
          </cell>
          <cell r="C1768" t="str">
            <v xml:space="preserve"> CCTV수상기 신설</v>
          </cell>
          <cell r="D1768" t="str">
            <v xml:space="preserve"> M20-2형</v>
          </cell>
          <cell r="E1768" t="str">
            <v>대</v>
          </cell>
          <cell r="F1768">
            <v>1</v>
          </cell>
        </row>
        <row r="1769">
          <cell r="C1769" t="str">
            <v>가, 재료비</v>
          </cell>
        </row>
        <row r="1770">
          <cell r="A1770" t="str">
            <v xml:space="preserve"> COLOR MONITOR 20"</v>
          </cell>
          <cell r="C1770" t="str">
            <v xml:space="preserve"> COLOR MONITOR</v>
          </cell>
          <cell r="D1770" t="str">
            <v xml:space="preserve"> 20"</v>
          </cell>
          <cell r="E1770" t="str">
            <v>대</v>
          </cell>
          <cell r="F1770">
            <v>2</v>
          </cell>
          <cell r="G1770">
            <v>350000</v>
          </cell>
          <cell r="H1770">
            <v>700000</v>
          </cell>
          <cell r="I1770">
            <v>0</v>
          </cell>
        </row>
        <row r="1771">
          <cell r="A1771" t="str">
            <v xml:space="preserve"> MONITOR HOUSING 20"×2형</v>
          </cell>
          <cell r="C1771" t="str">
            <v xml:space="preserve"> MONITOR HOUSING</v>
          </cell>
          <cell r="D1771" t="str">
            <v xml:space="preserve"> 20"×2형</v>
          </cell>
          <cell r="E1771" t="str">
            <v>대</v>
          </cell>
          <cell r="F1771">
            <v>1</v>
          </cell>
          <cell r="G1771">
            <v>700000</v>
          </cell>
          <cell r="H1771">
            <v>700000</v>
          </cell>
          <cell r="I1771">
            <v>0</v>
          </cell>
        </row>
        <row r="1772">
          <cell r="B1772" t="str">
            <v>소         계</v>
          </cell>
          <cell r="H1772">
            <v>1400000</v>
          </cell>
          <cell r="I1772" t="str">
            <v>ⓐ</v>
          </cell>
        </row>
        <row r="1773">
          <cell r="C1773" t="str">
            <v>나, 노무비</v>
          </cell>
        </row>
        <row r="1774">
          <cell r="A1774" t="str">
            <v>90 통신기사 2급</v>
          </cell>
          <cell r="C1774" t="str">
            <v xml:space="preserve"> 통신기사 2급</v>
          </cell>
          <cell r="E1774" t="str">
            <v>인</v>
          </cell>
          <cell r="F1774">
            <v>0.2</v>
          </cell>
          <cell r="G1774">
            <v>78519</v>
          </cell>
          <cell r="H1774">
            <v>15703.8</v>
          </cell>
          <cell r="I1774" t="str">
            <v>기본,통신 3-29</v>
          </cell>
        </row>
        <row r="1775">
          <cell r="A1775" t="str">
            <v>90 통신설비공</v>
          </cell>
          <cell r="C1775" t="str">
            <v xml:space="preserve"> 통신설비공</v>
          </cell>
          <cell r="E1775" t="str">
            <v>인</v>
          </cell>
          <cell r="F1775">
            <v>1.1200000000000001</v>
          </cell>
          <cell r="G1775">
            <v>66296</v>
          </cell>
          <cell r="H1775">
            <v>74251.5</v>
          </cell>
          <cell r="I1775" t="str">
            <v>기본,통신 3-29</v>
          </cell>
        </row>
        <row r="1776">
          <cell r="A1776" t="str">
            <v>90 보통인부</v>
          </cell>
          <cell r="C1776" t="str">
            <v xml:space="preserve"> 보통인부</v>
          </cell>
          <cell r="E1776" t="str">
            <v>인</v>
          </cell>
          <cell r="F1776">
            <v>0.72</v>
          </cell>
          <cell r="G1776">
            <v>34098</v>
          </cell>
          <cell r="H1776">
            <v>24550.5</v>
          </cell>
          <cell r="I1776" t="str">
            <v>기본,통신 3-29</v>
          </cell>
        </row>
        <row r="1777">
          <cell r="B1777" t="str">
            <v>소         계</v>
          </cell>
          <cell r="H1777">
            <v>114505</v>
          </cell>
          <cell r="I1777" t="str">
            <v>ⓑ</v>
          </cell>
        </row>
        <row r="1778">
          <cell r="C1778" t="str">
            <v>다, 기계경비</v>
          </cell>
        </row>
        <row r="1779">
          <cell r="C1779" t="str">
            <v xml:space="preserve"> 통신기사 2급</v>
          </cell>
          <cell r="E1779" t="str">
            <v>인</v>
          </cell>
          <cell r="F1779">
            <v>6.0000000000000001E-3</v>
          </cell>
          <cell r="G1779">
            <v>78519</v>
          </cell>
          <cell r="H1779">
            <v>471.1</v>
          </cell>
        </row>
        <row r="1780">
          <cell r="C1780" t="str">
            <v xml:space="preserve"> 통신설비공</v>
          </cell>
          <cell r="E1780" t="str">
            <v>인</v>
          </cell>
          <cell r="F1780">
            <v>3.3000000000000002E-2</v>
          </cell>
          <cell r="G1780">
            <v>66296</v>
          </cell>
          <cell r="H1780">
            <v>2187.6999999999998</v>
          </cell>
        </row>
        <row r="1781">
          <cell r="C1781" t="str">
            <v xml:space="preserve"> 보통인부</v>
          </cell>
          <cell r="E1781" t="str">
            <v>인</v>
          </cell>
          <cell r="F1781">
            <v>2.1000000000000001E-2</v>
          </cell>
          <cell r="G1781">
            <v>34098</v>
          </cell>
          <cell r="H1781">
            <v>716</v>
          </cell>
        </row>
        <row r="1782">
          <cell r="B1782" t="str">
            <v>소         계</v>
          </cell>
          <cell r="H1782">
            <v>3374</v>
          </cell>
          <cell r="I1782" t="str">
            <v>ⓒ</v>
          </cell>
        </row>
        <row r="1786">
          <cell r="A1786" t="str">
            <v>90재   료   비</v>
          </cell>
          <cell r="B1786" t="str">
            <v>재   료   비</v>
          </cell>
          <cell r="D1786" t="str">
            <v>ⓐ</v>
          </cell>
          <cell r="H1786">
            <v>1400000</v>
          </cell>
        </row>
        <row r="1787">
          <cell r="A1787" t="str">
            <v>90노   무   비</v>
          </cell>
          <cell r="B1787" t="str">
            <v>노   무   비</v>
          </cell>
          <cell r="D1787" t="str">
            <v>ⓑ</v>
          </cell>
          <cell r="H1787">
            <v>114505</v>
          </cell>
        </row>
        <row r="1788">
          <cell r="A1788" t="str">
            <v>90경        비</v>
          </cell>
          <cell r="B1788" t="str">
            <v>경        비</v>
          </cell>
          <cell r="D1788" t="str">
            <v>ⓒ</v>
          </cell>
          <cell r="H1788">
            <v>3374</v>
          </cell>
        </row>
        <row r="1789">
          <cell r="B1789" t="str">
            <v>계</v>
          </cell>
          <cell r="H1789">
            <v>1517879</v>
          </cell>
        </row>
        <row r="1804">
          <cell r="B1804">
            <v>91</v>
          </cell>
          <cell r="C1804" t="str">
            <v xml:space="preserve"> CCTV카메라 신설</v>
          </cell>
          <cell r="D1804" t="str">
            <v xml:space="preserve"> CCD- 8</v>
          </cell>
          <cell r="E1804" t="str">
            <v>대</v>
          </cell>
          <cell r="F1804">
            <v>1</v>
          </cell>
        </row>
        <row r="1805">
          <cell r="C1805" t="str">
            <v>가, 재료비</v>
          </cell>
        </row>
        <row r="1806">
          <cell r="A1806" t="str">
            <v xml:space="preserve"> COLOR CAMERA 2 LUX</v>
          </cell>
          <cell r="C1806" t="str">
            <v xml:space="preserve"> COLOR CAMERA</v>
          </cell>
          <cell r="D1806" t="str">
            <v xml:space="preserve"> 2 LUX</v>
          </cell>
          <cell r="E1806" t="str">
            <v>개</v>
          </cell>
          <cell r="F1806">
            <v>1</v>
          </cell>
          <cell r="G1806">
            <v>1250000</v>
          </cell>
          <cell r="H1806">
            <v>1250000</v>
          </cell>
          <cell r="I1806">
            <v>0</v>
          </cell>
        </row>
        <row r="1807">
          <cell r="A1807" t="str">
            <v xml:space="preserve"> AUTO IRIS LENS 8mm</v>
          </cell>
          <cell r="C1807" t="str">
            <v xml:space="preserve"> AUTO IRIS LENS</v>
          </cell>
          <cell r="D1807" t="str">
            <v xml:space="preserve"> 8mm</v>
          </cell>
          <cell r="E1807" t="str">
            <v>개</v>
          </cell>
          <cell r="F1807">
            <v>1</v>
          </cell>
          <cell r="G1807">
            <v>180000</v>
          </cell>
          <cell r="H1807">
            <v>180000</v>
          </cell>
          <cell r="I1807">
            <v>0</v>
          </cell>
        </row>
        <row r="1808">
          <cell r="A1808" t="str">
            <v xml:space="preserve"> CAMERA HOUSING INDOOR</v>
          </cell>
          <cell r="C1808" t="str">
            <v xml:space="preserve"> CAMERA HOUSING</v>
          </cell>
          <cell r="D1808" t="str">
            <v xml:space="preserve"> INDOOR</v>
          </cell>
          <cell r="E1808" t="str">
            <v>개</v>
          </cell>
          <cell r="F1808">
            <v>1</v>
          </cell>
          <cell r="G1808">
            <v>60000</v>
          </cell>
          <cell r="H1808">
            <v>60000</v>
          </cell>
          <cell r="I1808">
            <v>0</v>
          </cell>
        </row>
        <row r="1809">
          <cell r="A1809" t="str">
            <v xml:space="preserve"> CAMERA BRACKET WALL TYPE</v>
          </cell>
          <cell r="C1809" t="str">
            <v xml:space="preserve"> CAMERA BRACKET</v>
          </cell>
          <cell r="D1809" t="str">
            <v xml:space="preserve"> WALL TYPE</v>
          </cell>
          <cell r="E1809" t="str">
            <v>개</v>
          </cell>
          <cell r="F1809">
            <v>1</v>
          </cell>
          <cell r="G1809">
            <v>50000</v>
          </cell>
          <cell r="H1809">
            <v>50000</v>
          </cell>
          <cell r="I1809">
            <v>0</v>
          </cell>
        </row>
        <row r="1810">
          <cell r="B1810" t="str">
            <v>소         계</v>
          </cell>
          <cell r="H1810">
            <v>1540000</v>
          </cell>
          <cell r="I1810" t="str">
            <v>ⓐ</v>
          </cell>
        </row>
        <row r="1811">
          <cell r="C1811" t="str">
            <v>나, 노무비</v>
          </cell>
        </row>
        <row r="1812">
          <cell r="A1812" t="str">
            <v>91 통신기사 2급</v>
          </cell>
          <cell r="C1812" t="str">
            <v xml:space="preserve"> 통신기사 2급</v>
          </cell>
          <cell r="E1812" t="str">
            <v>인</v>
          </cell>
          <cell r="F1812">
            <v>0.7</v>
          </cell>
          <cell r="G1812">
            <v>78519</v>
          </cell>
          <cell r="H1812">
            <v>54963.3</v>
          </cell>
          <cell r="I1812" t="str">
            <v>기본,통신 3-29</v>
          </cell>
        </row>
        <row r="1813">
          <cell r="A1813" t="str">
            <v>91 통신설비공</v>
          </cell>
          <cell r="C1813" t="str">
            <v xml:space="preserve"> 통신설비공</v>
          </cell>
          <cell r="E1813" t="str">
            <v>인</v>
          </cell>
          <cell r="F1813">
            <v>1.02</v>
          </cell>
          <cell r="G1813">
            <v>66296</v>
          </cell>
          <cell r="H1813">
            <v>67621.899999999994</v>
          </cell>
          <cell r="I1813" t="str">
            <v>기본,통신 3-29</v>
          </cell>
        </row>
        <row r="1814">
          <cell r="A1814" t="str">
            <v>91 보통인부</v>
          </cell>
          <cell r="C1814" t="str">
            <v xml:space="preserve"> 보통인부</v>
          </cell>
          <cell r="E1814" t="str">
            <v>인</v>
          </cell>
          <cell r="F1814">
            <v>0.91999999999999993</v>
          </cell>
          <cell r="G1814">
            <v>34098</v>
          </cell>
          <cell r="H1814">
            <v>31370.1</v>
          </cell>
          <cell r="I1814" t="str">
            <v>기본,통신 3-29</v>
          </cell>
        </row>
        <row r="1815">
          <cell r="B1815" t="str">
            <v>소         계</v>
          </cell>
          <cell r="H1815">
            <v>153955</v>
          </cell>
          <cell r="I1815" t="str">
            <v>ⓑ</v>
          </cell>
        </row>
        <row r="1816">
          <cell r="C1816" t="str">
            <v>다, 기계경비</v>
          </cell>
        </row>
        <row r="1817">
          <cell r="C1817" t="str">
            <v xml:space="preserve"> 통신기사 2급</v>
          </cell>
          <cell r="E1817" t="str">
            <v>인</v>
          </cell>
          <cell r="F1817">
            <v>2.1000000000000001E-2</v>
          </cell>
          <cell r="G1817">
            <v>78519</v>
          </cell>
          <cell r="H1817">
            <v>1648.8</v>
          </cell>
        </row>
        <row r="1818">
          <cell r="C1818" t="str">
            <v xml:space="preserve"> 통신설비공</v>
          </cell>
          <cell r="E1818" t="str">
            <v>인</v>
          </cell>
          <cell r="F1818">
            <v>0.03</v>
          </cell>
          <cell r="G1818">
            <v>66296</v>
          </cell>
          <cell r="H1818">
            <v>1988.8</v>
          </cell>
        </row>
        <row r="1819">
          <cell r="C1819" t="str">
            <v xml:space="preserve"> 보통인부</v>
          </cell>
          <cell r="E1819" t="str">
            <v>인</v>
          </cell>
          <cell r="F1819">
            <v>2.7E-2</v>
          </cell>
          <cell r="G1819">
            <v>34098</v>
          </cell>
          <cell r="H1819">
            <v>920.6</v>
          </cell>
        </row>
        <row r="1820">
          <cell r="B1820" t="str">
            <v>소         계</v>
          </cell>
          <cell r="H1820">
            <v>4558</v>
          </cell>
          <cell r="I1820" t="str">
            <v>ⓒ</v>
          </cell>
        </row>
        <row r="1822">
          <cell r="A1822" t="str">
            <v>91재   료   비</v>
          </cell>
          <cell r="B1822" t="str">
            <v>재   료   비</v>
          </cell>
          <cell r="D1822" t="str">
            <v>ⓐ</v>
          </cell>
          <cell r="H1822">
            <v>1540000</v>
          </cell>
        </row>
        <row r="1823">
          <cell r="A1823" t="str">
            <v>91노   무   비</v>
          </cell>
          <cell r="B1823" t="str">
            <v>노   무   비</v>
          </cell>
          <cell r="D1823" t="str">
            <v>ⓑ</v>
          </cell>
          <cell r="H1823">
            <v>153955</v>
          </cell>
        </row>
        <row r="1824">
          <cell r="A1824" t="str">
            <v>91경        비</v>
          </cell>
          <cell r="B1824" t="str">
            <v>경        비</v>
          </cell>
          <cell r="D1824" t="str">
            <v>ⓒ</v>
          </cell>
          <cell r="H1824">
            <v>4558</v>
          </cell>
        </row>
        <row r="1825">
          <cell r="B1825" t="str">
            <v>계</v>
          </cell>
          <cell r="H1825">
            <v>1698513</v>
          </cell>
        </row>
        <row r="1840">
          <cell r="B1840">
            <v>92</v>
          </cell>
          <cell r="C1840" t="str">
            <v xml:space="preserve"> CCTV카메라 신설</v>
          </cell>
          <cell r="D1840" t="str">
            <v xml:space="preserve"> CCD-16</v>
          </cell>
          <cell r="E1840" t="str">
            <v>대</v>
          </cell>
          <cell r="F1840">
            <v>1</v>
          </cell>
        </row>
        <row r="1841">
          <cell r="C1841" t="str">
            <v>가, 재료비</v>
          </cell>
        </row>
        <row r="1842">
          <cell r="A1842" t="str">
            <v xml:space="preserve"> COLOR CAMERA 2 LUX</v>
          </cell>
          <cell r="C1842" t="str">
            <v xml:space="preserve"> COLOR CAMERA</v>
          </cell>
          <cell r="D1842" t="str">
            <v xml:space="preserve"> 2 LUX</v>
          </cell>
          <cell r="E1842" t="str">
            <v>개</v>
          </cell>
          <cell r="F1842">
            <v>1</v>
          </cell>
          <cell r="G1842">
            <v>1250000</v>
          </cell>
          <cell r="H1842">
            <v>1250000</v>
          </cell>
          <cell r="I1842">
            <v>0</v>
          </cell>
        </row>
        <row r="1843">
          <cell r="A1843" t="str">
            <v xml:space="preserve"> AUTO IRIS LENS 16mm</v>
          </cell>
          <cell r="C1843" t="str">
            <v xml:space="preserve"> AUTO IRIS LENS</v>
          </cell>
          <cell r="D1843" t="str">
            <v xml:space="preserve"> 16mm</v>
          </cell>
          <cell r="E1843" t="str">
            <v>개</v>
          </cell>
          <cell r="F1843">
            <v>1</v>
          </cell>
          <cell r="G1843">
            <v>250000</v>
          </cell>
          <cell r="H1843">
            <v>250000</v>
          </cell>
          <cell r="I1843">
            <v>0</v>
          </cell>
        </row>
        <row r="1844">
          <cell r="A1844" t="str">
            <v xml:space="preserve"> CAMERA HOUSING OUTDOOR</v>
          </cell>
          <cell r="C1844" t="str">
            <v xml:space="preserve"> CAMERA HOUSING</v>
          </cell>
          <cell r="D1844" t="str">
            <v xml:space="preserve"> OUTDOOR</v>
          </cell>
          <cell r="E1844" t="str">
            <v>개</v>
          </cell>
          <cell r="F1844">
            <v>1</v>
          </cell>
          <cell r="G1844">
            <v>300000</v>
          </cell>
          <cell r="H1844">
            <v>300000</v>
          </cell>
          <cell r="I1844">
            <v>0</v>
          </cell>
        </row>
        <row r="1845">
          <cell r="A1845" t="str">
            <v xml:space="preserve"> CAMERA BRACKET WALL TYPE</v>
          </cell>
          <cell r="C1845" t="str">
            <v xml:space="preserve"> CAMERA BRACKET</v>
          </cell>
          <cell r="D1845" t="str">
            <v xml:space="preserve"> WALL TYPE</v>
          </cell>
          <cell r="E1845" t="str">
            <v>개</v>
          </cell>
          <cell r="F1845">
            <v>1</v>
          </cell>
          <cell r="G1845">
            <v>50000</v>
          </cell>
          <cell r="H1845">
            <v>50000</v>
          </cell>
          <cell r="I1845">
            <v>0</v>
          </cell>
        </row>
        <row r="1846">
          <cell r="B1846" t="str">
            <v>소         계</v>
          </cell>
          <cell r="H1846">
            <v>1850000</v>
          </cell>
          <cell r="I1846" t="str">
            <v>ⓐ</v>
          </cell>
        </row>
        <row r="1847">
          <cell r="C1847" t="str">
            <v>나, 노무비</v>
          </cell>
        </row>
        <row r="1848">
          <cell r="A1848" t="str">
            <v>92 통신기사 2급</v>
          </cell>
          <cell r="C1848" t="str">
            <v xml:space="preserve"> 통신기사 2급</v>
          </cell>
          <cell r="E1848" t="str">
            <v>인</v>
          </cell>
          <cell r="F1848">
            <v>0.7</v>
          </cell>
          <cell r="G1848">
            <v>78519</v>
          </cell>
          <cell r="H1848">
            <v>54963.3</v>
          </cell>
          <cell r="I1848" t="str">
            <v>기본,통신 3-29</v>
          </cell>
        </row>
        <row r="1849">
          <cell r="A1849" t="str">
            <v>92 통신설비공</v>
          </cell>
          <cell r="C1849" t="str">
            <v xml:space="preserve"> 통신설비공</v>
          </cell>
          <cell r="E1849" t="str">
            <v>인</v>
          </cell>
          <cell r="F1849">
            <v>1.02</v>
          </cell>
          <cell r="G1849">
            <v>66296</v>
          </cell>
          <cell r="H1849">
            <v>67621.899999999994</v>
          </cell>
          <cell r="I1849" t="str">
            <v>기본,통신 3-29</v>
          </cell>
        </row>
        <row r="1850">
          <cell r="A1850" t="str">
            <v>92 보통인부</v>
          </cell>
          <cell r="C1850" t="str">
            <v xml:space="preserve"> 보통인부</v>
          </cell>
          <cell r="E1850" t="str">
            <v>인</v>
          </cell>
          <cell r="F1850">
            <v>0.91999999999999993</v>
          </cell>
          <cell r="G1850">
            <v>34098</v>
          </cell>
          <cell r="H1850">
            <v>31370.1</v>
          </cell>
          <cell r="I1850" t="str">
            <v>기본,통신 3-29</v>
          </cell>
        </row>
        <row r="1851">
          <cell r="B1851" t="str">
            <v>소         계</v>
          </cell>
          <cell r="H1851">
            <v>153955</v>
          </cell>
          <cell r="I1851" t="str">
            <v>ⓑ</v>
          </cell>
        </row>
        <row r="1852">
          <cell r="C1852" t="str">
            <v>다, 기계경비</v>
          </cell>
        </row>
        <row r="1853">
          <cell r="C1853" t="str">
            <v xml:space="preserve"> 통신기사 2급</v>
          </cell>
          <cell r="E1853" t="str">
            <v>인</v>
          </cell>
          <cell r="F1853">
            <v>2.1000000000000001E-2</v>
          </cell>
          <cell r="G1853">
            <v>78519</v>
          </cell>
          <cell r="H1853">
            <v>1648.8</v>
          </cell>
        </row>
        <row r="1854">
          <cell r="C1854" t="str">
            <v xml:space="preserve"> 통신설비공</v>
          </cell>
          <cell r="E1854" t="str">
            <v>인</v>
          </cell>
          <cell r="F1854">
            <v>0.03</v>
          </cell>
          <cell r="G1854">
            <v>66296</v>
          </cell>
          <cell r="H1854">
            <v>1988.8</v>
          </cell>
        </row>
        <row r="1855">
          <cell r="C1855" t="str">
            <v xml:space="preserve"> 보통인부</v>
          </cell>
          <cell r="E1855" t="str">
            <v>인</v>
          </cell>
          <cell r="F1855">
            <v>2.7E-2</v>
          </cell>
          <cell r="G1855">
            <v>34098</v>
          </cell>
          <cell r="H1855">
            <v>920.6</v>
          </cell>
        </row>
        <row r="1856">
          <cell r="B1856" t="str">
            <v>소         계</v>
          </cell>
          <cell r="H1856">
            <v>4558</v>
          </cell>
          <cell r="I1856" t="str">
            <v>ⓒ</v>
          </cell>
        </row>
        <row r="1858">
          <cell r="A1858" t="str">
            <v>92재   료   비</v>
          </cell>
          <cell r="B1858" t="str">
            <v>재   료   비</v>
          </cell>
          <cell r="D1858" t="str">
            <v>ⓐ</v>
          </cell>
          <cell r="H1858">
            <v>1850000</v>
          </cell>
        </row>
        <row r="1859">
          <cell r="A1859" t="str">
            <v>92노   무   비</v>
          </cell>
          <cell r="B1859" t="str">
            <v>노   무   비</v>
          </cell>
          <cell r="D1859" t="str">
            <v>ⓑ</v>
          </cell>
          <cell r="H1859">
            <v>153955</v>
          </cell>
        </row>
        <row r="1860">
          <cell r="A1860" t="str">
            <v>92경        비</v>
          </cell>
          <cell r="B1860" t="str">
            <v>경        비</v>
          </cell>
          <cell r="D1860" t="str">
            <v>ⓒ</v>
          </cell>
          <cell r="H1860">
            <v>4558</v>
          </cell>
        </row>
        <row r="1861">
          <cell r="B1861" t="str">
            <v>계</v>
          </cell>
          <cell r="H1861">
            <v>2008513</v>
          </cell>
        </row>
        <row r="1876">
          <cell r="B1876">
            <v>93</v>
          </cell>
          <cell r="C1876" t="str">
            <v xml:space="preserve"> 강관주 설치</v>
          </cell>
          <cell r="D1876" t="str">
            <v xml:space="preserve"> 150mmx4m</v>
          </cell>
          <cell r="E1876" t="str">
            <v>본</v>
          </cell>
          <cell r="F1876">
            <v>1</v>
          </cell>
        </row>
        <row r="1877">
          <cell r="C1877" t="str">
            <v>가, 재료비</v>
          </cell>
        </row>
        <row r="1878">
          <cell r="A1878" t="str">
            <v xml:space="preserve"> 강관주 150mm×4m</v>
          </cell>
          <cell r="C1878" t="str">
            <v xml:space="preserve"> 강관주</v>
          </cell>
          <cell r="D1878" t="str">
            <v xml:space="preserve"> 150mm×4m</v>
          </cell>
          <cell r="E1878" t="str">
            <v>본</v>
          </cell>
          <cell r="F1878">
            <v>1</v>
          </cell>
          <cell r="G1878">
            <v>1750000</v>
          </cell>
          <cell r="H1878">
            <v>1750000</v>
          </cell>
          <cell r="I1878">
            <v>0</v>
          </cell>
        </row>
        <row r="1879">
          <cell r="A1879" t="str">
            <v xml:space="preserve"> 볼트너트 Φ 25mm</v>
          </cell>
          <cell r="C1879" t="str">
            <v xml:space="preserve"> 볼트너트</v>
          </cell>
          <cell r="D1879" t="str">
            <v xml:space="preserve"> Φ 25mm</v>
          </cell>
          <cell r="E1879" t="str">
            <v>개</v>
          </cell>
          <cell r="F1879">
            <v>4</v>
          </cell>
          <cell r="G1879">
            <v>10</v>
          </cell>
          <cell r="H1879">
            <v>40</v>
          </cell>
          <cell r="I1879">
            <v>0</v>
          </cell>
        </row>
        <row r="1880">
          <cell r="A1880" t="str">
            <v xml:space="preserve"> 철판 900×900×16t</v>
          </cell>
          <cell r="C1880" t="str">
            <v xml:space="preserve"> 철판</v>
          </cell>
          <cell r="D1880" t="str">
            <v xml:space="preserve"> 900×900×16t</v>
          </cell>
          <cell r="E1880" t="str">
            <v>개</v>
          </cell>
          <cell r="F1880">
            <v>1</v>
          </cell>
          <cell r="G1880">
            <v>49505</v>
          </cell>
          <cell r="H1880">
            <v>49505</v>
          </cell>
          <cell r="I1880">
            <v>0</v>
          </cell>
        </row>
        <row r="1881">
          <cell r="A1881" t="str">
            <v xml:space="preserve"> 시멘트(40㎏)  분공장도</v>
          </cell>
          <cell r="C1881" t="str">
            <v xml:space="preserve"> 시멘트(40㎏) </v>
          </cell>
          <cell r="D1881" t="str">
            <v xml:space="preserve"> 분공장도</v>
          </cell>
          <cell r="E1881" t="str">
            <v>포</v>
          </cell>
          <cell r="F1881">
            <v>1.29</v>
          </cell>
          <cell r="G1881">
            <v>2450</v>
          </cell>
          <cell r="H1881">
            <v>3160.5</v>
          </cell>
          <cell r="I1881">
            <v>0</v>
          </cell>
        </row>
        <row r="1882">
          <cell r="A1882" t="str">
            <v xml:space="preserve"> 모래(세척사)  인천(도착도)</v>
          </cell>
          <cell r="C1882" t="str">
            <v xml:space="preserve"> 모래(세척사) </v>
          </cell>
          <cell r="D1882" t="str">
            <v xml:space="preserve"> 인천(도착도)</v>
          </cell>
          <cell r="E1882" t="str">
            <v>㎥</v>
          </cell>
          <cell r="F1882">
            <v>0.32</v>
          </cell>
          <cell r="G1882">
            <v>1750</v>
          </cell>
          <cell r="H1882">
            <v>560</v>
          </cell>
          <cell r="I1882">
            <v>0</v>
          </cell>
        </row>
        <row r="1883">
          <cell r="A1883" t="str">
            <v xml:space="preserve"> 자갈(#467,Φ40)   인천(도착도)</v>
          </cell>
          <cell r="C1883" t="str">
            <v xml:space="preserve"> 자갈(#467,Φ40)  </v>
          </cell>
          <cell r="D1883" t="str">
            <v xml:space="preserve"> 인천(도착도)</v>
          </cell>
          <cell r="E1883" t="str">
            <v>㎥</v>
          </cell>
          <cell r="F1883">
            <v>0.65</v>
          </cell>
          <cell r="G1883">
            <v>18500</v>
          </cell>
          <cell r="H1883">
            <v>12025</v>
          </cell>
          <cell r="I1883">
            <v>0</v>
          </cell>
        </row>
        <row r="1884">
          <cell r="A1884" t="str">
            <v xml:space="preserve"> 보통합판(1급)  12T  1.21*2.42</v>
          </cell>
          <cell r="C1884" t="str">
            <v xml:space="preserve"> 보통합판(1급) </v>
          </cell>
          <cell r="D1884" t="str">
            <v xml:space="preserve"> 12T  1.21*2.42</v>
          </cell>
          <cell r="E1884" t="str">
            <v>㎡</v>
          </cell>
          <cell r="F1884">
            <v>0.06</v>
          </cell>
          <cell r="G1884">
            <v>6181</v>
          </cell>
          <cell r="H1884">
            <v>370.8</v>
          </cell>
          <cell r="I1884">
            <v>0</v>
          </cell>
        </row>
        <row r="1885">
          <cell r="A1885" t="str">
            <v xml:space="preserve"> 라왕  각재</v>
          </cell>
          <cell r="C1885" t="str">
            <v xml:space="preserve"> 라왕 </v>
          </cell>
          <cell r="D1885" t="str">
            <v xml:space="preserve"> 각재</v>
          </cell>
          <cell r="E1885" t="str">
            <v>㎥</v>
          </cell>
          <cell r="F1885">
            <v>2E-3</v>
          </cell>
          <cell r="G1885">
            <v>986023</v>
          </cell>
          <cell r="H1885">
            <v>1972</v>
          </cell>
          <cell r="I1885">
            <v>0</v>
          </cell>
        </row>
        <row r="1886">
          <cell r="A1886" t="str">
            <v xml:space="preserve"> 어니일링(소)철선   #8  4.0mm</v>
          </cell>
          <cell r="C1886" t="str">
            <v xml:space="preserve"> 어니일링(소)철선  </v>
          </cell>
          <cell r="D1886" t="str">
            <v xml:space="preserve"> #8  4.0mm</v>
          </cell>
          <cell r="E1886" t="str">
            <v>kg</v>
          </cell>
          <cell r="F1886">
            <v>0.01</v>
          </cell>
          <cell r="G1886">
            <v>570</v>
          </cell>
          <cell r="H1886">
            <v>5.7</v>
          </cell>
          <cell r="I1886">
            <v>0</v>
          </cell>
        </row>
        <row r="1887">
          <cell r="A1887" t="str">
            <v xml:space="preserve"> 철못   N 50</v>
          </cell>
          <cell r="C1887" t="str">
            <v xml:space="preserve"> 철못  </v>
          </cell>
          <cell r="D1887" t="str">
            <v xml:space="preserve"> N 50</v>
          </cell>
          <cell r="E1887" t="str">
            <v>kg</v>
          </cell>
          <cell r="F1887">
            <v>0.01</v>
          </cell>
          <cell r="G1887">
            <v>700</v>
          </cell>
          <cell r="H1887">
            <v>7</v>
          </cell>
          <cell r="I1887">
            <v>0</v>
          </cell>
        </row>
        <row r="1888">
          <cell r="A1888" t="str">
            <v xml:space="preserve"> 박리제   유성</v>
          </cell>
          <cell r="C1888" t="str">
            <v xml:space="preserve"> 박리제  </v>
          </cell>
          <cell r="D1888" t="str">
            <v xml:space="preserve"> 유성</v>
          </cell>
          <cell r="E1888" t="str">
            <v>ℓ</v>
          </cell>
          <cell r="F1888">
            <v>0.01</v>
          </cell>
          <cell r="G1888">
            <v>1300</v>
          </cell>
          <cell r="H1888">
            <v>13</v>
          </cell>
          <cell r="I1888">
            <v>0</v>
          </cell>
        </row>
        <row r="1889">
          <cell r="B1889" t="str">
            <v>소         계</v>
          </cell>
          <cell r="H1889">
            <v>1817659</v>
          </cell>
          <cell r="I1889" t="str">
            <v>ⓐ</v>
          </cell>
        </row>
        <row r="1894">
          <cell r="C1894" t="str">
            <v>나, 노무비</v>
          </cell>
        </row>
        <row r="1895">
          <cell r="A1895" t="str">
            <v>93 콘크리트공</v>
          </cell>
          <cell r="C1895" t="str">
            <v xml:space="preserve"> 콘크리트공</v>
          </cell>
          <cell r="E1895" t="str">
            <v>인</v>
          </cell>
          <cell r="F1895">
            <v>0.14000000000000001</v>
          </cell>
          <cell r="G1895">
            <v>63605</v>
          </cell>
          <cell r="H1895">
            <v>8904.7000000000007</v>
          </cell>
          <cell r="I1895" t="str">
            <v>기본,통신 3-29</v>
          </cell>
        </row>
        <row r="1896">
          <cell r="A1896" t="str">
            <v>93 형틀목공</v>
          </cell>
          <cell r="C1896" t="str">
            <v xml:space="preserve"> 형틀목공</v>
          </cell>
          <cell r="E1896" t="str">
            <v>인</v>
          </cell>
          <cell r="F1896">
            <v>0.01</v>
          </cell>
          <cell r="G1896">
            <v>65381</v>
          </cell>
          <cell r="H1896">
            <v>653.79999999999995</v>
          </cell>
          <cell r="I1896" t="str">
            <v>기본,통신 3-29</v>
          </cell>
        </row>
        <row r="1897">
          <cell r="A1897" t="str">
            <v>93 내선전공</v>
          </cell>
          <cell r="C1897" t="str">
            <v xml:space="preserve"> 내선전공</v>
          </cell>
          <cell r="E1897" t="str">
            <v>인</v>
          </cell>
          <cell r="F1897">
            <v>3.08</v>
          </cell>
          <cell r="G1897">
            <v>51021</v>
          </cell>
          <cell r="H1897">
            <v>157144.6</v>
          </cell>
          <cell r="I1897" t="str">
            <v>기본,통신 3-29</v>
          </cell>
        </row>
        <row r="1898">
          <cell r="A1898" t="str">
            <v>93 보통인부</v>
          </cell>
          <cell r="C1898" t="str">
            <v xml:space="preserve"> 보통인부</v>
          </cell>
          <cell r="E1898" t="str">
            <v>인</v>
          </cell>
          <cell r="F1898">
            <v>0.17</v>
          </cell>
          <cell r="G1898">
            <v>34098</v>
          </cell>
          <cell r="H1898">
            <v>5796.6</v>
          </cell>
          <cell r="I1898" t="str">
            <v>기본,통신 3-29</v>
          </cell>
        </row>
        <row r="1899">
          <cell r="B1899" t="str">
            <v>소         계</v>
          </cell>
          <cell r="H1899">
            <v>172499</v>
          </cell>
          <cell r="I1899" t="str">
            <v>ⓑ</v>
          </cell>
        </row>
        <row r="1900">
          <cell r="C1900" t="str">
            <v>다, 기계경비</v>
          </cell>
        </row>
        <row r="1901">
          <cell r="C1901" t="str">
            <v xml:space="preserve"> 콘크리트공</v>
          </cell>
          <cell r="E1901" t="str">
            <v>인</v>
          </cell>
          <cell r="F1901">
            <v>4.0000000000000001E-3</v>
          </cell>
          <cell r="G1901">
            <v>63605</v>
          </cell>
          <cell r="H1901">
            <v>254.4</v>
          </cell>
        </row>
        <row r="1902">
          <cell r="C1902" t="str">
            <v xml:space="preserve"> 형틀목공</v>
          </cell>
          <cell r="E1902" t="str">
            <v>인</v>
          </cell>
          <cell r="F1902">
            <v>2.9999999999999997E-4</v>
          </cell>
          <cell r="G1902">
            <v>65381</v>
          </cell>
          <cell r="H1902">
            <v>19.600000000000001</v>
          </cell>
        </row>
        <row r="1903">
          <cell r="C1903" t="str">
            <v xml:space="preserve"> 내선전공</v>
          </cell>
          <cell r="E1903" t="str">
            <v>인</v>
          </cell>
          <cell r="F1903">
            <v>9.1999999999999998E-2</v>
          </cell>
          <cell r="G1903">
            <v>51021</v>
          </cell>
          <cell r="H1903">
            <v>4693.8999999999996</v>
          </cell>
        </row>
        <row r="1904">
          <cell r="C1904" t="str">
            <v xml:space="preserve"> 보통인부</v>
          </cell>
          <cell r="E1904" t="str">
            <v>인</v>
          </cell>
          <cell r="F1904">
            <v>5.0000000000000001E-3</v>
          </cell>
          <cell r="G1904">
            <v>34098</v>
          </cell>
          <cell r="H1904">
            <v>170.4</v>
          </cell>
        </row>
        <row r="1905">
          <cell r="B1905" t="str">
            <v>소         계</v>
          </cell>
          <cell r="H1905">
            <v>5138</v>
          </cell>
          <cell r="I1905" t="str">
            <v>ⓒ</v>
          </cell>
        </row>
        <row r="1907">
          <cell r="A1907" t="str">
            <v>93재   료   비</v>
          </cell>
          <cell r="B1907" t="str">
            <v>재   료   비</v>
          </cell>
          <cell r="D1907" t="str">
            <v>ⓐ</v>
          </cell>
          <cell r="H1907">
            <v>1817659</v>
          </cell>
        </row>
        <row r="1908">
          <cell r="A1908" t="str">
            <v>93노   무   비</v>
          </cell>
          <cell r="B1908" t="str">
            <v>노   무   비</v>
          </cell>
          <cell r="D1908" t="str">
            <v>ⓑ</v>
          </cell>
          <cell r="H1908">
            <v>172499</v>
          </cell>
        </row>
        <row r="1909">
          <cell r="A1909" t="str">
            <v>93경        비</v>
          </cell>
          <cell r="B1909" t="str">
            <v>경        비</v>
          </cell>
          <cell r="D1909" t="str">
            <v>ⓒ</v>
          </cell>
          <cell r="H1909">
            <v>5138</v>
          </cell>
        </row>
        <row r="1910">
          <cell r="B1910" t="str">
            <v>계</v>
          </cell>
          <cell r="H1910">
            <v>1995296</v>
          </cell>
        </row>
        <row r="1912">
          <cell r="B1912">
            <v>94</v>
          </cell>
          <cell r="C1912" t="str">
            <v xml:space="preserve"> 강관주 설치</v>
          </cell>
          <cell r="D1912" t="str">
            <v xml:space="preserve"> 100mmx4m</v>
          </cell>
          <cell r="E1912" t="str">
            <v>본</v>
          </cell>
          <cell r="F1912">
            <v>1</v>
          </cell>
        </row>
        <row r="1913">
          <cell r="C1913" t="str">
            <v>가, 재료비</v>
          </cell>
        </row>
        <row r="1914">
          <cell r="A1914" t="str">
            <v xml:space="preserve"> 강관주 100mm×4m</v>
          </cell>
          <cell r="C1914" t="str">
            <v xml:space="preserve"> 강관주</v>
          </cell>
          <cell r="D1914" t="str">
            <v xml:space="preserve"> 100mm×4m</v>
          </cell>
          <cell r="E1914" t="str">
            <v>본</v>
          </cell>
          <cell r="F1914">
            <v>1</v>
          </cell>
          <cell r="G1914">
            <v>1600000</v>
          </cell>
          <cell r="H1914">
            <v>1600000</v>
          </cell>
          <cell r="I1914">
            <v>0</v>
          </cell>
        </row>
        <row r="1915">
          <cell r="A1915" t="str">
            <v xml:space="preserve"> 볼트너트 Φ 25mm</v>
          </cell>
          <cell r="C1915" t="str">
            <v xml:space="preserve"> 볼트너트</v>
          </cell>
          <cell r="D1915" t="str">
            <v xml:space="preserve"> Φ 25mm</v>
          </cell>
          <cell r="E1915" t="str">
            <v>개</v>
          </cell>
          <cell r="F1915">
            <v>4</v>
          </cell>
          <cell r="G1915">
            <v>10</v>
          </cell>
          <cell r="H1915">
            <v>40</v>
          </cell>
          <cell r="I1915">
            <v>0</v>
          </cell>
        </row>
        <row r="1916">
          <cell r="A1916" t="str">
            <v xml:space="preserve"> 철판 900×900×16t</v>
          </cell>
          <cell r="C1916" t="str">
            <v xml:space="preserve"> 철판</v>
          </cell>
          <cell r="D1916" t="str">
            <v xml:space="preserve"> 900×900×16t</v>
          </cell>
          <cell r="E1916" t="str">
            <v>개</v>
          </cell>
          <cell r="F1916">
            <v>1</v>
          </cell>
          <cell r="G1916">
            <v>49505</v>
          </cell>
          <cell r="H1916">
            <v>49505</v>
          </cell>
          <cell r="I1916">
            <v>0</v>
          </cell>
        </row>
        <row r="1917">
          <cell r="A1917" t="str">
            <v xml:space="preserve"> 시멘트(40㎏)  분공장도</v>
          </cell>
          <cell r="C1917" t="str">
            <v xml:space="preserve"> 시멘트(40㎏) </v>
          </cell>
          <cell r="D1917" t="str">
            <v xml:space="preserve"> 분공장도</v>
          </cell>
          <cell r="E1917" t="str">
            <v>포</v>
          </cell>
          <cell r="F1917">
            <v>1.29</v>
          </cell>
          <cell r="G1917">
            <v>2450</v>
          </cell>
          <cell r="H1917">
            <v>3160.5</v>
          </cell>
          <cell r="I1917">
            <v>0</v>
          </cell>
        </row>
        <row r="1918">
          <cell r="A1918" t="str">
            <v xml:space="preserve"> 모래(세척사)  인천(도착도)</v>
          </cell>
          <cell r="C1918" t="str">
            <v xml:space="preserve"> 모래(세척사) </v>
          </cell>
          <cell r="D1918" t="str">
            <v xml:space="preserve"> 인천(도착도)</v>
          </cell>
          <cell r="E1918" t="str">
            <v>㎥</v>
          </cell>
          <cell r="F1918">
            <v>0.32</v>
          </cell>
          <cell r="G1918">
            <v>1750</v>
          </cell>
          <cell r="H1918">
            <v>560</v>
          </cell>
          <cell r="I1918">
            <v>0</v>
          </cell>
        </row>
        <row r="1919">
          <cell r="A1919" t="str">
            <v xml:space="preserve"> 자갈(#467,Φ40)   인천(도착도)</v>
          </cell>
          <cell r="C1919" t="str">
            <v xml:space="preserve"> 자갈(#467,Φ40)  </v>
          </cell>
          <cell r="D1919" t="str">
            <v xml:space="preserve"> 인천(도착도)</v>
          </cell>
          <cell r="E1919" t="str">
            <v>㎥</v>
          </cell>
          <cell r="F1919">
            <v>0.65</v>
          </cell>
          <cell r="G1919">
            <v>18500</v>
          </cell>
          <cell r="H1919">
            <v>12025</v>
          </cell>
          <cell r="I1919">
            <v>0</v>
          </cell>
        </row>
        <row r="1920">
          <cell r="A1920" t="str">
            <v xml:space="preserve"> 보통합판(1급)  12T  1.21*2.42</v>
          </cell>
          <cell r="C1920" t="str">
            <v xml:space="preserve"> 보통합판(1급) </v>
          </cell>
          <cell r="D1920" t="str">
            <v xml:space="preserve"> 12T  1.21*2.42</v>
          </cell>
          <cell r="E1920" t="str">
            <v>㎡</v>
          </cell>
          <cell r="F1920">
            <v>0.06</v>
          </cell>
          <cell r="G1920">
            <v>6181</v>
          </cell>
          <cell r="H1920">
            <v>370.8</v>
          </cell>
          <cell r="I1920">
            <v>0</v>
          </cell>
        </row>
        <row r="1921">
          <cell r="A1921" t="str">
            <v xml:space="preserve"> 라왕  각재</v>
          </cell>
          <cell r="C1921" t="str">
            <v xml:space="preserve"> 라왕 </v>
          </cell>
          <cell r="D1921" t="str">
            <v xml:space="preserve"> 각재</v>
          </cell>
          <cell r="E1921" t="str">
            <v>㎥</v>
          </cell>
          <cell r="F1921">
            <v>2E-3</v>
          </cell>
          <cell r="G1921">
            <v>986023</v>
          </cell>
          <cell r="H1921">
            <v>1972</v>
          </cell>
          <cell r="I1921">
            <v>0</v>
          </cell>
        </row>
        <row r="1922">
          <cell r="A1922" t="str">
            <v xml:space="preserve"> 어니일링(소)철선   #8  4.0mm</v>
          </cell>
          <cell r="C1922" t="str">
            <v xml:space="preserve"> 어니일링(소)철선  </v>
          </cell>
          <cell r="D1922" t="str">
            <v xml:space="preserve"> #8  4.0mm</v>
          </cell>
          <cell r="E1922" t="str">
            <v>kg</v>
          </cell>
          <cell r="F1922">
            <v>0.01</v>
          </cell>
          <cell r="G1922">
            <v>570</v>
          </cell>
          <cell r="H1922">
            <v>5.7</v>
          </cell>
          <cell r="I1922">
            <v>0</v>
          </cell>
        </row>
        <row r="1923">
          <cell r="A1923" t="str">
            <v xml:space="preserve"> 철못   N 50</v>
          </cell>
          <cell r="C1923" t="str">
            <v xml:space="preserve"> 철못  </v>
          </cell>
          <cell r="D1923" t="str">
            <v xml:space="preserve"> N 50</v>
          </cell>
          <cell r="E1923" t="str">
            <v>kg</v>
          </cell>
          <cell r="F1923">
            <v>0.01</v>
          </cell>
          <cell r="G1923">
            <v>700</v>
          </cell>
          <cell r="H1923">
            <v>7</v>
          </cell>
          <cell r="I1923">
            <v>0</v>
          </cell>
        </row>
        <row r="1924">
          <cell r="A1924" t="str">
            <v xml:space="preserve"> 박리제   유성</v>
          </cell>
          <cell r="C1924" t="str">
            <v xml:space="preserve"> 박리제  </v>
          </cell>
          <cell r="D1924" t="str">
            <v xml:space="preserve"> 유성</v>
          </cell>
          <cell r="E1924" t="str">
            <v>ℓ</v>
          </cell>
          <cell r="F1924">
            <v>0.01</v>
          </cell>
          <cell r="G1924">
            <v>1300</v>
          </cell>
          <cell r="H1924">
            <v>13</v>
          </cell>
          <cell r="I1924">
            <v>0</v>
          </cell>
        </row>
        <row r="1925">
          <cell r="B1925" t="str">
            <v>소         계</v>
          </cell>
          <cell r="H1925">
            <v>1667659</v>
          </cell>
          <cell r="I1925" t="str">
            <v>ⓐ</v>
          </cell>
        </row>
        <row r="1926">
          <cell r="C1926" t="str">
            <v>나, 노무비</v>
          </cell>
        </row>
        <row r="1927">
          <cell r="A1927" t="str">
            <v>94 콘크리트공</v>
          </cell>
          <cell r="C1927" t="str">
            <v xml:space="preserve"> 콘크리트공</v>
          </cell>
          <cell r="E1927" t="str">
            <v>인</v>
          </cell>
          <cell r="F1927">
            <v>0.14000000000000001</v>
          </cell>
          <cell r="G1927">
            <v>63605</v>
          </cell>
          <cell r="H1927">
            <v>8904.7000000000007</v>
          </cell>
          <cell r="I1927" t="str">
            <v>기본,통신 3-29</v>
          </cell>
        </row>
        <row r="1928">
          <cell r="A1928" t="str">
            <v>94 형틀목공</v>
          </cell>
          <cell r="C1928" t="str">
            <v xml:space="preserve"> 형틀목공</v>
          </cell>
          <cell r="E1928" t="str">
            <v>인</v>
          </cell>
          <cell r="F1928">
            <v>0.01</v>
          </cell>
          <cell r="G1928">
            <v>65381</v>
          </cell>
          <cell r="H1928">
            <v>653.79999999999995</v>
          </cell>
          <cell r="I1928" t="str">
            <v>기본,통신 3-29</v>
          </cell>
        </row>
        <row r="1929">
          <cell r="A1929" t="str">
            <v>94 내선전공</v>
          </cell>
          <cell r="C1929" t="str">
            <v xml:space="preserve"> 내선전공</v>
          </cell>
          <cell r="E1929" t="str">
            <v>인</v>
          </cell>
          <cell r="F1929">
            <v>3.08</v>
          </cell>
          <cell r="G1929">
            <v>51021</v>
          </cell>
          <cell r="H1929">
            <v>157144.6</v>
          </cell>
          <cell r="I1929" t="str">
            <v>기본,통신 3-29</v>
          </cell>
        </row>
        <row r="1930">
          <cell r="A1930" t="str">
            <v>94 보통인부</v>
          </cell>
          <cell r="C1930" t="str">
            <v xml:space="preserve"> 보통인부</v>
          </cell>
          <cell r="E1930" t="str">
            <v>인</v>
          </cell>
          <cell r="F1930">
            <v>0.17</v>
          </cell>
          <cell r="G1930">
            <v>34098</v>
          </cell>
          <cell r="H1930">
            <v>5796.6</v>
          </cell>
          <cell r="I1930" t="str">
            <v>기본,통신 3-29</v>
          </cell>
        </row>
        <row r="1931">
          <cell r="B1931" t="str">
            <v>소         계</v>
          </cell>
          <cell r="H1931">
            <v>172499</v>
          </cell>
          <cell r="I1931" t="str">
            <v>ⓑ</v>
          </cell>
        </row>
        <row r="1932">
          <cell r="C1932" t="str">
            <v>다, 기계경비</v>
          </cell>
        </row>
        <row r="1933">
          <cell r="C1933" t="str">
            <v xml:space="preserve"> 콘크리트공</v>
          </cell>
          <cell r="E1933" t="str">
            <v>인</v>
          </cell>
          <cell r="F1933">
            <v>4.0000000000000001E-3</v>
          </cell>
          <cell r="G1933">
            <v>63605</v>
          </cell>
          <cell r="H1933">
            <v>254.4</v>
          </cell>
        </row>
        <row r="1934">
          <cell r="C1934" t="str">
            <v xml:space="preserve"> 형틀목공</v>
          </cell>
          <cell r="E1934" t="str">
            <v>인</v>
          </cell>
          <cell r="F1934">
            <v>2.9999999999999997E-4</v>
          </cell>
          <cell r="G1934">
            <v>65381</v>
          </cell>
          <cell r="H1934">
            <v>19.600000000000001</v>
          </cell>
        </row>
        <row r="1935">
          <cell r="C1935" t="str">
            <v xml:space="preserve"> 내선전공</v>
          </cell>
          <cell r="E1935" t="str">
            <v>인</v>
          </cell>
          <cell r="F1935">
            <v>9.1999999999999998E-2</v>
          </cell>
          <cell r="G1935">
            <v>51021</v>
          </cell>
          <cell r="H1935">
            <v>4693.8999999999996</v>
          </cell>
        </row>
        <row r="1936">
          <cell r="C1936" t="str">
            <v xml:space="preserve"> 보통인부</v>
          </cell>
          <cell r="E1936" t="str">
            <v>인</v>
          </cell>
          <cell r="F1936">
            <v>5.0000000000000001E-3</v>
          </cell>
          <cell r="G1936">
            <v>34098</v>
          </cell>
          <cell r="H1936">
            <v>170.4</v>
          </cell>
        </row>
        <row r="1937">
          <cell r="B1937" t="str">
            <v>소         계</v>
          </cell>
          <cell r="H1937">
            <v>5138</v>
          </cell>
          <cell r="I1937" t="str">
            <v>ⓒ</v>
          </cell>
        </row>
        <row r="1939">
          <cell r="A1939" t="str">
            <v>94재   료   비</v>
          </cell>
          <cell r="B1939" t="str">
            <v>재   료   비</v>
          </cell>
          <cell r="D1939" t="str">
            <v>ⓐ</v>
          </cell>
          <cell r="H1939">
            <v>1667659</v>
          </cell>
        </row>
        <row r="1940">
          <cell r="A1940" t="str">
            <v>94노   무   비</v>
          </cell>
          <cell r="B1940" t="str">
            <v>노   무   비</v>
          </cell>
          <cell r="D1940" t="str">
            <v>ⓑ</v>
          </cell>
          <cell r="H1940">
            <v>172499</v>
          </cell>
        </row>
        <row r="1941">
          <cell r="A1941" t="str">
            <v>94경        비</v>
          </cell>
          <cell r="B1941" t="str">
            <v>경        비</v>
          </cell>
          <cell r="D1941" t="str">
            <v>ⓒ</v>
          </cell>
          <cell r="H1941">
            <v>5138</v>
          </cell>
        </row>
        <row r="1942">
          <cell r="B1942" t="str">
            <v>계</v>
          </cell>
          <cell r="H1942">
            <v>1845296</v>
          </cell>
        </row>
        <row r="1948">
          <cell r="B1948">
            <v>95</v>
          </cell>
          <cell r="C1948" t="str">
            <v xml:space="preserve"> 제어선 신설</v>
          </cell>
          <cell r="D1948" t="str">
            <v xml:space="preserve"> CVV-SB 2C/1.25㎟</v>
          </cell>
          <cell r="E1948" t="str">
            <v>m</v>
          </cell>
          <cell r="F1948">
            <v>1</v>
          </cell>
        </row>
        <row r="1949">
          <cell r="C1949" t="str">
            <v>가, 재료비</v>
          </cell>
        </row>
        <row r="1950">
          <cell r="A1950" t="str">
            <v xml:space="preserve"> 제어케이블 CVV-SB  2C×1.25㎟</v>
          </cell>
          <cell r="C1950" t="str">
            <v xml:space="preserve"> 제어케이블</v>
          </cell>
          <cell r="D1950" t="str">
            <v xml:space="preserve"> CVV-SB  2C×1.25㎟</v>
          </cell>
          <cell r="E1950" t="str">
            <v>m</v>
          </cell>
          <cell r="F1950">
            <v>1.03</v>
          </cell>
          <cell r="G1950">
            <v>711</v>
          </cell>
          <cell r="H1950">
            <v>732.3</v>
          </cell>
          <cell r="I1950">
            <v>0.03</v>
          </cell>
        </row>
        <row r="1951">
          <cell r="B1951" t="str">
            <v>소         계</v>
          </cell>
          <cell r="H1951">
            <v>732</v>
          </cell>
          <cell r="I1951" t="str">
            <v>ⓐ</v>
          </cell>
        </row>
        <row r="1952">
          <cell r="C1952" t="str">
            <v>나, 노무비</v>
          </cell>
        </row>
        <row r="1953">
          <cell r="A1953" t="str">
            <v>95 저압케이블전공</v>
          </cell>
          <cell r="C1953" t="str">
            <v xml:space="preserve"> 저압케이블전공</v>
          </cell>
          <cell r="E1953" t="str">
            <v>인</v>
          </cell>
          <cell r="F1953">
            <v>1.6E-2</v>
          </cell>
          <cell r="G1953">
            <v>55486</v>
          </cell>
          <cell r="H1953">
            <v>887.7</v>
          </cell>
          <cell r="I1953" t="str">
            <v>기본x(실드),전기 7-10</v>
          </cell>
        </row>
        <row r="1954">
          <cell r="B1954" t="str">
            <v>소         계</v>
          </cell>
          <cell r="H1954">
            <v>887</v>
          </cell>
          <cell r="I1954" t="str">
            <v>ⓑ</v>
          </cell>
        </row>
        <row r="1955">
          <cell r="C1955" t="str">
            <v>다, 기계경비</v>
          </cell>
        </row>
        <row r="1956">
          <cell r="C1956" t="str">
            <v xml:space="preserve"> 저압케이블전공</v>
          </cell>
          <cell r="E1956" t="str">
            <v>인</v>
          </cell>
          <cell r="F1956">
            <v>4.0000000000000002E-4</v>
          </cell>
          <cell r="G1956">
            <v>55486</v>
          </cell>
          <cell r="H1956">
            <v>22.1</v>
          </cell>
        </row>
        <row r="1957">
          <cell r="B1957" t="str">
            <v>소         계</v>
          </cell>
          <cell r="H1957">
            <v>22</v>
          </cell>
          <cell r="I1957" t="str">
            <v>ⓒ</v>
          </cell>
        </row>
        <row r="1959">
          <cell r="A1959" t="str">
            <v>95재   료   비</v>
          </cell>
          <cell r="B1959" t="str">
            <v>재   료   비</v>
          </cell>
          <cell r="D1959" t="str">
            <v>ⓐ</v>
          </cell>
          <cell r="H1959">
            <v>732</v>
          </cell>
        </row>
        <row r="1960">
          <cell r="A1960" t="str">
            <v>95노   무   비</v>
          </cell>
          <cell r="B1960" t="str">
            <v>노   무   비</v>
          </cell>
          <cell r="D1960" t="str">
            <v>ⓑ</v>
          </cell>
          <cell r="H1960">
            <v>887</v>
          </cell>
        </row>
        <row r="1961">
          <cell r="A1961" t="str">
            <v>95경        비</v>
          </cell>
          <cell r="B1961" t="str">
            <v>경        비</v>
          </cell>
          <cell r="D1961" t="str">
            <v>ⓒ</v>
          </cell>
          <cell r="H1961">
            <v>22</v>
          </cell>
        </row>
        <row r="1962">
          <cell r="B1962" t="str">
            <v>계</v>
          </cell>
          <cell r="H1962">
            <v>1641</v>
          </cell>
        </row>
        <row r="1966">
          <cell r="B1966">
            <v>96</v>
          </cell>
          <cell r="C1966" t="str">
            <v xml:space="preserve"> 전선 신설</v>
          </cell>
          <cell r="D1966" t="str">
            <v xml:space="preserve"> HIV 1.6mm</v>
          </cell>
          <cell r="E1966" t="str">
            <v>m</v>
          </cell>
          <cell r="F1966">
            <v>1</v>
          </cell>
        </row>
        <row r="1967">
          <cell r="C1967" t="str">
            <v>가, 재료비</v>
          </cell>
        </row>
        <row r="1968">
          <cell r="A1968" t="str">
            <v xml:space="preserve"> 2종 비닐절연전선 HIV 1.6㎜</v>
          </cell>
          <cell r="C1968" t="str">
            <v xml:space="preserve"> 2종 비닐절연전선</v>
          </cell>
          <cell r="D1968" t="str">
            <v xml:space="preserve"> HIV 1.6㎜</v>
          </cell>
          <cell r="E1968" t="str">
            <v>m</v>
          </cell>
          <cell r="F1968">
            <v>1.1000000000000001</v>
          </cell>
          <cell r="G1968">
            <v>95</v>
          </cell>
          <cell r="H1968">
            <v>104.5</v>
          </cell>
          <cell r="I1968">
            <v>0.1</v>
          </cell>
        </row>
        <row r="1969">
          <cell r="B1969" t="str">
            <v>소         계</v>
          </cell>
          <cell r="H1969">
            <v>104</v>
          </cell>
          <cell r="I1969" t="str">
            <v>ⓐ</v>
          </cell>
        </row>
        <row r="1970">
          <cell r="C1970" t="str">
            <v>나, 노무비</v>
          </cell>
        </row>
        <row r="1971">
          <cell r="A1971" t="str">
            <v>96 저압케이블전공</v>
          </cell>
          <cell r="C1971" t="str">
            <v xml:space="preserve"> 저압케이블전공</v>
          </cell>
          <cell r="E1971" t="str">
            <v>인</v>
          </cell>
          <cell r="F1971">
            <v>0.01</v>
          </cell>
          <cell r="G1971">
            <v>55486</v>
          </cell>
          <cell r="H1971">
            <v>554.79999999999995</v>
          </cell>
          <cell r="I1971" t="str">
            <v>기본,전기 7-10</v>
          </cell>
        </row>
        <row r="1972">
          <cell r="B1972" t="str">
            <v>소         계</v>
          </cell>
          <cell r="H1972">
            <v>554</v>
          </cell>
          <cell r="I1972" t="str">
            <v>ⓑ</v>
          </cell>
        </row>
        <row r="1973">
          <cell r="C1973" t="str">
            <v>다, 기계경비</v>
          </cell>
        </row>
        <row r="1974">
          <cell r="C1974" t="str">
            <v xml:space="preserve"> 저압케이블전공</v>
          </cell>
          <cell r="E1974" t="str">
            <v>인</v>
          </cell>
          <cell r="F1974">
            <v>2.9999999999999997E-4</v>
          </cell>
          <cell r="G1974">
            <v>55486</v>
          </cell>
          <cell r="H1974">
            <v>16.600000000000001</v>
          </cell>
        </row>
        <row r="1975">
          <cell r="B1975" t="str">
            <v>소         계</v>
          </cell>
          <cell r="H1975">
            <v>16</v>
          </cell>
          <cell r="I1975" t="str">
            <v>ⓒ</v>
          </cell>
        </row>
        <row r="1977">
          <cell r="A1977" t="str">
            <v>96재   료   비</v>
          </cell>
          <cell r="B1977" t="str">
            <v>재   료   비</v>
          </cell>
          <cell r="D1977" t="str">
            <v>ⓐ</v>
          </cell>
          <cell r="H1977">
            <v>104</v>
          </cell>
        </row>
        <row r="1978">
          <cell r="A1978" t="str">
            <v>96노   무   비</v>
          </cell>
          <cell r="B1978" t="str">
            <v>노   무   비</v>
          </cell>
          <cell r="D1978" t="str">
            <v>ⓑ</v>
          </cell>
          <cell r="H1978">
            <v>554</v>
          </cell>
        </row>
        <row r="1979">
          <cell r="A1979" t="str">
            <v>96경        비</v>
          </cell>
          <cell r="B1979" t="str">
            <v>경        비</v>
          </cell>
          <cell r="D1979" t="str">
            <v>ⓒ</v>
          </cell>
          <cell r="H1979">
            <v>16</v>
          </cell>
        </row>
        <row r="1980">
          <cell r="B1980" t="str">
            <v>계</v>
          </cell>
          <cell r="H1980">
            <v>674</v>
          </cell>
        </row>
        <row r="1984">
          <cell r="B1984">
            <v>97</v>
          </cell>
          <cell r="C1984" t="str">
            <v xml:space="preserve"> 전선 신설</v>
          </cell>
          <cell r="D1984" t="str">
            <v xml:space="preserve"> HIV 2.0mm</v>
          </cell>
          <cell r="E1984" t="str">
            <v>m</v>
          </cell>
          <cell r="F1984">
            <v>1</v>
          </cell>
        </row>
        <row r="1985">
          <cell r="C1985" t="str">
            <v>가, 재료비</v>
          </cell>
        </row>
        <row r="1986">
          <cell r="A1986" t="str">
            <v xml:space="preserve"> 2종 비닐절연전선 HIV 2.0㎜</v>
          </cell>
          <cell r="C1986" t="str">
            <v xml:space="preserve"> 2종 비닐절연전선</v>
          </cell>
          <cell r="D1986" t="str">
            <v xml:space="preserve"> HIV 2.0㎜</v>
          </cell>
          <cell r="E1986" t="str">
            <v>m</v>
          </cell>
          <cell r="F1986">
            <v>1.1000000000000001</v>
          </cell>
          <cell r="G1986">
            <v>139</v>
          </cell>
          <cell r="H1986">
            <v>152.9</v>
          </cell>
          <cell r="I1986">
            <v>0.1</v>
          </cell>
        </row>
        <row r="1987">
          <cell r="B1987" t="str">
            <v>소         계</v>
          </cell>
          <cell r="H1987">
            <v>152</v>
          </cell>
          <cell r="I1987" t="str">
            <v>ⓐ</v>
          </cell>
        </row>
        <row r="1988">
          <cell r="C1988" t="str">
            <v>나, 노무비</v>
          </cell>
        </row>
        <row r="1989">
          <cell r="A1989" t="str">
            <v>97 저압케이블전공</v>
          </cell>
          <cell r="C1989" t="str">
            <v xml:space="preserve"> 저압케이블전공</v>
          </cell>
          <cell r="E1989" t="str">
            <v>인</v>
          </cell>
          <cell r="F1989">
            <v>0.01</v>
          </cell>
          <cell r="G1989">
            <v>55486</v>
          </cell>
          <cell r="H1989">
            <v>554.79999999999995</v>
          </cell>
          <cell r="I1989" t="str">
            <v>기본,전기 7-10</v>
          </cell>
        </row>
        <row r="1990">
          <cell r="B1990" t="str">
            <v>소         계</v>
          </cell>
          <cell r="H1990">
            <v>554</v>
          </cell>
          <cell r="I1990" t="str">
            <v>ⓑ</v>
          </cell>
        </row>
        <row r="1991">
          <cell r="C1991" t="str">
            <v>다, 기계경비</v>
          </cell>
        </row>
        <row r="1992">
          <cell r="C1992" t="str">
            <v xml:space="preserve"> 저압케이블전공</v>
          </cell>
          <cell r="E1992" t="str">
            <v>인</v>
          </cell>
          <cell r="F1992">
            <v>2.9999999999999997E-4</v>
          </cell>
          <cell r="G1992">
            <v>55486</v>
          </cell>
          <cell r="H1992">
            <v>16.600000000000001</v>
          </cell>
        </row>
        <row r="1993">
          <cell r="B1993" t="str">
            <v>소         계</v>
          </cell>
          <cell r="H1993">
            <v>16</v>
          </cell>
          <cell r="I1993" t="str">
            <v>ⓒ</v>
          </cell>
        </row>
        <row r="1995">
          <cell r="A1995" t="str">
            <v>97재   료   비</v>
          </cell>
          <cell r="B1995" t="str">
            <v>재   료   비</v>
          </cell>
          <cell r="D1995" t="str">
            <v>ⓐ</v>
          </cell>
          <cell r="H1995">
            <v>152</v>
          </cell>
        </row>
        <row r="1996">
          <cell r="A1996" t="str">
            <v>97노   무   비</v>
          </cell>
          <cell r="B1996" t="str">
            <v>노   무   비</v>
          </cell>
          <cell r="D1996" t="str">
            <v>ⓑ</v>
          </cell>
          <cell r="H1996">
            <v>554</v>
          </cell>
        </row>
        <row r="1997">
          <cell r="A1997" t="str">
            <v>97경        비</v>
          </cell>
          <cell r="B1997" t="str">
            <v>경        비</v>
          </cell>
          <cell r="D1997" t="str">
            <v>ⓒ</v>
          </cell>
          <cell r="H1997">
            <v>16</v>
          </cell>
        </row>
        <row r="1998">
          <cell r="B1998" t="str">
            <v>계</v>
          </cell>
          <cell r="H1998">
            <v>722</v>
          </cell>
        </row>
        <row r="2002">
          <cell r="B2002">
            <v>98</v>
          </cell>
          <cell r="C2002" t="str">
            <v xml:space="preserve"> 수신기 설치</v>
          </cell>
          <cell r="D2002" t="str">
            <v xml:space="preserve"> P형 1급 (10회로)</v>
          </cell>
          <cell r="E2002" t="str">
            <v>Set</v>
          </cell>
          <cell r="F2002">
            <v>1</v>
          </cell>
        </row>
        <row r="2003">
          <cell r="C2003" t="str">
            <v>가, 재료비</v>
          </cell>
        </row>
        <row r="2004">
          <cell r="A2004" t="str">
            <v xml:space="preserve"> 화재수신기-P형1급  5회로(벽부)</v>
          </cell>
          <cell r="C2004" t="str">
            <v xml:space="preserve"> 화재수신기-P형1급 </v>
          </cell>
          <cell r="D2004" t="str">
            <v xml:space="preserve"> 5회로(벽부)</v>
          </cell>
          <cell r="E2004" t="str">
            <v>대</v>
          </cell>
          <cell r="F2004">
            <v>1</v>
          </cell>
          <cell r="G2004">
            <v>170000</v>
          </cell>
          <cell r="H2004">
            <v>170000</v>
          </cell>
          <cell r="I2004">
            <v>0</v>
          </cell>
        </row>
        <row r="2005">
          <cell r="A2005" t="str">
            <v xml:space="preserve"> 수신기 추가  수신 1회로당</v>
          </cell>
          <cell r="C2005" t="str">
            <v xml:space="preserve"> 수신기 추가 </v>
          </cell>
          <cell r="D2005" t="str">
            <v xml:space="preserve"> 수신 1회로당</v>
          </cell>
          <cell r="E2005" t="str">
            <v>회로</v>
          </cell>
          <cell r="F2005">
            <v>10</v>
          </cell>
          <cell r="G2005">
            <v>10000</v>
          </cell>
          <cell r="H2005">
            <v>100000</v>
          </cell>
          <cell r="I2005">
            <v>0</v>
          </cell>
        </row>
        <row r="2006">
          <cell r="B2006" t="str">
            <v>소         계</v>
          </cell>
          <cell r="H2006">
            <v>270000</v>
          </cell>
          <cell r="I2006" t="str">
            <v>ⓐ</v>
          </cell>
        </row>
        <row r="2007">
          <cell r="C2007" t="str">
            <v>나, 노무비</v>
          </cell>
        </row>
        <row r="2008">
          <cell r="A2008" t="str">
            <v>98 내선전공</v>
          </cell>
          <cell r="C2008" t="str">
            <v xml:space="preserve"> 내선전공</v>
          </cell>
          <cell r="E2008" t="str">
            <v>인</v>
          </cell>
          <cell r="F2008">
            <v>10.5</v>
          </cell>
          <cell r="G2008">
            <v>51021</v>
          </cell>
          <cell r="H2008">
            <v>535720.5</v>
          </cell>
          <cell r="I2008" t="str">
            <v>기본,전기 7-19</v>
          </cell>
        </row>
        <row r="2009">
          <cell r="B2009" t="str">
            <v>소         계</v>
          </cell>
          <cell r="H2009">
            <v>535720</v>
          </cell>
          <cell r="I2009" t="str">
            <v>ⓑ</v>
          </cell>
        </row>
        <row r="2010">
          <cell r="C2010" t="str">
            <v>다, 기계경비</v>
          </cell>
        </row>
        <row r="2011">
          <cell r="C2011" t="str">
            <v xml:space="preserve"> 내선전공</v>
          </cell>
          <cell r="E2011" t="str">
            <v>인</v>
          </cell>
          <cell r="F2011">
            <v>0.315</v>
          </cell>
          <cell r="G2011">
            <v>51021</v>
          </cell>
          <cell r="H2011">
            <v>16071.6</v>
          </cell>
        </row>
        <row r="2012">
          <cell r="B2012" t="str">
            <v>소         계</v>
          </cell>
          <cell r="H2012">
            <v>16071</v>
          </cell>
          <cell r="I2012" t="str">
            <v>ⓒ</v>
          </cell>
        </row>
        <row r="2014">
          <cell r="A2014" t="str">
            <v>98재   료   비</v>
          </cell>
          <cell r="B2014" t="str">
            <v>재   료   비</v>
          </cell>
          <cell r="D2014" t="str">
            <v>ⓐ</v>
          </cell>
          <cell r="H2014">
            <v>270000</v>
          </cell>
        </row>
        <row r="2015">
          <cell r="A2015" t="str">
            <v>98노   무   비</v>
          </cell>
          <cell r="B2015" t="str">
            <v>노   무   비</v>
          </cell>
          <cell r="D2015" t="str">
            <v>ⓑ</v>
          </cell>
          <cell r="H2015">
            <v>535720</v>
          </cell>
        </row>
        <row r="2016">
          <cell r="A2016" t="str">
            <v>98경        비</v>
          </cell>
          <cell r="B2016" t="str">
            <v>경        비</v>
          </cell>
          <cell r="D2016" t="str">
            <v>ⓒ</v>
          </cell>
          <cell r="H2016">
            <v>16071</v>
          </cell>
        </row>
        <row r="2017">
          <cell r="B2017" t="str">
            <v>계</v>
          </cell>
          <cell r="H2017">
            <v>821791</v>
          </cell>
        </row>
        <row r="2020">
          <cell r="B2020">
            <v>99</v>
          </cell>
          <cell r="C2020" t="str">
            <v xml:space="preserve"> 수동 발신기 설치</v>
          </cell>
          <cell r="D2020" t="str">
            <v xml:space="preserve"> 소화전 내장</v>
          </cell>
          <cell r="E2020" t="str">
            <v>Set</v>
          </cell>
          <cell r="F2020">
            <v>1</v>
          </cell>
        </row>
        <row r="2021">
          <cell r="C2021" t="str">
            <v>가, 재료비</v>
          </cell>
        </row>
        <row r="2022">
          <cell r="A2022" t="str">
            <v xml:space="preserve"> 발신기 P형1급</v>
          </cell>
          <cell r="C2022" t="str">
            <v xml:space="preserve"> 발신기</v>
          </cell>
          <cell r="D2022" t="str">
            <v xml:space="preserve"> P형1급</v>
          </cell>
          <cell r="E2022" t="str">
            <v>개</v>
          </cell>
          <cell r="F2022">
            <v>1</v>
          </cell>
          <cell r="G2022">
            <v>5000</v>
          </cell>
          <cell r="H2022">
            <v>5000</v>
          </cell>
          <cell r="I2022">
            <v>0</v>
          </cell>
        </row>
        <row r="2023">
          <cell r="A2023" t="str">
            <v xml:space="preserve"> 경종   DC 24V</v>
          </cell>
          <cell r="C2023" t="str">
            <v xml:space="preserve"> 경종  </v>
          </cell>
          <cell r="D2023" t="str">
            <v xml:space="preserve"> DC 24V</v>
          </cell>
          <cell r="E2023" t="str">
            <v>개</v>
          </cell>
          <cell r="F2023">
            <v>1</v>
          </cell>
          <cell r="G2023">
            <v>5000</v>
          </cell>
          <cell r="H2023">
            <v>5000</v>
          </cell>
          <cell r="I2023">
            <v>0</v>
          </cell>
        </row>
        <row r="2024">
          <cell r="A2024" t="str">
            <v xml:space="preserve"> 표시등   DC 24V</v>
          </cell>
          <cell r="C2024" t="str">
            <v xml:space="preserve"> 표시등  </v>
          </cell>
          <cell r="D2024" t="str">
            <v xml:space="preserve"> DC 24V</v>
          </cell>
          <cell r="E2024" t="str">
            <v>개</v>
          </cell>
          <cell r="F2024">
            <v>1</v>
          </cell>
          <cell r="G2024">
            <v>1000</v>
          </cell>
          <cell r="H2024">
            <v>1000</v>
          </cell>
          <cell r="I2024">
            <v>0</v>
          </cell>
        </row>
        <row r="2025">
          <cell r="B2025" t="str">
            <v>소         계</v>
          </cell>
          <cell r="H2025">
            <v>11000</v>
          </cell>
          <cell r="I2025" t="str">
            <v>ⓐ</v>
          </cell>
        </row>
        <row r="2026">
          <cell r="C2026" t="str">
            <v>나, 노무비</v>
          </cell>
        </row>
        <row r="2027">
          <cell r="A2027" t="str">
            <v>99 내선전공</v>
          </cell>
          <cell r="C2027" t="str">
            <v xml:space="preserve"> 내선전공</v>
          </cell>
          <cell r="E2027" t="str">
            <v>인</v>
          </cell>
          <cell r="F2027">
            <v>0.64999999999999991</v>
          </cell>
          <cell r="G2027">
            <v>51021</v>
          </cell>
          <cell r="H2027">
            <v>33163.599999999999</v>
          </cell>
          <cell r="I2027" t="str">
            <v>발신기+전령+표시등,전기 7-19</v>
          </cell>
        </row>
        <row r="2028">
          <cell r="B2028" t="str">
            <v>소         계</v>
          </cell>
          <cell r="H2028">
            <v>33163</v>
          </cell>
          <cell r="I2028" t="str">
            <v>ⓑ</v>
          </cell>
        </row>
        <row r="2029">
          <cell r="C2029" t="str">
            <v>다, 기계경비</v>
          </cell>
        </row>
        <row r="2030">
          <cell r="C2030" t="str">
            <v xml:space="preserve"> 내선전공</v>
          </cell>
          <cell r="E2030" t="str">
            <v>인</v>
          </cell>
          <cell r="F2030">
            <v>1.9E-2</v>
          </cell>
          <cell r="G2030">
            <v>51021</v>
          </cell>
          <cell r="H2030">
            <v>969.3</v>
          </cell>
        </row>
        <row r="2031">
          <cell r="B2031" t="str">
            <v>소         계</v>
          </cell>
          <cell r="H2031">
            <v>969</v>
          </cell>
          <cell r="I2031" t="str">
            <v>ⓒ</v>
          </cell>
        </row>
        <row r="2033">
          <cell r="A2033" t="str">
            <v>99재   료   비</v>
          </cell>
          <cell r="B2033" t="str">
            <v>재   료   비</v>
          </cell>
          <cell r="D2033" t="str">
            <v>ⓐ</v>
          </cell>
          <cell r="H2033">
            <v>11000</v>
          </cell>
        </row>
        <row r="2034">
          <cell r="A2034" t="str">
            <v>99노   무   비</v>
          </cell>
          <cell r="B2034" t="str">
            <v>노   무   비</v>
          </cell>
          <cell r="D2034" t="str">
            <v>ⓑ</v>
          </cell>
          <cell r="H2034">
            <v>33163</v>
          </cell>
        </row>
        <row r="2035">
          <cell r="A2035" t="str">
            <v>99경        비</v>
          </cell>
          <cell r="B2035" t="str">
            <v>경        비</v>
          </cell>
          <cell r="D2035" t="str">
            <v>ⓒ</v>
          </cell>
          <cell r="H2035">
            <v>969</v>
          </cell>
        </row>
        <row r="2036">
          <cell r="B2036" t="str">
            <v>계</v>
          </cell>
          <cell r="H2036">
            <v>45132</v>
          </cell>
        </row>
        <row r="2038">
          <cell r="B2038">
            <v>100</v>
          </cell>
          <cell r="C2038" t="str">
            <v xml:space="preserve"> 감지기 설치</v>
          </cell>
          <cell r="D2038" t="str">
            <v xml:space="preserve"> 정온식</v>
          </cell>
          <cell r="E2038" t="str">
            <v>개</v>
          </cell>
          <cell r="F2038">
            <v>1</v>
          </cell>
        </row>
        <row r="2039">
          <cell r="C2039" t="str">
            <v>가, 재료비</v>
          </cell>
        </row>
        <row r="2040">
          <cell r="A2040" t="str">
            <v xml:space="preserve"> 열감지기   정온식스포트형</v>
          </cell>
          <cell r="C2040" t="str">
            <v xml:space="preserve"> 열감지기  </v>
          </cell>
          <cell r="D2040" t="str">
            <v xml:space="preserve"> 정온식스포트형</v>
          </cell>
          <cell r="E2040" t="str">
            <v>개</v>
          </cell>
          <cell r="F2040">
            <v>1</v>
          </cell>
          <cell r="G2040">
            <v>5000</v>
          </cell>
          <cell r="H2040">
            <v>5000</v>
          </cell>
          <cell r="I2040">
            <v>0</v>
          </cell>
        </row>
        <row r="2041">
          <cell r="B2041" t="str">
            <v>소         계</v>
          </cell>
          <cell r="H2041">
            <v>5000</v>
          </cell>
          <cell r="I2041" t="str">
            <v>ⓐ</v>
          </cell>
        </row>
        <row r="2042">
          <cell r="C2042" t="str">
            <v>나, 노무비</v>
          </cell>
        </row>
        <row r="2043">
          <cell r="A2043" t="str">
            <v>100 내선전공</v>
          </cell>
          <cell r="C2043" t="str">
            <v xml:space="preserve"> 내선전공</v>
          </cell>
          <cell r="E2043" t="str">
            <v>인</v>
          </cell>
          <cell r="F2043">
            <v>0.13</v>
          </cell>
          <cell r="G2043">
            <v>51021</v>
          </cell>
          <cell r="H2043">
            <v>6632.7</v>
          </cell>
          <cell r="I2043" t="str">
            <v>기본,전기 7-19</v>
          </cell>
        </row>
        <row r="2044">
          <cell r="B2044" t="str">
            <v>소         계</v>
          </cell>
          <cell r="H2044">
            <v>6632</v>
          </cell>
          <cell r="I2044" t="str">
            <v>ⓑ</v>
          </cell>
        </row>
        <row r="2045">
          <cell r="C2045" t="str">
            <v>다, 기계경비</v>
          </cell>
        </row>
        <row r="2046">
          <cell r="C2046" t="str">
            <v xml:space="preserve"> 내선전공</v>
          </cell>
          <cell r="E2046" t="str">
            <v>인</v>
          </cell>
          <cell r="F2046">
            <v>3.0000000000000001E-3</v>
          </cell>
          <cell r="G2046">
            <v>51021</v>
          </cell>
          <cell r="H2046">
            <v>153</v>
          </cell>
        </row>
        <row r="2047">
          <cell r="B2047" t="str">
            <v>소         계</v>
          </cell>
          <cell r="H2047">
            <v>153</v>
          </cell>
          <cell r="I2047" t="str">
            <v>ⓒ</v>
          </cell>
        </row>
        <row r="2049">
          <cell r="A2049" t="str">
            <v>100재   료   비</v>
          </cell>
          <cell r="B2049" t="str">
            <v>재   료   비</v>
          </cell>
          <cell r="D2049" t="str">
            <v>ⓐ</v>
          </cell>
          <cell r="H2049">
            <v>5000</v>
          </cell>
        </row>
        <row r="2050">
          <cell r="A2050" t="str">
            <v>100노   무   비</v>
          </cell>
          <cell r="B2050" t="str">
            <v>노   무   비</v>
          </cell>
          <cell r="D2050" t="str">
            <v>ⓑ</v>
          </cell>
          <cell r="H2050">
            <v>6632</v>
          </cell>
        </row>
        <row r="2051">
          <cell r="A2051" t="str">
            <v>100경        비</v>
          </cell>
          <cell r="B2051" t="str">
            <v>경        비</v>
          </cell>
          <cell r="D2051" t="str">
            <v>ⓒ</v>
          </cell>
          <cell r="H2051">
            <v>153</v>
          </cell>
        </row>
        <row r="2052">
          <cell r="B2052" t="str">
            <v>계</v>
          </cell>
          <cell r="H2052">
            <v>11785</v>
          </cell>
        </row>
        <row r="2056">
          <cell r="B2056">
            <v>101</v>
          </cell>
          <cell r="C2056" t="str">
            <v xml:space="preserve"> 감지기 설치</v>
          </cell>
          <cell r="D2056" t="str">
            <v xml:space="preserve"> 차동식</v>
          </cell>
          <cell r="E2056" t="str">
            <v>개</v>
          </cell>
          <cell r="F2056">
            <v>1</v>
          </cell>
        </row>
        <row r="2057">
          <cell r="C2057" t="str">
            <v>가, 재료비</v>
          </cell>
        </row>
        <row r="2058">
          <cell r="A2058" t="str">
            <v xml:space="preserve"> 열감지기   차동식스포트형</v>
          </cell>
          <cell r="C2058" t="str">
            <v xml:space="preserve"> 열감지기  </v>
          </cell>
          <cell r="D2058" t="str">
            <v xml:space="preserve"> 차동식스포트형</v>
          </cell>
          <cell r="E2058" t="str">
            <v>개</v>
          </cell>
          <cell r="F2058">
            <v>1</v>
          </cell>
          <cell r="G2058">
            <v>5000</v>
          </cell>
          <cell r="H2058">
            <v>5000</v>
          </cell>
          <cell r="I2058">
            <v>0</v>
          </cell>
        </row>
        <row r="2059">
          <cell r="B2059" t="str">
            <v>소         계</v>
          </cell>
          <cell r="H2059">
            <v>5000</v>
          </cell>
          <cell r="I2059" t="str">
            <v>ⓐ</v>
          </cell>
        </row>
        <row r="2060">
          <cell r="C2060" t="str">
            <v>나, 노무비</v>
          </cell>
        </row>
        <row r="2061">
          <cell r="A2061" t="str">
            <v>101 내선전공</v>
          </cell>
          <cell r="C2061" t="str">
            <v xml:space="preserve"> 내선전공</v>
          </cell>
          <cell r="E2061" t="str">
            <v>인</v>
          </cell>
          <cell r="F2061">
            <v>0.13</v>
          </cell>
          <cell r="G2061">
            <v>51021</v>
          </cell>
          <cell r="H2061">
            <v>6632.7</v>
          </cell>
          <cell r="I2061" t="str">
            <v>기본,전기 7-19</v>
          </cell>
        </row>
        <row r="2062">
          <cell r="B2062" t="str">
            <v>소         계</v>
          </cell>
          <cell r="H2062">
            <v>6632</v>
          </cell>
          <cell r="I2062" t="str">
            <v>ⓑ</v>
          </cell>
        </row>
        <row r="2063">
          <cell r="C2063" t="str">
            <v>다, 기계경비</v>
          </cell>
        </row>
        <row r="2064">
          <cell r="C2064" t="str">
            <v xml:space="preserve"> 내선전공</v>
          </cell>
          <cell r="E2064" t="str">
            <v>인</v>
          </cell>
          <cell r="F2064">
            <v>3.0000000000000001E-3</v>
          </cell>
          <cell r="G2064">
            <v>51021</v>
          </cell>
          <cell r="H2064">
            <v>153</v>
          </cell>
        </row>
        <row r="2065">
          <cell r="B2065" t="str">
            <v>소         계</v>
          </cell>
          <cell r="H2065">
            <v>153</v>
          </cell>
          <cell r="I2065" t="str">
            <v>ⓒ</v>
          </cell>
        </row>
        <row r="2067">
          <cell r="A2067" t="str">
            <v>101재   료   비</v>
          </cell>
          <cell r="B2067" t="str">
            <v>재   료   비</v>
          </cell>
          <cell r="D2067" t="str">
            <v>ⓐ</v>
          </cell>
          <cell r="H2067">
            <v>5000</v>
          </cell>
        </row>
        <row r="2068">
          <cell r="A2068" t="str">
            <v>101노   무   비</v>
          </cell>
          <cell r="B2068" t="str">
            <v>노   무   비</v>
          </cell>
          <cell r="D2068" t="str">
            <v>ⓑ</v>
          </cell>
          <cell r="H2068">
            <v>6632</v>
          </cell>
        </row>
        <row r="2069">
          <cell r="A2069" t="str">
            <v>101경        비</v>
          </cell>
          <cell r="B2069" t="str">
            <v>경        비</v>
          </cell>
          <cell r="D2069" t="str">
            <v>ⓒ</v>
          </cell>
          <cell r="H2069">
            <v>153</v>
          </cell>
        </row>
        <row r="2070">
          <cell r="B2070" t="str">
            <v>계</v>
          </cell>
          <cell r="H2070">
            <v>11785</v>
          </cell>
        </row>
        <row r="2074">
          <cell r="B2074">
            <v>102</v>
          </cell>
          <cell r="C2074" t="str">
            <v xml:space="preserve"> 감지기 설치</v>
          </cell>
          <cell r="D2074" t="str">
            <v xml:space="preserve"> 연기식</v>
          </cell>
          <cell r="E2074" t="str">
            <v>개</v>
          </cell>
          <cell r="F2074">
            <v>1</v>
          </cell>
        </row>
        <row r="2075">
          <cell r="C2075" t="str">
            <v>가, 재료비</v>
          </cell>
        </row>
        <row r="2076">
          <cell r="A2076" t="str">
            <v xml:space="preserve"> 연기감지기(노출)   이온화식 2종</v>
          </cell>
          <cell r="C2076" t="str">
            <v xml:space="preserve"> 연기감지기(노출)  </v>
          </cell>
          <cell r="D2076" t="str">
            <v xml:space="preserve"> 이온화식 2종</v>
          </cell>
          <cell r="E2076" t="str">
            <v>개</v>
          </cell>
          <cell r="F2076">
            <v>1</v>
          </cell>
          <cell r="G2076">
            <v>20000</v>
          </cell>
          <cell r="H2076">
            <v>20000</v>
          </cell>
          <cell r="I2076">
            <v>0</v>
          </cell>
        </row>
        <row r="2077">
          <cell r="B2077" t="str">
            <v>소         계</v>
          </cell>
          <cell r="H2077">
            <v>20000</v>
          </cell>
          <cell r="I2077" t="str">
            <v>ⓐ</v>
          </cell>
        </row>
        <row r="2078">
          <cell r="C2078" t="str">
            <v>나, 노무비</v>
          </cell>
        </row>
        <row r="2079">
          <cell r="A2079" t="str">
            <v>102 내선전공</v>
          </cell>
          <cell r="C2079" t="str">
            <v xml:space="preserve"> 내선전공</v>
          </cell>
          <cell r="E2079" t="str">
            <v>인</v>
          </cell>
          <cell r="F2079">
            <v>0.13</v>
          </cell>
          <cell r="G2079">
            <v>51021</v>
          </cell>
          <cell r="H2079">
            <v>6632.7</v>
          </cell>
          <cell r="I2079" t="str">
            <v>기본,전기 7-19</v>
          </cell>
        </row>
        <row r="2080">
          <cell r="B2080" t="str">
            <v>소         계</v>
          </cell>
          <cell r="H2080">
            <v>6632</v>
          </cell>
          <cell r="I2080" t="str">
            <v>ⓑ</v>
          </cell>
        </row>
        <row r="2081">
          <cell r="C2081" t="str">
            <v>다, 기계경비</v>
          </cell>
        </row>
        <row r="2082">
          <cell r="C2082" t="str">
            <v xml:space="preserve"> 내선전공</v>
          </cell>
          <cell r="E2082" t="str">
            <v>인</v>
          </cell>
          <cell r="F2082">
            <v>3.0000000000000001E-3</v>
          </cell>
          <cell r="G2082">
            <v>51021</v>
          </cell>
          <cell r="H2082">
            <v>153</v>
          </cell>
        </row>
        <row r="2083">
          <cell r="B2083" t="str">
            <v>소         계</v>
          </cell>
          <cell r="H2083">
            <v>153</v>
          </cell>
          <cell r="I2083" t="str">
            <v>ⓒ</v>
          </cell>
        </row>
        <row r="2085">
          <cell r="A2085" t="str">
            <v>102재   료   비</v>
          </cell>
          <cell r="B2085" t="str">
            <v>재   료   비</v>
          </cell>
          <cell r="D2085" t="str">
            <v>ⓐ</v>
          </cell>
          <cell r="H2085">
            <v>20000</v>
          </cell>
        </row>
        <row r="2086">
          <cell r="A2086" t="str">
            <v>102노   무   비</v>
          </cell>
          <cell r="B2086" t="str">
            <v>노   무   비</v>
          </cell>
          <cell r="D2086" t="str">
            <v>ⓑ</v>
          </cell>
          <cell r="H2086">
            <v>6632</v>
          </cell>
        </row>
        <row r="2087">
          <cell r="A2087" t="str">
            <v>102경        비</v>
          </cell>
          <cell r="B2087" t="str">
            <v>경        비</v>
          </cell>
          <cell r="D2087" t="str">
            <v>ⓒ</v>
          </cell>
          <cell r="H2087">
            <v>153</v>
          </cell>
        </row>
        <row r="2088">
          <cell r="B2088" t="str">
            <v>계</v>
          </cell>
          <cell r="H2088">
            <v>26785</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단가표"/>
      <sheetName val="노임단가"/>
      <sheetName val="수량산출1"/>
      <sheetName val="역사집계표"/>
      <sheetName val="수량계산"/>
      <sheetName val="선로집계"/>
      <sheetName val="선로총괄"/>
      <sheetName val="인공"/>
      <sheetName val="반송인공"/>
      <sheetName val="관로신설"/>
      <sheetName val="광관로"/>
      <sheetName val="일위산출"/>
      <sheetName val="공량산출서"/>
      <sheetName val="일위대가"/>
      <sheetName val="수량조서"/>
      <sheetName val="원가계산서"/>
      <sheetName val="가설건물"/>
      <sheetName val="소방감리비"/>
      <sheetName val="LRH인공"/>
      <sheetName val="강관주"/>
      <sheetName val="CCTV"/>
      <sheetName val="증폭기"/>
      <sheetName val="연선전화"/>
      <sheetName val="지중도체"/>
      <sheetName val="사정조서"/>
      <sheetName val="사정표지"/>
      <sheetName val="총괄집계표"/>
      <sheetName val="단가산출기초"/>
    </sheetNames>
    <sheetDataSet>
      <sheetData sheetId="0">
        <row r="4">
          <cell r="A4" t="str">
            <v xml:space="preserve"> 접지봉  16D×1800㎜</v>
          </cell>
          <cell r="B4" t="str">
            <v xml:space="preserve"> 접지봉 </v>
          </cell>
          <cell r="C4" t="str">
            <v xml:space="preserve"> 16D×1800㎜</v>
          </cell>
          <cell r="D4" t="str">
            <v>본</v>
          </cell>
          <cell r="E4" t="str">
            <v>P854</v>
          </cell>
          <cell r="F4">
            <v>4900</v>
          </cell>
          <cell r="G4" t="str">
            <v>P930</v>
          </cell>
          <cell r="H4">
            <v>3960</v>
          </cell>
          <cell r="M4">
            <v>3960</v>
          </cell>
        </row>
        <row r="5">
          <cell r="A5" t="str">
            <v xml:space="preserve"> 접지봉콘넥터 Φ16</v>
          </cell>
          <cell r="B5" t="str">
            <v xml:space="preserve"> 접지봉콘넥터</v>
          </cell>
          <cell r="C5" t="str">
            <v xml:space="preserve"> Φ16</v>
          </cell>
          <cell r="D5" t="str">
            <v>개</v>
          </cell>
          <cell r="G5" t="str">
            <v>P930</v>
          </cell>
          <cell r="H5">
            <v>700</v>
          </cell>
          <cell r="M5">
            <v>700</v>
          </cell>
        </row>
        <row r="6">
          <cell r="A6" t="str">
            <v xml:space="preserve"> 접지슬리브  100-60, 38㎜</v>
          </cell>
          <cell r="B6" t="str">
            <v xml:space="preserve"> 접지슬리브 </v>
          </cell>
          <cell r="C6" t="str">
            <v xml:space="preserve"> 100-60, 38㎜</v>
          </cell>
          <cell r="D6" t="str">
            <v>개</v>
          </cell>
          <cell r="E6" t="str">
            <v>P854</v>
          </cell>
          <cell r="F6">
            <v>2400</v>
          </cell>
          <cell r="G6" t="str">
            <v>P930</v>
          </cell>
          <cell r="H6">
            <v>2000</v>
          </cell>
          <cell r="M6">
            <v>2000</v>
          </cell>
        </row>
        <row r="7">
          <cell r="A7" t="str">
            <v xml:space="preserve"> 접지봉리드선   GV 38㎟</v>
          </cell>
          <cell r="B7" t="str">
            <v xml:space="preserve"> 접지봉리드선  </v>
          </cell>
          <cell r="C7" t="str">
            <v xml:space="preserve"> GV 38㎟</v>
          </cell>
          <cell r="D7" t="str">
            <v>m</v>
          </cell>
          <cell r="E7" t="str">
            <v>P763</v>
          </cell>
          <cell r="F7">
            <v>2211</v>
          </cell>
          <cell r="G7" t="str">
            <v>P844</v>
          </cell>
          <cell r="H7">
            <v>2211</v>
          </cell>
          <cell r="M7">
            <v>2211</v>
          </cell>
          <cell r="N7">
            <v>0.1</v>
          </cell>
        </row>
        <row r="8">
          <cell r="A8" t="str">
            <v xml:space="preserve"> 접지용전선   GV 22㎟</v>
          </cell>
          <cell r="B8" t="str">
            <v xml:space="preserve"> 접지용전선  </v>
          </cell>
          <cell r="C8" t="str">
            <v xml:space="preserve"> GV 22㎟</v>
          </cell>
          <cell r="D8" t="str">
            <v>m</v>
          </cell>
          <cell r="G8" t="str">
            <v>P844</v>
          </cell>
          <cell r="H8">
            <v>1468</v>
          </cell>
          <cell r="M8">
            <v>1468</v>
          </cell>
          <cell r="N8">
            <v>0.1</v>
          </cell>
        </row>
        <row r="9">
          <cell r="A9" t="str">
            <v xml:space="preserve"> 연동연선   AS 50㎟</v>
          </cell>
          <cell r="B9" t="str">
            <v xml:space="preserve"> 연동연선  </v>
          </cell>
          <cell r="C9" t="str">
            <v xml:space="preserve"> AS 50㎟</v>
          </cell>
          <cell r="D9" t="str">
            <v>m</v>
          </cell>
          <cell r="E9" t="str">
            <v>P776</v>
          </cell>
          <cell r="F9">
            <v>2604</v>
          </cell>
          <cell r="G9" t="str">
            <v>P856</v>
          </cell>
          <cell r="H9">
            <v>2400</v>
          </cell>
          <cell r="M9">
            <v>2400</v>
          </cell>
        </row>
        <row r="10">
          <cell r="A10" t="str">
            <v xml:space="preserve"> 동터미널 22㎟ 용</v>
          </cell>
          <cell r="B10" t="str">
            <v xml:space="preserve"> 동터미널</v>
          </cell>
          <cell r="C10" t="str">
            <v xml:space="preserve"> 22㎟ 용</v>
          </cell>
          <cell r="D10" t="str">
            <v>개</v>
          </cell>
          <cell r="G10" t="str">
            <v xml:space="preserve"> P861</v>
          </cell>
          <cell r="H10">
            <v>455</v>
          </cell>
          <cell r="M10">
            <v>455</v>
          </cell>
        </row>
        <row r="11">
          <cell r="A11" t="str">
            <v xml:space="preserve"> 콘크리트표주 접지표당청규격</v>
          </cell>
          <cell r="B11" t="str">
            <v xml:space="preserve"> 콘크리트표주</v>
          </cell>
          <cell r="C11" t="str">
            <v xml:space="preserve"> 접지표당청규격</v>
          </cell>
          <cell r="D11" t="str">
            <v>개</v>
          </cell>
          <cell r="L11">
            <v>10000</v>
          </cell>
          <cell r="M11">
            <v>10000</v>
          </cell>
        </row>
        <row r="12">
          <cell r="A12" t="str">
            <v xml:space="preserve"> 시멘트(40㎏)  분공장도</v>
          </cell>
          <cell r="B12" t="str">
            <v xml:space="preserve"> 시멘트(40㎏) </v>
          </cell>
          <cell r="C12" t="str">
            <v xml:space="preserve"> 분공장도</v>
          </cell>
          <cell r="D12" t="str">
            <v>포</v>
          </cell>
          <cell r="E12" t="str">
            <v xml:space="preserve"> P113</v>
          </cell>
          <cell r="F12">
            <v>2450</v>
          </cell>
          <cell r="G12" t="str">
            <v xml:space="preserve"> P96</v>
          </cell>
          <cell r="H12">
            <v>2450</v>
          </cell>
          <cell r="M12">
            <v>2450</v>
          </cell>
        </row>
        <row r="13">
          <cell r="A13" t="str">
            <v xml:space="preserve"> 이형철근 SD30A</v>
          </cell>
          <cell r="B13" t="str">
            <v xml:space="preserve"> 이형철근</v>
          </cell>
          <cell r="C13" t="str">
            <v xml:space="preserve"> SD30A</v>
          </cell>
          <cell r="D13" t="str">
            <v>TON</v>
          </cell>
          <cell r="E13" t="str">
            <v xml:space="preserve"> P44</v>
          </cell>
          <cell r="F13">
            <v>386500</v>
          </cell>
          <cell r="G13" t="str">
            <v xml:space="preserve"> P42</v>
          </cell>
          <cell r="H13">
            <v>380000</v>
          </cell>
          <cell r="M13">
            <v>380000</v>
          </cell>
        </row>
        <row r="14">
          <cell r="A14" t="str">
            <v xml:space="preserve"> 통신용맨홀(주철제)  통신용1120x620x132</v>
          </cell>
          <cell r="B14" t="str">
            <v xml:space="preserve"> 통신용맨홀(주철제) </v>
          </cell>
          <cell r="C14" t="str">
            <v xml:space="preserve"> 통신용1120x620x132</v>
          </cell>
          <cell r="D14" t="str">
            <v>조</v>
          </cell>
          <cell r="E14" t="str">
            <v>P171</v>
          </cell>
          <cell r="F14">
            <v>250000</v>
          </cell>
          <cell r="G14" t="str">
            <v>P160</v>
          </cell>
          <cell r="H14">
            <v>250000</v>
          </cell>
          <cell r="M14">
            <v>250000</v>
          </cell>
        </row>
        <row r="15">
          <cell r="A15" t="str">
            <v xml:space="preserve"> 케이블걸이쇠   2호</v>
          </cell>
          <cell r="B15" t="str">
            <v xml:space="preserve"> 케이블걸이쇠  </v>
          </cell>
          <cell r="C15" t="str">
            <v xml:space="preserve"> 2호</v>
          </cell>
          <cell r="D15" t="str">
            <v>개</v>
          </cell>
          <cell r="E15" t="str">
            <v>P879</v>
          </cell>
          <cell r="F15">
            <v>1850</v>
          </cell>
          <cell r="G15" t="str">
            <v>P959</v>
          </cell>
          <cell r="H15">
            <v>1850</v>
          </cell>
          <cell r="M15">
            <v>1850</v>
          </cell>
        </row>
        <row r="16">
          <cell r="A16" t="str">
            <v xml:space="preserve"> 케이블받침대   33×14×3×607</v>
          </cell>
          <cell r="B16" t="str">
            <v xml:space="preserve"> 케이블받침대  </v>
          </cell>
          <cell r="C16" t="str">
            <v xml:space="preserve"> 33×14×3×607</v>
          </cell>
          <cell r="D16" t="str">
            <v>개</v>
          </cell>
          <cell r="E16" t="str">
            <v>P879</v>
          </cell>
          <cell r="F16">
            <v>7000</v>
          </cell>
          <cell r="G16" t="str">
            <v>P959</v>
          </cell>
          <cell r="H16">
            <v>7000</v>
          </cell>
          <cell r="M16">
            <v>7000</v>
          </cell>
        </row>
        <row r="17">
          <cell r="A17" t="str">
            <v xml:space="preserve"> 앵커볼트(5/8")  M16  L250</v>
          </cell>
          <cell r="B17" t="str">
            <v xml:space="preserve"> 앵커볼트(5/8") </v>
          </cell>
          <cell r="C17" t="str">
            <v xml:space="preserve"> M16  L250</v>
          </cell>
          <cell r="D17" t="str">
            <v>조</v>
          </cell>
          <cell r="G17" t="str">
            <v xml:space="preserve"> P76</v>
          </cell>
          <cell r="H17">
            <v>295</v>
          </cell>
          <cell r="M17">
            <v>295</v>
          </cell>
        </row>
        <row r="18">
          <cell r="A18" t="str">
            <v xml:space="preserve"> 혼합골재  75㎜ 이하</v>
          </cell>
          <cell r="B18" t="str">
            <v xml:space="preserve"> 혼합골재 </v>
          </cell>
          <cell r="C18" t="str">
            <v xml:space="preserve"> 75㎜ 이하</v>
          </cell>
          <cell r="D18" t="str">
            <v>㎥</v>
          </cell>
          <cell r="E18" t="str">
            <v>P111</v>
          </cell>
          <cell r="F18">
            <v>12000</v>
          </cell>
          <cell r="G18" t="str">
            <v xml:space="preserve"> P95</v>
          </cell>
          <cell r="H18">
            <v>12000</v>
          </cell>
          <cell r="M18">
            <v>12000</v>
          </cell>
        </row>
        <row r="19">
          <cell r="A19" t="str">
            <v xml:space="preserve"> 모래(세척사)  인천(도착도)</v>
          </cell>
          <cell r="B19" t="str">
            <v xml:space="preserve"> 모래(세척사) </v>
          </cell>
          <cell r="C19" t="str">
            <v xml:space="preserve"> 인천(도착도)</v>
          </cell>
          <cell r="D19" t="str">
            <v>㎥</v>
          </cell>
          <cell r="E19" t="str">
            <v xml:space="preserve"> P111 </v>
          </cell>
          <cell r="F19">
            <v>1750</v>
          </cell>
          <cell r="G19" t="str">
            <v xml:space="preserve"> P95</v>
          </cell>
          <cell r="H19">
            <v>17500</v>
          </cell>
          <cell r="M19">
            <v>1750</v>
          </cell>
        </row>
        <row r="20">
          <cell r="A20" t="str">
            <v xml:space="preserve"> 자갈(#467,Φ40)   인천(도착도)</v>
          </cell>
          <cell r="B20" t="str">
            <v xml:space="preserve"> 자갈(#467,Φ40)  </v>
          </cell>
          <cell r="C20" t="str">
            <v xml:space="preserve"> 인천(도착도)</v>
          </cell>
          <cell r="D20" t="str">
            <v>㎥</v>
          </cell>
          <cell r="E20" t="str">
            <v xml:space="preserve"> P111 </v>
          </cell>
          <cell r="F20">
            <v>23000</v>
          </cell>
          <cell r="G20" t="str">
            <v xml:space="preserve"> P95</v>
          </cell>
          <cell r="H20">
            <v>18500</v>
          </cell>
          <cell r="M20">
            <v>18500</v>
          </cell>
        </row>
        <row r="21">
          <cell r="A21" t="str">
            <v xml:space="preserve"> 보통합판(1급)  12T  1.21*2.42</v>
          </cell>
          <cell r="B21" t="str">
            <v xml:space="preserve"> 보통합판(1급) </v>
          </cell>
          <cell r="C21" t="str">
            <v xml:space="preserve"> 12T  1.21*2.42</v>
          </cell>
          <cell r="D21" t="str">
            <v>㎡</v>
          </cell>
          <cell r="E21" t="str">
            <v>P433</v>
          </cell>
          <cell r="F21">
            <v>7366</v>
          </cell>
          <cell r="G21" t="str">
            <v>P353</v>
          </cell>
          <cell r="H21">
            <v>6181</v>
          </cell>
          <cell r="M21">
            <v>6181</v>
          </cell>
        </row>
        <row r="22">
          <cell r="A22" t="str">
            <v xml:space="preserve"> 라왕  각재</v>
          </cell>
          <cell r="B22" t="str">
            <v xml:space="preserve"> 라왕 </v>
          </cell>
          <cell r="C22" t="str">
            <v xml:space="preserve"> 각재</v>
          </cell>
          <cell r="D22" t="str">
            <v>㎥</v>
          </cell>
          <cell r="E22" t="str">
            <v xml:space="preserve"> P139</v>
          </cell>
          <cell r="F22">
            <v>988023</v>
          </cell>
          <cell r="G22" t="str">
            <v xml:space="preserve"> P106</v>
          </cell>
          <cell r="H22">
            <v>986023</v>
          </cell>
          <cell r="M22">
            <v>986023</v>
          </cell>
        </row>
        <row r="23">
          <cell r="A23" t="str">
            <v xml:space="preserve"> 어니일링(소)철선   #8  4.0mm</v>
          </cell>
          <cell r="B23" t="str">
            <v xml:space="preserve"> 어니일링(소)철선  </v>
          </cell>
          <cell r="C23" t="str">
            <v xml:space="preserve"> #8  4.0mm</v>
          </cell>
          <cell r="D23" t="str">
            <v>kg</v>
          </cell>
          <cell r="E23" t="str">
            <v xml:space="preserve"> P67</v>
          </cell>
          <cell r="F23">
            <v>570</v>
          </cell>
          <cell r="G23" t="str">
            <v xml:space="preserve"> P70</v>
          </cell>
          <cell r="H23">
            <v>570</v>
          </cell>
          <cell r="M23">
            <v>570</v>
          </cell>
        </row>
        <row r="24">
          <cell r="A24" t="str">
            <v xml:space="preserve"> 철못   N 50</v>
          </cell>
          <cell r="B24" t="str">
            <v xml:space="preserve"> 철못  </v>
          </cell>
          <cell r="C24" t="str">
            <v xml:space="preserve"> N 50</v>
          </cell>
          <cell r="D24" t="str">
            <v>kg</v>
          </cell>
          <cell r="E24" t="str">
            <v xml:space="preserve"> P70</v>
          </cell>
          <cell r="F24">
            <v>700</v>
          </cell>
          <cell r="G24" t="str">
            <v xml:space="preserve"> P70</v>
          </cell>
          <cell r="H24">
            <v>700</v>
          </cell>
          <cell r="M24">
            <v>700</v>
          </cell>
        </row>
        <row r="25">
          <cell r="A25" t="str">
            <v xml:space="preserve"> 박리제   유성</v>
          </cell>
          <cell r="B25" t="str">
            <v xml:space="preserve"> 박리제  </v>
          </cell>
          <cell r="C25" t="str">
            <v xml:space="preserve"> 유성</v>
          </cell>
          <cell r="D25" t="str">
            <v>ℓ</v>
          </cell>
          <cell r="E25" t="str">
            <v xml:space="preserve"> P147 </v>
          </cell>
          <cell r="F25">
            <v>1300</v>
          </cell>
          <cell r="G25" t="str">
            <v>P111</v>
          </cell>
          <cell r="H25">
            <v>1300</v>
          </cell>
          <cell r="M25">
            <v>1300</v>
          </cell>
        </row>
        <row r="26">
          <cell r="A26" t="str">
            <v xml:space="preserve"> 전화기  자동전화기(MFC)</v>
          </cell>
          <cell r="B26" t="str">
            <v xml:space="preserve"> 전화기 </v>
          </cell>
          <cell r="C26" t="str">
            <v xml:space="preserve"> 자동전화기(MFC)</v>
          </cell>
          <cell r="D26" t="str">
            <v>대</v>
          </cell>
          <cell r="E26" t="str">
            <v>P920</v>
          </cell>
          <cell r="F26">
            <v>30000</v>
          </cell>
          <cell r="M26">
            <v>30000</v>
          </cell>
        </row>
        <row r="27">
          <cell r="A27" t="str">
            <v xml:space="preserve"> 전화기  자동식직통</v>
          </cell>
          <cell r="B27" t="str">
            <v xml:space="preserve"> 전화기 </v>
          </cell>
          <cell r="C27" t="str">
            <v xml:space="preserve"> 자동식직통</v>
          </cell>
          <cell r="D27" t="str">
            <v>대</v>
          </cell>
          <cell r="L27">
            <v>280000</v>
          </cell>
          <cell r="M27">
            <v>280000</v>
          </cell>
        </row>
        <row r="28">
          <cell r="A28" t="str">
            <v xml:space="preserve"> KEY PHONE 모장치(GK50HB)10/16</v>
          </cell>
          <cell r="B28" t="str">
            <v xml:space="preserve"> KEY PHONE</v>
          </cell>
          <cell r="C28" t="str">
            <v xml:space="preserve"> 모장치(GK50HB)10/16</v>
          </cell>
          <cell r="D28" t="str">
            <v>대</v>
          </cell>
          <cell r="L28">
            <v>456000</v>
          </cell>
          <cell r="M28">
            <v>456000</v>
          </cell>
        </row>
        <row r="29">
          <cell r="A29" t="str">
            <v xml:space="preserve"> KEY PHONE 자장치(33LG)</v>
          </cell>
          <cell r="B29" t="str">
            <v xml:space="preserve"> KEY PHONE</v>
          </cell>
          <cell r="C29" t="str">
            <v xml:space="preserve"> 자장치(33LG)</v>
          </cell>
          <cell r="D29" t="str">
            <v>대</v>
          </cell>
          <cell r="L29">
            <v>95000</v>
          </cell>
          <cell r="M29">
            <v>95000</v>
          </cell>
        </row>
        <row r="30">
          <cell r="A30" t="str">
            <v xml:space="preserve"> 비디오폰  모장치</v>
          </cell>
          <cell r="B30" t="str">
            <v xml:space="preserve"> 비디오폰 </v>
          </cell>
          <cell r="C30" t="str">
            <v xml:space="preserve"> 모장치</v>
          </cell>
          <cell r="D30" t="str">
            <v>대</v>
          </cell>
          <cell r="L30">
            <v>180000</v>
          </cell>
          <cell r="M30">
            <v>180000</v>
          </cell>
        </row>
        <row r="31">
          <cell r="A31" t="str">
            <v xml:space="preserve"> 비디오폰  자장치</v>
          </cell>
          <cell r="B31" t="str">
            <v xml:space="preserve"> 비디오폰 </v>
          </cell>
          <cell r="C31" t="str">
            <v xml:space="preserve"> 자장치</v>
          </cell>
          <cell r="D31" t="str">
            <v>대</v>
          </cell>
          <cell r="L31">
            <v>140000</v>
          </cell>
          <cell r="M31">
            <v>140000</v>
          </cell>
        </row>
        <row r="32">
          <cell r="A32" t="str">
            <v xml:space="preserve"> 통신케이블 CPEV 5P/0.65</v>
          </cell>
          <cell r="B32" t="str">
            <v xml:space="preserve"> 통신케이블</v>
          </cell>
          <cell r="C32" t="str">
            <v xml:space="preserve"> CPEV 5P/0.65</v>
          </cell>
          <cell r="D32" t="str">
            <v>m</v>
          </cell>
          <cell r="E32" t="str">
            <v>P778</v>
          </cell>
          <cell r="F32">
            <v>728</v>
          </cell>
          <cell r="G32" t="str">
            <v>P853</v>
          </cell>
          <cell r="H32">
            <v>719</v>
          </cell>
          <cell r="M32">
            <v>719</v>
          </cell>
          <cell r="N32">
            <v>0.03</v>
          </cell>
        </row>
        <row r="33">
          <cell r="A33" t="str">
            <v xml:space="preserve"> 통신케이블 CPEV 10P/0.65</v>
          </cell>
          <cell r="B33" t="str">
            <v xml:space="preserve"> 통신케이블</v>
          </cell>
          <cell r="C33" t="str">
            <v xml:space="preserve"> CPEV 10P/0.65</v>
          </cell>
          <cell r="D33" t="str">
            <v>m</v>
          </cell>
          <cell r="E33" t="str">
            <v>P778</v>
          </cell>
          <cell r="F33">
            <v>914</v>
          </cell>
          <cell r="G33" t="str">
            <v>P853</v>
          </cell>
          <cell r="H33">
            <v>902</v>
          </cell>
          <cell r="M33">
            <v>902</v>
          </cell>
          <cell r="N33">
            <v>0.03</v>
          </cell>
        </row>
        <row r="34">
          <cell r="A34" t="str">
            <v xml:space="preserve"> 통신케이블 CPEV 20P/0.65</v>
          </cell>
          <cell r="B34" t="str">
            <v xml:space="preserve"> 통신케이블</v>
          </cell>
          <cell r="C34" t="str">
            <v xml:space="preserve"> CPEV 20P/0.65</v>
          </cell>
          <cell r="D34" t="str">
            <v>m</v>
          </cell>
          <cell r="E34" t="str">
            <v>P778</v>
          </cell>
          <cell r="F34">
            <v>1351</v>
          </cell>
          <cell r="G34" t="str">
            <v>P853</v>
          </cell>
          <cell r="H34">
            <v>1333</v>
          </cell>
          <cell r="M34">
            <v>1333</v>
          </cell>
          <cell r="N34">
            <v>0.03</v>
          </cell>
        </row>
        <row r="35">
          <cell r="A35" t="str">
            <v xml:space="preserve"> 통신케이블 CPEV 30P/0.65</v>
          </cell>
          <cell r="B35" t="str">
            <v xml:space="preserve"> 통신케이블</v>
          </cell>
          <cell r="C35" t="str">
            <v xml:space="preserve"> CPEV 30P/0.65</v>
          </cell>
          <cell r="D35" t="str">
            <v>m</v>
          </cell>
          <cell r="E35" t="str">
            <v>P778</v>
          </cell>
          <cell r="F35">
            <v>1351</v>
          </cell>
          <cell r="G35" t="str">
            <v>P853</v>
          </cell>
          <cell r="H35">
            <v>1333</v>
          </cell>
          <cell r="M35">
            <v>1333</v>
          </cell>
          <cell r="N35">
            <v>0.03</v>
          </cell>
        </row>
        <row r="36">
          <cell r="A36" t="str">
            <v xml:space="preserve"> ECX CABLE   5C-2V</v>
          </cell>
          <cell r="B36" t="str">
            <v xml:space="preserve"> ECX CABLE  </v>
          </cell>
          <cell r="C36" t="str">
            <v xml:space="preserve"> 5C-2V</v>
          </cell>
          <cell r="D36" t="str">
            <v>m</v>
          </cell>
          <cell r="E36" t="str">
            <v>P778</v>
          </cell>
          <cell r="F36">
            <v>528</v>
          </cell>
          <cell r="G36" t="str">
            <v>P854</v>
          </cell>
          <cell r="H36">
            <v>488</v>
          </cell>
          <cell r="M36">
            <v>488</v>
          </cell>
          <cell r="N36">
            <v>0.03</v>
          </cell>
        </row>
        <row r="37">
          <cell r="A37" t="str">
            <v xml:space="preserve"> ECX CABLE   7C-2V</v>
          </cell>
          <cell r="B37" t="str">
            <v xml:space="preserve"> ECX CABLE  </v>
          </cell>
          <cell r="C37" t="str">
            <v xml:space="preserve"> 7C-2V</v>
          </cell>
          <cell r="D37" t="str">
            <v>m</v>
          </cell>
          <cell r="E37" t="str">
            <v>P778</v>
          </cell>
          <cell r="F37">
            <v>955</v>
          </cell>
          <cell r="G37" t="str">
            <v>P854</v>
          </cell>
          <cell r="H37">
            <v>883</v>
          </cell>
          <cell r="M37">
            <v>883</v>
          </cell>
          <cell r="N37">
            <v>0.03</v>
          </cell>
        </row>
        <row r="38">
          <cell r="A38" t="str">
            <v xml:space="preserve"> 600V 가교PE 케이블   CV 2C/5.5㎟</v>
          </cell>
          <cell r="B38" t="str">
            <v xml:space="preserve"> 600V 가교PE 케이블  </v>
          </cell>
          <cell r="C38" t="str">
            <v xml:space="preserve"> CV 2C/5.5㎟</v>
          </cell>
          <cell r="D38" t="str">
            <v>m</v>
          </cell>
          <cell r="E38" t="str">
            <v>P766</v>
          </cell>
          <cell r="F38">
            <v>930</v>
          </cell>
          <cell r="G38" t="str">
            <v>P851</v>
          </cell>
          <cell r="H38">
            <v>918</v>
          </cell>
          <cell r="M38">
            <v>918</v>
          </cell>
          <cell r="N38">
            <v>0.03</v>
          </cell>
        </row>
        <row r="39">
          <cell r="A39" t="str">
            <v xml:space="preserve"> 전화선  TIV  2C/0.8㎜</v>
          </cell>
          <cell r="B39" t="str">
            <v xml:space="preserve"> 전화선 </v>
          </cell>
          <cell r="C39" t="str">
            <v xml:space="preserve"> TIV  2C/0.8㎜</v>
          </cell>
          <cell r="D39" t="str">
            <v>m</v>
          </cell>
          <cell r="E39" t="str">
            <v>P779</v>
          </cell>
          <cell r="F39">
            <v>80</v>
          </cell>
          <cell r="G39" t="str">
            <v>P854</v>
          </cell>
          <cell r="H39">
            <v>78</v>
          </cell>
          <cell r="M39">
            <v>78</v>
          </cell>
          <cell r="N39">
            <v>0.05</v>
          </cell>
        </row>
        <row r="40">
          <cell r="A40" t="str">
            <v xml:space="preserve"> 접지용전선   GV 5.5㎟</v>
          </cell>
          <cell r="B40" t="str">
            <v xml:space="preserve"> 접지용전선  </v>
          </cell>
          <cell r="C40" t="str">
            <v xml:space="preserve"> GV 5.5㎟</v>
          </cell>
          <cell r="D40" t="str">
            <v>m</v>
          </cell>
          <cell r="E40" t="str">
            <v>P763</v>
          </cell>
          <cell r="F40">
            <v>410</v>
          </cell>
          <cell r="G40" t="str">
            <v>P844</v>
          </cell>
          <cell r="H40">
            <v>410</v>
          </cell>
          <cell r="M40">
            <v>410</v>
          </cell>
          <cell r="N40">
            <v>0.1</v>
          </cell>
        </row>
        <row r="41">
          <cell r="A41" t="str">
            <v xml:space="preserve"> 제어케이블 CVV-S  24C×1.25㎟</v>
          </cell>
          <cell r="B41" t="str">
            <v xml:space="preserve"> 제어케이블</v>
          </cell>
          <cell r="C41" t="str">
            <v xml:space="preserve"> CVV-S  24C×1.25㎟</v>
          </cell>
          <cell r="D41" t="str">
            <v>m</v>
          </cell>
          <cell r="E41" t="str">
            <v>P765</v>
          </cell>
          <cell r="F41">
            <v>3050</v>
          </cell>
          <cell r="G41" t="str">
            <v>P845</v>
          </cell>
          <cell r="H41">
            <v>2873</v>
          </cell>
          <cell r="M41">
            <v>2873</v>
          </cell>
          <cell r="N41">
            <v>0.03</v>
          </cell>
        </row>
        <row r="42">
          <cell r="A42" t="str">
            <v xml:space="preserve"> 제어케이블 CVV-S  2C×1.25㎟</v>
          </cell>
          <cell r="B42" t="str">
            <v xml:space="preserve"> 제어케이블</v>
          </cell>
          <cell r="C42" t="str">
            <v xml:space="preserve"> CVV-S  2C×1.25㎟</v>
          </cell>
          <cell r="D42" t="str">
            <v>m</v>
          </cell>
          <cell r="E42" t="str">
            <v>P765</v>
          </cell>
          <cell r="F42">
            <v>714</v>
          </cell>
          <cell r="G42" t="str">
            <v>P845</v>
          </cell>
          <cell r="H42">
            <v>672</v>
          </cell>
          <cell r="M42">
            <v>672</v>
          </cell>
          <cell r="N42">
            <v>0.03</v>
          </cell>
        </row>
        <row r="43">
          <cell r="A43" t="str">
            <v xml:space="preserve"> 제어케이블 CVV-SB  2C×1.25㎟</v>
          </cell>
          <cell r="B43" t="str">
            <v xml:space="preserve"> 제어케이블</v>
          </cell>
          <cell r="C43" t="str">
            <v xml:space="preserve"> CVV-SB  2C×1.25㎟</v>
          </cell>
          <cell r="D43" t="str">
            <v>m</v>
          </cell>
          <cell r="E43" t="str">
            <v>P765</v>
          </cell>
          <cell r="F43">
            <v>755</v>
          </cell>
          <cell r="G43" t="str">
            <v>P845</v>
          </cell>
          <cell r="H43">
            <v>711</v>
          </cell>
          <cell r="M43">
            <v>711</v>
          </cell>
          <cell r="N43">
            <v>0.03</v>
          </cell>
        </row>
        <row r="44">
          <cell r="A44" t="str">
            <v xml:space="preserve"> 제어케이블 CVV-SB  8C×1.25㎟</v>
          </cell>
          <cell r="B44" t="str">
            <v xml:space="preserve"> 제어케이블</v>
          </cell>
          <cell r="C44" t="str">
            <v xml:space="preserve"> CVV-SB  8C×1.25㎟</v>
          </cell>
          <cell r="D44" t="str">
            <v>m</v>
          </cell>
          <cell r="G44" t="str">
            <v>P845</v>
          </cell>
          <cell r="H44">
            <v>1489</v>
          </cell>
          <cell r="M44">
            <v>1489</v>
          </cell>
          <cell r="N44">
            <v>0.03</v>
          </cell>
        </row>
        <row r="45">
          <cell r="A45" t="str">
            <v xml:space="preserve"> 국내케이블  SWV-SH  2개연 10C</v>
          </cell>
          <cell r="B45" t="str">
            <v xml:space="preserve"> 국내케이블 </v>
          </cell>
          <cell r="C45" t="str">
            <v xml:space="preserve"> SWV-SH  2개연 10C</v>
          </cell>
          <cell r="D45" t="str">
            <v>m</v>
          </cell>
          <cell r="E45" t="str">
            <v>P778</v>
          </cell>
          <cell r="F45">
            <v>730</v>
          </cell>
          <cell r="G45" t="str">
            <v>P853</v>
          </cell>
          <cell r="H45">
            <v>673</v>
          </cell>
          <cell r="M45">
            <v>673</v>
          </cell>
          <cell r="N45">
            <v>0.03</v>
          </cell>
        </row>
        <row r="46">
          <cell r="A46" t="str">
            <v xml:space="preserve"> 2종 비닐절연전선 HIV 1.2㎜</v>
          </cell>
          <cell r="B46" t="str">
            <v xml:space="preserve"> 2종 비닐절연전선</v>
          </cell>
          <cell r="C46" t="str">
            <v xml:space="preserve"> HIV 1.2㎜</v>
          </cell>
          <cell r="D46" t="str">
            <v>m</v>
          </cell>
          <cell r="E46" t="str">
            <v>P762</v>
          </cell>
          <cell r="F46">
            <v>61</v>
          </cell>
          <cell r="G46" t="str">
            <v>P842</v>
          </cell>
          <cell r="H46">
            <v>58</v>
          </cell>
          <cell r="M46">
            <v>58</v>
          </cell>
          <cell r="N46">
            <v>0.1</v>
          </cell>
        </row>
        <row r="47">
          <cell r="A47" t="str">
            <v xml:space="preserve"> 2종 비닐절연전선 HIV 1.6㎜</v>
          </cell>
          <cell r="B47" t="str">
            <v xml:space="preserve"> 2종 비닐절연전선</v>
          </cell>
          <cell r="C47" t="str">
            <v xml:space="preserve"> HIV 1.6㎜</v>
          </cell>
          <cell r="D47" t="str">
            <v>m</v>
          </cell>
          <cell r="E47" t="str">
            <v>P762</v>
          </cell>
          <cell r="F47">
            <v>101</v>
          </cell>
          <cell r="G47" t="str">
            <v>P842</v>
          </cell>
          <cell r="H47">
            <v>95</v>
          </cell>
          <cell r="M47">
            <v>95</v>
          </cell>
          <cell r="N47">
            <v>0.1</v>
          </cell>
        </row>
        <row r="48">
          <cell r="A48" t="str">
            <v xml:space="preserve"> 2종 비닐절연전선 HIV 2.0㎜</v>
          </cell>
          <cell r="B48" t="str">
            <v xml:space="preserve"> 2종 비닐절연전선</v>
          </cell>
          <cell r="C48" t="str">
            <v xml:space="preserve"> HIV 2.0㎜</v>
          </cell>
          <cell r="D48" t="str">
            <v>m</v>
          </cell>
          <cell r="E48" t="str">
            <v>P762</v>
          </cell>
          <cell r="F48">
            <v>149</v>
          </cell>
          <cell r="G48" t="str">
            <v>P842</v>
          </cell>
          <cell r="H48">
            <v>139</v>
          </cell>
          <cell r="M48">
            <v>139</v>
          </cell>
          <cell r="N48">
            <v>0.1</v>
          </cell>
        </row>
        <row r="49">
          <cell r="A49" t="str">
            <v xml:space="preserve"> 600V 비닐절연전선  IV 3.5㎟</v>
          </cell>
          <cell r="B49" t="str">
            <v xml:space="preserve"> 600V 비닐절연전선 </v>
          </cell>
          <cell r="C49" t="str">
            <v xml:space="preserve"> IV 3.5㎟</v>
          </cell>
          <cell r="D49" t="str">
            <v>m</v>
          </cell>
          <cell r="E49" t="str">
            <v>P762</v>
          </cell>
          <cell r="F49">
            <v>176</v>
          </cell>
          <cell r="G49" t="str">
            <v>P842</v>
          </cell>
          <cell r="H49">
            <v>167</v>
          </cell>
          <cell r="M49">
            <v>167</v>
          </cell>
          <cell r="N49">
            <v>0.1</v>
          </cell>
        </row>
        <row r="50">
          <cell r="A50" t="str">
            <v xml:space="preserve"> 600V 비닐절연전선  IV 5.5㎟</v>
          </cell>
          <cell r="B50" t="str">
            <v xml:space="preserve"> 600V 비닐절연전선 </v>
          </cell>
          <cell r="C50" t="str">
            <v xml:space="preserve"> IV 5.5㎟</v>
          </cell>
          <cell r="D50" t="str">
            <v>m</v>
          </cell>
          <cell r="E50" t="str">
            <v>P762</v>
          </cell>
          <cell r="F50">
            <v>252</v>
          </cell>
          <cell r="G50" t="str">
            <v>P842</v>
          </cell>
          <cell r="H50">
            <v>254</v>
          </cell>
          <cell r="M50">
            <v>252</v>
          </cell>
          <cell r="N50">
            <v>0.1</v>
          </cell>
        </row>
        <row r="51">
          <cell r="A51" t="str">
            <v xml:space="preserve"> 지중케이블 신설 CTC 2P</v>
          </cell>
          <cell r="B51" t="str">
            <v xml:space="preserve"> 지중케이블 신설</v>
          </cell>
          <cell r="C51" t="str">
            <v xml:space="preserve"> CTC 2P</v>
          </cell>
          <cell r="D51" t="str">
            <v>m</v>
          </cell>
          <cell r="L51">
            <v>580</v>
          </cell>
          <cell r="M51">
            <v>580</v>
          </cell>
          <cell r="N51">
            <v>0.03</v>
          </cell>
        </row>
        <row r="52">
          <cell r="A52" t="str">
            <v xml:space="preserve"> 후강전선관  아연도 16C</v>
          </cell>
          <cell r="B52" t="str">
            <v xml:space="preserve"> 후강전선관 </v>
          </cell>
          <cell r="C52" t="str">
            <v xml:space="preserve"> 아연도 16C</v>
          </cell>
          <cell r="D52" t="str">
            <v>m</v>
          </cell>
          <cell r="E52" t="str">
            <v>P789</v>
          </cell>
          <cell r="F52">
            <v>913</v>
          </cell>
          <cell r="G52" t="str">
            <v>P866</v>
          </cell>
          <cell r="H52">
            <v>913</v>
          </cell>
          <cell r="M52">
            <v>913</v>
          </cell>
          <cell r="N52">
            <v>0.1</v>
          </cell>
        </row>
        <row r="53">
          <cell r="A53" t="str">
            <v xml:space="preserve"> 후강전선관  아연도 22C</v>
          </cell>
          <cell r="B53" t="str">
            <v xml:space="preserve"> 후강전선관 </v>
          </cell>
          <cell r="C53" t="str">
            <v xml:space="preserve"> 아연도 22C</v>
          </cell>
          <cell r="D53" t="str">
            <v>m</v>
          </cell>
          <cell r="E53" t="str">
            <v>P789</v>
          </cell>
          <cell r="F53">
            <v>1169</v>
          </cell>
          <cell r="G53" t="str">
            <v>P866</v>
          </cell>
          <cell r="H53">
            <v>1169</v>
          </cell>
          <cell r="M53">
            <v>1169</v>
          </cell>
          <cell r="N53">
            <v>0.1</v>
          </cell>
        </row>
        <row r="54">
          <cell r="A54" t="str">
            <v xml:space="preserve"> 후강전선관  아연도 28C</v>
          </cell>
          <cell r="B54" t="str">
            <v xml:space="preserve"> 후강전선관 </v>
          </cell>
          <cell r="C54" t="str">
            <v xml:space="preserve"> 아연도 28C</v>
          </cell>
          <cell r="D54" t="str">
            <v>m</v>
          </cell>
          <cell r="E54" t="str">
            <v>P789</v>
          </cell>
          <cell r="F54">
            <v>1526</v>
          </cell>
          <cell r="G54" t="str">
            <v>P866</v>
          </cell>
          <cell r="H54">
            <v>1526</v>
          </cell>
          <cell r="M54">
            <v>1526</v>
          </cell>
          <cell r="N54">
            <v>0.1</v>
          </cell>
        </row>
        <row r="55">
          <cell r="A55" t="str">
            <v xml:space="preserve"> 후강전선관  아연도 36C</v>
          </cell>
          <cell r="B55" t="str">
            <v xml:space="preserve"> 후강전선관 </v>
          </cell>
          <cell r="C55" t="str">
            <v xml:space="preserve"> 아연도 36C</v>
          </cell>
          <cell r="D55" t="str">
            <v>m</v>
          </cell>
          <cell r="E55" t="str">
            <v>P789</v>
          </cell>
          <cell r="F55">
            <v>1873</v>
          </cell>
          <cell r="G55" t="str">
            <v>P866</v>
          </cell>
          <cell r="H55">
            <v>1873</v>
          </cell>
          <cell r="M55">
            <v>1873</v>
          </cell>
          <cell r="N55">
            <v>0.1</v>
          </cell>
        </row>
        <row r="56">
          <cell r="A56" t="str">
            <v xml:space="preserve"> 후강전선관  아연도 42C</v>
          </cell>
          <cell r="B56" t="str">
            <v xml:space="preserve"> 후강전선관 </v>
          </cell>
          <cell r="C56" t="str">
            <v xml:space="preserve"> 아연도 42C</v>
          </cell>
          <cell r="D56" t="str">
            <v>m</v>
          </cell>
          <cell r="E56" t="str">
            <v>P789</v>
          </cell>
          <cell r="F56">
            <v>2171</v>
          </cell>
          <cell r="G56" t="str">
            <v>P866</v>
          </cell>
          <cell r="H56">
            <v>2171</v>
          </cell>
          <cell r="M56">
            <v>2171</v>
          </cell>
          <cell r="N56">
            <v>0.1</v>
          </cell>
        </row>
        <row r="57">
          <cell r="A57" t="str">
            <v xml:space="preserve"> 후강전선관  아연도 54C</v>
          </cell>
          <cell r="B57" t="str">
            <v xml:space="preserve"> 후강전선관 </v>
          </cell>
          <cell r="C57" t="str">
            <v xml:space="preserve"> 아연도 54C</v>
          </cell>
          <cell r="D57" t="str">
            <v>m</v>
          </cell>
          <cell r="E57" t="str">
            <v>P789</v>
          </cell>
          <cell r="F57">
            <v>3027</v>
          </cell>
          <cell r="G57" t="str">
            <v>P866</v>
          </cell>
          <cell r="H57">
            <v>3027</v>
          </cell>
          <cell r="M57">
            <v>3027</v>
          </cell>
          <cell r="N57">
            <v>0.1</v>
          </cell>
        </row>
        <row r="58">
          <cell r="A58" t="str">
            <v xml:space="preserve"> 후강전선관  아연도 82C</v>
          </cell>
          <cell r="B58" t="str">
            <v xml:space="preserve"> 후강전선관 </v>
          </cell>
          <cell r="C58" t="str">
            <v xml:space="preserve"> 아연도 82C</v>
          </cell>
          <cell r="D58" t="str">
            <v>m</v>
          </cell>
          <cell r="E58" t="str">
            <v>P789</v>
          </cell>
          <cell r="F58">
            <v>4324</v>
          </cell>
          <cell r="G58" t="str">
            <v>P866</v>
          </cell>
          <cell r="H58">
            <v>4324</v>
          </cell>
          <cell r="M58">
            <v>4324</v>
          </cell>
          <cell r="N58">
            <v>0.1</v>
          </cell>
        </row>
        <row r="59">
          <cell r="A59" t="str">
            <v xml:space="preserve"> 노말밴드 28C</v>
          </cell>
          <cell r="B59" t="str">
            <v xml:space="preserve"> 노말밴드</v>
          </cell>
          <cell r="C59" t="str">
            <v xml:space="preserve"> 28C</v>
          </cell>
          <cell r="D59" t="str">
            <v>개</v>
          </cell>
          <cell r="E59" t="str">
            <v>P789</v>
          </cell>
          <cell r="F59">
            <v>1969</v>
          </cell>
          <cell r="G59" t="str">
            <v>P871</v>
          </cell>
          <cell r="H59">
            <v>1969</v>
          </cell>
          <cell r="M59">
            <v>1969</v>
          </cell>
        </row>
        <row r="60">
          <cell r="A60" t="str">
            <v xml:space="preserve"> 노말밴드 36C</v>
          </cell>
          <cell r="B60" t="str">
            <v xml:space="preserve"> 노말밴드</v>
          </cell>
          <cell r="C60" t="str">
            <v xml:space="preserve"> 36C</v>
          </cell>
          <cell r="D60" t="str">
            <v>개</v>
          </cell>
          <cell r="E60" t="str">
            <v>P789</v>
          </cell>
          <cell r="F60">
            <v>2500</v>
          </cell>
          <cell r="G60" t="str">
            <v>P871</v>
          </cell>
          <cell r="H60">
            <v>2625</v>
          </cell>
          <cell r="M60">
            <v>2500</v>
          </cell>
        </row>
        <row r="61">
          <cell r="A61" t="str">
            <v xml:space="preserve"> 노말밴드 42C</v>
          </cell>
          <cell r="B61" t="str">
            <v xml:space="preserve"> 노말밴드</v>
          </cell>
          <cell r="C61" t="str">
            <v xml:space="preserve"> 42C</v>
          </cell>
          <cell r="D61" t="str">
            <v>개</v>
          </cell>
          <cell r="E61" t="str">
            <v>P789</v>
          </cell>
          <cell r="F61">
            <v>3413</v>
          </cell>
          <cell r="G61" t="str">
            <v>P871</v>
          </cell>
          <cell r="H61">
            <v>3413</v>
          </cell>
          <cell r="M61">
            <v>3413</v>
          </cell>
        </row>
        <row r="62">
          <cell r="A62" t="str">
            <v xml:space="preserve"> 노말밴드 54C</v>
          </cell>
          <cell r="B62" t="str">
            <v xml:space="preserve"> 노말밴드</v>
          </cell>
          <cell r="C62" t="str">
            <v xml:space="preserve"> 54C</v>
          </cell>
          <cell r="D62" t="str">
            <v>개</v>
          </cell>
          <cell r="E62" t="str">
            <v>P789</v>
          </cell>
          <cell r="F62">
            <v>4625</v>
          </cell>
          <cell r="G62" t="str">
            <v>P871</v>
          </cell>
          <cell r="H62">
            <v>4856</v>
          </cell>
          <cell r="M62">
            <v>4625</v>
          </cell>
        </row>
        <row r="63">
          <cell r="A63" t="str">
            <v xml:space="preserve"> 노말밴드 82C</v>
          </cell>
          <cell r="B63" t="str">
            <v xml:space="preserve"> 노말밴드</v>
          </cell>
          <cell r="C63" t="str">
            <v xml:space="preserve"> 82C</v>
          </cell>
          <cell r="D63" t="str">
            <v>개</v>
          </cell>
          <cell r="E63" t="str">
            <v>P789</v>
          </cell>
          <cell r="F63">
            <v>11813</v>
          </cell>
          <cell r="G63" t="str">
            <v>P871</v>
          </cell>
          <cell r="H63">
            <v>11813</v>
          </cell>
          <cell r="M63">
            <v>11813</v>
          </cell>
        </row>
        <row r="64">
          <cell r="A64" t="str">
            <v xml:space="preserve"> 1종가요관   16C ㉿비방수</v>
          </cell>
          <cell r="B64" t="str">
            <v xml:space="preserve"> 1종가요관  </v>
          </cell>
          <cell r="C64" t="str">
            <v xml:space="preserve"> 16C ㉿비방수</v>
          </cell>
          <cell r="D64" t="str">
            <v>m</v>
          </cell>
          <cell r="G64" t="str">
            <v>P867</v>
          </cell>
          <cell r="H64">
            <v>145</v>
          </cell>
          <cell r="M64">
            <v>145</v>
          </cell>
          <cell r="N64">
            <v>0.1</v>
          </cell>
        </row>
        <row r="65">
          <cell r="A65" t="str">
            <v xml:space="preserve"> 1종가요관   22C ㉿비방수</v>
          </cell>
          <cell r="B65" t="str">
            <v xml:space="preserve"> 1종가요관  </v>
          </cell>
          <cell r="C65" t="str">
            <v xml:space="preserve"> 22C ㉿비방수</v>
          </cell>
          <cell r="D65" t="str">
            <v>m</v>
          </cell>
          <cell r="G65" t="str">
            <v>P867</v>
          </cell>
          <cell r="H65">
            <v>215</v>
          </cell>
          <cell r="M65">
            <v>215</v>
          </cell>
          <cell r="N65">
            <v>0.1</v>
          </cell>
        </row>
        <row r="66">
          <cell r="A66" t="str">
            <v xml:space="preserve"> 1종가요관   28C ㉿비방수</v>
          </cell>
          <cell r="B66" t="str">
            <v xml:space="preserve"> 1종가요관  </v>
          </cell>
          <cell r="C66" t="str">
            <v xml:space="preserve"> 28C ㉿비방수</v>
          </cell>
          <cell r="D66" t="str">
            <v>m</v>
          </cell>
          <cell r="G66" t="str">
            <v>P867</v>
          </cell>
          <cell r="H66">
            <v>290</v>
          </cell>
          <cell r="M66">
            <v>290</v>
          </cell>
          <cell r="N66">
            <v>0.1</v>
          </cell>
        </row>
        <row r="67">
          <cell r="A67" t="str">
            <v xml:space="preserve"> 1종가요관   36C ㉿비방수</v>
          </cell>
          <cell r="B67" t="str">
            <v xml:space="preserve"> 1종가요관  </v>
          </cell>
          <cell r="C67" t="str">
            <v xml:space="preserve"> 36C ㉿비방수</v>
          </cell>
          <cell r="D67" t="str">
            <v>m</v>
          </cell>
          <cell r="G67" t="str">
            <v>P867</v>
          </cell>
          <cell r="H67">
            <v>420</v>
          </cell>
          <cell r="M67">
            <v>420</v>
          </cell>
          <cell r="N67">
            <v>0.1</v>
          </cell>
        </row>
        <row r="68">
          <cell r="A68" t="str">
            <v xml:space="preserve"> 경질비닐 전선관 HI 28C</v>
          </cell>
          <cell r="B68" t="str">
            <v xml:space="preserve"> 경질비닐 전선관</v>
          </cell>
          <cell r="C68" t="str">
            <v xml:space="preserve"> HI 28C</v>
          </cell>
          <cell r="D68" t="str">
            <v>m</v>
          </cell>
          <cell r="E68" t="str">
            <v>P793</v>
          </cell>
          <cell r="F68">
            <v>936</v>
          </cell>
          <cell r="G68" t="str">
            <v>P866</v>
          </cell>
          <cell r="H68">
            <v>744</v>
          </cell>
          <cell r="M68">
            <v>744</v>
          </cell>
          <cell r="N68">
            <v>0.02</v>
          </cell>
        </row>
        <row r="69">
          <cell r="A69" t="str">
            <v xml:space="preserve"> 경질비닐 전선관 HI 36C</v>
          </cell>
          <cell r="B69" t="str">
            <v xml:space="preserve"> 경질비닐 전선관</v>
          </cell>
          <cell r="C69" t="str">
            <v xml:space="preserve"> HI 36C</v>
          </cell>
          <cell r="D69" t="str">
            <v>m</v>
          </cell>
          <cell r="E69" t="str">
            <v>P793</v>
          </cell>
          <cell r="F69">
            <v>1200</v>
          </cell>
          <cell r="G69" t="str">
            <v>P866</v>
          </cell>
          <cell r="H69">
            <v>1040</v>
          </cell>
          <cell r="M69">
            <v>1040</v>
          </cell>
          <cell r="N69">
            <v>0.02</v>
          </cell>
        </row>
        <row r="70">
          <cell r="A70" t="str">
            <v xml:space="preserve"> 경질비닐 전선관 HI 54C</v>
          </cell>
          <cell r="B70" t="str">
            <v xml:space="preserve"> 경질비닐 전선관</v>
          </cell>
          <cell r="C70" t="str">
            <v xml:space="preserve"> HI 54C</v>
          </cell>
          <cell r="D70" t="str">
            <v>m</v>
          </cell>
          <cell r="E70" t="str">
            <v>P793</v>
          </cell>
          <cell r="F70">
            <v>2212</v>
          </cell>
          <cell r="G70" t="str">
            <v>P866</v>
          </cell>
          <cell r="H70">
            <v>1930</v>
          </cell>
          <cell r="M70">
            <v>1930</v>
          </cell>
          <cell r="N70">
            <v>0.02</v>
          </cell>
        </row>
        <row r="71">
          <cell r="A71" t="str">
            <v xml:space="preserve"> 경질비닐 전선관 HI 82C</v>
          </cell>
          <cell r="B71" t="str">
            <v xml:space="preserve"> 경질비닐 전선관</v>
          </cell>
          <cell r="C71" t="str">
            <v xml:space="preserve"> HI 82C</v>
          </cell>
          <cell r="D71" t="str">
            <v>m</v>
          </cell>
          <cell r="E71" t="str">
            <v>P793</v>
          </cell>
          <cell r="F71">
            <v>4274</v>
          </cell>
          <cell r="G71" t="str">
            <v>P866</v>
          </cell>
          <cell r="H71">
            <v>3788</v>
          </cell>
          <cell r="M71">
            <v>3788</v>
          </cell>
          <cell r="N71">
            <v>0.02</v>
          </cell>
        </row>
        <row r="72">
          <cell r="A72" t="str">
            <v xml:space="preserve"> C형 찬넬 60x30x10x 2.3t</v>
          </cell>
          <cell r="B72" t="str">
            <v xml:space="preserve"> C형 찬넬</v>
          </cell>
          <cell r="C72" t="str">
            <v xml:space="preserve"> 60x30x10x 2.3t</v>
          </cell>
          <cell r="D72" t="str">
            <v>m</v>
          </cell>
          <cell r="E72" t="str">
            <v>P47</v>
          </cell>
          <cell r="F72">
            <v>697</v>
          </cell>
          <cell r="G72" t="str">
            <v xml:space="preserve"> P49</v>
          </cell>
          <cell r="H72">
            <v>510</v>
          </cell>
          <cell r="M72">
            <v>510</v>
          </cell>
        </row>
        <row r="73">
          <cell r="A73" t="str">
            <v xml:space="preserve"> 클램프 16C</v>
          </cell>
          <cell r="B73" t="str">
            <v xml:space="preserve"> 클램프</v>
          </cell>
          <cell r="C73" t="str">
            <v xml:space="preserve"> 16C</v>
          </cell>
          <cell r="D73" t="str">
            <v>개</v>
          </cell>
          <cell r="E73" t="str">
            <v>P789</v>
          </cell>
          <cell r="F73">
            <v>325</v>
          </cell>
          <cell r="G73" t="str">
            <v>P871</v>
          </cell>
          <cell r="H73">
            <v>325</v>
          </cell>
          <cell r="M73">
            <v>325</v>
          </cell>
        </row>
        <row r="74">
          <cell r="A74" t="str">
            <v xml:space="preserve"> 클램프 22C</v>
          </cell>
          <cell r="B74" t="str">
            <v xml:space="preserve"> 클램프</v>
          </cell>
          <cell r="C74" t="str">
            <v xml:space="preserve"> 22C</v>
          </cell>
          <cell r="D74" t="str">
            <v>개</v>
          </cell>
          <cell r="E74" t="str">
            <v>P789</v>
          </cell>
          <cell r="F74">
            <v>385</v>
          </cell>
          <cell r="G74" t="str">
            <v>P871</v>
          </cell>
          <cell r="H74">
            <v>385</v>
          </cell>
          <cell r="M74">
            <v>385</v>
          </cell>
        </row>
        <row r="75">
          <cell r="A75" t="str">
            <v xml:space="preserve"> 클램프 28C</v>
          </cell>
          <cell r="B75" t="str">
            <v xml:space="preserve"> 클램프</v>
          </cell>
          <cell r="C75" t="str">
            <v xml:space="preserve"> 28C</v>
          </cell>
          <cell r="D75" t="str">
            <v>개</v>
          </cell>
          <cell r="E75" t="str">
            <v>P789</v>
          </cell>
          <cell r="F75">
            <v>445</v>
          </cell>
          <cell r="G75" t="str">
            <v>P871</v>
          </cell>
          <cell r="H75">
            <v>445</v>
          </cell>
          <cell r="M75">
            <v>445</v>
          </cell>
        </row>
        <row r="76">
          <cell r="A76" t="str">
            <v xml:space="preserve"> 클램프 36C</v>
          </cell>
          <cell r="B76" t="str">
            <v xml:space="preserve"> 클램프</v>
          </cell>
          <cell r="C76" t="str">
            <v xml:space="preserve"> 36C</v>
          </cell>
          <cell r="D76" t="str">
            <v>개</v>
          </cell>
          <cell r="E76" t="str">
            <v>P789</v>
          </cell>
          <cell r="F76">
            <v>510</v>
          </cell>
          <cell r="G76" t="str">
            <v>P871</v>
          </cell>
          <cell r="H76">
            <v>510</v>
          </cell>
          <cell r="M76">
            <v>510</v>
          </cell>
        </row>
        <row r="77">
          <cell r="A77" t="str">
            <v xml:space="preserve"> 클램프 42C</v>
          </cell>
          <cell r="B77" t="str">
            <v xml:space="preserve"> 클램프</v>
          </cell>
          <cell r="C77" t="str">
            <v xml:space="preserve"> 42C</v>
          </cell>
          <cell r="D77" t="str">
            <v>개</v>
          </cell>
          <cell r="E77" t="str">
            <v>P789</v>
          </cell>
          <cell r="F77">
            <v>600</v>
          </cell>
          <cell r="G77" t="str">
            <v>P871</v>
          </cell>
          <cell r="H77">
            <v>600</v>
          </cell>
          <cell r="M77">
            <v>600</v>
          </cell>
        </row>
        <row r="78">
          <cell r="A78" t="str">
            <v xml:space="preserve"> 클램프 54C</v>
          </cell>
          <cell r="B78" t="str">
            <v xml:space="preserve"> 클램프</v>
          </cell>
          <cell r="C78" t="str">
            <v xml:space="preserve"> 54C</v>
          </cell>
          <cell r="D78" t="str">
            <v>개</v>
          </cell>
          <cell r="E78" t="str">
            <v>P789</v>
          </cell>
          <cell r="F78">
            <v>710</v>
          </cell>
          <cell r="G78" t="str">
            <v>P871</v>
          </cell>
          <cell r="H78">
            <v>710</v>
          </cell>
          <cell r="M78">
            <v>710</v>
          </cell>
        </row>
        <row r="79">
          <cell r="A79" t="str">
            <v xml:space="preserve"> 클램프 82C</v>
          </cell>
          <cell r="B79" t="str">
            <v xml:space="preserve"> 클램프</v>
          </cell>
          <cell r="C79" t="str">
            <v xml:space="preserve"> 82C</v>
          </cell>
          <cell r="D79" t="str">
            <v>개</v>
          </cell>
          <cell r="E79" t="str">
            <v>P789</v>
          </cell>
          <cell r="F79">
            <v>710</v>
          </cell>
          <cell r="G79" t="str">
            <v>P871</v>
          </cell>
          <cell r="H79">
            <v>1230</v>
          </cell>
          <cell r="M79">
            <v>710</v>
          </cell>
        </row>
        <row r="80">
          <cell r="A80" t="str">
            <v xml:space="preserve"> 스트롱앵커   5/8" (M16)</v>
          </cell>
          <cell r="B80" t="str">
            <v xml:space="preserve"> 스트롱앵커  </v>
          </cell>
          <cell r="C80" t="str">
            <v xml:space="preserve"> 5/8" (M16)</v>
          </cell>
          <cell r="D80" t="str">
            <v>개</v>
          </cell>
          <cell r="E80" t="str">
            <v>P97</v>
          </cell>
          <cell r="F80">
            <v>180</v>
          </cell>
          <cell r="M80">
            <v>180</v>
          </cell>
        </row>
        <row r="81">
          <cell r="A81" t="str">
            <v xml:space="preserve"> 달대볼트(아연도)  M16  L1000</v>
          </cell>
          <cell r="B81" t="str">
            <v xml:space="preserve"> 달대볼트(아연도) </v>
          </cell>
          <cell r="C81" t="str">
            <v xml:space="preserve"> M16  L1000</v>
          </cell>
          <cell r="D81" t="str">
            <v>개</v>
          </cell>
          <cell r="E81" t="str">
            <v>P97</v>
          </cell>
          <cell r="F81">
            <v>1252</v>
          </cell>
          <cell r="G81" t="str">
            <v xml:space="preserve"> P78</v>
          </cell>
          <cell r="H81">
            <v>1252</v>
          </cell>
          <cell r="M81">
            <v>1252</v>
          </cell>
        </row>
        <row r="82">
          <cell r="A82" t="str">
            <v xml:space="preserve"> 풀박스  100×100×100</v>
          </cell>
          <cell r="B82" t="str">
            <v xml:space="preserve"> 풀박스 </v>
          </cell>
          <cell r="C82" t="str">
            <v xml:space="preserve"> 100×100×100</v>
          </cell>
          <cell r="D82" t="str">
            <v>개</v>
          </cell>
          <cell r="E82" t="str">
            <v>P794</v>
          </cell>
          <cell r="F82">
            <v>1920</v>
          </cell>
          <cell r="G82" t="str">
            <v>P883</v>
          </cell>
          <cell r="H82">
            <v>1750</v>
          </cell>
          <cell r="M82">
            <v>1750</v>
          </cell>
        </row>
        <row r="83">
          <cell r="A83" t="str">
            <v xml:space="preserve"> 풀박스  200×200×100</v>
          </cell>
          <cell r="B83" t="str">
            <v xml:space="preserve"> 풀박스 </v>
          </cell>
          <cell r="C83" t="str">
            <v xml:space="preserve"> 200×200×100</v>
          </cell>
          <cell r="D83" t="str">
            <v>개</v>
          </cell>
          <cell r="E83" t="str">
            <v>P794</v>
          </cell>
          <cell r="F83">
            <v>3720</v>
          </cell>
          <cell r="G83" t="str">
            <v>P883</v>
          </cell>
          <cell r="H83">
            <v>3420</v>
          </cell>
          <cell r="M83">
            <v>3420</v>
          </cell>
        </row>
        <row r="84">
          <cell r="A84" t="str">
            <v xml:space="preserve"> 풀박스  200×200×150</v>
          </cell>
          <cell r="B84" t="str">
            <v xml:space="preserve"> 풀박스 </v>
          </cell>
          <cell r="C84" t="str">
            <v xml:space="preserve"> 200×200×150</v>
          </cell>
          <cell r="D84" t="str">
            <v>개</v>
          </cell>
          <cell r="E84" t="str">
            <v>P794</v>
          </cell>
          <cell r="F84">
            <v>4680</v>
          </cell>
          <cell r="G84" t="str">
            <v>P883</v>
          </cell>
          <cell r="H84">
            <v>4050</v>
          </cell>
          <cell r="M84">
            <v>4050</v>
          </cell>
        </row>
        <row r="85">
          <cell r="A85" t="str">
            <v xml:space="preserve"> 풀박스  200×200×200</v>
          </cell>
          <cell r="B85" t="str">
            <v xml:space="preserve"> 풀박스 </v>
          </cell>
          <cell r="C85" t="str">
            <v xml:space="preserve"> 200×200×200</v>
          </cell>
          <cell r="D85" t="str">
            <v>개</v>
          </cell>
          <cell r="E85" t="str">
            <v>P794</v>
          </cell>
          <cell r="F85">
            <v>5280</v>
          </cell>
          <cell r="G85" t="str">
            <v>P883</v>
          </cell>
          <cell r="H85">
            <v>4680</v>
          </cell>
          <cell r="M85">
            <v>4680</v>
          </cell>
        </row>
        <row r="86">
          <cell r="A86" t="str">
            <v xml:space="preserve"> 풀박스  300×300×200</v>
          </cell>
          <cell r="B86" t="str">
            <v xml:space="preserve"> 풀박스 </v>
          </cell>
          <cell r="C86" t="str">
            <v xml:space="preserve"> 300×300×200</v>
          </cell>
          <cell r="D86" t="str">
            <v>개</v>
          </cell>
          <cell r="E86" t="str">
            <v>P794</v>
          </cell>
          <cell r="F86">
            <v>7800</v>
          </cell>
          <cell r="G86" t="str">
            <v>P883</v>
          </cell>
          <cell r="H86">
            <v>7200</v>
          </cell>
          <cell r="M86">
            <v>7200</v>
          </cell>
        </row>
        <row r="87">
          <cell r="A87" t="str">
            <v xml:space="preserve"> 풀박스  400×400×200</v>
          </cell>
          <cell r="B87" t="str">
            <v xml:space="preserve"> 풀박스 </v>
          </cell>
          <cell r="C87" t="str">
            <v xml:space="preserve"> 400×400×200</v>
          </cell>
          <cell r="D87" t="str">
            <v>개</v>
          </cell>
          <cell r="E87" t="str">
            <v>P794</v>
          </cell>
          <cell r="F87">
            <v>12240</v>
          </cell>
          <cell r="G87" t="str">
            <v>P883</v>
          </cell>
          <cell r="H87">
            <v>11160</v>
          </cell>
          <cell r="M87">
            <v>11160</v>
          </cell>
        </row>
        <row r="88">
          <cell r="A88" t="str">
            <v xml:space="preserve"> 풀박스  500×500×300</v>
          </cell>
          <cell r="B88" t="str">
            <v xml:space="preserve"> 풀박스 </v>
          </cell>
          <cell r="C88" t="str">
            <v xml:space="preserve"> 500×500×300</v>
          </cell>
          <cell r="D88" t="str">
            <v>개</v>
          </cell>
          <cell r="E88" t="str">
            <v>P794</v>
          </cell>
          <cell r="F88">
            <v>26400</v>
          </cell>
          <cell r="G88" t="str">
            <v>P883</v>
          </cell>
          <cell r="H88">
            <v>22500</v>
          </cell>
          <cell r="M88">
            <v>22500</v>
          </cell>
        </row>
        <row r="89">
          <cell r="A89" t="str">
            <v xml:space="preserve"> 풀박스  600×600×300</v>
          </cell>
          <cell r="B89" t="str">
            <v xml:space="preserve"> 풀박스 </v>
          </cell>
          <cell r="C89" t="str">
            <v xml:space="preserve"> 600×600×300</v>
          </cell>
          <cell r="D89" t="str">
            <v>개</v>
          </cell>
          <cell r="E89" t="str">
            <v>P794</v>
          </cell>
          <cell r="F89">
            <v>33000</v>
          </cell>
          <cell r="G89" t="str">
            <v>P883</v>
          </cell>
          <cell r="H89">
            <v>27450</v>
          </cell>
          <cell r="M89">
            <v>27450</v>
          </cell>
        </row>
        <row r="90">
          <cell r="A90" t="str">
            <v xml:space="preserve"> 배선반 178P</v>
          </cell>
          <cell r="B90" t="str">
            <v xml:space="preserve"> 배선반</v>
          </cell>
          <cell r="C90" t="str">
            <v xml:space="preserve"> 178P</v>
          </cell>
          <cell r="D90" t="str">
            <v>m</v>
          </cell>
          <cell r="L90">
            <v>6877600</v>
          </cell>
          <cell r="M90">
            <v>6877600</v>
          </cell>
        </row>
        <row r="91">
          <cell r="A91" t="str">
            <v xml:space="preserve"> 국선단자함 국선60/내선120</v>
          </cell>
          <cell r="B91" t="str">
            <v xml:space="preserve"> 국선단자함</v>
          </cell>
          <cell r="C91" t="str">
            <v xml:space="preserve"> 국선60/내선120</v>
          </cell>
          <cell r="D91" t="str">
            <v>개</v>
          </cell>
          <cell r="L91">
            <v>420000</v>
          </cell>
          <cell r="M91">
            <v>420000</v>
          </cell>
        </row>
        <row r="92">
          <cell r="A92" t="str">
            <v xml:space="preserve"> 전화단자함 10P</v>
          </cell>
          <cell r="B92" t="str">
            <v xml:space="preserve"> 전화단자함</v>
          </cell>
          <cell r="C92" t="str">
            <v xml:space="preserve"> 10P</v>
          </cell>
          <cell r="D92" t="str">
            <v>개</v>
          </cell>
          <cell r="L92">
            <v>70000</v>
          </cell>
          <cell r="M92">
            <v>70000</v>
          </cell>
        </row>
        <row r="93">
          <cell r="A93" t="str">
            <v xml:space="preserve"> 전화단자함 20P</v>
          </cell>
          <cell r="B93" t="str">
            <v xml:space="preserve"> 전화단자함</v>
          </cell>
          <cell r="C93" t="str">
            <v xml:space="preserve"> 20P</v>
          </cell>
          <cell r="D93" t="str">
            <v>개</v>
          </cell>
          <cell r="L93">
            <v>90000</v>
          </cell>
          <cell r="M93">
            <v>90000</v>
          </cell>
        </row>
        <row r="94">
          <cell r="A94" t="str">
            <v xml:space="preserve"> 전화단자함 30P</v>
          </cell>
          <cell r="B94" t="str">
            <v xml:space="preserve"> 전화단자함</v>
          </cell>
          <cell r="C94" t="str">
            <v xml:space="preserve"> 30P</v>
          </cell>
          <cell r="D94" t="str">
            <v>개</v>
          </cell>
          <cell r="L94">
            <v>95000</v>
          </cell>
          <cell r="M94">
            <v>95000</v>
          </cell>
        </row>
        <row r="95">
          <cell r="A95" t="str">
            <v xml:space="preserve"> 접지단자함(SUS)   450×500×150</v>
          </cell>
          <cell r="B95" t="str">
            <v xml:space="preserve"> 접지단자함(SUS)  </v>
          </cell>
          <cell r="C95" t="str">
            <v xml:space="preserve"> 450×500×150</v>
          </cell>
          <cell r="D95" t="str">
            <v>개</v>
          </cell>
          <cell r="L95">
            <v>180000</v>
          </cell>
          <cell r="M95">
            <v>180000</v>
          </cell>
        </row>
        <row r="96">
          <cell r="A96" t="str">
            <v xml:space="preserve"> 전화기 콘센트   4P</v>
          </cell>
          <cell r="B96" t="str">
            <v xml:space="preserve"> 전화기 콘센트  </v>
          </cell>
          <cell r="C96" t="str">
            <v xml:space="preserve"> 4P</v>
          </cell>
          <cell r="D96" t="str">
            <v>개</v>
          </cell>
          <cell r="E96" t="str">
            <v>P858</v>
          </cell>
          <cell r="F96">
            <v>884</v>
          </cell>
          <cell r="G96" t="str">
            <v>P935</v>
          </cell>
          <cell r="H96">
            <v>560</v>
          </cell>
          <cell r="M96">
            <v>560</v>
          </cell>
        </row>
        <row r="97">
          <cell r="A97" t="str">
            <v xml:space="preserve"> 전화기플레이트  4P용</v>
          </cell>
          <cell r="B97" t="str">
            <v xml:space="preserve"> 전화기플레이트 </v>
          </cell>
          <cell r="C97" t="str">
            <v xml:space="preserve"> 4P용</v>
          </cell>
          <cell r="D97" t="str">
            <v>개</v>
          </cell>
          <cell r="E97" t="str">
            <v xml:space="preserve"> </v>
          </cell>
          <cell r="G97" t="str">
            <v>P933</v>
          </cell>
          <cell r="H97">
            <v>485</v>
          </cell>
          <cell r="M97">
            <v>485</v>
          </cell>
        </row>
        <row r="98">
          <cell r="A98" t="str">
            <v xml:space="preserve"> 스위치박스   2개용 54㎜</v>
          </cell>
          <cell r="B98" t="str">
            <v xml:space="preserve"> 스위치박스  </v>
          </cell>
          <cell r="C98" t="str">
            <v xml:space="preserve"> 2개용 54㎜</v>
          </cell>
          <cell r="D98" t="str">
            <v>개</v>
          </cell>
          <cell r="E98" t="str">
            <v>P796</v>
          </cell>
          <cell r="F98">
            <v>701</v>
          </cell>
          <cell r="G98" t="str">
            <v>P883</v>
          </cell>
          <cell r="H98">
            <v>660</v>
          </cell>
          <cell r="M98">
            <v>660</v>
          </cell>
        </row>
        <row r="99">
          <cell r="A99" t="str">
            <v xml:space="preserve"> 박스커버-4각   2개용S/W (평)</v>
          </cell>
          <cell r="B99" t="str">
            <v xml:space="preserve"> 박스커버-4각  </v>
          </cell>
          <cell r="C99" t="str">
            <v xml:space="preserve"> 2개용S/W (평)</v>
          </cell>
          <cell r="D99" t="str">
            <v>개</v>
          </cell>
          <cell r="E99" t="str">
            <v>P797</v>
          </cell>
          <cell r="F99">
            <v>387</v>
          </cell>
          <cell r="G99" t="str">
            <v>P883</v>
          </cell>
          <cell r="H99">
            <v>190</v>
          </cell>
          <cell r="M99">
            <v>190</v>
          </cell>
        </row>
        <row r="100">
          <cell r="A100" t="str">
            <v xml:space="preserve"> 아우트레트박스  중형 4각 54㎜</v>
          </cell>
          <cell r="B100" t="str">
            <v xml:space="preserve"> 아우트레트박스 </v>
          </cell>
          <cell r="C100" t="str">
            <v xml:space="preserve"> 중형 4각 54㎜</v>
          </cell>
          <cell r="D100" t="str">
            <v>개</v>
          </cell>
          <cell r="E100" t="str">
            <v>P796</v>
          </cell>
          <cell r="F100">
            <v>832</v>
          </cell>
          <cell r="G100" t="str">
            <v>P882</v>
          </cell>
          <cell r="H100">
            <v>660</v>
          </cell>
          <cell r="M100">
            <v>660</v>
          </cell>
        </row>
        <row r="101">
          <cell r="A101" t="str">
            <v xml:space="preserve"> 박스커버-4각   둥근구멍(평)</v>
          </cell>
          <cell r="B101" t="str">
            <v xml:space="preserve"> 박스커버-4각  </v>
          </cell>
          <cell r="C101" t="str">
            <v xml:space="preserve"> 둥근구멍(평)</v>
          </cell>
          <cell r="D101" t="str">
            <v>개</v>
          </cell>
          <cell r="E101" t="str">
            <v>P797</v>
          </cell>
          <cell r="F101">
            <v>387</v>
          </cell>
          <cell r="G101" t="str">
            <v>P883</v>
          </cell>
          <cell r="H101">
            <v>190</v>
          </cell>
          <cell r="M101">
            <v>190</v>
          </cell>
        </row>
        <row r="102">
          <cell r="A102" t="str">
            <v xml:space="preserve"> 노줄박스 설치 400×200×100</v>
          </cell>
          <cell r="B102" t="str">
            <v xml:space="preserve"> 노줄박스 설치</v>
          </cell>
          <cell r="C102" t="str">
            <v xml:space="preserve"> 400×200×100</v>
          </cell>
          <cell r="D102" t="str">
            <v>대</v>
          </cell>
          <cell r="L102">
            <v>128800</v>
          </cell>
          <cell r="M102">
            <v>128800</v>
          </cell>
        </row>
        <row r="103">
          <cell r="A103" t="str">
            <v xml:space="preserve"> 케이블 덕트  400×150</v>
          </cell>
          <cell r="B103" t="str">
            <v xml:space="preserve"> 케이블 덕트 </v>
          </cell>
          <cell r="C103" t="str">
            <v xml:space="preserve"> 400×150</v>
          </cell>
          <cell r="D103" t="str">
            <v>m</v>
          </cell>
          <cell r="G103" t="str">
            <v>P878</v>
          </cell>
          <cell r="H103">
            <v>32300</v>
          </cell>
          <cell r="M103">
            <v>32300</v>
          </cell>
        </row>
        <row r="104">
          <cell r="A104" t="str">
            <v xml:space="preserve"> 케이블 랙 W : 150</v>
          </cell>
          <cell r="B104" t="str">
            <v xml:space="preserve"> 케이블 랙</v>
          </cell>
          <cell r="C104" t="str">
            <v xml:space="preserve"> W : 150</v>
          </cell>
          <cell r="D104" t="str">
            <v>m</v>
          </cell>
          <cell r="E104" t="str">
            <v>P687</v>
          </cell>
          <cell r="F104">
            <v>10450</v>
          </cell>
          <cell r="G104" t="str">
            <v>P880</v>
          </cell>
          <cell r="H104">
            <v>10250</v>
          </cell>
          <cell r="M104">
            <v>10250</v>
          </cell>
        </row>
        <row r="105">
          <cell r="A105" t="str">
            <v xml:space="preserve"> AMP  800W</v>
          </cell>
          <cell r="B105" t="str">
            <v xml:space="preserve"> AMP </v>
          </cell>
          <cell r="C105" t="str">
            <v xml:space="preserve"> 800W</v>
          </cell>
          <cell r="D105" t="str">
            <v>대</v>
          </cell>
          <cell r="L105">
            <v>28900000</v>
          </cell>
          <cell r="M105">
            <v>28900000</v>
          </cell>
        </row>
        <row r="106">
          <cell r="A106" t="str">
            <v xml:space="preserve"> 충전기 48V 10A</v>
          </cell>
          <cell r="B106" t="str">
            <v xml:space="preserve"> 충전기</v>
          </cell>
          <cell r="C106" t="str">
            <v xml:space="preserve"> 48V 10A</v>
          </cell>
          <cell r="D106" t="str">
            <v>대</v>
          </cell>
          <cell r="L106">
            <v>2500000</v>
          </cell>
          <cell r="M106">
            <v>2500000</v>
          </cell>
        </row>
        <row r="107">
          <cell r="A107" t="str">
            <v xml:space="preserve"> BATTERY MF 12V 50A </v>
          </cell>
          <cell r="B107" t="str">
            <v xml:space="preserve"> BATTERY</v>
          </cell>
          <cell r="C107" t="str">
            <v xml:space="preserve"> MF 12V 50A </v>
          </cell>
          <cell r="D107" t="str">
            <v>개</v>
          </cell>
          <cell r="L107">
            <v>85000</v>
          </cell>
          <cell r="M107">
            <v>85000</v>
          </cell>
        </row>
        <row r="108">
          <cell r="A108" t="str">
            <v xml:space="preserve"> AMP(음성증폭기)  창구용(5CH)</v>
          </cell>
          <cell r="B108" t="str">
            <v xml:space="preserve"> AMP(음성증폭기) </v>
          </cell>
          <cell r="C108" t="str">
            <v xml:space="preserve"> 창구용(5CH)</v>
          </cell>
          <cell r="D108" t="str">
            <v>대</v>
          </cell>
          <cell r="L108">
            <v>1890000</v>
          </cell>
          <cell r="M108">
            <v>1890000</v>
          </cell>
        </row>
        <row r="109">
          <cell r="A109" t="str">
            <v xml:space="preserve"> AMP  150W</v>
          </cell>
          <cell r="B109" t="str">
            <v xml:space="preserve"> AMP </v>
          </cell>
          <cell r="C109" t="str">
            <v xml:space="preserve"> 150W</v>
          </cell>
          <cell r="D109" t="str">
            <v>대</v>
          </cell>
          <cell r="L109">
            <v>0</v>
          </cell>
          <cell r="M109">
            <v>0</v>
          </cell>
        </row>
        <row r="110">
          <cell r="A110" t="str">
            <v xml:space="preserve"> AMP(음성증폭기)  10W</v>
          </cell>
          <cell r="B110" t="str">
            <v xml:space="preserve"> AMP(음성증폭기) </v>
          </cell>
          <cell r="C110" t="str">
            <v xml:space="preserve"> 10W</v>
          </cell>
          <cell r="D110" t="str">
            <v>대</v>
          </cell>
          <cell r="L110">
            <v>0</v>
          </cell>
          <cell r="M110">
            <v>0</v>
          </cell>
        </row>
        <row r="111">
          <cell r="A111" t="str">
            <v xml:space="preserve"> 스피커  10W(혼형)</v>
          </cell>
          <cell r="B111" t="str">
            <v xml:space="preserve"> 스피커 </v>
          </cell>
          <cell r="C111" t="str">
            <v xml:space="preserve"> 10W(혼형)</v>
          </cell>
          <cell r="D111" t="str">
            <v>개</v>
          </cell>
          <cell r="L111">
            <v>35000</v>
          </cell>
          <cell r="M111">
            <v>35000</v>
          </cell>
        </row>
        <row r="112">
          <cell r="A112" t="str">
            <v xml:space="preserve"> 스피커  벽부형(3W)</v>
          </cell>
          <cell r="B112" t="str">
            <v xml:space="preserve"> 스피커 </v>
          </cell>
          <cell r="C112" t="str">
            <v xml:space="preserve"> 벽부형(3W)</v>
          </cell>
          <cell r="D112" t="str">
            <v>개</v>
          </cell>
          <cell r="L112">
            <v>26000</v>
          </cell>
          <cell r="M112">
            <v>26000</v>
          </cell>
        </row>
        <row r="113">
          <cell r="A113" t="str">
            <v xml:space="preserve"> 스피커  벽부형(3W,ATT부착)</v>
          </cell>
          <cell r="B113" t="str">
            <v xml:space="preserve"> 스피커 </v>
          </cell>
          <cell r="C113" t="str">
            <v xml:space="preserve"> 벽부형(3W,ATT부착)</v>
          </cell>
          <cell r="D113" t="str">
            <v>개</v>
          </cell>
          <cell r="L113">
            <v>31500</v>
          </cell>
          <cell r="M113">
            <v>31500</v>
          </cell>
        </row>
        <row r="114">
          <cell r="A114" t="str">
            <v xml:space="preserve"> 스피커  천정형(3W)</v>
          </cell>
          <cell r="B114" t="str">
            <v xml:space="preserve"> 스피커 </v>
          </cell>
          <cell r="C114" t="str">
            <v xml:space="preserve"> 천정형(3W)</v>
          </cell>
          <cell r="D114" t="str">
            <v>개</v>
          </cell>
          <cell r="L114">
            <v>18000</v>
          </cell>
          <cell r="M114">
            <v>18000</v>
          </cell>
        </row>
        <row r="115">
          <cell r="A115" t="str">
            <v xml:space="preserve"> 스피커  천정형(3W,ATT부착)</v>
          </cell>
          <cell r="B115" t="str">
            <v xml:space="preserve"> 스피커 </v>
          </cell>
          <cell r="C115" t="str">
            <v xml:space="preserve"> 천정형(3W,ATT부착)</v>
          </cell>
          <cell r="D115" t="str">
            <v>개</v>
          </cell>
          <cell r="L115">
            <v>26000</v>
          </cell>
          <cell r="M115">
            <v>26000</v>
          </cell>
        </row>
        <row r="116">
          <cell r="A116" t="str">
            <v xml:space="preserve"> 스피커 취부대 아연도금(도면참조)</v>
          </cell>
          <cell r="B116" t="str">
            <v xml:space="preserve"> 스피커 취부대</v>
          </cell>
          <cell r="C116" t="str">
            <v xml:space="preserve"> 아연도금(도면참조)</v>
          </cell>
          <cell r="D116" t="str">
            <v>개</v>
          </cell>
          <cell r="L116">
            <v>18000</v>
          </cell>
          <cell r="M116">
            <v>18000</v>
          </cell>
        </row>
        <row r="117">
          <cell r="A117" t="str">
            <v xml:space="preserve"> 공청용 증폭기  VHF/UHF 겸용</v>
          </cell>
          <cell r="B117" t="str">
            <v xml:space="preserve"> 공청용 증폭기 </v>
          </cell>
          <cell r="C117" t="str">
            <v xml:space="preserve"> VHF/UHF 겸용</v>
          </cell>
          <cell r="D117" t="str">
            <v>개</v>
          </cell>
          <cell r="E117" t="str">
            <v>P903</v>
          </cell>
          <cell r="F117">
            <v>65000</v>
          </cell>
          <cell r="G117" t="str">
            <v>P977</v>
          </cell>
          <cell r="H117">
            <v>65000</v>
          </cell>
          <cell r="M117">
            <v>65000</v>
          </cell>
        </row>
        <row r="118">
          <cell r="A118" t="str">
            <v xml:space="preserve"> 공청용 혼합기  VHF H/L</v>
          </cell>
          <cell r="B118" t="str">
            <v xml:space="preserve"> 공청용 혼합기 </v>
          </cell>
          <cell r="C118" t="str">
            <v xml:space="preserve"> VHF H/L</v>
          </cell>
          <cell r="D118" t="str">
            <v>개</v>
          </cell>
          <cell r="E118" t="str">
            <v>P903</v>
          </cell>
          <cell r="F118">
            <v>6000</v>
          </cell>
          <cell r="G118" t="str">
            <v>P977</v>
          </cell>
          <cell r="H118">
            <v>6000</v>
          </cell>
          <cell r="M118">
            <v>6000</v>
          </cell>
        </row>
        <row r="119">
          <cell r="A119" t="str">
            <v xml:space="preserve"> 공청용 혼합기  VHF/UHF</v>
          </cell>
          <cell r="B119" t="str">
            <v xml:space="preserve"> 공청용 혼합기 </v>
          </cell>
          <cell r="C119" t="str">
            <v xml:space="preserve"> VHF/UHF</v>
          </cell>
          <cell r="D119" t="str">
            <v>개</v>
          </cell>
          <cell r="E119" t="str">
            <v>P903</v>
          </cell>
          <cell r="F119">
            <v>6000</v>
          </cell>
          <cell r="G119" t="str">
            <v>P977</v>
          </cell>
          <cell r="H119">
            <v>6000</v>
          </cell>
          <cell r="M119">
            <v>6000</v>
          </cell>
        </row>
        <row r="120">
          <cell r="A120" t="str">
            <v xml:space="preserve"> 공청용안테나  UHF 용</v>
          </cell>
          <cell r="B120" t="str">
            <v xml:space="preserve"> 공청용안테나 </v>
          </cell>
          <cell r="C120" t="str">
            <v xml:space="preserve"> UHF 용</v>
          </cell>
          <cell r="D120" t="str">
            <v>조</v>
          </cell>
          <cell r="E120" t="str">
            <v>P903</v>
          </cell>
          <cell r="F120">
            <v>20000</v>
          </cell>
          <cell r="G120" t="str">
            <v>P977</v>
          </cell>
          <cell r="H120">
            <v>20000</v>
          </cell>
          <cell r="M120">
            <v>20000</v>
          </cell>
        </row>
        <row r="121">
          <cell r="A121" t="str">
            <v xml:space="preserve"> 공청용안테나  VHF HIGH 찬넬용</v>
          </cell>
          <cell r="B121" t="str">
            <v xml:space="preserve"> 공청용안테나 </v>
          </cell>
          <cell r="C121" t="str">
            <v xml:space="preserve"> VHF HIGH 찬넬용</v>
          </cell>
          <cell r="D121" t="str">
            <v>조</v>
          </cell>
          <cell r="E121" t="str">
            <v>P903</v>
          </cell>
          <cell r="F121">
            <v>25000</v>
          </cell>
          <cell r="G121" t="str">
            <v>P977</v>
          </cell>
          <cell r="H121">
            <v>25000</v>
          </cell>
          <cell r="M121">
            <v>25000</v>
          </cell>
        </row>
        <row r="122">
          <cell r="A122" t="str">
            <v xml:space="preserve"> 공청용안테나  VHF LOW 찬넬용</v>
          </cell>
          <cell r="B122" t="str">
            <v xml:space="preserve"> 공청용안테나 </v>
          </cell>
          <cell r="C122" t="str">
            <v xml:space="preserve"> VHF LOW 찬넬용</v>
          </cell>
          <cell r="D122" t="str">
            <v>조</v>
          </cell>
          <cell r="E122" t="str">
            <v>P903</v>
          </cell>
          <cell r="F122">
            <v>30000</v>
          </cell>
          <cell r="G122" t="str">
            <v>P977</v>
          </cell>
          <cell r="H122">
            <v>30000</v>
          </cell>
          <cell r="M122">
            <v>30000</v>
          </cell>
        </row>
        <row r="123">
          <cell r="A123" t="str">
            <v xml:space="preserve"> 분배기   3회로</v>
          </cell>
          <cell r="B123" t="str">
            <v xml:space="preserve"> 분배기  </v>
          </cell>
          <cell r="C123" t="str">
            <v xml:space="preserve"> 3회로</v>
          </cell>
          <cell r="D123" t="str">
            <v>개</v>
          </cell>
          <cell r="G123" t="str">
            <v>P977</v>
          </cell>
          <cell r="H123">
            <v>6000</v>
          </cell>
          <cell r="M123">
            <v>6000</v>
          </cell>
        </row>
        <row r="124">
          <cell r="A124" t="str">
            <v xml:space="preserve"> 육송(재)  각재</v>
          </cell>
          <cell r="B124" t="str">
            <v xml:space="preserve"> 육송(재) </v>
          </cell>
          <cell r="C124" t="str">
            <v xml:space="preserve"> 각재</v>
          </cell>
          <cell r="D124" t="str">
            <v>재</v>
          </cell>
          <cell r="G124" t="str">
            <v xml:space="preserve"> P106</v>
          </cell>
          <cell r="H124">
            <v>1100</v>
          </cell>
          <cell r="M124">
            <v>1100</v>
          </cell>
        </row>
        <row r="125">
          <cell r="A125" t="str">
            <v xml:space="preserve"> 자갈(#57,Φ25)   인천(도착도)</v>
          </cell>
          <cell r="B125" t="str">
            <v xml:space="preserve"> 자갈(#57,Φ25)  </v>
          </cell>
          <cell r="C125" t="str">
            <v xml:space="preserve"> 인천(도착도)</v>
          </cell>
          <cell r="D125" t="str">
            <v>㎥</v>
          </cell>
          <cell r="E125" t="str">
            <v xml:space="preserve"> P111 </v>
          </cell>
          <cell r="F125">
            <v>23000</v>
          </cell>
          <cell r="G125" t="str">
            <v xml:space="preserve"> P95</v>
          </cell>
          <cell r="H125">
            <v>17500</v>
          </cell>
          <cell r="M125">
            <v>17500</v>
          </cell>
        </row>
        <row r="126">
          <cell r="A126" t="str">
            <v xml:space="preserve"> 용접봉(고강용)  Φ3.2 LC-600</v>
          </cell>
          <cell r="B126" t="str">
            <v xml:space="preserve"> 용접봉(고강용) </v>
          </cell>
          <cell r="C126" t="str">
            <v xml:space="preserve"> Φ3.2 LC-600</v>
          </cell>
          <cell r="D126" t="str">
            <v>kg</v>
          </cell>
          <cell r="E126" t="str">
            <v>P1029</v>
          </cell>
          <cell r="F126">
            <v>1620</v>
          </cell>
          <cell r="G126" t="str">
            <v>P751</v>
          </cell>
          <cell r="H126">
            <v>1670</v>
          </cell>
          <cell r="M126">
            <v>1620</v>
          </cell>
        </row>
        <row r="127">
          <cell r="A127" t="str">
            <v xml:space="preserve"> 산소(기체)</v>
          </cell>
          <cell r="B127" t="str">
            <v xml:space="preserve"> 산소(기체)</v>
          </cell>
          <cell r="D127" t="str">
            <v>ℓ</v>
          </cell>
          <cell r="E127" t="str">
            <v>P1111</v>
          </cell>
          <cell r="F127">
            <v>250</v>
          </cell>
          <cell r="G127" t="str">
            <v>P1026</v>
          </cell>
          <cell r="H127">
            <v>250</v>
          </cell>
          <cell r="M127">
            <v>250</v>
          </cell>
        </row>
        <row r="128">
          <cell r="A128" t="str">
            <v xml:space="preserve"> 아세틸렌</v>
          </cell>
          <cell r="B128" t="str">
            <v xml:space="preserve"> 아세틸렌</v>
          </cell>
          <cell r="D128" t="str">
            <v>㎏</v>
          </cell>
          <cell r="E128" t="str">
            <v>P1111</v>
          </cell>
          <cell r="F128">
            <v>12000</v>
          </cell>
          <cell r="G128" t="str">
            <v>P1026</v>
          </cell>
          <cell r="H128">
            <v>12000</v>
          </cell>
          <cell r="M128">
            <v>12000</v>
          </cell>
        </row>
        <row r="129">
          <cell r="A129" t="str">
            <v xml:space="preserve"> 백관 (SPP)   D40</v>
          </cell>
          <cell r="B129" t="str">
            <v xml:space="preserve"> 백관 (SPP)  </v>
          </cell>
          <cell r="C129" t="str">
            <v xml:space="preserve"> D40</v>
          </cell>
          <cell r="D129" t="str">
            <v>m</v>
          </cell>
          <cell r="E129" t="str">
            <v>P459</v>
          </cell>
          <cell r="F129">
            <v>2347</v>
          </cell>
          <cell r="G129" t="str">
            <v>P426</v>
          </cell>
          <cell r="H129">
            <v>1347</v>
          </cell>
          <cell r="M129">
            <v>1347</v>
          </cell>
        </row>
        <row r="130">
          <cell r="A130" t="str">
            <v xml:space="preserve"> 백관 (SPP)  D100</v>
          </cell>
          <cell r="B130" t="str">
            <v xml:space="preserve"> 백관 (SPP) </v>
          </cell>
          <cell r="C130" t="str">
            <v xml:space="preserve"> D100</v>
          </cell>
          <cell r="D130" t="str">
            <v>m</v>
          </cell>
          <cell r="E130" t="str">
            <v>P459</v>
          </cell>
          <cell r="F130">
            <v>7392</v>
          </cell>
          <cell r="G130" t="str">
            <v>P426</v>
          </cell>
          <cell r="H130">
            <v>7392</v>
          </cell>
          <cell r="M130">
            <v>7392</v>
          </cell>
        </row>
        <row r="131">
          <cell r="A131" t="str">
            <v xml:space="preserve"> 백레듀샤 (용접)   D100</v>
          </cell>
          <cell r="B131" t="str">
            <v xml:space="preserve"> 백레듀샤 (용접)  </v>
          </cell>
          <cell r="C131" t="str">
            <v xml:space="preserve"> D100</v>
          </cell>
          <cell r="D131" t="str">
            <v>개</v>
          </cell>
          <cell r="G131" t="str">
            <v>P430</v>
          </cell>
          <cell r="H131">
            <v>2700</v>
          </cell>
          <cell r="M131">
            <v>2700</v>
          </cell>
        </row>
        <row r="132">
          <cell r="A132" t="str">
            <v xml:space="preserve"> 열연강판   6t</v>
          </cell>
          <cell r="B132" t="str">
            <v xml:space="preserve"> 열연강판  </v>
          </cell>
          <cell r="C132" t="str">
            <v xml:space="preserve"> 6t</v>
          </cell>
          <cell r="D132" t="str">
            <v>kg</v>
          </cell>
          <cell r="E132" t="str">
            <v>P53</v>
          </cell>
          <cell r="F132">
            <v>360</v>
          </cell>
          <cell r="G132" t="str">
            <v xml:space="preserve"> P50</v>
          </cell>
          <cell r="H132">
            <v>360</v>
          </cell>
          <cell r="M132">
            <v>360</v>
          </cell>
        </row>
        <row r="133">
          <cell r="A133" t="str">
            <v xml:space="preserve"> 앵커볼트(7/8")  M22  L250</v>
          </cell>
          <cell r="B133" t="str">
            <v xml:space="preserve"> 앵커볼트(7/8") </v>
          </cell>
          <cell r="C133" t="str">
            <v xml:space="preserve"> M22  L250</v>
          </cell>
          <cell r="D133" t="str">
            <v>조</v>
          </cell>
          <cell r="G133" t="str">
            <v xml:space="preserve"> P76</v>
          </cell>
          <cell r="H133">
            <v>570</v>
          </cell>
          <cell r="M133">
            <v>570</v>
          </cell>
        </row>
        <row r="134">
          <cell r="A134" t="str">
            <v xml:space="preserve"> 너트 Φ22</v>
          </cell>
          <cell r="B134" t="str">
            <v xml:space="preserve"> 너트</v>
          </cell>
          <cell r="C134" t="str">
            <v xml:space="preserve"> Φ22</v>
          </cell>
          <cell r="D134" t="str">
            <v>개</v>
          </cell>
          <cell r="E134" t="str">
            <v>P99</v>
          </cell>
          <cell r="F134">
            <v>100</v>
          </cell>
          <cell r="G134" t="str">
            <v xml:space="preserve"> P78</v>
          </cell>
          <cell r="H134">
            <v>97</v>
          </cell>
          <cell r="M134">
            <v>97</v>
          </cell>
        </row>
        <row r="135">
          <cell r="A135" t="str">
            <v xml:space="preserve"> 스프링와샤 Φ22</v>
          </cell>
          <cell r="B135" t="str">
            <v xml:space="preserve"> 스프링와샤</v>
          </cell>
          <cell r="C135" t="str">
            <v xml:space="preserve"> Φ22</v>
          </cell>
          <cell r="D135" t="str">
            <v>개</v>
          </cell>
          <cell r="E135" t="str">
            <v>P100</v>
          </cell>
          <cell r="F135">
            <v>20</v>
          </cell>
          <cell r="G135" t="str">
            <v xml:space="preserve"> P79</v>
          </cell>
          <cell r="H135">
            <v>20</v>
          </cell>
          <cell r="M135">
            <v>20</v>
          </cell>
        </row>
        <row r="136">
          <cell r="A136" t="str">
            <v xml:space="preserve"> WB 벽부형 200×300×150</v>
          </cell>
          <cell r="B136" t="str">
            <v xml:space="preserve"> WB 벽부형</v>
          </cell>
          <cell r="C136" t="str">
            <v xml:space="preserve"> 200×300×150</v>
          </cell>
          <cell r="D136" t="str">
            <v>개</v>
          </cell>
          <cell r="E136" t="str">
            <v>P794</v>
          </cell>
          <cell r="F136">
            <v>6000</v>
          </cell>
          <cell r="G136" t="str">
            <v>P883</v>
          </cell>
          <cell r="H136">
            <v>5080</v>
          </cell>
          <cell r="M136">
            <v>5080</v>
          </cell>
        </row>
        <row r="137">
          <cell r="A137" t="str">
            <v xml:space="preserve"> TV 유니트   단말용</v>
          </cell>
          <cell r="B137" t="str">
            <v xml:space="preserve"> TV 유니트  </v>
          </cell>
          <cell r="C137" t="str">
            <v xml:space="preserve"> 단말용</v>
          </cell>
          <cell r="D137" t="str">
            <v>개</v>
          </cell>
          <cell r="G137" t="str">
            <v>P934</v>
          </cell>
          <cell r="H137">
            <v>2493</v>
          </cell>
          <cell r="M137">
            <v>2493</v>
          </cell>
        </row>
        <row r="138">
          <cell r="A138" t="str">
            <v xml:space="preserve"> TV 유니트   직렬분기용</v>
          </cell>
          <cell r="B138" t="str">
            <v xml:space="preserve"> TV 유니트  </v>
          </cell>
          <cell r="C138" t="str">
            <v xml:space="preserve"> 직렬분기용</v>
          </cell>
          <cell r="D138" t="str">
            <v>개</v>
          </cell>
          <cell r="G138" t="str">
            <v>P934</v>
          </cell>
          <cell r="H138">
            <v>2720</v>
          </cell>
          <cell r="M138">
            <v>2720</v>
          </cell>
        </row>
        <row r="139">
          <cell r="A139" t="str">
            <v xml:space="preserve"> TV 유니트   직렬용</v>
          </cell>
          <cell r="B139" t="str">
            <v xml:space="preserve"> TV 유니트  </v>
          </cell>
          <cell r="C139" t="str">
            <v xml:space="preserve"> 직렬용</v>
          </cell>
          <cell r="D139" t="str">
            <v>개</v>
          </cell>
          <cell r="E139" t="str">
            <v>P903</v>
          </cell>
          <cell r="F139">
            <v>2606</v>
          </cell>
          <cell r="G139" t="str">
            <v>P934</v>
          </cell>
          <cell r="H139">
            <v>2606</v>
          </cell>
          <cell r="M139">
            <v>2606</v>
          </cell>
        </row>
        <row r="140">
          <cell r="A140" t="str">
            <v xml:space="preserve"> CONSOLE RACK 14" MONITOR 4대</v>
          </cell>
          <cell r="B140" t="str">
            <v xml:space="preserve"> CONSOLE RACK</v>
          </cell>
          <cell r="C140" t="str">
            <v xml:space="preserve"> 14" MONITOR 4대</v>
          </cell>
          <cell r="D140" t="str">
            <v>대</v>
          </cell>
          <cell r="L140">
            <v>1500000</v>
          </cell>
          <cell r="M140">
            <v>1500000</v>
          </cell>
        </row>
        <row r="141">
          <cell r="A141" t="str">
            <v xml:space="preserve"> AUTO CODE TIME S/W 8CH</v>
          </cell>
          <cell r="B141" t="e">
            <v>#N/A</v>
          </cell>
          <cell r="C141" t="e">
            <v>#N/A</v>
          </cell>
          <cell r="D141" t="str">
            <v>개</v>
          </cell>
          <cell r="G141" t="str">
            <v>P1002</v>
          </cell>
          <cell r="H141">
            <v>850000</v>
          </cell>
          <cell r="M141">
            <v>850000</v>
          </cell>
        </row>
        <row r="142">
          <cell r="A142" t="str">
            <v xml:space="preserve"> COLOR MONITOR 14"</v>
          </cell>
          <cell r="B142" t="e">
            <v>#N/A</v>
          </cell>
          <cell r="C142" t="e">
            <v>#N/A</v>
          </cell>
          <cell r="D142" t="str">
            <v>대</v>
          </cell>
          <cell r="G142" t="str">
            <v>P996</v>
          </cell>
          <cell r="H142">
            <v>250000</v>
          </cell>
          <cell r="M142">
            <v>250000</v>
          </cell>
        </row>
        <row r="143">
          <cell r="A143" t="str">
            <v xml:space="preserve"> POWER CONTROLLER 8CH</v>
          </cell>
          <cell r="B143" t="str">
            <v xml:space="preserve"> POWER CONTROLLER</v>
          </cell>
          <cell r="C143" t="str">
            <v xml:space="preserve"> 8CH</v>
          </cell>
          <cell r="D143" t="str">
            <v>개</v>
          </cell>
          <cell r="G143" t="str">
            <v>P1002</v>
          </cell>
          <cell r="H143">
            <v>230000</v>
          </cell>
          <cell r="M143">
            <v>230000</v>
          </cell>
        </row>
        <row r="144">
          <cell r="A144" t="str">
            <v xml:space="preserve"> TIMER 24 Hr</v>
          </cell>
          <cell r="B144" t="str">
            <v xml:space="preserve"> TIMER</v>
          </cell>
          <cell r="C144" t="str">
            <v xml:space="preserve"> 24 Hr</v>
          </cell>
          <cell r="D144" t="str">
            <v>개</v>
          </cell>
          <cell r="G144" t="str">
            <v>P919</v>
          </cell>
          <cell r="H144">
            <v>48400</v>
          </cell>
          <cell r="M144">
            <v>48400</v>
          </cell>
        </row>
        <row r="145">
          <cell r="A145" t="str">
            <v xml:space="preserve"> COLOR MONITOR 20"</v>
          </cell>
          <cell r="B145" t="e">
            <v>#N/A</v>
          </cell>
          <cell r="C145" t="e">
            <v>#N/A</v>
          </cell>
          <cell r="D145" t="str">
            <v>대</v>
          </cell>
          <cell r="G145" t="str">
            <v>P996</v>
          </cell>
          <cell r="H145">
            <v>350000</v>
          </cell>
          <cell r="M145">
            <v>350000</v>
          </cell>
        </row>
        <row r="146">
          <cell r="A146" t="str">
            <v xml:space="preserve"> COLOR CAMERA 2 LUX</v>
          </cell>
          <cell r="B146" t="str">
            <v xml:space="preserve"> COLOR CAMERA</v>
          </cell>
          <cell r="C146" t="str">
            <v xml:space="preserve"> 2 LUX</v>
          </cell>
          <cell r="D146" t="str">
            <v>개</v>
          </cell>
          <cell r="G146" t="str">
            <v>P1002</v>
          </cell>
          <cell r="H146">
            <v>1250000</v>
          </cell>
          <cell r="M146">
            <v>1250000</v>
          </cell>
        </row>
        <row r="147">
          <cell r="A147" t="str">
            <v xml:space="preserve"> AUTO IRIS LENS 8mm</v>
          </cell>
          <cell r="B147" t="e">
            <v>#N/A</v>
          </cell>
          <cell r="C147" t="e">
            <v>#N/A</v>
          </cell>
          <cell r="D147" t="str">
            <v>개</v>
          </cell>
          <cell r="G147" t="str">
            <v>P1001</v>
          </cell>
          <cell r="H147">
            <v>180000</v>
          </cell>
          <cell r="M147">
            <v>180000</v>
          </cell>
        </row>
        <row r="148">
          <cell r="A148" t="str">
            <v xml:space="preserve"> 렌즈 AUTO IRIS(8mm)</v>
          </cell>
          <cell r="B148" t="str">
            <v xml:space="preserve"> 렌즈</v>
          </cell>
          <cell r="C148" t="str">
            <v xml:space="preserve"> AUTO IRIS(8mm)</v>
          </cell>
          <cell r="D148" t="str">
            <v>개</v>
          </cell>
          <cell r="L148">
            <v>160000</v>
          </cell>
          <cell r="M148">
            <v>160000</v>
          </cell>
        </row>
        <row r="149">
          <cell r="A149" t="str">
            <v xml:space="preserve"> AUTO IRIS LENS 16mm</v>
          </cell>
          <cell r="B149" t="e">
            <v>#N/A</v>
          </cell>
          <cell r="C149" t="e">
            <v>#N/A</v>
          </cell>
          <cell r="D149" t="str">
            <v>개</v>
          </cell>
          <cell r="G149" t="str">
            <v>P1001</v>
          </cell>
          <cell r="H149">
            <v>250000</v>
          </cell>
          <cell r="M149">
            <v>250000</v>
          </cell>
        </row>
        <row r="150">
          <cell r="A150" t="str">
            <v xml:space="preserve"> CAMERA BRACKET WALL TYPE</v>
          </cell>
          <cell r="B150" t="e">
            <v>#N/A</v>
          </cell>
          <cell r="C150" t="e">
            <v>#N/A</v>
          </cell>
          <cell r="D150" t="str">
            <v>개</v>
          </cell>
          <cell r="G150" t="str">
            <v>P1002</v>
          </cell>
          <cell r="H150">
            <v>50000</v>
          </cell>
          <cell r="M150">
            <v>50000</v>
          </cell>
        </row>
        <row r="151">
          <cell r="A151" t="str">
            <v xml:space="preserve"> CAMERA HOUSING INDOOR</v>
          </cell>
          <cell r="B151" t="e">
            <v>#N/A</v>
          </cell>
          <cell r="C151" t="e">
            <v>#N/A</v>
          </cell>
          <cell r="D151" t="str">
            <v>개</v>
          </cell>
          <cell r="L151">
            <v>60000</v>
          </cell>
          <cell r="M151">
            <v>60000</v>
          </cell>
        </row>
        <row r="152">
          <cell r="A152" t="str">
            <v xml:space="preserve"> CAMERA HOUSING OUTDOOR</v>
          </cell>
          <cell r="B152" t="e">
            <v>#N/A</v>
          </cell>
          <cell r="C152" t="e">
            <v>#N/A</v>
          </cell>
          <cell r="D152" t="str">
            <v>개</v>
          </cell>
          <cell r="L152">
            <v>300000</v>
          </cell>
          <cell r="M152">
            <v>300000</v>
          </cell>
        </row>
        <row r="153">
          <cell r="A153" t="str">
            <v xml:space="preserve"> MONITOR HOUSING 20"×2형</v>
          </cell>
          <cell r="B153" t="e">
            <v>#N/A</v>
          </cell>
          <cell r="C153" t="e">
            <v>#N/A</v>
          </cell>
          <cell r="D153" t="str">
            <v>대</v>
          </cell>
          <cell r="L153">
            <v>700000</v>
          </cell>
          <cell r="M153">
            <v>700000</v>
          </cell>
        </row>
        <row r="154">
          <cell r="A154" t="str">
            <v xml:space="preserve"> 강관주 100mm×4m</v>
          </cell>
          <cell r="B154" t="str">
            <v xml:space="preserve"> 강관주</v>
          </cell>
          <cell r="C154" t="str">
            <v xml:space="preserve"> 100mm×4m</v>
          </cell>
          <cell r="D154" t="str">
            <v>본</v>
          </cell>
          <cell r="L154">
            <v>1600000</v>
          </cell>
          <cell r="M154">
            <v>1600000</v>
          </cell>
        </row>
        <row r="155">
          <cell r="A155" t="str">
            <v xml:space="preserve"> 강관주 150mm×4m</v>
          </cell>
          <cell r="B155" t="str">
            <v xml:space="preserve"> 강관주</v>
          </cell>
          <cell r="C155" t="str">
            <v xml:space="preserve"> 150mm×4m</v>
          </cell>
          <cell r="D155" t="str">
            <v>본</v>
          </cell>
          <cell r="L155">
            <v>1750000</v>
          </cell>
          <cell r="M155">
            <v>1750000</v>
          </cell>
        </row>
        <row r="156">
          <cell r="A156" t="str">
            <v xml:space="preserve"> 볼트너트 Φ 25mm</v>
          </cell>
          <cell r="B156" t="str">
            <v xml:space="preserve"> 볼트너트</v>
          </cell>
          <cell r="C156" t="str">
            <v xml:space="preserve"> Φ 25mm</v>
          </cell>
          <cell r="D156" t="str">
            <v>개</v>
          </cell>
          <cell r="G156" t="str">
            <v>P353</v>
          </cell>
          <cell r="H156">
            <v>10</v>
          </cell>
          <cell r="M156">
            <v>10</v>
          </cell>
        </row>
        <row r="157">
          <cell r="A157" t="str">
            <v xml:space="preserve"> 셋트앵커(3/8")   M10 L75</v>
          </cell>
          <cell r="B157" t="str">
            <v xml:space="preserve"> 셋트앵커(3/8")  </v>
          </cell>
          <cell r="C157" t="str">
            <v xml:space="preserve"> M10 L75</v>
          </cell>
          <cell r="D157" t="str">
            <v>개</v>
          </cell>
          <cell r="G157" t="str">
            <v xml:space="preserve"> P77</v>
          </cell>
          <cell r="H157">
            <v>280</v>
          </cell>
          <cell r="M157">
            <v>280</v>
          </cell>
        </row>
        <row r="158">
          <cell r="A158" t="str">
            <v xml:space="preserve"> 철판 900×900×16t</v>
          </cell>
          <cell r="B158" t="str">
            <v xml:space="preserve"> 철판</v>
          </cell>
          <cell r="C158" t="str">
            <v xml:space="preserve"> 900×900×16t</v>
          </cell>
          <cell r="D158" t="str">
            <v>개</v>
          </cell>
          <cell r="E158" t="str">
            <v>P879</v>
          </cell>
          <cell r="F158">
            <v>49505</v>
          </cell>
          <cell r="M158">
            <v>49505</v>
          </cell>
        </row>
        <row r="159">
          <cell r="A159" t="str">
            <v xml:space="preserve"> 화재수신기-P형1급  5회로(벽부)</v>
          </cell>
          <cell r="B159" t="str">
            <v xml:space="preserve"> 화재수신기-P형1급 </v>
          </cell>
          <cell r="C159" t="str">
            <v xml:space="preserve"> 5회로(벽부)</v>
          </cell>
          <cell r="D159" t="str">
            <v>대</v>
          </cell>
          <cell r="E159" t="str">
            <v>P666</v>
          </cell>
          <cell r="F159">
            <v>200000</v>
          </cell>
          <cell r="G159" t="str">
            <v>P989</v>
          </cell>
          <cell r="H159">
            <v>170000</v>
          </cell>
          <cell r="M159">
            <v>170000</v>
          </cell>
        </row>
        <row r="160">
          <cell r="A160" t="str">
            <v xml:space="preserve"> 수신기 추가  수신 1회로당</v>
          </cell>
          <cell r="B160" t="str">
            <v xml:space="preserve"> 수신기 추가 </v>
          </cell>
          <cell r="C160" t="str">
            <v xml:space="preserve"> 수신 1회로당</v>
          </cell>
          <cell r="D160" t="str">
            <v>회로</v>
          </cell>
          <cell r="G160" t="str">
            <v>P989</v>
          </cell>
          <cell r="H160">
            <v>10000</v>
          </cell>
          <cell r="M160">
            <v>10000</v>
          </cell>
        </row>
        <row r="161">
          <cell r="A161" t="str">
            <v xml:space="preserve"> 발신기 P형1급</v>
          </cell>
          <cell r="B161" t="str">
            <v xml:space="preserve"> 발신기</v>
          </cell>
          <cell r="C161" t="str">
            <v xml:space="preserve"> P형1급</v>
          </cell>
          <cell r="D161" t="str">
            <v>개</v>
          </cell>
          <cell r="G161" t="str">
            <v>P989</v>
          </cell>
          <cell r="H161">
            <v>5000</v>
          </cell>
          <cell r="M161">
            <v>5000</v>
          </cell>
        </row>
        <row r="162">
          <cell r="A162" t="str">
            <v xml:space="preserve"> 경종   DC 24V</v>
          </cell>
          <cell r="B162" t="str">
            <v xml:space="preserve"> 경종  </v>
          </cell>
          <cell r="C162" t="str">
            <v xml:space="preserve"> DC 24V</v>
          </cell>
          <cell r="D162" t="str">
            <v>개</v>
          </cell>
          <cell r="G162" t="str">
            <v>P989</v>
          </cell>
          <cell r="H162">
            <v>5000</v>
          </cell>
          <cell r="M162">
            <v>5000</v>
          </cell>
        </row>
        <row r="163">
          <cell r="A163" t="str">
            <v xml:space="preserve"> 표시등   DC 24V</v>
          </cell>
          <cell r="B163" t="str">
            <v xml:space="preserve"> 표시등  </v>
          </cell>
          <cell r="C163" t="str">
            <v xml:space="preserve"> DC 24V</v>
          </cell>
          <cell r="D163" t="str">
            <v>개</v>
          </cell>
          <cell r="G163" t="str">
            <v>P989</v>
          </cell>
          <cell r="H163">
            <v>1000</v>
          </cell>
          <cell r="M163">
            <v>1000</v>
          </cell>
        </row>
        <row r="164">
          <cell r="A164" t="str">
            <v xml:space="preserve"> 소화전함 650×1200×180</v>
          </cell>
          <cell r="B164" t="str">
            <v xml:space="preserve"> 소화전함</v>
          </cell>
          <cell r="C164" t="str">
            <v xml:space="preserve"> 650×1200×180</v>
          </cell>
          <cell r="D164" t="str">
            <v>개</v>
          </cell>
          <cell r="I164" t="str">
            <v xml:space="preserve"> P806</v>
          </cell>
          <cell r="J164">
            <v>180000</v>
          </cell>
          <cell r="M164">
            <v>180000</v>
          </cell>
        </row>
        <row r="165">
          <cell r="A165" t="str">
            <v xml:space="preserve"> 연기감지기(노출)   이온화식 2종</v>
          </cell>
          <cell r="B165" t="str">
            <v xml:space="preserve"> 연기감지기(노출)  </v>
          </cell>
          <cell r="C165" t="str">
            <v xml:space="preserve"> 이온화식 2종</v>
          </cell>
          <cell r="D165" t="str">
            <v>개</v>
          </cell>
          <cell r="E165" t="str">
            <v>P666</v>
          </cell>
          <cell r="F165">
            <v>30000</v>
          </cell>
          <cell r="G165" t="str">
            <v>P989</v>
          </cell>
          <cell r="H165">
            <v>20000</v>
          </cell>
          <cell r="M165">
            <v>20000</v>
          </cell>
        </row>
        <row r="166">
          <cell r="A166" t="str">
            <v xml:space="preserve"> 열감지기   정온식스포트형</v>
          </cell>
          <cell r="B166" t="str">
            <v xml:space="preserve"> 열감지기  </v>
          </cell>
          <cell r="C166" t="str">
            <v xml:space="preserve"> 정온식스포트형</v>
          </cell>
          <cell r="D166" t="str">
            <v>개</v>
          </cell>
          <cell r="E166" t="str">
            <v>P666</v>
          </cell>
          <cell r="F166">
            <v>5000</v>
          </cell>
          <cell r="G166" t="str">
            <v>P989</v>
          </cell>
          <cell r="H166">
            <v>5000</v>
          </cell>
          <cell r="M166">
            <v>5000</v>
          </cell>
        </row>
        <row r="167">
          <cell r="A167" t="str">
            <v xml:space="preserve"> 열감지기   차동식스포트형</v>
          </cell>
          <cell r="B167" t="str">
            <v xml:space="preserve"> 열감지기  </v>
          </cell>
          <cell r="C167" t="str">
            <v xml:space="preserve"> 차동식스포트형</v>
          </cell>
          <cell r="D167" t="str">
            <v>개</v>
          </cell>
          <cell r="E167" t="str">
            <v>P666</v>
          </cell>
          <cell r="F167">
            <v>5000</v>
          </cell>
          <cell r="G167" t="str">
            <v>P989</v>
          </cell>
          <cell r="H167">
            <v>5000</v>
          </cell>
          <cell r="M167">
            <v>5000</v>
          </cell>
        </row>
        <row r="168">
          <cell r="A168" t="str">
            <v xml:space="preserve"> 열연강판 12t</v>
          </cell>
          <cell r="B168" t="str">
            <v xml:space="preserve"> 열연강판</v>
          </cell>
          <cell r="C168" t="str">
            <v xml:space="preserve"> 12t</v>
          </cell>
          <cell r="D168" t="str">
            <v>kg</v>
          </cell>
          <cell r="E168" t="str">
            <v>P53</v>
          </cell>
          <cell r="F168">
            <v>360</v>
          </cell>
          <cell r="G168" t="str">
            <v xml:space="preserve"> P50</v>
          </cell>
          <cell r="H168">
            <v>360</v>
          </cell>
          <cell r="M168">
            <v>360</v>
          </cell>
        </row>
      </sheetData>
      <sheetData sheetId="1"/>
      <sheetData sheetId="2">
        <row r="2">
          <cell r="B2" t="str">
            <v>공  사  종  류</v>
          </cell>
        </row>
        <row r="3">
          <cell r="B3" t="str">
            <v>1. 일반 통신 설비</v>
          </cell>
        </row>
        <row r="4">
          <cell r="A4" t="str">
            <v xml:space="preserve"> 지중도체 신설  3Ω (100Ω,m)</v>
          </cell>
          <cell r="B4" t="str">
            <v xml:space="preserve"> 지중도체 신설</v>
          </cell>
          <cell r="C4" t="str">
            <v xml:space="preserve">  3Ω (100Ω,m)</v>
          </cell>
          <cell r="D4" t="str">
            <v>개소</v>
          </cell>
          <cell r="E4">
            <v>1</v>
          </cell>
          <cell r="G4">
            <v>2</v>
          </cell>
          <cell r="X4" t="str">
            <v>=</v>
          </cell>
          <cell r="Y4">
            <v>3</v>
          </cell>
          <cell r="Z4">
            <v>3</v>
          </cell>
        </row>
        <row r="5">
          <cell r="A5" t="str">
            <v xml:space="preserve"> 지중도체 신설 50Ω (100Ω,m)</v>
          </cell>
          <cell r="B5" t="str">
            <v xml:space="preserve"> 지중도체 신설</v>
          </cell>
          <cell r="C5" t="str">
            <v xml:space="preserve"> 50Ω (100Ω,m)</v>
          </cell>
          <cell r="D5" t="str">
            <v>개소</v>
          </cell>
          <cell r="E5">
            <v>1</v>
          </cell>
          <cell r="G5">
            <v>2</v>
          </cell>
          <cell r="X5" t="str">
            <v>=</v>
          </cell>
          <cell r="Y5">
            <v>3</v>
          </cell>
          <cell r="Z5">
            <v>3</v>
          </cell>
        </row>
        <row r="6">
          <cell r="A6" t="str">
            <v xml:space="preserve"> 핸드홀 신설 3호</v>
          </cell>
          <cell r="B6" t="str">
            <v xml:space="preserve"> 핸드홀 신설</v>
          </cell>
          <cell r="C6" t="str">
            <v xml:space="preserve"> 3호</v>
          </cell>
          <cell r="D6" t="str">
            <v>기</v>
          </cell>
          <cell r="G6">
            <v>1</v>
          </cell>
          <cell r="X6" t="str">
            <v>=</v>
          </cell>
          <cell r="Y6">
            <v>1</v>
          </cell>
          <cell r="Z6">
            <v>1</v>
          </cell>
        </row>
        <row r="8">
          <cell r="A8" t="str">
            <v xml:space="preserve"> 통신케이블 신설 CPEV 10P/.65</v>
          </cell>
          <cell r="B8" t="str">
            <v xml:space="preserve"> 통신케이블 신설</v>
          </cell>
          <cell r="C8" t="str">
            <v xml:space="preserve"> CPEV 10P/.65</v>
          </cell>
          <cell r="D8" t="str">
            <v>m</v>
          </cell>
          <cell r="E8" t="str">
            <v xml:space="preserve"> [ 역무실 TB - 매포실 TB ]</v>
          </cell>
          <cell r="Z8">
            <v>630.79999999999995</v>
          </cell>
        </row>
        <row r="9">
          <cell r="A9" t="str">
            <v/>
          </cell>
          <cell r="E9" t="str">
            <v>가설역사 :</v>
          </cell>
          <cell r="F9" t="str">
            <v xml:space="preserve">  1.5 + 1.5 +  0.5 ↓+  0.5 + 6.5 + 0.5 ↑+  1.5</v>
          </cell>
          <cell r="X9" t="str">
            <v>=</v>
          </cell>
          <cell r="Y9">
            <v>12.5</v>
          </cell>
        </row>
        <row r="10">
          <cell r="A10" t="str">
            <v/>
          </cell>
          <cell r="E10" t="str">
            <v xml:space="preserve"> [ MAIN TB - 전기실 TB ]</v>
          </cell>
        </row>
        <row r="11">
          <cell r="E11" t="str">
            <v xml:space="preserve">  15 + 5.5↑ + 0.5 + 9 + 0.5 + 10 + 0.5 + 5 + 0.5 + 8 + 0.5 + 5.5↓ + 0.4↓ + 0.5 +</v>
          </cell>
        </row>
        <row r="12">
          <cell r="A12" t="str">
            <v/>
          </cell>
          <cell r="E12" t="str">
            <v xml:space="preserve">  5.5 ↓+ 2 + 0.5</v>
          </cell>
          <cell r="X12" t="str">
            <v>=</v>
          </cell>
          <cell r="Y12">
            <v>69.400000000000006</v>
          </cell>
        </row>
        <row r="13">
          <cell r="A13" t="str">
            <v/>
          </cell>
          <cell r="E13" t="str">
            <v xml:space="preserve"> [ MAIN TB - 매  점 TB ]</v>
          </cell>
        </row>
        <row r="14">
          <cell r="A14" t="str">
            <v/>
          </cell>
          <cell r="E14" t="str">
            <v xml:space="preserve">  15 + 5.5 ↑+ 0.5 + 9 + 0.5 + 9 + 0.5 + 12 + 0.5 + 8 + 0.5 + 14 + 0.5 + 2 + 5 + 0.5</v>
          </cell>
          <cell r="X14" t="str">
            <v>=</v>
          </cell>
          <cell r="Y14">
            <v>83</v>
          </cell>
        </row>
        <row r="15">
          <cell r="A15" t="str">
            <v/>
          </cell>
          <cell r="E15" t="str">
            <v xml:space="preserve"> [ MAIN TB - 공중전화 ]</v>
          </cell>
        </row>
        <row r="16">
          <cell r="A16" t="str">
            <v/>
          </cell>
          <cell r="E16" t="str">
            <v xml:space="preserve"> 대합실</v>
          </cell>
          <cell r="F16" t="str">
            <v>(15 + 5.5 ↑+ 0.5 + 9 + 0.5 + 9 + 0.5) * 3</v>
          </cell>
        </row>
        <row r="17">
          <cell r="F17" t="str">
            <v>(17.5 + 0.5 + 7.5 + 0.5 + 5.5 ↓) * 2</v>
          </cell>
          <cell r="X17" t="str">
            <v>=</v>
          </cell>
          <cell r="Y17">
            <v>183</v>
          </cell>
        </row>
        <row r="18">
          <cell r="E18" t="str">
            <v>1 층상</v>
          </cell>
          <cell r="F18" t="str">
            <v>0.5 + 12 + 0.5 + 8 + 0.5 + 17 + 0.5 + 5.5 + 0.4 + 0.5 + 4 + 0.5 + 28 + 0.5 + 32 +</v>
          </cell>
        </row>
        <row r="19">
          <cell r="F19" t="str">
            <v>0.5 + 31 + 0.5 + 6 + 8 + 1.5 + 28 + 0.5 + 32 + 0.5 + 30 + 0.5 + 6 + 8 + 1.5</v>
          </cell>
          <cell r="X19" t="str">
            <v>=</v>
          </cell>
          <cell r="Y19">
            <v>264.5</v>
          </cell>
        </row>
        <row r="20">
          <cell r="A20" t="str">
            <v/>
          </cell>
          <cell r="E20" t="str">
            <v>2 층</v>
          </cell>
          <cell r="F20" t="str">
            <v>13 + 0.5 + 1.5</v>
          </cell>
          <cell r="X20" t="str">
            <v>=</v>
          </cell>
          <cell r="Y20">
            <v>15</v>
          </cell>
        </row>
        <row r="21">
          <cell r="A21" t="str">
            <v/>
          </cell>
          <cell r="E21" t="str">
            <v>1 층하</v>
          </cell>
          <cell r="F21" t="str">
            <v>0.4 + 0.5 + 2 + 0.5</v>
          </cell>
          <cell r="X21" t="str">
            <v>=</v>
          </cell>
          <cell r="Y21">
            <v>3.4</v>
          </cell>
        </row>
        <row r="22">
          <cell r="A22" t="str">
            <v xml:space="preserve"> 통신케이블 신설 CPEV 20P/.65</v>
          </cell>
          <cell r="B22" t="str">
            <v xml:space="preserve"> 통신케이블 신설</v>
          </cell>
          <cell r="C22" t="str">
            <v xml:space="preserve"> CPEV 20P/.65</v>
          </cell>
          <cell r="D22" t="str">
            <v>m</v>
          </cell>
          <cell r="E22" t="str">
            <v xml:space="preserve"> [ 통신실 TB - 매포실 ]</v>
          </cell>
          <cell r="Z22">
            <v>25</v>
          </cell>
        </row>
        <row r="23">
          <cell r="A23" t="str">
            <v/>
          </cell>
          <cell r="E23" t="str">
            <v xml:space="preserve"> 1.5 + 0.5 + 8 + 15</v>
          </cell>
          <cell r="X23" t="str">
            <v>=</v>
          </cell>
          <cell r="Y23">
            <v>25</v>
          </cell>
        </row>
        <row r="24">
          <cell r="A24" t="str">
            <v xml:space="preserve"> 통신케이블 신설 CPEV 30P/.65</v>
          </cell>
          <cell r="B24" t="str">
            <v xml:space="preserve"> 통신케이블 신설</v>
          </cell>
          <cell r="C24" t="str">
            <v xml:space="preserve"> CPEV 30P/.65</v>
          </cell>
          <cell r="D24" t="str">
            <v>m</v>
          </cell>
          <cell r="E24" t="str">
            <v xml:space="preserve"> [ K.T단자 -  통신실 TB ]</v>
          </cell>
          <cell r="Z24">
            <v>118.4</v>
          </cell>
        </row>
        <row r="25">
          <cell r="E25" t="str">
            <v xml:space="preserve"> 0.5 + 5.5 + 3.5 + 0.4 + 0.5 + 5.5 + 0.5 + 8 + 0.5 + 5 + 0.5 + 10 + 0.5 + 9 + 0.5 + 5.5 + 15</v>
          </cell>
          <cell r="X25" t="str">
            <v>=</v>
          </cell>
          <cell r="Y25">
            <v>70.900000000000006</v>
          </cell>
        </row>
        <row r="26">
          <cell r="E26" t="str">
            <v xml:space="preserve"> [ 통신실 TB - 역무실 ]</v>
          </cell>
          <cell r="K26" t="str">
            <v>가설역사</v>
          </cell>
        </row>
        <row r="27">
          <cell r="A27" t="str">
            <v/>
          </cell>
          <cell r="E27" t="str">
            <v>가설역사 :</v>
          </cell>
          <cell r="F27" t="str">
            <v xml:space="preserve">  1.5 + 1 + 3 ↑+ 0.5 + 12.5 + 0.5 + 16.5 + 0.5 + 6.5 + 0.5 + 3 ↓+ 1.5</v>
          </cell>
          <cell r="X27" t="str">
            <v>=</v>
          </cell>
          <cell r="Y27">
            <v>47.5</v>
          </cell>
        </row>
        <row r="28">
          <cell r="A28" t="str">
            <v/>
          </cell>
        </row>
        <row r="29">
          <cell r="A29" t="str">
            <v xml:space="preserve"> 전화선 신설 TIV 2C/.8mm</v>
          </cell>
          <cell r="B29" t="str">
            <v xml:space="preserve"> 전화선 신설</v>
          </cell>
          <cell r="C29" t="str">
            <v xml:space="preserve"> TIV 2C/.8mm</v>
          </cell>
          <cell r="D29" t="str">
            <v>m</v>
          </cell>
          <cell r="E29" t="str">
            <v xml:space="preserve"> [ 매점 TB - 매점, 안내소Unit ]</v>
          </cell>
          <cell r="Z29">
            <v>380.09999999999997</v>
          </cell>
        </row>
        <row r="30">
          <cell r="A30" t="str">
            <v/>
          </cell>
          <cell r="E30" t="str">
            <v xml:space="preserve"> (1.5 + 0.5 + 4 + 0.3 + 0.3) x 2 + (1.5 + 0.5 + 5 + 0.3 + 0.3) x 2</v>
          </cell>
        </row>
        <row r="31">
          <cell r="A31" t="str">
            <v/>
          </cell>
          <cell r="E31" t="str">
            <v xml:space="preserve"> (1.5 + 0.5 + 13 + 0.3 + 0.3) x 2 + (1.5 + 0.5 + 15 + 0.3 + 0.3) x 2</v>
          </cell>
          <cell r="X31" t="str">
            <v>=</v>
          </cell>
          <cell r="Y31">
            <v>94.8</v>
          </cell>
        </row>
        <row r="32">
          <cell r="A32" t="str">
            <v/>
          </cell>
          <cell r="E32" t="str">
            <v xml:space="preserve"> [ 역무관리실 TB - 각Unit ]</v>
          </cell>
        </row>
        <row r="33">
          <cell r="E33" t="str">
            <v xml:space="preserve"> (1.5 + 0.5 + 1.5 + 0.3 + 0.3) x 2 + (1.5 + 0.5 + 5 + 0.3 + 0.3) x 4</v>
          </cell>
        </row>
        <row r="34">
          <cell r="E34" t="str">
            <v xml:space="preserve"> ( 0.3 + 0.3 + 0.5 + 0.3 + 0.3) x 2 + (1.5 + 0.5 + 7.5 + 0.3 + 0.3) x 2</v>
          </cell>
        </row>
        <row r="35">
          <cell r="A35" t="str">
            <v/>
          </cell>
          <cell r="E35" t="str">
            <v xml:space="preserve"> (1.5 + 0.5 + 15 + 0.3 + 0.3) x 2</v>
          </cell>
          <cell r="X35" t="str">
            <v>=</v>
          </cell>
          <cell r="Y35">
            <v>97.4</v>
          </cell>
        </row>
        <row r="36">
          <cell r="E36" t="str">
            <v xml:space="preserve"> [ 역무실 TB - 휴게실Unit ]</v>
          </cell>
        </row>
        <row r="37">
          <cell r="E37" t="str">
            <v>가설역사</v>
          </cell>
          <cell r="G37" t="str">
            <v>(1.5 + 0.5 ↓ + 10 + 0.3 ↑+ 0.3) x 2</v>
          </cell>
          <cell r="X37" t="str">
            <v>=</v>
          </cell>
          <cell r="Y37">
            <v>25.2</v>
          </cell>
        </row>
        <row r="38">
          <cell r="E38" t="str">
            <v xml:space="preserve"> [ 역무실 TB - 각Unit ]</v>
          </cell>
        </row>
        <row r="39">
          <cell r="E39" t="str">
            <v>가설역사</v>
          </cell>
          <cell r="G39" t="str">
            <v>(1.5 + 0.5 ↓ + 7 +  0.3 ↑+ 0.3) x 4</v>
          </cell>
          <cell r="X39" t="str">
            <v>=</v>
          </cell>
          <cell r="Y39">
            <v>38.4</v>
          </cell>
        </row>
        <row r="40">
          <cell r="E40" t="str">
            <v xml:space="preserve"> [ 매표실 TB - 각Unit ]</v>
          </cell>
        </row>
        <row r="41">
          <cell r="E41" t="str">
            <v>가설역사</v>
          </cell>
          <cell r="G41" t="str">
            <v>1.5 + 0.5 ↓ + 7.5 + 0.3 ↑ + 0.3</v>
          </cell>
          <cell r="X41" t="str">
            <v>=</v>
          </cell>
          <cell r="Y41">
            <v>10.1</v>
          </cell>
        </row>
        <row r="42">
          <cell r="A42" t="str">
            <v/>
          </cell>
          <cell r="E42" t="str">
            <v xml:space="preserve"> [ 통신실 - 탕비실 ]</v>
          </cell>
        </row>
        <row r="43">
          <cell r="A43" t="str">
            <v/>
          </cell>
          <cell r="E43" t="str">
            <v xml:space="preserve"> (15 + 8 + 0.3 + 0.3) x 2</v>
          </cell>
          <cell r="X43" t="str">
            <v>=</v>
          </cell>
          <cell r="Y43">
            <v>47.2</v>
          </cell>
        </row>
        <row r="44">
          <cell r="A44" t="str">
            <v/>
          </cell>
          <cell r="E44" t="str">
            <v xml:space="preserve"> [ 전기실  - 보일러실 ]</v>
          </cell>
        </row>
        <row r="45">
          <cell r="A45" t="str">
            <v/>
          </cell>
          <cell r="E45" t="str">
            <v xml:space="preserve"> (1.5 + 0.5 + 18 + 0.3 + 0.3) x 2 + (1.5 + 0.5 + 6 + 0.3 + 0.3) x 3</v>
          </cell>
          <cell r="X45" t="str">
            <v>=</v>
          </cell>
          <cell r="Y45">
            <v>67</v>
          </cell>
        </row>
        <row r="47">
          <cell r="A47" t="str">
            <v xml:space="preserve"> 동축케이블 신설 7C-2V</v>
          </cell>
          <cell r="B47" t="str">
            <v xml:space="preserve"> 동축케이블 신설</v>
          </cell>
          <cell r="C47" t="str">
            <v xml:space="preserve"> 7C-2V</v>
          </cell>
          <cell r="D47" t="str">
            <v>m</v>
          </cell>
          <cell r="E47" t="str">
            <v xml:space="preserve"> [ TV ANT - 통신실 ]</v>
          </cell>
          <cell r="Z47">
            <v>21.9</v>
          </cell>
        </row>
        <row r="48">
          <cell r="A48" t="str">
            <v/>
          </cell>
          <cell r="E48" t="str">
            <v xml:space="preserve"> 15 + 0.4↓ + 5 ↓ +1.5</v>
          </cell>
          <cell r="X48" t="str">
            <v>=</v>
          </cell>
          <cell r="Y48">
            <v>21.9</v>
          </cell>
        </row>
        <row r="49">
          <cell r="A49" t="str">
            <v/>
          </cell>
        </row>
        <row r="50">
          <cell r="A50" t="str">
            <v xml:space="preserve"> 동축케이블 신설 5C-2V</v>
          </cell>
          <cell r="B50" t="str">
            <v xml:space="preserve"> 동축케이블 신설</v>
          </cell>
          <cell r="C50" t="str">
            <v xml:space="preserve"> 5C-2V</v>
          </cell>
          <cell r="D50" t="str">
            <v>m</v>
          </cell>
          <cell r="E50" t="str">
            <v>[통신실 → 임대매점]</v>
          </cell>
          <cell r="I50" t="str">
            <v>TV</v>
          </cell>
          <cell r="Z50">
            <v>207.4</v>
          </cell>
        </row>
        <row r="51">
          <cell r="A51" t="str">
            <v/>
          </cell>
          <cell r="E51" t="str">
            <v>1.5+0.5↓+3+0.3↑+0.3+0.3+5.2↑+0.3+2+0.5+9+0.5+9+0.5+12</v>
          </cell>
        </row>
        <row r="52">
          <cell r="A52" t="str">
            <v/>
          </cell>
          <cell r="E52" t="str">
            <v>0.5+8+0.5+14+0.5+2+4↓+1.5↓+4+(0.3↑+0.3)x2+6.5</v>
          </cell>
        </row>
        <row r="53">
          <cell r="E53" t="str">
            <v>(0.3↑+0.3)x2+8.5+0.3↑+0.3</v>
          </cell>
          <cell r="X53" t="str">
            <v>=</v>
          </cell>
          <cell r="Y53">
            <v>97.9</v>
          </cell>
        </row>
        <row r="54">
          <cell r="E54" t="str">
            <v>[통신실 → 매표실, 전기실]</v>
          </cell>
          <cell r="K54" t="str">
            <v>TV</v>
          </cell>
        </row>
        <row r="55">
          <cell r="E55" t="str">
            <v>1.5+0.5↓+3+5.5↑+2+0.5+9+0.5+10+0.5+5.2↓+0.3</v>
          </cell>
        </row>
        <row r="56">
          <cell r="E56" t="str">
            <v>0.3+0.3↓+1+(0.3↑+0.3)x2+11.5+(0.3↑+0.3)x2</v>
          </cell>
        </row>
        <row r="57">
          <cell r="E57" t="str">
            <v>2+(0.3↑+0.3)x2+11+(0.3↑+0.3)x2+0.5+0.3↑+0.3</v>
          </cell>
        </row>
        <row r="58">
          <cell r="E58" t="str">
            <v>0.3+5.2↑+0.5+5+0.5+8+0.5+5.5↓+0.4↓+0.5+5.5↓</v>
          </cell>
        </row>
        <row r="59">
          <cell r="A59" t="str">
            <v/>
          </cell>
          <cell r="E59" t="str">
            <v>0.5↓+6+0.3↑+0.3</v>
          </cell>
          <cell r="X59" t="str">
            <v>=</v>
          </cell>
          <cell r="Y59">
            <v>109.5</v>
          </cell>
        </row>
        <row r="60">
          <cell r="A60" t="str">
            <v/>
          </cell>
        </row>
        <row r="61">
          <cell r="A61" t="str">
            <v xml:space="preserve"> 접지선 신설 GV 38㎟</v>
          </cell>
          <cell r="B61" t="str">
            <v xml:space="preserve"> 접지선 신설</v>
          </cell>
          <cell r="C61" t="str">
            <v xml:space="preserve"> GV 38㎟</v>
          </cell>
          <cell r="D61" t="str">
            <v>m</v>
          </cell>
          <cell r="E61" t="str">
            <v xml:space="preserve"> [ GR - 통신실 접지단자함 ]</v>
          </cell>
          <cell r="Z61">
            <v>574.90000000000009</v>
          </cell>
        </row>
        <row r="62">
          <cell r="A62" t="str">
            <v/>
          </cell>
          <cell r="E62" t="str">
            <v>가설역사 :</v>
          </cell>
          <cell r="F62" t="str">
            <v>20 + 10 + 22.8</v>
          </cell>
          <cell r="X62" t="str">
            <v>=</v>
          </cell>
          <cell r="Y62">
            <v>52.8</v>
          </cell>
        </row>
        <row r="63">
          <cell r="E63" t="str">
            <v>가설역사 :</v>
          </cell>
          <cell r="F63" t="str">
            <v>1 + 4 + 0.5 + 7 + 0.5 + 28.5 + 0.5 + 4.5 + 3 + 15 + 5</v>
          </cell>
          <cell r="U63" t="str">
            <v>AFC</v>
          </cell>
          <cell r="X63" t="str">
            <v>=</v>
          </cell>
          <cell r="Y63">
            <v>69.5</v>
          </cell>
        </row>
        <row r="64">
          <cell r="A64" t="str">
            <v/>
          </cell>
          <cell r="E64" t="str">
            <v xml:space="preserve"> 20 + 20 + 130</v>
          </cell>
          <cell r="X64" t="str">
            <v>=</v>
          </cell>
          <cell r="Y64">
            <v>170</v>
          </cell>
        </row>
        <row r="65">
          <cell r="E65" t="str">
            <v xml:space="preserve"> 3 x 4 + (7 + 0.5 + 0.4 + 5.5 + 0.5 + 8 + 0.5 + 5 + 0.5 + 10) x 3</v>
          </cell>
        </row>
        <row r="66">
          <cell r="E66" t="str">
            <v xml:space="preserve"> (0.5 + 9 + 0.5 + 5.5 + 3 + 15) x 3</v>
          </cell>
        </row>
        <row r="67">
          <cell r="E67" t="str">
            <v xml:space="preserve"> 7 + 0.5 + 0.4 + 5.5 + 0.5 + 8 + 0.5 + 5 + 0.5 + 5.5 + 8 + 15</v>
          </cell>
          <cell r="X67" t="str">
            <v>=</v>
          </cell>
          <cell r="Y67">
            <v>282.60000000000002</v>
          </cell>
        </row>
        <row r="69">
          <cell r="A69" t="str">
            <v xml:space="preserve"> 접지선 신설 GV 5.5㎟</v>
          </cell>
          <cell r="B69" t="str">
            <v xml:space="preserve"> 접지선 신설</v>
          </cell>
          <cell r="C69" t="str">
            <v xml:space="preserve"> GV 5.5㎟</v>
          </cell>
          <cell r="D69" t="str">
            <v>m</v>
          </cell>
          <cell r="E69" t="str">
            <v xml:space="preserve"> [ 역무실 TB - 매포실 TB ]</v>
          </cell>
          <cell r="Z69">
            <v>774.19999999999993</v>
          </cell>
        </row>
        <row r="70">
          <cell r="E70" t="str">
            <v>가설역사 :</v>
          </cell>
          <cell r="F70" t="str">
            <v xml:space="preserve">  1.5 + 1.5 +  0.5 ↓+  0.5 + 6.5 + 0.5 ↑+  1.5</v>
          </cell>
          <cell r="X70" t="str">
            <v>=</v>
          </cell>
          <cell r="Y70">
            <v>12.5</v>
          </cell>
        </row>
        <row r="71">
          <cell r="E71" t="str">
            <v xml:space="preserve"> [ MAIN TB - 전기실 TB ]</v>
          </cell>
        </row>
        <row r="72">
          <cell r="E72" t="str">
            <v xml:space="preserve">  15 + 5.5↑ + 0.5 + 9 + 0.5 + 10 + 0.5 + 5 + 0.5 + 8 + 0.5 + 5.5↓ + 0.4↓ + 0.5 +</v>
          </cell>
        </row>
        <row r="73">
          <cell r="E73" t="str">
            <v xml:space="preserve">  5.5 ↓+ 2 + 0.5</v>
          </cell>
          <cell r="X73" t="str">
            <v>=</v>
          </cell>
          <cell r="Y73">
            <v>69.400000000000006</v>
          </cell>
        </row>
        <row r="74">
          <cell r="E74" t="str">
            <v xml:space="preserve"> [ MAIN TB - 매  점 TB ]</v>
          </cell>
        </row>
        <row r="75">
          <cell r="E75" t="str">
            <v xml:space="preserve">  15 + 5.5 ↑+ 0.5 + 9 + 0.5 + 9 + 0.5 + 12 + 0.5 + 8 + 0.5 + 14 + 0.5 + 2 + 5 + 0.5</v>
          </cell>
          <cell r="X75" t="str">
            <v>=</v>
          </cell>
          <cell r="Y75">
            <v>83</v>
          </cell>
        </row>
        <row r="76">
          <cell r="E76" t="str">
            <v xml:space="preserve"> [ MAIN TB - 공중전화 ]</v>
          </cell>
        </row>
        <row r="77">
          <cell r="E77" t="str">
            <v xml:space="preserve"> 대합실</v>
          </cell>
          <cell r="F77" t="str">
            <v>(15 + 5.5 ↑+ 0.5 + 9 + 0.5 + 9 + 0.5) * 3</v>
          </cell>
        </row>
        <row r="78">
          <cell r="F78" t="str">
            <v>(17.5 + 0.5 + 7.5 + 0.5 + 5.5 ↓) * 2</v>
          </cell>
          <cell r="X78" t="str">
            <v>=</v>
          </cell>
          <cell r="Y78">
            <v>183</v>
          </cell>
        </row>
        <row r="79">
          <cell r="E79" t="str">
            <v>1 층상</v>
          </cell>
          <cell r="F79" t="str">
            <v>0.5 + 12 + 0.5 + 8 + 0.5 + 17 + 0.5 + 5.5 + 0.4 + 0.5 + 4 + 0.5 + 28 + 0.5 + 32 +</v>
          </cell>
        </row>
        <row r="80">
          <cell r="F80" t="str">
            <v>0.5 + 31 + 0.5 + 6 + 8 + 1.5 + 28 + 0.5 + 32 + 0.5 + 30 + 0.5 + 6 + 8 + 1.5</v>
          </cell>
          <cell r="X80" t="str">
            <v>=</v>
          </cell>
          <cell r="Y80">
            <v>264.5</v>
          </cell>
        </row>
        <row r="81">
          <cell r="E81" t="str">
            <v>2 층</v>
          </cell>
          <cell r="F81" t="str">
            <v>13 + 0.5 + 1.5</v>
          </cell>
          <cell r="X81" t="str">
            <v>=</v>
          </cell>
          <cell r="Y81">
            <v>15</v>
          </cell>
        </row>
        <row r="82">
          <cell r="E82" t="str">
            <v>1 층하</v>
          </cell>
          <cell r="F82" t="str">
            <v>0.4 + 0.5 + 2 + 0.5</v>
          </cell>
          <cell r="X82" t="str">
            <v>=</v>
          </cell>
          <cell r="Y82">
            <v>3.4</v>
          </cell>
        </row>
        <row r="83">
          <cell r="E83" t="str">
            <v xml:space="preserve"> [ 통신실 TB - 매포실 ]</v>
          </cell>
        </row>
        <row r="84">
          <cell r="E84" t="str">
            <v xml:space="preserve"> 1.5 + 0.5 + 8 + 15</v>
          </cell>
          <cell r="X84" t="str">
            <v>=</v>
          </cell>
          <cell r="Y84">
            <v>25</v>
          </cell>
        </row>
        <row r="85">
          <cell r="E85" t="str">
            <v xml:space="preserve"> [ K.T단자 -  통신실 TB ]</v>
          </cell>
        </row>
        <row r="86">
          <cell r="E86" t="str">
            <v xml:space="preserve"> 0.5 + 5.5 + 3.5 + 0.4 + 0.5 + 5.5 + 0.5 + 8 + 0.5 + 5 + 0.5 + 10 + 0.5 + 9 + 0.5 + 5.5 + 15</v>
          </cell>
          <cell r="X86" t="str">
            <v>=</v>
          </cell>
          <cell r="Y86">
            <v>70.900000000000006</v>
          </cell>
        </row>
        <row r="87">
          <cell r="E87" t="str">
            <v xml:space="preserve"> [ 통신실 TB - 역무실 ]</v>
          </cell>
          <cell r="K87" t="str">
            <v>가설역사</v>
          </cell>
        </row>
        <row r="88">
          <cell r="E88" t="str">
            <v>가설역사 :</v>
          </cell>
          <cell r="F88" t="str">
            <v xml:space="preserve">  1.5 + 1 + 3 ↑+ 0.5 + 12.5 + 0.5 + 16.5 + 0.5 + 6.5 + 0.5 + 3 ↓+ 1.5</v>
          </cell>
          <cell r="X88" t="str">
            <v>=</v>
          </cell>
          <cell r="Y88">
            <v>47.5</v>
          </cell>
        </row>
        <row r="89">
          <cell r="A89" t="str">
            <v/>
          </cell>
        </row>
        <row r="90">
          <cell r="A90" t="str">
            <v xml:space="preserve"> 지중케이블 신설 CTC 2P(2열)</v>
          </cell>
          <cell r="B90" t="str">
            <v xml:space="preserve"> 지중케이블 신설</v>
          </cell>
          <cell r="C90" t="str">
            <v xml:space="preserve"> CTC 2P(2열)</v>
          </cell>
          <cell r="D90" t="str">
            <v>Km</v>
          </cell>
          <cell r="E90" t="str">
            <v xml:space="preserve"> [ 통신실 - 승강장 상,하 ]</v>
          </cell>
          <cell r="Z90">
            <v>0.5</v>
          </cell>
        </row>
        <row r="91">
          <cell r="A91" t="str">
            <v/>
          </cell>
          <cell r="E91" t="str">
            <v>(15+11+5.5+0.5+5+0.5+10+0.5+9+0.5+17+0.5+7.5+0.5)x2</v>
          </cell>
        </row>
        <row r="92">
          <cell r="A92" t="str">
            <v/>
          </cell>
          <cell r="E92" t="str">
            <v>(5.5+0.4+7+1.5)x2+110+230</v>
          </cell>
          <cell r="X92" t="str">
            <v>=</v>
          </cell>
          <cell r="Y92">
            <v>0.5</v>
          </cell>
        </row>
        <row r="93">
          <cell r="A93" t="str">
            <v xml:space="preserve"> 후강전선관 신설 16C (매입)</v>
          </cell>
          <cell r="B93" t="str">
            <v xml:space="preserve"> 후강전선관 신설</v>
          </cell>
          <cell r="C93" t="str">
            <v xml:space="preserve"> 16C (매입)</v>
          </cell>
          <cell r="D93" t="str">
            <v>m</v>
          </cell>
          <cell r="Z93">
            <v>176</v>
          </cell>
        </row>
        <row r="94">
          <cell r="E94" t="str">
            <v>가설역사 :</v>
          </cell>
          <cell r="F94" t="str">
            <v>7 + 10 + 7.5</v>
          </cell>
          <cell r="X94" t="str">
            <v>=</v>
          </cell>
          <cell r="Y94">
            <v>24.5</v>
          </cell>
        </row>
        <row r="95">
          <cell r="A95" t="str">
            <v/>
          </cell>
          <cell r="E95" t="str">
            <v xml:space="preserve"> 13 + 5 + 4 + 15 + 18 + 6 = 15 + 7.5 + 1.5 + 5 + 0.5 + 10</v>
          </cell>
          <cell r="X95" t="str">
            <v>=</v>
          </cell>
          <cell r="Y95">
            <v>100.5</v>
          </cell>
        </row>
        <row r="96">
          <cell r="A96" t="str">
            <v/>
          </cell>
          <cell r="E96" t="str">
            <v>TV :</v>
          </cell>
          <cell r="F96" t="str">
            <v>4 + 6.5 + 8.5 + 1 + 11.5 + 2 11 + 0.5 6</v>
          </cell>
          <cell r="X96" t="str">
            <v>=</v>
          </cell>
          <cell r="Y96">
            <v>51</v>
          </cell>
        </row>
        <row r="97">
          <cell r="A97" t="str">
            <v/>
          </cell>
        </row>
        <row r="98">
          <cell r="A98" t="str">
            <v xml:space="preserve"> 후강전선관 신설 16C (벽매입)</v>
          </cell>
          <cell r="B98" t="str">
            <v xml:space="preserve"> 후강전선관 신설</v>
          </cell>
          <cell r="C98" t="str">
            <v xml:space="preserve"> 16C (벽매입)</v>
          </cell>
          <cell r="D98" t="str">
            <v>m</v>
          </cell>
          <cell r="Z98">
            <v>29.400000000000002</v>
          </cell>
        </row>
        <row r="99">
          <cell r="A99" t="str">
            <v/>
          </cell>
          <cell r="E99" t="str">
            <v>가설역사:</v>
          </cell>
          <cell r="F99" t="str">
            <v>0.5 ↑ + 0.3 ↑ + 0.5 ↑ + 0.3 ↑ + 0.5 ↑ + 0.3 ↑</v>
          </cell>
          <cell r="X99" t="str">
            <v>=</v>
          </cell>
          <cell r="Y99">
            <v>2.4</v>
          </cell>
        </row>
        <row r="100">
          <cell r="E100" t="str">
            <v xml:space="preserve"> 0.3 x 8 + 0.3 x 4 + 0.3 x 10 + 0.3</v>
          </cell>
          <cell r="X100" t="str">
            <v>=</v>
          </cell>
          <cell r="Y100">
            <v>6.9</v>
          </cell>
        </row>
        <row r="101">
          <cell r="A101" t="str">
            <v/>
          </cell>
          <cell r="E101" t="str">
            <v>TV :</v>
          </cell>
          <cell r="F101" t="str">
            <v>5.5 + 0.3 x 5 + 0.4 + 4.5 + 5.5 + 0.3 x 9</v>
          </cell>
          <cell r="X101" t="str">
            <v>=</v>
          </cell>
          <cell r="Y101">
            <v>20.100000000000001</v>
          </cell>
        </row>
        <row r="102">
          <cell r="A102" t="str">
            <v xml:space="preserve"> 후강전선관 신설 16C (천장노출)</v>
          </cell>
          <cell r="B102" t="str">
            <v xml:space="preserve"> 후강전선관 신설</v>
          </cell>
          <cell r="C102" t="str">
            <v xml:space="preserve"> 16C (천장노출)</v>
          </cell>
          <cell r="D102" t="str">
            <v>m</v>
          </cell>
          <cell r="Z102">
            <v>69.5</v>
          </cell>
        </row>
        <row r="103">
          <cell r="A103" t="str">
            <v/>
          </cell>
          <cell r="E103" t="str">
            <v>TV :</v>
          </cell>
          <cell r="F103" t="str">
            <v>9 + 12 + 8 + 14 + 2 + 10 + 1.5 + 5 + 8</v>
          </cell>
          <cell r="X103" t="str">
            <v>=</v>
          </cell>
          <cell r="Y103">
            <v>69.5</v>
          </cell>
        </row>
        <row r="104">
          <cell r="A104" t="str">
            <v/>
          </cell>
        </row>
        <row r="105">
          <cell r="A105" t="str">
            <v xml:space="preserve"> 후강전선관 신설 22C (매입)</v>
          </cell>
          <cell r="B105" t="str">
            <v xml:space="preserve"> 후강전선관 신설</v>
          </cell>
          <cell r="C105" t="str">
            <v xml:space="preserve"> 22C (매입)</v>
          </cell>
          <cell r="D105" t="str">
            <v>m</v>
          </cell>
          <cell r="E105" t="str">
            <v>가설역사 :</v>
          </cell>
          <cell r="F105">
            <v>6.5</v>
          </cell>
          <cell r="X105" t="str">
            <v>=</v>
          </cell>
          <cell r="Y105">
            <v>6.5</v>
          </cell>
          <cell r="Z105">
            <v>22.5</v>
          </cell>
        </row>
        <row r="106">
          <cell r="F106">
            <v>13</v>
          </cell>
          <cell r="X106" t="str">
            <v>=</v>
          </cell>
          <cell r="Y106">
            <v>13</v>
          </cell>
        </row>
        <row r="107">
          <cell r="A107" t="str">
            <v/>
          </cell>
          <cell r="E107" t="str">
            <v>TV :</v>
          </cell>
          <cell r="F107">
            <v>3</v>
          </cell>
          <cell r="X107" t="str">
            <v>=</v>
          </cell>
          <cell r="Y107">
            <v>3</v>
          </cell>
        </row>
        <row r="108">
          <cell r="A108" t="str">
            <v xml:space="preserve"> 후강전선관 신설 22C (벽매입)</v>
          </cell>
          <cell r="B108" t="str">
            <v xml:space="preserve"> 후강전선관 신설</v>
          </cell>
          <cell r="C108" t="str">
            <v xml:space="preserve"> 22C (벽매입)</v>
          </cell>
          <cell r="D108" t="str">
            <v>m</v>
          </cell>
          <cell r="E108" t="str">
            <v>가설역사 :</v>
          </cell>
          <cell r="F108" t="str">
            <v>0.5 ↓ + 0.5 ↑</v>
          </cell>
          <cell r="X108" t="str">
            <v>=</v>
          </cell>
          <cell r="Y108">
            <v>1</v>
          </cell>
          <cell r="Z108">
            <v>67.400000000000006</v>
          </cell>
        </row>
        <row r="109">
          <cell r="E109" t="str">
            <v>4.5↓+5↓+0.5↑+5.5↓+0.5↓+5.5↓x3+4.5↓</v>
          </cell>
          <cell r="O109" t="str">
            <v>4.5↓+5.5↓+0.4↓+6.5↓+6↓</v>
          </cell>
          <cell r="X109" t="str">
            <v>=</v>
          </cell>
          <cell r="Y109">
            <v>59.9</v>
          </cell>
        </row>
        <row r="110">
          <cell r="A110" t="str">
            <v/>
          </cell>
          <cell r="E110" t="str">
            <v>TV :</v>
          </cell>
          <cell r="F110" t="str">
            <v>1 + 5.5</v>
          </cell>
          <cell r="X110" t="str">
            <v>=</v>
          </cell>
          <cell r="Y110">
            <v>6.5</v>
          </cell>
        </row>
        <row r="111">
          <cell r="A111" t="str">
            <v xml:space="preserve"> 후강전선관 신설 22C (천장노출)</v>
          </cell>
          <cell r="B111" t="str">
            <v xml:space="preserve"> 후강전선관 신설</v>
          </cell>
          <cell r="C111" t="str">
            <v xml:space="preserve"> 22C (천장노출)</v>
          </cell>
          <cell r="D111" t="str">
            <v>m</v>
          </cell>
          <cell r="E111" t="str">
            <v xml:space="preserve"> 18 + 14 + 2 + 12 + 9 + 9 x 2 + 12 + 10 + 17 + 4 + 28 + 32</v>
          </cell>
          <cell r="Z111">
            <v>366</v>
          </cell>
        </row>
        <row r="112">
          <cell r="A112" t="str">
            <v/>
          </cell>
          <cell r="E112" t="str">
            <v xml:space="preserve"> 8 + 5 + 8 + 2 + 4 + 31 + 6 + 8↓+ 3 + 28 + 32 + 30 + 6 + 8↓</v>
          </cell>
          <cell r="X112" t="str">
            <v>=</v>
          </cell>
          <cell r="Y112">
            <v>355</v>
          </cell>
        </row>
        <row r="113">
          <cell r="A113" t="str">
            <v/>
          </cell>
          <cell r="E113" t="str">
            <v>TV :</v>
          </cell>
          <cell r="F113" t="str">
            <v>2 + 9</v>
          </cell>
          <cell r="X113" t="str">
            <v>=</v>
          </cell>
          <cell r="Y113">
            <v>11</v>
          </cell>
        </row>
        <row r="114">
          <cell r="A114" t="str">
            <v/>
          </cell>
        </row>
        <row r="115">
          <cell r="A115" t="str">
            <v xml:space="preserve"> 후강전선관 신설 28C (매입)</v>
          </cell>
          <cell r="B115" t="str">
            <v xml:space="preserve"> 후강전선관 신설</v>
          </cell>
          <cell r="C115" t="str">
            <v xml:space="preserve"> 28C (매입)</v>
          </cell>
          <cell r="D115" t="str">
            <v>m</v>
          </cell>
          <cell r="E115">
            <v>8</v>
          </cell>
          <cell r="X115" t="str">
            <v>=</v>
          </cell>
          <cell r="Y115">
            <v>8</v>
          </cell>
          <cell r="Z115">
            <v>8</v>
          </cell>
        </row>
        <row r="116">
          <cell r="A116" t="str">
            <v xml:space="preserve"> 후강전선관 신설 28C (벽매입)</v>
          </cell>
          <cell r="B116" t="str">
            <v xml:space="preserve"> 후강전선관 신설</v>
          </cell>
          <cell r="C116" t="str">
            <v xml:space="preserve"> 28C (벽매입)</v>
          </cell>
          <cell r="D116" t="str">
            <v>m</v>
          </cell>
          <cell r="E116" t="str">
            <v xml:space="preserve"> 5.5 + 5.5 + 0.5</v>
          </cell>
          <cell r="X116" t="str">
            <v>=</v>
          </cell>
          <cell r="Y116">
            <v>11.5</v>
          </cell>
          <cell r="Z116">
            <v>11.5</v>
          </cell>
        </row>
        <row r="117">
          <cell r="A117" t="str">
            <v xml:space="preserve"> 후강전선관 신설 28C (천장노출)</v>
          </cell>
          <cell r="B117" t="str">
            <v xml:space="preserve"> 후강전선관 신설</v>
          </cell>
          <cell r="C117" t="str">
            <v xml:space="preserve"> 28C (천장노출)</v>
          </cell>
          <cell r="D117" t="str">
            <v>m</v>
          </cell>
          <cell r="E117" t="str">
            <v xml:space="preserve"> 9 + 8 + 10</v>
          </cell>
          <cell r="X117" t="str">
            <v>=</v>
          </cell>
          <cell r="Y117">
            <v>27</v>
          </cell>
          <cell r="Z117">
            <v>27</v>
          </cell>
        </row>
        <row r="118">
          <cell r="A118" t="str">
            <v/>
          </cell>
        </row>
        <row r="119">
          <cell r="A119" t="str">
            <v xml:space="preserve"> 후강전선관 신설 36C (벽매입)</v>
          </cell>
          <cell r="B119" t="str">
            <v xml:space="preserve"> 후강전선관 신설</v>
          </cell>
          <cell r="C119" t="str">
            <v xml:space="preserve"> 36C (벽매입)</v>
          </cell>
          <cell r="D119" t="str">
            <v>m</v>
          </cell>
          <cell r="E119" t="str">
            <v>가설역사 :</v>
          </cell>
          <cell r="F119" t="str">
            <v>4 ↑ + 4 ↓</v>
          </cell>
          <cell r="X119" t="str">
            <v>=</v>
          </cell>
          <cell r="Y119">
            <v>8</v>
          </cell>
          <cell r="Z119">
            <v>60</v>
          </cell>
        </row>
        <row r="120">
          <cell r="A120" t="str">
            <v/>
          </cell>
          <cell r="E120" t="str">
            <v>5↑x3+(5.5↓+0.4↓)x2+5↓+7↓+7↑+0.4↑+5.5↓</v>
          </cell>
          <cell r="X120" t="str">
            <v>=</v>
          </cell>
          <cell r="Y120">
            <v>52</v>
          </cell>
        </row>
        <row r="121">
          <cell r="A121" t="str">
            <v xml:space="preserve"> 후강전선관 신설 36C (천장노출)</v>
          </cell>
          <cell r="B121" t="str">
            <v xml:space="preserve"> 후강전선관 신설</v>
          </cell>
          <cell r="C121" t="str">
            <v xml:space="preserve"> 36C (천장노출)</v>
          </cell>
          <cell r="D121" t="str">
            <v>m</v>
          </cell>
          <cell r="E121" t="str">
            <v>가설역사 :</v>
          </cell>
          <cell r="F121" t="str">
            <v>6.5 +  16.5 + 12.5</v>
          </cell>
          <cell r="X121" t="str">
            <v>=</v>
          </cell>
          <cell r="Y121">
            <v>35.5</v>
          </cell>
          <cell r="Z121">
            <v>132</v>
          </cell>
        </row>
        <row r="122">
          <cell r="A122" t="str">
            <v/>
          </cell>
          <cell r="E122" t="str">
            <v>9+10+5+6x3+17.5+7.5+2x3+8x2+3.5+4</v>
          </cell>
          <cell r="X122" t="str">
            <v>=</v>
          </cell>
          <cell r="Y122">
            <v>96.5</v>
          </cell>
        </row>
        <row r="124">
          <cell r="A124" t="str">
            <v xml:space="preserve"> 후강전선관 신설 42C (벽매입)</v>
          </cell>
          <cell r="B124" t="str">
            <v xml:space="preserve"> 후강전선관 신설</v>
          </cell>
          <cell r="C124" t="str">
            <v xml:space="preserve"> 42C (벽매입)</v>
          </cell>
          <cell r="D124" t="str">
            <v>m</v>
          </cell>
          <cell r="X124" t="str">
            <v>=</v>
          </cell>
          <cell r="Y124">
            <v>0</v>
          </cell>
          <cell r="Z124">
            <v>0</v>
          </cell>
        </row>
        <row r="125">
          <cell r="A125" t="str">
            <v xml:space="preserve"> 후강전선관 신설 42C (천장노출)</v>
          </cell>
          <cell r="B125" t="str">
            <v xml:space="preserve"> 후강전선관 신설</v>
          </cell>
          <cell r="C125" t="str">
            <v xml:space="preserve"> 42C (천장노출)</v>
          </cell>
          <cell r="D125" t="str">
            <v>m</v>
          </cell>
          <cell r="E125" t="str">
            <v xml:space="preserve"> 9 + 9</v>
          </cell>
          <cell r="X125" t="str">
            <v>=</v>
          </cell>
          <cell r="Y125">
            <v>18</v>
          </cell>
          <cell r="Z125">
            <v>18</v>
          </cell>
        </row>
        <row r="127">
          <cell r="A127" t="str">
            <v xml:space="preserve"> 후강전선관 신설 54C (벽매입)</v>
          </cell>
          <cell r="B127" t="str">
            <v xml:space="preserve"> 후강전선관 신설</v>
          </cell>
          <cell r="C127" t="str">
            <v xml:space="preserve"> 54C (벽매입)</v>
          </cell>
          <cell r="D127" t="str">
            <v>m</v>
          </cell>
          <cell r="E127" t="str">
            <v>가설역사 :</v>
          </cell>
          <cell r="F127" t="str">
            <v>1.5 ↓+ 0.4 ↓+ 6 ↓</v>
          </cell>
          <cell r="X127" t="str">
            <v>=</v>
          </cell>
          <cell r="Y127">
            <v>7.9</v>
          </cell>
          <cell r="Z127">
            <v>39.200000000000003</v>
          </cell>
        </row>
        <row r="128">
          <cell r="A128" t="str">
            <v/>
          </cell>
          <cell r="E128" t="str">
            <v>5.5↓+(5.5↓+0.4↓)x2+7↓x2</v>
          </cell>
          <cell r="X128" t="str">
            <v>=</v>
          </cell>
          <cell r="Y128">
            <v>31.3</v>
          </cell>
        </row>
        <row r="129">
          <cell r="A129" t="str">
            <v xml:space="preserve"> 후강전선관 신설 54C (천장노출)</v>
          </cell>
          <cell r="B129" t="str">
            <v xml:space="preserve"> 후강전선관 신설</v>
          </cell>
          <cell r="C129" t="str">
            <v xml:space="preserve"> 54C (천장노출)</v>
          </cell>
          <cell r="D129" t="str">
            <v>m</v>
          </cell>
          <cell r="E129" t="str">
            <v>가설역사 :</v>
          </cell>
          <cell r="F129">
            <v>2</v>
          </cell>
          <cell r="X129" t="str">
            <v>=</v>
          </cell>
          <cell r="Y129">
            <v>2</v>
          </cell>
          <cell r="Z129">
            <v>47</v>
          </cell>
        </row>
        <row r="130">
          <cell r="A130" t="str">
            <v/>
          </cell>
          <cell r="E130" t="str">
            <v xml:space="preserve"> 9 + 10 + 8 x 2 + 5 x 2</v>
          </cell>
          <cell r="X130" t="str">
            <v>=</v>
          </cell>
          <cell r="Y130">
            <v>45</v>
          </cell>
        </row>
        <row r="132">
          <cell r="A132" t="str">
            <v xml:space="preserve"> 후강전선관 신설 82C (벽매입)</v>
          </cell>
          <cell r="B132" t="str">
            <v xml:space="preserve"> 후강전선관 신설</v>
          </cell>
          <cell r="C132" t="str">
            <v xml:space="preserve"> 82C (벽매입)</v>
          </cell>
          <cell r="D132" t="str">
            <v>m</v>
          </cell>
          <cell r="E132" t="str">
            <v>가설역사 :</v>
          </cell>
          <cell r="F132" t="str">
            <v>(4.5 ↓+ 4.5 ↓+ 0.4↓+ 6↓) x 2</v>
          </cell>
          <cell r="X132" t="str">
            <v>=</v>
          </cell>
          <cell r="Y132">
            <v>30.8</v>
          </cell>
          <cell r="Z132">
            <v>30.8</v>
          </cell>
        </row>
        <row r="133">
          <cell r="A133" t="str">
            <v xml:space="preserve"> 후강전선관 신설 82C (천장노출)</v>
          </cell>
          <cell r="B133" t="str">
            <v xml:space="preserve"> 후강전선관 신설</v>
          </cell>
          <cell r="C133" t="str">
            <v xml:space="preserve"> 82C (천장노출)</v>
          </cell>
          <cell r="D133" t="str">
            <v>m</v>
          </cell>
          <cell r="E133" t="str">
            <v>가설역사 :</v>
          </cell>
          <cell r="F133" t="str">
            <v>(12.5 + 16.5 + 6.5) x 2</v>
          </cell>
          <cell r="X133" t="str">
            <v>=</v>
          </cell>
          <cell r="Y133">
            <v>71</v>
          </cell>
          <cell r="Z133">
            <v>71</v>
          </cell>
        </row>
        <row r="134">
          <cell r="A134" t="str">
            <v/>
          </cell>
        </row>
        <row r="135">
          <cell r="A135" t="str">
            <v xml:space="preserve"> 노말밴드 28C</v>
          </cell>
          <cell r="B135" t="str">
            <v xml:space="preserve"> 노말밴드</v>
          </cell>
          <cell r="C135" t="str">
            <v xml:space="preserve"> 28C</v>
          </cell>
          <cell r="D135" t="str">
            <v>개</v>
          </cell>
          <cell r="E135">
            <v>0</v>
          </cell>
          <cell r="G135">
            <v>4</v>
          </cell>
          <cell r="X135" t="str">
            <v>=</v>
          </cell>
          <cell r="Y135">
            <v>4</v>
          </cell>
          <cell r="Z135">
            <v>4</v>
          </cell>
        </row>
        <row r="136">
          <cell r="A136" t="str">
            <v xml:space="preserve"> 노말밴드 36C</v>
          </cell>
          <cell r="B136" t="str">
            <v xml:space="preserve"> 노말밴드</v>
          </cell>
          <cell r="C136" t="str">
            <v xml:space="preserve"> 36C</v>
          </cell>
          <cell r="D136" t="str">
            <v>개</v>
          </cell>
          <cell r="E136">
            <v>4</v>
          </cell>
          <cell r="G136">
            <v>13</v>
          </cell>
          <cell r="X136" t="str">
            <v>=</v>
          </cell>
          <cell r="Y136">
            <v>17</v>
          </cell>
          <cell r="Z136">
            <v>17</v>
          </cell>
        </row>
        <row r="137">
          <cell r="A137" t="str">
            <v xml:space="preserve"> 노말밴드 42C</v>
          </cell>
          <cell r="B137" t="str">
            <v xml:space="preserve"> 노말밴드</v>
          </cell>
          <cell r="C137" t="str">
            <v xml:space="preserve"> 42C</v>
          </cell>
          <cell r="D137" t="str">
            <v>개</v>
          </cell>
          <cell r="E137">
            <v>0</v>
          </cell>
          <cell r="X137" t="str">
            <v>=</v>
          </cell>
          <cell r="Y137">
            <v>0</v>
          </cell>
          <cell r="Z137">
            <v>0</v>
          </cell>
        </row>
        <row r="138">
          <cell r="A138" t="str">
            <v xml:space="preserve"> 노말밴드 54C</v>
          </cell>
          <cell r="B138" t="str">
            <v xml:space="preserve"> 노말밴드</v>
          </cell>
          <cell r="C138" t="str">
            <v xml:space="preserve"> 54C</v>
          </cell>
          <cell r="D138" t="str">
            <v>개</v>
          </cell>
          <cell r="E138">
            <v>3</v>
          </cell>
          <cell r="G138">
            <v>9</v>
          </cell>
          <cell r="X138" t="str">
            <v>=</v>
          </cell>
          <cell r="Y138">
            <v>12</v>
          </cell>
          <cell r="Z138">
            <v>12</v>
          </cell>
        </row>
        <row r="139">
          <cell r="A139" t="str">
            <v xml:space="preserve"> 노말밴드 82C</v>
          </cell>
          <cell r="B139" t="str">
            <v xml:space="preserve"> 노말밴드</v>
          </cell>
          <cell r="C139" t="str">
            <v xml:space="preserve"> 82C</v>
          </cell>
          <cell r="D139" t="str">
            <v>개</v>
          </cell>
          <cell r="E139">
            <v>4</v>
          </cell>
          <cell r="X139" t="str">
            <v>=</v>
          </cell>
          <cell r="Y139">
            <v>4</v>
          </cell>
          <cell r="Z139">
            <v>4</v>
          </cell>
        </row>
        <row r="140">
          <cell r="A140" t="str">
            <v/>
          </cell>
        </row>
        <row r="141">
          <cell r="A141" t="str">
            <v xml:space="preserve"> HI-PVC 신설 28C</v>
          </cell>
          <cell r="B141" t="str">
            <v xml:space="preserve"> HI-PVC 신설</v>
          </cell>
          <cell r="C141" t="str">
            <v xml:space="preserve"> 28C</v>
          </cell>
          <cell r="D141" t="str">
            <v>m</v>
          </cell>
          <cell r="G141">
            <v>3</v>
          </cell>
          <cell r="X141" t="str">
            <v>=</v>
          </cell>
          <cell r="Y141">
            <v>3</v>
          </cell>
          <cell r="Z141">
            <v>3</v>
          </cell>
        </row>
        <row r="142">
          <cell r="A142" t="str">
            <v xml:space="preserve"> HI-PVC 신설 36C</v>
          </cell>
          <cell r="B142" t="str">
            <v xml:space="preserve"> HI-PVC 신설</v>
          </cell>
          <cell r="C142" t="str">
            <v xml:space="preserve"> 36C</v>
          </cell>
          <cell r="D142" t="str">
            <v>m</v>
          </cell>
          <cell r="G142">
            <v>3</v>
          </cell>
          <cell r="X142" t="str">
            <v>=</v>
          </cell>
          <cell r="Y142">
            <v>3</v>
          </cell>
          <cell r="Z142">
            <v>3</v>
          </cell>
        </row>
        <row r="143">
          <cell r="A143" t="str">
            <v/>
          </cell>
        </row>
        <row r="144">
          <cell r="A144" t="str">
            <v xml:space="preserve"> HI-PVC 신설 54C x 2열</v>
          </cell>
          <cell r="B144" t="str">
            <v xml:space="preserve"> HI-PVC 신설</v>
          </cell>
          <cell r="C144" t="str">
            <v xml:space="preserve"> 54C x 2열</v>
          </cell>
          <cell r="D144" t="str">
            <v>m</v>
          </cell>
          <cell r="F144">
            <v>10</v>
          </cell>
          <cell r="G144" t="str">
            <v>(가설역사)</v>
          </cell>
          <cell r="K144">
            <v>6</v>
          </cell>
          <cell r="X144" t="str">
            <v>=</v>
          </cell>
          <cell r="Y144">
            <v>16</v>
          </cell>
          <cell r="Z144">
            <v>16</v>
          </cell>
        </row>
        <row r="145">
          <cell r="A145" t="str">
            <v/>
          </cell>
        </row>
        <row r="146">
          <cell r="A146" t="str">
            <v xml:space="preserve"> HI-PVC 신설 82C x 2열</v>
          </cell>
          <cell r="B146" t="str">
            <v xml:space="preserve"> HI-PVC 신설</v>
          </cell>
          <cell r="C146" t="str">
            <v xml:space="preserve"> 82C x 2열</v>
          </cell>
          <cell r="D146" t="str">
            <v>m</v>
          </cell>
          <cell r="X146" t="str">
            <v>=</v>
          </cell>
          <cell r="Y146">
            <v>0</v>
          </cell>
          <cell r="Z146">
            <v>0</v>
          </cell>
        </row>
        <row r="147">
          <cell r="A147" t="str">
            <v/>
          </cell>
        </row>
        <row r="148">
          <cell r="A148" t="str">
            <v xml:space="preserve"> C형 찬넬 설치 60×30×10×2.3t</v>
          </cell>
          <cell r="B148" t="str">
            <v xml:space="preserve"> C형 찬넬 설치</v>
          </cell>
          <cell r="C148" t="str">
            <v xml:space="preserve"> 60×30×10×2.3t</v>
          </cell>
          <cell r="D148" t="str">
            <v>개</v>
          </cell>
          <cell r="E148" t="str">
            <v>가설역사 :</v>
          </cell>
          <cell r="F148" t="str">
            <v xml:space="preserve"> (35.5 + 2 + 71)÷ 3 ÷ 1.5</v>
          </cell>
          <cell r="X148" t="str">
            <v>=</v>
          </cell>
          <cell r="Y148">
            <v>24.1</v>
          </cell>
          <cell r="Z148">
            <v>163</v>
          </cell>
        </row>
        <row r="149">
          <cell r="F149" t="str">
            <v xml:space="preserve"> (355 + 27 + 96.5 + 18 + 45) ÷ 3 ÷ 1.5</v>
          </cell>
          <cell r="X149" t="str">
            <v>=</v>
          </cell>
          <cell r="Y149">
            <v>120.3</v>
          </cell>
        </row>
        <row r="150">
          <cell r="E150" t="str">
            <v>TV :</v>
          </cell>
          <cell r="F150" t="str">
            <v xml:space="preserve"> (69.5 + 11) ÷ 3 ÷ 1.5</v>
          </cell>
          <cell r="X150" t="str">
            <v>=</v>
          </cell>
          <cell r="Y150">
            <v>17.899999999999999</v>
          </cell>
        </row>
        <row r="151">
          <cell r="A151" t="str">
            <v/>
          </cell>
        </row>
        <row r="152">
          <cell r="A152" t="str">
            <v xml:space="preserve"> 클램프 16C</v>
          </cell>
          <cell r="B152" t="str">
            <v xml:space="preserve"> 클램프</v>
          </cell>
          <cell r="C152" t="str">
            <v xml:space="preserve"> 16C</v>
          </cell>
          <cell r="D152" t="str">
            <v>개</v>
          </cell>
          <cell r="P152" t="str">
            <v>TV :</v>
          </cell>
          <cell r="R152" t="str">
            <v>69.5 ÷ 1.5</v>
          </cell>
          <cell r="X152" t="str">
            <v>=</v>
          </cell>
          <cell r="Y152">
            <v>46.3</v>
          </cell>
          <cell r="Z152">
            <v>47</v>
          </cell>
        </row>
        <row r="153">
          <cell r="A153" t="str">
            <v xml:space="preserve"> 클램프 22C</v>
          </cell>
          <cell r="B153" t="str">
            <v xml:space="preserve"> 클램프</v>
          </cell>
          <cell r="C153" t="str">
            <v xml:space="preserve"> 22C</v>
          </cell>
          <cell r="D153" t="str">
            <v>개</v>
          </cell>
          <cell r="I153" t="str">
            <v>본역사 :</v>
          </cell>
          <cell r="L153" t="str">
            <v>355 ÷ 1.5</v>
          </cell>
          <cell r="R153" t="str">
            <v>11 ÷ 1.5</v>
          </cell>
          <cell r="X153" t="str">
            <v>=</v>
          </cell>
          <cell r="Y153">
            <v>244</v>
          </cell>
          <cell r="Z153">
            <v>244</v>
          </cell>
        </row>
        <row r="154">
          <cell r="A154" t="str">
            <v xml:space="preserve"> 클램프 28C</v>
          </cell>
          <cell r="B154" t="str">
            <v xml:space="preserve"> 클램프</v>
          </cell>
          <cell r="C154" t="str">
            <v xml:space="preserve"> 28C</v>
          </cell>
          <cell r="D154" t="str">
            <v>개</v>
          </cell>
          <cell r="L154" t="str">
            <v>27 ÷ 1.5</v>
          </cell>
          <cell r="X154" t="str">
            <v>=</v>
          </cell>
          <cell r="Y154">
            <v>18</v>
          </cell>
          <cell r="Z154">
            <v>18</v>
          </cell>
        </row>
        <row r="155">
          <cell r="A155" t="str">
            <v xml:space="preserve"> 클램프 36C</v>
          </cell>
          <cell r="B155" t="str">
            <v xml:space="preserve"> 클램프</v>
          </cell>
          <cell r="C155" t="str">
            <v xml:space="preserve"> 36C</v>
          </cell>
          <cell r="D155" t="str">
            <v>개</v>
          </cell>
          <cell r="E155" t="str">
            <v>가설역사 :</v>
          </cell>
          <cell r="F155" t="str">
            <v xml:space="preserve"> 35.1 ÷ 1.5</v>
          </cell>
          <cell r="L155" t="str">
            <v>96.5 ÷ 1.5</v>
          </cell>
          <cell r="X155" t="str">
            <v>=</v>
          </cell>
          <cell r="Y155">
            <v>88</v>
          </cell>
          <cell r="Z155">
            <v>88</v>
          </cell>
        </row>
        <row r="156">
          <cell r="A156" t="str">
            <v xml:space="preserve"> 클램프 42C</v>
          </cell>
          <cell r="B156" t="str">
            <v xml:space="preserve"> 클램프</v>
          </cell>
          <cell r="C156" t="str">
            <v xml:space="preserve"> 42C</v>
          </cell>
          <cell r="D156" t="str">
            <v>개</v>
          </cell>
          <cell r="L156" t="str">
            <v>18 ÷ 1.5</v>
          </cell>
          <cell r="X156" t="str">
            <v>=</v>
          </cell>
          <cell r="Y156">
            <v>12</v>
          </cell>
          <cell r="Z156">
            <v>12</v>
          </cell>
        </row>
        <row r="157">
          <cell r="A157" t="str">
            <v xml:space="preserve"> 클램프 54C</v>
          </cell>
          <cell r="B157" t="str">
            <v xml:space="preserve"> 클램프</v>
          </cell>
          <cell r="C157" t="str">
            <v xml:space="preserve"> 54C</v>
          </cell>
          <cell r="D157" t="str">
            <v>개</v>
          </cell>
          <cell r="F157" t="str">
            <v xml:space="preserve"> 2 ÷ 1.5</v>
          </cell>
          <cell r="L157" t="str">
            <v>45 ÷ 1.5</v>
          </cell>
          <cell r="X157" t="str">
            <v>=</v>
          </cell>
          <cell r="Y157">
            <v>31.3</v>
          </cell>
          <cell r="Z157">
            <v>32</v>
          </cell>
        </row>
        <row r="158">
          <cell r="A158" t="str">
            <v xml:space="preserve"> 클램프 82C</v>
          </cell>
          <cell r="B158" t="str">
            <v xml:space="preserve"> 클램프</v>
          </cell>
          <cell r="C158" t="str">
            <v xml:space="preserve"> 82C</v>
          </cell>
          <cell r="D158" t="str">
            <v>개</v>
          </cell>
          <cell r="F158" t="str">
            <v xml:space="preserve"> 71 ÷ 1.5</v>
          </cell>
          <cell r="X158" t="str">
            <v>=</v>
          </cell>
          <cell r="Y158">
            <v>47.3</v>
          </cell>
          <cell r="Z158">
            <v>48</v>
          </cell>
        </row>
        <row r="159">
          <cell r="A159" t="str">
            <v/>
          </cell>
        </row>
        <row r="160">
          <cell r="A160" t="str">
            <v xml:space="preserve"> 풀박스 설치 100×100×100</v>
          </cell>
          <cell r="B160" t="str">
            <v xml:space="preserve"> 풀박스 설치</v>
          </cell>
          <cell r="C160" t="str">
            <v xml:space="preserve"> 100×100×100</v>
          </cell>
          <cell r="D160" t="str">
            <v>개</v>
          </cell>
          <cell r="E160">
            <v>0</v>
          </cell>
          <cell r="G160">
            <v>1</v>
          </cell>
          <cell r="X160" t="str">
            <v>=</v>
          </cell>
          <cell r="Y160">
            <v>1</v>
          </cell>
          <cell r="Z160">
            <v>1</v>
          </cell>
        </row>
        <row r="161">
          <cell r="A161" t="str">
            <v xml:space="preserve"> 풀박스 설치 200×200×100</v>
          </cell>
          <cell r="B161" t="str">
            <v xml:space="preserve"> 풀박스 설치</v>
          </cell>
          <cell r="C161" t="str">
            <v xml:space="preserve"> 200×200×100</v>
          </cell>
          <cell r="D161" t="str">
            <v>개</v>
          </cell>
          <cell r="E161">
            <v>14</v>
          </cell>
          <cell r="G161">
            <v>1</v>
          </cell>
          <cell r="H161">
            <v>2</v>
          </cell>
          <cell r="X161" t="str">
            <v>=</v>
          </cell>
          <cell r="Y161">
            <v>17</v>
          </cell>
          <cell r="Z161">
            <v>17</v>
          </cell>
        </row>
        <row r="162">
          <cell r="A162" t="str">
            <v xml:space="preserve"> 풀박스 설치 200×200×150</v>
          </cell>
          <cell r="B162" t="str">
            <v xml:space="preserve"> 풀박스 설치</v>
          </cell>
          <cell r="C162" t="str">
            <v xml:space="preserve"> 200×200×150</v>
          </cell>
          <cell r="D162" t="str">
            <v>개</v>
          </cell>
          <cell r="L162">
            <v>2</v>
          </cell>
          <cell r="X162" t="str">
            <v>=</v>
          </cell>
          <cell r="Y162">
            <v>2</v>
          </cell>
          <cell r="Z162">
            <v>2</v>
          </cell>
        </row>
        <row r="163">
          <cell r="A163" t="str">
            <v xml:space="preserve"> 풀박스 설치 300×300×200</v>
          </cell>
          <cell r="B163" t="str">
            <v xml:space="preserve"> 풀박스 설치</v>
          </cell>
          <cell r="C163" t="str">
            <v xml:space="preserve"> 300×300×200</v>
          </cell>
          <cell r="D163" t="str">
            <v>개</v>
          </cell>
          <cell r="E163">
            <v>2</v>
          </cell>
          <cell r="G163">
            <v>1</v>
          </cell>
          <cell r="X163" t="str">
            <v>=</v>
          </cell>
          <cell r="Y163">
            <v>3</v>
          </cell>
          <cell r="Z163">
            <v>3</v>
          </cell>
        </row>
        <row r="164">
          <cell r="A164" t="str">
            <v xml:space="preserve"> 풀박스 설치 400×400×200</v>
          </cell>
          <cell r="B164" t="str">
            <v xml:space="preserve"> 풀박스 설치</v>
          </cell>
          <cell r="C164" t="str">
            <v xml:space="preserve"> 400×400×200</v>
          </cell>
          <cell r="D164" t="str">
            <v>개</v>
          </cell>
          <cell r="E164">
            <v>1</v>
          </cell>
          <cell r="G164">
            <v>2</v>
          </cell>
          <cell r="H164">
            <v>2</v>
          </cell>
          <cell r="X164" t="str">
            <v>=</v>
          </cell>
          <cell r="Y164">
            <v>5</v>
          </cell>
          <cell r="Z164">
            <v>5</v>
          </cell>
        </row>
        <row r="165">
          <cell r="A165" t="str">
            <v xml:space="preserve"> 풀박스 설치 500×500×300</v>
          </cell>
          <cell r="B165" t="str">
            <v xml:space="preserve"> 풀박스 설치</v>
          </cell>
          <cell r="C165" t="str">
            <v xml:space="preserve"> 500×500×300</v>
          </cell>
          <cell r="D165" t="str">
            <v>개</v>
          </cell>
          <cell r="E165">
            <v>1</v>
          </cell>
          <cell r="G165">
            <v>1</v>
          </cell>
          <cell r="X165" t="str">
            <v>=</v>
          </cell>
          <cell r="Y165">
            <v>2</v>
          </cell>
          <cell r="Z165">
            <v>2</v>
          </cell>
        </row>
        <row r="166">
          <cell r="A166" t="str">
            <v xml:space="preserve"> 풀박스 설치 600×600×300</v>
          </cell>
          <cell r="B166" t="str">
            <v xml:space="preserve"> 풀박스 설치</v>
          </cell>
          <cell r="C166" t="str">
            <v xml:space="preserve"> 600×600×300</v>
          </cell>
          <cell r="D166" t="str">
            <v>개</v>
          </cell>
          <cell r="E166">
            <v>2</v>
          </cell>
          <cell r="G166">
            <v>4</v>
          </cell>
          <cell r="H166">
            <v>1</v>
          </cell>
          <cell r="I166">
            <v>2</v>
          </cell>
          <cell r="X166" t="str">
            <v>=</v>
          </cell>
          <cell r="Y166">
            <v>9</v>
          </cell>
          <cell r="Z166">
            <v>9</v>
          </cell>
        </row>
        <row r="167">
          <cell r="A167" t="str">
            <v/>
          </cell>
        </row>
        <row r="168">
          <cell r="A168" t="str">
            <v xml:space="preserve"> 국선단자함 국선60/내선120</v>
          </cell>
          <cell r="B168" t="str">
            <v xml:space="preserve"> 국선단자함</v>
          </cell>
          <cell r="C168" t="str">
            <v xml:space="preserve"> 국선60/내선120</v>
          </cell>
          <cell r="D168" t="str">
            <v>개</v>
          </cell>
          <cell r="E168">
            <v>1</v>
          </cell>
          <cell r="X168" t="str">
            <v>=</v>
          </cell>
          <cell r="Y168">
            <v>1</v>
          </cell>
          <cell r="Z168">
            <v>1</v>
          </cell>
        </row>
        <row r="169">
          <cell r="A169" t="str">
            <v xml:space="preserve"> 전화단자함  10P</v>
          </cell>
          <cell r="B169" t="str">
            <v xml:space="preserve"> 전화단자함</v>
          </cell>
          <cell r="C169" t="str">
            <v xml:space="preserve">  10P</v>
          </cell>
          <cell r="D169" t="str">
            <v>개</v>
          </cell>
          <cell r="E169">
            <v>1</v>
          </cell>
          <cell r="G169">
            <v>3</v>
          </cell>
          <cell r="X169" t="str">
            <v>=</v>
          </cell>
          <cell r="Y169">
            <v>4</v>
          </cell>
          <cell r="Z169">
            <v>4</v>
          </cell>
        </row>
        <row r="170">
          <cell r="A170" t="str">
            <v xml:space="preserve"> 전화단자함  20P</v>
          </cell>
          <cell r="B170" t="str">
            <v xml:space="preserve"> 전화단자함</v>
          </cell>
          <cell r="C170" t="str">
            <v xml:space="preserve">  20P</v>
          </cell>
          <cell r="D170" t="str">
            <v>개</v>
          </cell>
          <cell r="G170">
            <v>1</v>
          </cell>
          <cell r="X170" t="str">
            <v>=</v>
          </cell>
          <cell r="Y170">
            <v>1</v>
          </cell>
          <cell r="Z170">
            <v>1</v>
          </cell>
        </row>
        <row r="171">
          <cell r="A171" t="str">
            <v xml:space="preserve"> 전화단자함  30P</v>
          </cell>
          <cell r="B171" t="str">
            <v xml:space="preserve"> 전화단자함</v>
          </cell>
          <cell r="C171" t="str">
            <v xml:space="preserve">  30P</v>
          </cell>
          <cell r="D171" t="str">
            <v>개</v>
          </cell>
          <cell r="E171">
            <v>1</v>
          </cell>
          <cell r="G171">
            <v>2</v>
          </cell>
          <cell r="X171" t="str">
            <v>=</v>
          </cell>
          <cell r="Y171">
            <v>3</v>
          </cell>
          <cell r="Z171">
            <v>3</v>
          </cell>
        </row>
        <row r="173">
          <cell r="A173" t="str">
            <v xml:space="preserve"> 접지단자함 설치 450×500×150</v>
          </cell>
          <cell r="B173" t="str">
            <v xml:space="preserve"> 접지단자함 설치</v>
          </cell>
          <cell r="C173" t="str">
            <v xml:space="preserve"> 450×500×150</v>
          </cell>
          <cell r="D173" t="str">
            <v>개</v>
          </cell>
          <cell r="E173">
            <v>1</v>
          </cell>
          <cell r="X173" t="str">
            <v>=</v>
          </cell>
          <cell r="Y173">
            <v>1</v>
          </cell>
          <cell r="Z173">
            <v>1</v>
          </cell>
        </row>
        <row r="174">
          <cell r="A174" t="str">
            <v/>
          </cell>
        </row>
        <row r="175">
          <cell r="A175" t="str">
            <v xml:space="preserve"> 전화콘센트 설치 4P</v>
          </cell>
          <cell r="B175" t="str">
            <v xml:space="preserve"> 전화콘센트 설치</v>
          </cell>
          <cell r="C175" t="str">
            <v xml:space="preserve"> 4P</v>
          </cell>
          <cell r="D175" t="str">
            <v>개</v>
          </cell>
          <cell r="E175">
            <v>6</v>
          </cell>
          <cell r="G175">
            <v>22</v>
          </cell>
          <cell r="X175" t="str">
            <v>=</v>
          </cell>
          <cell r="Y175">
            <v>28</v>
          </cell>
          <cell r="Z175">
            <v>28</v>
          </cell>
        </row>
        <row r="176">
          <cell r="A176" t="str">
            <v/>
          </cell>
        </row>
        <row r="177">
          <cell r="A177" t="str">
            <v xml:space="preserve"> 전화기 설치 MFC</v>
          </cell>
          <cell r="B177" t="str">
            <v xml:space="preserve"> 전화기 설치</v>
          </cell>
          <cell r="C177" t="str">
            <v xml:space="preserve"> MFC</v>
          </cell>
          <cell r="D177" t="str">
            <v>대</v>
          </cell>
          <cell r="E177">
            <v>6</v>
          </cell>
          <cell r="G177">
            <v>3</v>
          </cell>
          <cell r="X177" t="str">
            <v>=</v>
          </cell>
          <cell r="Y177">
            <v>9</v>
          </cell>
          <cell r="Z177">
            <v>9</v>
          </cell>
        </row>
        <row r="178">
          <cell r="A178" t="str">
            <v/>
          </cell>
        </row>
        <row r="179">
          <cell r="A179" t="str">
            <v xml:space="preserve"> 전화기 설치 자동식 직통</v>
          </cell>
          <cell r="B179" t="str">
            <v xml:space="preserve"> 전화기 설치</v>
          </cell>
          <cell r="C179" t="str">
            <v xml:space="preserve"> 자동식 직통</v>
          </cell>
          <cell r="D179" t="str">
            <v>대</v>
          </cell>
          <cell r="E179">
            <v>4</v>
          </cell>
          <cell r="X179" t="str">
            <v>=</v>
          </cell>
          <cell r="Y179">
            <v>4</v>
          </cell>
          <cell r="Z179">
            <v>4</v>
          </cell>
        </row>
        <row r="180">
          <cell r="A180" t="str">
            <v/>
          </cell>
        </row>
        <row r="181">
          <cell r="A181" t="str">
            <v xml:space="preserve"> TV증폭기 설치 BOOSTER AMP</v>
          </cell>
          <cell r="B181" t="str">
            <v xml:space="preserve"> TV증폭기 설치</v>
          </cell>
          <cell r="C181" t="str">
            <v xml:space="preserve"> BOOSTER AMP</v>
          </cell>
          <cell r="D181" t="str">
            <v>대</v>
          </cell>
          <cell r="E181">
            <v>1</v>
          </cell>
          <cell r="X181" t="str">
            <v>=</v>
          </cell>
          <cell r="Y181">
            <v>1</v>
          </cell>
          <cell r="Z181">
            <v>1</v>
          </cell>
        </row>
        <row r="182">
          <cell r="A182" t="str">
            <v/>
          </cell>
        </row>
        <row r="183">
          <cell r="A183" t="str">
            <v xml:space="preserve"> 분배기 설치 3분배</v>
          </cell>
          <cell r="B183" t="str">
            <v xml:space="preserve"> 분배기 설치</v>
          </cell>
          <cell r="C183" t="str">
            <v xml:space="preserve"> 3분배</v>
          </cell>
          <cell r="D183" t="str">
            <v>대</v>
          </cell>
          <cell r="E183">
            <v>1</v>
          </cell>
          <cell r="X183" t="str">
            <v>=</v>
          </cell>
          <cell r="Y183">
            <v>1</v>
          </cell>
          <cell r="Z183">
            <v>1</v>
          </cell>
        </row>
        <row r="184">
          <cell r="A184" t="str">
            <v/>
          </cell>
        </row>
        <row r="185">
          <cell r="A185" t="str">
            <v xml:space="preserve"> TV콘센트 설치 직렬형</v>
          </cell>
          <cell r="B185" t="str">
            <v xml:space="preserve"> TV콘센트 설치</v>
          </cell>
          <cell r="C185" t="str">
            <v xml:space="preserve"> 직렬형</v>
          </cell>
          <cell r="D185" t="str">
            <v>개</v>
          </cell>
          <cell r="E185">
            <v>8</v>
          </cell>
          <cell r="X185" t="str">
            <v>=</v>
          </cell>
          <cell r="Y185">
            <v>8</v>
          </cell>
          <cell r="Z185">
            <v>8</v>
          </cell>
        </row>
        <row r="186">
          <cell r="A186" t="str">
            <v xml:space="preserve"> TV콘센트 설치 종단형</v>
          </cell>
          <cell r="B186" t="str">
            <v xml:space="preserve"> TV콘센트 설치</v>
          </cell>
          <cell r="C186" t="str">
            <v xml:space="preserve"> 종단형</v>
          </cell>
          <cell r="D186" t="str">
            <v>개</v>
          </cell>
          <cell r="E186">
            <v>2</v>
          </cell>
          <cell r="X186" t="str">
            <v>=</v>
          </cell>
          <cell r="Y186">
            <v>2</v>
          </cell>
          <cell r="Z186">
            <v>2</v>
          </cell>
        </row>
        <row r="187">
          <cell r="A187" t="str">
            <v xml:space="preserve"> TV콘센트 설치 직렬분기형</v>
          </cell>
          <cell r="B187" t="str">
            <v xml:space="preserve"> TV콘센트 설치</v>
          </cell>
          <cell r="C187" t="str">
            <v xml:space="preserve"> 직렬분기형</v>
          </cell>
          <cell r="D187" t="str">
            <v>개</v>
          </cell>
          <cell r="E187">
            <v>0</v>
          </cell>
          <cell r="X187" t="str">
            <v>=</v>
          </cell>
          <cell r="Y187">
            <v>0</v>
          </cell>
          <cell r="Z187">
            <v>0</v>
          </cell>
        </row>
        <row r="188">
          <cell r="A188" t="str">
            <v/>
          </cell>
        </row>
        <row r="189">
          <cell r="A189" t="str">
            <v xml:space="preserve"> TV공시청 안테나 신설 UHF/VHF(H.L)</v>
          </cell>
          <cell r="B189" t="str">
            <v xml:space="preserve"> TV공시청 안테나 신설</v>
          </cell>
          <cell r="C189" t="str">
            <v xml:space="preserve"> UHF/VHF(H.L)</v>
          </cell>
          <cell r="D189" t="str">
            <v>기</v>
          </cell>
          <cell r="E189">
            <v>1</v>
          </cell>
          <cell r="X189" t="str">
            <v>=</v>
          </cell>
          <cell r="Y189">
            <v>1</v>
          </cell>
          <cell r="Z189">
            <v>1</v>
          </cell>
        </row>
        <row r="190">
          <cell r="A190" t="str">
            <v/>
          </cell>
        </row>
        <row r="191">
          <cell r="A191" t="str">
            <v xml:space="preserve"> 스위치 BOX 설치 벽부형</v>
          </cell>
          <cell r="B191" t="str">
            <v xml:space="preserve"> 스위치 BOX 설치</v>
          </cell>
          <cell r="C191" t="str">
            <v xml:space="preserve"> 벽부형</v>
          </cell>
          <cell r="D191" t="str">
            <v>개</v>
          </cell>
          <cell r="E191">
            <v>6</v>
          </cell>
          <cell r="G191">
            <v>22</v>
          </cell>
          <cell r="J191">
            <v>10</v>
          </cell>
          <cell r="X191" t="str">
            <v>=</v>
          </cell>
          <cell r="Y191">
            <v>38</v>
          </cell>
          <cell r="Z191">
            <v>38</v>
          </cell>
        </row>
        <row r="192">
          <cell r="A192" t="str">
            <v/>
          </cell>
        </row>
        <row r="193">
          <cell r="A193" t="str">
            <v xml:space="preserve"> OUTLET BOX 설치 중형 4각 54mm</v>
          </cell>
          <cell r="B193" t="str">
            <v xml:space="preserve"> OUTLET BOX 설치</v>
          </cell>
          <cell r="C193" t="str">
            <v xml:space="preserve"> 중형 4각 54mm</v>
          </cell>
          <cell r="D193" t="str">
            <v>개</v>
          </cell>
          <cell r="E193">
            <v>8</v>
          </cell>
          <cell r="X193" t="str">
            <v>=</v>
          </cell>
          <cell r="Y193">
            <v>8</v>
          </cell>
          <cell r="Z193">
            <v>8</v>
          </cell>
        </row>
        <row r="194">
          <cell r="A194" t="str">
            <v/>
          </cell>
        </row>
        <row r="195">
          <cell r="A195" t="str">
            <v xml:space="preserve"> KEY PHONE 설치 모장치</v>
          </cell>
          <cell r="B195" t="str">
            <v xml:space="preserve"> KEY PHONE 설치</v>
          </cell>
          <cell r="C195" t="str">
            <v xml:space="preserve"> 모장치</v>
          </cell>
          <cell r="D195" t="str">
            <v>대</v>
          </cell>
          <cell r="E195">
            <v>1</v>
          </cell>
          <cell r="X195" t="str">
            <v>=</v>
          </cell>
          <cell r="Y195">
            <v>1</v>
          </cell>
          <cell r="Z195">
            <v>1</v>
          </cell>
        </row>
        <row r="196">
          <cell r="A196" t="str">
            <v xml:space="preserve"> KEY PHONE 설치 자장치</v>
          </cell>
          <cell r="B196" t="str">
            <v xml:space="preserve"> KEY PHONE 설치</v>
          </cell>
          <cell r="C196" t="str">
            <v xml:space="preserve"> 자장치</v>
          </cell>
          <cell r="D196" t="str">
            <v>대</v>
          </cell>
          <cell r="E196">
            <v>5</v>
          </cell>
          <cell r="X196" t="str">
            <v>=</v>
          </cell>
          <cell r="Y196">
            <v>5</v>
          </cell>
          <cell r="Z196">
            <v>5</v>
          </cell>
        </row>
        <row r="197">
          <cell r="A197" t="str">
            <v/>
          </cell>
        </row>
        <row r="198">
          <cell r="A198" t="str">
            <v xml:space="preserve"> 배선반 신설 178P</v>
          </cell>
          <cell r="B198" t="str">
            <v xml:space="preserve"> 배선반 신설</v>
          </cell>
          <cell r="C198" t="str">
            <v xml:space="preserve"> 178P</v>
          </cell>
          <cell r="D198" t="str">
            <v>대</v>
          </cell>
          <cell r="E198">
            <v>1</v>
          </cell>
          <cell r="X198" t="str">
            <v>=</v>
          </cell>
          <cell r="Y198">
            <v>1</v>
          </cell>
          <cell r="Z198">
            <v>1</v>
          </cell>
        </row>
        <row r="200">
          <cell r="A200" t="str">
            <v xml:space="preserve"> 케이블 랙 설치 W : 150</v>
          </cell>
          <cell r="B200" t="str">
            <v xml:space="preserve"> 케이블 랙 설치</v>
          </cell>
          <cell r="C200" t="str">
            <v xml:space="preserve"> W : 150</v>
          </cell>
          <cell r="D200" t="str">
            <v>m</v>
          </cell>
          <cell r="E200">
            <v>9.5</v>
          </cell>
          <cell r="F200" t="str">
            <v>+</v>
          </cell>
          <cell r="G200">
            <v>17</v>
          </cell>
          <cell r="X200" t="str">
            <v>=</v>
          </cell>
          <cell r="Y200">
            <v>26.5</v>
          </cell>
          <cell r="Z200">
            <v>26.5</v>
          </cell>
        </row>
        <row r="202">
          <cell r="A202" t="str">
            <v xml:space="preserve"> 덕트 설치 400×150</v>
          </cell>
          <cell r="B202" t="str">
            <v xml:space="preserve"> 덕트 설치</v>
          </cell>
          <cell r="C202" t="str">
            <v xml:space="preserve"> 400×150</v>
          </cell>
          <cell r="D202" t="str">
            <v>m</v>
          </cell>
          <cell r="E202">
            <v>10</v>
          </cell>
          <cell r="X202" t="str">
            <v>=</v>
          </cell>
          <cell r="Y202">
            <v>10</v>
          </cell>
          <cell r="Z202">
            <v>10</v>
          </cell>
        </row>
        <row r="203">
          <cell r="A203" t="str">
            <v/>
          </cell>
        </row>
        <row r="209">
          <cell r="A209" t="str">
            <v xml:space="preserve"> 전선 신설 HIV 1.2mm</v>
          </cell>
          <cell r="B209" t="str">
            <v xml:space="preserve"> 전선 신설</v>
          </cell>
          <cell r="C209" t="str">
            <v xml:space="preserve"> HIV 1.2mm</v>
          </cell>
          <cell r="D209" t="str">
            <v>m</v>
          </cell>
          <cell r="E209" t="str">
            <v xml:space="preserve"> [ 매표실 AMP - 대합실 S.P ]</v>
          </cell>
          <cell r="Z209">
            <v>3280.3999999999996</v>
          </cell>
        </row>
        <row r="210">
          <cell r="A210" t="str">
            <v/>
          </cell>
          <cell r="E210" t="str">
            <v>가설역사 :</v>
          </cell>
          <cell r="F210" t="str">
            <v>(15 + 2.5 + 3 ↑ +(0.3 + 0.5) x 2 + 4.5 + 0.3 + 0.5) x 2</v>
          </cell>
          <cell r="X210" t="str">
            <v>=</v>
          </cell>
          <cell r="Y210">
            <v>54.8</v>
          </cell>
        </row>
        <row r="211">
          <cell r="A211" t="str">
            <v/>
          </cell>
          <cell r="E211" t="str">
            <v xml:space="preserve"> [ 역무실 AMP - 대합실 S.P ]</v>
          </cell>
        </row>
        <row r="212">
          <cell r="E212" t="str">
            <v>가설역사 :</v>
          </cell>
          <cell r="F212" t="str">
            <v>(15 + 4 + 4.5 + 0.5 + 13 +(0.3 + 1 + 0.3) x 2 + 13.5) x 2</v>
          </cell>
        </row>
        <row r="213">
          <cell r="F213" t="str">
            <v>((0.3 + 1 + 0.3) x 2 + 12.5 + (0.3 + 1 + 0.3) x 2) x 2</v>
          </cell>
        </row>
        <row r="214">
          <cell r="F214" t="str">
            <v>(10 + 0.3 + 1 + 0.3) x 2</v>
          </cell>
          <cell r="X214" t="str">
            <v>=</v>
          </cell>
          <cell r="Y214">
            <v>168.4</v>
          </cell>
        </row>
        <row r="215">
          <cell r="A215" t="str">
            <v/>
          </cell>
          <cell r="E215" t="str">
            <v xml:space="preserve"> [ 역무실 AMP - 매표실, 휴게실 S.P ]</v>
          </cell>
        </row>
        <row r="216">
          <cell r="A216" t="str">
            <v/>
          </cell>
          <cell r="E216" t="str">
            <v>가설역사 :</v>
          </cell>
          <cell r="F216" t="str">
            <v>(15 + 4 + 4.5 + 0.5 + 9 + ( 1.5 + 0.3 + 0.5) x 2 + 4 + 1.5 + 0.3 + 0.5) x 3</v>
          </cell>
          <cell r="X216" t="str">
            <v>=</v>
          </cell>
          <cell r="Y216">
            <v>131.69999999999999</v>
          </cell>
        </row>
        <row r="217">
          <cell r="A217" t="str">
            <v/>
          </cell>
          <cell r="E217" t="str">
            <v xml:space="preserve"> [ 역무실 AMP - 상선 S.P ]</v>
          </cell>
        </row>
        <row r="218">
          <cell r="A218" t="str">
            <v/>
          </cell>
          <cell r="E218" t="str">
            <v>가설역사 :</v>
          </cell>
          <cell r="F218" t="str">
            <v>(15 + 4 + 4.5 + 0.5 + 6.5 + 0.5  + 16.5 + 0.5 + 1.5 + 4.5 + 0.4) x 2</v>
          </cell>
        </row>
        <row r="219">
          <cell r="A219" t="str">
            <v/>
          </cell>
          <cell r="F219" t="str">
            <v>(3 + 0.5 + 30 + (0.5 + 7 + 0.3 + 0.3) x 2 + 30 + 0.5 + 30) x 2</v>
          </cell>
        </row>
        <row r="220">
          <cell r="F220" t="str">
            <v>((0.5 + 7 + 0.3 + 0.3) x 2 + 30 + 0.5 + 30 + (0.5 + 15 + 0.3 + 0.3) x 2) x 2</v>
          </cell>
        </row>
        <row r="221">
          <cell r="A221" t="str">
            <v/>
          </cell>
          <cell r="F221" t="str">
            <v>(30 + 0.5 + 30 + 0.5 + 19 + 0.3 + 0.3) x 2</v>
          </cell>
          <cell r="X221" t="str">
            <v>=</v>
          </cell>
          <cell r="Y221">
            <v>634.20000000000005</v>
          </cell>
        </row>
        <row r="222">
          <cell r="A222" t="str">
            <v/>
          </cell>
          <cell r="E222" t="str">
            <v xml:space="preserve"> [ 역무실 AMP - 하선 S.P ]</v>
          </cell>
        </row>
        <row r="223">
          <cell r="A223" t="str">
            <v/>
          </cell>
          <cell r="E223" t="str">
            <v>가설역사 :</v>
          </cell>
          <cell r="F223" t="str">
            <v>(15 + 4 + 4.5 + 0.5 + 6.5 + 0.5 + 1.5 + 4.5 + 0.4 + 3 + 0.5 + 30) x 2</v>
          </cell>
        </row>
        <row r="224">
          <cell r="A224" t="str">
            <v/>
          </cell>
          <cell r="F224" t="str">
            <v>((0.5 + 5 + 0.3 + 0.3) x 2 + 30 + 0.5 + 30 + (0.5 + 5 + 0.3 + 0.3) x 2) x 2</v>
          </cell>
        </row>
        <row r="225">
          <cell r="F225" t="str">
            <v xml:space="preserve">30 + 0.5 + 30 + (0.5 + 11 + 0.3 + 0.3) x 2 + 30 + 0.5 + 30 + 0.5 + 15 + 0.3 </v>
          </cell>
        </row>
        <row r="226">
          <cell r="A226" t="str">
            <v/>
          </cell>
          <cell r="F226" t="str">
            <v>+ 0.3) x 2</v>
          </cell>
          <cell r="X226" t="str">
            <v>=</v>
          </cell>
          <cell r="Y226">
            <v>708.2</v>
          </cell>
        </row>
        <row r="227">
          <cell r="A227" t="str">
            <v/>
          </cell>
          <cell r="E227" t="str">
            <v xml:space="preserve"> [ 전산실 - 각 기능실 SP ]</v>
          </cell>
        </row>
        <row r="228">
          <cell r="A228" t="str">
            <v/>
          </cell>
          <cell r="E228" t="str">
            <v>{15+4+3.8↑+(0.3+0.5)x2+1.7↑+0.3+9}x3</v>
          </cell>
          <cell r="X228" t="str">
            <v>=</v>
          </cell>
          <cell r="Y228">
            <v>106.20000000000002</v>
          </cell>
        </row>
        <row r="229">
          <cell r="A229" t="str">
            <v/>
          </cell>
          <cell r="E229" t="str">
            <v>{(0.3+1.7↓+0.3+0.5)x2+4.5+(0.3+1.7↓+0.3+0.5)x2}x3</v>
          </cell>
          <cell r="X229" t="str">
            <v>=</v>
          </cell>
          <cell r="Y229">
            <v>47.099999999999994</v>
          </cell>
        </row>
        <row r="230">
          <cell r="E230" t="str">
            <v>{(0.3+1.7↓+0.3+0.5)x2+4.5+(0.3+1.7↓+0.3+0.5)x2}x3</v>
          </cell>
          <cell r="X230" t="str">
            <v>=</v>
          </cell>
          <cell r="Y230">
            <v>47.099999999999994</v>
          </cell>
        </row>
        <row r="231">
          <cell r="E231" t="str">
            <v>{15+0.3+12+0.3+7+0.3+7.5+0.3+8+0.3+6+0.3+4.5}x3</v>
          </cell>
          <cell r="X231" t="str">
            <v>=</v>
          </cell>
          <cell r="Y231">
            <v>185.39999999999998</v>
          </cell>
        </row>
        <row r="232">
          <cell r="E232" t="str">
            <v>{(0.3+1.7↓+0.3+0.5)x2+8+(0.3+1.7↓+0.3+0.5)x2}x3</v>
          </cell>
          <cell r="X232" t="str">
            <v>=</v>
          </cell>
          <cell r="Y232">
            <v>57.599999999999994</v>
          </cell>
        </row>
        <row r="233">
          <cell r="E233" t="str">
            <v>{10.5+0.3+1.7↓+0.3+0.5+0.5+0.3+1.7↑+0.3+5+0.3}x3</v>
          </cell>
          <cell r="X233" t="str">
            <v>=</v>
          </cell>
          <cell r="Y233">
            <v>64.2</v>
          </cell>
        </row>
        <row r="234">
          <cell r="E234" t="str">
            <v>{5.5↓+0.4↓+3.5↓+0.3+0.5+0.5+0.3+1.7↑+0.3+20+0.3}x3</v>
          </cell>
          <cell r="X234" t="str">
            <v>=</v>
          </cell>
          <cell r="Y234">
            <v>99.899999999999991</v>
          </cell>
        </row>
        <row r="235">
          <cell r="E235" t="str">
            <v>{1.7↓+0.3+0.5x2+0.3+3.8↓+0.4↓+3.5↓+0.3+0.5}x3</v>
          </cell>
          <cell r="X235" t="str">
            <v>=</v>
          </cell>
          <cell r="Y235">
            <v>35.400000000000006</v>
          </cell>
        </row>
        <row r="236">
          <cell r="A236" t="str">
            <v/>
          </cell>
          <cell r="E236" t="str">
            <v>{15+4+3.8↑+0.3+1.7↑+0.3+6+0.3+3.5+0.3+5.5}x2</v>
          </cell>
          <cell r="X236" t="str">
            <v>=</v>
          </cell>
          <cell r="Y236">
            <v>81.400000000000006</v>
          </cell>
        </row>
        <row r="237">
          <cell r="E237" t="str">
            <v>{(0.3+3+0.3)x2+4+0.3+3+0.3+0.3+3+0.3+5.5+0.3+15}x2</v>
          </cell>
          <cell r="X237" t="str">
            <v>=</v>
          </cell>
          <cell r="Y237">
            <v>78.400000000000006</v>
          </cell>
        </row>
        <row r="238">
          <cell r="E238" t="str">
            <v>{(0.3+3+0.3)x2+7+(0.3+3+0.3)x2+7.5+(0.3+3+0.3)x2}x2</v>
          </cell>
          <cell r="X238" t="str">
            <v>=</v>
          </cell>
          <cell r="Y238">
            <v>72.199999999999989</v>
          </cell>
        </row>
        <row r="239">
          <cell r="E239" t="str">
            <v>{7.5+0.3+3+0.3+0.3+3+0.3+12+(0.3+3+0.3)x2+7}x2</v>
          </cell>
          <cell r="X239" t="str">
            <v>=</v>
          </cell>
          <cell r="Y239">
            <v>81.800000000000011</v>
          </cell>
        </row>
        <row r="240">
          <cell r="A240" t="str">
            <v/>
          </cell>
          <cell r="E240" t="str">
            <v>{(0.3+3+0.3)x2+7.5+(0.3+3+0.3)x2+8+(0.3+3+0.3)x2+6}x2</v>
          </cell>
          <cell r="X240" t="str">
            <v>=</v>
          </cell>
          <cell r="Y240">
            <v>86.199999999999989</v>
          </cell>
        </row>
        <row r="241">
          <cell r="A241" t="str">
            <v/>
          </cell>
          <cell r="E241" t="str">
            <v>{(0.3+3+0.3)x2+7.5+(0.3+3+0.3)x2+7.5+(0.3+3+0.3)x2}x2</v>
          </cell>
          <cell r="X241" t="str">
            <v>=</v>
          </cell>
          <cell r="Y241">
            <v>73.199999999999989</v>
          </cell>
        </row>
        <row r="242">
          <cell r="A242" t="str">
            <v/>
          </cell>
          <cell r="E242" t="str">
            <v>{10.5+0.3+1.7↓+0.3+0.5+0.5+0.3+1.7↑+0.3+5+0.3}x3</v>
          </cell>
          <cell r="X242" t="str">
            <v>=</v>
          </cell>
          <cell r="Y242">
            <v>64.2</v>
          </cell>
        </row>
        <row r="243">
          <cell r="A243" t="str">
            <v/>
          </cell>
          <cell r="E243" t="str">
            <v>{7+(0.3+3+0.3)x2+7.5+(0.3+3+0.3)x2+7.5+(0.3+3+0.3)x2}x2</v>
          </cell>
          <cell r="X243" t="str">
            <v>=</v>
          </cell>
          <cell r="Y243">
            <v>87.199999999999989</v>
          </cell>
        </row>
        <row r="244">
          <cell r="A244" t="str">
            <v/>
          </cell>
          <cell r="E244" t="str">
            <v>{(0.3+3+0.3)x2+7.5+0.3+3+0.3+0.3+3+0.3+7}x2</v>
          </cell>
          <cell r="X244" t="str">
            <v>=</v>
          </cell>
          <cell r="Y244">
            <v>57.800000000000004</v>
          </cell>
        </row>
        <row r="245">
          <cell r="A245" t="str">
            <v/>
          </cell>
          <cell r="E245" t="str">
            <v>{(0.3+3+0.3)x2+7+(0.3+3+0.3)x2+7+(0.3+3+0.3)x2}x2</v>
          </cell>
          <cell r="X245" t="str">
            <v>=</v>
          </cell>
          <cell r="Y245">
            <v>71.199999999999989</v>
          </cell>
        </row>
        <row r="246">
          <cell r="A246" t="str">
            <v/>
          </cell>
          <cell r="E246" t="str">
            <v>[매표소 AMP → 매표소 S.P]</v>
          </cell>
        </row>
        <row r="247">
          <cell r="A247" t="str">
            <v/>
          </cell>
          <cell r="E247" t="str">
            <v>{15+3.5+3.8↑+0.3+0.5+0.5+0.3+1.7↑+0.3+5}x2</v>
          </cell>
          <cell r="X247" t="str">
            <v>=</v>
          </cell>
          <cell r="Y247">
            <v>61.800000000000004</v>
          </cell>
        </row>
        <row r="248">
          <cell r="A248" t="str">
            <v/>
          </cell>
          <cell r="E248" t="str">
            <v>{0.3+1.7↓+0.3+0.5}x2+(0.3+0.5+1.7↑+0.3+10+0.3+15)x2</v>
          </cell>
          <cell r="X248" t="str">
            <v>=</v>
          </cell>
          <cell r="Y248">
            <v>61.800000000000004</v>
          </cell>
        </row>
        <row r="249">
          <cell r="E249" t="str">
            <v>(0.3+7.5+0.3+15+0.3+2+0.3+3+0.3+1.7↓+0.3+0.5)x2</v>
          </cell>
          <cell r="X249" t="str">
            <v>=</v>
          </cell>
          <cell r="Y249">
            <v>63.000000000000007</v>
          </cell>
        </row>
        <row r="250">
          <cell r="A250" t="str">
            <v/>
          </cell>
        </row>
        <row r="251">
          <cell r="A251" t="str">
            <v xml:space="preserve"> 제어선 신설 CVV-S 2C/1.25㎟</v>
          </cell>
          <cell r="B251" t="str">
            <v xml:space="preserve"> 제어선 신설</v>
          </cell>
          <cell r="C251" t="str">
            <v xml:space="preserve"> CVV-S 2C/1.25㎟</v>
          </cell>
          <cell r="D251" t="str">
            <v>m</v>
          </cell>
          <cell r="E251" t="str">
            <v xml:space="preserve"> [ 전산실 - 상선 ]</v>
          </cell>
          <cell r="Z251">
            <v>769</v>
          </cell>
        </row>
        <row r="252">
          <cell r="A252" t="str">
            <v/>
          </cell>
          <cell r="E252" t="str">
            <v>{15+3+5.5↑+0.5+6+0.5+8+0.5+8.5+12.5+24.5}x2</v>
          </cell>
          <cell r="X252" t="str">
            <v>=</v>
          </cell>
          <cell r="Y252">
            <v>169</v>
          </cell>
        </row>
        <row r="253">
          <cell r="A253" t="str">
            <v/>
          </cell>
          <cell r="E253" t="str">
            <v>0.5+5+(0.3+0.5)x4+35+(0.3+0.5)x3+0.3+0.5+30</v>
          </cell>
          <cell r="X253" t="str">
            <v>=</v>
          </cell>
          <cell r="Y253">
            <v>76.900000000000006</v>
          </cell>
        </row>
        <row r="254">
          <cell r="A254" t="str">
            <v/>
          </cell>
          <cell r="E254" t="str">
            <v>(0.3+0.5)x4+28+(0.3+0.5)x4+30+(0.3+0.5)x4</v>
          </cell>
          <cell r="X254" t="str">
            <v>=</v>
          </cell>
          <cell r="Y254">
            <v>67.600000000000009</v>
          </cell>
        </row>
        <row r="255">
          <cell r="A255" t="str">
            <v/>
          </cell>
          <cell r="E255" t="str">
            <v>{30+(0.3+0.5)x3}x2</v>
          </cell>
          <cell r="X255" t="str">
            <v>=</v>
          </cell>
          <cell r="Y255">
            <v>64.8</v>
          </cell>
        </row>
        <row r="256">
          <cell r="A256" t="str">
            <v/>
          </cell>
          <cell r="E256" t="str">
            <v>0.5+0.3+2+0.5+30+0.5+4+(0.3+0.5)x3</v>
          </cell>
          <cell r="X256" t="str">
            <v>=</v>
          </cell>
          <cell r="Y256">
            <v>40.199999999999996</v>
          </cell>
        </row>
        <row r="257">
          <cell r="A257" t="str">
            <v/>
          </cell>
          <cell r="E257" t="str">
            <v xml:space="preserve"> [ 전산실 - 상선 ]</v>
          </cell>
        </row>
        <row r="258">
          <cell r="A258" t="str">
            <v/>
          </cell>
          <cell r="E258" t="str">
            <v>{15+3+5.5↑+0.5+6+0.5+8+0.5+8.5+0.5+24+0.5}x2</v>
          </cell>
          <cell r="X258" t="str">
            <v>=</v>
          </cell>
          <cell r="Y258">
            <v>145</v>
          </cell>
        </row>
        <row r="259">
          <cell r="A259" t="str">
            <v/>
          </cell>
          <cell r="E259" t="str">
            <v>{5.5↓+0.4↓+4↓+0.5}x2</v>
          </cell>
          <cell r="X259" t="str">
            <v>=</v>
          </cell>
          <cell r="Y259">
            <v>20.8</v>
          </cell>
        </row>
        <row r="260">
          <cell r="A260" t="str">
            <v/>
          </cell>
          <cell r="E260" t="str">
            <v>0.5+5+(0.3+0.5)x4+35+(0.3+0.5)x3+0.3+0.5+30</v>
          </cell>
          <cell r="X260" t="str">
            <v>=</v>
          </cell>
          <cell r="Y260">
            <v>76.900000000000006</v>
          </cell>
        </row>
        <row r="261">
          <cell r="A261" t="str">
            <v/>
          </cell>
          <cell r="E261" t="str">
            <v>(0.3+0.5)x4+28+(0.3+0.5)x4+30+(0.3+0.5)x4</v>
          </cell>
          <cell r="X261" t="str">
            <v>=</v>
          </cell>
          <cell r="Y261">
            <v>67.599999999999994</v>
          </cell>
        </row>
        <row r="262">
          <cell r="A262" t="str">
            <v/>
          </cell>
          <cell r="E262" t="str">
            <v>0.5+0.3+2+0.5+30+0.5+4+(0.3+0.5)x3</v>
          </cell>
          <cell r="X262" t="str">
            <v>=</v>
          </cell>
          <cell r="Y262">
            <v>40.200000000000003</v>
          </cell>
        </row>
        <row r="263">
          <cell r="A263" t="str">
            <v/>
          </cell>
        </row>
        <row r="264">
          <cell r="A264" t="str">
            <v xml:space="preserve"> 후강전선관 신설 16C (천장노출)</v>
          </cell>
          <cell r="B264" t="str">
            <v xml:space="preserve"> 후강전선관 신설</v>
          </cell>
          <cell r="C264" t="str">
            <v xml:space="preserve"> 16C (천장노출)</v>
          </cell>
          <cell r="D264" t="str">
            <v>m</v>
          </cell>
          <cell r="E264" t="str">
            <v>가설역사 :</v>
          </cell>
          <cell r="F264" t="str">
            <v>2.5 + 13 + 13.5 + 12.5 + 10 + 9 + 4 + 6.5 + 1.5 + 16.5</v>
          </cell>
          <cell r="Z264">
            <v>1533</v>
          </cell>
        </row>
        <row r="265">
          <cell r="A265" t="str">
            <v/>
          </cell>
          <cell r="F265" t="str">
            <v>1.5 + 30 x 7 + 30 x 7 + 7 x 2 + 15 + 19 + 5 x 2 + 11 + 15</v>
          </cell>
          <cell r="X265" t="str">
            <v>=</v>
          </cell>
          <cell r="Y265">
            <v>594.5</v>
          </cell>
        </row>
        <row r="266">
          <cell r="E266" t="str">
            <v>10.5+8+4.5+2.5+4.5+3.5+5+4.5+5.5+5.5+9+5+20+7+7.5+7.5+7</v>
          </cell>
        </row>
        <row r="267">
          <cell r="E267" t="str">
            <v>7.5+7.5+9+7.5+7.5+7+7+7+7+7+7+7.5+7.5+7+4+5.5+5</v>
          </cell>
        </row>
        <row r="268">
          <cell r="E268" t="str">
            <v>{(35+5+30+28+30+30)x2+30+2+4}x2</v>
          </cell>
          <cell r="X268" t="str">
            <v>=</v>
          </cell>
          <cell r="Y268">
            <v>938.5</v>
          </cell>
        </row>
        <row r="269">
          <cell r="A269" t="str">
            <v xml:space="preserve"> 후강전선관 신설 16C (벽매입)</v>
          </cell>
          <cell r="B269" t="str">
            <v xml:space="preserve"> 후강전선관 신설</v>
          </cell>
          <cell r="C269" t="str">
            <v xml:space="preserve"> 16C (벽매입)</v>
          </cell>
          <cell r="D269" t="str">
            <v>m</v>
          </cell>
          <cell r="E269" t="str">
            <v>가설역사 :</v>
          </cell>
          <cell r="F269" t="str">
            <v>3 + 1.5 + 1.5 + 1.5 + 4.5 + 4.5 + 0.4 + 0.4</v>
          </cell>
          <cell r="Z269">
            <v>78.8</v>
          </cell>
        </row>
        <row r="270">
          <cell r="F270" t="str">
            <v>3 + 3 + 4</v>
          </cell>
          <cell r="X270" t="str">
            <v>=</v>
          </cell>
          <cell r="Y270">
            <v>27.3</v>
          </cell>
        </row>
        <row r="271">
          <cell r="A271" t="str">
            <v/>
          </cell>
          <cell r="E271" t="str">
            <v>1.7x15+5.5↑x2+0.4x2+3.5x2+3.8+1.7x2</v>
          </cell>
          <cell r="X271" t="str">
            <v>=</v>
          </cell>
          <cell r="Y271">
            <v>51.5</v>
          </cell>
        </row>
        <row r="272">
          <cell r="A272" t="str">
            <v xml:space="preserve"> 후강전선관 신설 16C (매입)</v>
          </cell>
          <cell r="B272" t="str">
            <v xml:space="preserve"> 후강전선관 신설</v>
          </cell>
          <cell r="C272" t="str">
            <v xml:space="preserve"> 16C (매입)</v>
          </cell>
          <cell r="D272" t="str">
            <v>m</v>
          </cell>
          <cell r="E272" t="str">
            <v>가설역사 :</v>
          </cell>
          <cell r="F272" t="str">
            <v>2.5 + 4</v>
          </cell>
          <cell r="X272" t="str">
            <v>=</v>
          </cell>
          <cell r="Y272">
            <v>6.5</v>
          </cell>
          <cell r="Z272">
            <v>10</v>
          </cell>
        </row>
        <row r="273">
          <cell r="E273">
            <v>3.5</v>
          </cell>
          <cell r="X273" t="str">
            <v>=</v>
          </cell>
          <cell r="Y273">
            <v>3.5</v>
          </cell>
        </row>
        <row r="274">
          <cell r="A274" t="str">
            <v/>
          </cell>
        </row>
        <row r="275">
          <cell r="A275" t="str">
            <v xml:space="preserve"> 후강전선관 신설 22C (천장노출)</v>
          </cell>
          <cell r="B275" t="str">
            <v xml:space="preserve"> 후강전선관 신설</v>
          </cell>
          <cell r="C275" t="str">
            <v xml:space="preserve"> 22C (천장노출)</v>
          </cell>
          <cell r="D275" t="str">
            <v>m</v>
          </cell>
          <cell r="E275" t="str">
            <v>6+3.5+15+12+7+7.5+8+6+(6+8+8.5)x2+12.5+24.5+24</v>
          </cell>
          <cell r="X275" t="str">
            <v>=</v>
          </cell>
          <cell r="Y275">
            <v>171</v>
          </cell>
          <cell r="Z275">
            <v>171</v>
          </cell>
        </row>
        <row r="276">
          <cell r="A276" t="str">
            <v xml:space="preserve"> 후강전선관 신설 22C (벽매입)</v>
          </cell>
          <cell r="B276" t="str">
            <v xml:space="preserve"> 후강전선관 신설</v>
          </cell>
          <cell r="C276" t="str">
            <v xml:space="preserve"> 22C (벽매입)</v>
          </cell>
          <cell r="D276" t="str">
            <v>m</v>
          </cell>
          <cell r="E276" t="str">
            <v>5.5+5.5x2+5.5x2+0.4x2+4x2</v>
          </cell>
          <cell r="X276" t="str">
            <v>=</v>
          </cell>
          <cell r="Y276">
            <v>36.299999999999997</v>
          </cell>
          <cell r="Z276">
            <v>36.299999999999997</v>
          </cell>
        </row>
        <row r="277">
          <cell r="A277" t="str">
            <v xml:space="preserve"> 후강전선관 신설 22C (매입)</v>
          </cell>
          <cell r="B277" t="str">
            <v xml:space="preserve"> 후강전선관 신설</v>
          </cell>
          <cell r="C277" t="str">
            <v xml:space="preserve"> 22C (매입)</v>
          </cell>
          <cell r="D277" t="str">
            <v>m</v>
          </cell>
          <cell r="E277" t="str">
            <v>4+3x2</v>
          </cell>
          <cell r="X277" t="str">
            <v>=</v>
          </cell>
          <cell r="Y277">
            <v>10</v>
          </cell>
          <cell r="Z277">
            <v>10</v>
          </cell>
        </row>
        <row r="278">
          <cell r="A278" t="str">
            <v/>
          </cell>
        </row>
        <row r="279">
          <cell r="A279" t="str">
            <v xml:space="preserve"> 후렉시블전선관 신설 16C (천장노출)</v>
          </cell>
          <cell r="B279" t="str">
            <v xml:space="preserve"> 후렉시블전선관 신설</v>
          </cell>
          <cell r="C279" t="str">
            <v xml:space="preserve"> 16C (천장노출)</v>
          </cell>
          <cell r="D279" t="str">
            <v>m</v>
          </cell>
          <cell r="E279">
            <v>78</v>
          </cell>
          <cell r="X279" t="str">
            <v>=</v>
          </cell>
          <cell r="Y279">
            <v>78</v>
          </cell>
          <cell r="Z279">
            <v>78</v>
          </cell>
        </row>
        <row r="280">
          <cell r="A280" t="str">
            <v xml:space="preserve"> 후렉시블전선관 신설 16C (철강조)</v>
          </cell>
          <cell r="B280" t="str">
            <v xml:space="preserve"> 후렉시블전선관 신설</v>
          </cell>
          <cell r="C280" t="str">
            <v xml:space="preserve"> 16C (철강조)</v>
          </cell>
          <cell r="D280" t="str">
            <v>m</v>
          </cell>
          <cell r="E280">
            <v>16</v>
          </cell>
          <cell r="X280" t="str">
            <v>=</v>
          </cell>
          <cell r="Y280">
            <v>16</v>
          </cell>
          <cell r="Z280">
            <v>16</v>
          </cell>
        </row>
        <row r="281">
          <cell r="A281" t="str">
            <v/>
          </cell>
        </row>
        <row r="282">
          <cell r="A282" t="str">
            <v xml:space="preserve"> OUTLET BOX 설치 중형 4각 54mm</v>
          </cell>
          <cell r="B282" t="str">
            <v xml:space="preserve"> OUTLET BOX 설치</v>
          </cell>
          <cell r="C282" t="str">
            <v xml:space="preserve"> 중형 4각 54mm</v>
          </cell>
          <cell r="D282" t="str">
            <v>개</v>
          </cell>
          <cell r="E282">
            <v>6</v>
          </cell>
          <cell r="F282">
            <v>16</v>
          </cell>
          <cell r="H282">
            <v>4</v>
          </cell>
          <cell r="J282">
            <v>64</v>
          </cell>
          <cell r="X282" t="str">
            <v>=</v>
          </cell>
          <cell r="Y282">
            <v>90</v>
          </cell>
          <cell r="Z282">
            <v>90</v>
          </cell>
        </row>
        <row r="283">
          <cell r="A283" t="str">
            <v/>
          </cell>
        </row>
        <row r="284">
          <cell r="A284" t="str">
            <v xml:space="preserve"> C형 찬넬 설치 60×30×10×2.3t</v>
          </cell>
          <cell r="B284" t="str">
            <v xml:space="preserve"> C형 찬넬 설치</v>
          </cell>
          <cell r="C284" t="str">
            <v xml:space="preserve"> 60×30×10×2.3t</v>
          </cell>
          <cell r="D284" t="str">
            <v>개</v>
          </cell>
          <cell r="E284" t="str">
            <v>가설역사</v>
          </cell>
          <cell r="F284" t="str">
            <v xml:space="preserve"> (594.5) ÷3 ÷1.5</v>
          </cell>
          <cell r="X284" t="str">
            <v>=</v>
          </cell>
          <cell r="Y284">
            <v>132.1</v>
          </cell>
          <cell r="Z284">
            <v>379</v>
          </cell>
        </row>
        <row r="285">
          <cell r="F285" t="str">
            <v xml:space="preserve"> (938.5+171) ÷3 ÷1.5</v>
          </cell>
          <cell r="X285" t="str">
            <v>=</v>
          </cell>
          <cell r="Y285">
            <v>246.6</v>
          </cell>
        </row>
        <row r="286">
          <cell r="A286" t="str">
            <v/>
          </cell>
        </row>
        <row r="287">
          <cell r="A287" t="str">
            <v xml:space="preserve"> 클램프 16C</v>
          </cell>
          <cell r="B287" t="str">
            <v xml:space="preserve"> 클램프</v>
          </cell>
          <cell r="C287" t="str">
            <v xml:space="preserve"> 16C</v>
          </cell>
          <cell r="D287" t="str">
            <v>개</v>
          </cell>
          <cell r="F287" t="str">
            <v xml:space="preserve"> 594.5 ÷ 1.5</v>
          </cell>
          <cell r="I287" t="str">
            <v>본역사 :</v>
          </cell>
          <cell r="L287" t="str">
            <v xml:space="preserve"> 938.5 ÷ 1.5</v>
          </cell>
          <cell r="X287" t="str">
            <v>=</v>
          </cell>
          <cell r="Y287">
            <v>1022</v>
          </cell>
          <cell r="Z287">
            <v>1022</v>
          </cell>
        </row>
        <row r="288">
          <cell r="A288" t="str">
            <v xml:space="preserve"> 클램프 22C</v>
          </cell>
          <cell r="B288" t="str">
            <v xml:space="preserve"> 클램프</v>
          </cell>
          <cell r="C288" t="str">
            <v xml:space="preserve"> 22C</v>
          </cell>
          <cell r="D288" t="str">
            <v>개</v>
          </cell>
          <cell r="L288" t="str">
            <v xml:space="preserve"> 171 ÷ 1.5</v>
          </cell>
          <cell r="X288" t="str">
            <v>=</v>
          </cell>
          <cell r="Y288">
            <v>114</v>
          </cell>
          <cell r="Z288">
            <v>114</v>
          </cell>
        </row>
        <row r="289">
          <cell r="A289" t="str">
            <v/>
          </cell>
        </row>
        <row r="290">
          <cell r="A290" t="str">
            <v xml:space="preserve"> AMP 설치 800W</v>
          </cell>
          <cell r="B290" t="str">
            <v xml:space="preserve"> AMP 설치</v>
          </cell>
          <cell r="C290" t="str">
            <v xml:space="preserve"> 800W</v>
          </cell>
          <cell r="D290" t="str">
            <v>대</v>
          </cell>
          <cell r="E290">
            <v>1</v>
          </cell>
          <cell r="X290" t="str">
            <v>=</v>
          </cell>
          <cell r="Y290">
            <v>1</v>
          </cell>
          <cell r="Z290">
            <v>1</v>
          </cell>
        </row>
        <row r="291">
          <cell r="A291" t="str">
            <v xml:space="preserve"> AMP(음성증폭기) 설치 창구용(5CH)</v>
          </cell>
          <cell r="B291" t="str">
            <v xml:space="preserve"> AMP(음성증폭기) 설치</v>
          </cell>
          <cell r="C291" t="str">
            <v xml:space="preserve"> 창구용(5CH)</v>
          </cell>
          <cell r="D291" t="str">
            <v>대</v>
          </cell>
          <cell r="E291">
            <v>1</v>
          </cell>
          <cell r="X291" t="str">
            <v>=</v>
          </cell>
          <cell r="Y291">
            <v>1</v>
          </cell>
          <cell r="Z291">
            <v>1</v>
          </cell>
        </row>
        <row r="292">
          <cell r="A292" t="str">
            <v/>
          </cell>
        </row>
        <row r="293">
          <cell r="A293" t="str">
            <v xml:space="preserve"> AMP 이설 150W</v>
          </cell>
          <cell r="B293" t="str">
            <v xml:space="preserve"> AMP 이설</v>
          </cell>
          <cell r="C293" t="str">
            <v xml:space="preserve"> 150W</v>
          </cell>
          <cell r="D293" t="str">
            <v>대</v>
          </cell>
          <cell r="E293">
            <v>1</v>
          </cell>
          <cell r="X293" t="str">
            <v>=</v>
          </cell>
          <cell r="Y293">
            <v>1</v>
          </cell>
          <cell r="Z293">
            <v>1</v>
          </cell>
        </row>
        <row r="294">
          <cell r="A294" t="str">
            <v xml:space="preserve"> AMP(음성증폭기) 이설 10W</v>
          </cell>
          <cell r="B294" t="str">
            <v xml:space="preserve"> AMP(음성증폭기) 이설</v>
          </cell>
          <cell r="C294" t="str">
            <v xml:space="preserve"> 10W</v>
          </cell>
          <cell r="D294" t="str">
            <v>대</v>
          </cell>
          <cell r="E294">
            <v>1</v>
          </cell>
          <cell r="X294" t="str">
            <v>=</v>
          </cell>
          <cell r="Y294">
            <v>1</v>
          </cell>
          <cell r="Z294">
            <v>1</v>
          </cell>
        </row>
        <row r="296">
          <cell r="A296" t="str">
            <v xml:space="preserve"> 스피커 설치 3W (천장형,ATT)</v>
          </cell>
          <cell r="B296" t="str">
            <v xml:space="preserve"> 스피커 설치</v>
          </cell>
          <cell r="C296" t="str">
            <v xml:space="preserve"> 3W (천장형,ATT)</v>
          </cell>
          <cell r="D296" t="str">
            <v>대</v>
          </cell>
          <cell r="E296">
            <v>2</v>
          </cell>
          <cell r="X296" t="str">
            <v>=</v>
          </cell>
          <cell r="Y296">
            <v>2</v>
          </cell>
          <cell r="Z296">
            <v>2</v>
          </cell>
        </row>
        <row r="297">
          <cell r="A297" t="str">
            <v xml:space="preserve"> 스피커 설치 3W (천장형)</v>
          </cell>
          <cell r="B297" t="str">
            <v xml:space="preserve"> 스피커 설치</v>
          </cell>
          <cell r="C297" t="str">
            <v xml:space="preserve"> 3W (천장형)</v>
          </cell>
          <cell r="D297" t="str">
            <v>대</v>
          </cell>
          <cell r="E297">
            <v>4</v>
          </cell>
          <cell r="J297">
            <v>27</v>
          </cell>
          <cell r="X297" t="str">
            <v>=</v>
          </cell>
          <cell r="Y297">
            <v>31</v>
          </cell>
          <cell r="Z297">
            <v>31</v>
          </cell>
        </row>
        <row r="298">
          <cell r="A298" t="str">
            <v xml:space="preserve"> 스피커 설치 3W (벽부형,ATT)</v>
          </cell>
          <cell r="B298" t="str">
            <v xml:space="preserve"> 스피커 설치</v>
          </cell>
          <cell r="C298" t="str">
            <v xml:space="preserve"> 3W (벽부형,ATT)</v>
          </cell>
          <cell r="D298" t="str">
            <v>대</v>
          </cell>
          <cell r="E298">
            <v>0</v>
          </cell>
          <cell r="J298">
            <v>17</v>
          </cell>
          <cell r="X298" t="str">
            <v>=</v>
          </cell>
          <cell r="Y298">
            <v>17</v>
          </cell>
          <cell r="Z298">
            <v>17</v>
          </cell>
        </row>
        <row r="299">
          <cell r="A299" t="str">
            <v xml:space="preserve"> 스피커 설치 3W (벽부형)</v>
          </cell>
          <cell r="B299" t="str">
            <v xml:space="preserve"> 스피커 설치</v>
          </cell>
          <cell r="C299" t="str">
            <v xml:space="preserve"> 3W (벽부형)</v>
          </cell>
          <cell r="D299" t="str">
            <v>대</v>
          </cell>
          <cell r="E299">
            <v>2</v>
          </cell>
          <cell r="J299">
            <v>2</v>
          </cell>
          <cell r="X299" t="str">
            <v>=</v>
          </cell>
          <cell r="Y299">
            <v>4</v>
          </cell>
          <cell r="Z299">
            <v>4</v>
          </cell>
        </row>
        <row r="300">
          <cell r="A300" t="str">
            <v xml:space="preserve"> 스피커 설치 10W(혼형)</v>
          </cell>
          <cell r="B300" t="str">
            <v xml:space="preserve"> 스피커 설치</v>
          </cell>
          <cell r="C300" t="str">
            <v xml:space="preserve"> 10W(혼형)</v>
          </cell>
          <cell r="D300" t="str">
            <v>대</v>
          </cell>
          <cell r="E300">
            <v>4</v>
          </cell>
          <cell r="F300">
            <v>12</v>
          </cell>
          <cell r="J300">
            <v>56</v>
          </cell>
          <cell r="X300" t="str">
            <v>=</v>
          </cell>
          <cell r="Y300">
            <v>72</v>
          </cell>
          <cell r="Z300">
            <v>72</v>
          </cell>
        </row>
        <row r="301">
          <cell r="A301" t="str">
            <v/>
          </cell>
        </row>
        <row r="302">
          <cell r="A302" t="str">
            <v xml:space="preserve"> 풀박스 설치 200×200×150(철강조)</v>
          </cell>
          <cell r="B302" t="str">
            <v xml:space="preserve"> 풀박스 설치</v>
          </cell>
          <cell r="C302" t="str">
            <v xml:space="preserve"> 200×200×150(철강조)</v>
          </cell>
          <cell r="D302" t="str">
            <v>개</v>
          </cell>
          <cell r="E302">
            <v>4</v>
          </cell>
          <cell r="X302" t="str">
            <v>=</v>
          </cell>
          <cell r="Y302">
            <v>4</v>
          </cell>
          <cell r="Z302">
            <v>4</v>
          </cell>
        </row>
        <row r="303">
          <cell r="A303" t="str">
            <v xml:space="preserve"> 풀박스 설치 200×200×150(매입)</v>
          </cell>
          <cell r="B303" t="str">
            <v xml:space="preserve"> 풀박스 설치</v>
          </cell>
          <cell r="C303" t="str">
            <v xml:space="preserve"> 200×200×150(매입)</v>
          </cell>
          <cell r="D303" t="str">
            <v>개</v>
          </cell>
          <cell r="E303">
            <v>4</v>
          </cell>
          <cell r="X303" t="str">
            <v>=</v>
          </cell>
          <cell r="Y303">
            <v>4</v>
          </cell>
          <cell r="Z303">
            <v>4</v>
          </cell>
        </row>
        <row r="304">
          <cell r="A304" t="str">
            <v xml:space="preserve"> 풀박스 설치 300×300×200</v>
          </cell>
          <cell r="B304" t="str">
            <v xml:space="preserve"> 풀박스 설치</v>
          </cell>
          <cell r="C304" t="str">
            <v xml:space="preserve"> 300×300×200</v>
          </cell>
          <cell r="D304" t="str">
            <v>개</v>
          </cell>
          <cell r="E304">
            <v>2</v>
          </cell>
          <cell r="X304" t="str">
            <v>=</v>
          </cell>
          <cell r="Y304">
            <v>2</v>
          </cell>
          <cell r="Z304">
            <v>2</v>
          </cell>
        </row>
        <row r="305">
          <cell r="A305" t="str">
            <v/>
          </cell>
        </row>
        <row r="324">
          <cell r="A324" t="str">
            <v xml:space="preserve"> 동축케이블 신설 5C-2V</v>
          </cell>
          <cell r="B324" t="str">
            <v xml:space="preserve"> 동축케이블 신설</v>
          </cell>
          <cell r="C324" t="str">
            <v xml:space="preserve"> 5C-2V</v>
          </cell>
          <cell r="D324" t="str">
            <v>m</v>
          </cell>
          <cell r="E324" t="str">
            <v xml:space="preserve"> [ 전산실 -  상선 ]</v>
          </cell>
          <cell r="Z324">
            <v>4948.6999999999989</v>
          </cell>
        </row>
        <row r="325">
          <cell r="A325" t="str">
            <v/>
          </cell>
          <cell r="E325" t="str">
            <v>가설역사 :</v>
          </cell>
          <cell r="F325" t="str">
            <v>C 1</v>
          </cell>
          <cell r="G325" t="str">
            <v xml:space="preserve">2 + 2 + 0.3 + 12 + 0.5 + 30 + 0.5 + 30 + 0.5 + 30 + 0.5 + 30 + 0.5 + 30  </v>
          </cell>
        </row>
        <row r="326">
          <cell r="G326" t="str">
            <v>0.5 + 30 + 0.5 + 30 +0.5 + 4 + 0.3 + 2 + 2</v>
          </cell>
        </row>
        <row r="327">
          <cell r="A327" t="str">
            <v/>
          </cell>
          <cell r="F327" t="str">
            <v>C 2</v>
          </cell>
          <cell r="G327" t="str">
            <v>2 + 2 + 0.3 + 11 + 0.5 + 4 + 0.3 + 2 + 2</v>
          </cell>
          <cell r="X327" t="str">
            <v>=</v>
          </cell>
          <cell r="Y327">
            <v>262.7</v>
          </cell>
        </row>
        <row r="328">
          <cell r="A328" t="str">
            <v/>
          </cell>
          <cell r="E328" t="str">
            <v xml:space="preserve"> [ 전산실 -  하선 ]</v>
          </cell>
        </row>
        <row r="329">
          <cell r="A329" t="str">
            <v/>
          </cell>
          <cell r="E329" t="str">
            <v>가설역사 :</v>
          </cell>
          <cell r="F329" t="str">
            <v>C 1</v>
          </cell>
          <cell r="G329" t="str">
            <v xml:space="preserve">2 + 2 + 0.3 + 11 + 0.5 + 17 + 0.3 + 2 + 2  </v>
          </cell>
        </row>
        <row r="330">
          <cell r="F330" t="str">
            <v>C 2</v>
          </cell>
          <cell r="G330" t="str">
            <v xml:space="preserve">2 + 2 + 0.3 + 12 + 0.5 + 30 + 0.5 + 30 + 0.5 + 30 + 0.5 + 30 + 0.5 + 30 </v>
          </cell>
        </row>
        <row r="331">
          <cell r="A331" t="str">
            <v/>
          </cell>
          <cell r="G331" t="str">
            <v>0.5 + 30 + 0.5 + 30 + 0.5 + 17 + 0.3 + 2 + 2</v>
          </cell>
          <cell r="X331" t="str">
            <v>=</v>
          </cell>
          <cell r="Y331">
            <v>288.7</v>
          </cell>
        </row>
        <row r="332">
          <cell r="A332" t="str">
            <v/>
          </cell>
          <cell r="E332" t="str">
            <v>[역무실 → CAMERA, VIDEO PHONE]</v>
          </cell>
        </row>
        <row r="333">
          <cell r="A333" t="str">
            <v/>
          </cell>
          <cell r="E333" t="str">
            <v>(15+6+5.5↑+0.5+0.5+20.5+0.5)x4+V.P:0.5+6+0.5+25</v>
          </cell>
          <cell r="X333" t="str">
            <v>=</v>
          </cell>
          <cell r="Y333">
            <v>226</v>
          </cell>
        </row>
        <row r="334">
          <cell r="E334" t="str">
            <v>4.5↓+0.3+CAMERA:0.5+4+0.3+2+V.P:(0.5+9+0.5)x2+0.5+3</v>
          </cell>
          <cell r="X334" t="str">
            <v>=</v>
          </cell>
          <cell r="Y334">
            <v>35.1</v>
          </cell>
        </row>
        <row r="335">
          <cell r="E335" t="str">
            <v>4.5↓+0.3+(0.5+5.5↓+0.4↓+0.5+4+7↓+0.3)</v>
          </cell>
          <cell r="X335" t="str">
            <v>=</v>
          </cell>
          <cell r="Y335">
            <v>23</v>
          </cell>
        </row>
        <row r="336">
          <cell r="E336" t="str">
            <v>(15+10+5.5↑+0.5+10+0.5+9+0.5)x10+(0.5+17.5+0.5)x4</v>
          </cell>
          <cell r="X336" t="str">
            <v>=</v>
          </cell>
          <cell r="Y336">
            <v>584</v>
          </cell>
        </row>
        <row r="337">
          <cell r="E337" t="str">
            <v>CAMERA:(0.5+1+0.3+2)x2+V.P:(0.5+7.5+0.5)x2+0.5+1+4.5↓</v>
          </cell>
          <cell r="X337" t="str">
            <v>=</v>
          </cell>
          <cell r="Y337">
            <v>30.6</v>
          </cell>
        </row>
        <row r="338">
          <cell r="E338" t="str">
            <v>0.3+(0.5+5.5↓+0.4↓+0.5+1+7↓+0.3)+(0.5+12+0.5)x6</v>
          </cell>
          <cell r="X338" t="str">
            <v>=</v>
          </cell>
          <cell r="Y338">
            <v>93.5</v>
          </cell>
        </row>
        <row r="339">
          <cell r="E339" t="str">
            <v>CAMERA:(0.5+7.5+0.3+2)+(0.5+8+0.5)x5+CAMERA:(0.5+11)</v>
          </cell>
          <cell r="X339" t="str">
            <v>=</v>
          </cell>
          <cell r="Y339">
            <v>66.8</v>
          </cell>
        </row>
        <row r="340">
          <cell r="E340" t="str">
            <v>(0.3+2)+(0.5+17+0.5)x4+V.P:(0.5+1+4.5↓+0.3)+(0.5+8.5)x2</v>
          </cell>
          <cell r="X340" t="str">
            <v>=</v>
          </cell>
          <cell r="Y340">
            <v>98.6</v>
          </cell>
        </row>
        <row r="341">
          <cell r="E341" t="str">
            <v>(0.5+8.5+0.5)x2+CAMERA:(0.5+4+0.3+2)+V.P:(0.5+8+4.5↓)</v>
          </cell>
          <cell r="X341" t="str">
            <v>=</v>
          </cell>
          <cell r="Y341">
            <v>38.799999999999997</v>
          </cell>
        </row>
        <row r="342">
          <cell r="E342" t="str">
            <v>(0.3)+V.P(1층):(0.5+5.5↓+0.4↓+0.5+1+7↓+0.3)</v>
          </cell>
          <cell r="X342" t="str">
            <v>=</v>
          </cell>
          <cell r="Y342">
            <v>15.500000000000002</v>
          </cell>
        </row>
        <row r="343">
          <cell r="E343" t="str">
            <v>[승강장 MONITOR → CAMERA]</v>
          </cell>
        </row>
        <row r="344">
          <cell r="E344" t="str">
            <v>(2+3+0.5+20+0.5+25+0.5+27+0.5+32+0.5+30+0.5)x4</v>
          </cell>
          <cell r="X344" t="str">
            <v>=</v>
          </cell>
          <cell r="Y344">
            <v>568</v>
          </cell>
        </row>
        <row r="345">
          <cell r="E345" t="str">
            <v>(5+4+2)x2+(0.5+30+0.5+30+0.5+16+0.5+5+2+2)x2</v>
          </cell>
          <cell r="X345" t="str">
            <v>=</v>
          </cell>
          <cell r="Y345">
            <v>196</v>
          </cell>
        </row>
        <row r="346">
          <cell r="E346" t="str">
            <v>(2+6+0.5+9+0.5+30+0.5+30+0.5+30+0.5+32+0.5)x4</v>
          </cell>
          <cell r="X346" t="str">
            <v>=</v>
          </cell>
          <cell r="Y346">
            <v>568</v>
          </cell>
        </row>
        <row r="347">
          <cell r="E347" t="str">
            <v>(4+3+2)x2+(0.5+27+0.5)x4</v>
          </cell>
          <cell r="X347" t="str">
            <v>=</v>
          </cell>
          <cell r="Y347">
            <v>130</v>
          </cell>
        </row>
        <row r="348">
          <cell r="E348" t="str">
            <v>(0.5+25+0.5+25+0.5+3+2)x2</v>
          </cell>
          <cell r="X348" t="str">
            <v>=</v>
          </cell>
          <cell r="Y348">
            <v>113</v>
          </cell>
        </row>
        <row r="349">
          <cell r="E349" t="str">
            <v>(0.5+5+0.5+0.4↑+5.5↑+0.5+16.5+0.5+8+0.5+12+0.5)x8</v>
          </cell>
          <cell r="X349" t="str">
            <v>=</v>
          </cell>
          <cell r="Y349">
            <v>403.2</v>
          </cell>
        </row>
        <row r="350">
          <cell r="E350" t="str">
            <v>(0.5+3+0.5+0.4↑+5.5↑+0.5+7.5+0.5+17+0.5)x8</v>
          </cell>
          <cell r="X350" t="str">
            <v>=</v>
          </cell>
          <cell r="Y350">
            <v>287.2</v>
          </cell>
        </row>
        <row r="351">
          <cell r="E351" t="str">
            <v>(0.5+9+0.5+10+0.5+5+0.5+5.5↓+11+15)x16</v>
          </cell>
          <cell r="X351" t="str">
            <v>=</v>
          </cell>
          <cell r="Y351">
            <v>920</v>
          </cell>
        </row>
        <row r="353">
          <cell r="A353" t="str">
            <v xml:space="preserve"> 전원선 신설 CV 2C/5.5㎟</v>
          </cell>
          <cell r="B353" t="str">
            <v xml:space="preserve"> 전원선 신설</v>
          </cell>
          <cell r="C353" t="str">
            <v xml:space="preserve"> CV 2C/5.5㎟</v>
          </cell>
          <cell r="D353" t="str">
            <v>m</v>
          </cell>
          <cell r="E353" t="str">
            <v xml:space="preserve"> [ 역무실 - 승강장 상선 M,C ]</v>
          </cell>
          <cell r="Z353">
            <v>1958.8</v>
          </cell>
        </row>
        <row r="354">
          <cell r="A354" t="str">
            <v/>
          </cell>
          <cell r="E354" t="str">
            <v>가설역사 :</v>
          </cell>
          <cell r="F354" t="str">
            <v>(1.5 + 3 + 0.5 + 6.5 + 0.5 + 16.5 + 0.5 + 1.5 + 4.5 + 0.4 + 3 + 0.5) x 2</v>
          </cell>
        </row>
        <row r="355">
          <cell r="F355" t="str">
            <v>Ca 1:</v>
          </cell>
          <cell r="G355" t="str">
            <v>(0.5 + 12 + 0.3 + 2 + 2) x 2</v>
          </cell>
        </row>
        <row r="356">
          <cell r="F356" t="str">
            <v>(30 + 0.5 + 30 + 0.5 + 30 + 0.5 + 30 + 0.5 + 30 + 0.5 + 30 +  0.5 + 30 +  0.5) x 2</v>
          </cell>
        </row>
        <row r="357">
          <cell r="F357" t="str">
            <v>Ca 2:</v>
          </cell>
          <cell r="G357" t="str">
            <v>11 +  0.3 + 2 + 2</v>
          </cell>
        </row>
        <row r="358">
          <cell r="A358" t="str">
            <v/>
          </cell>
          <cell r="F358" t="str">
            <v>Mo</v>
          </cell>
          <cell r="G358" t="str">
            <v>4 + 0.3 + 2 + 2</v>
          </cell>
          <cell r="X358" t="str">
            <v>=</v>
          </cell>
          <cell r="Y358">
            <v>562</v>
          </cell>
        </row>
        <row r="359">
          <cell r="A359" t="str">
            <v/>
          </cell>
          <cell r="E359" t="str">
            <v xml:space="preserve"> [ 역무실 - 승강장 하선 M,C ]</v>
          </cell>
        </row>
        <row r="360">
          <cell r="A360" t="str">
            <v/>
          </cell>
          <cell r="E360" t="str">
            <v>가설역사 :</v>
          </cell>
          <cell r="F360" t="str">
            <v>(1.5 + 3 + 0.5 + 6.5 + 0.5 +  1.5 + 4.5 + 0.4 + 3 + 0.5) x 2</v>
          </cell>
        </row>
        <row r="361">
          <cell r="F361" t="str">
            <v>Ca 1:</v>
          </cell>
          <cell r="G361" t="str">
            <v>(11 + 0.3 + 2 + 2) x 2 + 0.5 + 30 + 0.5 + 30 + 0.5 + 30 + 0.5 + 30 + 0.5</v>
          </cell>
        </row>
        <row r="362">
          <cell r="G362" t="str">
            <v>30 + 0.5 + 30 + 0.5 + 30 + 0.5 + 12 +  0.3 + 2 + 2</v>
          </cell>
        </row>
        <row r="363">
          <cell r="A363" t="str">
            <v/>
          </cell>
          <cell r="F363" t="str">
            <v>Mo</v>
          </cell>
          <cell r="G363" t="str">
            <v>0.5 + 17 + 0.3 + 2 + 2</v>
          </cell>
          <cell r="X363" t="str">
            <v>=</v>
          </cell>
          <cell r="Y363">
            <v>326.5</v>
          </cell>
        </row>
        <row r="364">
          <cell r="A364" t="str">
            <v/>
          </cell>
          <cell r="E364" t="str">
            <v>[역무실 → CAMERA, VIDEO PHONE]</v>
          </cell>
        </row>
        <row r="365">
          <cell r="A365" t="str">
            <v/>
          </cell>
          <cell r="E365" t="str">
            <v>(15+6+5.5↑+0.5+20.5+0.5)x4+CAMERA:0.5+4+0.3+2</v>
          </cell>
          <cell r="Y365">
            <v>198.8</v>
          </cell>
        </row>
        <row r="366">
          <cell r="E366" t="str">
            <v>V.P:0.5+6+0.5+25+4.5↓+0.3+V.P(2층):(0.5+9+0.5)x2</v>
          </cell>
          <cell r="Y366">
            <v>56.8</v>
          </cell>
        </row>
        <row r="367">
          <cell r="E367" t="str">
            <v>3+4.5↓+0.3+V.P(1층):0.5+5.5↓+0.4↓+0.5+4+7↓+0.3</v>
          </cell>
          <cell r="Y367">
            <v>26</v>
          </cell>
        </row>
        <row r="368">
          <cell r="E368" t="str">
            <v>(15+10+5.5↑+0.5+6+0.5+10+0.5+9+0.5)x7+(0.5+17.5+0.5)x3</v>
          </cell>
          <cell r="Y368">
            <v>458</v>
          </cell>
        </row>
        <row r="369">
          <cell r="E369" t="str">
            <v>CAMERA:(0.5+1+0.3+2)x3+V.P:(0.5+7.5+0.5)x2+1+4.5↓+0.3</v>
          </cell>
          <cell r="Y369">
            <v>34.200000000000003</v>
          </cell>
        </row>
        <row r="370">
          <cell r="E370" t="str">
            <v>V.P:0.5+5.5↓+0.4↓+0.5+1+7↓+0.3</v>
          </cell>
          <cell r="Y370">
            <v>15.2</v>
          </cell>
        </row>
        <row r="371">
          <cell r="E371" t="str">
            <v>CAMERA:0.5+12+(0.5+7.5+0.3+2)x2+8+(0.5+11+0.3+2)x2</v>
          </cell>
          <cell r="Y371">
            <v>68.7</v>
          </cell>
        </row>
        <row r="372">
          <cell r="E372" t="str">
            <v>17+0.5+8.5+0.5+8.5+0.5+4+0.3+2+V.P:(0.5+12+0.5+8)x3</v>
          </cell>
          <cell r="Y372">
            <v>104.8</v>
          </cell>
        </row>
        <row r="373">
          <cell r="E373" t="str">
            <v>(0.5+17+0.5)x3+(0.5+8.5+0.5+8.5+0.5+8+4.5↓+0.3)</v>
          </cell>
          <cell r="Y373">
            <v>85.3</v>
          </cell>
        </row>
        <row r="374">
          <cell r="E374" t="str">
            <v>(0.5+1+4.5+0.3)+(0.5+5.5+1.4+0.5+1+7+0.3)</v>
          </cell>
          <cell r="Y374">
            <v>22.5</v>
          </cell>
        </row>
        <row r="376">
          <cell r="A376" t="str">
            <v xml:space="preserve"> 접지선 신설 GV 5.5㎟</v>
          </cell>
          <cell r="B376" t="str">
            <v xml:space="preserve"> 접지선 신설</v>
          </cell>
          <cell r="C376" t="str">
            <v xml:space="preserve"> GV 5.5㎟</v>
          </cell>
          <cell r="D376" t="str">
            <v>m</v>
          </cell>
          <cell r="E376" t="str">
            <v xml:space="preserve"> [ 역무실 - 승강장 상선 M,C ]</v>
          </cell>
          <cell r="Z376">
            <v>1958.8</v>
          </cell>
        </row>
        <row r="377">
          <cell r="E377" t="str">
            <v>가설역사 :</v>
          </cell>
          <cell r="F377" t="str">
            <v>(1.5 + 3 + 0.5 + 6.5 + 0.5 + 16.5 + 0.5 + 1.5 + 4.5 + 0.4 + 3 + 0.5) x 2</v>
          </cell>
        </row>
        <row r="378">
          <cell r="F378" t="str">
            <v>Ca 1:</v>
          </cell>
          <cell r="G378" t="str">
            <v>(0.5 + 12 + 0.3 + 2 + 2) x 2</v>
          </cell>
        </row>
        <row r="379">
          <cell r="F379" t="str">
            <v>(30 + 0.5 + 30 + 0.5 + 30 + 0.5 + 30 + 0.5 + 30 + 0.5 + 30 +  0.5 + 30 +  0.5) x 2</v>
          </cell>
        </row>
        <row r="380">
          <cell r="F380" t="str">
            <v>Ca 2:</v>
          </cell>
          <cell r="G380" t="str">
            <v>11 +  0.3 + 2 + 2</v>
          </cell>
        </row>
        <row r="381">
          <cell r="F381" t="str">
            <v>Mo</v>
          </cell>
          <cell r="G381" t="str">
            <v>4 + 0.3 + 2 + 2</v>
          </cell>
          <cell r="X381" t="str">
            <v>=</v>
          </cell>
          <cell r="Y381">
            <v>562</v>
          </cell>
        </row>
        <row r="382">
          <cell r="E382" t="str">
            <v xml:space="preserve"> [ 역무실 - 승강장 하선 M,C ]</v>
          </cell>
        </row>
        <row r="383">
          <cell r="E383" t="str">
            <v>가설역사 :</v>
          </cell>
          <cell r="F383" t="str">
            <v>(1.5 + 3 + 0.5 + 6.5 + 0.5 +  1.5 + 4.5 + 0.4 + 3 + 0.5) x 2</v>
          </cell>
        </row>
        <row r="384">
          <cell r="F384" t="str">
            <v>Ca 1:</v>
          </cell>
          <cell r="G384" t="str">
            <v>(11 + 0.3 + 2 + 2) x 2 + 0.5 + 30 + 0.5 + 30 + 0.5 + 30 + 0.5 + 30 + 0.5</v>
          </cell>
        </row>
        <row r="385">
          <cell r="G385" t="str">
            <v>30 + 0.5 + 30 + 0.5 + 30 + 0.5 + 12 +  0.3 + 2 + 2</v>
          </cell>
        </row>
        <row r="386">
          <cell r="F386" t="str">
            <v>Mo</v>
          </cell>
          <cell r="G386" t="str">
            <v>0.5 + 17 + 0.3 + 2 + 2</v>
          </cell>
          <cell r="X386" t="str">
            <v>=</v>
          </cell>
          <cell r="Y386">
            <v>326.5</v>
          </cell>
        </row>
        <row r="387">
          <cell r="E387" t="str">
            <v>[역무실 → CAMERA, VIDEO PHONE]</v>
          </cell>
        </row>
        <row r="388">
          <cell r="E388" t="str">
            <v>(15+6+5.5↑+0.5+20.5+0.5)x4+CAMERA:0.5+4+0.3+2</v>
          </cell>
          <cell r="Y388">
            <v>198.8</v>
          </cell>
        </row>
        <row r="389">
          <cell r="E389" t="str">
            <v>V.P:0.5+6+0.5+25+4.5↓+0.3+V.P(2층):(0.5+9+0.5)x2</v>
          </cell>
          <cell r="Y389">
            <v>56.8</v>
          </cell>
        </row>
        <row r="390">
          <cell r="E390" t="str">
            <v>3+4.5↓+0.3+V.P(1층):0.5+5.5↓+0.4↓+0.5+4+7↓+0.3</v>
          </cell>
          <cell r="Y390">
            <v>26</v>
          </cell>
        </row>
        <row r="391">
          <cell r="E391" t="str">
            <v>(15+10+5.5↑+0.5+6+0.5+10+0.5+9+0.5)x7+(0.5+17.5+0.5)x3</v>
          </cell>
          <cell r="Y391">
            <v>458</v>
          </cell>
        </row>
        <row r="392">
          <cell r="E392" t="str">
            <v>CAMERA:(0.5+1+0.3+2)x3+V.P:(0.5+7.5+0.5)x2+1+4.5↓+0.3</v>
          </cell>
          <cell r="Y392">
            <v>34.200000000000003</v>
          </cell>
        </row>
        <row r="393">
          <cell r="E393" t="str">
            <v>V.P:0.5+5.5↓+0.4↓+0.5+1+7↓+0.3</v>
          </cell>
          <cell r="Y393">
            <v>15.2</v>
          </cell>
        </row>
        <row r="394">
          <cell r="E394" t="str">
            <v>CAMERA:0.5+12+(0.5+7.5+0.3+2)x2+8+(0.5+11+0.3+2)x2</v>
          </cell>
          <cell r="Y394">
            <v>68.7</v>
          </cell>
        </row>
        <row r="395">
          <cell r="E395" t="str">
            <v>17+0.5+8.5+0.5+8.5+0.5+4+0.3+2+V.P:(0.5+12+0.5+8)x3</v>
          </cell>
          <cell r="Y395">
            <v>104.8</v>
          </cell>
        </row>
        <row r="396">
          <cell r="E396" t="str">
            <v>(0.5+17+0.5)x3+(0.5+8.5+0.5+8.5+0.5+8+4.5↓+0.3)</v>
          </cell>
          <cell r="Y396">
            <v>85.3</v>
          </cell>
        </row>
        <row r="397">
          <cell r="E397" t="str">
            <v>(0.5+1+4.5+0.3)+(0.5+5.5+1.4+0.5+1+7+0.3)</v>
          </cell>
          <cell r="Y397">
            <v>22.5</v>
          </cell>
        </row>
        <row r="399">
          <cell r="A399" t="str">
            <v xml:space="preserve"> 후강전선관 신설 16C (천장노출)</v>
          </cell>
          <cell r="B399" t="str">
            <v xml:space="preserve"> 후강전선관 신설</v>
          </cell>
          <cell r="C399" t="str">
            <v xml:space="preserve"> 16C (천장노출)</v>
          </cell>
          <cell r="D399" t="str">
            <v>m</v>
          </cell>
          <cell r="E399" t="str">
            <v>가설역사 :</v>
          </cell>
          <cell r="F399" t="str">
            <v>11 + 12 + 30 x 7 + 11 + 12 + 30 x 7</v>
          </cell>
          <cell r="X399" t="str">
            <v>=</v>
          </cell>
          <cell r="Y399">
            <v>466</v>
          </cell>
          <cell r="Z399">
            <v>540.5</v>
          </cell>
        </row>
        <row r="400">
          <cell r="A400" t="str">
            <v/>
          </cell>
          <cell r="E400" t="str">
            <v>6+25+4+3=4+7.5+11+1+4+8+1</v>
          </cell>
          <cell r="X400" t="str">
            <v>=</v>
          </cell>
          <cell r="Y400">
            <v>74.5</v>
          </cell>
        </row>
        <row r="401">
          <cell r="A401" t="str">
            <v xml:space="preserve"> 후강전선관 신설 16C (벽매입)</v>
          </cell>
          <cell r="B401" t="str">
            <v xml:space="preserve"> 후강전선관 신설</v>
          </cell>
          <cell r="C401" t="str">
            <v xml:space="preserve"> 16C (벽매입)</v>
          </cell>
          <cell r="D401" t="str">
            <v>m</v>
          </cell>
          <cell r="E401" t="str">
            <v>4.5+4.5+5.5+0.4+7+4.5+4.5+5.5+0.4+7</v>
          </cell>
          <cell r="X401" t="str">
            <v>=</v>
          </cell>
          <cell r="Y401">
            <v>43.8</v>
          </cell>
          <cell r="Z401">
            <v>43.8</v>
          </cell>
        </row>
        <row r="402">
          <cell r="A402" t="str">
            <v xml:space="preserve"> 후강전선관 신설 16C (철강조)</v>
          </cell>
          <cell r="B402" t="str">
            <v xml:space="preserve"> 후강전선관 신설</v>
          </cell>
          <cell r="C402" t="str">
            <v xml:space="preserve"> 16C (철강조)</v>
          </cell>
          <cell r="D402" t="str">
            <v>m</v>
          </cell>
          <cell r="E402">
            <v>5</v>
          </cell>
          <cell r="X402" t="str">
            <v>=</v>
          </cell>
          <cell r="Y402">
            <v>5</v>
          </cell>
          <cell r="Z402">
            <v>5</v>
          </cell>
        </row>
        <row r="403">
          <cell r="A403" t="str">
            <v xml:space="preserve"> 후강전선관 신설 16C (매입)</v>
          </cell>
          <cell r="B403" t="str">
            <v xml:space="preserve"> 후강전선관 신설</v>
          </cell>
          <cell r="C403" t="str">
            <v xml:space="preserve"> 16C (매입)</v>
          </cell>
          <cell r="D403" t="str">
            <v>m</v>
          </cell>
          <cell r="X403" t="str">
            <v>=</v>
          </cell>
        </row>
        <row r="404">
          <cell r="A404" t="str">
            <v/>
          </cell>
        </row>
        <row r="405">
          <cell r="A405" t="str">
            <v xml:space="preserve"> 후강전선관 신설 22C (천장노출)</v>
          </cell>
          <cell r="B405" t="str">
            <v xml:space="preserve"> 후강전선관 신설</v>
          </cell>
          <cell r="C405" t="str">
            <v xml:space="preserve"> 22C (천장노출)</v>
          </cell>
          <cell r="D405" t="str">
            <v>m</v>
          </cell>
          <cell r="E405" t="str">
            <v>가설역사 :</v>
          </cell>
          <cell r="F405" t="str">
            <v>4 x 2 + 11 + 17 x 2 + 30 x 7 + 12</v>
          </cell>
          <cell r="X405" t="str">
            <v>=</v>
          </cell>
          <cell r="Y405">
            <v>286</v>
          </cell>
          <cell r="Z405">
            <v>1215</v>
          </cell>
        </row>
        <row r="406">
          <cell r="A406" t="str">
            <v/>
          </cell>
          <cell r="E406" t="str">
            <v>20.5+6+25+4+9+3+4+6x3+10x3+9x3+17.5+7.5x2+1+1+1+1</v>
          </cell>
        </row>
        <row r="407">
          <cell r="E407" t="str">
            <v>12x2+17+1+8.5+8.5+4+8+3+20+25+27+32+30+30+30+16+5+5+4</v>
          </cell>
        </row>
        <row r="408">
          <cell r="E408" t="str">
            <v>2+3+25+25+27+32+30+30+30+9+6</v>
          </cell>
        </row>
        <row r="409">
          <cell r="E409" t="str">
            <v>(5+3+16.5+8+12)x2+(7.5+17)x2+(9+10+5)x4</v>
          </cell>
          <cell r="X409" t="str">
            <v>=</v>
          </cell>
          <cell r="Y409">
            <v>929</v>
          </cell>
        </row>
        <row r="410">
          <cell r="A410" t="str">
            <v xml:space="preserve"> 후강전선관 신설 22C (벽매입)</v>
          </cell>
          <cell r="B410" t="str">
            <v xml:space="preserve"> 후강전선관 신설</v>
          </cell>
          <cell r="C410" t="str">
            <v xml:space="preserve"> 22C (벽매입)</v>
          </cell>
          <cell r="D410" t="str">
            <v>m</v>
          </cell>
          <cell r="E410" t="str">
            <v>4.5↓+4.5↓+5.5↓+0.4↓+7↓+(5.5↑+0.4↑)x2+7 x2</v>
          </cell>
          <cell r="X410" t="str">
            <v>=</v>
          </cell>
          <cell r="Y410">
            <v>47.7</v>
          </cell>
          <cell r="Z410">
            <v>116.2</v>
          </cell>
        </row>
        <row r="411">
          <cell r="A411" t="str">
            <v/>
          </cell>
          <cell r="E411" t="str">
            <v>4.5↓+4.5↓+5.5↓+0.4↓+1+7↓+(0.4↑+5.5↑)x4+5.5↓x4</v>
          </cell>
          <cell r="X411" t="str">
            <v>=</v>
          </cell>
          <cell r="Y411">
            <v>68.5</v>
          </cell>
        </row>
        <row r="412">
          <cell r="A412" t="str">
            <v xml:space="preserve"> 후강전선관 신설 22C (철강조)</v>
          </cell>
          <cell r="B412" t="str">
            <v xml:space="preserve"> 후강전선관 신설</v>
          </cell>
          <cell r="C412" t="str">
            <v xml:space="preserve"> 22C (철강조)</v>
          </cell>
          <cell r="D412" t="str">
            <v>m</v>
          </cell>
          <cell r="E412">
            <v>5</v>
          </cell>
          <cell r="X412" t="str">
            <v>=</v>
          </cell>
          <cell r="Y412">
            <v>5</v>
          </cell>
          <cell r="Z412">
            <v>5</v>
          </cell>
        </row>
        <row r="413">
          <cell r="A413" t="str">
            <v xml:space="preserve"> 후강전선관 신설 22C (매입)</v>
          </cell>
          <cell r="B413" t="str">
            <v xml:space="preserve"> 후강전선관 신설</v>
          </cell>
          <cell r="C413" t="str">
            <v xml:space="preserve"> 22C (매입)</v>
          </cell>
          <cell r="D413" t="str">
            <v>m</v>
          </cell>
          <cell r="E413" t="str">
            <v>10+10x3+11x4</v>
          </cell>
          <cell r="X413" t="str">
            <v>=</v>
          </cell>
          <cell r="Y413">
            <v>84</v>
          </cell>
          <cell r="Z413">
            <v>84</v>
          </cell>
        </row>
        <row r="414">
          <cell r="A414" t="str">
            <v/>
          </cell>
        </row>
        <row r="415">
          <cell r="A415" t="str">
            <v xml:space="preserve"> 후강전선관 신설 28C (천장노출)</v>
          </cell>
          <cell r="B415" t="str">
            <v xml:space="preserve"> 후강전선관 신설</v>
          </cell>
          <cell r="C415" t="str">
            <v xml:space="preserve"> 28C (천장노출)</v>
          </cell>
          <cell r="D415" t="str">
            <v>m</v>
          </cell>
          <cell r="E415" t="str">
            <v>17.5 + 8</v>
          </cell>
          <cell r="X415" t="str">
            <v>=</v>
          </cell>
          <cell r="Y415">
            <v>25.5</v>
          </cell>
          <cell r="Z415">
            <v>25.5</v>
          </cell>
        </row>
        <row r="416">
          <cell r="A416" t="str">
            <v xml:space="preserve"> 후강전선관 신설 28C (벽매입)</v>
          </cell>
          <cell r="B416" t="str">
            <v xml:space="preserve"> 후강전선관 신설</v>
          </cell>
          <cell r="C416" t="str">
            <v xml:space="preserve"> 28C (벽매입)</v>
          </cell>
          <cell r="D416" t="str">
            <v>m</v>
          </cell>
          <cell r="E416" t="str">
            <v>5.5 x 3</v>
          </cell>
          <cell r="X416" t="str">
            <v>=</v>
          </cell>
          <cell r="Y416">
            <v>16.5</v>
          </cell>
          <cell r="Z416">
            <v>16.5</v>
          </cell>
        </row>
        <row r="417">
          <cell r="A417" t="str">
            <v xml:space="preserve"> 후강전선관 신설 28C (철강조)</v>
          </cell>
          <cell r="B417" t="str">
            <v xml:space="preserve"> 후강전선관 신설</v>
          </cell>
          <cell r="C417" t="str">
            <v xml:space="preserve"> 28C (철강조)</v>
          </cell>
          <cell r="D417" t="str">
            <v>m</v>
          </cell>
          <cell r="E417">
            <v>10</v>
          </cell>
          <cell r="X417" t="str">
            <v>=</v>
          </cell>
          <cell r="Y417">
            <v>10</v>
          </cell>
          <cell r="Z417">
            <v>10</v>
          </cell>
        </row>
        <row r="418">
          <cell r="A418" t="str">
            <v xml:space="preserve"> 후강전선관 신설 28C (매입)</v>
          </cell>
          <cell r="B418" t="str">
            <v xml:space="preserve"> 후강전선관 신설</v>
          </cell>
          <cell r="C418" t="str">
            <v xml:space="preserve"> 28C (매입)</v>
          </cell>
          <cell r="D418" t="str">
            <v>m</v>
          </cell>
          <cell r="E418" t="str">
            <v>6 x 3</v>
          </cell>
          <cell r="X418" t="str">
            <v>=</v>
          </cell>
          <cell r="Y418">
            <v>18</v>
          </cell>
          <cell r="Z418">
            <v>18</v>
          </cell>
        </row>
        <row r="419">
          <cell r="A419" t="str">
            <v/>
          </cell>
        </row>
        <row r="420">
          <cell r="A420" t="str">
            <v xml:space="preserve"> 후강전선관 신설 36C (천장노출)</v>
          </cell>
          <cell r="B420" t="str">
            <v xml:space="preserve"> 후강전선관 신설</v>
          </cell>
          <cell r="C420" t="str">
            <v xml:space="preserve"> 36C (천장노출)</v>
          </cell>
          <cell r="D420" t="str">
            <v>m</v>
          </cell>
          <cell r="X420" t="str">
            <v>=</v>
          </cell>
          <cell r="Z420">
            <v>0</v>
          </cell>
        </row>
        <row r="421">
          <cell r="A421" t="str">
            <v xml:space="preserve"> 후강전선관 신설 36C (벽매입)</v>
          </cell>
          <cell r="B421" t="str">
            <v xml:space="preserve"> 후강전선관 신설</v>
          </cell>
          <cell r="C421" t="str">
            <v xml:space="preserve"> 36C (벽매입)</v>
          </cell>
          <cell r="D421" t="str">
            <v>m</v>
          </cell>
          <cell r="E421" t="str">
            <v>6x2+10x3</v>
          </cell>
          <cell r="X421" t="str">
            <v>=</v>
          </cell>
          <cell r="Y421">
            <v>42</v>
          </cell>
          <cell r="Z421">
            <v>42</v>
          </cell>
        </row>
        <row r="422">
          <cell r="A422" t="str">
            <v/>
          </cell>
        </row>
        <row r="423">
          <cell r="A423" t="str">
            <v xml:space="preserve"> 후강전선관 신설 42C (천장노출)</v>
          </cell>
          <cell r="B423" t="str">
            <v xml:space="preserve"> 후강전선관 신설</v>
          </cell>
          <cell r="C423" t="str">
            <v xml:space="preserve"> 42C (천장노출)</v>
          </cell>
          <cell r="D423" t="str">
            <v>m</v>
          </cell>
          <cell r="E423" t="str">
            <v>가설역사 :</v>
          </cell>
          <cell r="F423" t="str">
            <v>6.5 x 2 + 1.5 + 16.5 + 1.5 +  30  x 7 + 12 + 6 x 2</v>
          </cell>
          <cell r="X423" t="str">
            <v>=</v>
          </cell>
          <cell r="Y423">
            <v>266.5</v>
          </cell>
          <cell r="Z423">
            <v>311</v>
          </cell>
        </row>
        <row r="424">
          <cell r="E424" t="str">
            <v>9+7.5+11+8.5+8.5</v>
          </cell>
          <cell r="X424" t="str">
            <v>=</v>
          </cell>
          <cell r="Y424">
            <v>44.5</v>
          </cell>
        </row>
        <row r="425">
          <cell r="A425" t="str">
            <v xml:space="preserve"> 후강전선관 신설 42C (벽매입)</v>
          </cell>
          <cell r="B425" t="str">
            <v xml:space="preserve"> 후강전선관 신설</v>
          </cell>
          <cell r="C425" t="str">
            <v xml:space="preserve"> 42C (벽매입)</v>
          </cell>
          <cell r="D425" t="str">
            <v>m</v>
          </cell>
          <cell r="E425" t="str">
            <v>가설역사 :</v>
          </cell>
          <cell r="F425" t="str">
            <v>3 x 2 + 4.5 + 4.5 + 0.4 x 2</v>
          </cell>
          <cell r="X425" t="str">
            <v>=</v>
          </cell>
          <cell r="Y425">
            <v>15.8</v>
          </cell>
          <cell r="Z425">
            <v>15.8</v>
          </cell>
        </row>
        <row r="426">
          <cell r="A426" t="str">
            <v/>
          </cell>
        </row>
        <row r="427">
          <cell r="A427" t="str">
            <v xml:space="preserve"> 후강전선관 신설 54C (천정노출)</v>
          </cell>
          <cell r="B427" t="str">
            <v xml:space="preserve"> 후강전선관 신설</v>
          </cell>
          <cell r="C427" t="str">
            <v xml:space="preserve"> 54C (천정노출)</v>
          </cell>
          <cell r="D427" t="str">
            <v>m</v>
          </cell>
          <cell r="E427" t="str">
            <v>20.5+6+10+9+12+8+17</v>
          </cell>
          <cell r="X427" t="str">
            <v>=</v>
          </cell>
          <cell r="Y427">
            <v>82.5</v>
          </cell>
          <cell r="Z427">
            <v>82.5</v>
          </cell>
        </row>
        <row r="428">
          <cell r="A428" t="str">
            <v xml:space="preserve"> 후강전선관 신설 54C (벽매입)</v>
          </cell>
          <cell r="B428" t="str">
            <v xml:space="preserve"> 후강전선관 신설</v>
          </cell>
          <cell r="C428" t="str">
            <v xml:space="preserve"> 54C (벽매입)</v>
          </cell>
          <cell r="D428" t="str">
            <v>m</v>
          </cell>
          <cell r="E428" t="str">
            <v>5.5x2</v>
          </cell>
          <cell r="X428" t="str">
            <v>=</v>
          </cell>
          <cell r="Y428">
            <v>11</v>
          </cell>
          <cell r="Z428">
            <v>11</v>
          </cell>
        </row>
        <row r="429">
          <cell r="A429" t="str">
            <v/>
          </cell>
        </row>
        <row r="430">
          <cell r="A430" t="str">
            <v xml:space="preserve"> 후렉시블전선관 신설 16C (천장노출)</v>
          </cell>
          <cell r="B430" t="str">
            <v xml:space="preserve"> 후렉시블전선관 신설</v>
          </cell>
          <cell r="C430" t="str">
            <v xml:space="preserve"> 16C (천장노출)</v>
          </cell>
          <cell r="D430" t="str">
            <v>m</v>
          </cell>
          <cell r="E430" t="str">
            <v>가설역사 :</v>
          </cell>
          <cell r="F430" t="str">
            <v>2 x 4</v>
          </cell>
          <cell r="X430" t="str">
            <v>=</v>
          </cell>
          <cell r="Y430">
            <v>8</v>
          </cell>
          <cell r="Z430">
            <v>8</v>
          </cell>
        </row>
        <row r="431">
          <cell r="A431" t="str">
            <v xml:space="preserve"> 후렉시블전선관 신설 16C (철강조)</v>
          </cell>
          <cell r="B431" t="str">
            <v xml:space="preserve"> 후렉시블전선관 신설</v>
          </cell>
          <cell r="C431" t="str">
            <v xml:space="preserve"> 16C (철강조)</v>
          </cell>
          <cell r="D431" t="str">
            <v>m</v>
          </cell>
          <cell r="X431" t="str">
            <v>=</v>
          </cell>
          <cell r="Z431">
            <v>0</v>
          </cell>
        </row>
        <row r="432">
          <cell r="A432" t="str">
            <v/>
          </cell>
        </row>
        <row r="433">
          <cell r="A433" t="str">
            <v xml:space="preserve"> 후렉시블전선관 신설 22C (철강조)</v>
          </cell>
          <cell r="B433" t="str">
            <v xml:space="preserve"> 후렉시블전선관 신설</v>
          </cell>
          <cell r="C433" t="str">
            <v xml:space="preserve"> 22C (철강조)</v>
          </cell>
          <cell r="D433" t="str">
            <v>m</v>
          </cell>
          <cell r="E433" t="str">
            <v>가설역사 :</v>
          </cell>
          <cell r="F433" t="str">
            <v>2 x 7</v>
          </cell>
          <cell r="X433" t="str">
            <v>=</v>
          </cell>
          <cell r="Y433">
            <v>14</v>
          </cell>
          <cell r="Z433">
            <v>14</v>
          </cell>
        </row>
        <row r="434">
          <cell r="A434" t="str">
            <v/>
          </cell>
        </row>
        <row r="435">
          <cell r="A435" t="str">
            <v xml:space="preserve"> 후렉시블전선관 신설 28C (철강조)</v>
          </cell>
          <cell r="B435" t="str">
            <v xml:space="preserve"> 후렉시블전선관 신설</v>
          </cell>
          <cell r="C435" t="str">
            <v xml:space="preserve"> 28C (철강조)</v>
          </cell>
          <cell r="D435" t="str">
            <v>m</v>
          </cell>
          <cell r="E435">
            <v>5</v>
          </cell>
          <cell r="F435">
            <v>5</v>
          </cell>
          <cell r="G435">
            <v>5</v>
          </cell>
          <cell r="H435">
            <v>5</v>
          </cell>
          <cell r="X435" t="str">
            <v>=</v>
          </cell>
          <cell r="Y435">
            <v>20</v>
          </cell>
          <cell r="Z435">
            <v>20</v>
          </cell>
        </row>
        <row r="436">
          <cell r="A436" t="str">
            <v/>
          </cell>
        </row>
        <row r="437">
          <cell r="A437" t="str">
            <v xml:space="preserve"> 노말밴드 28C</v>
          </cell>
          <cell r="B437" t="str">
            <v xml:space="preserve"> 노말밴드</v>
          </cell>
          <cell r="C437" t="str">
            <v xml:space="preserve"> 28C</v>
          </cell>
          <cell r="D437" t="str">
            <v>개</v>
          </cell>
          <cell r="E437">
            <v>3</v>
          </cell>
          <cell r="F437">
            <v>3</v>
          </cell>
          <cell r="X437" t="str">
            <v>=</v>
          </cell>
          <cell r="Y437">
            <v>6</v>
          </cell>
          <cell r="Z437">
            <v>6</v>
          </cell>
        </row>
        <row r="438">
          <cell r="A438" t="str">
            <v xml:space="preserve"> 노말밴드 42C</v>
          </cell>
          <cell r="B438" t="str">
            <v xml:space="preserve"> 노말밴드</v>
          </cell>
          <cell r="C438" t="str">
            <v xml:space="preserve"> 42C</v>
          </cell>
          <cell r="D438" t="str">
            <v>개</v>
          </cell>
          <cell r="E438">
            <v>6</v>
          </cell>
          <cell r="F438">
            <v>5</v>
          </cell>
          <cell r="X438" t="str">
            <v>=</v>
          </cell>
          <cell r="Y438">
            <v>11</v>
          </cell>
          <cell r="Z438">
            <v>11</v>
          </cell>
        </row>
        <row r="439">
          <cell r="A439" t="str">
            <v xml:space="preserve"> 노말밴드 54C</v>
          </cell>
          <cell r="B439" t="str">
            <v xml:space="preserve"> 노말밴드</v>
          </cell>
          <cell r="C439" t="str">
            <v xml:space="preserve"> 54C</v>
          </cell>
          <cell r="D439" t="str">
            <v>개</v>
          </cell>
          <cell r="F439">
            <v>5</v>
          </cell>
          <cell r="X439" t="str">
            <v>=</v>
          </cell>
          <cell r="Y439">
            <v>5</v>
          </cell>
          <cell r="Z439">
            <v>5</v>
          </cell>
        </row>
        <row r="440">
          <cell r="A440" t="str">
            <v/>
          </cell>
        </row>
        <row r="441">
          <cell r="A441" t="str">
            <v xml:space="preserve"> 풀박스 설치 100×100×100</v>
          </cell>
          <cell r="B441" t="str">
            <v xml:space="preserve"> 풀박스 설치</v>
          </cell>
          <cell r="C441" t="str">
            <v xml:space="preserve"> 100×100×100</v>
          </cell>
          <cell r="D441" t="str">
            <v>개</v>
          </cell>
          <cell r="E441">
            <v>1</v>
          </cell>
          <cell r="X441" t="str">
            <v>=</v>
          </cell>
          <cell r="Y441">
            <v>1</v>
          </cell>
          <cell r="Z441">
            <v>1</v>
          </cell>
        </row>
        <row r="442">
          <cell r="A442" t="str">
            <v xml:space="preserve"> 풀박스 설치 200×200×100</v>
          </cell>
          <cell r="B442" t="str">
            <v xml:space="preserve"> 풀박스 설치</v>
          </cell>
          <cell r="C442" t="str">
            <v xml:space="preserve"> 200×200×100</v>
          </cell>
          <cell r="D442" t="str">
            <v>개</v>
          </cell>
          <cell r="E442">
            <v>1</v>
          </cell>
          <cell r="F442">
            <v>4</v>
          </cell>
          <cell r="G442">
            <v>4</v>
          </cell>
          <cell r="H442">
            <v>3</v>
          </cell>
          <cell r="X442" t="str">
            <v>=</v>
          </cell>
          <cell r="Y442">
            <v>12</v>
          </cell>
          <cell r="Z442">
            <v>12</v>
          </cell>
        </row>
        <row r="443">
          <cell r="A443" t="str">
            <v xml:space="preserve"> 풀박스 설치 300×300×200</v>
          </cell>
          <cell r="B443" t="str">
            <v xml:space="preserve"> 풀박스 설치</v>
          </cell>
          <cell r="C443" t="str">
            <v xml:space="preserve"> 300×300×200</v>
          </cell>
          <cell r="D443" t="str">
            <v>개</v>
          </cell>
          <cell r="E443">
            <v>1</v>
          </cell>
          <cell r="F443">
            <v>2</v>
          </cell>
          <cell r="X443" t="str">
            <v>=</v>
          </cell>
          <cell r="Y443">
            <v>3</v>
          </cell>
          <cell r="Z443">
            <v>3</v>
          </cell>
        </row>
        <row r="444">
          <cell r="A444" t="str">
            <v xml:space="preserve"> 풀박스 설치 400×400×200</v>
          </cell>
          <cell r="B444" t="str">
            <v xml:space="preserve"> 풀박스 설치</v>
          </cell>
          <cell r="C444" t="str">
            <v xml:space="preserve"> 400×400×200</v>
          </cell>
          <cell r="D444" t="str">
            <v>개</v>
          </cell>
          <cell r="F444">
            <v>4</v>
          </cell>
          <cell r="G444">
            <v>2</v>
          </cell>
          <cell r="H444">
            <v>2</v>
          </cell>
          <cell r="I444">
            <v>2</v>
          </cell>
          <cell r="J444">
            <v>1</v>
          </cell>
          <cell r="X444" t="str">
            <v>=</v>
          </cell>
          <cell r="Y444">
            <v>11</v>
          </cell>
          <cell r="Z444">
            <v>11</v>
          </cell>
        </row>
        <row r="445">
          <cell r="A445" t="str">
            <v/>
          </cell>
        </row>
        <row r="446">
          <cell r="A446" t="str">
            <v xml:space="preserve"> OUTLET BOX 설치 중형 4각 54mm</v>
          </cell>
          <cell r="B446" t="str">
            <v xml:space="preserve"> OUTLET BOX 설치</v>
          </cell>
          <cell r="C446" t="str">
            <v xml:space="preserve"> 중형 4각 54mm</v>
          </cell>
          <cell r="D446" t="str">
            <v>개</v>
          </cell>
          <cell r="E446">
            <v>6</v>
          </cell>
          <cell r="X446" t="str">
            <v>=</v>
          </cell>
          <cell r="Y446">
            <v>6</v>
          </cell>
          <cell r="Z446">
            <v>6</v>
          </cell>
        </row>
        <row r="447">
          <cell r="A447" t="str">
            <v/>
          </cell>
        </row>
        <row r="448">
          <cell r="A448" t="str">
            <v xml:space="preserve"> C형 찬넬 설치 60×30×10×2.3t</v>
          </cell>
          <cell r="B448" t="str">
            <v xml:space="preserve"> C형 찬넬 설치</v>
          </cell>
          <cell r="C448" t="str">
            <v xml:space="preserve"> 60×30×10×2.3t</v>
          </cell>
          <cell r="D448" t="str">
            <v>개</v>
          </cell>
          <cell r="E448" t="str">
            <v>가설역사 :</v>
          </cell>
          <cell r="F448" t="str">
            <v xml:space="preserve"> (466 + 286 + 266.5) ÷ 3 ÷ 1.5</v>
          </cell>
          <cell r="X448" t="str">
            <v>=</v>
          </cell>
          <cell r="Y448">
            <v>226.3</v>
          </cell>
          <cell r="Z448">
            <v>488</v>
          </cell>
        </row>
        <row r="449">
          <cell r="F449" t="str">
            <v xml:space="preserve"> (74.5 + 949 + 25.5 + 44.5 + 82.5) ÷ 3 ÷ 1.5</v>
          </cell>
          <cell r="X449" t="str">
            <v>=</v>
          </cell>
          <cell r="Y449">
            <v>261.3</v>
          </cell>
        </row>
        <row r="450">
          <cell r="A450" t="str">
            <v/>
          </cell>
        </row>
        <row r="451">
          <cell r="A451" t="str">
            <v xml:space="preserve"> 클램프 16C</v>
          </cell>
          <cell r="B451" t="str">
            <v xml:space="preserve"> 클램프</v>
          </cell>
          <cell r="C451" t="str">
            <v xml:space="preserve"> 16C</v>
          </cell>
          <cell r="D451" t="str">
            <v>개</v>
          </cell>
          <cell r="E451" t="str">
            <v>가설역사 :</v>
          </cell>
          <cell r="F451" t="str">
            <v xml:space="preserve"> 466 ÷ 1.5</v>
          </cell>
          <cell r="J451" t="str">
            <v>74.5 ÷ 1.5</v>
          </cell>
          <cell r="X451" t="str">
            <v>=</v>
          </cell>
          <cell r="Y451">
            <v>360.3</v>
          </cell>
          <cell r="Z451">
            <v>361</v>
          </cell>
        </row>
        <row r="452">
          <cell r="A452" t="str">
            <v xml:space="preserve"> 클램프 22C</v>
          </cell>
          <cell r="B452" t="str">
            <v xml:space="preserve"> 클램프</v>
          </cell>
          <cell r="C452" t="str">
            <v xml:space="preserve"> 22C</v>
          </cell>
          <cell r="D452" t="str">
            <v>개</v>
          </cell>
          <cell r="E452" t="str">
            <v>가설역사 :</v>
          </cell>
          <cell r="F452" t="str">
            <v xml:space="preserve"> 286 ÷ 1.5</v>
          </cell>
          <cell r="J452" t="str">
            <v>949 ÷ 1.5</v>
          </cell>
          <cell r="X452" t="str">
            <v>=</v>
          </cell>
          <cell r="Y452">
            <v>823.3</v>
          </cell>
          <cell r="Z452">
            <v>824</v>
          </cell>
        </row>
        <row r="453">
          <cell r="A453" t="str">
            <v xml:space="preserve"> 클램프 28C</v>
          </cell>
          <cell r="B453" t="str">
            <v xml:space="preserve"> 클램프</v>
          </cell>
          <cell r="C453" t="str">
            <v xml:space="preserve"> 28C</v>
          </cell>
          <cell r="D453" t="str">
            <v>개</v>
          </cell>
          <cell r="J453" t="str">
            <v>25.5 ÷ 1.5</v>
          </cell>
          <cell r="X453" t="str">
            <v>=</v>
          </cell>
          <cell r="Y453">
            <v>17</v>
          </cell>
          <cell r="Z453">
            <v>17</v>
          </cell>
        </row>
        <row r="454">
          <cell r="A454" t="str">
            <v xml:space="preserve"> 클램프 36C</v>
          </cell>
          <cell r="B454" t="str">
            <v xml:space="preserve"> 클램프</v>
          </cell>
          <cell r="C454" t="str">
            <v xml:space="preserve"> 36C</v>
          </cell>
          <cell r="D454" t="str">
            <v>개</v>
          </cell>
          <cell r="X454" t="str">
            <v>=</v>
          </cell>
          <cell r="Z454">
            <v>0</v>
          </cell>
        </row>
        <row r="455">
          <cell r="A455" t="str">
            <v xml:space="preserve"> 클램프 42C</v>
          </cell>
          <cell r="B455" t="str">
            <v xml:space="preserve"> 클램프</v>
          </cell>
          <cell r="C455" t="str">
            <v xml:space="preserve"> 42C</v>
          </cell>
          <cell r="D455" t="str">
            <v>개</v>
          </cell>
          <cell r="E455" t="str">
            <v>가설역사 :</v>
          </cell>
          <cell r="F455" t="str">
            <v xml:space="preserve"> 266.5 ÷ 1.5</v>
          </cell>
          <cell r="J455" t="str">
            <v>44.5 ÷ 1.5</v>
          </cell>
          <cell r="X455" t="str">
            <v>=</v>
          </cell>
          <cell r="Y455">
            <v>207.3</v>
          </cell>
          <cell r="Z455">
            <v>208</v>
          </cell>
        </row>
        <row r="456">
          <cell r="A456" t="str">
            <v xml:space="preserve"> 클램프 54C</v>
          </cell>
          <cell r="B456" t="str">
            <v xml:space="preserve"> 클램프</v>
          </cell>
          <cell r="C456" t="str">
            <v xml:space="preserve"> 54C</v>
          </cell>
          <cell r="D456" t="str">
            <v>개</v>
          </cell>
          <cell r="J456" t="str">
            <v>82.5 ÷ 1.5</v>
          </cell>
          <cell r="X456" t="str">
            <v>=</v>
          </cell>
          <cell r="Y456">
            <v>55</v>
          </cell>
          <cell r="Z456">
            <v>55</v>
          </cell>
        </row>
        <row r="457">
          <cell r="A457" t="str">
            <v/>
          </cell>
        </row>
        <row r="458">
          <cell r="A458" t="str">
            <v xml:space="preserve"> CCTV수상기 콘솔 신설 C14-4형</v>
          </cell>
          <cell r="B458" t="str">
            <v xml:space="preserve"> CCTV수상기 콘솔 신설</v>
          </cell>
          <cell r="C458" t="str">
            <v xml:space="preserve"> C14-4형</v>
          </cell>
          <cell r="D458" t="str">
            <v>대</v>
          </cell>
          <cell r="G458">
            <v>1</v>
          </cell>
          <cell r="X458" t="str">
            <v>=</v>
          </cell>
          <cell r="Y458">
            <v>1</v>
          </cell>
          <cell r="Z458">
            <v>1</v>
          </cell>
        </row>
        <row r="459">
          <cell r="A459" t="str">
            <v xml:space="preserve"> CCTV수상기 신설 M20-2형</v>
          </cell>
          <cell r="B459" t="str">
            <v xml:space="preserve"> CCTV수상기 신설</v>
          </cell>
          <cell r="C459" t="str">
            <v xml:space="preserve"> M20-2형</v>
          </cell>
          <cell r="D459" t="str">
            <v>대</v>
          </cell>
          <cell r="E459">
            <v>2</v>
          </cell>
          <cell r="G459">
            <v>2</v>
          </cell>
          <cell r="X459" t="str">
            <v>=</v>
          </cell>
          <cell r="Y459">
            <v>4</v>
          </cell>
          <cell r="Z459">
            <v>4</v>
          </cell>
        </row>
        <row r="460">
          <cell r="A460" t="str">
            <v xml:space="preserve"> CCTV카메라 신설 CCD- 8</v>
          </cell>
          <cell r="B460" t="str">
            <v xml:space="preserve"> CCTV카메라 신설</v>
          </cell>
          <cell r="C460" t="str">
            <v xml:space="preserve"> CCD- 8</v>
          </cell>
          <cell r="D460" t="str">
            <v>대</v>
          </cell>
          <cell r="G460">
            <v>12</v>
          </cell>
          <cell r="X460" t="str">
            <v>=</v>
          </cell>
          <cell r="Y460">
            <v>12</v>
          </cell>
          <cell r="Z460">
            <v>12</v>
          </cell>
        </row>
        <row r="461">
          <cell r="A461" t="str">
            <v xml:space="preserve"> CCTV카메라 신설 CCD-16</v>
          </cell>
          <cell r="B461" t="str">
            <v xml:space="preserve"> CCTV카메라 신설</v>
          </cell>
          <cell r="C461" t="str">
            <v xml:space="preserve"> CCD-16</v>
          </cell>
          <cell r="D461" t="str">
            <v>대</v>
          </cell>
          <cell r="E461">
            <v>4</v>
          </cell>
          <cell r="G461">
            <v>8</v>
          </cell>
          <cell r="X461" t="str">
            <v>=</v>
          </cell>
          <cell r="Y461">
            <v>12</v>
          </cell>
          <cell r="Z461">
            <v>12</v>
          </cell>
        </row>
        <row r="462">
          <cell r="A462" t="str">
            <v xml:space="preserve"> 강관주 설치 150mmx4m</v>
          </cell>
          <cell r="B462" t="str">
            <v xml:space="preserve"> 강관주 설치</v>
          </cell>
          <cell r="C462" t="str">
            <v xml:space="preserve"> 150mmx4m</v>
          </cell>
          <cell r="D462" t="str">
            <v>본</v>
          </cell>
          <cell r="G462">
            <v>2</v>
          </cell>
          <cell r="X462" t="str">
            <v>=</v>
          </cell>
          <cell r="Y462">
            <v>2</v>
          </cell>
          <cell r="Z462">
            <v>2</v>
          </cell>
        </row>
        <row r="463">
          <cell r="A463" t="str">
            <v xml:space="preserve"> 강관주 설치 100mmx4m</v>
          </cell>
          <cell r="B463" t="str">
            <v xml:space="preserve"> 강관주 설치</v>
          </cell>
          <cell r="C463" t="str">
            <v xml:space="preserve"> 100mmx4m</v>
          </cell>
          <cell r="D463" t="str">
            <v>본</v>
          </cell>
          <cell r="G463">
            <v>2</v>
          </cell>
          <cell r="X463" t="str">
            <v>=</v>
          </cell>
          <cell r="Y463">
            <v>2</v>
          </cell>
          <cell r="Z463">
            <v>2</v>
          </cell>
        </row>
        <row r="465">
          <cell r="A465" t="str">
            <v xml:space="preserve"> VIDEO PHONE 설치 모장치</v>
          </cell>
          <cell r="B465" t="str">
            <v xml:space="preserve"> VIDEO PHONE 설치</v>
          </cell>
          <cell r="C465" t="str">
            <v xml:space="preserve"> 모장치</v>
          </cell>
          <cell r="D465" t="str">
            <v>대</v>
          </cell>
          <cell r="E465">
            <v>1</v>
          </cell>
          <cell r="X465" t="str">
            <v>=</v>
          </cell>
          <cell r="Y465">
            <v>1</v>
          </cell>
          <cell r="Z465">
            <v>1</v>
          </cell>
        </row>
        <row r="466">
          <cell r="A466" t="str">
            <v xml:space="preserve"> VIDEO PHONE 설치 자장치</v>
          </cell>
          <cell r="B466" t="str">
            <v xml:space="preserve"> VIDEO PHONE 설치</v>
          </cell>
          <cell r="C466" t="str">
            <v xml:space="preserve"> 자장치</v>
          </cell>
          <cell r="D466" t="str">
            <v>대</v>
          </cell>
          <cell r="E466">
            <v>8</v>
          </cell>
          <cell r="X466" t="str">
            <v>=</v>
          </cell>
          <cell r="Y466">
            <v>8</v>
          </cell>
          <cell r="Z466">
            <v>8</v>
          </cell>
        </row>
        <row r="467">
          <cell r="A467" t="str">
            <v/>
          </cell>
        </row>
        <row r="468">
          <cell r="A468" t="str">
            <v/>
          </cell>
        </row>
        <row r="485">
          <cell r="A485" t="str">
            <v xml:space="preserve"> 제어선 신설 CVV-S 24C/1.25㎟</v>
          </cell>
          <cell r="B485" t="str">
            <v xml:space="preserve"> 제어선 신설</v>
          </cell>
          <cell r="C485" t="str">
            <v xml:space="preserve"> CVV-S 24C/1.25㎟</v>
          </cell>
          <cell r="D485" t="str">
            <v>m</v>
          </cell>
          <cell r="E485" t="str">
            <v xml:space="preserve"> (1층) :   </v>
          </cell>
          <cell r="G485" t="str">
            <v xml:space="preserve">{0.5 × 6 + 11 + 5.5 + 0.3 + 5.6↓ + 5 + 6 + 0.3 + 5.6↓ + 5 + </v>
          </cell>
          <cell r="Z485">
            <v>1607.8000000000002</v>
          </cell>
        </row>
        <row r="486">
          <cell r="A486" t="str">
            <v/>
          </cell>
          <cell r="G486" t="str">
            <v>(20 + 0.5 + 12 + 0.5 + 8.6↓ + 0.5↓ + 19 + 1 + 19 + 1)× 2 +</v>
          </cell>
        </row>
        <row r="487">
          <cell r="A487" t="str">
            <v/>
          </cell>
          <cell r="G487" t="str">
            <v xml:space="preserve">(0.5↑+3.5↑ + 1 ) × 2 + (6 + 0.3 + 0.5↓ + 5)×2}×2 + (8.6↓ + </v>
          </cell>
        </row>
        <row r="488">
          <cell r="A488" t="str">
            <v/>
          </cell>
          <cell r="G488" t="str">
            <v>0.5↓)×2 + (17.5 + 1 + 17.5 + 1 + 17 + 1 + 17 + 1)×2 + (0.5↑+</v>
          </cell>
        </row>
        <row r="489">
          <cell r="A489" t="str">
            <v/>
          </cell>
          <cell r="G489" t="str">
            <v>3.5↑ + 1)×2 + (8 + 0.3 + 0.5↓)×2 + (8.6↓ + 0.5↓)×2 + (17.5+</v>
          </cell>
        </row>
        <row r="490">
          <cell r="A490" t="str">
            <v/>
          </cell>
          <cell r="G490" t="str">
            <v>1 + 17.5 + 1 + 22 + 1 + 22 + 1)×2 + (0.5↑ + 3.5↑ + 1) ×2 +</v>
          </cell>
        </row>
        <row r="491">
          <cell r="A491" t="str">
            <v/>
          </cell>
          <cell r="G491" t="str">
            <v>2 + (4 + 0.3 + 0.5↓)×2</v>
          </cell>
          <cell r="X491" t="str">
            <v>=</v>
          </cell>
          <cell r="Y491">
            <v>887.80000000000007</v>
          </cell>
        </row>
        <row r="492">
          <cell r="A492" t="str">
            <v/>
          </cell>
          <cell r="E492" t="str">
            <v xml:space="preserve"> (2층) :</v>
          </cell>
          <cell r="G492" t="str">
            <v xml:space="preserve">(15 + 4.5↑ + 3 + 0.5 + 19 + 0.5) ×12 +(6 + 0.5 + 11.5 + 0.5 + </v>
          </cell>
        </row>
        <row r="493">
          <cell r="A493" t="str">
            <v/>
          </cell>
          <cell r="G493" t="str">
            <v>7 + 0.5)×6 + (4.5↓×6)×2</v>
          </cell>
          <cell r="X493" t="str">
            <v>=</v>
          </cell>
          <cell r="Y493">
            <v>720</v>
          </cell>
        </row>
        <row r="494">
          <cell r="A494" t="str">
            <v/>
          </cell>
        </row>
        <row r="495">
          <cell r="A495" t="str">
            <v xml:space="preserve"> 전원선 신설 IV 5.5㎟</v>
          </cell>
          <cell r="B495" t="str">
            <v xml:space="preserve"> 전원선 신설</v>
          </cell>
          <cell r="C495" t="str">
            <v xml:space="preserve"> IV 5.5㎟</v>
          </cell>
          <cell r="D495" t="str">
            <v>m</v>
          </cell>
          <cell r="E495" t="str">
            <v xml:space="preserve"> (1층) : [</v>
          </cell>
          <cell r="G495" t="str">
            <v>{0.5 × 4 + (11 + 0.3 + 5.6↓+ 5)×2 + 20 + 0.5 + 12 + 0.5 + 8.6↓+</v>
          </cell>
          <cell r="Z495">
            <v>1758.8</v>
          </cell>
        </row>
        <row r="496">
          <cell r="A496" t="str">
            <v/>
          </cell>
          <cell r="G496" t="str">
            <v>0.5↓+ 19 + 1 + 19 + 1 + 0.5↑+ 3.5↑ + (1×2) + (6 + 0.3 + 0.5↓+</v>
          </cell>
        </row>
        <row r="497">
          <cell r="A497" t="str">
            <v/>
          </cell>
          <cell r="G497" t="str">
            <v xml:space="preserve">5)×2 + 6 + 0.3 + 0.5↓+ 5}×2 + (6 + 0.3 + 5.6↓ + 5)×2 + 8.6↓ + </v>
          </cell>
        </row>
        <row r="498">
          <cell r="A498" t="str">
            <v/>
          </cell>
          <cell r="G498" t="str">
            <v xml:space="preserve">0.5↓ + 17.5 + 1 + 17.5 + 1 + 17 + 1 + 17 + 1 + 0.5↑ + 3.6↑ + 1× </v>
          </cell>
        </row>
        <row r="499">
          <cell r="A499" t="str">
            <v/>
          </cell>
          <cell r="G499" t="str">
            <v xml:space="preserve">2 + (8 + 0.3 + 0.5↓+ 5)×2 + (8 + 0.3 + 0.5↓ + 5) + (6 + 0.3 + </v>
          </cell>
        </row>
        <row r="500">
          <cell r="A500" t="str">
            <v/>
          </cell>
          <cell r="G500" t="str">
            <v xml:space="preserve">5.6↓+ 5) + 8.6↓ + 0.5↓ + 17.5 + 1 + 17.5 + 22 + 1 + 22 + 1 + </v>
          </cell>
        </row>
        <row r="501">
          <cell r="A501" t="str">
            <v/>
          </cell>
          <cell r="G501" t="str">
            <v>0.5↑ + 3.5↑ + (4 + 0.3 + 0.5↓ + 5)×2 + (4 + 0.3 + 0.5↓)]×2</v>
          </cell>
          <cell r="X501" t="str">
            <v>=</v>
          </cell>
          <cell r="Y501">
            <v>1276.8</v>
          </cell>
        </row>
        <row r="502">
          <cell r="A502" t="str">
            <v/>
          </cell>
          <cell r="E502" t="str">
            <v xml:space="preserve"> (2층) : {</v>
          </cell>
          <cell r="G502" t="str">
            <v>(15 + 4.5↑ + 3 + 0.5 + 19 + 0.5)×4 + (7 + 0.5 + 11.5 + 0.5 + 7)×2 +</v>
          </cell>
        </row>
        <row r="503">
          <cell r="A503" t="str">
            <v/>
          </cell>
          <cell r="G503" t="str">
            <v>(4.5↓×2)×2}×2</v>
          </cell>
          <cell r="X503" t="str">
            <v>=</v>
          </cell>
          <cell r="Y503">
            <v>482</v>
          </cell>
        </row>
        <row r="504">
          <cell r="A504" t="str">
            <v/>
          </cell>
        </row>
        <row r="505">
          <cell r="A505" t="str">
            <v xml:space="preserve"> 후강전선관 신설 54C (천장노출)</v>
          </cell>
          <cell r="B505" t="str">
            <v xml:space="preserve"> 후강전선관 신설</v>
          </cell>
          <cell r="C505" t="str">
            <v xml:space="preserve"> 54C (천장노출)</v>
          </cell>
          <cell r="D505" t="str">
            <v>m</v>
          </cell>
          <cell r="E505" t="str">
            <v>(9+9)x2+17+7.5+12+8+16.5+7x2+2.5x2+3+27+32+(7+3)x2</v>
          </cell>
          <cell r="Z505">
            <v>457</v>
          </cell>
        </row>
        <row r="506">
          <cell r="E506" t="str">
            <v>30+30+(7+3)x2+(6.5+2.5)x2+5+27+32+(6+3)x2</v>
          </cell>
        </row>
        <row r="507">
          <cell r="E507" t="str">
            <v>30+30+(6+3.5)x2</v>
          </cell>
          <cell r="X507" t="str">
            <v>=</v>
          </cell>
          <cell r="Y507">
            <v>457</v>
          </cell>
        </row>
        <row r="508">
          <cell r="A508" t="str">
            <v xml:space="preserve"> 후강전선관 신설 54C (벽매입)</v>
          </cell>
          <cell r="B508" t="str">
            <v xml:space="preserve"> 후강전선관 신설</v>
          </cell>
          <cell r="C508" t="str">
            <v xml:space="preserve"> 54C (벽매입)</v>
          </cell>
          <cell r="D508" t="str">
            <v>m</v>
          </cell>
          <cell r="E508" t="str">
            <v>5.5x2+5.5+0.4+5.5+0.4</v>
          </cell>
          <cell r="X508" t="str">
            <v>=</v>
          </cell>
          <cell r="Y508">
            <v>22.8</v>
          </cell>
          <cell r="Z508">
            <v>22.8</v>
          </cell>
        </row>
        <row r="510">
          <cell r="A510" t="str">
            <v xml:space="preserve"> 노말밴드 54C</v>
          </cell>
          <cell r="B510" t="str">
            <v xml:space="preserve"> 노말밴드</v>
          </cell>
          <cell r="C510" t="str">
            <v xml:space="preserve"> 54C</v>
          </cell>
          <cell r="D510" t="str">
            <v>개</v>
          </cell>
          <cell r="E510">
            <v>24</v>
          </cell>
          <cell r="F510" t="str">
            <v>(1x2+1+1+1+1+2+2+2+4+4+4)</v>
          </cell>
          <cell r="X510" t="str">
            <v>=</v>
          </cell>
          <cell r="Y510">
            <v>24</v>
          </cell>
          <cell r="Z510">
            <v>24</v>
          </cell>
        </row>
        <row r="512">
          <cell r="A512" t="str">
            <v xml:space="preserve"> 클램프 54C</v>
          </cell>
          <cell r="B512" t="str">
            <v xml:space="preserve"> 클램프</v>
          </cell>
          <cell r="C512" t="str">
            <v xml:space="preserve"> 54C</v>
          </cell>
          <cell r="D512" t="str">
            <v>개</v>
          </cell>
          <cell r="E512" t="str">
            <v xml:space="preserve"> 457 ÷ 1.5</v>
          </cell>
          <cell r="X512" t="str">
            <v>=</v>
          </cell>
          <cell r="Y512">
            <v>304.7</v>
          </cell>
          <cell r="Z512">
            <v>304.7</v>
          </cell>
        </row>
        <row r="514">
          <cell r="A514" t="str">
            <v xml:space="preserve"> C형 찬넬 설치 60×30×10×2.3t</v>
          </cell>
          <cell r="B514" t="str">
            <v xml:space="preserve"> C형 찬넬 설치</v>
          </cell>
          <cell r="C514" t="str">
            <v xml:space="preserve"> 60×30×10×2.3t</v>
          </cell>
          <cell r="D514" t="str">
            <v>개</v>
          </cell>
          <cell r="E514" t="str">
            <v xml:space="preserve"> (457) ÷ 3 ÷ 1.5</v>
          </cell>
          <cell r="X514" t="str">
            <v>=</v>
          </cell>
          <cell r="Y514">
            <v>102</v>
          </cell>
          <cell r="Z514">
            <v>102</v>
          </cell>
        </row>
        <row r="515">
          <cell r="A515" t="str">
            <v/>
          </cell>
        </row>
        <row r="528">
          <cell r="A528" t="str">
            <v xml:space="preserve"> 전원선 신설 IV 5.5㎟</v>
          </cell>
          <cell r="B528" t="str">
            <v xml:space="preserve"> 전원선 신설</v>
          </cell>
          <cell r="C528" t="str">
            <v xml:space="preserve"> IV 5.5㎟</v>
          </cell>
          <cell r="D528" t="str">
            <v>m</v>
          </cell>
          <cell r="E528" t="str">
            <v xml:space="preserve"> [ 역무실 (SACU) → 매표실 (POM) ]</v>
          </cell>
          <cell r="Z528">
            <v>3943.1000000000004</v>
          </cell>
        </row>
        <row r="529">
          <cell r="F529" t="str">
            <v xml:space="preserve"> 5 + 15 + 11.5 + (0.3 + 1) x 2 + 0.5 + (0.3 + 1) x 2 + 0.5 + (0.3 + 1) x 2 + </v>
          </cell>
        </row>
        <row r="530">
          <cell r="A530" t="str">
            <v/>
          </cell>
          <cell r="E530" t="str">
            <v>가설역사 :</v>
          </cell>
          <cell r="F530" t="str">
            <v xml:space="preserve"> 0.3 + 0.3 + 1</v>
          </cell>
          <cell r="X530" t="str">
            <v>=</v>
          </cell>
          <cell r="Y530">
            <v>41.9</v>
          </cell>
        </row>
        <row r="531">
          <cell r="A531" t="str">
            <v/>
          </cell>
          <cell r="E531" t="str">
            <v xml:space="preserve"> [ 역무실 (SACU) → AGM ]</v>
          </cell>
        </row>
        <row r="532">
          <cell r="E532" t="str">
            <v>가설역사 :</v>
          </cell>
          <cell r="F532" t="str">
            <v xml:space="preserve"> 5 + 15 + 14.5 + (0.3 + 1) x 2 + 1 + (0.3 + 1) x 2 + 1 (0.3 + 1) x 2</v>
          </cell>
        </row>
        <row r="533">
          <cell r="F533" t="str">
            <v xml:space="preserve"> 1 + (0.3 + 1) x 2 + 1 + (0.3 + 1) x 2 + 1 (0.3 + 1) x 2 + 1 + (0.3 + 1) x 2</v>
          </cell>
        </row>
        <row r="534">
          <cell r="A534" t="str">
            <v/>
          </cell>
          <cell r="F534" t="str">
            <v xml:space="preserve"> 1 + (0.3 + 1) x 2 + 1 + (0.3 + 1) x 2 + 1 (0.3 + 1) x 2 + 1 + 0.3 + 1</v>
          </cell>
          <cell r="X534" t="str">
            <v>=</v>
          </cell>
          <cell r="Y534">
            <v>71.8</v>
          </cell>
        </row>
        <row r="535">
          <cell r="A535" t="str">
            <v/>
          </cell>
          <cell r="E535" t="str">
            <v xml:space="preserve"> [ 역무실 (SACU) → ATVM, 통신실, AGM ]</v>
          </cell>
        </row>
        <row r="536">
          <cell r="A536" t="str">
            <v/>
          </cell>
          <cell r="E536" t="str">
            <v>가설역사 :</v>
          </cell>
          <cell r="F536" t="str">
            <v>(5 + 15 + 3 + 4.5 + 0.5 + 28.5) x 2</v>
          </cell>
        </row>
        <row r="537">
          <cell r="F537" t="str">
            <v>ATVM : 0.5 + 12 + 0.5 + 3.5 + (1 + 1) x 2 + 1.5 + (1 + 1) x 2 + 1.5 + 1 + 1</v>
          </cell>
        </row>
        <row r="538">
          <cell r="F538" t="str">
            <v>AGM :  0.5 + 4.5 + (0.3 + 1) x 2 + 1 + (0.3 + 1) x 2 + 1 + (0.3 + 1) x</v>
          </cell>
        </row>
        <row r="539">
          <cell r="A539" t="str">
            <v/>
          </cell>
          <cell r="F539" t="str">
            <v xml:space="preserve">       2 + 1 + 0.3 + 1</v>
          </cell>
          <cell r="X539" t="str">
            <v>=</v>
          </cell>
          <cell r="Y539">
            <v>160.6</v>
          </cell>
        </row>
        <row r="540">
          <cell r="A540" t="str">
            <v/>
          </cell>
          <cell r="E540" t="str">
            <v xml:space="preserve"> [ 통신실 - 승강장 상, 하 ]</v>
          </cell>
        </row>
        <row r="541">
          <cell r="E541" t="str">
            <v xml:space="preserve"> (15+5.5+0.5+9+0.5+9+0.5)x24</v>
          </cell>
          <cell r="X541" t="str">
            <v>=</v>
          </cell>
          <cell r="Y541">
            <v>960</v>
          </cell>
        </row>
        <row r="542">
          <cell r="A542" t="str">
            <v/>
          </cell>
          <cell r="E542" t="str">
            <v>[ 승강장  상 ]</v>
          </cell>
        </row>
        <row r="543">
          <cell r="E543" t="str">
            <v xml:space="preserve"> (0.5+12+0.5+8+0.5+16.5+0.5+5.5)x12</v>
          </cell>
          <cell r="X543" t="str">
            <v>=</v>
          </cell>
          <cell r="Y543">
            <v>528</v>
          </cell>
        </row>
        <row r="544">
          <cell r="E544" t="str">
            <v xml:space="preserve"> (6.5+2.5+1.5)x4+(0.5+5+0.5+27+0.5+32+0.5)x8</v>
          </cell>
          <cell r="X544" t="str">
            <v>=</v>
          </cell>
          <cell r="Y544">
            <v>570</v>
          </cell>
        </row>
        <row r="545">
          <cell r="E545" t="str">
            <v xml:space="preserve"> (6+3+1.5)x4+(0.5+30+0.5+30+0.5+6+3.5+1.5)x4</v>
          </cell>
          <cell r="X545" t="str">
            <v>=</v>
          </cell>
          <cell r="Y545">
            <v>332</v>
          </cell>
        </row>
        <row r="546">
          <cell r="E546" t="str">
            <v>[ 승강장  하 ]</v>
          </cell>
        </row>
        <row r="547">
          <cell r="E547" t="str">
            <v xml:space="preserve"> (0.5+17+0.5+7.5+0.5+5.5+0.4+0.5)x12</v>
          </cell>
          <cell r="X547" t="str">
            <v>=</v>
          </cell>
          <cell r="Y547">
            <v>388.8</v>
          </cell>
        </row>
        <row r="548">
          <cell r="A548" t="str">
            <v/>
          </cell>
          <cell r="E548" t="str">
            <v xml:space="preserve"> (7+2.5+1.5)x4+(0.5+3+0.5+27+0.5+32)x8</v>
          </cell>
          <cell r="X548" t="str">
            <v>=</v>
          </cell>
          <cell r="Y548">
            <v>552</v>
          </cell>
        </row>
        <row r="549">
          <cell r="A549" t="str">
            <v/>
          </cell>
          <cell r="E549" t="str">
            <v xml:space="preserve"> (7+3+1.5)x4+(0.5+30+0.5+30+0.5+7+3+1.5)x4</v>
          </cell>
          <cell r="X549" t="str">
            <v>=</v>
          </cell>
          <cell r="Y549">
            <v>338</v>
          </cell>
        </row>
        <row r="550">
          <cell r="A550" t="str">
            <v xml:space="preserve"> 접지선 신설 IV 3.5㎟</v>
          </cell>
          <cell r="B550" t="str">
            <v xml:space="preserve"> 접지선 신설</v>
          </cell>
          <cell r="C550" t="str">
            <v xml:space="preserve"> IV 3.5㎟</v>
          </cell>
          <cell r="D550" t="str">
            <v>m</v>
          </cell>
          <cell r="E550" t="str">
            <v xml:space="preserve"> [ 매표소 (SACU) → 자동발매기 (POM) ]</v>
          </cell>
          <cell r="Z550">
            <v>222.5</v>
          </cell>
        </row>
        <row r="551">
          <cell r="A551" t="str">
            <v/>
          </cell>
          <cell r="E551" t="str">
            <v xml:space="preserve"> 15 + 4.5↑ + 0.5 + 11.5 + 0.5 + 4.5↓ + 14 + 0.8 + 0.5 + 3×2 + 1.2 + 0.5 + 3</v>
          </cell>
          <cell r="X551" t="str">
            <v>=</v>
          </cell>
          <cell r="Y551">
            <v>62.5</v>
          </cell>
        </row>
        <row r="552">
          <cell r="A552" t="str">
            <v/>
          </cell>
          <cell r="E552" t="str">
            <v xml:space="preserve"> [ 매표소 (SACU) → AGM ]</v>
          </cell>
        </row>
        <row r="553">
          <cell r="A553" t="str">
            <v/>
          </cell>
          <cell r="E553" t="str">
            <v xml:space="preserve"> 15 + 4.5↑ + 0.5 + 11.5 + 0.5 + 4.5↓ + 8.5 + 0.3 ×2 + 0.8 + 0.3 ×2 + 0.8 + </v>
          </cell>
        </row>
        <row r="554">
          <cell r="A554" t="str">
            <v/>
          </cell>
          <cell r="E554" t="str">
            <v xml:space="preserve"> 0.3 ×2 + 0.8 + 0.3 ×2 + 0.8 + 0.3 × 2 + 0.7 × 2 + 0.8 + 0.3 × 2 +  0.7 × 2 + </v>
          </cell>
        </row>
        <row r="555">
          <cell r="A555" t="str">
            <v/>
          </cell>
          <cell r="E555" t="str">
            <v xml:space="preserve"> 0.8 + 0.3 ×2 + 0.7 ×2 + 0.8 + 0.3 ×2 + 0.7×2 + 0.8 + 0.3 + 0.7</v>
          </cell>
          <cell r="X555" t="str">
            <v>=</v>
          </cell>
          <cell r="Y555">
            <v>62.799999999999983</v>
          </cell>
        </row>
        <row r="556">
          <cell r="A556" t="str">
            <v/>
          </cell>
          <cell r="E556" t="str">
            <v xml:space="preserve"> [ 매표소 (SACU) → 자동발매기 (POM) ]</v>
          </cell>
        </row>
        <row r="557">
          <cell r="A557" t="str">
            <v/>
          </cell>
          <cell r="E557" t="str">
            <v xml:space="preserve"> 15 + 4.5↑ + 0.5 + 11.5 + 0.5 + 4.5↓ + 10 + 0.8 + 0.5 + 3×2 + 1.2 + 0.5 + 3×</v>
          </cell>
        </row>
        <row r="558">
          <cell r="A558" t="str">
            <v/>
          </cell>
          <cell r="E558" t="str">
            <v xml:space="preserve"> 2 + 1.2 + 0.5 + 3</v>
          </cell>
          <cell r="X558" t="str">
            <v>=</v>
          </cell>
          <cell r="Y558">
            <v>66.2</v>
          </cell>
        </row>
        <row r="559">
          <cell r="A559" t="str">
            <v/>
          </cell>
          <cell r="E559" t="str">
            <v xml:space="preserve"> [ 매표소 (SACU) → 매표실 (TOM) ]</v>
          </cell>
        </row>
        <row r="560">
          <cell r="A560" t="str">
            <v/>
          </cell>
          <cell r="E560" t="str">
            <v xml:space="preserve"> 15 + 5.5 + 3×2 + 1 + 3 + 0.5</v>
          </cell>
          <cell r="X560" t="str">
            <v>=</v>
          </cell>
          <cell r="Y560">
            <v>31</v>
          </cell>
        </row>
        <row r="561">
          <cell r="A561" t="str">
            <v/>
          </cell>
        </row>
        <row r="562">
          <cell r="A562" t="str">
            <v xml:space="preserve"> 접지선 신설 GV 5.5㎟</v>
          </cell>
          <cell r="B562" t="str">
            <v xml:space="preserve"> 접지선 신설</v>
          </cell>
          <cell r="C562" t="str">
            <v xml:space="preserve"> GV 5.5㎟</v>
          </cell>
          <cell r="D562" t="str">
            <v>m</v>
          </cell>
          <cell r="E562" t="str">
            <v xml:space="preserve"> [ 역무실 (SACU) → 매표실 (POM) ]</v>
          </cell>
          <cell r="Z562">
            <v>486.69999999999993</v>
          </cell>
        </row>
        <row r="563">
          <cell r="E563" t="str">
            <v>가설역사 :</v>
          </cell>
          <cell r="F563" t="str">
            <v>5 + 15 + 11.5 + (0.3 + 1) x 2 + 0.5 + (0.3 + 1) x 2 + 0.5 + (0.3 + 1) x 2 +</v>
          </cell>
        </row>
        <row r="564">
          <cell r="A564" t="str">
            <v/>
          </cell>
          <cell r="F564" t="str">
            <v>0.3 + 0.3 + 1</v>
          </cell>
          <cell r="X564" t="str">
            <v>=</v>
          </cell>
          <cell r="Y564">
            <v>41.9</v>
          </cell>
        </row>
        <row r="565">
          <cell r="A565" t="str">
            <v/>
          </cell>
          <cell r="E565" t="str">
            <v xml:space="preserve"> [ 역무실 (SACU) → AGM ]</v>
          </cell>
        </row>
        <row r="566">
          <cell r="A566" t="str">
            <v/>
          </cell>
          <cell r="E566" t="str">
            <v>가설역사 :</v>
          </cell>
          <cell r="F566" t="str">
            <v>5 + 15 + 14.5 + (0.3 + 1) x 2 + 1 + (0.3 + 1) x 2 + 1 + (0.3 + 1) x 2</v>
          </cell>
        </row>
        <row r="567">
          <cell r="A567" t="str">
            <v/>
          </cell>
          <cell r="F567" t="str">
            <v>1+(0.3 + 1) x 2 + 1 +(0.3 + 1) x 2 + 1 (0.3 + 1) x 2 + 1 + (0.3 + 1) x 2</v>
          </cell>
        </row>
        <row r="568">
          <cell r="A568" t="str">
            <v/>
          </cell>
          <cell r="F568" t="str">
            <v>1+(0.3 + 1) x 2 + 1 +(0.3 + 1) x 2 + 1 (0.3 + 1) x 2 + 1 + 0.3 + 1</v>
          </cell>
          <cell r="X568" t="str">
            <v>=</v>
          </cell>
          <cell r="Y568">
            <v>71.8</v>
          </cell>
        </row>
        <row r="569">
          <cell r="A569" t="str">
            <v/>
          </cell>
          <cell r="E569" t="str">
            <v xml:space="preserve"> [ 역무실 (SACU) → ATVM, 통신실, AGM ]</v>
          </cell>
        </row>
        <row r="570">
          <cell r="A570" t="str">
            <v/>
          </cell>
          <cell r="E570" t="str">
            <v>가설역사 :</v>
          </cell>
          <cell r="F570" t="str">
            <v>(5 + 15 + 3 + 4.5 + 0.5 + 28.5 + 0.5) x 2</v>
          </cell>
        </row>
        <row r="571">
          <cell r="F571" t="str">
            <v>ATVM</v>
          </cell>
          <cell r="G571" t="str">
            <v>0.5 + 12 + 0.5 + 3.5 + (1+1) x 2 + 1.5 + (1+1) x 2 + 1.5 + 1 + 1</v>
          </cell>
        </row>
        <row r="572">
          <cell r="F572" t="str">
            <v>AGM</v>
          </cell>
          <cell r="G572" t="str">
            <v>0.5 + 4.5 + (0.3 + 1) x 2 + 1 + ( 0.3 + 1) x 2 + 1 + (0.3 + 1) x 2 + 1 +</v>
          </cell>
        </row>
        <row r="573">
          <cell r="A573" t="str">
            <v/>
          </cell>
          <cell r="G573" t="str">
            <v>0.3 + 1</v>
          </cell>
          <cell r="X573" t="str">
            <v>=</v>
          </cell>
          <cell r="Y573">
            <v>160.6</v>
          </cell>
        </row>
        <row r="574">
          <cell r="A574" t="str">
            <v/>
          </cell>
          <cell r="E574" t="str">
            <v xml:space="preserve"> [ 전산실 SACU - TOM ]</v>
          </cell>
        </row>
        <row r="575">
          <cell r="A575" t="str">
            <v/>
          </cell>
          <cell r="E575" t="str">
            <v xml:space="preserve"> 15+5+(0.3+1)x2+1.5+(0.3+1)x2+1.5+(0.3+1)x2+1.5+0.3+1</v>
          </cell>
          <cell r="X575" t="str">
            <v>=</v>
          </cell>
          <cell r="Y575">
            <v>33.6</v>
          </cell>
        </row>
        <row r="576">
          <cell r="E576" t="str">
            <v xml:space="preserve"> [ 전산실 SACU - POM, AGM ]</v>
          </cell>
        </row>
        <row r="577">
          <cell r="E577" t="str">
            <v xml:space="preserve"> 15+7+5.5+0.5+26+0.5+6+5.5</v>
          </cell>
          <cell r="X577" t="str">
            <v>=</v>
          </cell>
          <cell r="Y577">
            <v>66</v>
          </cell>
        </row>
        <row r="578">
          <cell r="E578" t="str">
            <v xml:space="preserve"> AGM 상</v>
          </cell>
          <cell r="F578" t="str">
            <v>1.5+((0.3+1)x2+1)x4+0.3+1</v>
          </cell>
          <cell r="X578" t="str">
            <v>=</v>
          </cell>
          <cell r="Y578">
            <v>17.2</v>
          </cell>
        </row>
        <row r="579">
          <cell r="E579" t="str">
            <v xml:space="preserve"> POM 상</v>
          </cell>
          <cell r="F579" t="str">
            <v>1+0.3+1.5+0.5+4+(0.3+1)x2+1+(0.3+1)x2+1+0.3+1</v>
          </cell>
          <cell r="X579" t="str">
            <v>=</v>
          </cell>
          <cell r="Y579">
            <v>15.8</v>
          </cell>
        </row>
        <row r="580">
          <cell r="E580" t="str">
            <v xml:space="preserve"> POM 하</v>
          </cell>
          <cell r="F580" t="str">
            <v>15+5+(0.3+1)x2+1+0.3+1</v>
          </cell>
          <cell r="X580" t="str">
            <v>=</v>
          </cell>
          <cell r="Y580">
            <v>24.9</v>
          </cell>
        </row>
        <row r="581">
          <cell r="E581" t="str">
            <v xml:space="preserve"> AGM 하</v>
          </cell>
          <cell r="F581" t="str">
            <v>15+10+((0.3)x2)x11+0.3+1</v>
          </cell>
          <cell r="X581" t="str">
            <v>=</v>
          </cell>
          <cell r="Y581">
            <v>54.9</v>
          </cell>
        </row>
        <row r="583">
          <cell r="A583" t="str">
            <v xml:space="preserve"> 인터폰선 신설 SH 5P</v>
          </cell>
          <cell r="B583" t="str">
            <v xml:space="preserve"> 인터폰선 신설</v>
          </cell>
          <cell r="C583" t="str">
            <v xml:space="preserve"> SH 5P</v>
          </cell>
          <cell r="D583" t="str">
            <v>m</v>
          </cell>
          <cell r="E583" t="str">
            <v xml:space="preserve"> [ 매표소 (SACU) → 자동발매기 (POM) ]</v>
          </cell>
          <cell r="Z583">
            <v>190.9</v>
          </cell>
        </row>
        <row r="584">
          <cell r="E584" t="str">
            <v>가설역사 :</v>
          </cell>
          <cell r="F584" t="str">
            <v>5 + 15 + 3 + 4.5 + 0.5 + 28.5 + 0.5 + 12 + 0.5 + 3.5 + (1 + 1) x 2</v>
          </cell>
        </row>
        <row r="585">
          <cell r="A585" t="str">
            <v/>
          </cell>
          <cell r="F585" t="str">
            <v>1.5 +(1 + 1) x 2 + 1.5 + 1 + 1</v>
          </cell>
          <cell r="X585" t="str">
            <v>=</v>
          </cell>
          <cell r="Y585">
            <v>86</v>
          </cell>
        </row>
        <row r="586">
          <cell r="E586" t="str">
            <v>[ 매포소 - POM ]</v>
          </cell>
        </row>
        <row r="587">
          <cell r="E587" t="str">
            <v>하</v>
          </cell>
          <cell r="F587" t="str">
            <v>15+3+(0.3+1)x2+1+0.3+1</v>
          </cell>
        </row>
        <row r="588">
          <cell r="E588" t="str">
            <v>상</v>
          </cell>
          <cell r="F588" t="str">
            <v>15+10+5.5+0.5+26+0.5+6+0.5+5.5+4+(0.3+1)x2+1+(0.3+1)x2+1+0.3+1</v>
          </cell>
          <cell r="X588" t="str">
            <v>=</v>
          </cell>
          <cell r="Y588">
            <v>104.9</v>
          </cell>
        </row>
        <row r="589">
          <cell r="A589" t="str">
            <v/>
          </cell>
        </row>
        <row r="590">
          <cell r="A590" t="str">
            <v xml:space="preserve"> 후강전선관 신설 16C (천장노출)</v>
          </cell>
          <cell r="B590" t="str">
            <v xml:space="preserve"> 후강전선관 신설</v>
          </cell>
          <cell r="C590" t="str">
            <v xml:space="preserve"> 16C (천장노출)</v>
          </cell>
          <cell r="D590" t="str">
            <v>m</v>
          </cell>
          <cell r="E590" t="str">
            <v>가설역사 :</v>
          </cell>
          <cell r="F590" t="str">
            <v>28.5 + 12</v>
          </cell>
          <cell r="X590" t="str">
            <v>=</v>
          </cell>
          <cell r="Y590">
            <v>40.5</v>
          </cell>
          <cell r="Z590">
            <v>113.5</v>
          </cell>
        </row>
        <row r="591">
          <cell r="E591" t="str">
            <v>1+1+4+6+26+2.5x2+3x2+3.5x2+2.5x2+3x2+3x2</v>
          </cell>
          <cell r="X591" t="str">
            <v>=</v>
          </cell>
          <cell r="Y591">
            <v>73</v>
          </cell>
        </row>
        <row r="592">
          <cell r="A592" t="str">
            <v xml:space="preserve"> 후강전선관 신설 16C (벽매입)</v>
          </cell>
          <cell r="B592" t="str">
            <v xml:space="preserve"> 후강전선관 신설</v>
          </cell>
          <cell r="C592" t="str">
            <v xml:space="preserve"> 16C (벽매입)</v>
          </cell>
          <cell r="D592" t="str">
            <v>m</v>
          </cell>
          <cell r="E592" t="str">
            <v>가설역사 :</v>
          </cell>
          <cell r="F592" t="str">
            <v>4.5 + 3.5 + 4.5</v>
          </cell>
          <cell r="X592" t="str">
            <v>=</v>
          </cell>
          <cell r="Y592">
            <v>12.5</v>
          </cell>
          <cell r="Z592">
            <v>23.5</v>
          </cell>
        </row>
        <row r="593">
          <cell r="E593" t="str">
            <v>5.5+5.5</v>
          </cell>
          <cell r="X593" t="str">
            <v>=</v>
          </cell>
          <cell r="Y593">
            <v>11</v>
          </cell>
        </row>
        <row r="594">
          <cell r="A594" t="str">
            <v xml:space="preserve"> 후강전선관 신설 16C (매입)</v>
          </cell>
          <cell r="B594" t="str">
            <v xml:space="preserve"> 후강전선관 신설</v>
          </cell>
          <cell r="C594" t="str">
            <v xml:space="preserve"> 16C (매입)</v>
          </cell>
          <cell r="D594" t="str">
            <v>m</v>
          </cell>
          <cell r="E594" t="str">
            <v>가설역사 :</v>
          </cell>
          <cell r="F594" t="str">
            <v>3 + 11.5 + 1 x 3 + 14.5 + 1 x 10 + 1 x 3</v>
          </cell>
          <cell r="X594" t="str">
            <v>=</v>
          </cell>
          <cell r="Y594">
            <v>45</v>
          </cell>
          <cell r="Z594">
            <v>67.5</v>
          </cell>
        </row>
        <row r="595">
          <cell r="E595" t="str">
            <v>7+5+1.5x3+5+1</v>
          </cell>
          <cell r="X595" t="str">
            <v>=</v>
          </cell>
          <cell r="Y595">
            <v>22.5</v>
          </cell>
        </row>
        <row r="597">
          <cell r="A597" t="str">
            <v xml:space="preserve"> 후강전선관 신설 22C (천장노출)</v>
          </cell>
          <cell r="B597" t="str">
            <v xml:space="preserve"> 후강전선관 신설</v>
          </cell>
          <cell r="C597" t="str">
            <v xml:space="preserve"> 22C (천장노출)</v>
          </cell>
          <cell r="D597" t="str">
            <v>m</v>
          </cell>
          <cell r="E597" t="str">
            <v>(9+9)x4+(17+7.5)x2+(12+8+16.5)x2+6.5+(5+27+32)x2+6+30+30+6+7+(3+27+32)x2+7+30+30+7</v>
          </cell>
          <cell r="X597" t="str">
            <v>=</v>
          </cell>
          <cell r="Y597">
            <v>605.5</v>
          </cell>
          <cell r="Z597">
            <v>605.5</v>
          </cell>
        </row>
        <row r="598">
          <cell r="A598" t="str">
            <v xml:space="preserve"> 후강전선관 신설 22C (벽매입)</v>
          </cell>
          <cell r="B598" t="str">
            <v xml:space="preserve"> 후강전선관 신설</v>
          </cell>
          <cell r="C598" t="str">
            <v xml:space="preserve"> 22C (벽매입)</v>
          </cell>
          <cell r="D598" t="str">
            <v>m</v>
          </cell>
          <cell r="E598" t="str">
            <v>5.5x4+(5.5+0.4)x2+(5.5+0.4)x2</v>
          </cell>
          <cell r="X598" t="str">
            <v>=</v>
          </cell>
          <cell r="Y598">
            <v>45.6</v>
          </cell>
          <cell r="Z598">
            <v>45.6</v>
          </cell>
        </row>
        <row r="599">
          <cell r="A599" t="str">
            <v xml:space="preserve"> 후강전선관 신설 28C (천장노출)</v>
          </cell>
          <cell r="B599" t="str">
            <v xml:space="preserve"> 후강전선관 신설</v>
          </cell>
          <cell r="C599" t="str">
            <v xml:space="preserve"> 28C (천장노출)</v>
          </cell>
          <cell r="D599" t="str">
            <v>m</v>
          </cell>
          <cell r="E599" t="str">
            <v>가설역사 :</v>
          </cell>
          <cell r="F599" t="str">
            <v>28.5 x 6 + 7 x 2 + 2.5 + 12 x 4</v>
          </cell>
          <cell r="X599" t="str">
            <v>=</v>
          </cell>
          <cell r="Y599">
            <v>235.5</v>
          </cell>
          <cell r="Z599">
            <v>313.5</v>
          </cell>
        </row>
        <row r="600">
          <cell r="E600" t="str">
            <v>(6+26)x2+4+10</v>
          </cell>
          <cell r="X600" t="str">
            <v>=</v>
          </cell>
          <cell r="Y600">
            <v>78</v>
          </cell>
        </row>
        <row r="601">
          <cell r="A601" t="str">
            <v xml:space="preserve"> 후강전선관 신설 28C (벽매입)</v>
          </cell>
          <cell r="B601" t="str">
            <v xml:space="preserve"> 후강전선관 신설</v>
          </cell>
          <cell r="C601" t="str">
            <v xml:space="preserve"> 28C (벽매입)</v>
          </cell>
          <cell r="D601" t="str">
            <v>m</v>
          </cell>
          <cell r="E601" t="str">
            <v>가설역사 :</v>
          </cell>
          <cell r="F601" t="str">
            <v>4.5 x 6 + (1.5 x 2) x 4 + 4.5 x 3 + (1 x 3) x 3 + 4 x 2 + 3.5 x 4</v>
          </cell>
          <cell r="X601" t="str">
            <v>=</v>
          </cell>
          <cell r="Y601">
            <v>83.5</v>
          </cell>
          <cell r="Z601">
            <v>144</v>
          </cell>
        </row>
        <row r="602">
          <cell r="E602" t="str">
            <v>5.5x3+5.5x4+5.5+5.5x3</v>
          </cell>
          <cell r="X602" t="str">
            <v>=</v>
          </cell>
          <cell r="Y602">
            <v>60.5</v>
          </cell>
        </row>
        <row r="603">
          <cell r="A603" t="str">
            <v xml:space="preserve"> 후강전선관 신설 28C (매입)</v>
          </cell>
          <cell r="B603" t="str">
            <v xml:space="preserve"> 후강전선관 신설</v>
          </cell>
          <cell r="C603" t="str">
            <v xml:space="preserve"> 28C (매입)</v>
          </cell>
          <cell r="D603" t="str">
            <v>m</v>
          </cell>
          <cell r="E603" t="str">
            <v>가설역사 :</v>
          </cell>
          <cell r="F603" t="str">
            <v>(11.5 + 1 x 3) x 3 + (14.5 + 1 x 10) x 3 + 3 x 6</v>
          </cell>
          <cell r="X603" t="str">
            <v>=</v>
          </cell>
          <cell r="Y603">
            <v>135</v>
          </cell>
          <cell r="Z603">
            <v>321.5</v>
          </cell>
        </row>
        <row r="604">
          <cell r="E604" t="str">
            <v>(1+1+4)x3+(4+1.5)x4+3+7+(5+1)x4+(5+1.5x3)x3+(10+11)x4</v>
          </cell>
          <cell r="X604" t="str">
            <v>=</v>
          </cell>
          <cell r="Y604">
            <v>186.5</v>
          </cell>
        </row>
        <row r="605">
          <cell r="A605" t="str">
            <v xml:space="preserve"> 후강전선관 신설 36C (천장노출)</v>
          </cell>
          <cell r="B605" t="str">
            <v xml:space="preserve"> 후강전선관 신설</v>
          </cell>
          <cell r="C605" t="str">
            <v xml:space="preserve"> 36C (천장노출)</v>
          </cell>
          <cell r="D605" t="str">
            <v>m</v>
          </cell>
          <cell r="E605" t="str">
            <v>(6+26)x2+(5+10+9+17+7.5)x2</v>
          </cell>
          <cell r="X605" t="str">
            <v>=</v>
          </cell>
          <cell r="Y605">
            <v>161</v>
          </cell>
          <cell r="Z605">
            <v>161</v>
          </cell>
        </row>
        <row r="606">
          <cell r="A606" t="str">
            <v xml:space="preserve"> 후강전선관 신설 36C (벽매입)</v>
          </cell>
          <cell r="B606" t="str">
            <v xml:space="preserve"> 후강전선관 신설</v>
          </cell>
          <cell r="C606" t="str">
            <v xml:space="preserve"> 36C (벽매입)</v>
          </cell>
          <cell r="D606" t="str">
            <v>m</v>
          </cell>
          <cell r="E606" t="str">
            <v>5.5x2+5.5x2+(5.5+0.4+7+1.5)x2</v>
          </cell>
          <cell r="X606" t="str">
            <v>=</v>
          </cell>
          <cell r="Y606">
            <v>50.8</v>
          </cell>
          <cell r="Z606">
            <v>50.8</v>
          </cell>
        </row>
        <row r="607">
          <cell r="A607" t="str">
            <v xml:space="preserve"> 후강전선관 신설 36C (매입)</v>
          </cell>
          <cell r="B607" t="str">
            <v xml:space="preserve"> 후강전선관 신설</v>
          </cell>
          <cell r="C607" t="str">
            <v xml:space="preserve"> 36C (매입)</v>
          </cell>
          <cell r="D607" t="str">
            <v>m</v>
          </cell>
          <cell r="E607" t="str">
            <v>7x2+11x2</v>
          </cell>
          <cell r="X607" t="str">
            <v>=</v>
          </cell>
          <cell r="Y607">
            <v>36</v>
          </cell>
          <cell r="Z607">
            <v>36</v>
          </cell>
        </row>
        <row r="608">
          <cell r="A608" t="str">
            <v/>
          </cell>
        </row>
        <row r="609">
          <cell r="A609" t="str">
            <v xml:space="preserve"> 노말밴드 28C</v>
          </cell>
          <cell r="B609" t="str">
            <v xml:space="preserve"> 노말밴드</v>
          </cell>
          <cell r="C609" t="str">
            <v xml:space="preserve"> 28C</v>
          </cell>
          <cell r="D609" t="str">
            <v>개</v>
          </cell>
          <cell r="E609" t="str">
            <v>가설역사 :</v>
          </cell>
          <cell r="F609" t="str">
            <v>3 x 3 + 3 x 6 + 2 x 3 + 1 x 2 + 1 x 4 + 1 x 3</v>
          </cell>
          <cell r="X609" t="str">
            <v>=</v>
          </cell>
          <cell r="Y609">
            <v>42</v>
          </cell>
          <cell r="Z609">
            <v>71</v>
          </cell>
        </row>
        <row r="610">
          <cell r="F610" t="str">
            <v>3 x 3 + 4 + 4 + 2 + 3 + 3 + 1 x 3 + 1 x 4</v>
          </cell>
          <cell r="X610" t="str">
            <v>=</v>
          </cell>
          <cell r="Y610">
            <v>29</v>
          </cell>
        </row>
        <row r="611">
          <cell r="A611" t="str">
            <v xml:space="preserve"> 노말밴드 36C</v>
          </cell>
          <cell r="B611" t="str">
            <v xml:space="preserve"> 노말밴드</v>
          </cell>
          <cell r="C611" t="str">
            <v xml:space="preserve"> 36C</v>
          </cell>
          <cell r="D611" t="str">
            <v>개</v>
          </cell>
          <cell r="E611">
            <v>4</v>
          </cell>
          <cell r="X611" t="str">
            <v>=</v>
          </cell>
          <cell r="Y611">
            <v>4</v>
          </cell>
          <cell r="Z611">
            <v>4</v>
          </cell>
        </row>
        <row r="613">
          <cell r="A613" t="str">
            <v xml:space="preserve"> C형 찬넬 설치 60×30×10×2.3t</v>
          </cell>
          <cell r="B613" t="str">
            <v xml:space="preserve"> C형 찬넬 설치</v>
          </cell>
          <cell r="C613" t="str">
            <v xml:space="preserve"> 60×30×10×2.3t</v>
          </cell>
          <cell r="D613" t="str">
            <v>개</v>
          </cell>
          <cell r="E613" t="str">
            <v>가설역사 :</v>
          </cell>
          <cell r="F613" t="str">
            <v xml:space="preserve"> (40.5 + 235.5) ÷ 3 ÷ 1.5</v>
          </cell>
          <cell r="X613" t="str">
            <v>=</v>
          </cell>
          <cell r="Y613">
            <v>61.3</v>
          </cell>
          <cell r="Z613">
            <v>367</v>
          </cell>
        </row>
        <row r="614">
          <cell r="F614" t="str">
            <v xml:space="preserve"> (73+605.5+78+161+457) ÷ 3 ÷ 1.5</v>
          </cell>
          <cell r="X614" t="str">
            <v>=</v>
          </cell>
          <cell r="Y614">
            <v>305.39999999999998</v>
          </cell>
        </row>
        <row r="615">
          <cell r="A615" t="str">
            <v/>
          </cell>
        </row>
        <row r="616">
          <cell r="A616" t="str">
            <v xml:space="preserve"> 클램프 16C</v>
          </cell>
          <cell r="B616" t="str">
            <v xml:space="preserve"> 클램프</v>
          </cell>
          <cell r="C616" t="str">
            <v xml:space="preserve"> 16C</v>
          </cell>
          <cell r="D616" t="str">
            <v>개</v>
          </cell>
          <cell r="E616" t="str">
            <v>가설역사 :</v>
          </cell>
          <cell r="F616" t="str">
            <v xml:space="preserve"> 40.5 ÷ 1.5</v>
          </cell>
          <cell r="J616" t="str">
            <v xml:space="preserve"> 73 ÷ 1.5</v>
          </cell>
          <cell r="X616" t="str">
            <v>=</v>
          </cell>
          <cell r="Y616">
            <v>75.7</v>
          </cell>
          <cell r="Z616">
            <v>75.7</v>
          </cell>
        </row>
        <row r="617">
          <cell r="A617" t="str">
            <v xml:space="preserve"> 클램프 22C</v>
          </cell>
          <cell r="B617" t="str">
            <v xml:space="preserve"> 클램프</v>
          </cell>
          <cell r="C617" t="str">
            <v xml:space="preserve"> 22C</v>
          </cell>
          <cell r="D617" t="str">
            <v>개</v>
          </cell>
          <cell r="J617" t="str">
            <v xml:space="preserve"> 605.5 ÷ 1.5</v>
          </cell>
          <cell r="X617" t="str">
            <v>=</v>
          </cell>
          <cell r="Y617">
            <v>403.7</v>
          </cell>
          <cell r="Z617">
            <v>403.7</v>
          </cell>
        </row>
        <row r="618">
          <cell r="A618" t="str">
            <v xml:space="preserve"> 클램프 28C</v>
          </cell>
          <cell r="B618" t="str">
            <v xml:space="preserve"> 클램프</v>
          </cell>
          <cell r="C618" t="str">
            <v xml:space="preserve"> 28C</v>
          </cell>
          <cell r="D618" t="str">
            <v>개</v>
          </cell>
          <cell r="E618" t="str">
            <v>가설역사 :</v>
          </cell>
          <cell r="F618" t="str">
            <v xml:space="preserve"> 235.5 ÷ 1.5</v>
          </cell>
          <cell r="J618" t="str">
            <v xml:space="preserve"> 78 ÷ 1.5</v>
          </cell>
          <cell r="X618" t="str">
            <v>=</v>
          </cell>
          <cell r="Y618">
            <v>209</v>
          </cell>
          <cell r="Z618">
            <v>209</v>
          </cell>
        </row>
        <row r="619">
          <cell r="A619" t="str">
            <v xml:space="preserve"> 클램프 36C</v>
          </cell>
          <cell r="B619" t="str">
            <v xml:space="preserve"> 클램프</v>
          </cell>
          <cell r="C619" t="str">
            <v xml:space="preserve"> 36C</v>
          </cell>
          <cell r="D619" t="str">
            <v>개</v>
          </cell>
          <cell r="J619" t="str">
            <v xml:space="preserve"> 161 ÷ 1.5</v>
          </cell>
          <cell r="X619" t="str">
            <v>=</v>
          </cell>
          <cell r="Y619">
            <v>107.3</v>
          </cell>
          <cell r="Z619">
            <v>107.3</v>
          </cell>
        </row>
        <row r="620">
          <cell r="A620" t="str">
            <v/>
          </cell>
        </row>
        <row r="621">
          <cell r="A621" t="str">
            <v xml:space="preserve"> 노줄박스 설치 400×200×100</v>
          </cell>
          <cell r="B621" t="str">
            <v xml:space="preserve"> 노줄박스 설치</v>
          </cell>
          <cell r="C621" t="str">
            <v xml:space="preserve"> 400×200×100</v>
          </cell>
          <cell r="D621" t="str">
            <v>개</v>
          </cell>
          <cell r="E621" t="str">
            <v>가설역사 :</v>
          </cell>
          <cell r="F621">
            <v>22</v>
          </cell>
          <cell r="J621">
            <v>26</v>
          </cell>
          <cell r="X621" t="str">
            <v>=</v>
          </cell>
          <cell r="Y621">
            <v>48</v>
          </cell>
          <cell r="Z621">
            <v>48</v>
          </cell>
        </row>
        <row r="622">
          <cell r="A622" t="str">
            <v/>
          </cell>
        </row>
        <row r="623">
          <cell r="A623" t="str">
            <v xml:space="preserve"> 풀박스 설치 100×100×100</v>
          </cell>
          <cell r="B623" t="str">
            <v xml:space="preserve"> 풀박스 설치</v>
          </cell>
          <cell r="C623" t="str">
            <v xml:space="preserve"> 100×100×100</v>
          </cell>
          <cell r="D623" t="str">
            <v>개</v>
          </cell>
          <cell r="J623">
            <v>2</v>
          </cell>
          <cell r="X623" t="str">
            <v>=</v>
          </cell>
          <cell r="Y623">
            <v>2</v>
          </cell>
          <cell r="Z623">
            <v>2</v>
          </cell>
        </row>
        <row r="624">
          <cell r="A624" t="str">
            <v xml:space="preserve"> 풀박스 설치 400×400×200</v>
          </cell>
          <cell r="B624" t="str">
            <v xml:space="preserve"> 풀박스 설치</v>
          </cell>
          <cell r="C624" t="str">
            <v xml:space="preserve"> 400×400×200</v>
          </cell>
          <cell r="D624" t="str">
            <v>개</v>
          </cell>
          <cell r="E624" t="str">
            <v>가설역사 :</v>
          </cell>
          <cell r="F624">
            <v>1</v>
          </cell>
          <cell r="J624">
            <v>3</v>
          </cell>
          <cell r="X624" t="str">
            <v>=</v>
          </cell>
          <cell r="Y624">
            <v>4</v>
          </cell>
          <cell r="Z624">
            <v>4</v>
          </cell>
        </row>
        <row r="625">
          <cell r="A625" t="str">
            <v xml:space="preserve"> 풀박스 설치 500×500×300</v>
          </cell>
          <cell r="B625" t="str">
            <v xml:space="preserve"> 풀박스 설치</v>
          </cell>
          <cell r="C625" t="str">
            <v xml:space="preserve"> 500×500×300</v>
          </cell>
          <cell r="D625" t="str">
            <v>개</v>
          </cell>
          <cell r="E625" t="str">
            <v>가설역사 :</v>
          </cell>
          <cell r="F625">
            <v>2</v>
          </cell>
          <cell r="X625" t="str">
            <v>=</v>
          </cell>
          <cell r="Y625">
            <v>2</v>
          </cell>
          <cell r="Z625">
            <v>2</v>
          </cell>
        </row>
        <row r="626">
          <cell r="A626" t="str">
            <v xml:space="preserve"> 풀박스 설치 200×200×200(매입)</v>
          </cell>
          <cell r="B626" t="str">
            <v xml:space="preserve"> 풀박스 설치</v>
          </cell>
          <cell r="C626" t="str">
            <v xml:space="preserve"> 200×200×200(매입)</v>
          </cell>
          <cell r="D626" t="str">
            <v>개</v>
          </cell>
          <cell r="E626" t="str">
            <v>가설역사 :</v>
          </cell>
          <cell r="F626">
            <v>1</v>
          </cell>
          <cell r="X626" t="str">
            <v>=</v>
          </cell>
          <cell r="Y626">
            <v>1</v>
          </cell>
          <cell r="Z626">
            <v>1</v>
          </cell>
        </row>
        <row r="632">
          <cell r="A632" t="str">
            <v xml:space="preserve"> 전선 신설 HIV 1.2mm</v>
          </cell>
          <cell r="B632" t="str">
            <v xml:space="preserve"> 전선 신설</v>
          </cell>
          <cell r="C632" t="str">
            <v xml:space="preserve"> HIV 1.2mm</v>
          </cell>
          <cell r="D632" t="str">
            <v>m</v>
          </cell>
          <cell r="E632" t="str">
            <v>[역무실 → 소화전]</v>
          </cell>
          <cell r="Z632">
            <v>2219.4999999999995</v>
          </cell>
        </row>
        <row r="633">
          <cell r="A633" t="str">
            <v/>
          </cell>
          <cell r="E633" t="str">
            <v>(15+1.5+4↑+1.5+0.5)x9+(0.5+16.5+2.5↓+1.5)x15</v>
          </cell>
          <cell r="Y633">
            <v>517.5</v>
          </cell>
        </row>
        <row r="634">
          <cell r="A634" t="str">
            <v/>
          </cell>
          <cell r="E634" t="str">
            <v>(0.5+17+0.5)x7+(0.5+25+0.5+1.5+2.5↓+1.5)x12</v>
          </cell>
          <cell r="Y634">
            <v>504</v>
          </cell>
        </row>
        <row r="635">
          <cell r="A635" t="str">
            <v/>
          </cell>
          <cell r="E635" t="str">
            <v>(0.5+11.5+2.5↓+1.5)x5</v>
          </cell>
          <cell r="Y635">
            <v>80</v>
          </cell>
        </row>
        <row r="636">
          <cell r="A636" t="str">
            <v/>
          </cell>
          <cell r="E636" t="str">
            <v>[소화전 → 감지기]</v>
          </cell>
        </row>
        <row r="637">
          <cell r="A637" t="str">
            <v/>
          </cell>
          <cell r="E637" t="str">
            <v>(1.5+2.5↑+13.5+0.3+6.5+0.3+5+0.3+5+0.3+6+0.3)x4</v>
          </cell>
          <cell r="Y637">
            <v>166</v>
          </cell>
        </row>
        <row r="638">
          <cell r="A638" t="str">
            <v/>
          </cell>
          <cell r="E638" t="str">
            <v>(3+0.3+3.5)x4</v>
          </cell>
          <cell r="Y638">
            <v>27.2</v>
          </cell>
        </row>
        <row r="639">
          <cell r="A639" t="str">
            <v/>
          </cell>
          <cell r="E639" t="str">
            <v>(1.5+2.5↑+11+0.3)x4+(0.3+9+0.3+8+0.3+13.5+0.3)x2</v>
          </cell>
          <cell r="Y639">
            <v>124.6</v>
          </cell>
        </row>
        <row r="640">
          <cell r="A640" t="str">
            <v/>
          </cell>
          <cell r="E640" t="str">
            <v>(8.5+0.3+9+0.3+13.5+0.3)x2</v>
          </cell>
          <cell r="Y640">
            <v>63.8</v>
          </cell>
        </row>
        <row r="641">
          <cell r="A641" t="str">
            <v/>
          </cell>
          <cell r="E641" t="str">
            <v>(1.5+2.5↑+10+0.3+11+0.3+11.5+0.3)x4</v>
          </cell>
          <cell r="Y641">
            <v>149.6</v>
          </cell>
        </row>
        <row r="642">
          <cell r="A642" t="str">
            <v/>
          </cell>
          <cell r="E642" t="str">
            <v>(1.5+2.5↑+20+0.3+5+0.3+5+0.3+5+0.3+4+0.3)x4</v>
          </cell>
          <cell r="Y642">
            <v>178</v>
          </cell>
        </row>
        <row r="643">
          <cell r="A643" t="str">
            <v/>
          </cell>
          <cell r="E643" t="str">
            <v>(1.5+2.5↑+10.5+0.3+7+0.3+7.5+0.3)x4</v>
          </cell>
          <cell r="Y643">
            <v>119.6</v>
          </cell>
        </row>
        <row r="644">
          <cell r="A644" t="str">
            <v/>
          </cell>
          <cell r="E644" t="str">
            <v>(1.5+2.5↑+3.5+0.3+8.5+0.3)x8+(0.3+2.5)x4</v>
          </cell>
          <cell r="Y644">
            <v>144</v>
          </cell>
        </row>
        <row r="645">
          <cell r="A645" t="str">
            <v/>
          </cell>
          <cell r="E645" t="str">
            <v>(0.3+8.5+0.3+9+0.3)x4+(0.3+8+0.3+9+0.3)x4</v>
          </cell>
          <cell r="Y645">
            <v>145.19999999999999</v>
          </cell>
        </row>
        <row r="646">
          <cell r="A646" t="str">
            <v/>
          </cell>
        </row>
        <row r="647">
          <cell r="A647" t="str">
            <v xml:space="preserve"> 전선 신설 HIV 1.6mm</v>
          </cell>
          <cell r="B647" t="str">
            <v xml:space="preserve"> 전선 신설</v>
          </cell>
          <cell r="C647" t="str">
            <v xml:space="preserve"> HIV 1.6mm</v>
          </cell>
          <cell r="D647" t="str">
            <v>m</v>
          </cell>
          <cell r="E647" t="str">
            <v>(15+1.5+4+1.5+0.5)x5+(0.5+16.5+2.5+1.5)x8</v>
          </cell>
          <cell r="Z647">
            <v>668.5</v>
          </cell>
        </row>
        <row r="648">
          <cell r="A648" t="str">
            <v/>
          </cell>
          <cell r="E648" t="str">
            <v>(0.5+17+0.5)x4+(0.5+25+0.5+1.5+2.5+1.5)x8</v>
          </cell>
        </row>
        <row r="649">
          <cell r="A649" t="str">
            <v/>
          </cell>
          <cell r="E649" t="str">
            <v>(0.5+11.5+2.5+1.5)x4</v>
          </cell>
          <cell r="X649" t="str">
            <v>=</v>
          </cell>
          <cell r="Y649">
            <v>668.5</v>
          </cell>
        </row>
        <row r="650">
          <cell r="A650" t="str">
            <v/>
          </cell>
        </row>
        <row r="651">
          <cell r="A651" t="str">
            <v xml:space="preserve"> 전선 신설 HIV 2.0mm</v>
          </cell>
          <cell r="B651" t="str">
            <v xml:space="preserve"> 전선 신설</v>
          </cell>
          <cell r="C651" t="str">
            <v xml:space="preserve"> HIV 2.0mm</v>
          </cell>
          <cell r="D651" t="str">
            <v>m</v>
          </cell>
          <cell r="E651" t="str">
            <v>(15+1.5+4+1.5+0.5)x2+(0.5+16.5+2.5+1.5)x4</v>
          </cell>
          <cell r="Z651">
            <v>323</v>
          </cell>
        </row>
        <row r="652">
          <cell r="A652" t="str">
            <v/>
          </cell>
          <cell r="E652" t="str">
            <v>(0.5+17+0.5)x2+(0.5+25+0.5+1.5+2.5+1.5)x4</v>
          </cell>
        </row>
        <row r="653">
          <cell r="A653" t="str">
            <v/>
          </cell>
          <cell r="E653" t="str">
            <v>(0.5+11.5+2.5+1.5)x2</v>
          </cell>
          <cell r="X653" t="str">
            <v>=</v>
          </cell>
          <cell r="Y653">
            <v>323</v>
          </cell>
        </row>
        <row r="654">
          <cell r="A654" t="str">
            <v xml:space="preserve"> 제어선 신설 CVV-SB 2C/1.25㎟</v>
          </cell>
          <cell r="B654" t="str">
            <v xml:space="preserve"> 제어선 신설</v>
          </cell>
          <cell r="C654" t="str">
            <v xml:space="preserve"> CVV-SB 2C/1.25㎟</v>
          </cell>
          <cell r="D654" t="str">
            <v>m</v>
          </cell>
          <cell r="E654">
            <v>20</v>
          </cell>
          <cell r="X654" t="str">
            <v>=</v>
          </cell>
          <cell r="Y654">
            <v>20</v>
          </cell>
          <cell r="Z654">
            <v>20</v>
          </cell>
        </row>
        <row r="655">
          <cell r="A655" t="str">
            <v/>
          </cell>
        </row>
        <row r="656">
          <cell r="A656" t="str">
            <v xml:space="preserve"> 후강전선관 신설 16C (천장노출)</v>
          </cell>
          <cell r="B656" t="str">
            <v xml:space="preserve"> 후강전선관 신설</v>
          </cell>
          <cell r="C656" t="str">
            <v xml:space="preserve"> 16C (천장노출)</v>
          </cell>
          <cell r="D656" t="str">
            <v>m</v>
          </cell>
          <cell r="E656" t="str">
            <v>(1.5x2)+16.5x2+17x3+25x2+11.5x3</v>
          </cell>
          <cell r="Z656">
            <v>424.5</v>
          </cell>
        </row>
        <row r="657">
          <cell r="A657" t="str">
            <v/>
          </cell>
          <cell r="E657" t="str">
            <v>13.5+6.5+5+5+6+3+3.5+11+13.5+9+8.5+13.5+8</v>
          </cell>
        </row>
        <row r="658">
          <cell r="A658" t="str">
            <v/>
          </cell>
          <cell r="E658" t="str">
            <v>3.5+9+8.5+8+3.5+9</v>
          </cell>
          <cell r="X658" t="str">
            <v>=</v>
          </cell>
          <cell r="Y658">
            <v>424.5</v>
          </cell>
        </row>
        <row r="659">
          <cell r="A659" t="str">
            <v/>
          </cell>
        </row>
        <row r="660">
          <cell r="A660" t="str">
            <v xml:space="preserve"> 후강전선관 신설 16C (벽매입)</v>
          </cell>
          <cell r="B660" t="str">
            <v xml:space="preserve"> 후강전선관 신설</v>
          </cell>
          <cell r="C660" t="str">
            <v xml:space="preserve"> 16C (벽매입)</v>
          </cell>
          <cell r="D660" t="str">
            <v>m</v>
          </cell>
          <cell r="E660" t="str">
            <v>2.5x2+2.5x2+2.5x2+2.5x4+2.5x5</v>
          </cell>
          <cell r="X660" t="str">
            <v>=</v>
          </cell>
          <cell r="Y660">
            <v>37.5</v>
          </cell>
          <cell r="Z660">
            <v>37.5</v>
          </cell>
        </row>
        <row r="662">
          <cell r="A662" t="str">
            <v xml:space="preserve"> 후강전선관 신설 22C (천장노출)</v>
          </cell>
          <cell r="B662" t="str">
            <v xml:space="preserve"> 후강전선관 신설</v>
          </cell>
          <cell r="C662" t="str">
            <v xml:space="preserve"> 22C (천장노출)</v>
          </cell>
          <cell r="D662" t="str">
            <v>m</v>
          </cell>
          <cell r="E662" t="str">
            <v xml:space="preserve"> 1.5 + 16.5 + 25</v>
          </cell>
          <cell r="X662" t="str">
            <v>=</v>
          </cell>
          <cell r="Y662">
            <v>43</v>
          </cell>
          <cell r="Z662">
            <v>43</v>
          </cell>
        </row>
        <row r="663">
          <cell r="A663" t="str">
            <v xml:space="preserve"> 후강전선관 신설 22C (벽매입)</v>
          </cell>
          <cell r="B663" t="str">
            <v xml:space="preserve"> 후강전선관 신설</v>
          </cell>
          <cell r="C663" t="str">
            <v xml:space="preserve"> 22C (벽매입)</v>
          </cell>
          <cell r="D663" t="str">
            <v>m</v>
          </cell>
          <cell r="E663" t="str">
            <v xml:space="preserve"> 2.5 + 2.5 + 2.5</v>
          </cell>
          <cell r="X663" t="str">
            <v>=</v>
          </cell>
          <cell r="Y663">
            <v>7.5</v>
          </cell>
          <cell r="Z663">
            <v>7.5</v>
          </cell>
        </row>
        <row r="664">
          <cell r="A664" t="str">
            <v/>
          </cell>
        </row>
        <row r="665">
          <cell r="A665" t="str">
            <v xml:space="preserve"> 후렉시블전선관 신설 16C (천장노출)</v>
          </cell>
          <cell r="B665" t="str">
            <v xml:space="preserve"> 후렉시블전선관 신설</v>
          </cell>
          <cell r="C665" t="str">
            <v xml:space="preserve"> 16C (천장노출)</v>
          </cell>
          <cell r="D665" t="str">
            <v>m</v>
          </cell>
          <cell r="E665" t="str">
            <v xml:space="preserve"> 31 × 3</v>
          </cell>
          <cell r="X665" t="str">
            <v>=</v>
          </cell>
          <cell r="Y665">
            <v>93</v>
          </cell>
          <cell r="Z665">
            <v>93</v>
          </cell>
        </row>
        <row r="666">
          <cell r="A666" t="str">
            <v/>
          </cell>
        </row>
        <row r="667">
          <cell r="A667" t="str">
            <v xml:space="preserve"> 풀박스 설치 200×200×100</v>
          </cell>
          <cell r="B667" t="str">
            <v xml:space="preserve"> 풀박스 설치</v>
          </cell>
          <cell r="C667" t="str">
            <v xml:space="preserve"> 200×200×100</v>
          </cell>
          <cell r="D667" t="str">
            <v>개</v>
          </cell>
          <cell r="E667">
            <v>3</v>
          </cell>
          <cell r="X667" t="str">
            <v>=</v>
          </cell>
          <cell r="Y667">
            <v>3</v>
          </cell>
          <cell r="Z667">
            <v>3</v>
          </cell>
        </row>
        <row r="668">
          <cell r="A668" t="str">
            <v/>
          </cell>
        </row>
        <row r="669">
          <cell r="A669" t="str">
            <v xml:space="preserve"> OUTLET BOX 설치 중형 4각 54mm</v>
          </cell>
          <cell r="B669" t="str">
            <v xml:space="preserve"> OUTLET BOX 설치</v>
          </cell>
          <cell r="C669" t="str">
            <v xml:space="preserve"> 중형 4각 54mm</v>
          </cell>
          <cell r="D669" t="str">
            <v>개</v>
          </cell>
          <cell r="E669">
            <v>34</v>
          </cell>
          <cell r="X669" t="str">
            <v>=</v>
          </cell>
          <cell r="Y669">
            <v>34</v>
          </cell>
          <cell r="Z669">
            <v>34</v>
          </cell>
        </row>
        <row r="671">
          <cell r="A671" t="str">
            <v xml:space="preserve"> C형 찬넬 설치 60×30×10×2.3t</v>
          </cell>
          <cell r="B671" t="str">
            <v xml:space="preserve"> C형 찬넬 설치</v>
          </cell>
          <cell r="C671" t="str">
            <v xml:space="preserve"> 60×30×10×2.3t</v>
          </cell>
          <cell r="D671" t="str">
            <v>개</v>
          </cell>
          <cell r="E671" t="str">
            <v xml:space="preserve"> (424.5 + 43) ÷ 3 ÷ 1.5 </v>
          </cell>
          <cell r="X671" t="str">
            <v>=</v>
          </cell>
          <cell r="Y671">
            <v>104</v>
          </cell>
          <cell r="Z671">
            <v>104</v>
          </cell>
        </row>
        <row r="673">
          <cell r="A673" t="str">
            <v xml:space="preserve"> 클램프 16C</v>
          </cell>
          <cell r="B673" t="str">
            <v xml:space="preserve"> 클램프</v>
          </cell>
          <cell r="C673" t="str">
            <v xml:space="preserve"> 16C</v>
          </cell>
          <cell r="D673" t="str">
            <v>개</v>
          </cell>
          <cell r="E673" t="str">
            <v xml:space="preserve"> 557 ÷ 1.5 </v>
          </cell>
          <cell r="I673" t="str">
            <v>424.5 ÷ 1.5</v>
          </cell>
          <cell r="X673" t="str">
            <v>=</v>
          </cell>
          <cell r="Y673">
            <v>655</v>
          </cell>
          <cell r="Z673">
            <v>655</v>
          </cell>
        </row>
        <row r="674">
          <cell r="A674" t="str">
            <v xml:space="preserve"> 클램프 22C</v>
          </cell>
          <cell r="B674" t="str">
            <v xml:space="preserve"> 클램프</v>
          </cell>
          <cell r="C674" t="str">
            <v xml:space="preserve"> 22C</v>
          </cell>
          <cell r="D674" t="str">
            <v>개</v>
          </cell>
          <cell r="E674" t="str">
            <v xml:space="preserve"> 93 ÷ 1.5 </v>
          </cell>
          <cell r="I674" t="str">
            <v>43 ÷ 1.5</v>
          </cell>
          <cell r="X674" t="str">
            <v>=</v>
          </cell>
          <cell r="Y674">
            <v>91</v>
          </cell>
          <cell r="Z674">
            <v>91</v>
          </cell>
        </row>
        <row r="675">
          <cell r="A675" t="str">
            <v/>
          </cell>
        </row>
        <row r="676">
          <cell r="A676" t="str">
            <v xml:space="preserve"> 수신기 설치 P형 1급 (10회로)</v>
          </cell>
          <cell r="B676" t="str">
            <v xml:space="preserve"> 수신기 설치</v>
          </cell>
          <cell r="C676" t="str">
            <v xml:space="preserve"> P형 1급 (10회로)</v>
          </cell>
          <cell r="D676" t="str">
            <v>Set</v>
          </cell>
          <cell r="E676">
            <v>1</v>
          </cell>
          <cell r="X676" t="str">
            <v>=</v>
          </cell>
          <cell r="Y676">
            <v>1</v>
          </cell>
          <cell r="Z676">
            <v>1</v>
          </cell>
        </row>
        <row r="677">
          <cell r="A677" t="str">
            <v/>
          </cell>
          <cell r="Z677">
            <v>0</v>
          </cell>
        </row>
        <row r="678">
          <cell r="A678" t="str">
            <v xml:space="preserve"> 수동 발신기 설치 소화전 내장</v>
          </cell>
          <cell r="B678" t="str">
            <v xml:space="preserve"> 수동 발신기 설치</v>
          </cell>
          <cell r="C678" t="str">
            <v xml:space="preserve"> 소화전 내장</v>
          </cell>
          <cell r="D678" t="str">
            <v>Set</v>
          </cell>
          <cell r="E678">
            <v>4</v>
          </cell>
          <cell r="X678" t="str">
            <v>=</v>
          </cell>
          <cell r="Y678">
            <v>4</v>
          </cell>
          <cell r="Z678">
            <v>4</v>
          </cell>
        </row>
        <row r="679">
          <cell r="A679" t="str">
            <v/>
          </cell>
        </row>
        <row r="680">
          <cell r="A680" t="str">
            <v xml:space="preserve"> 감지기 설치 정온식</v>
          </cell>
          <cell r="B680" t="str">
            <v xml:space="preserve"> 감지기 설치</v>
          </cell>
          <cell r="C680" t="str">
            <v xml:space="preserve"> 정온식</v>
          </cell>
          <cell r="D680" t="str">
            <v>개</v>
          </cell>
          <cell r="E680">
            <v>1</v>
          </cell>
          <cell r="X680" t="str">
            <v>=</v>
          </cell>
          <cell r="Y680">
            <v>1</v>
          </cell>
          <cell r="Z680">
            <v>1</v>
          </cell>
        </row>
        <row r="681">
          <cell r="A681" t="str">
            <v xml:space="preserve"> 감지기 설치 차동식</v>
          </cell>
          <cell r="B681" t="str">
            <v xml:space="preserve"> 감지기 설치</v>
          </cell>
          <cell r="C681" t="str">
            <v xml:space="preserve"> 차동식</v>
          </cell>
          <cell r="D681" t="str">
            <v>개</v>
          </cell>
          <cell r="E681">
            <v>32</v>
          </cell>
          <cell r="X681" t="str">
            <v>=</v>
          </cell>
          <cell r="Y681">
            <v>32</v>
          </cell>
          <cell r="Z681">
            <v>32</v>
          </cell>
        </row>
        <row r="682">
          <cell r="A682" t="str">
            <v xml:space="preserve"> 감지기 설치 연기식</v>
          </cell>
          <cell r="B682" t="str">
            <v xml:space="preserve"> 감지기 설치</v>
          </cell>
          <cell r="C682" t="str">
            <v xml:space="preserve"> 연기식</v>
          </cell>
          <cell r="D682" t="str">
            <v>개</v>
          </cell>
          <cell r="E682">
            <v>1</v>
          </cell>
          <cell r="X682" t="str">
            <v>=</v>
          </cell>
          <cell r="Y682">
            <v>1</v>
          </cell>
          <cell r="Z682">
            <v>1</v>
          </cell>
        </row>
        <row r="683">
          <cell r="A683" t="str">
            <v/>
          </cell>
        </row>
        <row r="684">
          <cell r="A684" t="str">
            <v/>
          </cell>
        </row>
        <row r="695">
          <cell r="A695" t="str">
            <v/>
          </cell>
        </row>
        <row r="696">
          <cell r="A696" t="str">
            <v/>
          </cell>
        </row>
        <row r="697">
          <cell r="A697" t="str">
            <v/>
          </cell>
        </row>
        <row r="698">
          <cell r="A698" t="str">
            <v/>
          </cell>
        </row>
        <row r="699">
          <cell r="A699" t="str">
            <v/>
          </cell>
        </row>
      </sheetData>
      <sheetData sheetId="3"/>
      <sheetData sheetId="4"/>
      <sheetData sheetId="5"/>
      <sheetData sheetId="6"/>
      <sheetData sheetId="7"/>
      <sheetData sheetId="8"/>
      <sheetData sheetId="9"/>
      <sheetData sheetId="10"/>
      <sheetData sheetId="11"/>
      <sheetData sheetId="12"/>
      <sheetData sheetId="13">
        <row r="3">
          <cell r="B3" t="str">
            <v>공   사   종   류</v>
          </cell>
          <cell r="D3" t="str">
            <v>규             격</v>
          </cell>
          <cell r="E3" t="str">
            <v>단위</v>
          </cell>
          <cell r="F3" t="str">
            <v>수 량</v>
          </cell>
          <cell r="G3" t="str">
            <v>단    가</v>
          </cell>
          <cell r="H3" t="str">
            <v>금    액</v>
          </cell>
          <cell r="I3" t="str">
            <v>기          사</v>
          </cell>
        </row>
        <row r="4">
          <cell r="B4">
            <v>1</v>
          </cell>
          <cell r="C4" t="str">
            <v xml:space="preserve"> 지중도체 신설</v>
          </cell>
          <cell r="D4" t="str">
            <v xml:space="preserve">  3Ω (100Ω,m)</v>
          </cell>
          <cell r="E4" t="str">
            <v>개소</v>
          </cell>
          <cell r="F4">
            <v>1</v>
          </cell>
        </row>
        <row r="5">
          <cell r="C5" t="str">
            <v>가, 재료비</v>
          </cell>
        </row>
        <row r="6">
          <cell r="A6" t="str">
            <v xml:space="preserve"> 접지봉  16D×1800㎜</v>
          </cell>
          <cell r="C6" t="str">
            <v xml:space="preserve"> 접지봉 </v>
          </cell>
          <cell r="D6" t="str">
            <v xml:space="preserve"> 16D×1800㎜</v>
          </cell>
          <cell r="E6" t="str">
            <v>본</v>
          </cell>
          <cell r="F6">
            <v>16</v>
          </cell>
          <cell r="G6">
            <v>3960</v>
          </cell>
          <cell r="H6">
            <v>63360</v>
          </cell>
          <cell r="I6">
            <v>0</v>
          </cell>
        </row>
        <row r="7">
          <cell r="A7" t="str">
            <v xml:space="preserve"> 접지봉콘넥터 Φ16</v>
          </cell>
          <cell r="C7" t="str">
            <v xml:space="preserve"> 접지봉콘넥터</v>
          </cell>
          <cell r="D7" t="str">
            <v xml:space="preserve"> Φ16</v>
          </cell>
          <cell r="E7" t="str">
            <v>개</v>
          </cell>
          <cell r="F7">
            <v>16</v>
          </cell>
          <cell r="G7">
            <v>700</v>
          </cell>
          <cell r="H7">
            <v>11200</v>
          </cell>
          <cell r="I7">
            <v>0</v>
          </cell>
        </row>
        <row r="8">
          <cell r="A8" t="str">
            <v xml:space="preserve"> 접지슬리브  100-60, 38㎜</v>
          </cell>
          <cell r="C8" t="str">
            <v xml:space="preserve"> 접지슬리브 </v>
          </cell>
          <cell r="D8" t="str">
            <v xml:space="preserve"> 100-60, 38㎜</v>
          </cell>
          <cell r="E8" t="str">
            <v>개</v>
          </cell>
          <cell r="F8">
            <v>17</v>
          </cell>
          <cell r="G8">
            <v>2000</v>
          </cell>
          <cell r="H8">
            <v>34000</v>
          </cell>
          <cell r="I8">
            <v>0</v>
          </cell>
        </row>
        <row r="9">
          <cell r="A9" t="str">
            <v xml:space="preserve"> 접지봉리드선   GV 38㎟</v>
          </cell>
          <cell r="C9" t="str">
            <v xml:space="preserve"> 접지봉리드선  </v>
          </cell>
          <cell r="D9" t="str">
            <v xml:space="preserve"> GV 38㎟</v>
          </cell>
          <cell r="E9" t="str">
            <v>m</v>
          </cell>
          <cell r="F9">
            <v>5.2</v>
          </cell>
          <cell r="G9">
            <v>2211</v>
          </cell>
          <cell r="H9">
            <v>11497</v>
          </cell>
          <cell r="I9">
            <v>0.1</v>
          </cell>
        </row>
        <row r="10">
          <cell r="A10" t="str">
            <v xml:space="preserve"> 접지용전선   GV 22㎟</v>
          </cell>
          <cell r="C10" t="str">
            <v xml:space="preserve"> 접지용전선  </v>
          </cell>
          <cell r="D10" t="str">
            <v xml:space="preserve"> GV 22㎟</v>
          </cell>
          <cell r="E10" t="str">
            <v>m</v>
          </cell>
          <cell r="F10">
            <v>33</v>
          </cell>
          <cell r="G10">
            <v>1468</v>
          </cell>
          <cell r="H10">
            <v>48444</v>
          </cell>
          <cell r="I10">
            <v>0.1</v>
          </cell>
        </row>
        <row r="11">
          <cell r="A11" t="str">
            <v xml:space="preserve"> 연동연선   AS 50㎟</v>
          </cell>
          <cell r="C11" t="str">
            <v xml:space="preserve"> 연동연선  </v>
          </cell>
          <cell r="D11" t="str">
            <v xml:space="preserve"> AS 50㎟</v>
          </cell>
          <cell r="E11" t="str">
            <v>m</v>
          </cell>
          <cell r="F11">
            <v>30</v>
          </cell>
          <cell r="G11">
            <v>2400</v>
          </cell>
          <cell r="H11">
            <v>72000</v>
          </cell>
          <cell r="I11">
            <v>0</v>
          </cell>
        </row>
        <row r="12">
          <cell r="A12" t="str">
            <v xml:space="preserve"> 동터미널 22㎟ 용</v>
          </cell>
          <cell r="C12" t="str">
            <v xml:space="preserve"> 동터미널</v>
          </cell>
          <cell r="D12" t="str">
            <v xml:space="preserve"> 22㎟ 용</v>
          </cell>
          <cell r="E12" t="str">
            <v>개</v>
          </cell>
          <cell r="F12">
            <v>1</v>
          </cell>
          <cell r="G12">
            <v>455</v>
          </cell>
          <cell r="H12">
            <v>455</v>
          </cell>
          <cell r="I12">
            <v>0</v>
          </cell>
        </row>
        <row r="13">
          <cell r="A13" t="str">
            <v xml:space="preserve"> 콘크리트표주 접지표당청규격</v>
          </cell>
          <cell r="C13" t="str">
            <v xml:space="preserve"> 콘크리트표주</v>
          </cell>
          <cell r="D13" t="str">
            <v xml:space="preserve"> 접지표당청규격</v>
          </cell>
          <cell r="E13" t="str">
            <v>개</v>
          </cell>
          <cell r="F13">
            <v>1</v>
          </cell>
          <cell r="G13">
            <v>10000</v>
          </cell>
          <cell r="H13">
            <v>10000</v>
          </cell>
          <cell r="I13">
            <v>0</v>
          </cell>
        </row>
        <row r="14">
          <cell r="B14" t="str">
            <v>소         계</v>
          </cell>
          <cell r="H14">
            <v>250956</v>
          </cell>
          <cell r="I14" t="str">
            <v>ⓐ</v>
          </cell>
        </row>
        <row r="15">
          <cell r="C15" t="str">
            <v>나, 노무비</v>
          </cell>
        </row>
        <row r="16">
          <cell r="A16" t="str">
            <v>1 통신외선공</v>
          </cell>
          <cell r="C16" t="str">
            <v xml:space="preserve"> 통신외선공</v>
          </cell>
          <cell r="E16" t="str">
            <v>인</v>
          </cell>
          <cell r="F16">
            <v>2.7600000000000002</v>
          </cell>
          <cell r="G16">
            <v>77946</v>
          </cell>
          <cell r="H16">
            <v>215130</v>
          </cell>
          <cell r="I16" t="str">
            <v>접지봉매설,통신 3-39</v>
          </cell>
        </row>
        <row r="17">
          <cell r="A17" t="str">
            <v>1 보통인부</v>
          </cell>
          <cell r="C17" t="str">
            <v xml:space="preserve"> 보통인부</v>
          </cell>
          <cell r="E17" t="str">
            <v>인</v>
          </cell>
          <cell r="F17">
            <v>4.5999999999999996</v>
          </cell>
          <cell r="G17">
            <v>34098</v>
          </cell>
          <cell r="H17">
            <v>156850</v>
          </cell>
          <cell r="I17" t="str">
            <v>접지봉매설,통신 3-39</v>
          </cell>
        </row>
        <row r="18">
          <cell r="B18" t="str">
            <v>소         계</v>
          </cell>
          <cell r="H18">
            <v>371980</v>
          </cell>
          <cell r="I18" t="str">
            <v>ⓑ</v>
          </cell>
        </row>
        <row r="19">
          <cell r="C19" t="str">
            <v>다, 기계경비</v>
          </cell>
        </row>
        <row r="20">
          <cell r="C20" t="str">
            <v xml:space="preserve"> 통신외선공</v>
          </cell>
          <cell r="E20" t="str">
            <v>인</v>
          </cell>
          <cell r="F20">
            <v>0.08</v>
          </cell>
          <cell r="G20">
            <v>77946</v>
          </cell>
          <cell r="H20">
            <v>6235.6</v>
          </cell>
        </row>
        <row r="21">
          <cell r="B21" t="str">
            <v>소         계</v>
          </cell>
          <cell r="H21">
            <v>6235</v>
          </cell>
          <cell r="I21" t="str">
            <v>ⓒ</v>
          </cell>
        </row>
        <row r="22">
          <cell r="A22" t="str">
            <v>1재   료   비</v>
          </cell>
          <cell r="B22" t="str">
            <v>재   료   비</v>
          </cell>
          <cell r="D22" t="str">
            <v>ⓐ</v>
          </cell>
          <cell r="H22">
            <v>250956</v>
          </cell>
        </row>
        <row r="23">
          <cell r="A23" t="str">
            <v>1노   무   비</v>
          </cell>
          <cell r="B23" t="str">
            <v>노   무   비</v>
          </cell>
          <cell r="D23" t="str">
            <v>ⓑ</v>
          </cell>
          <cell r="H23">
            <v>371980</v>
          </cell>
        </row>
        <row r="24">
          <cell r="A24" t="str">
            <v>1경        비</v>
          </cell>
          <cell r="B24" t="str">
            <v>경        비</v>
          </cell>
          <cell r="D24" t="str">
            <v>ⓒ</v>
          </cell>
          <cell r="H24">
            <v>6235</v>
          </cell>
        </row>
        <row r="25">
          <cell r="B25" t="str">
            <v>계</v>
          </cell>
          <cell r="H25">
            <v>629171</v>
          </cell>
        </row>
        <row r="40">
          <cell r="B40">
            <v>2</v>
          </cell>
          <cell r="C40" t="str">
            <v xml:space="preserve"> 지중도체 신설</v>
          </cell>
          <cell r="D40" t="str">
            <v xml:space="preserve"> 50Ω (100Ω,m)</v>
          </cell>
          <cell r="E40" t="str">
            <v>개소</v>
          </cell>
          <cell r="F40">
            <v>1</v>
          </cell>
        </row>
        <row r="41">
          <cell r="C41" t="str">
            <v>가, 재료비</v>
          </cell>
        </row>
        <row r="42">
          <cell r="A42" t="str">
            <v xml:space="preserve"> 접지봉  16D×1800㎜</v>
          </cell>
          <cell r="C42" t="str">
            <v xml:space="preserve"> 접지봉 </v>
          </cell>
          <cell r="D42" t="str">
            <v xml:space="preserve"> 16D×1800㎜</v>
          </cell>
          <cell r="E42" t="str">
            <v>본</v>
          </cell>
          <cell r="F42">
            <v>2</v>
          </cell>
          <cell r="G42">
            <v>3960</v>
          </cell>
          <cell r="H42">
            <v>7920</v>
          </cell>
          <cell r="I42">
            <v>0</v>
          </cell>
        </row>
        <row r="43">
          <cell r="A43" t="str">
            <v xml:space="preserve"> 접지봉콘넥터 Φ16</v>
          </cell>
          <cell r="C43" t="str">
            <v xml:space="preserve"> 접지봉콘넥터</v>
          </cell>
          <cell r="D43" t="str">
            <v xml:space="preserve"> Φ16</v>
          </cell>
          <cell r="E43" t="str">
            <v>개</v>
          </cell>
          <cell r="F43">
            <v>2</v>
          </cell>
          <cell r="G43">
            <v>700</v>
          </cell>
          <cell r="H43">
            <v>1400</v>
          </cell>
          <cell r="I43">
            <v>0</v>
          </cell>
        </row>
        <row r="44">
          <cell r="A44" t="str">
            <v xml:space="preserve"> 접지슬리브  100-60, 38㎜</v>
          </cell>
          <cell r="C44" t="str">
            <v xml:space="preserve"> 접지슬리브 </v>
          </cell>
          <cell r="D44" t="str">
            <v xml:space="preserve"> 100-60, 38㎜</v>
          </cell>
          <cell r="E44" t="str">
            <v>개</v>
          </cell>
          <cell r="F44">
            <v>3</v>
          </cell>
          <cell r="G44">
            <v>2000</v>
          </cell>
          <cell r="H44">
            <v>6000</v>
          </cell>
          <cell r="I44">
            <v>0</v>
          </cell>
        </row>
        <row r="45">
          <cell r="A45" t="str">
            <v xml:space="preserve"> 접지봉리드선   GV 38㎟</v>
          </cell>
          <cell r="C45" t="str">
            <v xml:space="preserve"> 접지봉리드선  </v>
          </cell>
          <cell r="D45" t="str">
            <v xml:space="preserve"> GV 38㎟</v>
          </cell>
          <cell r="E45" t="str">
            <v>m</v>
          </cell>
          <cell r="F45">
            <v>0.6</v>
          </cell>
          <cell r="G45">
            <v>2211</v>
          </cell>
          <cell r="H45">
            <v>1326</v>
          </cell>
          <cell r="I45">
            <v>0.1</v>
          </cell>
        </row>
        <row r="46">
          <cell r="A46" t="str">
            <v xml:space="preserve"> 접지용전선   GV 22㎟</v>
          </cell>
          <cell r="C46" t="str">
            <v xml:space="preserve"> 접지용전선  </v>
          </cell>
          <cell r="D46" t="str">
            <v xml:space="preserve"> GV 22㎟</v>
          </cell>
          <cell r="E46" t="str">
            <v>m</v>
          </cell>
          <cell r="F46">
            <v>33</v>
          </cell>
          <cell r="G46">
            <v>1468</v>
          </cell>
          <cell r="H46">
            <v>48444</v>
          </cell>
          <cell r="I46">
            <v>0.1</v>
          </cell>
        </row>
        <row r="47">
          <cell r="A47" t="str">
            <v xml:space="preserve"> 연동연선   AS 50㎟</v>
          </cell>
          <cell r="C47" t="str">
            <v xml:space="preserve"> 연동연선  </v>
          </cell>
          <cell r="D47" t="str">
            <v xml:space="preserve"> AS 50㎟</v>
          </cell>
          <cell r="E47" t="str">
            <v>m</v>
          </cell>
          <cell r="F47">
            <v>2</v>
          </cell>
          <cell r="G47">
            <v>2400</v>
          </cell>
          <cell r="H47">
            <v>4800</v>
          </cell>
          <cell r="I47">
            <v>0</v>
          </cell>
        </row>
        <row r="48">
          <cell r="A48" t="str">
            <v xml:space="preserve"> 동터미널 22㎟ 용</v>
          </cell>
          <cell r="C48" t="str">
            <v xml:space="preserve"> 동터미널</v>
          </cell>
          <cell r="D48" t="str">
            <v xml:space="preserve"> 22㎟ 용</v>
          </cell>
          <cell r="E48" t="str">
            <v>개</v>
          </cell>
          <cell r="F48">
            <v>1</v>
          </cell>
          <cell r="G48">
            <v>455</v>
          </cell>
          <cell r="H48">
            <v>455</v>
          </cell>
          <cell r="I48">
            <v>0</v>
          </cell>
        </row>
        <row r="49">
          <cell r="A49" t="str">
            <v xml:space="preserve"> 콘크리트표주 접지표당청규격</v>
          </cell>
          <cell r="C49" t="str">
            <v xml:space="preserve"> 콘크리트표주</v>
          </cell>
          <cell r="D49" t="str">
            <v xml:space="preserve"> 접지표당청규격</v>
          </cell>
          <cell r="E49" t="str">
            <v>개</v>
          </cell>
          <cell r="F49">
            <v>1</v>
          </cell>
          <cell r="G49">
            <v>10000</v>
          </cell>
          <cell r="H49">
            <v>10000</v>
          </cell>
          <cell r="I49">
            <v>0</v>
          </cell>
        </row>
        <row r="50">
          <cell r="B50" t="str">
            <v>소         계</v>
          </cell>
          <cell r="H50">
            <v>80345</v>
          </cell>
          <cell r="I50" t="str">
            <v>ⓐ</v>
          </cell>
        </row>
        <row r="51">
          <cell r="C51" t="str">
            <v>나, 노무비</v>
          </cell>
        </row>
        <row r="52">
          <cell r="A52" t="str">
            <v>2 통신외선공</v>
          </cell>
          <cell r="C52" t="str">
            <v xml:space="preserve"> 통신외선공</v>
          </cell>
          <cell r="E52" t="str">
            <v>인</v>
          </cell>
          <cell r="F52">
            <v>0.52499999999999991</v>
          </cell>
          <cell r="G52">
            <v>77946</v>
          </cell>
          <cell r="H52">
            <v>40921</v>
          </cell>
          <cell r="I52" t="str">
            <v>접지봉매설,통신 3-39</v>
          </cell>
        </row>
        <row r="53">
          <cell r="A53" t="str">
            <v>2 보통인부</v>
          </cell>
          <cell r="C53" t="str">
            <v xml:space="preserve"> 보통인부</v>
          </cell>
          <cell r="E53" t="str">
            <v>인</v>
          </cell>
          <cell r="F53">
            <v>0.49000000000000005</v>
          </cell>
          <cell r="G53">
            <v>34098</v>
          </cell>
          <cell r="H53">
            <v>16708</v>
          </cell>
          <cell r="I53" t="str">
            <v>접지봉매설,통신 3-39</v>
          </cell>
        </row>
        <row r="54">
          <cell r="B54" t="str">
            <v>소         계</v>
          </cell>
          <cell r="H54">
            <v>57629</v>
          </cell>
          <cell r="I54" t="str">
            <v>ⓑ</v>
          </cell>
        </row>
        <row r="55">
          <cell r="C55" t="str">
            <v>다, 기계경비</v>
          </cell>
        </row>
        <row r="56">
          <cell r="C56" t="str">
            <v xml:space="preserve"> 통신외선공</v>
          </cell>
          <cell r="E56" t="str">
            <v>인</v>
          </cell>
          <cell r="F56">
            <v>0.01</v>
          </cell>
          <cell r="G56">
            <v>77946</v>
          </cell>
          <cell r="H56">
            <v>779</v>
          </cell>
        </row>
        <row r="57">
          <cell r="B57" t="str">
            <v>소         계</v>
          </cell>
          <cell r="H57">
            <v>779</v>
          </cell>
          <cell r="I57" t="str">
            <v>ⓒ</v>
          </cell>
        </row>
        <row r="58">
          <cell r="A58" t="str">
            <v>2재   료   비</v>
          </cell>
          <cell r="B58" t="str">
            <v>재   료   비</v>
          </cell>
          <cell r="D58" t="str">
            <v>ⓐ</v>
          </cell>
          <cell r="H58">
            <v>80345</v>
          </cell>
        </row>
        <row r="59">
          <cell r="A59" t="str">
            <v>2노   무   비</v>
          </cell>
          <cell r="B59" t="str">
            <v>노   무   비</v>
          </cell>
          <cell r="D59" t="str">
            <v>ⓑ</v>
          </cell>
          <cell r="H59">
            <v>57629</v>
          </cell>
        </row>
        <row r="60">
          <cell r="A60" t="str">
            <v>2경        비</v>
          </cell>
          <cell r="B60" t="str">
            <v>경        비</v>
          </cell>
          <cell r="D60" t="str">
            <v>ⓒ</v>
          </cell>
          <cell r="H60">
            <v>779</v>
          </cell>
        </row>
        <row r="61">
          <cell r="B61" t="str">
            <v>계</v>
          </cell>
          <cell r="H61">
            <v>138753</v>
          </cell>
        </row>
        <row r="76">
          <cell r="B76">
            <v>3</v>
          </cell>
          <cell r="C76" t="str">
            <v xml:space="preserve"> 핸드홀 신설</v>
          </cell>
          <cell r="D76" t="str">
            <v xml:space="preserve"> 3호</v>
          </cell>
          <cell r="E76" t="str">
            <v>기</v>
          </cell>
          <cell r="F76">
            <v>1</v>
          </cell>
        </row>
        <row r="77">
          <cell r="C77" t="str">
            <v>가, 재료비</v>
          </cell>
        </row>
        <row r="78">
          <cell r="A78" t="str">
            <v xml:space="preserve"> 시멘트(40㎏)  분공장도</v>
          </cell>
          <cell r="C78" t="str">
            <v xml:space="preserve"> 시멘트(40㎏) </v>
          </cell>
          <cell r="D78" t="str">
            <v xml:space="preserve"> 분공장도</v>
          </cell>
          <cell r="E78" t="str">
            <v>포</v>
          </cell>
          <cell r="F78">
            <v>27.495999999999999</v>
          </cell>
          <cell r="G78">
            <v>2450</v>
          </cell>
          <cell r="H78">
            <v>67365.2</v>
          </cell>
          <cell r="I78">
            <v>0</v>
          </cell>
        </row>
        <row r="79">
          <cell r="A79" t="str">
            <v xml:space="preserve"> 이형철근 SD30A</v>
          </cell>
          <cell r="C79" t="str">
            <v xml:space="preserve"> 이형철근</v>
          </cell>
          <cell r="D79" t="str">
            <v xml:space="preserve"> SD30A</v>
          </cell>
          <cell r="E79" t="str">
            <v>TON</v>
          </cell>
          <cell r="F79">
            <v>0.14699999999999999</v>
          </cell>
          <cell r="G79">
            <v>380000</v>
          </cell>
          <cell r="H79">
            <v>55860</v>
          </cell>
          <cell r="I79">
            <v>0</v>
          </cell>
        </row>
        <row r="80">
          <cell r="A80" t="str">
            <v xml:space="preserve"> 통신용맨홀(주철제)  통신용1120x620x132</v>
          </cell>
          <cell r="C80" t="str">
            <v xml:space="preserve"> 통신용맨홀(주철제) </v>
          </cell>
          <cell r="D80" t="str">
            <v xml:space="preserve"> 통신용1120x620x132</v>
          </cell>
          <cell r="E80" t="str">
            <v>조</v>
          </cell>
          <cell r="F80">
            <v>1</v>
          </cell>
          <cell r="G80">
            <v>250000</v>
          </cell>
          <cell r="H80">
            <v>250000</v>
          </cell>
          <cell r="I80">
            <v>0</v>
          </cell>
        </row>
        <row r="81">
          <cell r="A81" t="str">
            <v xml:space="preserve"> 케이블걸이쇠   2호</v>
          </cell>
          <cell r="C81" t="str">
            <v xml:space="preserve"> 케이블걸이쇠  </v>
          </cell>
          <cell r="D81" t="str">
            <v xml:space="preserve"> 2호</v>
          </cell>
          <cell r="E81" t="str">
            <v>개</v>
          </cell>
          <cell r="F81">
            <v>4</v>
          </cell>
          <cell r="G81">
            <v>1850</v>
          </cell>
          <cell r="H81">
            <v>7400</v>
          </cell>
          <cell r="I81">
            <v>0</v>
          </cell>
        </row>
        <row r="82">
          <cell r="A82" t="str">
            <v xml:space="preserve"> 케이블받침대   33×14×3×607</v>
          </cell>
          <cell r="C82" t="str">
            <v xml:space="preserve"> 케이블받침대  </v>
          </cell>
          <cell r="D82" t="str">
            <v xml:space="preserve"> 33×14×3×607</v>
          </cell>
          <cell r="E82" t="str">
            <v>개</v>
          </cell>
          <cell r="F82">
            <v>2</v>
          </cell>
          <cell r="G82">
            <v>7000</v>
          </cell>
          <cell r="H82">
            <v>14000</v>
          </cell>
          <cell r="I82">
            <v>0</v>
          </cell>
        </row>
        <row r="83">
          <cell r="A83" t="str">
            <v xml:space="preserve"> 앵커볼트(5/8")  M16  L250</v>
          </cell>
          <cell r="C83" t="str">
            <v xml:space="preserve"> 앵커볼트(5/8") </v>
          </cell>
          <cell r="D83" t="str">
            <v xml:space="preserve"> M16  L250</v>
          </cell>
          <cell r="E83" t="str">
            <v>조</v>
          </cell>
          <cell r="F83">
            <v>4</v>
          </cell>
          <cell r="G83">
            <v>295</v>
          </cell>
          <cell r="H83">
            <v>1180</v>
          </cell>
          <cell r="I83">
            <v>0</v>
          </cell>
        </row>
        <row r="84">
          <cell r="A84" t="str">
            <v xml:space="preserve"> 혼합골재  75㎜ 이하</v>
          </cell>
          <cell r="C84" t="str">
            <v xml:space="preserve"> 혼합골재 </v>
          </cell>
          <cell r="D84" t="str">
            <v xml:space="preserve"> 75㎜ 이하</v>
          </cell>
          <cell r="E84" t="str">
            <v>㎥</v>
          </cell>
          <cell r="F84">
            <v>0.83</v>
          </cell>
          <cell r="G84">
            <v>12000</v>
          </cell>
          <cell r="H84">
            <v>9960</v>
          </cell>
          <cell r="I84">
            <v>0</v>
          </cell>
        </row>
        <row r="85">
          <cell r="A85" t="str">
            <v xml:space="preserve"> 모래(세척사)  인천(도착도)</v>
          </cell>
          <cell r="C85" t="str">
            <v xml:space="preserve"> 모래(세척사) </v>
          </cell>
          <cell r="D85" t="str">
            <v xml:space="preserve"> 인천(도착도)</v>
          </cell>
          <cell r="E85" t="str">
            <v>㎥</v>
          </cell>
          <cell r="F85">
            <v>1.6140000000000001</v>
          </cell>
          <cell r="G85">
            <v>1750</v>
          </cell>
          <cell r="H85">
            <v>2824.5</v>
          </cell>
          <cell r="I85">
            <v>0</v>
          </cell>
        </row>
        <row r="86">
          <cell r="A86" t="str">
            <v xml:space="preserve"> 자갈(#467,Φ40)   인천(도착도)</v>
          </cell>
          <cell r="C86" t="str">
            <v xml:space="preserve"> 자갈(#467,Φ40)  </v>
          </cell>
          <cell r="D86" t="str">
            <v xml:space="preserve"> 인천(도착도)</v>
          </cell>
          <cell r="E86" t="str">
            <v>㎥</v>
          </cell>
          <cell r="F86">
            <v>2.8359999999999999</v>
          </cell>
          <cell r="G86">
            <v>18500</v>
          </cell>
          <cell r="H86">
            <v>52466</v>
          </cell>
          <cell r="I86">
            <v>0</v>
          </cell>
        </row>
        <row r="87">
          <cell r="A87" t="str">
            <v xml:space="preserve"> 보통합판(1급)  12T  1.21*2.42</v>
          </cell>
          <cell r="C87" t="str">
            <v xml:space="preserve"> 보통합판(1급) </v>
          </cell>
          <cell r="D87" t="str">
            <v xml:space="preserve"> 12T  1.21*2.42</v>
          </cell>
          <cell r="E87" t="str">
            <v>㎡</v>
          </cell>
          <cell r="F87">
            <v>9.99</v>
          </cell>
          <cell r="G87">
            <v>6181</v>
          </cell>
          <cell r="H87">
            <v>61748.1</v>
          </cell>
          <cell r="I87">
            <v>0</v>
          </cell>
        </row>
        <row r="88">
          <cell r="A88" t="str">
            <v xml:space="preserve"> 라왕  각재</v>
          </cell>
          <cell r="C88" t="str">
            <v xml:space="preserve"> 라왕 </v>
          </cell>
          <cell r="D88" t="str">
            <v xml:space="preserve"> 각재</v>
          </cell>
          <cell r="E88" t="str">
            <v>㎥</v>
          </cell>
          <cell r="F88">
            <v>0.36799999999999999</v>
          </cell>
          <cell r="G88">
            <v>986023</v>
          </cell>
          <cell r="H88">
            <v>362856.4</v>
          </cell>
          <cell r="I88">
            <v>0</v>
          </cell>
        </row>
        <row r="89">
          <cell r="A89" t="str">
            <v xml:space="preserve"> 어니일링(소)철선   #8  4.0mm</v>
          </cell>
          <cell r="C89" t="str">
            <v xml:space="preserve"> 어니일링(소)철선  </v>
          </cell>
          <cell r="D89" t="str">
            <v xml:space="preserve"> #8  4.0mm</v>
          </cell>
          <cell r="E89" t="str">
            <v>kg</v>
          </cell>
          <cell r="F89">
            <v>2.81</v>
          </cell>
          <cell r="G89">
            <v>570</v>
          </cell>
          <cell r="H89">
            <v>1601.7</v>
          </cell>
          <cell r="I89">
            <v>0</v>
          </cell>
        </row>
        <row r="90">
          <cell r="A90" t="str">
            <v xml:space="preserve"> 철못   N 50</v>
          </cell>
          <cell r="C90" t="str">
            <v xml:space="preserve"> 철못  </v>
          </cell>
          <cell r="D90" t="str">
            <v xml:space="preserve"> N 50</v>
          </cell>
          <cell r="E90" t="str">
            <v>kg</v>
          </cell>
          <cell r="F90">
            <v>1.94</v>
          </cell>
          <cell r="G90">
            <v>700</v>
          </cell>
          <cell r="H90">
            <v>1358</v>
          </cell>
          <cell r="I90">
            <v>0</v>
          </cell>
        </row>
        <row r="91">
          <cell r="A91" t="str">
            <v xml:space="preserve"> 박리제   유성</v>
          </cell>
          <cell r="C91" t="str">
            <v xml:space="preserve"> 박리제  </v>
          </cell>
          <cell r="D91" t="str">
            <v xml:space="preserve"> 유성</v>
          </cell>
          <cell r="E91" t="str">
            <v>ℓ</v>
          </cell>
          <cell r="F91">
            <v>1.84</v>
          </cell>
          <cell r="G91">
            <v>1300</v>
          </cell>
          <cell r="H91">
            <v>2392</v>
          </cell>
          <cell r="I91">
            <v>0</v>
          </cell>
        </row>
        <row r="92">
          <cell r="B92" t="str">
            <v>소         계</v>
          </cell>
          <cell r="H92">
            <v>891011</v>
          </cell>
          <cell r="I92" t="str">
            <v>ⓐ</v>
          </cell>
        </row>
        <row r="94">
          <cell r="C94" t="str">
            <v>나, 노무비</v>
          </cell>
        </row>
        <row r="95">
          <cell r="A95" t="str">
            <v>3 콘크리트공</v>
          </cell>
          <cell r="C95" t="str">
            <v xml:space="preserve"> 콘크리트공</v>
          </cell>
          <cell r="E95" t="str">
            <v>인</v>
          </cell>
          <cell r="F95">
            <v>2.83</v>
          </cell>
          <cell r="G95">
            <v>63605</v>
          </cell>
          <cell r="H95">
            <v>180002.1</v>
          </cell>
          <cell r="I95" t="str">
            <v>콘크리트,건설 6-1</v>
          </cell>
        </row>
        <row r="96">
          <cell r="A96" t="str">
            <v>3 형틀목공</v>
          </cell>
          <cell r="C96" t="str">
            <v xml:space="preserve"> 형틀목공</v>
          </cell>
          <cell r="E96" t="str">
            <v>인</v>
          </cell>
          <cell r="F96">
            <v>2.9</v>
          </cell>
          <cell r="G96">
            <v>65381</v>
          </cell>
          <cell r="H96">
            <v>189604.9</v>
          </cell>
          <cell r="I96" t="str">
            <v>거푸집,건설 6-3-나</v>
          </cell>
        </row>
        <row r="97">
          <cell r="A97" t="str">
            <v>3 철근공</v>
          </cell>
          <cell r="C97" t="str">
            <v xml:space="preserve"> 철근공</v>
          </cell>
          <cell r="E97" t="str">
            <v>인</v>
          </cell>
          <cell r="F97">
            <v>0.56999999999999995</v>
          </cell>
          <cell r="G97">
            <v>66944</v>
          </cell>
          <cell r="H97">
            <v>38158</v>
          </cell>
          <cell r="I97" t="str">
            <v>철근가공및조립,건설 29-6</v>
          </cell>
        </row>
        <row r="98">
          <cell r="A98" t="str">
            <v>3 미장공</v>
          </cell>
          <cell r="C98" t="str">
            <v xml:space="preserve"> 미장공</v>
          </cell>
          <cell r="E98" t="str">
            <v>인</v>
          </cell>
          <cell r="F98">
            <v>0.6</v>
          </cell>
          <cell r="G98">
            <v>61569</v>
          </cell>
          <cell r="H98">
            <v>36941.4</v>
          </cell>
          <cell r="I98" t="str">
            <v>수공철개,통신 3-35</v>
          </cell>
        </row>
        <row r="99">
          <cell r="A99" t="str">
            <v>3 철공</v>
          </cell>
          <cell r="C99" t="str">
            <v xml:space="preserve"> 철공</v>
          </cell>
          <cell r="E99" t="str">
            <v>인</v>
          </cell>
          <cell r="F99">
            <v>0.06</v>
          </cell>
          <cell r="G99">
            <v>59917</v>
          </cell>
          <cell r="H99">
            <v>3595</v>
          </cell>
          <cell r="I99" t="str">
            <v>지지철물,통신 3-48</v>
          </cell>
        </row>
        <row r="100">
          <cell r="A100" t="str">
            <v>3 보통인부</v>
          </cell>
          <cell r="C100" t="str">
            <v xml:space="preserve"> 보통인부</v>
          </cell>
          <cell r="E100" t="str">
            <v>인</v>
          </cell>
          <cell r="F100">
            <v>14.540000000000001</v>
          </cell>
          <cell r="G100">
            <v>34098</v>
          </cell>
          <cell r="H100">
            <v>495784.9</v>
          </cell>
          <cell r="I100" t="str">
            <v>터파기,건설 3-1-나</v>
          </cell>
        </row>
        <row r="101">
          <cell r="B101" t="str">
            <v>소         계</v>
          </cell>
          <cell r="H101">
            <v>944086.3</v>
          </cell>
          <cell r="I101" t="str">
            <v>ⓑ</v>
          </cell>
        </row>
        <row r="102">
          <cell r="C102" t="str">
            <v>다, 기계경비</v>
          </cell>
        </row>
        <row r="103">
          <cell r="C103" t="str">
            <v xml:space="preserve"> 콘크리트공</v>
          </cell>
          <cell r="E103" t="str">
            <v>인</v>
          </cell>
          <cell r="F103">
            <v>0.08</v>
          </cell>
          <cell r="G103">
            <v>63605</v>
          </cell>
          <cell r="H103">
            <v>5088.3999999999996</v>
          </cell>
        </row>
        <row r="104">
          <cell r="C104" t="str">
            <v xml:space="preserve"> 형틀목공</v>
          </cell>
          <cell r="E104" t="str">
            <v>인</v>
          </cell>
          <cell r="F104">
            <v>0.08</v>
          </cell>
          <cell r="G104">
            <v>65381</v>
          </cell>
          <cell r="H104">
            <v>5230.3999999999996</v>
          </cell>
        </row>
        <row r="105">
          <cell r="C105" t="str">
            <v xml:space="preserve"> 철근공</v>
          </cell>
          <cell r="E105" t="str">
            <v>인</v>
          </cell>
          <cell r="F105">
            <v>0.01</v>
          </cell>
          <cell r="G105">
            <v>66944</v>
          </cell>
          <cell r="H105">
            <v>669.4</v>
          </cell>
        </row>
        <row r="106">
          <cell r="C106" t="str">
            <v xml:space="preserve"> 미장공</v>
          </cell>
          <cell r="E106" t="str">
            <v>인</v>
          </cell>
          <cell r="F106">
            <v>0.01</v>
          </cell>
          <cell r="G106">
            <v>61569</v>
          </cell>
          <cell r="H106">
            <v>615.6</v>
          </cell>
        </row>
        <row r="107">
          <cell r="B107" t="str">
            <v>소         계</v>
          </cell>
          <cell r="H107">
            <v>11603.8</v>
          </cell>
          <cell r="I107" t="str">
            <v>ⓒ</v>
          </cell>
        </row>
        <row r="112">
          <cell r="A112" t="str">
            <v>3재   료   비</v>
          </cell>
          <cell r="B112" t="str">
            <v>재   료   비</v>
          </cell>
          <cell r="D112" t="str">
            <v>ⓐ</v>
          </cell>
          <cell r="H112">
            <v>891011</v>
          </cell>
        </row>
        <row r="113">
          <cell r="A113" t="str">
            <v>3노   무   비</v>
          </cell>
          <cell r="B113" t="str">
            <v>노   무   비</v>
          </cell>
          <cell r="D113" t="str">
            <v>ⓑ</v>
          </cell>
          <cell r="H113">
            <v>944086.3</v>
          </cell>
        </row>
        <row r="114">
          <cell r="A114" t="str">
            <v>3경        비</v>
          </cell>
          <cell r="B114" t="str">
            <v>경        비</v>
          </cell>
          <cell r="D114" t="str">
            <v>ⓒ</v>
          </cell>
          <cell r="H114">
            <v>11603.8</v>
          </cell>
        </row>
        <row r="115">
          <cell r="B115" t="str">
            <v>계</v>
          </cell>
          <cell r="H115">
            <v>1846701.1</v>
          </cell>
        </row>
        <row r="130">
          <cell r="B130">
            <v>4</v>
          </cell>
          <cell r="C130" t="str">
            <v xml:space="preserve"> 전화기 설치</v>
          </cell>
          <cell r="D130" t="str">
            <v xml:space="preserve"> MFC</v>
          </cell>
          <cell r="E130" t="str">
            <v>대</v>
          </cell>
          <cell r="F130">
            <v>1</v>
          </cell>
        </row>
        <row r="131">
          <cell r="C131" t="str">
            <v>가, 재료비</v>
          </cell>
        </row>
        <row r="132">
          <cell r="A132" t="str">
            <v xml:space="preserve"> 전화기  자동전화기(MFC)</v>
          </cell>
          <cell r="C132" t="str">
            <v xml:space="preserve"> 전화기 </v>
          </cell>
          <cell r="D132" t="str">
            <v xml:space="preserve"> 자동전화기(MFC)</v>
          </cell>
          <cell r="E132" t="str">
            <v>대</v>
          </cell>
          <cell r="F132">
            <v>1</v>
          </cell>
          <cell r="G132">
            <v>30000</v>
          </cell>
          <cell r="H132">
            <v>30000</v>
          </cell>
          <cell r="I132">
            <v>0</v>
          </cell>
        </row>
        <row r="133">
          <cell r="B133" t="str">
            <v>소         계</v>
          </cell>
          <cell r="H133">
            <v>30000</v>
          </cell>
          <cell r="I133" t="str">
            <v>ⓐ</v>
          </cell>
        </row>
        <row r="134">
          <cell r="C134" t="str">
            <v>나, 노무비</v>
          </cell>
        </row>
        <row r="135">
          <cell r="A135" t="str">
            <v>4 통신내선공</v>
          </cell>
          <cell r="C135" t="str">
            <v xml:space="preserve"> 통신내선공</v>
          </cell>
          <cell r="E135" t="str">
            <v>인</v>
          </cell>
          <cell r="F135">
            <v>0.02</v>
          </cell>
          <cell r="G135">
            <v>63738</v>
          </cell>
          <cell r="H135">
            <v>1274</v>
          </cell>
          <cell r="I135" t="str">
            <v>기본x(0.7),통신 3-29</v>
          </cell>
        </row>
        <row r="136">
          <cell r="B136" t="str">
            <v>소         계</v>
          </cell>
          <cell r="H136">
            <v>1274</v>
          </cell>
          <cell r="I136" t="str">
            <v>ⓑ</v>
          </cell>
        </row>
        <row r="137">
          <cell r="C137" t="str">
            <v>다, 기계경비</v>
          </cell>
        </row>
        <row r="138">
          <cell r="C138" t="str">
            <v xml:space="preserve"> 통신내선공</v>
          </cell>
          <cell r="E138" t="str">
            <v>인</v>
          </cell>
          <cell r="F138">
            <v>5.9999999999999995E-4</v>
          </cell>
          <cell r="G138">
            <v>63738</v>
          </cell>
          <cell r="H138">
            <v>38</v>
          </cell>
        </row>
        <row r="139">
          <cell r="B139" t="str">
            <v>소         계</v>
          </cell>
          <cell r="H139">
            <v>38</v>
          </cell>
          <cell r="I139" t="str">
            <v>ⓒ</v>
          </cell>
        </row>
        <row r="141">
          <cell r="A141" t="str">
            <v>4재   료   비</v>
          </cell>
          <cell r="B141" t="str">
            <v>재   료   비</v>
          </cell>
          <cell r="D141" t="str">
            <v>ⓐ</v>
          </cell>
          <cell r="H141">
            <v>30000</v>
          </cell>
        </row>
        <row r="142">
          <cell r="A142" t="str">
            <v>4노   무   비</v>
          </cell>
          <cell r="B142" t="str">
            <v>노   무   비</v>
          </cell>
          <cell r="D142" t="str">
            <v>ⓑ</v>
          </cell>
          <cell r="H142">
            <v>1274</v>
          </cell>
        </row>
        <row r="143">
          <cell r="A143" t="str">
            <v>4경        비</v>
          </cell>
          <cell r="B143" t="str">
            <v>경        비</v>
          </cell>
          <cell r="D143" t="str">
            <v>ⓒ</v>
          </cell>
          <cell r="H143">
            <v>38</v>
          </cell>
        </row>
        <row r="144">
          <cell r="B144" t="str">
            <v>계</v>
          </cell>
          <cell r="H144">
            <v>31312</v>
          </cell>
        </row>
        <row r="148">
          <cell r="B148">
            <v>5</v>
          </cell>
          <cell r="C148" t="str">
            <v xml:space="preserve"> 전화기 설치</v>
          </cell>
          <cell r="D148" t="str">
            <v xml:space="preserve"> 자동식 직통</v>
          </cell>
          <cell r="E148" t="str">
            <v>대</v>
          </cell>
          <cell r="F148">
            <v>1</v>
          </cell>
        </row>
        <row r="149">
          <cell r="C149" t="str">
            <v>가, 재료비</v>
          </cell>
        </row>
        <row r="150">
          <cell r="A150" t="str">
            <v xml:space="preserve"> 전화기  자동식직통</v>
          </cell>
          <cell r="C150" t="str">
            <v xml:space="preserve"> 전화기 </v>
          </cell>
          <cell r="D150" t="str">
            <v xml:space="preserve"> 자동식직통</v>
          </cell>
          <cell r="E150" t="str">
            <v>대</v>
          </cell>
          <cell r="F150">
            <v>1</v>
          </cell>
          <cell r="G150">
            <v>280000</v>
          </cell>
          <cell r="H150">
            <v>280000</v>
          </cell>
          <cell r="I150">
            <v>0</v>
          </cell>
        </row>
        <row r="151">
          <cell r="B151" t="str">
            <v>소         계</v>
          </cell>
          <cell r="H151">
            <v>280000</v>
          </cell>
          <cell r="I151" t="str">
            <v>ⓐ</v>
          </cell>
        </row>
        <row r="152">
          <cell r="C152" t="str">
            <v>나, 노무비</v>
          </cell>
        </row>
        <row r="153">
          <cell r="A153" t="str">
            <v>5 통신내선공</v>
          </cell>
          <cell r="C153" t="str">
            <v xml:space="preserve"> 통신내선공</v>
          </cell>
          <cell r="E153" t="str">
            <v>인</v>
          </cell>
          <cell r="F153">
            <v>0.35</v>
          </cell>
          <cell r="G153">
            <v>63738</v>
          </cell>
          <cell r="H153">
            <v>22308</v>
          </cell>
          <cell r="I153" t="str">
            <v>기본x(0.7),통신 3-29</v>
          </cell>
        </row>
        <row r="154">
          <cell r="B154" t="str">
            <v>소         계</v>
          </cell>
          <cell r="H154">
            <v>22308</v>
          </cell>
          <cell r="I154" t="str">
            <v>ⓑ</v>
          </cell>
        </row>
        <row r="155">
          <cell r="C155" t="str">
            <v>다, 기계경비</v>
          </cell>
        </row>
        <row r="156">
          <cell r="C156" t="str">
            <v xml:space="preserve"> 통신내선공</v>
          </cell>
          <cell r="E156" t="str">
            <v>인</v>
          </cell>
          <cell r="F156">
            <v>0.01</v>
          </cell>
          <cell r="G156">
            <v>63738</v>
          </cell>
          <cell r="H156">
            <v>637</v>
          </cell>
        </row>
        <row r="157">
          <cell r="B157" t="str">
            <v>소         계</v>
          </cell>
          <cell r="H157">
            <v>637</v>
          </cell>
          <cell r="I157" t="str">
            <v>ⓒ</v>
          </cell>
        </row>
        <row r="159">
          <cell r="A159" t="str">
            <v>5재   료   비</v>
          </cell>
          <cell r="B159" t="str">
            <v>재   료   비</v>
          </cell>
          <cell r="D159" t="str">
            <v>ⓐ</v>
          </cell>
          <cell r="H159">
            <v>280000</v>
          </cell>
        </row>
        <row r="160">
          <cell r="A160" t="str">
            <v>5노   무   비</v>
          </cell>
          <cell r="B160" t="str">
            <v>노   무   비</v>
          </cell>
          <cell r="D160" t="str">
            <v>ⓑ</v>
          </cell>
          <cell r="H160">
            <v>22308</v>
          </cell>
        </row>
        <row r="161">
          <cell r="A161" t="str">
            <v>5경        비</v>
          </cell>
          <cell r="B161" t="str">
            <v>경        비</v>
          </cell>
          <cell r="D161" t="str">
            <v>ⓒ</v>
          </cell>
          <cell r="H161">
            <v>637</v>
          </cell>
        </row>
        <row r="162">
          <cell r="B162" t="str">
            <v>계</v>
          </cell>
          <cell r="H162">
            <v>302945</v>
          </cell>
        </row>
        <row r="166">
          <cell r="B166">
            <v>6</v>
          </cell>
          <cell r="C166" t="str">
            <v xml:space="preserve"> KEY PHONE 설치</v>
          </cell>
          <cell r="D166" t="str">
            <v xml:space="preserve"> 모장치</v>
          </cell>
          <cell r="E166" t="str">
            <v>대</v>
          </cell>
          <cell r="F166">
            <v>1</v>
          </cell>
        </row>
        <row r="167">
          <cell r="C167" t="str">
            <v>가, 재료비</v>
          </cell>
        </row>
        <row r="168">
          <cell r="A168" t="str">
            <v xml:space="preserve"> KEY PHONE 모장치(GK50HB)10/16</v>
          </cell>
          <cell r="C168" t="str">
            <v xml:space="preserve"> KEY PHONE</v>
          </cell>
          <cell r="D168" t="str">
            <v xml:space="preserve"> 모장치(GK50HB)10/16</v>
          </cell>
          <cell r="E168" t="str">
            <v>대</v>
          </cell>
          <cell r="F168">
            <v>1</v>
          </cell>
          <cell r="G168">
            <v>456000</v>
          </cell>
          <cell r="H168">
            <v>456000</v>
          </cell>
          <cell r="I168">
            <v>0</v>
          </cell>
        </row>
        <row r="169">
          <cell r="B169" t="str">
            <v>소         계</v>
          </cell>
          <cell r="H169">
            <v>456000</v>
          </cell>
          <cell r="I169" t="str">
            <v>ⓐ</v>
          </cell>
        </row>
        <row r="170">
          <cell r="C170" t="str">
            <v>나, 노무비</v>
          </cell>
        </row>
        <row r="171">
          <cell r="A171" t="str">
            <v>6 통신설비공</v>
          </cell>
          <cell r="C171" t="str">
            <v xml:space="preserve"> 통신설비공</v>
          </cell>
          <cell r="E171" t="str">
            <v>인</v>
          </cell>
          <cell r="F171">
            <v>2</v>
          </cell>
          <cell r="G171">
            <v>66296</v>
          </cell>
          <cell r="H171">
            <v>132592</v>
          </cell>
          <cell r="I171" t="str">
            <v>기본,통신 3-29</v>
          </cell>
        </row>
        <row r="172">
          <cell r="A172" t="str">
            <v>6 통신내선공</v>
          </cell>
          <cell r="C172" t="str">
            <v xml:space="preserve"> 통신내선공</v>
          </cell>
          <cell r="E172" t="str">
            <v>인</v>
          </cell>
          <cell r="F172">
            <v>1</v>
          </cell>
          <cell r="G172">
            <v>63738</v>
          </cell>
          <cell r="H172">
            <v>63738</v>
          </cell>
          <cell r="I172" t="str">
            <v>기본,통신 3-29</v>
          </cell>
        </row>
        <row r="173">
          <cell r="B173" t="str">
            <v>소         계</v>
          </cell>
          <cell r="H173">
            <v>196330</v>
          </cell>
          <cell r="I173" t="str">
            <v>ⓑ</v>
          </cell>
        </row>
        <row r="174">
          <cell r="C174" t="str">
            <v>다, 기계경비</v>
          </cell>
        </row>
        <row r="175">
          <cell r="C175" t="str">
            <v xml:space="preserve"> 통신설비공</v>
          </cell>
          <cell r="E175" t="str">
            <v>인</v>
          </cell>
          <cell r="F175">
            <v>0.06</v>
          </cell>
          <cell r="G175">
            <v>66296</v>
          </cell>
          <cell r="H175">
            <v>3977</v>
          </cell>
        </row>
        <row r="176">
          <cell r="C176" t="str">
            <v xml:space="preserve"> 통신내선공</v>
          </cell>
          <cell r="E176" t="str">
            <v>인</v>
          </cell>
          <cell r="F176">
            <v>0.03</v>
          </cell>
          <cell r="G176">
            <v>63738</v>
          </cell>
          <cell r="H176">
            <v>1912</v>
          </cell>
        </row>
        <row r="177">
          <cell r="B177" t="str">
            <v>소         계</v>
          </cell>
          <cell r="H177">
            <v>5889</v>
          </cell>
          <cell r="I177" t="str">
            <v>ⓒ</v>
          </cell>
        </row>
        <row r="179">
          <cell r="A179" t="str">
            <v>6재   료   비</v>
          </cell>
          <cell r="B179" t="str">
            <v>재   료   비</v>
          </cell>
          <cell r="D179" t="str">
            <v>ⓐ</v>
          </cell>
          <cell r="H179">
            <v>456000</v>
          </cell>
        </row>
        <row r="180">
          <cell r="A180" t="str">
            <v>6노   무   비</v>
          </cell>
          <cell r="B180" t="str">
            <v>노   무   비</v>
          </cell>
          <cell r="D180" t="str">
            <v>ⓑ</v>
          </cell>
          <cell r="H180">
            <v>196330</v>
          </cell>
        </row>
        <row r="181">
          <cell r="A181" t="str">
            <v>6경        비</v>
          </cell>
          <cell r="B181" t="str">
            <v>경        비</v>
          </cell>
          <cell r="D181" t="str">
            <v>ⓒ</v>
          </cell>
          <cell r="H181">
            <v>5889</v>
          </cell>
        </row>
        <row r="182">
          <cell r="B182" t="str">
            <v>계</v>
          </cell>
          <cell r="H182">
            <v>658219</v>
          </cell>
        </row>
        <row r="184">
          <cell r="B184">
            <v>7</v>
          </cell>
          <cell r="C184" t="str">
            <v xml:space="preserve"> KEY PHONE 설치</v>
          </cell>
          <cell r="D184" t="str">
            <v xml:space="preserve"> 자장치</v>
          </cell>
          <cell r="E184" t="str">
            <v>대</v>
          </cell>
          <cell r="F184">
            <v>1</v>
          </cell>
        </row>
        <row r="185">
          <cell r="C185" t="str">
            <v>가, 재료비</v>
          </cell>
        </row>
        <row r="186">
          <cell r="A186" t="str">
            <v xml:space="preserve"> KEY PHONE 자장치(33LG)</v>
          </cell>
          <cell r="C186" t="str">
            <v xml:space="preserve"> KEY PHONE</v>
          </cell>
          <cell r="D186" t="str">
            <v xml:space="preserve"> 자장치(33LG)</v>
          </cell>
          <cell r="E186" t="str">
            <v>대</v>
          </cell>
          <cell r="F186">
            <v>1</v>
          </cell>
          <cell r="G186">
            <v>95000</v>
          </cell>
          <cell r="H186">
            <v>95000</v>
          </cell>
          <cell r="I186">
            <v>0</v>
          </cell>
        </row>
        <row r="187">
          <cell r="B187" t="str">
            <v>소         계</v>
          </cell>
          <cell r="H187">
            <v>95000</v>
          </cell>
          <cell r="I187" t="str">
            <v>ⓐ</v>
          </cell>
        </row>
        <row r="188">
          <cell r="C188" t="str">
            <v>나, 노무비</v>
          </cell>
        </row>
        <row r="189">
          <cell r="A189" t="str">
            <v>7 통신내선공</v>
          </cell>
          <cell r="C189" t="str">
            <v xml:space="preserve"> 통신내선공</v>
          </cell>
          <cell r="E189" t="str">
            <v>인</v>
          </cell>
          <cell r="F189">
            <v>0.5</v>
          </cell>
          <cell r="G189">
            <v>63738</v>
          </cell>
          <cell r="H189">
            <v>31869</v>
          </cell>
          <cell r="I189" t="str">
            <v>기본,통신 3-29</v>
          </cell>
        </row>
        <row r="190">
          <cell r="B190" t="str">
            <v>소         계</v>
          </cell>
          <cell r="H190">
            <v>31869</v>
          </cell>
          <cell r="I190" t="str">
            <v>ⓑ</v>
          </cell>
        </row>
        <row r="191">
          <cell r="C191" t="str">
            <v>다, 기계경비</v>
          </cell>
        </row>
        <row r="192">
          <cell r="C192" t="str">
            <v xml:space="preserve"> 통신내선공</v>
          </cell>
          <cell r="E192" t="str">
            <v>인</v>
          </cell>
          <cell r="F192">
            <v>0.01</v>
          </cell>
          <cell r="G192">
            <v>63738</v>
          </cell>
          <cell r="H192">
            <v>637</v>
          </cell>
        </row>
        <row r="193">
          <cell r="B193" t="str">
            <v>소         계</v>
          </cell>
          <cell r="H193">
            <v>637</v>
          </cell>
          <cell r="I193" t="str">
            <v>ⓒ</v>
          </cell>
        </row>
        <row r="195">
          <cell r="A195" t="str">
            <v>7재   료   비</v>
          </cell>
          <cell r="B195" t="str">
            <v>재   료   비</v>
          </cell>
          <cell r="D195" t="str">
            <v>ⓐ</v>
          </cell>
          <cell r="H195">
            <v>95000</v>
          </cell>
        </row>
        <row r="196">
          <cell r="A196" t="str">
            <v>7노   무   비</v>
          </cell>
          <cell r="B196" t="str">
            <v>노   무   비</v>
          </cell>
          <cell r="D196" t="str">
            <v>ⓑ</v>
          </cell>
          <cell r="H196">
            <v>31869</v>
          </cell>
        </row>
        <row r="197">
          <cell r="A197" t="str">
            <v>7경        비</v>
          </cell>
          <cell r="B197" t="str">
            <v>경        비</v>
          </cell>
          <cell r="D197" t="str">
            <v>ⓒ</v>
          </cell>
          <cell r="H197">
            <v>637</v>
          </cell>
        </row>
        <row r="198">
          <cell r="B198" t="str">
            <v>계</v>
          </cell>
          <cell r="H198">
            <v>127506</v>
          </cell>
        </row>
        <row r="202">
          <cell r="B202">
            <v>8</v>
          </cell>
          <cell r="C202" t="str">
            <v xml:space="preserve"> VIDEO PHONE 설치</v>
          </cell>
          <cell r="D202" t="str">
            <v xml:space="preserve"> 모장치</v>
          </cell>
          <cell r="E202" t="str">
            <v>대</v>
          </cell>
          <cell r="F202">
            <v>1</v>
          </cell>
        </row>
        <row r="203">
          <cell r="C203" t="str">
            <v>가, 재료비</v>
          </cell>
        </row>
        <row r="204">
          <cell r="A204" t="str">
            <v xml:space="preserve"> 비디오폰  모장치</v>
          </cell>
          <cell r="C204" t="str">
            <v xml:space="preserve"> 비디오폰 </v>
          </cell>
          <cell r="D204" t="str">
            <v xml:space="preserve"> 모장치</v>
          </cell>
          <cell r="E204" t="str">
            <v>대</v>
          </cell>
          <cell r="F204">
            <v>1</v>
          </cell>
          <cell r="G204">
            <v>180000</v>
          </cell>
          <cell r="H204">
            <v>180000</v>
          </cell>
          <cell r="I204">
            <v>0</v>
          </cell>
        </row>
        <row r="205">
          <cell r="B205" t="str">
            <v>소         계</v>
          </cell>
          <cell r="H205">
            <v>180000</v>
          </cell>
          <cell r="I205" t="str">
            <v>ⓐ</v>
          </cell>
        </row>
        <row r="206">
          <cell r="C206" t="str">
            <v>나, 노무비</v>
          </cell>
        </row>
        <row r="207">
          <cell r="A207" t="str">
            <v>8 통신설비공</v>
          </cell>
          <cell r="C207" t="str">
            <v xml:space="preserve"> 통신설비공</v>
          </cell>
          <cell r="E207" t="str">
            <v>인</v>
          </cell>
          <cell r="F207">
            <v>1</v>
          </cell>
          <cell r="G207">
            <v>66296</v>
          </cell>
          <cell r="H207">
            <v>66296</v>
          </cell>
          <cell r="I207" t="str">
            <v>기본,통신 3-29</v>
          </cell>
        </row>
        <row r="208">
          <cell r="A208" t="str">
            <v>8 통신내선공</v>
          </cell>
          <cell r="C208" t="str">
            <v xml:space="preserve"> 통신내선공</v>
          </cell>
          <cell r="E208" t="str">
            <v>인</v>
          </cell>
          <cell r="F208">
            <v>1</v>
          </cell>
          <cell r="G208">
            <v>63738</v>
          </cell>
          <cell r="H208">
            <v>63738</v>
          </cell>
          <cell r="I208" t="str">
            <v>기본,통신 3-29</v>
          </cell>
        </row>
        <row r="209">
          <cell r="B209" t="str">
            <v>소         계</v>
          </cell>
          <cell r="H209">
            <v>130034</v>
          </cell>
          <cell r="I209" t="str">
            <v>ⓑ</v>
          </cell>
        </row>
        <row r="210">
          <cell r="C210" t="str">
            <v>다, 기계경비</v>
          </cell>
        </row>
        <row r="211">
          <cell r="C211" t="str">
            <v xml:space="preserve"> 통신설비공</v>
          </cell>
          <cell r="E211" t="str">
            <v>인</v>
          </cell>
          <cell r="F211">
            <v>0.03</v>
          </cell>
          <cell r="G211">
            <v>66296</v>
          </cell>
          <cell r="H211">
            <v>1988.8</v>
          </cell>
        </row>
        <row r="212">
          <cell r="C212" t="str">
            <v xml:space="preserve"> 통신내선공</v>
          </cell>
          <cell r="E212" t="str">
            <v>인</v>
          </cell>
          <cell r="F212">
            <v>0.03</v>
          </cell>
          <cell r="G212">
            <v>63738</v>
          </cell>
          <cell r="H212">
            <v>1912.1</v>
          </cell>
        </row>
        <row r="213">
          <cell r="B213" t="str">
            <v>소         계</v>
          </cell>
          <cell r="H213">
            <v>3900</v>
          </cell>
          <cell r="I213" t="str">
            <v>ⓒ</v>
          </cell>
        </row>
        <row r="215">
          <cell r="A215" t="str">
            <v>8재   료   비</v>
          </cell>
          <cell r="B215" t="str">
            <v>재   료   비</v>
          </cell>
          <cell r="D215" t="str">
            <v>ⓐ</v>
          </cell>
          <cell r="H215">
            <v>180000</v>
          </cell>
        </row>
        <row r="216">
          <cell r="A216" t="str">
            <v>8노   무   비</v>
          </cell>
          <cell r="B216" t="str">
            <v>노   무   비</v>
          </cell>
          <cell r="D216" t="str">
            <v>ⓑ</v>
          </cell>
          <cell r="H216">
            <v>130034</v>
          </cell>
        </row>
        <row r="217">
          <cell r="A217" t="str">
            <v>8경        비</v>
          </cell>
          <cell r="B217" t="str">
            <v>경        비</v>
          </cell>
          <cell r="D217" t="str">
            <v>ⓒ</v>
          </cell>
          <cell r="H217">
            <v>3900</v>
          </cell>
        </row>
        <row r="218">
          <cell r="B218" t="str">
            <v>계</v>
          </cell>
          <cell r="H218">
            <v>313934</v>
          </cell>
        </row>
        <row r="220">
          <cell r="B220">
            <v>9</v>
          </cell>
          <cell r="C220" t="str">
            <v xml:space="preserve"> VIDEO PHONE 설치</v>
          </cell>
          <cell r="D220" t="str">
            <v xml:space="preserve"> 자장치</v>
          </cell>
          <cell r="E220" t="str">
            <v>대</v>
          </cell>
          <cell r="F220">
            <v>1</v>
          </cell>
        </row>
        <row r="221">
          <cell r="C221" t="str">
            <v>가, 재료비</v>
          </cell>
        </row>
        <row r="222">
          <cell r="A222" t="str">
            <v xml:space="preserve"> 비디오폰  자장치</v>
          </cell>
          <cell r="C222" t="str">
            <v xml:space="preserve"> 비디오폰 </v>
          </cell>
          <cell r="D222" t="str">
            <v xml:space="preserve"> 자장치</v>
          </cell>
          <cell r="E222" t="str">
            <v>대</v>
          </cell>
          <cell r="F222">
            <v>1</v>
          </cell>
          <cell r="G222">
            <v>140000</v>
          </cell>
          <cell r="H222">
            <v>140000</v>
          </cell>
          <cell r="I222">
            <v>0</v>
          </cell>
        </row>
        <row r="223">
          <cell r="A223" t="str">
            <v xml:space="preserve"> 렌즈 AUTO IRIS(8mm)</v>
          </cell>
          <cell r="C223" t="str">
            <v xml:space="preserve"> 렌즈</v>
          </cell>
          <cell r="D223" t="str">
            <v xml:space="preserve"> AUTO IRIS(8mm)</v>
          </cell>
          <cell r="E223" t="str">
            <v>개</v>
          </cell>
          <cell r="F223">
            <v>1</v>
          </cell>
          <cell r="G223">
            <v>160000</v>
          </cell>
          <cell r="H223">
            <v>160000</v>
          </cell>
          <cell r="I223">
            <v>0</v>
          </cell>
        </row>
        <row r="224">
          <cell r="B224" t="str">
            <v>소         계</v>
          </cell>
          <cell r="H224">
            <v>300000</v>
          </cell>
          <cell r="I224" t="str">
            <v>ⓐ</v>
          </cell>
        </row>
        <row r="225">
          <cell r="C225" t="str">
            <v>나, 노무비</v>
          </cell>
        </row>
        <row r="226">
          <cell r="A226" t="str">
            <v>9 통신설비공</v>
          </cell>
          <cell r="C226" t="str">
            <v xml:space="preserve"> 통신설비공</v>
          </cell>
          <cell r="E226" t="str">
            <v>인</v>
          </cell>
          <cell r="F226">
            <v>0.5</v>
          </cell>
          <cell r="G226">
            <v>66296</v>
          </cell>
          <cell r="H226">
            <v>33148</v>
          </cell>
          <cell r="I226" t="str">
            <v>기본,통신 3-29</v>
          </cell>
        </row>
        <row r="227">
          <cell r="B227" t="str">
            <v>소         계</v>
          </cell>
          <cell r="H227">
            <v>33148</v>
          </cell>
          <cell r="I227" t="str">
            <v>ⓑ</v>
          </cell>
        </row>
        <row r="228">
          <cell r="C228" t="str">
            <v>다, 기계경비</v>
          </cell>
        </row>
        <row r="229">
          <cell r="C229" t="str">
            <v xml:space="preserve"> 통신설비공</v>
          </cell>
          <cell r="E229" t="str">
            <v>인</v>
          </cell>
          <cell r="F229">
            <v>1.4999999999999999E-2</v>
          </cell>
          <cell r="G229">
            <v>66296</v>
          </cell>
          <cell r="H229">
            <v>994.4</v>
          </cell>
        </row>
        <row r="230">
          <cell r="B230" t="str">
            <v>소         계</v>
          </cell>
          <cell r="H230">
            <v>994</v>
          </cell>
          <cell r="I230" t="str">
            <v>ⓒ</v>
          </cell>
        </row>
        <row r="232">
          <cell r="A232" t="str">
            <v>9재   료   비</v>
          </cell>
          <cell r="B232" t="str">
            <v>재   료   비</v>
          </cell>
          <cell r="D232" t="str">
            <v>ⓐ</v>
          </cell>
          <cell r="H232">
            <v>300000</v>
          </cell>
        </row>
        <row r="233">
          <cell r="A233" t="str">
            <v>9노   무   비</v>
          </cell>
          <cell r="B233" t="str">
            <v>노   무   비</v>
          </cell>
          <cell r="D233" t="str">
            <v>ⓑ</v>
          </cell>
          <cell r="H233">
            <v>33148</v>
          </cell>
        </row>
        <row r="234">
          <cell r="A234" t="str">
            <v>9경        비</v>
          </cell>
          <cell r="B234" t="str">
            <v>경        비</v>
          </cell>
          <cell r="D234" t="str">
            <v>ⓒ</v>
          </cell>
          <cell r="H234">
            <v>994</v>
          </cell>
        </row>
        <row r="235">
          <cell r="B235" t="str">
            <v>계</v>
          </cell>
          <cell r="H235">
            <v>334142</v>
          </cell>
        </row>
        <row r="238">
          <cell r="B238">
            <v>10</v>
          </cell>
          <cell r="C238" t="str">
            <v xml:space="preserve"> 통신케이블 신설</v>
          </cell>
          <cell r="D238" t="str">
            <v xml:space="preserve"> CPEV 10P/.65</v>
          </cell>
          <cell r="E238" t="str">
            <v>m</v>
          </cell>
          <cell r="F238">
            <v>1</v>
          </cell>
        </row>
        <row r="239">
          <cell r="C239" t="str">
            <v>가, 재료비</v>
          </cell>
        </row>
        <row r="240">
          <cell r="A240" t="str">
            <v xml:space="preserve"> 통신케이블 CPEV 10P/0.65</v>
          </cell>
          <cell r="C240" t="str">
            <v xml:space="preserve"> 통신케이블</v>
          </cell>
          <cell r="D240" t="str">
            <v xml:space="preserve"> CPEV 10P/0.65</v>
          </cell>
          <cell r="E240" t="str">
            <v>m</v>
          </cell>
          <cell r="F240">
            <v>1.03</v>
          </cell>
          <cell r="G240">
            <v>902</v>
          </cell>
          <cell r="H240">
            <v>929</v>
          </cell>
          <cell r="I240">
            <v>0.03</v>
          </cell>
        </row>
        <row r="241">
          <cell r="B241" t="str">
            <v>소         계</v>
          </cell>
          <cell r="H241">
            <v>929</v>
          </cell>
          <cell r="I241" t="str">
            <v>ⓐ</v>
          </cell>
        </row>
        <row r="242">
          <cell r="C242" t="str">
            <v>나, 노무비</v>
          </cell>
        </row>
        <row r="243">
          <cell r="A243" t="str">
            <v>10 통신케이블공</v>
          </cell>
          <cell r="C243" t="str">
            <v xml:space="preserve"> 통신케이블공</v>
          </cell>
          <cell r="E243" t="str">
            <v>인</v>
          </cell>
          <cell r="F243">
            <v>1.7999999999999999E-2</v>
          </cell>
          <cell r="G243">
            <v>80042</v>
          </cell>
          <cell r="H243">
            <v>1440.7</v>
          </cell>
          <cell r="I243" t="str">
            <v>기본,통신 3-16</v>
          </cell>
        </row>
        <row r="244">
          <cell r="B244" t="str">
            <v>소         계</v>
          </cell>
          <cell r="H244">
            <v>1440</v>
          </cell>
          <cell r="I244" t="str">
            <v>ⓑ</v>
          </cell>
        </row>
        <row r="245">
          <cell r="C245" t="str">
            <v>다, 기계경비</v>
          </cell>
        </row>
        <row r="246">
          <cell r="C246" t="str">
            <v xml:space="preserve"> 통신케이블공</v>
          </cell>
          <cell r="E246" t="str">
            <v>인</v>
          </cell>
          <cell r="F246">
            <v>5.0000000000000001E-4</v>
          </cell>
          <cell r="G246">
            <v>80042</v>
          </cell>
          <cell r="H246">
            <v>40</v>
          </cell>
        </row>
        <row r="247">
          <cell r="B247" t="str">
            <v>소         계</v>
          </cell>
          <cell r="H247">
            <v>40</v>
          </cell>
          <cell r="I247" t="str">
            <v>ⓒ</v>
          </cell>
        </row>
        <row r="249">
          <cell r="A249" t="str">
            <v>10재   료   비</v>
          </cell>
          <cell r="B249" t="str">
            <v>재   료   비</v>
          </cell>
          <cell r="D249" t="str">
            <v>ⓐ</v>
          </cell>
          <cell r="H249">
            <v>929</v>
          </cell>
        </row>
        <row r="250">
          <cell r="A250" t="str">
            <v>10노   무   비</v>
          </cell>
          <cell r="B250" t="str">
            <v>노   무   비</v>
          </cell>
          <cell r="D250" t="str">
            <v>ⓑ</v>
          </cell>
          <cell r="H250">
            <v>1440</v>
          </cell>
        </row>
        <row r="251">
          <cell r="A251" t="str">
            <v>10경        비</v>
          </cell>
          <cell r="B251" t="str">
            <v>경        비</v>
          </cell>
          <cell r="D251" t="str">
            <v>ⓒ</v>
          </cell>
          <cell r="H251">
            <v>40</v>
          </cell>
        </row>
        <row r="252">
          <cell r="B252" t="str">
            <v>계</v>
          </cell>
          <cell r="H252">
            <v>2409</v>
          </cell>
        </row>
        <row r="256">
          <cell r="B256">
            <v>11</v>
          </cell>
          <cell r="C256" t="str">
            <v xml:space="preserve"> 통신케이블 신설</v>
          </cell>
          <cell r="D256" t="str">
            <v xml:space="preserve"> CPEV 20P/.65</v>
          </cell>
          <cell r="E256" t="str">
            <v>m</v>
          </cell>
          <cell r="F256">
            <v>1</v>
          </cell>
        </row>
        <row r="257">
          <cell r="C257" t="str">
            <v>가, 재료비</v>
          </cell>
        </row>
        <row r="258">
          <cell r="A258" t="str">
            <v xml:space="preserve"> 통신케이블 CPEV 20P/0.65</v>
          </cell>
          <cell r="C258" t="str">
            <v xml:space="preserve"> 통신케이블</v>
          </cell>
          <cell r="D258" t="str">
            <v xml:space="preserve"> CPEV 20P/0.65</v>
          </cell>
          <cell r="E258" t="str">
            <v>m</v>
          </cell>
          <cell r="F258">
            <v>1.03</v>
          </cell>
          <cell r="G258">
            <v>1333</v>
          </cell>
          <cell r="H258">
            <v>1372.9</v>
          </cell>
          <cell r="I258">
            <v>0.03</v>
          </cell>
        </row>
        <row r="259">
          <cell r="B259" t="str">
            <v>소         계</v>
          </cell>
          <cell r="H259">
            <v>1372</v>
          </cell>
          <cell r="I259" t="str">
            <v>ⓐ</v>
          </cell>
        </row>
        <row r="260">
          <cell r="C260" t="str">
            <v>나, 노무비</v>
          </cell>
        </row>
        <row r="261">
          <cell r="A261" t="str">
            <v>11 통신케이블공</v>
          </cell>
          <cell r="C261" t="str">
            <v xml:space="preserve"> 통신케이블공</v>
          </cell>
          <cell r="E261" t="str">
            <v>인</v>
          </cell>
          <cell r="F261">
            <v>2.1999999999999999E-2</v>
          </cell>
          <cell r="G261">
            <v>80042</v>
          </cell>
          <cell r="H261">
            <v>1760.9</v>
          </cell>
          <cell r="I261" t="str">
            <v>기본,통신 3-16</v>
          </cell>
        </row>
        <row r="262">
          <cell r="B262" t="str">
            <v>소         계</v>
          </cell>
          <cell r="H262">
            <v>1760</v>
          </cell>
          <cell r="I262" t="str">
            <v>ⓑ</v>
          </cell>
        </row>
        <row r="263">
          <cell r="C263" t="str">
            <v>다, 기계경비</v>
          </cell>
        </row>
        <row r="264">
          <cell r="C264" t="str">
            <v xml:space="preserve"> 통신케이블공</v>
          </cell>
          <cell r="E264" t="str">
            <v>인</v>
          </cell>
          <cell r="F264">
            <v>5.9999999999999995E-4</v>
          </cell>
          <cell r="G264">
            <v>80042</v>
          </cell>
          <cell r="H264">
            <v>48</v>
          </cell>
        </row>
        <row r="265">
          <cell r="B265" t="str">
            <v>소         계</v>
          </cell>
          <cell r="H265">
            <v>48</v>
          </cell>
          <cell r="I265" t="str">
            <v>ⓒ</v>
          </cell>
        </row>
        <row r="267">
          <cell r="A267" t="str">
            <v>11재   료   비</v>
          </cell>
          <cell r="B267" t="str">
            <v>재   료   비</v>
          </cell>
          <cell r="D267" t="str">
            <v>ⓐ</v>
          </cell>
          <cell r="H267">
            <v>1372</v>
          </cell>
        </row>
        <row r="268">
          <cell r="A268" t="str">
            <v>11노   무   비</v>
          </cell>
          <cell r="B268" t="str">
            <v>노   무   비</v>
          </cell>
          <cell r="D268" t="str">
            <v>ⓑ</v>
          </cell>
          <cell r="H268">
            <v>1760</v>
          </cell>
        </row>
        <row r="269">
          <cell r="A269" t="str">
            <v>11경        비</v>
          </cell>
          <cell r="B269" t="str">
            <v>경        비</v>
          </cell>
          <cell r="D269" t="str">
            <v>ⓒ</v>
          </cell>
          <cell r="H269">
            <v>48</v>
          </cell>
        </row>
        <row r="270">
          <cell r="B270" t="str">
            <v>계</v>
          </cell>
          <cell r="H270">
            <v>3180</v>
          </cell>
        </row>
        <row r="274">
          <cell r="B274">
            <v>12</v>
          </cell>
          <cell r="C274" t="str">
            <v xml:space="preserve"> 통신케이블 신설</v>
          </cell>
          <cell r="D274" t="str">
            <v xml:space="preserve"> CPEV 30P/.65</v>
          </cell>
          <cell r="E274" t="str">
            <v>m</v>
          </cell>
          <cell r="F274">
            <v>1</v>
          </cell>
        </row>
        <row r="275">
          <cell r="C275" t="str">
            <v>가, 재료비</v>
          </cell>
        </row>
        <row r="276">
          <cell r="A276" t="str">
            <v xml:space="preserve"> 통신케이블 CPEV 30P/0.65</v>
          </cell>
          <cell r="C276" t="str">
            <v xml:space="preserve"> 통신케이블</v>
          </cell>
          <cell r="D276" t="str">
            <v xml:space="preserve"> CPEV 30P/0.65</v>
          </cell>
          <cell r="E276" t="str">
            <v>m</v>
          </cell>
          <cell r="F276">
            <v>1.03</v>
          </cell>
          <cell r="G276">
            <v>1333</v>
          </cell>
          <cell r="H276">
            <v>1372.9</v>
          </cell>
          <cell r="I276">
            <v>0.03</v>
          </cell>
        </row>
        <row r="277">
          <cell r="B277" t="str">
            <v>소         계</v>
          </cell>
          <cell r="H277">
            <v>1372</v>
          </cell>
          <cell r="I277" t="str">
            <v>ⓐ</v>
          </cell>
        </row>
        <row r="278">
          <cell r="C278" t="str">
            <v>나, 노무비</v>
          </cell>
        </row>
        <row r="279">
          <cell r="A279" t="str">
            <v>12 통신케이블공</v>
          </cell>
          <cell r="C279" t="str">
            <v xml:space="preserve"> 통신케이블공</v>
          </cell>
          <cell r="E279" t="str">
            <v>인</v>
          </cell>
          <cell r="F279">
            <v>2.3E-2</v>
          </cell>
          <cell r="G279">
            <v>80042</v>
          </cell>
          <cell r="H279">
            <v>1840.9</v>
          </cell>
          <cell r="I279" t="str">
            <v>기본,통신 3-16</v>
          </cell>
        </row>
        <row r="280">
          <cell r="B280" t="str">
            <v>소         계</v>
          </cell>
          <cell r="H280">
            <v>1840</v>
          </cell>
          <cell r="I280" t="str">
            <v>ⓑ</v>
          </cell>
        </row>
        <row r="281">
          <cell r="C281" t="str">
            <v>다, 기계경비</v>
          </cell>
        </row>
        <row r="282">
          <cell r="C282" t="str">
            <v xml:space="preserve"> 통신케이블공</v>
          </cell>
          <cell r="E282" t="str">
            <v>인</v>
          </cell>
          <cell r="F282">
            <v>5.9999999999999995E-4</v>
          </cell>
          <cell r="G282">
            <v>80042</v>
          </cell>
          <cell r="H282">
            <v>48</v>
          </cell>
        </row>
        <row r="283">
          <cell r="B283" t="str">
            <v>소         계</v>
          </cell>
          <cell r="H283">
            <v>48</v>
          </cell>
          <cell r="I283" t="str">
            <v>ⓒ</v>
          </cell>
        </row>
        <row r="285">
          <cell r="A285" t="str">
            <v>12재   료   비</v>
          </cell>
          <cell r="B285" t="str">
            <v>재   료   비</v>
          </cell>
          <cell r="D285" t="str">
            <v>ⓐ</v>
          </cell>
          <cell r="H285">
            <v>1372</v>
          </cell>
        </row>
        <row r="286">
          <cell r="A286" t="str">
            <v>12노   무   비</v>
          </cell>
          <cell r="B286" t="str">
            <v>노   무   비</v>
          </cell>
          <cell r="D286" t="str">
            <v>ⓑ</v>
          </cell>
          <cell r="H286">
            <v>1840</v>
          </cell>
        </row>
        <row r="287">
          <cell r="A287" t="str">
            <v>12경        비</v>
          </cell>
          <cell r="B287" t="str">
            <v>경        비</v>
          </cell>
          <cell r="D287" t="str">
            <v>ⓒ</v>
          </cell>
          <cell r="H287">
            <v>48</v>
          </cell>
        </row>
        <row r="288">
          <cell r="B288" t="str">
            <v>계</v>
          </cell>
          <cell r="H288">
            <v>3260</v>
          </cell>
        </row>
        <row r="292">
          <cell r="B292">
            <v>13</v>
          </cell>
          <cell r="C292" t="str">
            <v xml:space="preserve"> 동축케이블 신설</v>
          </cell>
          <cell r="D292" t="str">
            <v xml:space="preserve"> 5C-2V</v>
          </cell>
          <cell r="E292" t="str">
            <v>m</v>
          </cell>
          <cell r="F292">
            <v>1</v>
          </cell>
        </row>
        <row r="293">
          <cell r="C293" t="str">
            <v>가, 재료비</v>
          </cell>
        </row>
        <row r="294">
          <cell r="A294" t="str">
            <v xml:space="preserve"> ECX CABLE   5C-2V</v>
          </cell>
          <cell r="C294" t="str">
            <v xml:space="preserve"> ECX CABLE  </v>
          </cell>
          <cell r="D294" t="str">
            <v xml:space="preserve"> 5C-2V</v>
          </cell>
          <cell r="E294" t="str">
            <v>m</v>
          </cell>
          <cell r="F294">
            <v>1.03</v>
          </cell>
          <cell r="G294">
            <v>488</v>
          </cell>
          <cell r="H294">
            <v>502.6</v>
          </cell>
          <cell r="I294">
            <v>0.03</v>
          </cell>
        </row>
        <row r="295">
          <cell r="B295" t="str">
            <v>소         계</v>
          </cell>
          <cell r="H295">
            <v>502</v>
          </cell>
          <cell r="I295" t="str">
            <v>ⓐ</v>
          </cell>
        </row>
        <row r="296">
          <cell r="C296" t="str">
            <v>나, 노무비</v>
          </cell>
        </row>
        <row r="297">
          <cell r="A297" t="str">
            <v>13 통신설비공</v>
          </cell>
          <cell r="C297" t="str">
            <v xml:space="preserve"> 통신설비공</v>
          </cell>
          <cell r="E297" t="str">
            <v>인</v>
          </cell>
          <cell r="F297">
            <v>1.7999999999999999E-2</v>
          </cell>
          <cell r="G297">
            <v>66296</v>
          </cell>
          <cell r="H297">
            <v>1193.3</v>
          </cell>
          <cell r="I297" t="str">
            <v>기본,통신 5-89</v>
          </cell>
        </row>
        <row r="298">
          <cell r="B298" t="str">
            <v>소         계</v>
          </cell>
          <cell r="H298">
            <v>1193</v>
          </cell>
          <cell r="I298" t="str">
            <v>ⓑ</v>
          </cell>
        </row>
        <row r="299">
          <cell r="C299" t="str">
            <v>다, 기계경비</v>
          </cell>
        </row>
        <row r="300">
          <cell r="C300" t="str">
            <v xml:space="preserve"> 통신설비공</v>
          </cell>
          <cell r="E300" t="str">
            <v>인</v>
          </cell>
          <cell r="F300">
            <v>5.0000000000000001E-4</v>
          </cell>
          <cell r="G300">
            <v>66296</v>
          </cell>
          <cell r="H300">
            <v>33.1</v>
          </cell>
        </row>
        <row r="301">
          <cell r="B301" t="str">
            <v>소         계</v>
          </cell>
          <cell r="H301">
            <v>33</v>
          </cell>
          <cell r="I301" t="str">
            <v>ⓒ</v>
          </cell>
        </row>
        <row r="303">
          <cell r="A303" t="str">
            <v>13재   료   비</v>
          </cell>
          <cell r="B303" t="str">
            <v>재   료   비</v>
          </cell>
          <cell r="D303" t="str">
            <v>ⓐ</v>
          </cell>
          <cell r="H303">
            <v>502</v>
          </cell>
        </row>
        <row r="304">
          <cell r="A304" t="str">
            <v>13노   무   비</v>
          </cell>
          <cell r="B304" t="str">
            <v>노   무   비</v>
          </cell>
          <cell r="D304" t="str">
            <v>ⓑ</v>
          </cell>
          <cell r="H304">
            <v>1193</v>
          </cell>
        </row>
        <row r="305">
          <cell r="A305" t="str">
            <v>13경        비</v>
          </cell>
          <cell r="B305" t="str">
            <v>경        비</v>
          </cell>
          <cell r="D305" t="str">
            <v>ⓒ</v>
          </cell>
          <cell r="H305">
            <v>33</v>
          </cell>
        </row>
        <row r="306">
          <cell r="B306" t="str">
            <v>계</v>
          </cell>
          <cell r="H306">
            <v>1728</v>
          </cell>
        </row>
        <row r="310">
          <cell r="B310">
            <v>14</v>
          </cell>
          <cell r="C310" t="str">
            <v xml:space="preserve"> 동축케이블 신설</v>
          </cell>
          <cell r="D310" t="str">
            <v xml:space="preserve"> 7C-2V</v>
          </cell>
          <cell r="E310" t="str">
            <v>m</v>
          </cell>
          <cell r="F310">
            <v>1</v>
          </cell>
        </row>
        <row r="311">
          <cell r="C311" t="str">
            <v>가, 재료비</v>
          </cell>
        </row>
        <row r="312">
          <cell r="A312" t="str">
            <v xml:space="preserve"> ECX CABLE   7C-2V</v>
          </cell>
          <cell r="C312" t="str">
            <v xml:space="preserve"> ECX CABLE  </v>
          </cell>
          <cell r="D312" t="str">
            <v xml:space="preserve"> 7C-2V</v>
          </cell>
          <cell r="E312" t="str">
            <v>m</v>
          </cell>
          <cell r="F312">
            <v>1.03</v>
          </cell>
          <cell r="G312">
            <v>883</v>
          </cell>
          <cell r="H312">
            <v>909.4</v>
          </cell>
          <cell r="I312">
            <v>0.03</v>
          </cell>
        </row>
        <row r="313">
          <cell r="B313" t="str">
            <v>소         계</v>
          </cell>
          <cell r="H313">
            <v>909</v>
          </cell>
          <cell r="I313" t="str">
            <v>ⓐ</v>
          </cell>
        </row>
        <row r="314">
          <cell r="C314" t="str">
            <v>나, 노무비</v>
          </cell>
        </row>
        <row r="315">
          <cell r="A315" t="str">
            <v>14 통신설비공</v>
          </cell>
          <cell r="C315" t="str">
            <v xml:space="preserve"> 통신설비공</v>
          </cell>
          <cell r="E315" t="str">
            <v>인</v>
          </cell>
          <cell r="F315">
            <v>2.1999999999999999E-2</v>
          </cell>
          <cell r="G315">
            <v>66296</v>
          </cell>
          <cell r="H315">
            <v>1458.5</v>
          </cell>
          <cell r="I315" t="str">
            <v>기본,통신 5-89</v>
          </cell>
        </row>
        <row r="316">
          <cell r="B316" t="str">
            <v>소         계</v>
          </cell>
          <cell r="H316">
            <v>1458</v>
          </cell>
          <cell r="I316" t="str">
            <v>ⓑ</v>
          </cell>
        </row>
        <row r="317">
          <cell r="C317" t="str">
            <v>다, 기계경비</v>
          </cell>
        </row>
        <row r="318">
          <cell r="C318" t="str">
            <v xml:space="preserve"> 통신설비공</v>
          </cell>
          <cell r="E318" t="str">
            <v>인</v>
          </cell>
          <cell r="F318">
            <v>5.9999999999999995E-4</v>
          </cell>
          <cell r="G318">
            <v>66296</v>
          </cell>
          <cell r="H318">
            <v>39.700000000000003</v>
          </cell>
        </row>
        <row r="319">
          <cell r="B319" t="str">
            <v>소         계</v>
          </cell>
          <cell r="H319">
            <v>39</v>
          </cell>
          <cell r="I319" t="str">
            <v>ⓒ</v>
          </cell>
        </row>
        <row r="321">
          <cell r="A321" t="str">
            <v>14재   료   비</v>
          </cell>
          <cell r="B321" t="str">
            <v>재   료   비</v>
          </cell>
          <cell r="D321" t="str">
            <v>ⓐ</v>
          </cell>
          <cell r="H321">
            <v>909</v>
          </cell>
        </row>
        <row r="322">
          <cell r="A322" t="str">
            <v>14노   무   비</v>
          </cell>
          <cell r="B322" t="str">
            <v>노   무   비</v>
          </cell>
          <cell r="D322" t="str">
            <v>ⓑ</v>
          </cell>
          <cell r="H322">
            <v>1458</v>
          </cell>
        </row>
        <row r="323">
          <cell r="A323" t="str">
            <v>14경        비</v>
          </cell>
          <cell r="B323" t="str">
            <v>경        비</v>
          </cell>
          <cell r="D323" t="str">
            <v>ⓒ</v>
          </cell>
          <cell r="H323">
            <v>39</v>
          </cell>
        </row>
        <row r="324">
          <cell r="B324" t="str">
            <v>계</v>
          </cell>
          <cell r="H324">
            <v>2406</v>
          </cell>
        </row>
        <row r="328">
          <cell r="B328">
            <v>15</v>
          </cell>
          <cell r="C328" t="str">
            <v xml:space="preserve"> 전원선 신설</v>
          </cell>
          <cell r="D328" t="str">
            <v xml:space="preserve"> CV 2C/5.5㎟</v>
          </cell>
          <cell r="E328" t="str">
            <v>m</v>
          </cell>
          <cell r="F328">
            <v>1</v>
          </cell>
        </row>
        <row r="329">
          <cell r="C329" t="str">
            <v>가, 재료비</v>
          </cell>
        </row>
        <row r="330">
          <cell r="A330" t="str">
            <v xml:space="preserve"> 600V 가교PE 케이블   CV 2C/5.5㎟</v>
          </cell>
          <cell r="C330" t="str">
            <v xml:space="preserve"> 600V 가교PE 케이블  </v>
          </cell>
          <cell r="D330" t="str">
            <v xml:space="preserve"> CV 2C/5.5㎟</v>
          </cell>
          <cell r="E330" t="str">
            <v>m</v>
          </cell>
          <cell r="F330">
            <v>1.03</v>
          </cell>
          <cell r="G330">
            <v>918</v>
          </cell>
          <cell r="H330">
            <v>945.5</v>
          </cell>
          <cell r="I330">
            <v>0.03</v>
          </cell>
        </row>
        <row r="331">
          <cell r="B331" t="str">
            <v>소         계</v>
          </cell>
          <cell r="H331">
            <v>945</v>
          </cell>
          <cell r="I331" t="str">
            <v>ⓐ</v>
          </cell>
        </row>
        <row r="332">
          <cell r="C332" t="str">
            <v>나, 노무비</v>
          </cell>
        </row>
        <row r="333">
          <cell r="A333" t="str">
            <v>15 저압케이블전공</v>
          </cell>
          <cell r="C333" t="str">
            <v xml:space="preserve"> 저압케이블전공</v>
          </cell>
          <cell r="E333" t="str">
            <v>인</v>
          </cell>
          <cell r="F333">
            <v>1.7999999999999999E-2</v>
          </cell>
          <cell r="G333">
            <v>55486</v>
          </cell>
          <cell r="H333">
            <v>998.7</v>
          </cell>
          <cell r="I333" t="str">
            <v>기본,전기 7-10</v>
          </cell>
        </row>
        <row r="334">
          <cell r="B334" t="str">
            <v>소         계</v>
          </cell>
          <cell r="H334">
            <v>998</v>
          </cell>
          <cell r="I334" t="str">
            <v>ⓑ</v>
          </cell>
        </row>
        <row r="335">
          <cell r="C335" t="str">
            <v>다, 기계경비</v>
          </cell>
        </row>
        <row r="336">
          <cell r="C336" t="str">
            <v xml:space="preserve"> 저압케이블전공</v>
          </cell>
          <cell r="E336" t="str">
            <v>인</v>
          </cell>
          <cell r="F336">
            <v>5.0000000000000001E-4</v>
          </cell>
          <cell r="G336">
            <v>55486</v>
          </cell>
          <cell r="H336">
            <v>27.7</v>
          </cell>
        </row>
        <row r="337">
          <cell r="B337" t="str">
            <v>소         계</v>
          </cell>
          <cell r="H337">
            <v>27</v>
          </cell>
          <cell r="I337" t="str">
            <v>ⓒ</v>
          </cell>
        </row>
        <row r="339">
          <cell r="A339" t="str">
            <v>15재   료   비</v>
          </cell>
          <cell r="B339" t="str">
            <v>재   료   비</v>
          </cell>
          <cell r="D339" t="str">
            <v>ⓐ</v>
          </cell>
          <cell r="H339">
            <v>945</v>
          </cell>
        </row>
        <row r="340">
          <cell r="A340" t="str">
            <v>15노   무   비</v>
          </cell>
          <cell r="B340" t="str">
            <v>노   무   비</v>
          </cell>
          <cell r="D340" t="str">
            <v>ⓑ</v>
          </cell>
          <cell r="H340">
            <v>998</v>
          </cell>
        </row>
        <row r="341">
          <cell r="A341" t="str">
            <v>15경        비</v>
          </cell>
          <cell r="B341" t="str">
            <v>경        비</v>
          </cell>
          <cell r="D341" t="str">
            <v>ⓒ</v>
          </cell>
          <cell r="H341">
            <v>27</v>
          </cell>
        </row>
        <row r="342">
          <cell r="B342" t="str">
            <v>계</v>
          </cell>
          <cell r="H342">
            <v>1970</v>
          </cell>
        </row>
        <row r="346">
          <cell r="B346">
            <v>16</v>
          </cell>
          <cell r="C346" t="str">
            <v xml:space="preserve"> 전화선 신설</v>
          </cell>
          <cell r="D346" t="str">
            <v xml:space="preserve"> TIV 2C/.8mm</v>
          </cell>
          <cell r="E346" t="str">
            <v>m</v>
          </cell>
          <cell r="F346">
            <v>1</v>
          </cell>
        </row>
        <row r="347">
          <cell r="C347" t="str">
            <v>가, 재료비</v>
          </cell>
        </row>
        <row r="348">
          <cell r="A348" t="str">
            <v xml:space="preserve"> 전화선  TIV  2C/0.8㎜</v>
          </cell>
          <cell r="C348" t="str">
            <v xml:space="preserve"> 전화선 </v>
          </cell>
          <cell r="D348" t="str">
            <v xml:space="preserve"> TIV  2C/0.8㎜</v>
          </cell>
          <cell r="E348" t="str">
            <v>m</v>
          </cell>
          <cell r="F348">
            <v>1.05</v>
          </cell>
          <cell r="G348">
            <v>78</v>
          </cell>
          <cell r="H348">
            <v>81.900000000000006</v>
          </cell>
          <cell r="I348">
            <v>0.05</v>
          </cell>
        </row>
        <row r="349">
          <cell r="B349" t="str">
            <v>소         계</v>
          </cell>
          <cell r="H349">
            <v>81</v>
          </cell>
          <cell r="I349" t="str">
            <v>ⓐ</v>
          </cell>
        </row>
        <row r="350">
          <cell r="C350" t="str">
            <v>나, 노무비</v>
          </cell>
        </row>
        <row r="351">
          <cell r="A351" t="str">
            <v>16 통신내선공</v>
          </cell>
          <cell r="C351" t="str">
            <v xml:space="preserve"> 통신내선공</v>
          </cell>
          <cell r="E351" t="str">
            <v>인</v>
          </cell>
          <cell r="F351">
            <v>1.4999999999999999E-2</v>
          </cell>
          <cell r="G351">
            <v>63738</v>
          </cell>
          <cell r="H351">
            <v>956</v>
          </cell>
          <cell r="I351" t="str">
            <v>기본,통신 3-16</v>
          </cell>
        </row>
        <row r="352">
          <cell r="B352" t="str">
            <v>소         계</v>
          </cell>
          <cell r="H352">
            <v>956</v>
          </cell>
          <cell r="I352" t="str">
            <v>ⓑ</v>
          </cell>
        </row>
        <row r="353">
          <cell r="C353" t="str">
            <v>다, 기계경비</v>
          </cell>
        </row>
        <row r="354">
          <cell r="C354" t="str">
            <v xml:space="preserve"> 통신내선공</v>
          </cell>
          <cell r="E354" t="str">
            <v>인</v>
          </cell>
          <cell r="F354">
            <v>4.0000000000000002E-4</v>
          </cell>
          <cell r="G354">
            <v>63738</v>
          </cell>
          <cell r="H354">
            <v>25.4</v>
          </cell>
        </row>
        <row r="355">
          <cell r="B355" t="str">
            <v>소         계</v>
          </cell>
          <cell r="H355">
            <v>25</v>
          </cell>
          <cell r="I355" t="str">
            <v>ⓒ</v>
          </cell>
        </row>
        <row r="357">
          <cell r="A357" t="str">
            <v>16재   료   비</v>
          </cell>
          <cell r="B357" t="str">
            <v>재   료   비</v>
          </cell>
          <cell r="D357" t="str">
            <v>ⓐ</v>
          </cell>
          <cell r="H357">
            <v>81</v>
          </cell>
        </row>
        <row r="358">
          <cell r="A358" t="str">
            <v>16노   무   비</v>
          </cell>
          <cell r="B358" t="str">
            <v>노   무   비</v>
          </cell>
          <cell r="D358" t="str">
            <v>ⓑ</v>
          </cell>
          <cell r="H358">
            <v>956</v>
          </cell>
        </row>
        <row r="359">
          <cell r="A359" t="str">
            <v>16경        비</v>
          </cell>
          <cell r="B359" t="str">
            <v>경        비</v>
          </cell>
          <cell r="D359" t="str">
            <v>ⓒ</v>
          </cell>
          <cell r="H359">
            <v>25</v>
          </cell>
        </row>
        <row r="360">
          <cell r="B360" t="str">
            <v>계</v>
          </cell>
          <cell r="H360">
            <v>1062</v>
          </cell>
        </row>
        <row r="364">
          <cell r="B364">
            <v>17</v>
          </cell>
          <cell r="C364" t="str">
            <v xml:space="preserve"> 접지선 신설</v>
          </cell>
          <cell r="D364" t="str">
            <v xml:space="preserve"> GV 38㎟</v>
          </cell>
          <cell r="E364" t="str">
            <v>m</v>
          </cell>
          <cell r="F364">
            <v>1</v>
          </cell>
        </row>
        <row r="365">
          <cell r="C365" t="str">
            <v>가, 재료비</v>
          </cell>
        </row>
        <row r="366">
          <cell r="A366" t="str">
            <v xml:space="preserve"> 접지봉리드선   GV 38㎟</v>
          </cell>
          <cell r="C366" t="str">
            <v xml:space="preserve"> 접지봉리드선  </v>
          </cell>
          <cell r="D366" t="str">
            <v xml:space="preserve"> GV 38㎟</v>
          </cell>
          <cell r="E366" t="str">
            <v>m</v>
          </cell>
          <cell r="F366">
            <v>1.1000000000000001</v>
          </cell>
          <cell r="G366">
            <v>2211</v>
          </cell>
          <cell r="H366">
            <v>2432.1</v>
          </cell>
          <cell r="I366">
            <v>0.1</v>
          </cell>
        </row>
        <row r="367">
          <cell r="B367" t="str">
            <v>소         계</v>
          </cell>
          <cell r="H367">
            <v>2432</v>
          </cell>
          <cell r="I367" t="str">
            <v>ⓐ</v>
          </cell>
        </row>
        <row r="368">
          <cell r="C368" t="str">
            <v>나, 노무비</v>
          </cell>
        </row>
        <row r="369">
          <cell r="A369" t="str">
            <v>17 저압케이블전공</v>
          </cell>
          <cell r="C369" t="str">
            <v xml:space="preserve"> 저압케이블전공</v>
          </cell>
          <cell r="E369" t="str">
            <v>인</v>
          </cell>
          <cell r="F369">
            <v>3.1E-2</v>
          </cell>
          <cell r="G369">
            <v>55486</v>
          </cell>
          <cell r="H369">
            <v>1720</v>
          </cell>
          <cell r="I369" t="str">
            <v>기본,전기 7-8</v>
          </cell>
        </row>
        <row r="370">
          <cell r="B370" t="str">
            <v>소         계</v>
          </cell>
          <cell r="H370">
            <v>1720</v>
          </cell>
          <cell r="I370" t="str">
            <v>ⓑ</v>
          </cell>
        </row>
        <row r="371">
          <cell r="C371" t="str">
            <v>다, 기계경비</v>
          </cell>
        </row>
        <row r="372">
          <cell r="C372" t="str">
            <v xml:space="preserve"> 저압케이블전공</v>
          </cell>
          <cell r="E372" t="str">
            <v>인</v>
          </cell>
          <cell r="F372">
            <v>8.9999999999999998E-4</v>
          </cell>
          <cell r="G372">
            <v>55486</v>
          </cell>
          <cell r="H372">
            <v>49.9</v>
          </cell>
        </row>
        <row r="373">
          <cell r="B373" t="str">
            <v>소         계</v>
          </cell>
          <cell r="H373">
            <v>49</v>
          </cell>
          <cell r="I373" t="str">
            <v>ⓒ</v>
          </cell>
        </row>
        <row r="375">
          <cell r="A375" t="str">
            <v>17재   료   비</v>
          </cell>
          <cell r="B375" t="str">
            <v>재   료   비</v>
          </cell>
          <cell r="D375" t="str">
            <v>ⓐ</v>
          </cell>
          <cell r="H375">
            <v>2432</v>
          </cell>
        </row>
        <row r="376">
          <cell r="A376" t="str">
            <v>17노   무   비</v>
          </cell>
          <cell r="B376" t="str">
            <v>노   무   비</v>
          </cell>
          <cell r="D376" t="str">
            <v>ⓑ</v>
          </cell>
          <cell r="H376">
            <v>1720</v>
          </cell>
        </row>
        <row r="377">
          <cell r="A377" t="str">
            <v>17경        비</v>
          </cell>
          <cell r="B377" t="str">
            <v>경        비</v>
          </cell>
          <cell r="D377" t="str">
            <v>ⓒ</v>
          </cell>
          <cell r="H377">
            <v>49</v>
          </cell>
        </row>
        <row r="378">
          <cell r="B378" t="str">
            <v>계</v>
          </cell>
          <cell r="H378">
            <v>4201</v>
          </cell>
        </row>
        <row r="382">
          <cell r="B382">
            <v>18</v>
          </cell>
          <cell r="C382" t="str">
            <v xml:space="preserve"> 접지선 신설</v>
          </cell>
          <cell r="D382" t="str">
            <v xml:space="preserve"> GV 5.5㎟</v>
          </cell>
          <cell r="E382" t="str">
            <v>m</v>
          </cell>
          <cell r="F382">
            <v>1</v>
          </cell>
        </row>
        <row r="383">
          <cell r="C383" t="str">
            <v>가, 재료비</v>
          </cell>
        </row>
        <row r="384">
          <cell r="A384" t="str">
            <v xml:space="preserve"> 접지용전선   GV 5.5㎟</v>
          </cell>
          <cell r="C384" t="str">
            <v xml:space="preserve"> 접지용전선  </v>
          </cell>
          <cell r="D384" t="str">
            <v xml:space="preserve"> GV 5.5㎟</v>
          </cell>
          <cell r="E384" t="str">
            <v>m</v>
          </cell>
          <cell r="F384">
            <v>1.1000000000000001</v>
          </cell>
          <cell r="G384">
            <v>410</v>
          </cell>
          <cell r="H384">
            <v>451</v>
          </cell>
          <cell r="I384">
            <v>0.1</v>
          </cell>
        </row>
        <row r="385">
          <cell r="B385" t="str">
            <v>소         계</v>
          </cell>
          <cell r="H385">
            <v>451</v>
          </cell>
          <cell r="I385" t="str">
            <v>ⓐ</v>
          </cell>
        </row>
        <row r="386">
          <cell r="C386" t="str">
            <v>나, 노무비</v>
          </cell>
        </row>
        <row r="387">
          <cell r="A387" t="str">
            <v>18 저압케이블전공</v>
          </cell>
          <cell r="C387" t="str">
            <v xml:space="preserve"> 저압케이블전공</v>
          </cell>
          <cell r="E387" t="str">
            <v>인</v>
          </cell>
          <cell r="F387">
            <v>0.01</v>
          </cell>
          <cell r="G387">
            <v>55486</v>
          </cell>
          <cell r="H387">
            <v>554.79999999999995</v>
          </cell>
          <cell r="I387" t="str">
            <v>기본,전기 7-8</v>
          </cell>
        </row>
        <row r="388">
          <cell r="B388" t="str">
            <v>소         계</v>
          </cell>
          <cell r="H388">
            <v>554</v>
          </cell>
          <cell r="I388" t="str">
            <v>ⓑ</v>
          </cell>
        </row>
        <row r="389">
          <cell r="C389" t="str">
            <v>다, 기계경비</v>
          </cell>
        </row>
        <row r="390">
          <cell r="C390" t="str">
            <v xml:space="preserve"> 저압케이블전공</v>
          </cell>
          <cell r="E390" t="str">
            <v>인</v>
          </cell>
          <cell r="F390">
            <v>2.9999999999999997E-4</v>
          </cell>
          <cell r="G390">
            <v>55486</v>
          </cell>
          <cell r="H390">
            <v>16.600000000000001</v>
          </cell>
        </row>
        <row r="391">
          <cell r="B391" t="str">
            <v>소         계</v>
          </cell>
          <cell r="H391">
            <v>16</v>
          </cell>
          <cell r="I391" t="str">
            <v>ⓒ</v>
          </cell>
        </row>
        <row r="393">
          <cell r="A393" t="str">
            <v>18재   료   비</v>
          </cell>
          <cell r="B393" t="str">
            <v>재   료   비</v>
          </cell>
          <cell r="D393" t="str">
            <v>ⓐ</v>
          </cell>
          <cell r="H393">
            <v>451</v>
          </cell>
        </row>
        <row r="394">
          <cell r="A394" t="str">
            <v>18노   무   비</v>
          </cell>
          <cell r="B394" t="str">
            <v>노   무   비</v>
          </cell>
          <cell r="D394" t="str">
            <v>ⓑ</v>
          </cell>
          <cell r="H394">
            <v>554</v>
          </cell>
        </row>
        <row r="395">
          <cell r="A395" t="str">
            <v>18경        비</v>
          </cell>
          <cell r="B395" t="str">
            <v>경        비</v>
          </cell>
          <cell r="D395" t="str">
            <v>ⓒ</v>
          </cell>
          <cell r="H395">
            <v>16</v>
          </cell>
        </row>
        <row r="396">
          <cell r="B396" t="str">
            <v>계</v>
          </cell>
          <cell r="H396">
            <v>1021</v>
          </cell>
        </row>
        <row r="400">
          <cell r="B400">
            <v>19</v>
          </cell>
          <cell r="C400" t="str">
            <v xml:space="preserve"> 전원선 신설</v>
          </cell>
          <cell r="D400" t="str">
            <v xml:space="preserve"> IV 5.5㎟</v>
          </cell>
          <cell r="E400" t="str">
            <v>m</v>
          </cell>
          <cell r="F400">
            <v>1</v>
          </cell>
        </row>
        <row r="401">
          <cell r="C401" t="str">
            <v>가, 재료비</v>
          </cell>
        </row>
        <row r="402">
          <cell r="A402" t="str">
            <v xml:space="preserve"> 600V 비닐절연전선  IV 5.5㎟</v>
          </cell>
          <cell r="C402" t="str">
            <v xml:space="preserve"> 600V 비닐절연전선 </v>
          </cell>
          <cell r="D402" t="str">
            <v xml:space="preserve"> IV 5.5㎟</v>
          </cell>
          <cell r="E402" t="str">
            <v>m</v>
          </cell>
          <cell r="F402">
            <v>1.1000000000000001</v>
          </cell>
          <cell r="G402">
            <v>252</v>
          </cell>
          <cell r="H402">
            <v>277.2</v>
          </cell>
          <cell r="I402">
            <v>0.1</v>
          </cell>
        </row>
        <row r="403">
          <cell r="B403" t="str">
            <v>소         계</v>
          </cell>
          <cell r="H403">
            <v>277</v>
          </cell>
          <cell r="I403" t="str">
            <v>ⓐ</v>
          </cell>
        </row>
        <row r="404">
          <cell r="C404" t="str">
            <v>나, 노무비</v>
          </cell>
        </row>
        <row r="405">
          <cell r="A405" t="str">
            <v>19 저압케이블전공</v>
          </cell>
          <cell r="C405" t="str">
            <v xml:space="preserve"> 저압케이블전공</v>
          </cell>
          <cell r="E405" t="str">
            <v>인</v>
          </cell>
          <cell r="F405">
            <v>1.2999999999999999E-2</v>
          </cell>
          <cell r="G405">
            <v>55486</v>
          </cell>
          <cell r="H405">
            <v>721.3</v>
          </cell>
          <cell r="I405" t="str">
            <v>기본,전기 7-10</v>
          </cell>
        </row>
        <row r="406">
          <cell r="B406" t="str">
            <v>소         계</v>
          </cell>
          <cell r="H406">
            <v>721</v>
          </cell>
          <cell r="I406" t="str">
            <v>ⓑ</v>
          </cell>
        </row>
        <row r="407">
          <cell r="C407" t="str">
            <v>다, 기계경비</v>
          </cell>
        </row>
        <row r="408">
          <cell r="C408" t="str">
            <v xml:space="preserve"> 저압케이블전공</v>
          </cell>
          <cell r="E408" t="str">
            <v>인</v>
          </cell>
          <cell r="F408">
            <v>2.9999999999999997E-4</v>
          </cell>
          <cell r="G408">
            <v>55486</v>
          </cell>
          <cell r="H408">
            <v>16.600000000000001</v>
          </cell>
        </row>
        <row r="409">
          <cell r="B409" t="str">
            <v>소         계</v>
          </cell>
          <cell r="H409">
            <v>16</v>
          </cell>
          <cell r="I409" t="str">
            <v>ⓒ</v>
          </cell>
        </row>
        <row r="411">
          <cell r="A411" t="str">
            <v>19재   료   비</v>
          </cell>
          <cell r="B411" t="str">
            <v>재   료   비</v>
          </cell>
          <cell r="D411" t="str">
            <v>ⓐ</v>
          </cell>
          <cell r="H411">
            <v>277</v>
          </cell>
        </row>
        <row r="412">
          <cell r="A412" t="str">
            <v>19노   무   비</v>
          </cell>
          <cell r="B412" t="str">
            <v>노   무   비</v>
          </cell>
          <cell r="D412" t="str">
            <v>ⓑ</v>
          </cell>
          <cell r="H412">
            <v>721</v>
          </cell>
        </row>
        <row r="413">
          <cell r="A413" t="str">
            <v>19경        비</v>
          </cell>
          <cell r="B413" t="str">
            <v>경        비</v>
          </cell>
          <cell r="D413" t="str">
            <v>ⓒ</v>
          </cell>
          <cell r="H413">
            <v>16</v>
          </cell>
        </row>
        <row r="414">
          <cell r="B414" t="str">
            <v>계</v>
          </cell>
          <cell r="H414">
            <v>1014</v>
          </cell>
        </row>
        <row r="418">
          <cell r="B418">
            <v>20</v>
          </cell>
          <cell r="C418" t="str">
            <v xml:space="preserve"> 제어선 신설</v>
          </cell>
          <cell r="D418" t="str">
            <v xml:space="preserve"> CVV-S 2C/1.25㎟</v>
          </cell>
          <cell r="E418" t="str">
            <v>m</v>
          </cell>
          <cell r="F418">
            <v>1</v>
          </cell>
        </row>
        <row r="419">
          <cell r="C419" t="str">
            <v>가, 재료비</v>
          </cell>
        </row>
        <row r="420">
          <cell r="A420" t="str">
            <v xml:space="preserve"> 제어케이블 CVV-S  2C×1.25㎟</v>
          </cell>
          <cell r="C420" t="str">
            <v xml:space="preserve"> 제어케이블</v>
          </cell>
          <cell r="D420" t="str">
            <v xml:space="preserve"> CVV-S  2C×1.25㎟</v>
          </cell>
          <cell r="E420" t="str">
            <v>m</v>
          </cell>
          <cell r="F420">
            <v>1.03</v>
          </cell>
          <cell r="G420">
            <v>672</v>
          </cell>
          <cell r="H420">
            <v>692.1</v>
          </cell>
          <cell r="I420">
            <v>0.03</v>
          </cell>
        </row>
        <row r="421">
          <cell r="B421" t="str">
            <v>소         계</v>
          </cell>
          <cell r="H421">
            <v>692</v>
          </cell>
          <cell r="I421" t="str">
            <v>ⓐ</v>
          </cell>
        </row>
        <row r="422">
          <cell r="C422" t="str">
            <v>나, 노무비</v>
          </cell>
        </row>
        <row r="423">
          <cell r="A423" t="str">
            <v>20 저압케이블전공</v>
          </cell>
          <cell r="C423" t="str">
            <v xml:space="preserve"> 저압케이블전공</v>
          </cell>
          <cell r="E423" t="str">
            <v>인</v>
          </cell>
          <cell r="F423">
            <v>1.6E-2</v>
          </cell>
          <cell r="G423">
            <v>55486</v>
          </cell>
          <cell r="H423">
            <v>887.7</v>
          </cell>
          <cell r="I423" t="str">
            <v>기본x(실드),전기 7-10</v>
          </cell>
        </row>
        <row r="424">
          <cell r="B424" t="str">
            <v>소         계</v>
          </cell>
          <cell r="H424">
            <v>887</v>
          </cell>
          <cell r="I424" t="str">
            <v>ⓑ</v>
          </cell>
        </row>
        <row r="425">
          <cell r="C425" t="str">
            <v>다, 기계경비</v>
          </cell>
        </row>
        <row r="426">
          <cell r="C426" t="str">
            <v xml:space="preserve"> 저압케이블전공</v>
          </cell>
          <cell r="E426" t="str">
            <v>인</v>
          </cell>
          <cell r="F426">
            <v>4.0000000000000002E-4</v>
          </cell>
          <cell r="G426">
            <v>55486</v>
          </cell>
          <cell r="H426">
            <v>22.1</v>
          </cell>
        </row>
        <row r="427">
          <cell r="B427" t="str">
            <v>소         계</v>
          </cell>
          <cell r="H427">
            <v>22</v>
          </cell>
          <cell r="I427" t="str">
            <v>ⓒ</v>
          </cell>
        </row>
        <row r="429">
          <cell r="A429" t="str">
            <v>20재   료   비</v>
          </cell>
          <cell r="B429" t="str">
            <v>재   료   비</v>
          </cell>
          <cell r="D429" t="str">
            <v>ⓐ</v>
          </cell>
          <cell r="H429">
            <v>692</v>
          </cell>
        </row>
        <row r="430">
          <cell r="A430" t="str">
            <v>20노   무   비</v>
          </cell>
          <cell r="B430" t="str">
            <v>노   무   비</v>
          </cell>
          <cell r="D430" t="str">
            <v>ⓑ</v>
          </cell>
          <cell r="H430">
            <v>887</v>
          </cell>
        </row>
        <row r="431">
          <cell r="A431" t="str">
            <v>20경        비</v>
          </cell>
          <cell r="B431" t="str">
            <v>경        비</v>
          </cell>
          <cell r="D431" t="str">
            <v>ⓒ</v>
          </cell>
          <cell r="H431">
            <v>22</v>
          </cell>
        </row>
        <row r="432">
          <cell r="B432" t="str">
            <v>계</v>
          </cell>
          <cell r="H432">
            <v>1601</v>
          </cell>
        </row>
        <row r="436">
          <cell r="B436">
            <v>21</v>
          </cell>
          <cell r="C436" t="str">
            <v xml:space="preserve"> 인터폰선 신설</v>
          </cell>
          <cell r="D436" t="str">
            <v xml:space="preserve"> SH 5P</v>
          </cell>
          <cell r="E436" t="str">
            <v>m</v>
          </cell>
          <cell r="F436">
            <v>1</v>
          </cell>
        </row>
        <row r="437">
          <cell r="C437" t="str">
            <v>가, 재료비</v>
          </cell>
        </row>
        <row r="438">
          <cell r="A438" t="str">
            <v xml:space="preserve"> 국내케이블  SWV-SH  2개연 10C</v>
          </cell>
          <cell r="C438" t="str">
            <v xml:space="preserve"> 국내케이블 </v>
          </cell>
          <cell r="D438" t="str">
            <v xml:space="preserve"> SWV-SH  2개연 10C</v>
          </cell>
          <cell r="E438" t="str">
            <v>m</v>
          </cell>
          <cell r="F438">
            <v>1.03</v>
          </cell>
          <cell r="G438">
            <v>673</v>
          </cell>
          <cell r="H438">
            <v>693.1</v>
          </cell>
          <cell r="I438">
            <v>0.03</v>
          </cell>
        </row>
        <row r="439">
          <cell r="B439" t="str">
            <v>소         계</v>
          </cell>
          <cell r="H439">
            <v>693</v>
          </cell>
          <cell r="I439" t="str">
            <v>ⓐ</v>
          </cell>
        </row>
        <row r="440">
          <cell r="C440" t="str">
            <v>나, 노무비</v>
          </cell>
        </row>
        <row r="441">
          <cell r="A441" t="str">
            <v>21 통신케이블공</v>
          </cell>
          <cell r="C441" t="str">
            <v xml:space="preserve"> 통신케이블공</v>
          </cell>
          <cell r="E441" t="str">
            <v>인</v>
          </cell>
          <cell r="F441">
            <v>1.7999999999999999E-2</v>
          </cell>
          <cell r="G441">
            <v>80042</v>
          </cell>
          <cell r="H441">
            <v>1440.7</v>
          </cell>
          <cell r="I441" t="str">
            <v>기본,통신 3-16</v>
          </cell>
        </row>
        <row r="442">
          <cell r="B442" t="str">
            <v>소         계</v>
          </cell>
          <cell r="H442">
            <v>1440</v>
          </cell>
          <cell r="I442" t="str">
            <v>ⓑ</v>
          </cell>
        </row>
        <row r="443">
          <cell r="C443" t="str">
            <v>다, 기계경비</v>
          </cell>
        </row>
        <row r="444">
          <cell r="C444" t="str">
            <v xml:space="preserve"> 통신케이블공</v>
          </cell>
          <cell r="E444" t="str">
            <v>인</v>
          </cell>
          <cell r="F444">
            <v>5.0000000000000001E-4</v>
          </cell>
          <cell r="G444">
            <v>80042</v>
          </cell>
          <cell r="H444">
            <v>40</v>
          </cell>
        </row>
        <row r="445">
          <cell r="B445" t="str">
            <v>소         계</v>
          </cell>
          <cell r="H445">
            <v>40</v>
          </cell>
          <cell r="I445" t="str">
            <v>ⓒ</v>
          </cell>
        </row>
        <row r="447">
          <cell r="A447" t="str">
            <v>21재   료   비</v>
          </cell>
          <cell r="B447" t="str">
            <v>재   료   비</v>
          </cell>
          <cell r="D447" t="str">
            <v>ⓐ</v>
          </cell>
          <cell r="H447">
            <v>693</v>
          </cell>
        </row>
        <row r="448">
          <cell r="A448" t="str">
            <v>21노   무   비</v>
          </cell>
          <cell r="B448" t="str">
            <v>노   무   비</v>
          </cell>
          <cell r="D448" t="str">
            <v>ⓑ</v>
          </cell>
          <cell r="H448">
            <v>1440</v>
          </cell>
        </row>
        <row r="449">
          <cell r="A449" t="str">
            <v>21경        비</v>
          </cell>
          <cell r="B449" t="str">
            <v>경        비</v>
          </cell>
          <cell r="D449" t="str">
            <v>ⓒ</v>
          </cell>
          <cell r="H449">
            <v>40</v>
          </cell>
        </row>
        <row r="450">
          <cell r="B450" t="str">
            <v>계</v>
          </cell>
          <cell r="H450">
            <v>2173</v>
          </cell>
        </row>
        <row r="454">
          <cell r="B454">
            <v>22</v>
          </cell>
          <cell r="C454" t="str">
            <v xml:space="preserve"> 전선 신설</v>
          </cell>
          <cell r="D454" t="str">
            <v xml:space="preserve"> HIV 1.2mm</v>
          </cell>
          <cell r="E454" t="str">
            <v>m</v>
          </cell>
          <cell r="F454">
            <v>1</v>
          </cell>
        </row>
        <row r="455">
          <cell r="C455" t="str">
            <v>가, 재료비</v>
          </cell>
        </row>
        <row r="456">
          <cell r="A456" t="str">
            <v xml:space="preserve"> 2종 비닐절연전선 HIV 1.2㎜</v>
          </cell>
          <cell r="C456" t="str">
            <v xml:space="preserve"> 2종 비닐절연전선</v>
          </cell>
          <cell r="D456" t="str">
            <v xml:space="preserve"> HIV 1.2㎜</v>
          </cell>
          <cell r="E456" t="str">
            <v>m</v>
          </cell>
          <cell r="F456">
            <v>1.1000000000000001</v>
          </cell>
          <cell r="G456">
            <v>58</v>
          </cell>
          <cell r="H456">
            <v>63.8</v>
          </cell>
          <cell r="I456">
            <v>0.1</v>
          </cell>
        </row>
        <row r="457">
          <cell r="B457" t="str">
            <v>소         계</v>
          </cell>
          <cell r="H457">
            <v>63</v>
          </cell>
          <cell r="I457" t="str">
            <v>ⓐ</v>
          </cell>
        </row>
        <row r="458">
          <cell r="C458" t="str">
            <v>나, 노무비</v>
          </cell>
        </row>
        <row r="459">
          <cell r="A459" t="str">
            <v>22 저압케이블전공</v>
          </cell>
          <cell r="C459" t="str">
            <v xml:space="preserve"> 저압케이블전공</v>
          </cell>
          <cell r="E459" t="str">
            <v>인</v>
          </cell>
          <cell r="F459">
            <v>0.01</v>
          </cell>
          <cell r="G459">
            <v>55486</v>
          </cell>
          <cell r="H459">
            <v>554.79999999999995</v>
          </cell>
          <cell r="I459" t="str">
            <v>기본,전기 7-10</v>
          </cell>
        </row>
        <row r="460">
          <cell r="B460" t="str">
            <v>소         계</v>
          </cell>
          <cell r="H460">
            <v>554</v>
          </cell>
          <cell r="I460" t="str">
            <v>ⓑ</v>
          </cell>
        </row>
        <row r="461">
          <cell r="C461" t="str">
            <v>다, 기계경비</v>
          </cell>
        </row>
        <row r="462">
          <cell r="C462" t="str">
            <v xml:space="preserve"> 저압케이블전공</v>
          </cell>
          <cell r="E462" t="str">
            <v>인</v>
          </cell>
          <cell r="F462">
            <v>2.9999999999999997E-4</v>
          </cell>
          <cell r="G462">
            <v>55486</v>
          </cell>
          <cell r="H462">
            <v>16.600000000000001</v>
          </cell>
        </row>
        <row r="463">
          <cell r="B463" t="str">
            <v>소         계</v>
          </cell>
          <cell r="H463">
            <v>16</v>
          </cell>
          <cell r="I463" t="str">
            <v>ⓒ</v>
          </cell>
        </row>
        <row r="465">
          <cell r="A465" t="str">
            <v>22재   료   비</v>
          </cell>
          <cell r="B465" t="str">
            <v>재   료   비</v>
          </cell>
          <cell r="D465" t="str">
            <v>ⓐ</v>
          </cell>
          <cell r="H465">
            <v>63</v>
          </cell>
        </row>
        <row r="466">
          <cell r="A466" t="str">
            <v>22노   무   비</v>
          </cell>
          <cell r="B466" t="str">
            <v>노   무   비</v>
          </cell>
          <cell r="D466" t="str">
            <v>ⓑ</v>
          </cell>
          <cell r="H466">
            <v>554</v>
          </cell>
        </row>
        <row r="467">
          <cell r="A467" t="str">
            <v>22경        비</v>
          </cell>
          <cell r="B467" t="str">
            <v>경        비</v>
          </cell>
          <cell r="D467" t="str">
            <v>ⓒ</v>
          </cell>
          <cell r="H467">
            <v>16</v>
          </cell>
        </row>
        <row r="468">
          <cell r="B468" t="str">
            <v>계</v>
          </cell>
          <cell r="H468">
            <v>633</v>
          </cell>
        </row>
        <row r="472">
          <cell r="B472">
            <v>23</v>
          </cell>
          <cell r="C472" t="str">
            <v xml:space="preserve"> 지중케이블 신설</v>
          </cell>
          <cell r="D472" t="str">
            <v xml:space="preserve"> CTC 2P(2열)</v>
          </cell>
          <cell r="E472" t="str">
            <v>Km</v>
          </cell>
          <cell r="F472">
            <v>1</v>
          </cell>
        </row>
        <row r="473">
          <cell r="C473" t="str">
            <v>가, 재료비</v>
          </cell>
        </row>
        <row r="474">
          <cell r="A474" t="str">
            <v xml:space="preserve"> 지중케이블 신설 CTC 2P</v>
          </cell>
          <cell r="C474" t="str">
            <v xml:space="preserve"> 지중케이블 신설</v>
          </cell>
          <cell r="D474" t="str">
            <v xml:space="preserve"> CTC 2P</v>
          </cell>
          <cell r="E474" t="str">
            <v>m</v>
          </cell>
          <cell r="F474">
            <v>2060</v>
          </cell>
          <cell r="G474">
            <v>580</v>
          </cell>
          <cell r="H474">
            <v>1194800</v>
          </cell>
          <cell r="I474">
            <v>0.03</v>
          </cell>
        </row>
        <row r="475">
          <cell r="B475" t="str">
            <v>소         계</v>
          </cell>
          <cell r="H475">
            <v>1194800</v>
          </cell>
          <cell r="I475" t="str">
            <v>ⓐ</v>
          </cell>
        </row>
        <row r="476">
          <cell r="C476" t="str">
            <v>나, 노무비</v>
          </cell>
        </row>
        <row r="477">
          <cell r="A477" t="str">
            <v>23 통신케이블공</v>
          </cell>
          <cell r="C477" t="str">
            <v xml:space="preserve"> 통신케이블공</v>
          </cell>
          <cell r="E477" t="str">
            <v>인</v>
          </cell>
          <cell r="F477">
            <v>15.497000000000002</v>
          </cell>
          <cell r="G477">
            <v>80042</v>
          </cell>
          <cell r="H477">
            <v>1240410.8</v>
          </cell>
          <cell r="I477" t="str">
            <v>기본,통신 15-15</v>
          </cell>
        </row>
        <row r="478">
          <cell r="A478" t="str">
            <v>23 보통인부</v>
          </cell>
          <cell r="C478" t="str">
            <v xml:space="preserve"> 보통인부</v>
          </cell>
          <cell r="E478" t="str">
            <v>인</v>
          </cell>
          <cell r="F478">
            <v>26.325000000000003</v>
          </cell>
          <cell r="G478">
            <v>34098</v>
          </cell>
          <cell r="H478">
            <v>897629.8</v>
          </cell>
          <cell r="I478" t="str">
            <v>기본,통신 15-15</v>
          </cell>
        </row>
        <row r="479">
          <cell r="B479" t="str">
            <v>소         계</v>
          </cell>
          <cell r="H479">
            <v>2138040</v>
          </cell>
          <cell r="I479" t="str">
            <v>ⓑ</v>
          </cell>
        </row>
        <row r="480">
          <cell r="C480" t="str">
            <v>다, 기계경비</v>
          </cell>
        </row>
        <row r="481">
          <cell r="C481" t="str">
            <v xml:space="preserve"> 통신케이블공</v>
          </cell>
          <cell r="E481" t="str">
            <v>인</v>
          </cell>
          <cell r="F481">
            <v>0.46400000000000002</v>
          </cell>
          <cell r="G481">
            <v>80042</v>
          </cell>
          <cell r="H481">
            <v>37139.4</v>
          </cell>
        </row>
        <row r="482">
          <cell r="C482" t="str">
            <v xml:space="preserve"> 보통인부</v>
          </cell>
          <cell r="E482" t="str">
            <v>인</v>
          </cell>
          <cell r="F482">
            <v>0.78900000000000003</v>
          </cell>
          <cell r="G482">
            <v>34098</v>
          </cell>
          <cell r="H482">
            <v>26903.3</v>
          </cell>
        </row>
        <row r="483">
          <cell r="B483" t="str">
            <v>소         계</v>
          </cell>
          <cell r="H483">
            <v>64042</v>
          </cell>
          <cell r="I483" t="str">
            <v>ⓒ</v>
          </cell>
        </row>
        <row r="485">
          <cell r="A485" t="str">
            <v>23재   료   비</v>
          </cell>
          <cell r="B485" t="str">
            <v>재   료   비</v>
          </cell>
          <cell r="D485" t="str">
            <v>ⓐ</v>
          </cell>
          <cell r="H485">
            <v>1194800</v>
          </cell>
        </row>
        <row r="486">
          <cell r="A486" t="str">
            <v>23노   무   비</v>
          </cell>
          <cell r="B486" t="str">
            <v>노   무   비</v>
          </cell>
          <cell r="D486" t="str">
            <v>ⓑ</v>
          </cell>
          <cell r="H486">
            <v>2138040</v>
          </cell>
        </row>
        <row r="487">
          <cell r="A487" t="str">
            <v>23경        비</v>
          </cell>
          <cell r="B487" t="str">
            <v>경        비</v>
          </cell>
          <cell r="D487" t="str">
            <v>ⓒ</v>
          </cell>
          <cell r="H487">
            <v>64042</v>
          </cell>
        </row>
        <row r="488">
          <cell r="B488" t="str">
            <v>계</v>
          </cell>
          <cell r="H488">
            <v>3396882</v>
          </cell>
        </row>
        <row r="490">
          <cell r="B490">
            <v>24</v>
          </cell>
          <cell r="C490" t="str">
            <v xml:space="preserve"> 후강전선관 신설</v>
          </cell>
          <cell r="D490" t="str">
            <v xml:space="preserve"> 16C (매입)</v>
          </cell>
          <cell r="E490" t="str">
            <v>m</v>
          </cell>
          <cell r="F490">
            <v>1</v>
          </cell>
        </row>
        <row r="491">
          <cell r="C491" t="str">
            <v>가, 재료비</v>
          </cell>
        </row>
        <row r="492">
          <cell r="A492" t="str">
            <v xml:space="preserve"> 후강전선관  아연도 16C</v>
          </cell>
          <cell r="C492" t="str">
            <v xml:space="preserve"> 후강전선관 </v>
          </cell>
          <cell r="D492" t="str">
            <v xml:space="preserve"> 아연도 16C</v>
          </cell>
          <cell r="E492" t="str">
            <v>m</v>
          </cell>
          <cell r="F492">
            <v>1.1000000000000001</v>
          </cell>
          <cell r="G492">
            <v>913</v>
          </cell>
          <cell r="H492">
            <v>1004.3</v>
          </cell>
          <cell r="I492">
            <v>0.1</v>
          </cell>
        </row>
        <row r="493">
          <cell r="C493" t="str">
            <v xml:space="preserve"> 전선관부속품비</v>
          </cell>
          <cell r="D493" t="str">
            <v xml:space="preserve"> 전선관비의 15%</v>
          </cell>
          <cell r="E493" t="str">
            <v>식</v>
          </cell>
          <cell r="F493">
            <v>1</v>
          </cell>
          <cell r="G493">
            <v>150.6</v>
          </cell>
          <cell r="H493">
            <v>150.6</v>
          </cell>
        </row>
        <row r="494">
          <cell r="B494" t="str">
            <v>소         계</v>
          </cell>
          <cell r="H494">
            <v>1154</v>
          </cell>
          <cell r="I494" t="str">
            <v>ⓐ</v>
          </cell>
        </row>
        <row r="495">
          <cell r="C495" t="str">
            <v>나, 노무비</v>
          </cell>
        </row>
        <row r="496">
          <cell r="A496" t="str">
            <v>24 통신내선공</v>
          </cell>
          <cell r="C496" t="str">
            <v xml:space="preserve"> 통신내선공</v>
          </cell>
          <cell r="E496" t="str">
            <v>인</v>
          </cell>
          <cell r="F496">
            <v>0.08</v>
          </cell>
          <cell r="G496">
            <v>63738</v>
          </cell>
          <cell r="H496">
            <v>5099</v>
          </cell>
          <cell r="I496" t="str">
            <v>기본,통신 3-61-가</v>
          </cell>
        </row>
        <row r="497">
          <cell r="B497" t="str">
            <v>소         계</v>
          </cell>
          <cell r="H497">
            <v>5099</v>
          </cell>
          <cell r="I497" t="str">
            <v>ⓑ</v>
          </cell>
        </row>
        <row r="498">
          <cell r="C498" t="str">
            <v>다, 기계경비</v>
          </cell>
        </row>
        <row r="499">
          <cell r="C499" t="str">
            <v xml:space="preserve"> 통신내선공</v>
          </cell>
          <cell r="E499" t="str">
            <v>인</v>
          </cell>
          <cell r="F499">
            <v>2E-3</v>
          </cell>
          <cell r="G499">
            <v>63738</v>
          </cell>
          <cell r="H499">
            <v>127.4</v>
          </cell>
        </row>
        <row r="500">
          <cell r="B500" t="str">
            <v>소         계</v>
          </cell>
          <cell r="H500">
            <v>127</v>
          </cell>
          <cell r="I500" t="str">
            <v>ⓒ</v>
          </cell>
        </row>
        <row r="502">
          <cell r="A502" t="str">
            <v>24재   료   비</v>
          </cell>
          <cell r="B502" t="str">
            <v>재   료   비</v>
          </cell>
          <cell r="D502" t="str">
            <v>ⓐ</v>
          </cell>
          <cell r="H502">
            <v>1154</v>
          </cell>
        </row>
        <row r="503">
          <cell r="A503" t="str">
            <v>24노   무   비</v>
          </cell>
          <cell r="B503" t="str">
            <v>노   무   비</v>
          </cell>
          <cell r="D503" t="str">
            <v>ⓑ</v>
          </cell>
          <cell r="H503">
            <v>5099</v>
          </cell>
        </row>
        <row r="504">
          <cell r="A504" t="str">
            <v>24경        비</v>
          </cell>
          <cell r="B504" t="str">
            <v>경        비</v>
          </cell>
          <cell r="D504" t="str">
            <v>ⓒ</v>
          </cell>
          <cell r="H504">
            <v>127</v>
          </cell>
        </row>
        <row r="505">
          <cell r="B505" t="str">
            <v>계</v>
          </cell>
          <cell r="H505">
            <v>6380</v>
          </cell>
        </row>
        <row r="508">
          <cell r="B508">
            <v>25</v>
          </cell>
          <cell r="C508" t="str">
            <v xml:space="preserve"> 후강전선관 신설</v>
          </cell>
          <cell r="D508" t="str">
            <v xml:space="preserve"> 16C (벽매입)</v>
          </cell>
          <cell r="E508" t="str">
            <v>m</v>
          </cell>
          <cell r="F508">
            <v>1</v>
          </cell>
        </row>
        <row r="509">
          <cell r="C509" t="str">
            <v>가, 재료비</v>
          </cell>
        </row>
        <row r="510">
          <cell r="A510" t="str">
            <v xml:space="preserve"> 후강전선관  아연도 16C</v>
          </cell>
          <cell r="C510" t="str">
            <v xml:space="preserve"> 후강전선관 </v>
          </cell>
          <cell r="D510" t="str">
            <v xml:space="preserve"> 아연도 16C</v>
          </cell>
          <cell r="E510" t="str">
            <v>m</v>
          </cell>
          <cell r="F510">
            <v>1.1000000000000001</v>
          </cell>
          <cell r="G510">
            <v>913</v>
          </cell>
          <cell r="H510">
            <v>1004.3</v>
          </cell>
          <cell r="I510">
            <v>0.1</v>
          </cell>
        </row>
        <row r="511">
          <cell r="C511" t="str">
            <v xml:space="preserve"> 전선관부속품비</v>
          </cell>
          <cell r="D511" t="str">
            <v xml:space="preserve"> 전선관비의 15%</v>
          </cell>
          <cell r="E511" t="str">
            <v>식</v>
          </cell>
          <cell r="F511">
            <v>1</v>
          </cell>
          <cell r="G511">
            <v>150.6</v>
          </cell>
          <cell r="H511">
            <v>150.6</v>
          </cell>
        </row>
        <row r="512">
          <cell r="B512" t="str">
            <v>소         계</v>
          </cell>
          <cell r="H512">
            <v>1154</v>
          </cell>
          <cell r="I512" t="str">
            <v>ⓐ</v>
          </cell>
        </row>
        <row r="513">
          <cell r="C513" t="str">
            <v>나, 노무비</v>
          </cell>
        </row>
        <row r="514">
          <cell r="A514" t="str">
            <v>25 통신내선공</v>
          </cell>
          <cell r="C514" t="str">
            <v xml:space="preserve"> 통신내선공</v>
          </cell>
          <cell r="E514" t="str">
            <v>인</v>
          </cell>
          <cell r="F514">
            <v>0.09</v>
          </cell>
          <cell r="G514">
            <v>63738</v>
          </cell>
          <cell r="H514">
            <v>5736.4</v>
          </cell>
          <cell r="I514" t="str">
            <v>기본×(1+벽내),통신 3-61-가</v>
          </cell>
        </row>
        <row r="515">
          <cell r="B515" t="str">
            <v>소         계</v>
          </cell>
          <cell r="H515">
            <v>5736</v>
          </cell>
          <cell r="I515" t="str">
            <v>ⓑ</v>
          </cell>
        </row>
        <row r="516">
          <cell r="C516" t="str">
            <v>다, 기계경비</v>
          </cell>
        </row>
        <row r="517">
          <cell r="C517" t="str">
            <v xml:space="preserve"> 통신내선공</v>
          </cell>
          <cell r="E517" t="str">
            <v>인</v>
          </cell>
          <cell r="F517">
            <v>2E-3</v>
          </cell>
          <cell r="G517">
            <v>63738</v>
          </cell>
          <cell r="H517">
            <v>127.4</v>
          </cell>
        </row>
        <row r="518">
          <cell r="B518" t="str">
            <v>소         계</v>
          </cell>
          <cell r="H518">
            <v>127</v>
          </cell>
          <cell r="I518" t="str">
            <v>ⓒ</v>
          </cell>
        </row>
        <row r="520">
          <cell r="A520" t="str">
            <v>25재   료   비</v>
          </cell>
          <cell r="B520" t="str">
            <v>재   료   비</v>
          </cell>
          <cell r="D520" t="str">
            <v>ⓐ</v>
          </cell>
          <cell r="H520">
            <v>1154</v>
          </cell>
        </row>
        <row r="521">
          <cell r="A521" t="str">
            <v>25노   무   비</v>
          </cell>
          <cell r="B521" t="str">
            <v>노   무   비</v>
          </cell>
          <cell r="D521" t="str">
            <v>ⓑ</v>
          </cell>
          <cell r="H521">
            <v>5736</v>
          </cell>
        </row>
        <row r="522">
          <cell r="A522" t="str">
            <v>25경        비</v>
          </cell>
          <cell r="B522" t="str">
            <v>경        비</v>
          </cell>
          <cell r="D522" t="str">
            <v>ⓒ</v>
          </cell>
          <cell r="H522">
            <v>127</v>
          </cell>
        </row>
        <row r="523">
          <cell r="B523" t="str">
            <v>계</v>
          </cell>
          <cell r="H523">
            <v>7017</v>
          </cell>
        </row>
        <row r="526">
          <cell r="B526">
            <v>26</v>
          </cell>
          <cell r="C526" t="str">
            <v xml:space="preserve"> 후강전선관 신설</v>
          </cell>
          <cell r="D526" t="str">
            <v xml:space="preserve"> 16C (천장노출)</v>
          </cell>
          <cell r="E526" t="str">
            <v>m</v>
          </cell>
          <cell r="F526">
            <v>1</v>
          </cell>
        </row>
        <row r="527">
          <cell r="C527" t="str">
            <v>가, 재료비</v>
          </cell>
        </row>
        <row r="528">
          <cell r="A528" t="str">
            <v xml:space="preserve"> 후강전선관  아연도 16C</v>
          </cell>
          <cell r="C528" t="str">
            <v xml:space="preserve"> 후강전선관 </v>
          </cell>
          <cell r="D528" t="str">
            <v xml:space="preserve"> 아연도 16C</v>
          </cell>
          <cell r="E528" t="str">
            <v>m</v>
          </cell>
          <cell r="F528">
            <v>1.1000000000000001</v>
          </cell>
          <cell r="G528">
            <v>913</v>
          </cell>
          <cell r="H528">
            <v>1004.3</v>
          </cell>
          <cell r="I528">
            <v>0.1</v>
          </cell>
        </row>
        <row r="529">
          <cell r="C529" t="str">
            <v xml:space="preserve"> 전선관부속품비</v>
          </cell>
          <cell r="D529" t="str">
            <v xml:space="preserve"> 전선관비의 15%</v>
          </cell>
          <cell r="E529" t="str">
            <v>식</v>
          </cell>
          <cell r="F529">
            <v>1</v>
          </cell>
          <cell r="G529">
            <v>150.6</v>
          </cell>
          <cell r="H529">
            <v>150.6</v>
          </cell>
        </row>
        <row r="530">
          <cell r="B530" t="str">
            <v>소         계</v>
          </cell>
          <cell r="H530">
            <v>1154</v>
          </cell>
          <cell r="I530" t="str">
            <v>ⓐ</v>
          </cell>
        </row>
        <row r="531">
          <cell r="C531" t="str">
            <v>나, 노무비</v>
          </cell>
        </row>
        <row r="532">
          <cell r="A532" t="str">
            <v>26 통신내선공</v>
          </cell>
          <cell r="C532" t="str">
            <v xml:space="preserve"> 통신내선공</v>
          </cell>
          <cell r="E532" t="str">
            <v>인</v>
          </cell>
          <cell r="F532">
            <v>0.09</v>
          </cell>
          <cell r="G532">
            <v>63738</v>
          </cell>
          <cell r="H532">
            <v>5736.4</v>
          </cell>
          <cell r="I532" t="str">
            <v>기본×(1+천장노출),통신 3-61-가</v>
          </cell>
        </row>
        <row r="533">
          <cell r="B533" t="str">
            <v>소         계</v>
          </cell>
          <cell r="H533">
            <v>5736</v>
          </cell>
          <cell r="I533" t="str">
            <v>ⓑ</v>
          </cell>
        </row>
        <row r="534">
          <cell r="C534" t="str">
            <v>다, 기계경비</v>
          </cell>
        </row>
        <row r="535">
          <cell r="C535" t="str">
            <v xml:space="preserve"> 통신내선공</v>
          </cell>
          <cell r="E535" t="str">
            <v>인</v>
          </cell>
          <cell r="F535">
            <v>2E-3</v>
          </cell>
          <cell r="G535">
            <v>63738</v>
          </cell>
          <cell r="H535">
            <v>127.4</v>
          </cell>
        </row>
        <row r="536">
          <cell r="B536" t="str">
            <v>소         계</v>
          </cell>
          <cell r="H536">
            <v>127</v>
          </cell>
          <cell r="I536" t="str">
            <v>ⓒ</v>
          </cell>
        </row>
        <row r="538">
          <cell r="A538" t="str">
            <v>26재   료   비</v>
          </cell>
          <cell r="B538" t="str">
            <v>재   료   비</v>
          </cell>
          <cell r="D538" t="str">
            <v>ⓐ</v>
          </cell>
          <cell r="H538">
            <v>1154</v>
          </cell>
        </row>
        <row r="539">
          <cell r="A539" t="str">
            <v>26노   무   비</v>
          </cell>
          <cell r="B539" t="str">
            <v>노   무   비</v>
          </cell>
          <cell r="D539" t="str">
            <v>ⓑ</v>
          </cell>
          <cell r="H539">
            <v>5736</v>
          </cell>
        </row>
        <row r="540">
          <cell r="A540" t="str">
            <v>26경        비</v>
          </cell>
          <cell r="B540" t="str">
            <v>경        비</v>
          </cell>
          <cell r="D540" t="str">
            <v>ⓒ</v>
          </cell>
          <cell r="H540">
            <v>127</v>
          </cell>
        </row>
        <row r="541">
          <cell r="B541" t="str">
            <v>계</v>
          </cell>
          <cell r="H541">
            <v>7017</v>
          </cell>
        </row>
        <row r="544">
          <cell r="B544">
            <v>27</v>
          </cell>
          <cell r="C544" t="str">
            <v xml:space="preserve"> 후강전선관 신설</v>
          </cell>
          <cell r="D544" t="str">
            <v xml:space="preserve"> 16C (철강조)</v>
          </cell>
          <cell r="E544" t="str">
            <v>m</v>
          </cell>
          <cell r="F544">
            <v>1</v>
          </cell>
        </row>
        <row r="545">
          <cell r="C545" t="str">
            <v>가, 재료비</v>
          </cell>
        </row>
        <row r="546">
          <cell r="A546" t="str">
            <v xml:space="preserve"> 후강전선관  아연도 16C</v>
          </cell>
          <cell r="C546" t="str">
            <v xml:space="preserve"> 후강전선관 </v>
          </cell>
          <cell r="D546" t="str">
            <v xml:space="preserve"> 아연도 16C</v>
          </cell>
          <cell r="E546" t="str">
            <v>m</v>
          </cell>
          <cell r="F546">
            <v>1.1000000000000001</v>
          </cell>
          <cell r="G546">
            <v>913</v>
          </cell>
          <cell r="H546">
            <v>1004.3</v>
          </cell>
          <cell r="I546">
            <v>0.1</v>
          </cell>
        </row>
        <row r="547">
          <cell r="C547" t="str">
            <v xml:space="preserve"> 전선관부속품비</v>
          </cell>
          <cell r="D547" t="str">
            <v xml:space="preserve"> 전선관비의 15%</v>
          </cell>
          <cell r="E547" t="str">
            <v>식</v>
          </cell>
          <cell r="F547">
            <v>1</v>
          </cell>
          <cell r="G547">
            <v>150.6</v>
          </cell>
          <cell r="H547">
            <v>150.6</v>
          </cell>
        </row>
        <row r="548">
          <cell r="B548" t="str">
            <v>소         계</v>
          </cell>
          <cell r="H548">
            <v>1154</v>
          </cell>
          <cell r="I548" t="str">
            <v>ⓐ</v>
          </cell>
        </row>
        <row r="549">
          <cell r="C549" t="str">
            <v>나, 노무비</v>
          </cell>
        </row>
        <row r="550">
          <cell r="A550" t="str">
            <v>27 통신내선공</v>
          </cell>
          <cell r="C550" t="str">
            <v xml:space="preserve"> 통신내선공</v>
          </cell>
          <cell r="E550" t="str">
            <v>인</v>
          </cell>
          <cell r="F550">
            <v>0.1</v>
          </cell>
          <cell r="G550">
            <v>63738</v>
          </cell>
          <cell r="H550">
            <v>6373.8</v>
          </cell>
          <cell r="I550" t="str">
            <v>기본×(1+철강조노출),통신 3-61-가</v>
          </cell>
        </row>
        <row r="551">
          <cell r="B551" t="str">
            <v>소         계</v>
          </cell>
          <cell r="H551">
            <v>6373</v>
          </cell>
          <cell r="I551" t="str">
            <v>ⓑ</v>
          </cell>
        </row>
        <row r="552">
          <cell r="C552" t="str">
            <v>다, 기계경비</v>
          </cell>
        </row>
        <row r="553">
          <cell r="C553" t="str">
            <v xml:space="preserve"> 통신내선공</v>
          </cell>
          <cell r="E553" t="str">
            <v>인</v>
          </cell>
          <cell r="F553">
            <v>3.0000000000000001E-3</v>
          </cell>
          <cell r="G553">
            <v>63738</v>
          </cell>
          <cell r="H553">
            <v>191.2</v>
          </cell>
        </row>
        <row r="554">
          <cell r="B554" t="str">
            <v>소         계</v>
          </cell>
          <cell r="H554">
            <v>191</v>
          </cell>
          <cell r="I554" t="str">
            <v>ⓒ</v>
          </cell>
        </row>
        <row r="556">
          <cell r="A556" t="str">
            <v>27재   료   비</v>
          </cell>
          <cell r="B556" t="str">
            <v>재   료   비</v>
          </cell>
          <cell r="D556" t="str">
            <v>ⓐ</v>
          </cell>
          <cell r="H556">
            <v>1154</v>
          </cell>
        </row>
        <row r="557">
          <cell r="A557" t="str">
            <v>27노   무   비</v>
          </cell>
          <cell r="B557" t="str">
            <v>노   무   비</v>
          </cell>
          <cell r="D557" t="str">
            <v>ⓑ</v>
          </cell>
          <cell r="H557">
            <v>6373</v>
          </cell>
        </row>
        <row r="558">
          <cell r="A558" t="str">
            <v>27경        비</v>
          </cell>
          <cell r="B558" t="str">
            <v>경        비</v>
          </cell>
          <cell r="D558" t="str">
            <v>ⓒ</v>
          </cell>
          <cell r="H558">
            <v>191</v>
          </cell>
        </row>
        <row r="559">
          <cell r="B559" t="str">
            <v>계</v>
          </cell>
          <cell r="H559">
            <v>7718</v>
          </cell>
        </row>
        <row r="562">
          <cell r="B562">
            <v>28</v>
          </cell>
          <cell r="C562" t="str">
            <v xml:space="preserve"> 후강전선관 신설</v>
          </cell>
          <cell r="D562" t="str">
            <v xml:space="preserve"> 22C (매입)</v>
          </cell>
          <cell r="E562" t="str">
            <v>m</v>
          </cell>
          <cell r="F562">
            <v>1</v>
          </cell>
        </row>
        <row r="563">
          <cell r="C563" t="str">
            <v>가, 재료비</v>
          </cell>
        </row>
        <row r="564">
          <cell r="A564" t="str">
            <v xml:space="preserve"> 후강전선관  아연도 22C</v>
          </cell>
          <cell r="C564" t="str">
            <v xml:space="preserve"> 후강전선관 </v>
          </cell>
          <cell r="D564" t="str">
            <v xml:space="preserve"> 아연도 22C</v>
          </cell>
          <cell r="E564" t="str">
            <v>m</v>
          </cell>
          <cell r="F564">
            <v>1.1000000000000001</v>
          </cell>
          <cell r="G564">
            <v>1169</v>
          </cell>
          <cell r="H564">
            <v>1285.9000000000001</v>
          </cell>
          <cell r="I564">
            <v>0.1</v>
          </cell>
        </row>
        <row r="565">
          <cell r="C565" t="str">
            <v xml:space="preserve"> 전선관부속품비</v>
          </cell>
          <cell r="D565" t="str">
            <v xml:space="preserve"> 전선관비의 15%</v>
          </cell>
          <cell r="E565" t="str">
            <v>식</v>
          </cell>
          <cell r="F565">
            <v>1</v>
          </cell>
          <cell r="G565">
            <v>192.8</v>
          </cell>
          <cell r="H565">
            <v>192.8</v>
          </cell>
        </row>
        <row r="566">
          <cell r="B566" t="str">
            <v>소         계</v>
          </cell>
          <cell r="H566">
            <v>1478</v>
          </cell>
          <cell r="I566" t="str">
            <v>ⓐ</v>
          </cell>
        </row>
        <row r="567">
          <cell r="C567" t="str">
            <v>나, 노무비</v>
          </cell>
        </row>
        <row r="568">
          <cell r="A568" t="str">
            <v>28 통신내선공</v>
          </cell>
          <cell r="C568" t="str">
            <v xml:space="preserve"> 통신내선공</v>
          </cell>
          <cell r="E568" t="str">
            <v>인</v>
          </cell>
          <cell r="F568">
            <v>0.11</v>
          </cell>
          <cell r="G568">
            <v>63738</v>
          </cell>
          <cell r="H568">
            <v>7011.1</v>
          </cell>
          <cell r="I568" t="str">
            <v>기본,통신 3-61-가</v>
          </cell>
        </row>
        <row r="569">
          <cell r="B569" t="str">
            <v>소         계</v>
          </cell>
          <cell r="H569">
            <v>7011</v>
          </cell>
          <cell r="I569" t="str">
            <v>ⓑ</v>
          </cell>
        </row>
        <row r="570">
          <cell r="C570" t="str">
            <v>다, 기계경비</v>
          </cell>
        </row>
        <row r="571">
          <cell r="C571" t="str">
            <v xml:space="preserve"> 통신내선공</v>
          </cell>
          <cell r="E571" t="str">
            <v>인</v>
          </cell>
          <cell r="F571">
            <v>3.0000000000000001E-3</v>
          </cell>
          <cell r="G571">
            <v>63738</v>
          </cell>
          <cell r="H571">
            <v>191.2</v>
          </cell>
        </row>
        <row r="572">
          <cell r="B572" t="str">
            <v>소         계</v>
          </cell>
          <cell r="H572">
            <v>191</v>
          </cell>
          <cell r="I572" t="str">
            <v>ⓒ</v>
          </cell>
        </row>
        <row r="574">
          <cell r="A574" t="str">
            <v>28재   료   비</v>
          </cell>
          <cell r="B574" t="str">
            <v>재   료   비</v>
          </cell>
          <cell r="D574" t="str">
            <v>ⓐ</v>
          </cell>
          <cell r="H574">
            <v>1478</v>
          </cell>
        </row>
        <row r="575">
          <cell r="A575" t="str">
            <v>28노   무   비</v>
          </cell>
          <cell r="B575" t="str">
            <v>노   무   비</v>
          </cell>
          <cell r="D575" t="str">
            <v>ⓑ</v>
          </cell>
          <cell r="H575">
            <v>7011</v>
          </cell>
        </row>
        <row r="576">
          <cell r="A576" t="str">
            <v>28경        비</v>
          </cell>
          <cell r="B576" t="str">
            <v>경        비</v>
          </cell>
          <cell r="D576" t="str">
            <v>ⓒ</v>
          </cell>
          <cell r="H576">
            <v>191</v>
          </cell>
        </row>
        <row r="577">
          <cell r="B577" t="str">
            <v>계</v>
          </cell>
          <cell r="H577">
            <v>8680</v>
          </cell>
        </row>
        <row r="580">
          <cell r="B580">
            <v>29</v>
          </cell>
          <cell r="C580" t="str">
            <v xml:space="preserve"> 후강전선관 신설</v>
          </cell>
          <cell r="D580" t="str">
            <v xml:space="preserve"> 22C (벽매입)</v>
          </cell>
          <cell r="E580" t="str">
            <v>m</v>
          </cell>
          <cell r="F580">
            <v>1</v>
          </cell>
        </row>
        <row r="581">
          <cell r="C581" t="str">
            <v>가, 재료비</v>
          </cell>
        </row>
        <row r="582">
          <cell r="A582" t="str">
            <v xml:space="preserve"> 후강전선관  아연도 22C</v>
          </cell>
          <cell r="C582" t="str">
            <v xml:space="preserve"> 후강전선관 </v>
          </cell>
          <cell r="D582" t="str">
            <v xml:space="preserve"> 아연도 22C</v>
          </cell>
          <cell r="E582" t="str">
            <v>m</v>
          </cell>
          <cell r="F582">
            <v>1.1000000000000001</v>
          </cell>
          <cell r="G582">
            <v>1169</v>
          </cell>
          <cell r="H582">
            <v>1285.9000000000001</v>
          </cell>
          <cell r="I582">
            <v>0.1</v>
          </cell>
        </row>
        <row r="583">
          <cell r="C583" t="str">
            <v xml:space="preserve"> 전선관부속품비</v>
          </cell>
          <cell r="D583" t="str">
            <v xml:space="preserve"> 전선관비의 15%</v>
          </cell>
          <cell r="E583" t="str">
            <v>식</v>
          </cell>
          <cell r="F583">
            <v>1</v>
          </cell>
          <cell r="G583">
            <v>192.8</v>
          </cell>
          <cell r="H583">
            <v>192.8</v>
          </cell>
        </row>
        <row r="584">
          <cell r="B584" t="str">
            <v>소         계</v>
          </cell>
          <cell r="H584">
            <v>1478</v>
          </cell>
          <cell r="I584" t="str">
            <v>ⓐ</v>
          </cell>
        </row>
        <row r="585">
          <cell r="C585" t="str">
            <v>나, 노무비</v>
          </cell>
        </row>
        <row r="586">
          <cell r="A586" t="str">
            <v>29 통신내선공</v>
          </cell>
          <cell r="C586" t="str">
            <v xml:space="preserve"> 통신내선공</v>
          </cell>
          <cell r="E586" t="str">
            <v>인</v>
          </cell>
          <cell r="F586">
            <v>0.13</v>
          </cell>
          <cell r="G586">
            <v>63738</v>
          </cell>
          <cell r="H586">
            <v>8285.9</v>
          </cell>
          <cell r="I586" t="str">
            <v>기본×(1+벽내),통신 3-61-가</v>
          </cell>
        </row>
        <row r="587">
          <cell r="B587" t="str">
            <v>소         계</v>
          </cell>
          <cell r="H587">
            <v>8285</v>
          </cell>
          <cell r="I587" t="str">
            <v>ⓑ</v>
          </cell>
        </row>
        <row r="588">
          <cell r="C588" t="str">
            <v>다, 기계경비</v>
          </cell>
        </row>
        <row r="589">
          <cell r="C589" t="str">
            <v xml:space="preserve"> 통신내선공</v>
          </cell>
          <cell r="E589" t="str">
            <v>인</v>
          </cell>
          <cell r="F589">
            <v>3.0000000000000001E-3</v>
          </cell>
          <cell r="G589">
            <v>63738</v>
          </cell>
          <cell r="H589">
            <v>191.2</v>
          </cell>
        </row>
        <row r="590">
          <cell r="B590" t="str">
            <v>소         계</v>
          </cell>
          <cell r="H590">
            <v>191</v>
          </cell>
          <cell r="I590" t="str">
            <v>ⓒ</v>
          </cell>
        </row>
        <row r="592">
          <cell r="A592" t="str">
            <v>29재   료   비</v>
          </cell>
          <cell r="B592" t="str">
            <v>재   료   비</v>
          </cell>
          <cell r="D592" t="str">
            <v>ⓐ</v>
          </cell>
          <cell r="H592">
            <v>1478</v>
          </cell>
        </row>
        <row r="593">
          <cell r="A593" t="str">
            <v>29노   무   비</v>
          </cell>
          <cell r="B593" t="str">
            <v>노   무   비</v>
          </cell>
          <cell r="D593" t="str">
            <v>ⓑ</v>
          </cell>
          <cell r="H593">
            <v>8285</v>
          </cell>
        </row>
        <row r="594">
          <cell r="A594" t="str">
            <v>29경        비</v>
          </cell>
          <cell r="B594" t="str">
            <v>경        비</v>
          </cell>
          <cell r="D594" t="str">
            <v>ⓒ</v>
          </cell>
          <cell r="H594">
            <v>191</v>
          </cell>
        </row>
        <row r="595">
          <cell r="B595" t="str">
            <v>계</v>
          </cell>
          <cell r="H595">
            <v>9954</v>
          </cell>
        </row>
        <row r="598">
          <cell r="B598">
            <v>30</v>
          </cell>
          <cell r="C598" t="str">
            <v xml:space="preserve"> 후강전선관 신설</v>
          </cell>
          <cell r="D598" t="str">
            <v xml:space="preserve"> 22C (천장노출)</v>
          </cell>
          <cell r="E598" t="str">
            <v>m</v>
          </cell>
          <cell r="F598">
            <v>1</v>
          </cell>
        </row>
        <row r="599">
          <cell r="C599" t="str">
            <v>가, 재료비</v>
          </cell>
        </row>
        <row r="600">
          <cell r="A600" t="str">
            <v xml:space="preserve"> 후강전선관  아연도 22C</v>
          </cell>
          <cell r="C600" t="str">
            <v xml:space="preserve"> 후강전선관 </v>
          </cell>
          <cell r="D600" t="str">
            <v xml:space="preserve"> 아연도 22C</v>
          </cell>
          <cell r="E600" t="str">
            <v>m</v>
          </cell>
          <cell r="F600">
            <v>1.1000000000000001</v>
          </cell>
          <cell r="G600">
            <v>1169</v>
          </cell>
          <cell r="H600">
            <v>1285.9000000000001</v>
          </cell>
          <cell r="I600">
            <v>0.1</v>
          </cell>
        </row>
        <row r="601">
          <cell r="C601" t="str">
            <v xml:space="preserve"> 전선관부속품비</v>
          </cell>
          <cell r="D601" t="str">
            <v xml:space="preserve"> 전선관비의 15%</v>
          </cell>
          <cell r="E601" t="str">
            <v>식</v>
          </cell>
          <cell r="F601">
            <v>1</v>
          </cell>
          <cell r="G601">
            <v>192.8</v>
          </cell>
          <cell r="H601">
            <v>192.8</v>
          </cell>
        </row>
        <row r="602">
          <cell r="B602" t="str">
            <v>소         계</v>
          </cell>
          <cell r="H602">
            <v>1478</v>
          </cell>
          <cell r="I602" t="str">
            <v>ⓐ</v>
          </cell>
        </row>
        <row r="603">
          <cell r="C603" t="str">
            <v>나, 노무비</v>
          </cell>
        </row>
        <row r="604">
          <cell r="A604" t="str">
            <v>30 통신내선공</v>
          </cell>
          <cell r="C604" t="str">
            <v xml:space="preserve"> 통신내선공</v>
          </cell>
          <cell r="E604" t="str">
            <v>인</v>
          </cell>
          <cell r="F604">
            <v>0.13</v>
          </cell>
          <cell r="G604">
            <v>63738</v>
          </cell>
          <cell r="H604">
            <v>8285.9</v>
          </cell>
          <cell r="I604" t="str">
            <v>기본×(1+천장노출),통신 3-61-가</v>
          </cell>
        </row>
        <row r="605">
          <cell r="B605" t="str">
            <v>소         계</v>
          </cell>
          <cell r="H605">
            <v>8285</v>
          </cell>
          <cell r="I605" t="str">
            <v>ⓑ</v>
          </cell>
        </row>
        <row r="606">
          <cell r="C606" t="str">
            <v>다, 기계경비</v>
          </cell>
        </row>
        <row r="607">
          <cell r="C607" t="str">
            <v xml:space="preserve"> 통신내선공</v>
          </cell>
          <cell r="E607" t="str">
            <v>인</v>
          </cell>
          <cell r="F607">
            <v>3.0000000000000001E-3</v>
          </cell>
          <cell r="G607">
            <v>63738</v>
          </cell>
          <cell r="H607">
            <v>191.2</v>
          </cell>
        </row>
        <row r="608">
          <cell r="B608" t="str">
            <v>소         계</v>
          </cell>
          <cell r="H608">
            <v>191</v>
          </cell>
          <cell r="I608" t="str">
            <v>ⓒ</v>
          </cell>
        </row>
        <row r="610">
          <cell r="A610" t="str">
            <v>30재   료   비</v>
          </cell>
          <cell r="B610" t="str">
            <v>재   료   비</v>
          </cell>
          <cell r="D610" t="str">
            <v>ⓐ</v>
          </cell>
          <cell r="H610">
            <v>1478</v>
          </cell>
        </row>
        <row r="611">
          <cell r="A611" t="str">
            <v>30노   무   비</v>
          </cell>
          <cell r="B611" t="str">
            <v>노   무   비</v>
          </cell>
          <cell r="D611" t="str">
            <v>ⓑ</v>
          </cell>
          <cell r="H611">
            <v>8285</v>
          </cell>
        </row>
        <row r="612">
          <cell r="A612" t="str">
            <v>30경        비</v>
          </cell>
          <cell r="B612" t="str">
            <v>경        비</v>
          </cell>
          <cell r="D612" t="str">
            <v>ⓒ</v>
          </cell>
          <cell r="H612">
            <v>191</v>
          </cell>
        </row>
        <row r="613">
          <cell r="B613" t="str">
            <v>계</v>
          </cell>
          <cell r="H613">
            <v>9954</v>
          </cell>
        </row>
        <row r="616">
          <cell r="B616">
            <v>31</v>
          </cell>
          <cell r="C616" t="str">
            <v xml:space="preserve"> 후강전선관 신설</v>
          </cell>
          <cell r="D616" t="str">
            <v xml:space="preserve"> 22C (철강조)</v>
          </cell>
          <cell r="E616" t="str">
            <v>m</v>
          </cell>
          <cell r="F616">
            <v>1</v>
          </cell>
        </row>
        <row r="617">
          <cell r="C617" t="str">
            <v>가, 재료비</v>
          </cell>
        </row>
        <row r="618">
          <cell r="A618" t="str">
            <v xml:space="preserve"> 후강전선관  아연도 22C</v>
          </cell>
          <cell r="C618" t="str">
            <v xml:space="preserve"> 후강전선관 </v>
          </cell>
          <cell r="D618" t="str">
            <v xml:space="preserve"> 아연도 22C</v>
          </cell>
          <cell r="E618" t="str">
            <v>m</v>
          </cell>
          <cell r="F618">
            <v>1.1000000000000001</v>
          </cell>
          <cell r="G618">
            <v>1169</v>
          </cell>
          <cell r="H618">
            <v>1285.9000000000001</v>
          </cell>
          <cell r="I618">
            <v>0.1</v>
          </cell>
        </row>
        <row r="619">
          <cell r="C619" t="str">
            <v xml:space="preserve"> 전선관부속품비</v>
          </cell>
          <cell r="D619" t="str">
            <v xml:space="preserve"> 전선관비의 15%</v>
          </cell>
          <cell r="E619" t="str">
            <v>식</v>
          </cell>
          <cell r="F619">
            <v>1</v>
          </cell>
          <cell r="G619">
            <v>192.8</v>
          </cell>
          <cell r="H619">
            <v>192.8</v>
          </cell>
        </row>
        <row r="620">
          <cell r="B620" t="str">
            <v>소         계</v>
          </cell>
          <cell r="H620">
            <v>1478</v>
          </cell>
          <cell r="I620" t="str">
            <v>ⓐ</v>
          </cell>
        </row>
        <row r="621">
          <cell r="C621" t="str">
            <v>나, 노무비</v>
          </cell>
        </row>
        <row r="622">
          <cell r="A622" t="str">
            <v>31 통신내선공</v>
          </cell>
          <cell r="C622" t="str">
            <v xml:space="preserve"> 통신내선공</v>
          </cell>
          <cell r="E622" t="str">
            <v>인</v>
          </cell>
          <cell r="F622">
            <v>0.13</v>
          </cell>
          <cell r="G622">
            <v>63738</v>
          </cell>
          <cell r="H622">
            <v>8285.9</v>
          </cell>
          <cell r="I622" t="str">
            <v>기본×(1+철강조노출),통신 3-61-가</v>
          </cell>
        </row>
        <row r="623">
          <cell r="B623" t="str">
            <v>소         계</v>
          </cell>
          <cell r="H623">
            <v>8285</v>
          </cell>
          <cell r="I623" t="str">
            <v>ⓑ</v>
          </cell>
        </row>
        <row r="624">
          <cell r="C624" t="str">
            <v>다, 기계경비</v>
          </cell>
        </row>
        <row r="625">
          <cell r="C625" t="str">
            <v xml:space="preserve"> 통신내선공</v>
          </cell>
          <cell r="E625" t="str">
            <v>인</v>
          </cell>
          <cell r="F625">
            <v>3.0000000000000001E-3</v>
          </cell>
          <cell r="G625">
            <v>63738</v>
          </cell>
          <cell r="H625">
            <v>191.2</v>
          </cell>
        </row>
        <row r="626">
          <cell r="B626" t="str">
            <v>소         계</v>
          </cell>
          <cell r="H626">
            <v>191</v>
          </cell>
          <cell r="I626" t="str">
            <v>ⓒ</v>
          </cell>
        </row>
        <row r="628">
          <cell r="A628" t="str">
            <v>31재   료   비</v>
          </cell>
          <cell r="B628" t="str">
            <v>재   료   비</v>
          </cell>
          <cell r="D628" t="str">
            <v>ⓐ</v>
          </cell>
          <cell r="H628">
            <v>1478</v>
          </cell>
        </row>
        <row r="629">
          <cell r="A629" t="str">
            <v>31노   무   비</v>
          </cell>
          <cell r="B629" t="str">
            <v>노   무   비</v>
          </cell>
          <cell r="D629" t="str">
            <v>ⓑ</v>
          </cell>
          <cell r="H629">
            <v>8285</v>
          </cell>
        </row>
        <row r="630">
          <cell r="A630" t="str">
            <v>31경        비</v>
          </cell>
          <cell r="B630" t="str">
            <v>경        비</v>
          </cell>
          <cell r="D630" t="str">
            <v>ⓒ</v>
          </cell>
          <cell r="H630">
            <v>191</v>
          </cell>
        </row>
        <row r="631">
          <cell r="B631" t="str">
            <v>계</v>
          </cell>
          <cell r="H631">
            <v>9954</v>
          </cell>
        </row>
        <row r="634">
          <cell r="B634">
            <v>32</v>
          </cell>
          <cell r="C634" t="str">
            <v xml:space="preserve"> 후강전선관 신설</v>
          </cell>
          <cell r="D634" t="str">
            <v xml:space="preserve"> 28C (매입)</v>
          </cell>
          <cell r="E634" t="str">
            <v>m</v>
          </cell>
          <cell r="F634">
            <v>1</v>
          </cell>
        </row>
        <row r="635">
          <cell r="C635" t="str">
            <v>가, 재료비</v>
          </cell>
        </row>
        <row r="636">
          <cell r="A636" t="str">
            <v xml:space="preserve"> 후강전선관  아연도 28C</v>
          </cell>
          <cell r="C636" t="str">
            <v xml:space="preserve"> 후강전선관 </v>
          </cell>
          <cell r="D636" t="str">
            <v xml:space="preserve"> 아연도 28C</v>
          </cell>
          <cell r="E636" t="str">
            <v>m</v>
          </cell>
          <cell r="F636">
            <v>1.1000000000000001</v>
          </cell>
          <cell r="G636">
            <v>1526</v>
          </cell>
          <cell r="H636">
            <v>1678.6</v>
          </cell>
          <cell r="I636">
            <v>0.1</v>
          </cell>
        </row>
        <row r="637">
          <cell r="C637" t="str">
            <v xml:space="preserve"> 전선관부속품비</v>
          </cell>
          <cell r="D637" t="str">
            <v xml:space="preserve"> 전선관비의 15%</v>
          </cell>
          <cell r="E637" t="str">
            <v>식</v>
          </cell>
          <cell r="F637">
            <v>1</v>
          </cell>
          <cell r="G637">
            <v>251.7</v>
          </cell>
          <cell r="H637">
            <v>251.7</v>
          </cell>
        </row>
        <row r="638">
          <cell r="B638" t="str">
            <v>소         계</v>
          </cell>
          <cell r="H638">
            <v>1930</v>
          </cell>
          <cell r="I638" t="str">
            <v>ⓐ</v>
          </cell>
        </row>
        <row r="639">
          <cell r="C639" t="str">
            <v>나, 노무비</v>
          </cell>
        </row>
        <row r="640">
          <cell r="A640" t="str">
            <v>32 통신내선공</v>
          </cell>
          <cell r="C640" t="str">
            <v xml:space="preserve"> 통신내선공</v>
          </cell>
          <cell r="E640" t="str">
            <v>인</v>
          </cell>
          <cell r="F640">
            <v>0.14000000000000001</v>
          </cell>
          <cell r="G640">
            <v>63738</v>
          </cell>
          <cell r="H640">
            <v>8923.2999999999993</v>
          </cell>
          <cell r="I640" t="str">
            <v>기본,통신 3-61-가</v>
          </cell>
        </row>
        <row r="641">
          <cell r="B641" t="str">
            <v>소         계</v>
          </cell>
          <cell r="H641">
            <v>8923</v>
          </cell>
          <cell r="I641" t="str">
            <v>ⓑ</v>
          </cell>
        </row>
        <row r="642">
          <cell r="C642" t="str">
            <v>다, 기계경비</v>
          </cell>
        </row>
        <row r="643">
          <cell r="C643" t="str">
            <v xml:space="preserve"> 통신내선공</v>
          </cell>
          <cell r="E643" t="str">
            <v>인</v>
          </cell>
          <cell r="F643">
            <v>4.0000000000000001E-3</v>
          </cell>
          <cell r="G643">
            <v>63738</v>
          </cell>
          <cell r="H643">
            <v>254.9</v>
          </cell>
        </row>
        <row r="644">
          <cell r="B644" t="str">
            <v>소         계</v>
          </cell>
          <cell r="H644">
            <v>254</v>
          </cell>
          <cell r="I644" t="str">
            <v>ⓒ</v>
          </cell>
        </row>
        <row r="646">
          <cell r="A646" t="str">
            <v>32재   료   비</v>
          </cell>
          <cell r="B646" t="str">
            <v>재   료   비</v>
          </cell>
          <cell r="D646" t="str">
            <v>ⓐ</v>
          </cell>
          <cell r="H646">
            <v>1930</v>
          </cell>
        </row>
        <row r="647">
          <cell r="A647" t="str">
            <v>32노   무   비</v>
          </cell>
          <cell r="B647" t="str">
            <v>노   무   비</v>
          </cell>
          <cell r="D647" t="str">
            <v>ⓑ</v>
          </cell>
          <cell r="H647">
            <v>8923</v>
          </cell>
        </row>
        <row r="648">
          <cell r="A648" t="str">
            <v>32경        비</v>
          </cell>
          <cell r="B648" t="str">
            <v>경        비</v>
          </cell>
          <cell r="D648" t="str">
            <v>ⓒ</v>
          </cell>
          <cell r="H648">
            <v>254</v>
          </cell>
        </row>
        <row r="649">
          <cell r="B649" t="str">
            <v>계</v>
          </cell>
          <cell r="H649">
            <v>11107</v>
          </cell>
        </row>
        <row r="652">
          <cell r="B652">
            <v>33</v>
          </cell>
          <cell r="C652" t="str">
            <v xml:space="preserve"> 후강전선관 신설</v>
          </cell>
          <cell r="D652" t="str">
            <v xml:space="preserve"> 28C (벽매입)</v>
          </cell>
          <cell r="E652" t="str">
            <v>m</v>
          </cell>
          <cell r="F652">
            <v>1</v>
          </cell>
        </row>
        <row r="653">
          <cell r="C653" t="str">
            <v>가, 재료비</v>
          </cell>
        </row>
        <row r="654">
          <cell r="A654" t="str">
            <v xml:space="preserve"> 후강전선관  아연도 28C</v>
          </cell>
          <cell r="C654" t="str">
            <v xml:space="preserve"> 후강전선관 </v>
          </cell>
          <cell r="D654" t="str">
            <v xml:space="preserve"> 아연도 28C</v>
          </cell>
          <cell r="E654" t="str">
            <v>m</v>
          </cell>
          <cell r="F654">
            <v>1.1000000000000001</v>
          </cell>
          <cell r="G654">
            <v>1526</v>
          </cell>
          <cell r="H654">
            <v>1678.6</v>
          </cell>
          <cell r="I654">
            <v>0.1</v>
          </cell>
        </row>
        <row r="655">
          <cell r="C655" t="str">
            <v xml:space="preserve"> 전선관부속품비</v>
          </cell>
          <cell r="D655" t="str">
            <v xml:space="preserve"> 전선관비의 15%</v>
          </cell>
          <cell r="E655" t="str">
            <v>식</v>
          </cell>
          <cell r="F655">
            <v>1</v>
          </cell>
          <cell r="G655">
            <v>251.7</v>
          </cell>
          <cell r="H655">
            <v>251.7</v>
          </cell>
        </row>
        <row r="656">
          <cell r="B656" t="str">
            <v>소         계</v>
          </cell>
          <cell r="H656">
            <v>1930</v>
          </cell>
          <cell r="I656" t="str">
            <v>ⓐ</v>
          </cell>
        </row>
        <row r="657">
          <cell r="C657" t="str">
            <v>나, 노무비</v>
          </cell>
        </row>
        <row r="658">
          <cell r="A658" t="str">
            <v>33 통신내선공</v>
          </cell>
          <cell r="C658" t="str">
            <v xml:space="preserve"> 통신내선공</v>
          </cell>
          <cell r="E658" t="str">
            <v>인</v>
          </cell>
          <cell r="F658">
            <v>0.16</v>
          </cell>
          <cell r="G658">
            <v>63738</v>
          </cell>
          <cell r="H658">
            <v>10198</v>
          </cell>
          <cell r="I658" t="str">
            <v>기본×(1+벽내),통신 3-61-가</v>
          </cell>
        </row>
        <row r="659">
          <cell r="B659" t="str">
            <v>소         계</v>
          </cell>
          <cell r="H659">
            <v>10198</v>
          </cell>
          <cell r="I659" t="str">
            <v>ⓑ</v>
          </cell>
        </row>
        <row r="660">
          <cell r="C660" t="str">
            <v>다, 기계경비</v>
          </cell>
        </row>
        <row r="661">
          <cell r="C661" t="str">
            <v xml:space="preserve"> 통신내선공</v>
          </cell>
          <cell r="E661" t="str">
            <v>인</v>
          </cell>
          <cell r="F661">
            <v>4.0000000000000001E-3</v>
          </cell>
          <cell r="G661">
            <v>63738</v>
          </cell>
          <cell r="H661">
            <v>254.9</v>
          </cell>
        </row>
        <row r="662">
          <cell r="B662" t="str">
            <v>소         계</v>
          </cell>
          <cell r="H662">
            <v>254</v>
          </cell>
          <cell r="I662" t="str">
            <v>ⓒ</v>
          </cell>
        </row>
        <row r="664">
          <cell r="A664" t="str">
            <v>33재   료   비</v>
          </cell>
          <cell r="B664" t="str">
            <v>재   료   비</v>
          </cell>
          <cell r="D664" t="str">
            <v>ⓐ</v>
          </cell>
          <cell r="H664">
            <v>1930</v>
          </cell>
        </row>
        <row r="665">
          <cell r="A665" t="str">
            <v>33노   무   비</v>
          </cell>
          <cell r="B665" t="str">
            <v>노   무   비</v>
          </cell>
          <cell r="D665" t="str">
            <v>ⓑ</v>
          </cell>
          <cell r="H665">
            <v>10198</v>
          </cell>
        </row>
        <row r="666">
          <cell r="A666" t="str">
            <v>33경        비</v>
          </cell>
          <cell r="B666" t="str">
            <v>경        비</v>
          </cell>
          <cell r="D666" t="str">
            <v>ⓒ</v>
          </cell>
          <cell r="H666">
            <v>254</v>
          </cell>
        </row>
        <row r="667">
          <cell r="B667" t="str">
            <v>계</v>
          </cell>
          <cell r="H667">
            <v>12382</v>
          </cell>
        </row>
        <row r="670">
          <cell r="B670">
            <v>34</v>
          </cell>
          <cell r="C670" t="str">
            <v xml:space="preserve"> 후강전선관 신설</v>
          </cell>
          <cell r="D670" t="str">
            <v xml:space="preserve"> 28C (천장노출)</v>
          </cell>
          <cell r="E670" t="str">
            <v>m</v>
          </cell>
          <cell r="F670">
            <v>1</v>
          </cell>
        </row>
        <row r="671">
          <cell r="C671" t="str">
            <v>가, 재료비</v>
          </cell>
        </row>
        <row r="672">
          <cell r="A672" t="str">
            <v xml:space="preserve"> 후강전선관  아연도 28C</v>
          </cell>
          <cell r="C672" t="str">
            <v xml:space="preserve"> 후강전선관 </v>
          </cell>
          <cell r="D672" t="str">
            <v xml:space="preserve"> 아연도 28C</v>
          </cell>
          <cell r="E672" t="str">
            <v>m</v>
          </cell>
          <cell r="F672">
            <v>1.1000000000000001</v>
          </cell>
          <cell r="G672">
            <v>1526</v>
          </cell>
          <cell r="H672">
            <v>1678.6</v>
          </cell>
          <cell r="I672">
            <v>0.1</v>
          </cell>
        </row>
        <row r="673">
          <cell r="C673" t="str">
            <v xml:space="preserve"> 전선관부속품비</v>
          </cell>
          <cell r="D673" t="str">
            <v xml:space="preserve"> 전선관비의 15%</v>
          </cell>
          <cell r="E673" t="str">
            <v>식</v>
          </cell>
          <cell r="F673">
            <v>1</v>
          </cell>
          <cell r="G673">
            <v>251.7</v>
          </cell>
          <cell r="H673">
            <v>251.7</v>
          </cell>
        </row>
        <row r="674">
          <cell r="B674" t="str">
            <v>소         계</v>
          </cell>
          <cell r="H674">
            <v>1930</v>
          </cell>
          <cell r="I674" t="str">
            <v>ⓐ</v>
          </cell>
        </row>
        <row r="675">
          <cell r="C675" t="str">
            <v>나, 노무비</v>
          </cell>
        </row>
        <row r="676">
          <cell r="A676" t="str">
            <v>34 통신내선공</v>
          </cell>
          <cell r="C676" t="str">
            <v xml:space="preserve"> 통신내선공</v>
          </cell>
          <cell r="E676" t="str">
            <v>인</v>
          </cell>
          <cell r="F676">
            <v>0.16</v>
          </cell>
          <cell r="G676">
            <v>63738</v>
          </cell>
          <cell r="H676">
            <v>10198</v>
          </cell>
          <cell r="I676" t="str">
            <v>기본×(1+천장노출),통신 3-61-가</v>
          </cell>
        </row>
        <row r="677">
          <cell r="B677" t="str">
            <v>소         계</v>
          </cell>
          <cell r="H677">
            <v>10198</v>
          </cell>
          <cell r="I677" t="str">
            <v>ⓑ</v>
          </cell>
        </row>
        <row r="678">
          <cell r="C678" t="str">
            <v>다, 기계경비</v>
          </cell>
        </row>
        <row r="679">
          <cell r="C679" t="str">
            <v xml:space="preserve"> 통신내선공</v>
          </cell>
          <cell r="E679" t="str">
            <v>인</v>
          </cell>
          <cell r="F679">
            <v>4.0000000000000001E-3</v>
          </cell>
          <cell r="G679">
            <v>63738</v>
          </cell>
          <cell r="H679">
            <v>254.9</v>
          </cell>
        </row>
        <row r="680">
          <cell r="B680" t="str">
            <v>소         계</v>
          </cell>
          <cell r="H680">
            <v>254</v>
          </cell>
          <cell r="I680" t="str">
            <v>ⓒ</v>
          </cell>
        </row>
        <row r="682">
          <cell r="A682" t="str">
            <v>34재   료   비</v>
          </cell>
          <cell r="B682" t="str">
            <v>재   료   비</v>
          </cell>
          <cell r="D682" t="str">
            <v>ⓐ</v>
          </cell>
          <cell r="H682">
            <v>1930</v>
          </cell>
        </row>
        <row r="683">
          <cell r="A683" t="str">
            <v>34노   무   비</v>
          </cell>
          <cell r="B683" t="str">
            <v>노   무   비</v>
          </cell>
          <cell r="D683" t="str">
            <v>ⓑ</v>
          </cell>
          <cell r="H683">
            <v>10198</v>
          </cell>
        </row>
        <row r="684">
          <cell r="A684" t="str">
            <v>34경        비</v>
          </cell>
          <cell r="B684" t="str">
            <v>경        비</v>
          </cell>
          <cell r="D684" t="str">
            <v>ⓒ</v>
          </cell>
          <cell r="H684">
            <v>254</v>
          </cell>
        </row>
        <row r="685">
          <cell r="B685" t="str">
            <v>계</v>
          </cell>
          <cell r="H685">
            <v>12382</v>
          </cell>
        </row>
        <row r="688">
          <cell r="B688">
            <v>35</v>
          </cell>
          <cell r="C688" t="str">
            <v xml:space="preserve"> 후강전선관 신설</v>
          </cell>
          <cell r="D688" t="str">
            <v xml:space="preserve"> 28C (철강조)</v>
          </cell>
          <cell r="E688" t="str">
            <v>m</v>
          </cell>
          <cell r="F688">
            <v>1</v>
          </cell>
        </row>
        <row r="689">
          <cell r="C689" t="str">
            <v>가, 재료비</v>
          </cell>
        </row>
        <row r="690">
          <cell r="A690" t="str">
            <v xml:space="preserve"> 후강전선관  아연도 28C</v>
          </cell>
          <cell r="C690" t="str">
            <v xml:space="preserve"> 후강전선관 </v>
          </cell>
          <cell r="D690" t="str">
            <v xml:space="preserve"> 아연도 28C</v>
          </cell>
          <cell r="E690" t="str">
            <v>m</v>
          </cell>
          <cell r="F690">
            <v>1.1000000000000001</v>
          </cell>
          <cell r="G690">
            <v>1526</v>
          </cell>
          <cell r="H690">
            <v>1678.6</v>
          </cell>
          <cell r="I690">
            <v>0.1</v>
          </cell>
        </row>
        <row r="691">
          <cell r="C691" t="str">
            <v xml:space="preserve"> 전선관부속품비</v>
          </cell>
          <cell r="D691" t="str">
            <v xml:space="preserve"> 전선관비의 15%</v>
          </cell>
          <cell r="E691" t="str">
            <v>식</v>
          </cell>
          <cell r="F691">
            <v>1</v>
          </cell>
          <cell r="G691">
            <v>251.7</v>
          </cell>
          <cell r="H691">
            <v>251.7</v>
          </cell>
        </row>
        <row r="692">
          <cell r="B692" t="str">
            <v>소         계</v>
          </cell>
          <cell r="H692">
            <v>1930</v>
          </cell>
          <cell r="I692" t="str">
            <v>ⓐ</v>
          </cell>
        </row>
        <row r="693">
          <cell r="C693" t="str">
            <v>나, 노무비</v>
          </cell>
        </row>
        <row r="694">
          <cell r="A694" t="str">
            <v>35 통신내선공</v>
          </cell>
          <cell r="C694" t="str">
            <v xml:space="preserve"> 통신내선공</v>
          </cell>
          <cell r="E694" t="str">
            <v>인</v>
          </cell>
          <cell r="F694">
            <v>0.17</v>
          </cell>
          <cell r="G694">
            <v>63738</v>
          </cell>
          <cell r="H694">
            <v>10835.4</v>
          </cell>
          <cell r="I694" t="str">
            <v>기본×(1+철강조노출),통신 3-61-가</v>
          </cell>
        </row>
        <row r="695">
          <cell r="B695" t="str">
            <v>소         계</v>
          </cell>
          <cell r="H695">
            <v>10835</v>
          </cell>
          <cell r="I695" t="str">
            <v>ⓑ</v>
          </cell>
        </row>
        <row r="696">
          <cell r="C696" t="str">
            <v>다, 기계경비</v>
          </cell>
        </row>
        <row r="697">
          <cell r="C697" t="str">
            <v xml:space="preserve"> 통신내선공</v>
          </cell>
          <cell r="E697" t="str">
            <v>인</v>
          </cell>
          <cell r="F697">
            <v>5.0000000000000001E-3</v>
          </cell>
          <cell r="G697">
            <v>63738</v>
          </cell>
          <cell r="H697">
            <v>318.60000000000002</v>
          </cell>
        </row>
        <row r="698">
          <cell r="B698" t="str">
            <v>소         계</v>
          </cell>
          <cell r="H698">
            <v>318</v>
          </cell>
          <cell r="I698" t="str">
            <v>ⓒ</v>
          </cell>
        </row>
        <row r="700">
          <cell r="A700" t="str">
            <v>35재   료   비</v>
          </cell>
          <cell r="B700" t="str">
            <v>재   료   비</v>
          </cell>
          <cell r="D700" t="str">
            <v>ⓐ</v>
          </cell>
          <cell r="H700">
            <v>1930</v>
          </cell>
        </row>
        <row r="701">
          <cell r="A701" t="str">
            <v>35노   무   비</v>
          </cell>
          <cell r="B701" t="str">
            <v>노   무   비</v>
          </cell>
          <cell r="D701" t="str">
            <v>ⓑ</v>
          </cell>
          <cell r="H701">
            <v>10835</v>
          </cell>
        </row>
        <row r="702">
          <cell r="A702" t="str">
            <v>35경        비</v>
          </cell>
          <cell r="B702" t="str">
            <v>경        비</v>
          </cell>
          <cell r="D702" t="str">
            <v>ⓒ</v>
          </cell>
          <cell r="H702">
            <v>318</v>
          </cell>
        </row>
        <row r="703">
          <cell r="B703" t="str">
            <v>계</v>
          </cell>
          <cell r="H703">
            <v>13083</v>
          </cell>
        </row>
        <row r="706">
          <cell r="B706">
            <v>36</v>
          </cell>
          <cell r="C706" t="str">
            <v xml:space="preserve"> 후강전선관 신설</v>
          </cell>
          <cell r="D706" t="str">
            <v xml:space="preserve"> 36C (매입)</v>
          </cell>
          <cell r="E706" t="str">
            <v>m</v>
          </cell>
          <cell r="F706">
            <v>1</v>
          </cell>
        </row>
        <row r="707">
          <cell r="C707" t="str">
            <v>가, 재료비</v>
          </cell>
        </row>
        <row r="708">
          <cell r="A708" t="str">
            <v xml:space="preserve"> 후강전선관  아연도 36C</v>
          </cell>
          <cell r="C708" t="str">
            <v xml:space="preserve"> 후강전선관 </v>
          </cell>
          <cell r="D708" t="str">
            <v xml:space="preserve"> 아연도 36C</v>
          </cell>
          <cell r="E708" t="str">
            <v>m</v>
          </cell>
          <cell r="F708">
            <v>1.1000000000000001</v>
          </cell>
          <cell r="G708">
            <v>1873</v>
          </cell>
          <cell r="H708">
            <v>2060.3000000000002</v>
          </cell>
          <cell r="I708">
            <v>0.1</v>
          </cell>
        </row>
        <row r="709">
          <cell r="C709" t="str">
            <v xml:space="preserve"> 전선관부속품비</v>
          </cell>
          <cell r="D709" t="str">
            <v xml:space="preserve"> 전선관비의 15%</v>
          </cell>
          <cell r="E709" t="str">
            <v>식</v>
          </cell>
          <cell r="F709">
            <v>1</v>
          </cell>
          <cell r="G709">
            <v>309</v>
          </cell>
          <cell r="H709">
            <v>309</v>
          </cell>
        </row>
        <row r="710">
          <cell r="B710" t="str">
            <v>소         계</v>
          </cell>
          <cell r="H710">
            <v>2369</v>
          </cell>
          <cell r="I710" t="str">
            <v>ⓐ</v>
          </cell>
        </row>
        <row r="711">
          <cell r="C711" t="str">
            <v>나, 노무비</v>
          </cell>
        </row>
        <row r="712">
          <cell r="A712" t="str">
            <v>36 통신내선공</v>
          </cell>
          <cell r="C712" t="str">
            <v xml:space="preserve"> 통신내선공</v>
          </cell>
          <cell r="E712" t="str">
            <v>인</v>
          </cell>
          <cell r="F712">
            <v>0.2</v>
          </cell>
          <cell r="G712">
            <v>63738</v>
          </cell>
          <cell r="H712">
            <v>12747.6</v>
          </cell>
          <cell r="I712" t="str">
            <v>기본,통신 3-61-가</v>
          </cell>
        </row>
        <row r="713">
          <cell r="B713" t="str">
            <v>소         계</v>
          </cell>
          <cell r="H713">
            <v>12747</v>
          </cell>
          <cell r="I713" t="str">
            <v>ⓑ</v>
          </cell>
        </row>
        <row r="714">
          <cell r="C714" t="str">
            <v>다, 기계경비</v>
          </cell>
        </row>
        <row r="715">
          <cell r="C715" t="str">
            <v xml:space="preserve"> 통신내선공</v>
          </cell>
          <cell r="E715" t="str">
            <v>인</v>
          </cell>
          <cell r="F715">
            <v>6.0000000000000001E-3</v>
          </cell>
          <cell r="G715">
            <v>63738</v>
          </cell>
          <cell r="H715">
            <v>382.4</v>
          </cell>
        </row>
        <row r="716">
          <cell r="B716" t="str">
            <v>소         계</v>
          </cell>
          <cell r="H716">
            <v>382</v>
          </cell>
          <cell r="I716" t="str">
            <v>ⓒ</v>
          </cell>
        </row>
        <row r="718">
          <cell r="A718" t="str">
            <v>36재   료   비</v>
          </cell>
          <cell r="B718" t="str">
            <v>재   료   비</v>
          </cell>
          <cell r="D718" t="str">
            <v>ⓐ</v>
          </cell>
          <cell r="H718">
            <v>2369</v>
          </cell>
        </row>
        <row r="719">
          <cell r="A719" t="str">
            <v>36노   무   비</v>
          </cell>
          <cell r="B719" t="str">
            <v>노   무   비</v>
          </cell>
          <cell r="D719" t="str">
            <v>ⓑ</v>
          </cell>
          <cell r="H719">
            <v>12747</v>
          </cell>
        </row>
        <row r="720">
          <cell r="A720" t="str">
            <v>36경        비</v>
          </cell>
          <cell r="B720" t="str">
            <v>경        비</v>
          </cell>
          <cell r="D720" t="str">
            <v>ⓒ</v>
          </cell>
          <cell r="H720">
            <v>382</v>
          </cell>
        </row>
        <row r="721">
          <cell r="B721" t="str">
            <v>계</v>
          </cell>
          <cell r="H721">
            <v>15498</v>
          </cell>
        </row>
        <row r="724">
          <cell r="B724">
            <v>37</v>
          </cell>
          <cell r="C724" t="str">
            <v xml:space="preserve"> 후강전선관 신설</v>
          </cell>
          <cell r="D724" t="str">
            <v xml:space="preserve"> 36C (벽매입)</v>
          </cell>
          <cell r="E724" t="str">
            <v>m</v>
          </cell>
          <cell r="F724">
            <v>1</v>
          </cell>
        </row>
        <row r="725">
          <cell r="C725" t="str">
            <v>가, 재료비</v>
          </cell>
        </row>
        <row r="726">
          <cell r="A726" t="str">
            <v xml:space="preserve"> 후강전선관  아연도 36C</v>
          </cell>
          <cell r="C726" t="str">
            <v xml:space="preserve"> 후강전선관 </v>
          </cell>
          <cell r="D726" t="str">
            <v xml:space="preserve"> 아연도 36C</v>
          </cell>
          <cell r="E726" t="str">
            <v>m</v>
          </cell>
          <cell r="F726">
            <v>1.1000000000000001</v>
          </cell>
          <cell r="G726">
            <v>1873</v>
          </cell>
          <cell r="H726">
            <v>2060.3000000000002</v>
          </cell>
          <cell r="I726">
            <v>0.1</v>
          </cell>
        </row>
        <row r="727">
          <cell r="C727" t="str">
            <v xml:space="preserve"> 전선관부속품비</v>
          </cell>
          <cell r="D727" t="str">
            <v xml:space="preserve"> 전선관비의 15%</v>
          </cell>
          <cell r="E727" t="str">
            <v>식</v>
          </cell>
          <cell r="F727">
            <v>1</v>
          </cell>
          <cell r="G727">
            <v>309</v>
          </cell>
          <cell r="H727">
            <v>309</v>
          </cell>
        </row>
        <row r="728">
          <cell r="B728" t="str">
            <v>소         계</v>
          </cell>
          <cell r="H728">
            <v>2369</v>
          </cell>
          <cell r="I728" t="str">
            <v>ⓐ</v>
          </cell>
        </row>
        <row r="729">
          <cell r="C729" t="str">
            <v>나, 노무비</v>
          </cell>
        </row>
        <row r="730">
          <cell r="A730" t="str">
            <v>37 통신내선공</v>
          </cell>
          <cell r="C730" t="str">
            <v xml:space="preserve"> 통신내선공</v>
          </cell>
          <cell r="E730" t="str">
            <v>인</v>
          </cell>
          <cell r="F730">
            <v>0.24</v>
          </cell>
          <cell r="G730">
            <v>63738</v>
          </cell>
          <cell r="H730">
            <v>15297.1</v>
          </cell>
          <cell r="I730" t="str">
            <v>기본×(1+벽내),통신 3-61-가</v>
          </cell>
        </row>
        <row r="731">
          <cell r="B731" t="str">
            <v>소         계</v>
          </cell>
          <cell r="H731">
            <v>15297</v>
          </cell>
          <cell r="I731" t="str">
            <v>ⓑ</v>
          </cell>
        </row>
        <row r="732">
          <cell r="C732" t="str">
            <v>다, 기계경비</v>
          </cell>
        </row>
        <row r="733">
          <cell r="C733" t="str">
            <v xml:space="preserve"> 통신내선공</v>
          </cell>
          <cell r="E733" t="str">
            <v>인</v>
          </cell>
          <cell r="F733">
            <v>7.0000000000000001E-3</v>
          </cell>
          <cell r="G733">
            <v>63738</v>
          </cell>
          <cell r="H733">
            <v>446.1</v>
          </cell>
        </row>
        <row r="734">
          <cell r="B734" t="str">
            <v>소         계</v>
          </cell>
          <cell r="H734">
            <v>446</v>
          </cell>
          <cell r="I734" t="str">
            <v>ⓒ</v>
          </cell>
        </row>
        <row r="736">
          <cell r="A736" t="str">
            <v>37재   료   비</v>
          </cell>
          <cell r="B736" t="str">
            <v>재   료   비</v>
          </cell>
          <cell r="D736" t="str">
            <v>ⓐ</v>
          </cell>
          <cell r="H736">
            <v>2369</v>
          </cell>
        </row>
        <row r="737">
          <cell r="A737" t="str">
            <v>37노   무   비</v>
          </cell>
          <cell r="B737" t="str">
            <v>노   무   비</v>
          </cell>
          <cell r="D737" t="str">
            <v>ⓑ</v>
          </cell>
          <cell r="H737">
            <v>15297</v>
          </cell>
        </row>
        <row r="738">
          <cell r="A738" t="str">
            <v>37경        비</v>
          </cell>
          <cell r="B738" t="str">
            <v>경        비</v>
          </cell>
          <cell r="D738" t="str">
            <v>ⓒ</v>
          </cell>
          <cell r="H738">
            <v>446</v>
          </cell>
        </row>
        <row r="739">
          <cell r="B739" t="str">
            <v>계</v>
          </cell>
          <cell r="H739">
            <v>18112</v>
          </cell>
        </row>
        <row r="742">
          <cell r="B742">
            <v>38</v>
          </cell>
          <cell r="C742" t="str">
            <v xml:space="preserve"> 후강전선관 신설</v>
          </cell>
          <cell r="D742" t="str">
            <v xml:space="preserve"> 36C (천장노출)</v>
          </cell>
          <cell r="E742" t="str">
            <v>m</v>
          </cell>
          <cell r="F742">
            <v>1</v>
          </cell>
        </row>
        <row r="743">
          <cell r="C743" t="str">
            <v>가, 재료비</v>
          </cell>
        </row>
        <row r="744">
          <cell r="A744" t="str">
            <v xml:space="preserve"> 후강전선관  아연도 36C</v>
          </cell>
          <cell r="C744" t="str">
            <v xml:space="preserve"> 후강전선관 </v>
          </cell>
          <cell r="D744" t="str">
            <v xml:space="preserve"> 아연도 36C</v>
          </cell>
          <cell r="E744" t="str">
            <v>m</v>
          </cell>
          <cell r="F744">
            <v>1.1000000000000001</v>
          </cell>
          <cell r="G744">
            <v>1873</v>
          </cell>
          <cell r="H744">
            <v>2060.3000000000002</v>
          </cell>
          <cell r="I744">
            <v>0.1</v>
          </cell>
        </row>
        <row r="745">
          <cell r="C745" t="str">
            <v xml:space="preserve"> 전선관부속품비</v>
          </cell>
          <cell r="D745" t="str">
            <v xml:space="preserve"> 전선관비의 15%</v>
          </cell>
          <cell r="E745" t="str">
            <v>식</v>
          </cell>
          <cell r="F745">
            <v>1</v>
          </cell>
          <cell r="G745">
            <v>309</v>
          </cell>
          <cell r="H745">
            <v>309</v>
          </cell>
        </row>
        <row r="746">
          <cell r="B746" t="str">
            <v>소         계</v>
          </cell>
          <cell r="H746">
            <v>2369</v>
          </cell>
          <cell r="I746" t="str">
            <v>ⓐ</v>
          </cell>
        </row>
        <row r="747">
          <cell r="C747" t="str">
            <v>나, 노무비</v>
          </cell>
        </row>
        <row r="748">
          <cell r="A748" t="str">
            <v>38 통신내선공</v>
          </cell>
          <cell r="C748" t="str">
            <v xml:space="preserve"> 통신내선공</v>
          </cell>
          <cell r="E748" t="str">
            <v>인</v>
          </cell>
          <cell r="F748">
            <v>0.24</v>
          </cell>
          <cell r="G748">
            <v>63738</v>
          </cell>
          <cell r="H748">
            <v>15297.1</v>
          </cell>
          <cell r="I748" t="str">
            <v>기본×(1+천장노출),통신 3-61-가</v>
          </cell>
        </row>
        <row r="749">
          <cell r="B749" t="str">
            <v>소         계</v>
          </cell>
          <cell r="H749">
            <v>15297</v>
          </cell>
          <cell r="I749" t="str">
            <v>ⓑ</v>
          </cell>
        </row>
        <row r="750">
          <cell r="C750" t="str">
            <v>다, 기계경비</v>
          </cell>
        </row>
        <row r="751">
          <cell r="C751" t="str">
            <v xml:space="preserve"> 통신내선공</v>
          </cell>
          <cell r="E751" t="str">
            <v>인</v>
          </cell>
          <cell r="F751">
            <v>7.0000000000000001E-3</v>
          </cell>
          <cell r="G751">
            <v>63738</v>
          </cell>
          <cell r="H751">
            <v>446.1</v>
          </cell>
        </row>
        <row r="752">
          <cell r="B752" t="str">
            <v>소         계</v>
          </cell>
          <cell r="H752">
            <v>446</v>
          </cell>
          <cell r="I752" t="str">
            <v>ⓒ</v>
          </cell>
        </row>
        <row r="754">
          <cell r="A754" t="str">
            <v>38재   료   비</v>
          </cell>
          <cell r="B754" t="str">
            <v>재   료   비</v>
          </cell>
          <cell r="D754" t="str">
            <v>ⓐ</v>
          </cell>
          <cell r="H754">
            <v>2369</v>
          </cell>
        </row>
        <row r="755">
          <cell r="A755" t="str">
            <v>38노   무   비</v>
          </cell>
          <cell r="B755" t="str">
            <v>노   무   비</v>
          </cell>
          <cell r="D755" t="str">
            <v>ⓑ</v>
          </cell>
          <cell r="H755">
            <v>15297</v>
          </cell>
        </row>
        <row r="756">
          <cell r="A756" t="str">
            <v>38경        비</v>
          </cell>
          <cell r="B756" t="str">
            <v>경        비</v>
          </cell>
          <cell r="D756" t="str">
            <v>ⓒ</v>
          </cell>
          <cell r="H756">
            <v>446</v>
          </cell>
        </row>
        <row r="757">
          <cell r="B757" t="str">
            <v>계</v>
          </cell>
          <cell r="H757">
            <v>18112</v>
          </cell>
        </row>
        <row r="760">
          <cell r="B760">
            <v>39</v>
          </cell>
          <cell r="C760" t="str">
            <v xml:space="preserve"> 후강전선관 신설</v>
          </cell>
          <cell r="D760" t="str">
            <v xml:space="preserve"> 42C (벽매입)</v>
          </cell>
          <cell r="E760" t="str">
            <v>m</v>
          </cell>
          <cell r="F760">
            <v>1</v>
          </cell>
        </row>
        <row r="761">
          <cell r="C761" t="str">
            <v>가, 재료비</v>
          </cell>
        </row>
        <row r="762">
          <cell r="A762" t="str">
            <v xml:space="preserve"> 후강전선관  아연도 42C</v>
          </cell>
          <cell r="C762" t="str">
            <v xml:space="preserve"> 후강전선관 </v>
          </cell>
          <cell r="D762" t="str">
            <v xml:space="preserve"> 아연도 42C</v>
          </cell>
          <cell r="E762" t="str">
            <v>m</v>
          </cell>
          <cell r="F762">
            <v>1.1000000000000001</v>
          </cell>
          <cell r="G762">
            <v>2171</v>
          </cell>
          <cell r="H762">
            <v>2388.1</v>
          </cell>
          <cell r="I762">
            <v>0.1</v>
          </cell>
        </row>
        <row r="763">
          <cell r="C763" t="str">
            <v xml:space="preserve"> 전선관부속품비</v>
          </cell>
          <cell r="D763" t="str">
            <v xml:space="preserve"> 전선관비의 15%</v>
          </cell>
          <cell r="E763" t="str">
            <v>식</v>
          </cell>
          <cell r="F763">
            <v>1</v>
          </cell>
          <cell r="G763">
            <v>358.2</v>
          </cell>
          <cell r="H763">
            <v>358.2</v>
          </cell>
        </row>
        <row r="764">
          <cell r="B764" t="str">
            <v>소         계</v>
          </cell>
          <cell r="H764">
            <v>2746</v>
          </cell>
          <cell r="I764" t="str">
            <v>ⓐ</v>
          </cell>
        </row>
        <row r="765">
          <cell r="C765" t="str">
            <v>나, 노무비</v>
          </cell>
        </row>
        <row r="766">
          <cell r="A766" t="str">
            <v>39 통신내선공</v>
          </cell>
          <cell r="C766" t="str">
            <v xml:space="preserve"> 통신내선공</v>
          </cell>
          <cell r="E766" t="str">
            <v>인</v>
          </cell>
          <cell r="F766">
            <v>0.3</v>
          </cell>
          <cell r="G766">
            <v>63738</v>
          </cell>
          <cell r="H766">
            <v>19121.400000000001</v>
          </cell>
          <cell r="I766" t="str">
            <v>기본×(1+벽내),통신 3-61-가</v>
          </cell>
        </row>
        <row r="767">
          <cell r="B767" t="str">
            <v>소         계</v>
          </cell>
          <cell r="H767">
            <v>19121</v>
          </cell>
          <cell r="I767" t="str">
            <v>ⓑ</v>
          </cell>
        </row>
        <row r="768">
          <cell r="C768" t="str">
            <v>다, 기계경비</v>
          </cell>
        </row>
        <row r="769">
          <cell r="C769" t="str">
            <v xml:space="preserve"> 통신내선공</v>
          </cell>
          <cell r="E769" t="str">
            <v>인</v>
          </cell>
          <cell r="F769">
            <v>8.9999999999999993E-3</v>
          </cell>
          <cell r="G769">
            <v>63738</v>
          </cell>
          <cell r="H769">
            <v>573.6</v>
          </cell>
        </row>
        <row r="770">
          <cell r="B770" t="str">
            <v>소         계</v>
          </cell>
          <cell r="H770">
            <v>573</v>
          </cell>
          <cell r="I770" t="str">
            <v>ⓒ</v>
          </cell>
        </row>
        <row r="772">
          <cell r="A772" t="str">
            <v>39재   료   비</v>
          </cell>
          <cell r="B772" t="str">
            <v>재   료   비</v>
          </cell>
          <cell r="D772" t="str">
            <v>ⓐ</v>
          </cell>
          <cell r="H772">
            <v>2746</v>
          </cell>
        </row>
        <row r="773">
          <cell r="A773" t="str">
            <v>39노   무   비</v>
          </cell>
          <cell r="B773" t="str">
            <v>노   무   비</v>
          </cell>
          <cell r="D773" t="str">
            <v>ⓑ</v>
          </cell>
          <cell r="H773">
            <v>19121</v>
          </cell>
        </row>
        <row r="774">
          <cell r="A774" t="str">
            <v>39경        비</v>
          </cell>
          <cell r="B774" t="str">
            <v>경        비</v>
          </cell>
          <cell r="D774" t="str">
            <v>ⓒ</v>
          </cell>
          <cell r="H774">
            <v>573</v>
          </cell>
        </row>
        <row r="775">
          <cell r="B775" t="str">
            <v>계</v>
          </cell>
          <cell r="H775">
            <v>22440</v>
          </cell>
        </row>
        <row r="778">
          <cell r="B778">
            <v>40</v>
          </cell>
          <cell r="C778" t="str">
            <v xml:space="preserve"> 후강전선관 신설</v>
          </cell>
          <cell r="D778" t="str">
            <v xml:space="preserve"> 42C (천장노출)</v>
          </cell>
          <cell r="E778" t="str">
            <v>m</v>
          </cell>
          <cell r="F778">
            <v>1</v>
          </cell>
        </row>
        <row r="779">
          <cell r="C779" t="str">
            <v>가, 재료비</v>
          </cell>
        </row>
        <row r="780">
          <cell r="A780" t="str">
            <v xml:space="preserve"> 후강전선관  아연도 42C</v>
          </cell>
          <cell r="C780" t="str">
            <v xml:space="preserve"> 후강전선관 </v>
          </cell>
          <cell r="D780" t="str">
            <v xml:space="preserve"> 아연도 42C</v>
          </cell>
          <cell r="E780" t="str">
            <v>m</v>
          </cell>
          <cell r="F780">
            <v>1.1000000000000001</v>
          </cell>
          <cell r="G780">
            <v>2171</v>
          </cell>
          <cell r="H780">
            <v>2388.1</v>
          </cell>
          <cell r="I780">
            <v>0.1</v>
          </cell>
        </row>
        <row r="781">
          <cell r="C781" t="str">
            <v xml:space="preserve"> 전선관부속품비</v>
          </cell>
          <cell r="D781" t="str">
            <v xml:space="preserve"> 전선관비의 15%</v>
          </cell>
          <cell r="E781" t="str">
            <v>식</v>
          </cell>
          <cell r="F781">
            <v>1</v>
          </cell>
          <cell r="G781">
            <v>358.2</v>
          </cell>
          <cell r="H781">
            <v>358.2</v>
          </cell>
        </row>
        <row r="782">
          <cell r="B782" t="str">
            <v>소         계</v>
          </cell>
          <cell r="H782">
            <v>2746</v>
          </cell>
          <cell r="I782" t="str">
            <v>ⓐ</v>
          </cell>
        </row>
        <row r="783">
          <cell r="C783" t="str">
            <v>나, 노무비</v>
          </cell>
        </row>
        <row r="784">
          <cell r="A784" t="str">
            <v>40 통신내선공</v>
          </cell>
          <cell r="C784" t="str">
            <v xml:space="preserve"> 통신내선공</v>
          </cell>
          <cell r="E784" t="str">
            <v>인</v>
          </cell>
          <cell r="F784">
            <v>0.3</v>
          </cell>
          <cell r="G784">
            <v>63738</v>
          </cell>
          <cell r="H784">
            <v>19121.400000000001</v>
          </cell>
          <cell r="I784" t="str">
            <v>기본×(1+천장노출),통신 3-61-가</v>
          </cell>
        </row>
        <row r="785">
          <cell r="B785" t="str">
            <v>소         계</v>
          </cell>
          <cell r="H785">
            <v>19121</v>
          </cell>
          <cell r="I785" t="str">
            <v>ⓑ</v>
          </cell>
        </row>
        <row r="786">
          <cell r="C786" t="str">
            <v>다, 기계경비</v>
          </cell>
        </row>
        <row r="787">
          <cell r="C787" t="str">
            <v xml:space="preserve"> 통신내선공</v>
          </cell>
          <cell r="E787" t="str">
            <v>인</v>
          </cell>
          <cell r="F787">
            <v>8.9999999999999993E-3</v>
          </cell>
          <cell r="G787">
            <v>63738</v>
          </cell>
          <cell r="H787">
            <v>573.6</v>
          </cell>
        </row>
        <row r="788">
          <cell r="B788" t="str">
            <v>소         계</v>
          </cell>
          <cell r="H788">
            <v>573</v>
          </cell>
          <cell r="I788" t="str">
            <v>ⓒ</v>
          </cell>
        </row>
        <row r="790">
          <cell r="A790" t="str">
            <v>40재   료   비</v>
          </cell>
          <cell r="B790" t="str">
            <v>재   료   비</v>
          </cell>
          <cell r="D790" t="str">
            <v>ⓐ</v>
          </cell>
          <cell r="H790">
            <v>2746</v>
          </cell>
        </row>
        <row r="791">
          <cell r="A791" t="str">
            <v>40노   무   비</v>
          </cell>
          <cell r="B791" t="str">
            <v>노   무   비</v>
          </cell>
          <cell r="D791" t="str">
            <v>ⓑ</v>
          </cell>
          <cell r="H791">
            <v>19121</v>
          </cell>
        </row>
        <row r="792">
          <cell r="A792" t="str">
            <v>40경        비</v>
          </cell>
          <cell r="B792" t="str">
            <v>경        비</v>
          </cell>
          <cell r="D792" t="str">
            <v>ⓒ</v>
          </cell>
          <cell r="H792">
            <v>573</v>
          </cell>
        </row>
        <row r="793">
          <cell r="B793" t="str">
            <v>계</v>
          </cell>
          <cell r="H793">
            <v>22440</v>
          </cell>
        </row>
        <row r="796">
          <cell r="B796">
            <v>41</v>
          </cell>
          <cell r="C796" t="str">
            <v xml:space="preserve"> 후강전선관 신설</v>
          </cell>
          <cell r="D796" t="str">
            <v xml:space="preserve"> 54C (벽매입)</v>
          </cell>
          <cell r="E796" t="str">
            <v>m</v>
          </cell>
          <cell r="F796">
            <v>1</v>
          </cell>
        </row>
        <row r="797">
          <cell r="C797" t="str">
            <v>가, 재료비</v>
          </cell>
        </row>
        <row r="798">
          <cell r="A798" t="str">
            <v xml:space="preserve"> 후강전선관  아연도 54C</v>
          </cell>
          <cell r="C798" t="str">
            <v xml:space="preserve"> 후강전선관 </v>
          </cell>
          <cell r="D798" t="str">
            <v xml:space="preserve"> 아연도 54C</v>
          </cell>
          <cell r="E798" t="str">
            <v>m</v>
          </cell>
          <cell r="F798">
            <v>1.1000000000000001</v>
          </cell>
          <cell r="G798">
            <v>3027</v>
          </cell>
          <cell r="H798">
            <v>3329.7</v>
          </cell>
          <cell r="I798">
            <v>0.1</v>
          </cell>
        </row>
        <row r="799">
          <cell r="C799" t="str">
            <v xml:space="preserve"> 전선관부속품비</v>
          </cell>
          <cell r="D799" t="str">
            <v xml:space="preserve"> 전선관비의 15%</v>
          </cell>
          <cell r="E799" t="str">
            <v>식</v>
          </cell>
          <cell r="F799">
            <v>1</v>
          </cell>
          <cell r="G799">
            <v>499.4</v>
          </cell>
          <cell r="H799">
            <v>499.4</v>
          </cell>
        </row>
        <row r="800">
          <cell r="B800" t="str">
            <v>소         계</v>
          </cell>
          <cell r="H800">
            <v>3829</v>
          </cell>
          <cell r="I800" t="str">
            <v>ⓐ</v>
          </cell>
        </row>
        <row r="801">
          <cell r="C801" t="str">
            <v>나, 노무비</v>
          </cell>
        </row>
        <row r="802">
          <cell r="A802" t="str">
            <v>41 통신내선공</v>
          </cell>
          <cell r="C802" t="str">
            <v xml:space="preserve"> 통신내선공</v>
          </cell>
          <cell r="E802" t="str">
            <v>인</v>
          </cell>
          <cell r="F802">
            <v>0.4</v>
          </cell>
          <cell r="G802">
            <v>63738</v>
          </cell>
          <cell r="H802">
            <v>25495.200000000001</v>
          </cell>
          <cell r="I802" t="str">
            <v>기본×(1+벽내),통신 3-61-가</v>
          </cell>
        </row>
        <row r="803">
          <cell r="B803" t="str">
            <v>소         계</v>
          </cell>
          <cell r="H803">
            <v>25495</v>
          </cell>
          <cell r="I803" t="str">
            <v>ⓑ</v>
          </cell>
        </row>
        <row r="804">
          <cell r="C804" t="str">
            <v>다, 기계경비</v>
          </cell>
        </row>
        <row r="805">
          <cell r="C805" t="str">
            <v xml:space="preserve"> 통신내선공</v>
          </cell>
          <cell r="E805" t="str">
            <v>인</v>
          </cell>
          <cell r="F805">
            <v>1.2E-2</v>
          </cell>
          <cell r="G805">
            <v>63738</v>
          </cell>
          <cell r="H805">
            <v>764.8</v>
          </cell>
        </row>
        <row r="806">
          <cell r="B806" t="str">
            <v>소         계</v>
          </cell>
          <cell r="H806">
            <v>764</v>
          </cell>
          <cell r="I806" t="str">
            <v>ⓒ</v>
          </cell>
        </row>
        <row r="808">
          <cell r="A808" t="str">
            <v>41재   료   비</v>
          </cell>
          <cell r="B808" t="str">
            <v>재   료   비</v>
          </cell>
          <cell r="D808" t="str">
            <v>ⓐ</v>
          </cell>
          <cell r="H808">
            <v>3829</v>
          </cell>
        </row>
        <row r="809">
          <cell r="A809" t="str">
            <v>41노   무   비</v>
          </cell>
          <cell r="B809" t="str">
            <v>노   무   비</v>
          </cell>
          <cell r="D809" t="str">
            <v>ⓑ</v>
          </cell>
          <cell r="H809">
            <v>25495</v>
          </cell>
        </row>
        <row r="810">
          <cell r="A810" t="str">
            <v>41경        비</v>
          </cell>
          <cell r="B810" t="str">
            <v>경        비</v>
          </cell>
          <cell r="D810" t="str">
            <v>ⓒ</v>
          </cell>
          <cell r="H810">
            <v>764</v>
          </cell>
        </row>
        <row r="811">
          <cell r="B811" t="str">
            <v>계</v>
          </cell>
          <cell r="H811">
            <v>30088</v>
          </cell>
        </row>
        <row r="814">
          <cell r="B814">
            <v>42</v>
          </cell>
          <cell r="C814" t="str">
            <v xml:space="preserve"> 후강전선관 신설</v>
          </cell>
          <cell r="D814" t="str">
            <v xml:space="preserve"> 54C (천장노출)</v>
          </cell>
          <cell r="E814" t="str">
            <v>m</v>
          </cell>
          <cell r="F814">
            <v>1</v>
          </cell>
        </row>
        <row r="815">
          <cell r="C815" t="str">
            <v>가, 재료비</v>
          </cell>
        </row>
        <row r="816">
          <cell r="A816" t="str">
            <v xml:space="preserve"> 후강전선관  아연도 54C</v>
          </cell>
          <cell r="C816" t="str">
            <v xml:space="preserve"> 후강전선관 </v>
          </cell>
          <cell r="D816" t="str">
            <v xml:space="preserve"> 아연도 54C</v>
          </cell>
          <cell r="E816" t="str">
            <v>m</v>
          </cell>
          <cell r="F816">
            <v>1.1000000000000001</v>
          </cell>
          <cell r="G816">
            <v>3027</v>
          </cell>
          <cell r="H816">
            <v>3329.7</v>
          </cell>
          <cell r="I816">
            <v>0.1</v>
          </cell>
        </row>
        <row r="817">
          <cell r="C817" t="str">
            <v xml:space="preserve"> 전선관부속품비</v>
          </cell>
          <cell r="D817" t="str">
            <v xml:space="preserve"> 전선관비의 15%</v>
          </cell>
          <cell r="E817" t="str">
            <v>식</v>
          </cell>
          <cell r="F817">
            <v>1</v>
          </cell>
          <cell r="G817">
            <v>499.4</v>
          </cell>
          <cell r="H817">
            <v>499.4</v>
          </cell>
        </row>
        <row r="818">
          <cell r="B818" t="str">
            <v>소         계</v>
          </cell>
          <cell r="H818">
            <v>3829</v>
          </cell>
          <cell r="I818" t="str">
            <v>ⓐ</v>
          </cell>
        </row>
        <row r="819">
          <cell r="C819" t="str">
            <v>나, 노무비</v>
          </cell>
        </row>
        <row r="820">
          <cell r="A820" t="str">
            <v>42 통신내선공</v>
          </cell>
          <cell r="C820" t="str">
            <v xml:space="preserve"> 통신내선공</v>
          </cell>
          <cell r="E820" t="str">
            <v>인</v>
          </cell>
          <cell r="F820">
            <v>0.4</v>
          </cell>
          <cell r="G820">
            <v>63738</v>
          </cell>
          <cell r="H820">
            <v>25495.200000000001</v>
          </cell>
          <cell r="I820" t="str">
            <v>기본×(1+천장노출),통신 3-61-가</v>
          </cell>
        </row>
        <row r="821">
          <cell r="B821" t="str">
            <v>소         계</v>
          </cell>
          <cell r="H821">
            <v>25495</v>
          </cell>
          <cell r="I821" t="str">
            <v>ⓑ</v>
          </cell>
        </row>
        <row r="822">
          <cell r="C822" t="str">
            <v>다, 기계경비</v>
          </cell>
        </row>
        <row r="823">
          <cell r="C823" t="str">
            <v xml:space="preserve"> 통신내선공</v>
          </cell>
          <cell r="E823" t="str">
            <v>인</v>
          </cell>
          <cell r="F823">
            <v>1.2E-2</v>
          </cell>
          <cell r="G823">
            <v>63738</v>
          </cell>
          <cell r="H823">
            <v>764.8</v>
          </cell>
        </row>
        <row r="824">
          <cell r="B824" t="str">
            <v>소         계</v>
          </cell>
          <cell r="H824">
            <v>764</v>
          </cell>
          <cell r="I824" t="str">
            <v>ⓒ</v>
          </cell>
        </row>
        <row r="826">
          <cell r="A826" t="str">
            <v>42재   료   비</v>
          </cell>
          <cell r="B826" t="str">
            <v>재   료   비</v>
          </cell>
          <cell r="D826" t="str">
            <v>ⓐ</v>
          </cell>
          <cell r="H826">
            <v>3829</v>
          </cell>
        </row>
        <row r="827">
          <cell r="A827" t="str">
            <v>42노   무   비</v>
          </cell>
          <cell r="B827" t="str">
            <v>노   무   비</v>
          </cell>
          <cell r="D827" t="str">
            <v>ⓑ</v>
          </cell>
          <cell r="H827">
            <v>25495</v>
          </cell>
        </row>
        <row r="828">
          <cell r="A828" t="str">
            <v>42경        비</v>
          </cell>
          <cell r="B828" t="str">
            <v>경        비</v>
          </cell>
          <cell r="D828" t="str">
            <v>ⓒ</v>
          </cell>
          <cell r="H828">
            <v>764</v>
          </cell>
        </row>
        <row r="829">
          <cell r="B829" t="str">
            <v>계</v>
          </cell>
          <cell r="H829">
            <v>30088</v>
          </cell>
        </row>
        <row r="832">
          <cell r="B832">
            <v>43</v>
          </cell>
          <cell r="C832" t="str">
            <v xml:space="preserve"> 후강전선관 신설</v>
          </cell>
          <cell r="D832" t="str">
            <v xml:space="preserve"> 82C (벽매입)</v>
          </cell>
          <cell r="E832" t="str">
            <v>m</v>
          </cell>
          <cell r="F832">
            <v>1</v>
          </cell>
        </row>
        <row r="833">
          <cell r="C833" t="str">
            <v>가, 재료비</v>
          </cell>
        </row>
        <row r="834">
          <cell r="A834" t="str">
            <v xml:space="preserve"> 후강전선관  아연도 82C</v>
          </cell>
          <cell r="C834" t="str">
            <v xml:space="preserve"> 후강전선관 </v>
          </cell>
          <cell r="D834" t="str">
            <v xml:space="preserve"> 아연도 82C</v>
          </cell>
          <cell r="E834" t="str">
            <v>m</v>
          </cell>
          <cell r="F834">
            <v>1.1000000000000001</v>
          </cell>
          <cell r="G834">
            <v>4324</v>
          </cell>
          <cell r="H834">
            <v>4756.3999999999996</v>
          </cell>
          <cell r="I834">
            <v>0.1</v>
          </cell>
        </row>
        <row r="835">
          <cell r="C835" t="str">
            <v xml:space="preserve"> 전선관부속품비</v>
          </cell>
          <cell r="D835" t="str">
            <v xml:space="preserve"> 전선관비의 15%</v>
          </cell>
          <cell r="E835" t="str">
            <v>식</v>
          </cell>
          <cell r="F835">
            <v>1</v>
          </cell>
          <cell r="G835">
            <v>713.4</v>
          </cell>
          <cell r="H835">
            <v>713.4</v>
          </cell>
        </row>
        <row r="836">
          <cell r="B836" t="str">
            <v>소         계</v>
          </cell>
          <cell r="H836">
            <v>5469</v>
          </cell>
          <cell r="I836" t="str">
            <v>ⓐ</v>
          </cell>
        </row>
        <row r="837">
          <cell r="C837" t="str">
            <v>나, 노무비</v>
          </cell>
        </row>
        <row r="838">
          <cell r="A838" t="str">
            <v>43 통신내선공</v>
          </cell>
          <cell r="C838" t="str">
            <v xml:space="preserve"> 통신내선공</v>
          </cell>
          <cell r="E838" t="str">
            <v>인</v>
          </cell>
          <cell r="F838">
            <v>0.64</v>
          </cell>
          <cell r="G838">
            <v>63738</v>
          </cell>
          <cell r="H838">
            <v>40792.300000000003</v>
          </cell>
          <cell r="I838" t="str">
            <v>기본×(1+천장노출),통신 3-61-가</v>
          </cell>
        </row>
        <row r="839">
          <cell r="B839" t="str">
            <v>소         계</v>
          </cell>
          <cell r="H839">
            <v>40792</v>
          </cell>
          <cell r="I839" t="str">
            <v>ⓑ</v>
          </cell>
        </row>
        <row r="840">
          <cell r="C840" t="str">
            <v>다, 기계경비</v>
          </cell>
        </row>
        <row r="841">
          <cell r="C841" t="str">
            <v xml:space="preserve"> 통신내선공</v>
          </cell>
          <cell r="E841" t="str">
            <v>인</v>
          </cell>
          <cell r="F841">
            <v>1.9E-2</v>
          </cell>
          <cell r="G841">
            <v>63738</v>
          </cell>
          <cell r="H841">
            <v>1211</v>
          </cell>
        </row>
        <row r="842">
          <cell r="B842" t="str">
            <v>소         계</v>
          </cell>
          <cell r="H842">
            <v>1211</v>
          </cell>
          <cell r="I842" t="str">
            <v>ⓒ</v>
          </cell>
        </row>
        <row r="844">
          <cell r="A844" t="str">
            <v>43재   료   비</v>
          </cell>
          <cell r="B844" t="str">
            <v>재   료   비</v>
          </cell>
          <cell r="D844" t="str">
            <v>ⓐ</v>
          </cell>
          <cell r="H844">
            <v>5469</v>
          </cell>
        </row>
        <row r="845">
          <cell r="A845" t="str">
            <v>43노   무   비</v>
          </cell>
          <cell r="B845" t="str">
            <v>노   무   비</v>
          </cell>
          <cell r="D845" t="str">
            <v>ⓑ</v>
          </cell>
          <cell r="H845">
            <v>40792</v>
          </cell>
        </row>
        <row r="846">
          <cell r="A846" t="str">
            <v>43경        비</v>
          </cell>
          <cell r="B846" t="str">
            <v>경        비</v>
          </cell>
          <cell r="D846" t="str">
            <v>ⓒ</v>
          </cell>
          <cell r="H846">
            <v>1211</v>
          </cell>
        </row>
        <row r="847">
          <cell r="B847" t="str">
            <v>계</v>
          </cell>
          <cell r="H847">
            <v>47472</v>
          </cell>
        </row>
        <row r="850">
          <cell r="B850">
            <v>44</v>
          </cell>
          <cell r="C850" t="str">
            <v xml:space="preserve"> 후강전선관 신설</v>
          </cell>
          <cell r="D850" t="str">
            <v xml:space="preserve"> 82C (천장노출)</v>
          </cell>
          <cell r="E850" t="str">
            <v>m</v>
          </cell>
          <cell r="F850">
            <v>1</v>
          </cell>
        </row>
        <row r="851">
          <cell r="C851" t="str">
            <v>가, 재료비</v>
          </cell>
        </row>
        <row r="852">
          <cell r="A852" t="str">
            <v xml:space="preserve"> 후강전선관  아연도 82C</v>
          </cell>
          <cell r="C852" t="str">
            <v xml:space="preserve"> 후강전선관 </v>
          </cell>
          <cell r="D852" t="str">
            <v xml:space="preserve"> 아연도 82C</v>
          </cell>
          <cell r="E852" t="str">
            <v>m</v>
          </cell>
          <cell r="F852">
            <v>1.1000000000000001</v>
          </cell>
          <cell r="G852">
            <v>4324</v>
          </cell>
          <cell r="H852">
            <v>4756.3999999999996</v>
          </cell>
          <cell r="I852">
            <v>0.1</v>
          </cell>
        </row>
        <row r="853">
          <cell r="C853" t="str">
            <v xml:space="preserve"> 전선관부속품비</v>
          </cell>
          <cell r="D853" t="str">
            <v xml:space="preserve"> 전선관비의 15%</v>
          </cell>
          <cell r="E853" t="str">
            <v>식</v>
          </cell>
          <cell r="F853">
            <v>1</v>
          </cell>
          <cell r="G853">
            <v>713.4</v>
          </cell>
          <cell r="H853">
            <v>713.4</v>
          </cell>
        </row>
        <row r="854">
          <cell r="B854" t="str">
            <v>소         계</v>
          </cell>
          <cell r="H854">
            <v>5469</v>
          </cell>
          <cell r="I854" t="str">
            <v>ⓐ</v>
          </cell>
        </row>
        <row r="855">
          <cell r="C855" t="str">
            <v>나, 노무비</v>
          </cell>
        </row>
        <row r="856">
          <cell r="A856" t="str">
            <v>44 통신내선공</v>
          </cell>
          <cell r="C856" t="str">
            <v xml:space="preserve"> 통신내선공</v>
          </cell>
          <cell r="E856" t="str">
            <v>인</v>
          </cell>
          <cell r="F856">
            <v>0.67</v>
          </cell>
          <cell r="G856">
            <v>63738</v>
          </cell>
          <cell r="H856">
            <v>42704.4</v>
          </cell>
          <cell r="I856" t="str">
            <v>기본×(1+철강조노출),통신 3-61-가</v>
          </cell>
        </row>
        <row r="857">
          <cell r="B857" t="str">
            <v>소         계</v>
          </cell>
          <cell r="H857">
            <v>42704</v>
          </cell>
          <cell r="I857" t="str">
            <v>ⓑ</v>
          </cell>
        </row>
        <row r="858">
          <cell r="C858" t="str">
            <v>다, 기계경비</v>
          </cell>
        </row>
        <row r="859">
          <cell r="C859" t="str">
            <v xml:space="preserve"> 통신내선공</v>
          </cell>
          <cell r="E859" t="str">
            <v>인</v>
          </cell>
          <cell r="F859">
            <v>0.02</v>
          </cell>
          <cell r="G859">
            <v>63738</v>
          </cell>
          <cell r="H859">
            <v>1274.7</v>
          </cell>
        </row>
        <row r="860">
          <cell r="B860" t="str">
            <v>소         계</v>
          </cell>
          <cell r="H860">
            <v>1274</v>
          </cell>
          <cell r="I860" t="str">
            <v>ⓒ</v>
          </cell>
        </row>
        <row r="862">
          <cell r="A862" t="str">
            <v>44재   료   비</v>
          </cell>
          <cell r="B862" t="str">
            <v>재   료   비</v>
          </cell>
          <cell r="D862" t="str">
            <v>ⓐ</v>
          </cell>
          <cell r="H862">
            <v>5469</v>
          </cell>
        </row>
        <row r="863">
          <cell r="A863" t="str">
            <v>44노   무   비</v>
          </cell>
          <cell r="B863" t="str">
            <v>노   무   비</v>
          </cell>
          <cell r="D863" t="str">
            <v>ⓑ</v>
          </cell>
          <cell r="H863">
            <v>42704</v>
          </cell>
        </row>
        <row r="864">
          <cell r="A864" t="str">
            <v>44경        비</v>
          </cell>
          <cell r="B864" t="str">
            <v>경        비</v>
          </cell>
          <cell r="D864" t="str">
            <v>ⓒ</v>
          </cell>
          <cell r="H864">
            <v>1274</v>
          </cell>
        </row>
        <row r="865">
          <cell r="B865" t="str">
            <v>계</v>
          </cell>
          <cell r="H865">
            <v>49447</v>
          </cell>
        </row>
        <row r="868">
          <cell r="B868">
            <v>45</v>
          </cell>
          <cell r="C868" t="str">
            <v xml:space="preserve"> 후렉시블전선관 신설</v>
          </cell>
          <cell r="D868" t="str">
            <v xml:space="preserve"> 16C (천장노출)</v>
          </cell>
          <cell r="E868" t="str">
            <v>m</v>
          </cell>
          <cell r="F868">
            <v>1</v>
          </cell>
        </row>
        <row r="869">
          <cell r="C869" t="str">
            <v>가, 재료비</v>
          </cell>
        </row>
        <row r="870">
          <cell r="A870" t="str">
            <v xml:space="preserve"> 1종가요관   16C ㉿비방수</v>
          </cell>
          <cell r="C870" t="str">
            <v xml:space="preserve"> 1종가요관  </v>
          </cell>
          <cell r="D870" t="str">
            <v xml:space="preserve"> 16C ㉿비방수</v>
          </cell>
          <cell r="E870" t="str">
            <v>m</v>
          </cell>
          <cell r="F870">
            <v>1.1000000000000001</v>
          </cell>
          <cell r="G870">
            <v>145</v>
          </cell>
          <cell r="H870">
            <v>159.5</v>
          </cell>
          <cell r="I870">
            <v>0.1</v>
          </cell>
        </row>
        <row r="871">
          <cell r="C871" t="str">
            <v xml:space="preserve"> 전선관부속품비</v>
          </cell>
          <cell r="D871" t="str">
            <v xml:space="preserve"> 전선관비의 15%</v>
          </cell>
          <cell r="E871" t="str">
            <v>식</v>
          </cell>
          <cell r="F871">
            <v>1</v>
          </cell>
          <cell r="G871">
            <v>23.9</v>
          </cell>
          <cell r="H871">
            <v>23.9</v>
          </cell>
        </row>
        <row r="872">
          <cell r="B872" t="str">
            <v>소         계</v>
          </cell>
          <cell r="H872">
            <v>183</v>
          </cell>
          <cell r="I872" t="str">
            <v>ⓐ</v>
          </cell>
        </row>
        <row r="873">
          <cell r="C873" t="str">
            <v>나, 노무비</v>
          </cell>
        </row>
        <row r="874">
          <cell r="A874" t="str">
            <v>45 통신내선공</v>
          </cell>
          <cell r="C874" t="str">
            <v xml:space="preserve"> 통신내선공</v>
          </cell>
          <cell r="E874" t="str">
            <v>인</v>
          </cell>
          <cell r="F874">
            <v>0.06</v>
          </cell>
          <cell r="G874">
            <v>63738</v>
          </cell>
          <cell r="H874">
            <v>3824.2</v>
          </cell>
          <cell r="I874" t="str">
            <v>기본×(1+천장노출),통신 3-61-가</v>
          </cell>
        </row>
        <row r="875">
          <cell r="B875" t="str">
            <v>소         계</v>
          </cell>
          <cell r="H875">
            <v>3824</v>
          </cell>
          <cell r="I875" t="str">
            <v>ⓑ</v>
          </cell>
        </row>
        <row r="876">
          <cell r="C876" t="str">
            <v>다, 기계경비</v>
          </cell>
        </row>
        <row r="877">
          <cell r="C877" t="str">
            <v xml:space="preserve"> 통신내선공</v>
          </cell>
          <cell r="E877" t="str">
            <v>인</v>
          </cell>
          <cell r="F877">
            <v>1E-3</v>
          </cell>
          <cell r="G877">
            <v>63738</v>
          </cell>
          <cell r="H877">
            <v>63.7</v>
          </cell>
        </row>
        <row r="878">
          <cell r="B878" t="str">
            <v>소         계</v>
          </cell>
          <cell r="H878">
            <v>63</v>
          </cell>
          <cell r="I878" t="str">
            <v>ⓒ</v>
          </cell>
        </row>
        <row r="880">
          <cell r="A880" t="str">
            <v>45재   료   비</v>
          </cell>
          <cell r="B880" t="str">
            <v>재   료   비</v>
          </cell>
          <cell r="D880" t="str">
            <v>ⓐ</v>
          </cell>
          <cell r="H880">
            <v>183</v>
          </cell>
        </row>
        <row r="881">
          <cell r="A881" t="str">
            <v>45노   무   비</v>
          </cell>
          <cell r="B881" t="str">
            <v>노   무   비</v>
          </cell>
          <cell r="D881" t="str">
            <v>ⓑ</v>
          </cell>
          <cell r="H881">
            <v>3824</v>
          </cell>
        </row>
        <row r="882">
          <cell r="A882" t="str">
            <v>45경        비</v>
          </cell>
          <cell r="B882" t="str">
            <v>경        비</v>
          </cell>
          <cell r="D882" t="str">
            <v>ⓒ</v>
          </cell>
          <cell r="H882">
            <v>63</v>
          </cell>
        </row>
        <row r="883">
          <cell r="B883" t="str">
            <v>계</v>
          </cell>
          <cell r="H883">
            <v>4070</v>
          </cell>
        </row>
        <row r="886">
          <cell r="B886">
            <v>46</v>
          </cell>
          <cell r="C886" t="str">
            <v xml:space="preserve"> 후렉시블전선관 신설</v>
          </cell>
          <cell r="D886" t="str">
            <v xml:space="preserve"> 16C (철강조)</v>
          </cell>
          <cell r="E886" t="str">
            <v>m</v>
          </cell>
          <cell r="F886">
            <v>1</v>
          </cell>
        </row>
        <row r="887">
          <cell r="C887" t="str">
            <v>가, 재료비</v>
          </cell>
        </row>
        <row r="888">
          <cell r="A888" t="str">
            <v xml:space="preserve"> 1종가요관   16C ㉿비방수</v>
          </cell>
          <cell r="C888" t="str">
            <v xml:space="preserve"> 1종가요관  </v>
          </cell>
          <cell r="D888" t="str">
            <v xml:space="preserve"> 16C ㉿비방수</v>
          </cell>
          <cell r="E888" t="str">
            <v>m</v>
          </cell>
          <cell r="F888">
            <v>1.1000000000000001</v>
          </cell>
          <cell r="G888">
            <v>145</v>
          </cell>
          <cell r="H888">
            <v>159.5</v>
          </cell>
          <cell r="I888">
            <v>0.1</v>
          </cell>
        </row>
        <row r="889">
          <cell r="C889" t="str">
            <v xml:space="preserve"> 전선관부속품비</v>
          </cell>
          <cell r="D889" t="str">
            <v xml:space="preserve"> 전선관비의 15%</v>
          </cell>
          <cell r="E889" t="str">
            <v>식</v>
          </cell>
          <cell r="F889">
            <v>1</v>
          </cell>
          <cell r="G889">
            <v>23.9</v>
          </cell>
          <cell r="H889">
            <v>23.9</v>
          </cell>
        </row>
        <row r="890">
          <cell r="B890" t="str">
            <v>소         계</v>
          </cell>
          <cell r="H890">
            <v>183</v>
          </cell>
          <cell r="I890" t="str">
            <v>ⓐ</v>
          </cell>
        </row>
        <row r="891">
          <cell r="C891" t="str">
            <v>나, 노무비</v>
          </cell>
        </row>
        <row r="892">
          <cell r="A892" t="str">
            <v>46 통신내선공</v>
          </cell>
          <cell r="C892" t="str">
            <v xml:space="preserve"> 통신내선공</v>
          </cell>
          <cell r="E892" t="str">
            <v>인</v>
          </cell>
          <cell r="F892">
            <v>0.06</v>
          </cell>
          <cell r="G892">
            <v>63738</v>
          </cell>
          <cell r="H892">
            <v>3824.2</v>
          </cell>
          <cell r="I892" t="str">
            <v>기본×(1+철강조),통신 3-61-가</v>
          </cell>
        </row>
        <row r="893">
          <cell r="B893" t="str">
            <v>소         계</v>
          </cell>
          <cell r="H893">
            <v>3824</v>
          </cell>
          <cell r="I893" t="str">
            <v>ⓑ</v>
          </cell>
        </row>
        <row r="894">
          <cell r="C894" t="str">
            <v>다, 기계경비</v>
          </cell>
        </row>
        <row r="895">
          <cell r="C895" t="str">
            <v xml:space="preserve"> 통신내선공</v>
          </cell>
          <cell r="E895" t="str">
            <v>인</v>
          </cell>
          <cell r="F895">
            <v>1E-3</v>
          </cell>
          <cell r="G895">
            <v>63738</v>
          </cell>
          <cell r="H895">
            <v>63.7</v>
          </cell>
        </row>
        <row r="896">
          <cell r="B896" t="str">
            <v>소         계</v>
          </cell>
          <cell r="H896">
            <v>63</v>
          </cell>
          <cell r="I896" t="str">
            <v>ⓒ</v>
          </cell>
        </row>
        <row r="898">
          <cell r="A898" t="str">
            <v>46재   료   비</v>
          </cell>
          <cell r="B898" t="str">
            <v>재   료   비</v>
          </cell>
          <cell r="D898" t="str">
            <v>ⓐ</v>
          </cell>
          <cell r="H898">
            <v>183</v>
          </cell>
        </row>
        <row r="899">
          <cell r="A899" t="str">
            <v>46노   무   비</v>
          </cell>
          <cell r="B899" t="str">
            <v>노   무   비</v>
          </cell>
          <cell r="D899" t="str">
            <v>ⓑ</v>
          </cell>
          <cell r="H899">
            <v>3824</v>
          </cell>
        </row>
        <row r="900">
          <cell r="A900" t="str">
            <v>46경        비</v>
          </cell>
          <cell r="B900" t="str">
            <v>경        비</v>
          </cell>
          <cell r="D900" t="str">
            <v>ⓒ</v>
          </cell>
          <cell r="H900">
            <v>63</v>
          </cell>
        </row>
        <row r="901">
          <cell r="B901" t="str">
            <v>계</v>
          </cell>
          <cell r="H901">
            <v>4070</v>
          </cell>
        </row>
        <row r="904">
          <cell r="B904">
            <v>47</v>
          </cell>
          <cell r="C904" t="str">
            <v xml:space="preserve"> 후렉시블전선관 신설</v>
          </cell>
          <cell r="D904" t="str">
            <v xml:space="preserve"> 22C (철강조)</v>
          </cell>
          <cell r="E904" t="str">
            <v>m</v>
          </cell>
          <cell r="F904">
            <v>1</v>
          </cell>
        </row>
        <row r="905">
          <cell r="C905" t="str">
            <v>가, 재료비</v>
          </cell>
        </row>
        <row r="906">
          <cell r="A906" t="str">
            <v xml:space="preserve"> 1종가요관   22C ㉿비방수</v>
          </cell>
          <cell r="C906" t="str">
            <v xml:space="preserve"> 1종가요관  </v>
          </cell>
          <cell r="D906" t="str">
            <v xml:space="preserve"> 22C ㉿비방수</v>
          </cell>
          <cell r="E906" t="str">
            <v>m</v>
          </cell>
          <cell r="F906">
            <v>1.1000000000000001</v>
          </cell>
          <cell r="G906">
            <v>215</v>
          </cell>
          <cell r="H906">
            <v>236.5</v>
          </cell>
          <cell r="I906">
            <v>0.1</v>
          </cell>
        </row>
        <row r="907">
          <cell r="C907" t="str">
            <v xml:space="preserve"> 전선관부속품비</v>
          </cell>
          <cell r="D907" t="str">
            <v xml:space="preserve"> 전선관비의 15%</v>
          </cell>
          <cell r="E907" t="str">
            <v>식</v>
          </cell>
          <cell r="F907">
            <v>1</v>
          </cell>
          <cell r="G907">
            <v>35.4</v>
          </cell>
          <cell r="H907">
            <v>35.4</v>
          </cell>
        </row>
        <row r="908">
          <cell r="B908" t="str">
            <v>소         계</v>
          </cell>
          <cell r="H908">
            <v>271</v>
          </cell>
          <cell r="I908" t="str">
            <v>ⓐ</v>
          </cell>
        </row>
        <row r="909">
          <cell r="C909" t="str">
            <v>나, 노무비</v>
          </cell>
        </row>
        <row r="910">
          <cell r="A910" t="str">
            <v>47 통신내선공</v>
          </cell>
          <cell r="C910" t="str">
            <v xml:space="preserve"> 통신내선공</v>
          </cell>
          <cell r="E910" t="str">
            <v>인</v>
          </cell>
          <cell r="F910">
            <v>7.0000000000000007E-2</v>
          </cell>
          <cell r="G910">
            <v>63738</v>
          </cell>
          <cell r="H910">
            <v>4461.6000000000004</v>
          </cell>
          <cell r="I910" t="str">
            <v>기본×(1+철강조),통신 3-61-가</v>
          </cell>
        </row>
        <row r="911">
          <cell r="B911" t="str">
            <v>소         계</v>
          </cell>
          <cell r="H911">
            <v>4461</v>
          </cell>
          <cell r="I911" t="str">
            <v>ⓑ</v>
          </cell>
        </row>
        <row r="912">
          <cell r="C912" t="str">
            <v>다, 기계경비</v>
          </cell>
        </row>
        <row r="913">
          <cell r="C913" t="str">
            <v xml:space="preserve"> 통신내선공</v>
          </cell>
          <cell r="E913" t="str">
            <v>인</v>
          </cell>
          <cell r="F913">
            <v>2E-3</v>
          </cell>
          <cell r="G913">
            <v>63738</v>
          </cell>
          <cell r="H913">
            <v>127.4</v>
          </cell>
        </row>
        <row r="914">
          <cell r="B914" t="str">
            <v>소         계</v>
          </cell>
          <cell r="H914">
            <v>127</v>
          </cell>
          <cell r="I914" t="str">
            <v>ⓒ</v>
          </cell>
        </row>
        <row r="916">
          <cell r="A916" t="str">
            <v>47재   료   비</v>
          </cell>
          <cell r="B916" t="str">
            <v>재   료   비</v>
          </cell>
          <cell r="D916" t="str">
            <v>ⓐ</v>
          </cell>
          <cell r="H916">
            <v>271</v>
          </cell>
        </row>
        <row r="917">
          <cell r="A917" t="str">
            <v>47노   무   비</v>
          </cell>
          <cell r="B917" t="str">
            <v>노   무   비</v>
          </cell>
          <cell r="D917" t="str">
            <v>ⓑ</v>
          </cell>
          <cell r="H917">
            <v>4461</v>
          </cell>
        </row>
        <row r="918">
          <cell r="A918" t="str">
            <v>47경        비</v>
          </cell>
          <cell r="B918" t="str">
            <v>경        비</v>
          </cell>
          <cell r="D918" t="str">
            <v>ⓒ</v>
          </cell>
          <cell r="H918">
            <v>127</v>
          </cell>
        </row>
        <row r="919">
          <cell r="B919" t="str">
            <v>계</v>
          </cell>
          <cell r="H919">
            <v>4859</v>
          </cell>
        </row>
        <row r="922">
          <cell r="B922">
            <v>48</v>
          </cell>
          <cell r="C922" t="str">
            <v xml:space="preserve"> 후렉시블전선관 신설</v>
          </cell>
          <cell r="D922" t="str">
            <v xml:space="preserve"> 28C (철강조)</v>
          </cell>
          <cell r="E922" t="str">
            <v>m</v>
          </cell>
          <cell r="F922">
            <v>1</v>
          </cell>
        </row>
        <row r="923">
          <cell r="C923" t="str">
            <v>가, 재료비</v>
          </cell>
        </row>
        <row r="924">
          <cell r="A924" t="str">
            <v xml:space="preserve"> 1종가요관   28C ㉿비방수</v>
          </cell>
          <cell r="C924" t="str">
            <v xml:space="preserve"> 1종가요관  </v>
          </cell>
          <cell r="D924" t="str">
            <v xml:space="preserve"> 28C ㉿비방수</v>
          </cell>
          <cell r="E924" t="str">
            <v>m</v>
          </cell>
          <cell r="F924">
            <v>1.1000000000000001</v>
          </cell>
          <cell r="G924">
            <v>290</v>
          </cell>
          <cell r="H924">
            <v>319</v>
          </cell>
          <cell r="I924">
            <v>0.1</v>
          </cell>
        </row>
        <row r="925">
          <cell r="C925" t="str">
            <v xml:space="preserve"> 전선관부속품비</v>
          </cell>
          <cell r="D925" t="str">
            <v xml:space="preserve"> 전선관비의 15%</v>
          </cell>
          <cell r="E925" t="str">
            <v>식</v>
          </cell>
          <cell r="F925">
            <v>1</v>
          </cell>
          <cell r="G925">
            <v>47.8</v>
          </cell>
          <cell r="H925">
            <v>47.8</v>
          </cell>
        </row>
        <row r="926">
          <cell r="B926" t="str">
            <v>소         계</v>
          </cell>
          <cell r="H926">
            <v>366</v>
          </cell>
          <cell r="I926" t="str">
            <v>ⓐ</v>
          </cell>
        </row>
        <row r="927">
          <cell r="C927" t="str">
            <v>나, 노무비</v>
          </cell>
        </row>
        <row r="928">
          <cell r="A928" t="str">
            <v>48 통신내선공</v>
          </cell>
          <cell r="C928" t="str">
            <v xml:space="preserve"> 통신내선공</v>
          </cell>
          <cell r="E928" t="str">
            <v>인</v>
          </cell>
          <cell r="F928">
            <v>0.1</v>
          </cell>
          <cell r="G928">
            <v>63738</v>
          </cell>
          <cell r="H928">
            <v>6373.8</v>
          </cell>
          <cell r="I928" t="str">
            <v>기본×(1+철강조),통신 3-61-가</v>
          </cell>
        </row>
        <row r="929">
          <cell r="B929" t="str">
            <v>소         계</v>
          </cell>
          <cell r="H929">
            <v>6373</v>
          </cell>
          <cell r="I929" t="str">
            <v>ⓑ</v>
          </cell>
        </row>
        <row r="930">
          <cell r="C930" t="str">
            <v>다, 기계경비</v>
          </cell>
        </row>
        <row r="931">
          <cell r="C931" t="str">
            <v xml:space="preserve"> 통신내선공</v>
          </cell>
          <cell r="E931" t="str">
            <v>인</v>
          </cell>
          <cell r="F931">
            <v>3.0000000000000001E-3</v>
          </cell>
          <cell r="G931">
            <v>63738</v>
          </cell>
          <cell r="H931">
            <v>191.2</v>
          </cell>
        </row>
        <row r="932">
          <cell r="B932" t="str">
            <v>소         계</v>
          </cell>
          <cell r="H932">
            <v>191</v>
          </cell>
          <cell r="I932" t="str">
            <v>ⓒ</v>
          </cell>
        </row>
        <row r="934">
          <cell r="A934" t="str">
            <v>48재   료   비</v>
          </cell>
          <cell r="B934" t="str">
            <v>재   료   비</v>
          </cell>
          <cell r="D934" t="str">
            <v>ⓐ</v>
          </cell>
          <cell r="H934">
            <v>366</v>
          </cell>
        </row>
        <row r="935">
          <cell r="A935" t="str">
            <v>48노   무   비</v>
          </cell>
          <cell r="B935" t="str">
            <v>노   무   비</v>
          </cell>
          <cell r="D935" t="str">
            <v>ⓑ</v>
          </cell>
          <cell r="H935">
            <v>6373</v>
          </cell>
        </row>
        <row r="936">
          <cell r="A936" t="str">
            <v>48경        비</v>
          </cell>
          <cell r="B936" t="str">
            <v>경        비</v>
          </cell>
          <cell r="D936" t="str">
            <v>ⓒ</v>
          </cell>
          <cell r="H936">
            <v>191</v>
          </cell>
        </row>
        <row r="937">
          <cell r="B937" t="str">
            <v>계</v>
          </cell>
          <cell r="H937">
            <v>6930</v>
          </cell>
        </row>
        <row r="940">
          <cell r="B940">
            <v>49</v>
          </cell>
          <cell r="C940" t="str">
            <v xml:space="preserve"> HI-PVC 신설</v>
          </cell>
          <cell r="D940" t="str">
            <v xml:space="preserve"> 28C</v>
          </cell>
          <cell r="E940" t="str">
            <v>m</v>
          </cell>
          <cell r="F940">
            <v>1</v>
          </cell>
        </row>
        <row r="941">
          <cell r="C941" t="str">
            <v>가, 재료비</v>
          </cell>
        </row>
        <row r="942">
          <cell r="A942" t="str">
            <v xml:space="preserve"> 경질비닐 전선관 HI 28C</v>
          </cell>
          <cell r="C942" t="str">
            <v xml:space="preserve"> 경질비닐 전선관</v>
          </cell>
          <cell r="D942" t="str">
            <v xml:space="preserve"> HI 28C</v>
          </cell>
          <cell r="E942" t="str">
            <v>m</v>
          </cell>
          <cell r="F942">
            <v>6.12</v>
          </cell>
          <cell r="G942">
            <v>744</v>
          </cell>
          <cell r="H942">
            <v>4553.2</v>
          </cell>
          <cell r="I942">
            <v>0.02</v>
          </cell>
        </row>
        <row r="943">
          <cell r="B943" t="str">
            <v>소         계</v>
          </cell>
          <cell r="H943">
            <v>4553</v>
          </cell>
          <cell r="I943" t="str">
            <v>ⓐ</v>
          </cell>
        </row>
        <row r="944">
          <cell r="C944" t="str">
            <v>나, 노무비</v>
          </cell>
        </row>
        <row r="945">
          <cell r="A945" t="str">
            <v>49 배관공</v>
          </cell>
          <cell r="C945" t="str">
            <v xml:space="preserve"> 배관공</v>
          </cell>
          <cell r="E945" t="str">
            <v>인</v>
          </cell>
          <cell r="F945">
            <v>6.7000000000000004E-2</v>
          </cell>
          <cell r="G945">
            <v>52004</v>
          </cell>
          <cell r="H945">
            <v>3484.2</v>
          </cell>
          <cell r="I945" t="str">
            <v>기본,통신 3-26</v>
          </cell>
        </row>
        <row r="946">
          <cell r="A946" t="str">
            <v>49 보통인부</v>
          </cell>
          <cell r="C946" t="str">
            <v xml:space="preserve"> 보통인부</v>
          </cell>
          <cell r="E946" t="str">
            <v>인</v>
          </cell>
          <cell r="F946">
            <v>0.182</v>
          </cell>
          <cell r="G946">
            <v>34098</v>
          </cell>
          <cell r="H946">
            <v>6205.8</v>
          </cell>
          <cell r="I946" t="str">
            <v>기본,통신 3-26</v>
          </cell>
        </row>
        <row r="947">
          <cell r="B947" t="str">
            <v>소         계</v>
          </cell>
          <cell r="H947">
            <v>9690</v>
          </cell>
          <cell r="I947" t="str">
            <v>ⓑ</v>
          </cell>
        </row>
        <row r="948">
          <cell r="C948" t="str">
            <v>다, 기계경비</v>
          </cell>
        </row>
        <row r="949">
          <cell r="C949" t="str">
            <v xml:space="preserve"> 배관공</v>
          </cell>
          <cell r="E949" t="str">
            <v>인</v>
          </cell>
          <cell r="F949">
            <v>2E-3</v>
          </cell>
          <cell r="G949">
            <v>52004</v>
          </cell>
          <cell r="H949">
            <v>104</v>
          </cell>
        </row>
        <row r="950">
          <cell r="B950" t="str">
            <v>소         계</v>
          </cell>
          <cell r="H950">
            <v>104</v>
          </cell>
          <cell r="I950" t="str">
            <v>ⓒ</v>
          </cell>
        </row>
        <row r="952">
          <cell r="A952" t="str">
            <v>49재   료   비</v>
          </cell>
          <cell r="B952" t="str">
            <v>재   료   비</v>
          </cell>
          <cell r="D952" t="str">
            <v>ⓐ</v>
          </cell>
          <cell r="H952">
            <v>4553</v>
          </cell>
        </row>
        <row r="953">
          <cell r="A953" t="str">
            <v>49노   무   비</v>
          </cell>
          <cell r="B953" t="str">
            <v>노   무   비</v>
          </cell>
          <cell r="D953" t="str">
            <v>ⓑ</v>
          </cell>
          <cell r="H953">
            <v>9690</v>
          </cell>
        </row>
        <row r="954">
          <cell r="A954" t="str">
            <v>49경        비</v>
          </cell>
          <cell r="B954" t="str">
            <v>경        비</v>
          </cell>
          <cell r="D954" t="str">
            <v>ⓒ</v>
          </cell>
          <cell r="H954">
            <v>104</v>
          </cell>
        </row>
        <row r="955">
          <cell r="B955" t="str">
            <v>계</v>
          </cell>
          <cell r="H955">
            <v>14347</v>
          </cell>
        </row>
        <row r="958">
          <cell r="B958">
            <v>50</v>
          </cell>
          <cell r="C958" t="str">
            <v xml:space="preserve"> HI-PVC 신설</v>
          </cell>
          <cell r="D958" t="str">
            <v xml:space="preserve"> 36C</v>
          </cell>
          <cell r="E958" t="str">
            <v>m</v>
          </cell>
          <cell r="F958">
            <v>1</v>
          </cell>
        </row>
        <row r="959">
          <cell r="C959" t="str">
            <v>가, 재료비</v>
          </cell>
        </row>
        <row r="960">
          <cell r="A960" t="str">
            <v xml:space="preserve"> 경질비닐 전선관 HI 36C</v>
          </cell>
          <cell r="C960" t="str">
            <v xml:space="preserve"> 경질비닐 전선관</v>
          </cell>
          <cell r="D960" t="str">
            <v xml:space="preserve"> HI 36C</v>
          </cell>
          <cell r="E960" t="str">
            <v>m</v>
          </cell>
          <cell r="F960">
            <v>6.12</v>
          </cell>
          <cell r="G960">
            <v>1040</v>
          </cell>
          <cell r="H960">
            <v>6364.8</v>
          </cell>
          <cell r="I960">
            <v>0.02</v>
          </cell>
        </row>
        <row r="961">
          <cell r="B961" t="str">
            <v>소         계</v>
          </cell>
          <cell r="H961">
            <v>6364</v>
          </cell>
          <cell r="I961" t="str">
            <v>ⓐ</v>
          </cell>
        </row>
        <row r="962">
          <cell r="C962" t="str">
            <v>나, 노무비</v>
          </cell>
        </row>
        <row r="963">
          <cell r="A963" t="str">
            <v>50 배관공</v>
          </cell>
          <cell r="C963" t="str">
            <v xml:space="preserve"> 배관공</v>
          </cell>
          <cell r="E963" t="str">
            <v>인</v>
          </cell>
          <cell r="F963">
            <v>6.7000000000000004E-2</v>
          </cell>
          <cell r="G963">
            <v>52004</v>
          </cell>
          <cell r="H963">
            <v>3484.2</v>
          </cell>
          <cell r="I963" t="str">
            <v>기본,통신 3-26</v>
          </cell>
        </row>
        <row r="964">
          <cell r="A964" t="str">
            <v>50 보통인부</v>
          </cell>
          <cell r="C964" t="str">
            <v xml:space="preserve"> 보통인부</v>
          </cell>
          <cell r="E964" t="str">
            <v>인</v>
          </cell>
          <cell r="F964">
            <v>0.182</v>
          </cell>
          <cell r="G964">
            <v>34098</v>
          </cell>
          <cell r="H964">
            <v>6205.8</v>
          </cell>
          <cell r="I964" t="str">
            <v>기본,통신 3-26</v>
          </cell>
        </row>
        <row r="965">
          <cell r="B965" t="str">
            <v>소         계</v>
          </cell>
          <cell r="H965">
            <v>9690</v>
          </cell>
          <cell r="I965" t="str">
            <v>ⓑ</v>
          </cell>
        </row>
        <row r="966">
          <cell r="C966" t="str">
            <v>다, 기계경비</v>
          </cell>
        </row>
        <row r="967">
          <cell r="C967" t="str">
            <v xml:space="preserve"> 배관공</v>
          </cell>
          <cell r="E967" t="str">
            <v>인</v>
          </cell>
          <cell r="F967">
            <v>2E-3</v>
          </cell>
          <cell r="G967">
            <v>52004</v>
          </cell>
          <cell r="H967">
            <v>104</v>
          </cell>
        </row>
        <row r="968">
          <cell r="B968" t="str">
            <v>소         계</v>
          </cell>
          <cell r="H968">
            <v>104</v>
          </cell>
          <cell r="I968" t="str">
            <v>ⓒ</v>
          </cell>
        </row>
        <row r="970">
          <cell r="A970" t="str">
            <v>50재   료   비</v>
          </cell>
          <cell r="B970" t="str">
            <v>재   료   비</v>
          </cell>
          <cell r="D970" t="str">
            <v>ⓐ</v>
          </cell>
          <cell r="H970">
            <v>6364</v>
          </cell>
        </row>
        <row r="971">
          <cell r="A971" t="str">
            <v>50노   무   비</v>
          </cell>
          <cell r="B971" t="str">
            <v>노   무   비</v>
          </cell>
          <cell r="D971" t="str">
            <v>ⓑ</v>
          </cell>
          <cell r="H971">
            <v>9690</v>
          </cell>
        </row>
        <row r="972">
          <cell r="A972" t="str">
            <v>50경        비</v>
          </cell>
          <cell r="B972" t="str">
            <v>경        비</v>
          </cell>
          <cell r="D972" t="str">
            <v>ⓒ</v>
          </cell>
          <cell r="H972">
            <v>104</v>
          </cell>
        </row>
        <row r="973">
          <cell r="B973" t="str">
            <v>계</v>
          </cell>
          <cell r="H973">
            <v>16158</v>
          </cell>
        </row>
        <row r="976">
          <cell r="B976">
            <v>51</v>
          </cell>
          <cell r="C976" t="str">
            <v xml:space="preserve"> HI-PVC 신설</v>
          </cell>
          <cell r="D976" t="str">
            <v xml:space="preserve"> 54C x 2열</v>
          </cell>
          <cell r="E976" t="str">
            <v>m</v>
          </cell>
          <cell r="F976">
            <v>1</v>
          </cell>
        </row>
        <row r="977">
          <cell r="C977" t="str">
            <v>가, 재료비</v>
          </cell>
        </row>
        <row r="978">
          <cell r="A978" t="str">
            <v xml:space="preserve"> 경질비닐 전선관 HI 54C</v>
          </cell>
          <cell r="C978" t="str">
            <v xml:space="preserve"> 경질비닐 전선관</v>
          </cell>
          <cell r="D978" t="str">
            <v xml:space="preserve"> HI 54C</v>
          </cell>
          <cell r="E978" t="str">
            <v>m</v>
          </cell>
          <cell r="F978">
            <v>12.24</v>
          </cell>
          <cell r="G978">
            <v>1930</v>
          </cell>
          <cell r="H978">
            <v>23623.200000000001</v>
          </cell>
          <cell r="I978">
            <v>0.02</v>
          </cell>
        </row>
        <row r="979">
          <cell r="B979" t="str">
            <v>소         계</v>
          </cell>
          <cell r="H979">
            <v>23623</v>
          </cell>
          <cell r="I979" t="str">
            <v>ⓐ</v>
          </cell>
        </row>
        <row r="980">
          <cell r="C980" t="str">
            <v>나, 노무비</v>
          </cell>
        </row>
        <row r="981">
          <cell r="A981" t="str">
            <v>51 배관공</v>
          </cell>
          <cell r="C981" t="str">
            <v xml:space="preserve"> 배관공</v>
          </cell>
          <cell r="E981" t="str">
            <v>인</v>
          </cell>
          <cell r="F981">
            <v>0.14899999999999999</v>
          </cell>
          <cell r="G981">
            <v>52004</v>
          </cell>
          <cell r="H981">
            <v>7748.5</v>
          </cell>
          <cell r="I981" t="str">
            <v>기본+(2열),통신 3-26</v>
          </cell>
        </row>
        <row r="982">
          <cell r="A982" t="str">
            <v>51 보통인부</v>
          </cell>
          <cell r="C982" t="str">
            <v xml:space="preserve"> 보통인부</v>
          </cell>
          <cell r="E982" t="str">
            <v>인</v>
          </cell>
          <cell r="F982">
            <v>0.40300000000000002</v>
          </cell>
          <cell r="G982">
            <v>34098</v>
          </cell>
          <cell r="H982">
            <v>13741.4</v>
          </cell>
          <cell r="I982" t="str">
            <v>기본+(2열),통신 3-26</v>
          </cell>
        </row>
        <row r="983">
          <cell r="B983" t="str">
            <v>소         계</v>
          </cell>
          <cell r="H983">
            <v>21489</v>
          </cell>
          <cell r="I983" t="str">
            <v>ⓑ</v>
          </cell>
        </row>
        <row r="984">
          <cell r="C984" t="str">
            <v>다, 기계경비</v>
          </cell>
        </row>
        <row r="985">
          <cell r="C985" t="str">
            <v xml:space="preserve"> 배관공</v>
          </cell>
          <cell r="E985" t="str">
            <v>인</v>
          </cell>
          <cell r="F985">
            <v>4.0000000000000001E-3</v>
          </cell>
          <cell r="G985">
            <v>52004</v>
          </cell>
          <cell r="H985">
            <v>208</v>
          </cell>
        </row>
        <row r="986">
          <cell r="B986" t="str">
            <v>소         계</v>
          </cell>
          <cell r="H986">
            <v>208</v>
          </cell>
          <cell r="I986" t="str">
            <v>ⓒ</v>
          </cell>
        </row>
        <row r="988">
          <cell r="A988" t="str">
            <v>51재   료   비</v>
          </cell>
          <cell r="B988" t="str">
            <v>재   료   비</v>
          </cell>
          <cell r="D988" t="str">
            <v>ⓐ</v>
          </cell>
          <cell r="H988">
            <v>23623</v>
          </cell>
        </row>
        <row r="989">
          <cell r="A989" t="str">
            <v>51노   무   비</v>
          </cell>
          <cell r="B989" t="str">
            <v>노   무   비</v>
          </cell>
          <cell r="D989" t="str">
            <v>ⓑ</v>
          </cell>
          <cell r="H989">
            <v>21489</v>
          </cell>
        </row>
        <row r="990">
          <cell r="A990" t="str">
            <v>51경        비</v>
          </cell>
          <cell r="B990" t="str">
            <v>경        비</v>
          </cell>
          <cell r="D990" t="str">
            <v>ⓒ</v>
          </cell>
          <cell r="H990">
            <v>208</v>
          </cell>
        </row>
        <row r="991">
          <cell r="B991" t="str">
            <v>계</v>
          </cell>
          <cell r="H991">
            <v>45320</v>
          </cell>
        </row>
        <row r="994">
          <cell r="B994">
            <v>52</v>
          </cell>
          <cell r="C994" t="str">
            <v xml:space="preserve"> C형 찬넬 설치</v>
          </cell>
          <cell r="D994" t="str">
            <v xml:space="preserve"> 60×30×10×2.3t</v>
          </cell>
          <cell r="E994" t="str">
            <v>개</v>
          </cell>
          <cell r="F994">
            <v>1</v>
          </cell>
        </row>
        <row r="995">
          <cell r="C995" t="str">
            <v>가, 재료비</v>
          </cell>
        </row>
        <row r="996">
          <cell r="A996" t="str">
            <v xml:space="preserve"> C형 찬넬 60x30x10x 2.3t</v>
          </cell>
          <cell r="C996" t="str">
            <v xml:space="preserve"> C형 찬넬</v>
          </cell>
          <cell r="D996" t="str">
            <v xml:space="preserve"> 60x30x10x 2.3t</v>
          </cell>
          <cell r="E996" t="str">
            <v>m</v>
          </cell>
          <cell r="F996">
            <v>0.5</v>
          </cell>
          <cell r="G996">
            <v>510</v>
          </cell>
          <cell r="H996">
            <v>255</v>
          </cell>
          <cell r="I996">
            <v>0</v>
          </cell>
        </row>
        <row r="997">
          <cell r="A997" t="str">
            <v xml:space="preserve"> 스트롱앵커   5/8" (M16)</v>
          </cell>
          <cell r="C997" t="str">
            <v xml:space="preserve"> 스트롱앵커  </v>
          </cell>
          <cell r="D997" t="str">
            <v xml:space="preserve"> 5/8" (M16)</v>
          </cell>
          <cell r="E997" t="str">
            <v>개</v>
          </cell>
          <cell r="F997">
            <v>2</v>
          </cell>
          <cell r="G997">
            <v>180</v>
          </cell>
          <cell r="H997">
            <v>360</v>
          </cell>
          <cell r="I997">
            <v>0</v>
          </cell>
        </row>
        <row r="998">
          <cell r="A998" t="str">
            <v xml:space="preserve"> 달대볼트(아연도)  M16  L1000</v>
          </cell>
          <cell r="C998" t="str">
            <v xml:space="preserve"> 달대볼트(아연도) </v>
          </cell>
          <cell r="D998" t="str">
            <v xml:space="preserve"> M16  L1000</v>
          </cell>
          <cell r="E998" t="str">
            <v>개</v>
          </cell>
          <cell r="F998">
            <v>2</v>
          </cell>
          <cell r="G998">
            <v>1252</v>
          </cell>
          <cell r="H998">
            <v>2504</v>
          </cell>
          <cell r="I998">
            <v>0</v>
          </cell>
        </row>
        <row r="999">
          <cell r="B999" t="str">
            <v>소         계</v>
          </cell>
          <cell r="H999">
            <v>3119</v>
          </cell>
          <cell r="I999" t="str">
            <v>ⓐ</v>
          </cell>
        </row>
        <row r="1000">
          <cell r="C1000" t="str">
            <v>나, 노무비</v>
          </cell>
        </row>
        <row r="1001">
          <cell r="A1001" t="str">
            <v>52 통신내선공</v>
          </cell>
          <cell r="C1001" t="str">
            <v xml:space="preserve"> 통신내선공</v>
          </cell>
          <cell r="E1001" t="str">
            <v>인</v>
          </cell>
          <cell r="F1001">
            <v>0.36</v>
          </cell>
          <cell r="G1001">
            <v>63738</v>
          </cell>
          <cell r="H1001">
            <v>22945.599999999999</v>
          </cell>
          <cell r="I1001" t="str">
            <v>기본×(1+천장)×개수,통신 3-61-사</v>
          </cell>
        </row>
        <row r="1002">
          <cell r="A1002" t="str">
            <v>52 보통인부</v>
          </cell>
          <cell r="C1002" t="str">
            <v xml:space="preserve"> 보통인부</v>
          </cell>
          <cell r="E1002" t="str">
            <v>인</v>
          </cell>
          <cell r="F1002">
            <v>0.108</v>
          </cell>
          <cell r="G1002">
            <v>34098</v>
          </cell>
          <cell r="H1002">
            <v>3682.5</v>
          </cell>
          <cell r="I1002" t="str">
            <v>기본×(1+천장)×개수,통신 3-61-사</v>
          </cell>
        </row>
        <row r="1003">
          <cell r="B1003" t="str">
            <v>소         계</v>
          </cell>
          <cell r="H1003">
            <v>26628</v>
          </cell>
          <cell r="I1003" t="str">
            <v>ⓑ</v>
          </cell>
        </row>
        <row r="1004">
          <cell r="C1004" t="str">
            <v>다, 기계경비</v>
          </cell>
        </row>
        <row r="1005">
          <cell r="C1005" t="str">
            <v xml:space="preserve"> 통신내선공</v>
          </cell>
          <cell r="E1005" t="str">
            <v>인</v>
          </cell>
          <cell r="F1005">
            <v>0.01</v>
          </cell>
          <cell r="G1005">
            <v>63738</v>
          </cell>
          <cell r="H1005">
            <v>637.29999999999995</v>
          </cell>
        </row>
        <row r="1006">
          <cell r="B1006" t="str">
            <v>소         계</v>
          </cell>
          <cell r="H1006">
            <v>637</v>
          </cell>
          <cell r="I1006" t="str">
            <v>ⓒ</v>
          </cell>
        </row>
        <row r="1008">
          <cell r="A1008" t="str">
            <v>52재   료   비</v>
          </cell>
          <cell r="B1008" t="str">
            <v>재   료   비</v>
          </cell>
          <cell r="D1008" t="str">
            <v>ⓐ</v>
          </cell>
          <cell r="H1008">
            <v>3119</v>
          </cell>
        </row>
        <row r="1009">
          <cell r="A1009" t="str">
            <v>52노   무   비</v>
          </cell>
          <cell r="B1009" t="str">
            <v>노   무   비</v>
          </cell>
          <cell r="D1009" t="str">
            <v>ⓑ</v>
          </cell>
          <cell r="H1009">
            <v>26628</v>
          </cell>
        </row>
        <row r="1010">
          <cell r="A1010" t="str">
            <v>52경        비</v>
          </cell>
          <cell r="B1010" t="str">
            <v>경        비</v>
          </cell>
          <cell r="D1010" t="str">
            <v>ⓒ</v>
          </cell>
          <cell r="H1010">
            <v>637</v>
          </cell>
        </row>
        <row r="1011">
          <cell r="B1011" t="str">
            <v>계</v>
          </cell>
          <cell r="H1011">
            <v>30384</v>
          </cell>
        </row>
        <row r="1012">
          <cell r="B1012">
            <v>53</v>
          </cell>
          <cell r="C1012" t="str">
            <v xml:space="preserve"> 풀박스 설치</v>
          </cell>
          <cell r="D1012" t="str">
            <v xml:space="preserve"> 100×100×100</v>
          </cell>
          <cell r="E1012" t="str">
            <v>개</v>
          </cell>
          <cell r="F1012">
            <v>1</v>
          </cell>
        </row>
        <row r="1013">
          <cell r="C1013" t="str">
            <v>가, 재료비</v>
          </cell>
        </row>
        <row r="1014">
          <cell r="A1014" t="str">
            <v xml:space="preserve"> 풀박스  100×100×100</v>
          </cell>
          <cell r="C1014" t="str">
            <v xml:space="preserve"> 풀박스 </v>
          </cell>
          <cell r="D1014" t="str">
            <v xml:space="preserve"> 100×100×100</v>
          </cell>
          <cell r="E1014" t="str">
            <v>개</v>
          </cell>
          <cell r="F1014">
            <v>1</v>
          </cell>
          <cell r="G1014">
            <v>1750</v>
          </cell>
          <cell r="H1014">
            <v>1750</v>
          </cell>
          <cell r="I1014">
            <v>0</v>
          </cell>
        </row>
        <row r="1015">
          <cell r="A1015" t="str">
            <v xml:space="preserve"> 스트롱앵커   5/8" (M16)</v>
          </cell>
          <cell r="C1015" t="str">
            <v xml:space="preserve"> 스트롱앵커  </v>
          </cell>
          <cell r="D1015" t="str">
            <v xml:space="preserve"> 5/8" (M16)</v>
          </cell>
          <cell r="E1015" t="str">
            <v>개</v>
          </cell>
          <cell r="F1015">
            <v>2</v>
          </cell>
          <cell r="G1015">
            <v>180</v>
          </cell>
          <cell r="H1015">
            <v>360</v>
          </cell>
          <cell r="I1015">
            <v>0</v>
          </cell>
        </row>
        <row r="1016">
          <cell r="A1016" t="str">
            <v xml:space="preserve"> 달대볼트(아연도)  M16  L1000</v>
          </cell>
          <cell r="C1016" t="str">
            <v xml:space="preserve"> 달대볼트(아연도) </v>
          </cell>
          <cell r="D1016" t="str">
            <v xml:space="preserve"> M16  L1000</v>
          </cell>
          <cell r="E1016" t="str">
            <v>개</v>
          </cell>
          <cell r="F1016">
            <v>2</v>
          </cell>
          <cell r="G1016">
            <v>1252</v>
          </cell>
          <cell r="H1016">
            <v>2504</v>
          </cell>
          <cell r="I1016">
            <v>0</v>
          </cell>
        </row>
        <row r="1017">
          <cell r="B1017" t="str">
            <v>소         계</v>
          </cell>
          <cell r="H1017">
            <v>4614</v>
          </cell>
          <cell r="I1017" t="str">
            <v>ⓐ</v>
          </cell>
        </row>
        <row r="1018">
          <cell r="C1018" t="str">
            <v>나, 노무비</v>
          </cell>
        </row>
        <row r="1019">
          <cell r="A1019" t="str">
            <v>53 통신내선공</v>
          </cell>
          <cell r="C1019" t="str">
            <v xml:space="preserve"> 통신내선공</v>
          </cell>
          <cell r="E1019" t="str">
            <v>인</v>
          </cell>
          <cell r="F1019">
            <v>0.71</v>
          </cell>
          <cell r="G1019">
            <v>63738</v>
          </cell>
          <cell r="H1019">
            <v>45253.9</v>
          </cell>
          <cell r="I1019" t="str">
            <v>기본,통신 3-61-라</v>
          </cell>
        </row>
        <row r="1020">
          <cell r="A1020" t="str">
            <v>53 보통인부</v>
          </cell>
          <cell r="C1020" t="str">
            <v xml:space="preserve"> 보통인부</v>
          </cell>
          <cell r="E1020" t="str">
            <v>인</v>
          </cell>
          <cell r="F1020">
            <v>0.108</v>
          </cell>
          <cell r="G1020">
            <v>34098</v>
          </cell>
          <cell r="H1020">
            <v>3682.5</v>
          </cell>
          <cell r="I1020" t="str">
            <v>기본×(1+천장)×개수,통신 3-61-사</v>
          </cell>
        </row>
        <row r="1021">
          <cell r="B1021" t="str">
            <v>소         계</v>
          </cell>
          <cell r="H1021">
            <v>48936</v>
          </cell>
          <cell r="I1021" t="str">
            <v>ⓑ</v>
          </cell>
        </row>
        <row r="1022">
          <cell r="C1022" t="str">
            <v>다, 기계경비</v>
          </cell>
        </row>
        <row r="1023">
          <cell r="C1023" t="str">
            <v xml:space="preserve"> 통신내선공</v>
          </cell>
          <cell r="E1023" t="str">
            <v>인</v>
          </cell>
          <cell r="F1023">
            <v>2.1000000000000001E-2</v>
          </cell>
          <cell r="G1023">
            <v>63738</v>
          </cell>
          <cell r="H1023">
            <v>1338.4</v>
          </cell>
        </row>
        <row r="1024">
          <cell r="B1024" t="str">
            <v>소         계</v>
          </cell>
          <cell r="H1024">
            <v>1338</v>
          </cell>
          <cell r="I1024" t="str">
            <v>ⓒ</v>
          </cell>
        </row>
        <row r="1026">
          <cell r="A1026" t="str">
            <v>53재   료   비</v>
          </cell>
          <cell r="B1026" t="str">
            <v>재   료   비</v>
          </cell>
          <cell r="D1026" t="str">
            <v>ⓐ</v>
          </cell>
          <cell r="H1026">
            <v>4614</v>
          </cell>
        </row>
        <row r="1027">
          <cell r="A1027" t="str">
            <v>53노   무   비</v>
          </cell>
          <cell r="B1027" t="str">
            <v>노   무   비</v>
          </cell>
          <cell r="D1027" t="str">
            <v>ⓑ</v>
          </cell>
          <cell r="H1027">
            <v>48936</v>
          </cell>
        </row>
        <row r="1028">
          <cell r="A1028" t="str">
            <v>53경        비</v>
          </cell>
          <cell r="B1028" t="str">
            <v>경        비</v>
          </cell>
          <cell r="D1028" t="str">
            <v>ⓒ</v>
          </cell>
          <cell r="H1028">
            <v>1338</v>
          </cell>
        </row>
        <row r="1029">
          <cell r="B1029" t="str">
            <v>계</v>
          </cell>
          <cell r="H1029">
            <v>54888</v>
          </cell>
        </row>
        <row r="1030">
          <cell r="B1030">
            <v>54</v>
          </cell>
          <cell r="C1030" t="str">
            <v xml:space="preserve"> 풀박스 설치</v>
          </cell>
          <cell r="D1030" t="str">
            <v xml:space="preserve"> 200×200×100</v>
          </cell>
          <cell r="E1030" t="str">
            <v>개</v>
          </cell>
          <cell r="F1030">
            <v>1</v>
          </cell>
        </row>
        <row r="1031">
          <cell r="C1031" t="str">
            <v>가, 재료비</v>
          </cell>
        </row>
        <row r="1032">
          <cell r="A1032" t="str">
            <v xml:space="preserve"> 풀박스  200×200×100</v>
          </cell>
          <cell r="C1032" t="str">
            <v xml:space="preserve"> 풀박스 </v>
          </cell>
          <cell r="D1032" t="str">
            <v xml:space="preserve"> 200×200×100</v>
          </cell>
          <cell r="E1032" t="str">
            <v>개</v>
          </cell>
          <cell r="F1032">
            <v>1</v>
          </cell>
          <cell r="G1032">
            <v>3420</v>
          </cell>
          <cell r="H1032">
            <v>3420</v>
          </cell>
          <cell r="I1032">
            <v>0</v>
          </cell>
        </row>
        <row r="1033">
          <cell r="A1033" t="str">
            <v xml:space="preserve"> 스트롱앵커   5/8" (M16)</v>
          </cell>
          <cell r="C1033" t="str">
            <v xml:space="preserve"> 스트롱앵커  </v>
          </cell>
          <cell r="D1033" t="str">
            <v xml:space="preserve"> 5/8" (M16)</v>
          </cell>
          <cell r="E1033" t="str">
            <v>개</v>
          </cell>
          <cell r="F1033">
            <v>2</v>
          </cell>
          <cell r="G1033">
            <v>180</v>
          </cell>
          <cell r="H1033">
            <v>360</v>
          </cell>
          <cell r="I1033">
            <v>0</v>
          </cell>
        </row>
        <row r="1034">
          <cell r="A1034" t="str">
            <v xml:space="preserve"> 달대볼트(아연도)  M16  L1000</v>
          </cell>
          <cell r="C1034" t="str">
            <v xml:space="preserve"> 달대볼트(아연도) </v>
          </cell>
          <cell r="D1034" t="str">
            <v xml:space="preserve"> M16  L1000</v>
          </cell>
          <cell r="E1034" t="str">
            <v>개</v>
          </cell>
          <cell r="F1034">
            <v>2</v>
          </cell>
          <cell r="G1034">
            <v>1252</v>
          </cell>
          <cell r="H1034">
            <v>2504</v>
          </cell>
          <cell r="I1034">
            <v>0</v>
          </cell>
        </row>
        <row r="1035">
          <cell r="B1035" t="str">
            <v>소         계</v>
          </cell>
          <cell r="H1035">
            <v>6284</v>
          </cell>
          <cell r="I1035" t="str">
            <v>ⓐ</v>
          </cell>
        </row>
        <row r="1036">
          <cell r="C1036" t="str">
            <v>나, 노무비</v>
          </cell>
        </row>
        <row r="1037">
          <cell r="A1037" t="str">
            <v>54 통신내선공</v>
          </cell>
          <cell r="C1037" t="str">
            <v xml:space="preserve"> 통신내선공</v>
          </cell>
          <cell r="E1037" t="str">
            <v>인</v>
          </cell>
          <cell r="F1037">
            <v>0.71</v>
          </cell>
          <cell r="G1037">
            <v>63738</v>
          </cell>
          <cell r="H1037">
            <v>45253.9</v>
          </cell>
          <cell r="I1037" t="str">
            <v>기본,통신 3-61-라</v>
          </cell>
        </row>
        <row r="1038">
          <cell r="A1038" t="str">
            <v>54 보통인부</v>
          </cell>
          <cell r="C1038" t="str">
            <v xml:space="preserve"> 보통인부</v>
          </cell>
          <cell r="E1038" t="str">
            <v>인</v>
          </cell>
          <cell r="F1038">
            <v>0.108</v>
          </cell>
          <cell r="G1038">
            <v>34098</v>
          </cell>
          <cell r="H1038">
            <v>3682.5</v>
          </cell>
          <cell r="I1038" t="str">
            <v>기본×(1+천장)×개수,통신 3-61-사</v>
          </cell>
        </row>
        <row r="1039">
          <cell r="B1039" t="str">
            <v>소         계</v>
          </cell>
          <cell r="H1039">
            <v>48936</v>
          </cell>
          <cell r="I1039" t="str">
            <v>ⓑ</v>
          </cell>
        </row>
        <row r="1040">
          <cell r="C1040" t="str">
            <v>다, 기계경비</v>
          </cell>
        </row>
        <row r="1041">
          <cell r="C1041" t="str">
            <v xml:space="preserve"> 통신내선공</v>
          </cell>
          <cell r="E1041" t="str">
            <v>인</v>
          </cell>
          <cell r="F1041">
            <v>2.1000000000000001E-2</v>
          </cell>
          <cell r="G1041">
            <v>63738</v>
          </cell>
          <cell r="H1041">
            <v>1338.4</v>
          </cell>
        </row>
        <row r="1042">
          <cell r="B1042" t="str">
            <v>소         계</v>
          </cell>
          <cell r="H1042">
            <v>1338</v>
          </cell>
          <cell r="I1042" t="str">
            <v>ⓒ</v>
          </cell>
        </row>
        <row r="1044">
          <cell r="A1044" t="str">
            <v>54재   료   비</v>
          </cell>
          <cell r="B1044" t="str">
            <v>재   료   비</v>
          </cell>
          <cell r="D1044" t="str">
            <v>ⓐ</v>
          </cell>
          <cell r="H1044">
            <v>6284</v>
          </cell>
        </row>
        <row r="1045">
          <cell r="A1045" t="str">
            <v>54노   무   비</v>
          </cell>
          <cell r="B1045" t="str">
            <v>노   무   비</v>
          </cell>
          <cell r="D1045" t="str">
            <v>ⓑ</v>
          </cell>
          <cell r="H1045">
            <v>48936</v>
          </cell>
        </row>
        <row r="1046">
          <cell r="A1046" t="str">
            <v>54경        비</v>
          </cell>
          <cell r="B1046" t="str">
            <v>경        비</v>
          </cell>
          <cell r="D1046" t="str">
            <v>ⓒ</v>
          </cell>
          <cell r="H1046">
            <v>1338</v>
          </cell>
        </row>
        <row r="1047">
          <cell r="B1047" t="str">
            <v>계</v>
          </cell>
          <cell r="H1047">
            <v>56558</v>
          </cell>
        </row>
        <row r="1048">
          <cell r="B1048">
            <v>55</v>
          </cell>
          <cell r="C1048" t="str">
            <v xml:space="preserve"> 풀박스 설치</v>
          </cell>
          <cell r="D1048" t="str">
            <v xml:space="preserve"> 200×200×150</v>
          </cell>
          <cell r="E1048" t="str">
            <v>개</v>
          </cell>
          <cell r="F1048">
            <v>1</v>
          </cell>
        </row>
        <row r="1049">
          <cell r="C1049" t="str">
            <v>가, 재료비</v>
          </cell>
        </row>
        <row r="1050">
          <cell r="A1050" t="str">
            <v xml:space="preserve"> 풀박스  200×200×150</v>
          </cell>
          <cell r="C1050" t="str">
            <v xml:space="preserve"> 풀박스 </v>
          </cell>
          <cell r="D1050" t="str">
            <v xml:space="preserve"> 200×200×150</v>
          </cell>
          <cell r="E1050" t="str">
            <v>개</v>
          </cell>
          <cell r="F1050">
            <v>1</v>
          </cell>
          <cell r="G1050">
            <v>4050</v>
          </cell>
          <cell r="H1050">
            <v>4050</v>
          </cell>
          <cell r="I1050">
            <v>0</v>
          </cell>
        </row>
        <row r="1051">
          <cell r="A1051" t="str">
            <v xml:space="preserve"> 스트롱앵커   5/8" (M16)</v>
          </cell>
          <cell r="C1051" t="str">
            <v xml:space="preserve"> 스트롱앵커  </v>
          </cell>
          <cell r="D1051" t="str">
            <v xml:space="preserve"> 5/8" (M16)</v>
          </cell>
          <cell r="E1051" t="str">
            <v>개</v>
          </cell>
          <cell r="F1051">
            <v>2</v>
          </cell>
          <cell r="G1051">
            <v>180</v>
          </cell>
          <cell r="H1051">
            <v>360</v>
          </cell>
          <cell r="I1051">
            <v>0</v>
          </cell>
        </row>
        <row r="1052">
          <cell r="A1052" t="str">
            <v xml:space="preserve"> 달대볼트(아연도)  M16  L1000</v>
          </cell>
          <cell r="C1052" t="str">
            <v xml:space="preserve"> 달대볼트(아연도) </v>
          </cell>
          <cell r="D1052" t="str">
            <v xml:space="preserve"> M16  L1000</v>
          </cell>
          <cell r="E1052" t="str">
            <v>개</v>
          </cell>
          <cell r="F1052">
            <v>2</v>
          </cell>
          <cell r="G1052">
            <v>1252</v>
          </cell>
          <cell r="H1052">
            <v>2504</v>
          </cell>
          <cell r="I1052">
            <v>0</v>
          </cell>
        </row>
        <row r="1053">
          <cell r="B1053" t="str">
            <v>소         계</v>
          </cell>
          <cell r="H1053">
            <v>6914</v>
          </cell>
          <cell r="I1053" t="str">
            <v>ⓐ</v>
          </cell>
        </row>
        <row r="1054">
          <cell r="C1054" t="str">
            <v>나, 노무비</v>
          </cell>
        </row>
        <row r="1055">
          <cell r="A1055" t="str">
            <v>55 통신내선공</v>
          </cell>
          <cell r="C1055" t="str">
            <v xml:space="preserve"> 통신내선공</v>
          </cell>
          <cell r="E1055" t="str">
            <v>인</v>
          </cell>
          <cell r="F1055">
            <v>0.71</v>
          </cell>
          <cell r="G1055">
            <v>63738</v>
          </cell>
          <cell r="H1055">
            <v>45253.9</v>
          </cell>
          <cell r="I1055" t="str">
            <v>기본,통신 3-61-라</v>
          </cell>
        </row>
        <row r="1056">
          <cell r="A1056" t="str">
            <v>55 보통인부</v>
          </cell>
          <cell r="C1056" t="str">
            <v xml:space="preserve"> 보통인부</v>
          </cell>
          <cell r="E1056" t="str">
            <v>인</v>
          </cell>
          <cell r="F1056">
            <v>0.108</v>
          </cell>
          <cell r="G1056">
            <v>34098</v>
          </cell>
          <cell r="H1056">
            <v>3682.5</v>
          </cell>
          <cell r="I1056" t="str">
            <v>기본×(1+천장)×개수,통신 3-61-사</v>
          </cell>
        </row>
        <row r="1057">
          <cell r="B1057" t="str">
            <v>소         계</v>
          </cell>
          <cell r="H1057">
            <v>48936</v>
          </cell>
          <cell r="I1057" t="str">
            <v>ⓑ</v>
          </cell>
        </row>
        <row r="1058">
          <cell r="C1058" t="str">
            <v>다, 기계경비</v>
          </cell>
        </row>
        <row r="1059">
          <cell r="C1059" t="str">
            <v xml:space="preserve"> 통신내선공</v>
          </cell>
          <cell r="E1059" t="str">
            <v>인</v>
          </cell>
          <cell r="F1059">
            <v>2.1000000000000001E-2</v>
          </cell>
          <cell r="G1059">
            <v>63738</v>
          </cell>
          <cell r="H1059">
            <v>1338.4</v>
          </cell>
        </row>
        <row r="1060">
          <cell r="B1060" t="str">
            <v>소         계</v>
          </cell>
          <cell r="H1060">
            <v>1338</v>
          </cell>
          <cell r="I1060" t="str">
            <v>ⓒ</v>
          </cell>
        </row>
        <row r="1062">
          <cell r="A1062" t="str">
            <v>55재   료   비</v>
          </cell>
          <cell r="B1062" t="str">
            <v>재   료   비</v>
          </cell>
          <cell r="D1062" t="str">
            <v>ⓐ</v>
          </cell>
          <cell r="H1062">
            <v>6914</v>
          </cell>
        </row>
        <row r="1063">
          <cell r="A1063" t="str">
            <v>55노   무   비</v>
          </cell>
          <cell r="B1063" t="str">
            <v>노   무   비</v>
          </cell>
          <cell r="D1063" t="str">
            <v>ⓑ</v>
          </cell>
          <cell r="H1063">
            <v>48936</v>
          </cell>
        </row>
        <row r="1064">
          <cell r="A1064" t="str">
            <v>55경        비</v>
          </cell>
          <cell r="B1064" t="str">
            <v>경        비</v>
          </cell>
          <cell r="D1064" t="str">
            <v>ⓒ</v>
          </cell>
          <cell r="H1064">
            <v>1338</v>
          </cell>
        </row>
        <row r="1065">
          <cell r="B1065" t="str">
            <v>계</v>
          </cell>
          <cell r="H1065">
            <v>57188</v>
          </cell>
        </row>
        <row r="1066">
          <cell r="B1066">
            <v>56</v>
          </cell>
          <cell r="C1066" t="str">
            <v xml:space="preserve"> 풀박스 설치</v>
          </cell>
          <cell r="D1066" t="str">
            <v xml:space="preserve"> 300×300×200</v>
          </cell>
          <cell r="E1066" t="str">
            <v>개</v>
          </cell>
          <cell r="F1066">
            <v>1</v>
          </cell>
        </row>
        <row r="1067">
          <cell r="C1067" t="str">
            <v>가, 재료비</v>
          </cell>
        </row>
        <row r="1068">
          <cell r="A1068" t="str">
            <v xml:space="preserve"> 풀박스  300×300×200</v>
          </cell>
          <cell r="C1068" t="str">
            <v xml:space="preserve"> 풀박스 </v>
          </cell>
          <cell r="D1068" t="str">
            <v xml:space="preserve"> 300×300×200</v>
          </cell>
          <cell r="E1068" t="str">
            <v>개</v>
          </cell>
          <cell r="F1068">
            <v>1</v>
          </cell>
          <cell r="G1068">
            <v>7200</v>
          </cell>
          <cell r="H1068">
            <v>7200</v>
          </cell>
          <cell r="I1068">
            <v>0</v>
          </cell>
        </row>
        <row r="1069">
          <cell r="A1069" t="str">
            <v xml:space="preserve"> 스트롱앵커   5/8" (M16)</v>
          </cell>
          <cell r="C1069" t="str">
            <v xml:space="preserve"> 스트롱앵커  </v>
          </cell>
          <cell r="D1069" t="str">
            <v xml:space="preserve"> 5/8" (M16)</v>
          </cell>
          <cell r="E1069" t="str">
            <v>개</v>
          </cell>
          <cell r="F1069">
            <v>2</v>
          </cell>
          <cell r="G1069">
            <v>180</v>
          </cell>
          <cell r="H1069">
            <v>360</v>
          </cell>
          <cell r="I1069">
            <v>0</v>
          </cell>
        </row>
        <row r="1070">
          <cell r="A1070" t="str">
            <v xml:space="preserve"> 달대볼트(아연도)  M16  L1000</v>
          </cell>
          <cell r="C1070" t="str">
            <v xml:space="preserve"> 달대볼트(아연도) </v>
          </cell>
          <cell r="D1070" t="str">
            <v xml:space="preserve"> M16  L1000</v>
          </cell>
          <cell r="E1070" t="str">
            <v>개</v>
          </cell>
          <cell r="F1070">
            <v>2</v>
          </cell>
          <cell r="G1070">
            <v>1252</v>
          </cell>
          <cell r="H1070">
            <v>2504</v>
          </cell>
          <cell r="I1070">
            <v>0</v>
          </cell>
        </row>
        <row r="1071">
          <cell r="B1071" t="str">
            <v>소         계</v>
          </cell>
          <cell r="H1071">
            <v>10064</v>
          </cell>
          <cell r="I1071" t="str">
            <v>ⓐ</v>
          </cell>
        </row>
        <row r="1072">
          <cell r="C1072" t="str">
            <v>나, 노무비</v>
          </cell>
        </row>
        <row r="1073">
          <cell r="A1073" t="str">
            <v>56 통신내선공</v>
          </cell>
          <cell r="C1073" t="str">
            <v xml:space="preserve"> 통신내선공</v>
          </cell>
          <cell r="E1073" t="str">
            <v>인</v>
          </cell>
          <cell r="F1073">
            <v>0.71</v>
          </cell>
          <cell r="G1073">
            <v>63738</v>
          </cell>
          <cell r="H1073">
            <v>45253.9</v>
          </cell>
          <cell r="I1073" t="str">
            <v>기본,통신 3-61-라</v>
          </cell>
        </row>
        <row r="1074">
          <cell r="A1074" t="str">
            <v>56 보통인부</v>
          </cell>
          <cell r="C1074" t="str">
            <v xml:space="preserve"> 보통인부</v>
          </cell>
          <cell r="E1074" t="str">
            <v>인</v>
          </cell>
          <cell r="F1074">
            <v>0.108</v>
          </cell>
          <cell r="G1074">
            <v>34098</v>
          </cell>
          <cell r="H1074">
            <v>3682.5</v>
          </cell>
          <cell r="I1074" t="str">
            <v>기본×(1+천장)×개수,통신 3-61-사</v>
          </cell>
        </row>
        <row r="1075">
          <cell r="B1075" t="str">
            <v>소         계</v>
          </cell>
          <cell r="H1075">
            <v>48936</v>
          </cell>
          <cell r="I1075" t="str">
            <v>ⓑ</v>
          </cell>
        </row>
        <row r="1076">
          <cell r="C1076" t="str">
            <v>다, 기계경비</v>
          </cell>
        </row>
        <row r="1077">
          <cell r="C1077" t="str">
            <v xml:space="preserve"> 통신내선공</v>
          </cell>
          <cell r="E1077" t="str">
            <v>인</v>
          </cell>
          <cell r="F1077">
            <v>2.1000000000000001E-2</v>
          </cell>
          <cell r="G1077">
            <v>63738</v>
          </cell>
          <cell r="H1077">
            <v>1338.4</v>
          </cell>
        </row>
        <row r="1078">
          <cell r="B1078" t="str">
            <v>소         계</v>
          </cell>
          <cell r="H1078">
            <v>1338</v>
          </cell>
          <cell r="I1078" t="str">
            <v>ⓒ</v>
          </cell>
        </row>
        <row r="1080">
          <cell r="A1080" t="str">
            <v>56재   료   비</v>
          </cell>
          <cell r="B1080" t="str">
            <v>재   료   비</v>
          </cell>
          <cell r="D1080" t="str">
            <v>ⓐ</v>
          </cell>
          <cell r="H1080">
            <v>10064</v>
          </cell>
        </row>
        <row r="1081">
          <cell r="A1081" t="str">
            <v>56노   무   비</v>
          </cell>
          <cell r="B1081" t="str">
            <v>노   무   비</v>
          </cell>
          <cell r="D1081" t="str">
            <v>ⓑ</v>
          </cell>
          <cell r="H1081">
            <v>48936</v>
          </cell>
        </row>
        <row r="1082">
          <cell r="A1082" t="str">
            <v>56경        비</v>
          </cell>
          <cell r="B1082" t="str">
            <v>경        비</v>
          </cell>
          <cell r="D1082" t="str">
            <v>ⓒ</v>
          </cell>
          <cell r="H1082">
            <v>1338</v>
          </cell>
        </row>
        <row r="1083">
          <cell r="B1083" t="str">
            <v>계</v>
          </cell>
          <cell r="H1083">
            <v>60338</v>
          </cell>
        </row>
        <row r="1084">
          <cell r="B1084">
            <v>57</v>
          </cell>
          <cell r="C1084" t="str">
            <v xml:space="preserve"> 풀박스 설치</v>
          </cell>
          <cell r="D1084" t="str">
            <v xml:space="preserve"> 400×400×200</v>
          </cell>
          <cell r="E1084" t="str">
            <v>개</v>
          </cell>
          <cell r="F1084">
            <v>1</v>
          </cell>
        </row>
        <row r="1085">
          <cell r="C1085" t="str">
            <v>가, 재료비</v>
          </cell>
        </row>
        <row r="1086">
          <cell r="A1086" t="str">
            <v xml:space="preserve"> 풀박스  400×400×200</v>
          </cell>
          <cell r="C1086" t="str">
            <v xml:space="preserve"> 풀박스 </v>
          </cell>
          <cell r="D1086" t="str">
            <v xml:space="preserve"> 400×400×200</v>
          </cell>
          <cell r="E1086" t="str">
            <v>개</v>
          </cell>
          <cell r="F1086">
            <v>1</v>
          </cell>
          <cell r="G1086">
            <v>11160</v>
          </cell>
          <cell r="H1086">
            <v>11160</v>
          </cell>
          <cell r="I1086">
            <v>0</v>
          </cell>
        </row>
        <row r="1087">
          <cell r="A1087" t="str">
            <v xml:space="preserve"> 스트롱앵커   5/8" (M16)</v>
          </cell>
          <cell r="C1087" t="str">
            <v xml:space="preserve"> 스트롱앵커  </v>
          </cell>
          <cell r="D1087" t="str">
            <v xml:space="preserve"> 5/8" (M16)</v>
          </cell>
          <cell r="E1087" t="str">
            <v>개</v>
          </cell>
          <cell r="F1087">
            <v>2</v>
          </cell>
          <cell r="G1087">
            <v>180</v>
          </cell>
          <cell r="H1087">
            <v>360</v>
          </cell>
          <cell r="I1087">
            <v>0</v>
          </cell>
        </row>
        <row r="1088">
          <cell r="A1088" t="str">
            <v xml:space="preserve"> 달대볼트(아연도)  M16  L1000</v>
          </cell>
          <cell r="C1088" t="str">
            <v xml:space="preserve"> 달대볼트(아연도) </v>
          </cell>
          <cell r="D1088" t="str">
            <v xml:space="preserve"> M16  L1000</v>
          </cell>
          <cell r="E1088" t="str">
            <v>개</v>
          </cell>
          <cell r="F1088">
            <v>2</v>
          </cell>
          <cell r="G1088">
            <v>1252</v>
          </cell>
          <cell r="H1088">
            <v>2504</v>
          </cell>
          <cell r="I1088">
            <v>0</v>
          </cell>
        </row>
        <row r="1089">
          <cell r="B1089" t="str">
            <v>소         계</v>
          </cell>
          <cell r="H1089">
            <v>14024</v>
          </cell>
          <cell r="I1089" t="str">
            <v>ⓐ</v>
          </cell>
        </row>
        <row r="1090">
          <cell r="C1090" t="str">
            <v>나, 노무비</v>
          </cell>
        </row>
        <row r="1091">
          <cell r="A1091" t="str">
            <v>57 통신내선공</v>
          </cell>
          <cell r="C1091" t="str">
            <v xml:space="preserve"> 통신내선공</v>
          </cell>
          <cell r="E1091" t="str">
            <v>인</v>
          </cell>
          <cell r="F1091">
            <v>1.02</v>
          </cell>
          <cell r="G1091">
            <v>63738</v>
          </cell>
          <cell r="H1091">
            <v>65012.7</v>
          </cell>
          <cell r="I1091" t="str">
            <v>기본,통신 3-61-라</v>
          </cell>
        </row>
        <row r="1092">
          <cell r="A1092" t="str">
            <v>57 보통인부</v>
          </cell>
          <cell r="C1092" t="str">
            <v xml:space="preserve"> 보통인부</v>
          </cell>
          <cell r="E1092" t="str">
            <v>인</v>
          </cell>
          <cell r="F1092">
            <v>0.108</v>
          </cell>
          <cell r="G1092">
            <v>34098</v>
          </cell>
          <cell r="H1092">
            <v>3682.5</v>
          </cell>
          <cell r="I1092" t="str">
            <v>기본×(1+천장)×개수,통신 3-61-사</v>
          </cell>
        </row>
        <row r="1093">
          <cell r="B1093" t="str">
            <v>소         계</v>
          </cell>
          <cell r="H1093">
            <v>68695</v>
          </cell>
          <cell r="I1093" t="str">
            <v>ⓑ</v>
          </cell>
        </row>
        <row r="1094">
          <cell r="C1094" t="str">
            <v>다, 기계경비</v>
          </cell>
        </row>
        <row r="1095">
          <cell r="C1095" t="str">
            <v xml:space="preserve"> 통신내선공</v>
          </cell>
          <cell r="E1095" t="str">
            <v>인</v>
          </cell>
          <cell r="F1095">
            <v>0.03</v>
          </cell>
          <cell r="G1095">
            <v>63738</v>
          </cell>
          <cell r="H1095">
            <v>1912.1</v>
          </cell>
        </row>
        <row r="1096">
          <cell r="B1096" t="str">
            <v>소         계</v>
          </cell>
          <cell r="H1096">
            <v>1912</v>
          </cell>
          <cell r="I1096" t="str">
            <v>ⓒ</v>
          </cell>
        </row>
        <row r="1098">
          <cell r="A1098" t="str">
            <v>57재   료   비</v>
          </cell>
          <cell r="B1098" t="str">
            <v>재   료   비</v>
          </cell>
          <cell r="D1098" t="str">
            <v>ⓐ</v>
          </cell>
          <cell r="H1098">
            <v>14024</v>
          </cell>
        </row>
        <row r="1099">
          <cell r="A1099" t="str">
            <v>57노   무   비</v>
          </cell>
          <cell r="B1099" t="str">
            <v>노   무   비</v>
          </cell>
          <cell r="D1099" t="str">
            <v>ⓑ</v>
          </cell>
          <cell r="H1099">
            <v>68695</v>
          </cell>
        </row>
        <row r="1100">
          <cell r="A1100" t="str">
            <v>57경        비</v>
          </cell>
          <cell r="B1100" t="str">
            <v>경        비</v>
          </cell>
          <cell r="D1100" t="str">
            <v>ⓒ</v>
          </cell>
          <cell r="H1100">
            <v>1912</v>
          </cell>
        </row>
        <row r="1101">
          <cell r="B1101" t="str">
            <v>계</v>
          </cell>
          <cell r="H1101">
            <v>84631</v>
          </cell>
        </row>
        <row r="1102">
          <cell r="B1102">
            <v>58</v>
          </cell>
          <cell r="C1102" t="str">
            <v xml:space="preserve"> 풀박스 설치</v>
          </cell>
          <cell r="D1102" t="str">
            <v xml:space="preserve"> 500×500×300</v>
          </cell>
          <cell r="E1102" t="str">
            <v>개</v>
          </cell>
          <cell r="F1102">
            <v>1</v>
          </cell>
        </row>
        <row r="1103">
          <cell r="C1103" t="str">
            <v>가, 재료비</v>
          </cell>
        </row>
        <row r="1104">
          <cell r="A1104" t="str">
            <v xml:space="preserve"> 풀박스  500×500×300</v>
          </cell>
          <cell r="C1104" t="str">
            <v xml:space="preserve"> 풀박스 </v>
          </cell>
          <cell r="D1104" t="str">
            <v xml:space="preserve"> 500×500×300</v>
          </cell>
          <cell r="E1104" t="str">
            <v>개</v>
          </cell>
          <cell r="F1104">
            <v>1</v>
          </cell>
          <cell r="G1104">
            <v>22500</v>
          </cell>
          <cell r="H1104">
            <v>22500</v>
          </cell>
          <cell r="I1104">
            <v>0</v>
          </cell>
        </row>
        <row r="1105">
          <cell r="A1105" t="str">
            <v xml:space="preserve"> 스트롱앵커   5/8" (M16)</v>
          </cell>
          <cell r="C1105" t="str">
            <v xml:space="preserve"> 스트롱앵커  </v>
          </cell>
          <cell r="D1105" t="str">
            <v xml:space="preserve"> 5/8" (M16)</v>
          </cell>
          <cell r="E1105" t="str">
            <v>개</v>
          </cell>
          <cell r="F1105">
            <v>2</v>
          </cell>
          <cell r="G1105">
            <v>180</v>
          </cell>
          <cell r="H1105">
            <v>360</v>
          </cell>
          <cell r="I1105">
            <v>0</v>
          </cell>
        </row>
        <row r="1106">
          <cell r="A1106" t="str">
            <v xml:space="preserve"> 달대볼트(아연도)  M16  L1000</v>
          </cell>
          <cell r="C1106" t="str">
            <v xml:space="preserve"> 달대볼트(아연도) </v>
          </cell>
          <cell r="D1106" t="str">
            <v xml:space="preserve"> M16  L1000</v>
          </cell>
          <cell r="E1106" t="str">
            <v>개</v>
          </cell>
          <cell r="F1106">
            <v>2</v>
          </cell>
          <cell r="G1106">
            <v>1252</v>
          </cell>
          <cell r="H1106">
            <v>2504</v>
          </cell>
          <cell r="I1106">
            <v>0</v>
          </cell>
        </row>
        <row r="1107">
          <cell r="B1107" t="str">
            <v>소         계</v>
          </cell>
          <cell r="H1107">
            <v>25364</v>
          </cell>
          <cell r="I1107" t="str">
            <v>ⓐ</v>
          </cell>
        </row>
        <row r="1108">
          <cell r="C1108" t="str">
            <v>나, 노무비</v>
          </cell>
        </row>
        <row r="1109">
          <cell r="A1109" t="str">
            <v>58 통신내선공</v>
          </cell>
          <cell r="C1109" t="str">
            <v xml:space="preserve"> 통신내선공</v>
          </cell>
          <cell r="E1109" t="str">
            <v>인</v>
          </cell>
          <cell r="F1109">
            <v>1.02</v>
          </cell>
          <cell r="G1109">
            <v>63738</v>
          </cell>
          <cell r="H1109">
            <v>65012.7</v>
          </cell>
          <cell r="I1109" t="str">
            <v>기본,통신 3-61-라</v>
          </cell>
        </row>
        <row r="1110">
          <cell r="A1110" t="str">
            <v>58 보통인부</v>
          </cell>
          <cell r="C1110" t="str">
            <v xml:space="preserve"> 보통인부</v>
          </cell>
          <cell r="E1110" t="str">
            <v>인</v>
          </cell>
          <cell r="F1110">
            <v>0.108</v>
          </cell>
          <cell r="G1110">
            <v>34098</v>
          </cell>
          <cell r="H1110">
            <v>3682.5</v>
          </cell>
          <cell r="I1110" t="str">
            <v>기본×(1+천장)×개수,통신 3-61-사</v>
          </cell>
        </row>
        <row r="1111">
          <cell r="B1111" t="str">
            <v>소         계</v>
          </cell>
          <cell r="H1111">
            <v>68695</v>
          </cell>
          <cell r="I1111" t="str">
            <v>ⓑ</v>
          </cell>
        </row>
        <row r="1112">
          <cell r="C1112" t="str">
            <v>다, 기계경비</v>
          </cell>
        </row>
        <row r="1113">
          <cell r="C1113" t="str">
            <v xml:space="preserve"> 통신내선공</v>
          </cell>
          <cell r="E1113" t="str">
            <v>인</v>
          </cell>
          <cell r="F1113">
            <v>0.03</v>
          </cell>
          <cell r="G1113">
            <v>63738</v>
          </cell>
          <cell r="H1113">
            <v>1912.1</v>
          </cell>
        </row>
        <row r="1114">
          <cell r="B1114" t="str">
            <v>소         계</v>
          </cell>
          <cell r="H1114">
            <v>1912</v>
          </cell>
          <cell r="I1114" t="str">
            <v>ⓒ</v>
          </cell>
        </row>
        <row r="1116">
          <cell r="A1116" t="str">
            <v>58재   료   비</v>
          </cell>
          <cell r="B1116" t="str">
            <v>재   료   비</v>
          </cell>
          <cell r="D1116" t="str">
            <v>ⓐ</v>
          </cell>
          <cell r="H1116">
            <v>25364</v>
          </cell>
        </row>
        <row r="1117">
          <cell r="A1117" t="str">
            <v>58노   무   비</v>
          </cell>
          <cell r="B1117" t="str">
            <v>노   무   비</v>
          </cell>
          <cell r="D1117" t="str">
            <v>ⓑ</v>
          </cell>
          <cell r="H1117">
            <v>68695</v>
          </cell>
        </row>
        <row r="1118">
          <cell r="A1118" t="str">
            <v>58경        비</v>
          </cell>
          <cell r="B1118" t="str">
            <v>경        비</v>
          </cell>
          <cell r="D1118" t="str">
            <v>ⓒ</v>
          </cell>
          <cell r="H1118">
            <v>1912</v>
          </cell>
        </row>
        <row r="1119">
          <cell r="B1119" t="str">
            <v>계</v>
          </cell>
          <cell r="H1119">
            <v>95971</v>
          </cell>
        </row>
        <row r="1120">
          <cell r="B1120">
            <v>59</v>
          </cell>
          <cell r="C1120" t="str">
            <v xml:space="preserve"> 풀박스 설치</v>
          </cell>
          <cell r="D1120" t="str">
            <v xml:space="preserve"> 600×600×300</v>
          </cell>
          <cell r="E1120" t="str">
            <v>개</v>
          </cell>
          <cell r="F1120">
            <v>1</v>
          </cell>
        </row>
        <row r="1121">
          <cell r="C1121" t="str">
            <v>가, 재료비</v>
          </cell>
        </row>
        <row r="1122">
          <cell r="A1122" t="str">
            <v xml:space="preserve"> 풀박스  600×600×300</v>
          </cell>
          <cell r="C1122" t="str">
            <v xml:space="preserve"> 풀박스 </v>
          </cell>
          <cell r="D1122" t="str">
            <v xml:space="preserve"> 600×600×300</v>
          </cell>
          <cell r="E1122" t="str">
            <v>개</v>
          </cell>
          <cell r="F1122">
            <v>1</v>
          </cell>
          <cell r="G1122">
            <v>27450</v>
          </cell>
          <cell r="H1122">
            <v>27450</v>
          </cell>
          <cell r="I1122">
            <v>0</v>
          </cell>
        </row>
        <row r="1123">
          <cell r="A1123" t="str">
            <v xml:space="preserve"> 스트롱앵커   5/8" (M16)</v>
          </cell>
          <cell r="C1123" t="str">
            <v xml:space="preserve"> 스트롱앵커  </v>
          </cell>
          <cell r="D1123" t="str">
            <v xml:space="preserve"> 5/8" (M16)</v>
          </cell>
          <cell r="E1123" t="str">
            <v>개</v>
          </cell>
          <cell r="F1123">
            <v>2</v>
          </cell>
          <cell r="G1123">
            <v>180</v>
          </cell>
          <cell r="H1123">
            <v>360</v>
          </cell>
          <cell r="I1123">
            <v>0</v>
          </cell>
        </row>
        <row r="1124">
          <cell r="A1124" t="str">
            <v xml:space="preserve"> 달대볼트(아연도)  M16  L1000</v>
          </cell>
          <cell r="C1124" t="str">
            <v xml:space="preserve"> 달대볼트(아연도) </v>
          </cell>
          <cell r="D1124" t="str">
            <v xml:space="preserve"> M16  L1000</v>
          </cell>
          <cell r="E1124" t="str">
            <v>개</v>
          </cell>
          <cell r="F1124">
            <v>2</v>
          </cell>
          <cell r="G1124">
            <v>1252</v>
          </cell>
          <cell r="H1124">
            <v>2504</v>
          </cell>
          <cell r="I1124">
            <v>0</v>
          </cell>
        </row>
        <row r="1125">
          <cell r="B1125" t="str">
            <v>소         계</v>
          </cell>
          <cell r="H1125">
            <v>30314</v>
          </cell>
          <cell r="I1125" t="str">
            <v>ⓐ</v>
          </cell>
        </row>
        <row r="1126">
          <cell r="C1126" t="str">
            <v>나, 노무비</v>
          </cell>
        </row>
        <row r="1127">
          <cell r="A1127" t="str">
            <v>59 통신내선공</v>
          </cell>
          <cell r="C1127" t="str">
            <v xml:space="preserve"> 통신내선공</v>
          </cell>
          <cell r="E1127" t="str">
            <v>인</v>
          </cell>
          <cell r="F1127">
            <v>1.02</v>
          </cell>
          <cell r="G1127">
            <v>63738</v>
          </cell>
          <cell r="H1127">
            <v>65012.7</v>
          </cell>
          <cell r="I1127" t="str">
            <v>기본,통신 3-61-라</v>
          </cell>
        </row>
        <row r="1128">
          <cell r="A1128" t="str">
            <v>59 보통인부</v>
          </cell>
          <cell r="C1128" t="str">
            <v xml:space="preserve"> 보통인부</v>
          </cell>
          <cell r="E1128" t="str">
            <v>인</v>
          </cell>
          <cell r="F1128">
            <v>0.108</v>
          </cell>
          <cell r="G1128">
            <v>34098</v>
          </cell>
          <cell r="H1128">
            <v>3682.5</v>
          </cell>
          <cell r="I1128" t="str">
            <v>기본×(1+천장)×개수,통신 3-61-사</v>
          </cell>
        </row>
        <row r="1129">
          <cell r="B1129" t="str">
            <v>소         계</v>
          </cell>
          <cell r="H1129">
            <v>68695</v>
          </cell>
          <cell r="I1129" t="str">
            <v>ⓑ</v>
          </cell>
        </row>
        <row r="1130">
          <cell r="C1130" t="str">
            <v>다, 기계경비</v>
          </cell>
        </row>
        <row r="1131">
          <cell r="C1131" t="str">
            <v xml:space="preserve"> 통신내선공</v>
          </cell>
          <cell r="E1131" t="str">
            <v>인</v>
          </cell>
          <cell r="F1131">
            <v>0.03</v>
          </cell>
          <cell r="G1131">
            <v>63738</v>
          </cell>
          <cell r="H1131">
            <v>1912.1</v>
          </cell>
        </row>
        <row r="1132">
          <cell r="B1132" t="str">
            <v>소         계</v>
          </cell>
          <cell r="H1132">
            <v>1912</v>
          </cell>
          <cell r="I1132" t="str">
            <v>ⓒ</v>
          </cell>
        </row>
        <row r="1134">
          <cell r="A1134" t="str">
            <v>59재   료   비</v>
          </cell>
          <cell r="B1134" t="str">
            <v>재   료   비</v>
          </cell>
          <cell r="D1134" t="str">
            <v>ⓐ</v>
          </cell>
          <cell r="H1134">
            <v>30314</v>
          </cell>
        </row>
        <row r="1135">
          <cell r="A1135" t="str">
            <v>59노   무   비</v>
          </cell>
          <cell r="B1135" t="str">
            <v>노   무   비</v>
          </cell>
          <cell r="D1135" t="str">
            <v>ⓑ</v>
          </cell>
          <cell r="H1135">
            <v>68695</v>
          </cell>
        </row>
        <row r="1136">
          <cell r="A1136" t="str">
            <v>59경        비</v>
          </cell>
          <cell r="B1136" t="str">
            <v>경        비</v>
          </cell>
          <cell r="D1136" t="str">
            <v>ⓒ</v>
          </cell>
          <cell r="H1136">
            <v>1912</v>
          </cell>
        </row>
        <row r="1137">
          <cell r="B1137" t="str">
            <v>계</v>
          </cell>
          <cell r="H1137">
            <v>100921</v>
          </cell>
        </row>
        <row r="1138">
          <cell r="B1138">
            <v>60</v>
          </cell>
          <cell r="C1138" t="str">
            <v xml:space="preserve"> 풀박스 설치</v>
          </cell>
          <cell r="D1138" t="str">
            <v xml:space="preserve"> 200×200×150(매입)</v>
          </cell>
          <cell r="E1138" t="str">
            <v>개</v>
          </cell>
          <cell r="F1138">
            <v>1</v>
          </cell>
        </row>
        <row r="1139">
          <cell r="C1139" t="str">
            <v>가, 재료비</v>
          </cell>
        </row>
        <row r="1140">
          <cell r="A1140" t="str">
            <v xml:space="preserve"> 풀박스  200×200×150</v>
          </cell>
          <cell r="C1140" t="str">
            <v xml:space="preserve"> 풀박스 </v>
          </cell>
          <cell r="D1140" t="str">
            <v xml:space="preserve"> 200×200×150</v>
          </cell>
          <cell r="E1140" t="str">
            <v>개</v>
          </cell>
          <cell r="F1140">
            <v>1</v>
          </cell>
          <cell r="G1140">
            <v>4050</v>
          </cell>
          <cell r="H1140">
            <v>4050</v>
          </cell>
          <cell r="I1140">
            <v>0</v>
          </cell>
        </row>
        <row r="1141">
          <cell r="B1141" t="str">
            <v>소         계</v>
          </cell>
          <cell r="H1141">
            <v>4050</v>
          </cell>
          <cell r="I1141" t="str">
            <v>ⓐ</v>
          </cell>
        </row>
        <row r="1142">
          <cell r="C1142" t="str">
            <v>나, 노무비</v>
          </cell>
        </row>
        <row r="1143">
          <cell r="A1143" t="str">
            <v>60 통신내선공</v>
          </cell>
          <cell r="C1143" t="str">
            <v xml:space="preserve"> 통신내선공</v>
          </cell>
          <cell r="E1143" t="str">
            <v>인</v>
          </cell>
          <cell r="F1143">
            <v>0.66</v>
          </cell>
          <cell r="G1143">
            <v>63738</v>
          </cell>
          <cell r="H1143">
            <v>42067</v>
          </cell>
          <cell r="I1143" t="str">
            <v>기본,통신 3-61-라</v>
          </cell>
        </row>
        <row r="1144">
          <cell r="B1144" t="str">
            <v>소         계</v>
          </cell>
          <cell r="H1144">
            <v>42067</v>
          </cell>
          <cell r="I1144" t="str">
            <v>ⓑ</v>
          </cell>
        </row>
        <row r="1145">
          <cell r="C1145" t="str">
            <v>다, 기계경비</v>
          </cell>
        </row>
        <row r="1146">
          <cell r="C1146" t="str">
            <v xml:space="preserve"> 통신내선공</v>
          </cell>
          <cell r="E1146" t="str">
            <v>인</v>
          </cell>
          <cell r="F1146">
            <v>1.9E-2</v>
          </cell>
          <cell r="G1146">
            <v>63738</v>
          </cell>
          <cell r="H1146">
            <v>1211</v>
          </cell>
        </row>
        <row r="1147">
          <cell r="B1147" t="str">
            <v>소         계</v>
          </cell>
          <cell r="H1147">
            <v>1211</v>
          </cell>
          <cell r="I1147" t="str">
            <v>ⓒ</v>
          </cell>
        </row>
        <row r="1149">
          <cell r="A1149" t="str">
            <v>60재   료   비</v>
          </cell>
          <cell r="B1149" t="str">
            <v>재   료   비</v>
          </cell>
          <cell r="D1149" t="str">
            <v>ⓐ</v>
          </cell>
          <cell r="H1149">
            <v>4050</v>
          </cell>
        </row>
        <row r="1150">
          <cell r="A1150" t="str">
            <v>60노   무   비</v>
          </cell>
          <cell r="B1150" t="str">
            <v>노   무   비</v>
          </cell>
          <cell r="D1150" t="str">
            <v>ⓑ</v>
          </cell>
          <cell r="H1150">
            <v>42067</v>
          </cell>
        </row>
        <row r="1151">
          <cell r="A1151" t="str">
            <v>60경        비</v>
          </cell>
          <cell r="B1151" t="str">
            <v>경        비</v>
          </cell>
          <cell r="D1151" t="str">
            <v>ⓒ</v>
          </cell>
          <cell r="H1151">
            <v>1211</v>
          </cell>
        </row>
        <row r="1152">
          <cell r="B1152" t="str">
            <v>계</v>
          </cell>
          <cell r="H1152">
            <v>47328</v>
          </cell>
        </row>
        <row r="1156">
          <cell r="B1156">
            <v>61</v>
          </cell>
          <cell r="C1156" t="str">
            <v xml:space="preserve"> 풀박스 설치</v>
          </cell>
          <cell r="D1156" t="str">
            <v xml:space="preserve"> 200×200×200(매입)</v>
          </cell>
          <cell r="E1156" t="str">
            <v>개</v>
          </cell>
          <cell r="F1156">
            <v>1</v>
          </cell>
        </row>
        <row r="1157">
          <cell r="C1157" t="str">
            <v>가, 재료비</v>
          </cell>
        </row>
        <row r="1158">
          <cell r="A1158" t="str">
            <v xml:space="preserve"> 풀박스  200×200×200</v>
          </cell>
          <cell r="C1158" t="str">
            <v xml:space="preserve"> 풀박스 </v>
          </cell>
          <cell r="D1158" t="str">
            <v xml:space="preserve"> 200×200×200</v>
          </cell>
          <cell r="E1158" t="str">
            <v>개</v>
          </cell>
          <cell r="F1158">
            <v>1</v>
          </cell>
          <cell r="G1158">
            <v>4680</v>
          </cell>
          <cell r="H1158">
            <v>4680</v>
          </cell>
          <cell r="I1158">
            <v>0</v>
          </cell>
        </row>
        <row r="1159">
          <cell r="B1159" t="str">
            <v>소         계</v>
          </cell>
          <cell r="H1159">
            <v>4680</v>
          </cell>
          <cell r="I1159" t="str">
            <v>ⓐ</v>
          </cell>
        </row>
        <row r="1160">
          <cell r="C1160" t="str">
            <v>나, 노무비</v>
          </cell>
        </row>
        <row r="1161">
          <cell r="A1161" t="str">
            <v>61 통신내선공</v>
          </cell>
          <cell r="C1161" t="str">
            <v xml:space="preserve"> 통신내선공</v>
          </cell>
          <cell r="E1161" t="str">
            <v>인</v>
          </cell>
          <cell r="F1161">
            <v>0.66</v>
          </cell>
          <cell r="G1161">
            <v>63738</v>
          </cell>
          <cell r="H1161">
            <v>42067</v>
          </cell>
          <cell r="I1161" t="str">
            <v>기본,통신 3-61-라</v>
          </cell>
        </row>
        <row r="1162">
          <cell r="B1162" t="str">
            <v>소         계</v>
          </cell>
          <cell r="H1162">
            <v>42067</v>
          </cell>
          <cell r="I1162" t="str">
            <v>ⓑ</v>
          </cell>
        </row>
        <row r="1163">
          <cell r="C1163" t="str">
            <v>다, 기계경비</v>
          </cell>
        </row>
        <row r="1164">
          <cell r="C1164" t="str">
            <v xml:space="preserve"> 통신내선공</v>
          </cell>
          <cell r="E1164" t="str">
            <v>인</v>
          </cell>
          <cell r="F1164">
            <v>1.9E-2</v>
          </cell>
          <cell r="G1164">
            <v>63738</v>
          </cell>
          <cell r="H1164">
            <v>1211</v>
          </cell>
        </row>
        <row r="1165">
          <cell r="B1165" t="str">
            <v>소         계</v>
          </cell>
          <cell r="H1165">
            <v>1211</v>
          </cell>
          <cell r="I1165" t="str">
            <v>ⓒ</v>
          </cell>
        </row>
        <row r="1167">
          <cell r="A1167" t="str">
            <v>61재   료   비</v>
          </cell>
          <cell r="B1167" t="str">
            <v>재   료   비</v>
          </cell>
          <cell r="D1167" t="str">
            <v>ⓐ</v>
          </cell>
          <cell r="H1167">
            <v>4680</v>
          </cell>
        </row>
        <row r="1168">
          <cell r="A1168" t="str">
            <v>61노   무   비</v>
          </cell>
          <cell r="B1168" t="str">
            <v>노   무   비</v>
          </cell>
          <cell r="D1168" t="str">
            <v>ⓑ</v>
          </cell>
          <cell r="H1168">
            <v>42067</v>
          </cell>
        </row>
        <row r="1169">
          <cell r="A1169" t="str">
            <v>61경        비</v>
          </cell>
          <cell r="B1169" t="str">
            <v>경        비</v>
          </cell>
          <cell r="D1169" t="str">
            <v>ⓒ</v>
          </cell>
          <cell r="H1169">
            <v>1211</v>
          </cell>
        </row>
        <row r="1170">
          <cell r="B1170" t="str">
            <v>계</v>
          </cell>
          <cell r="H1170">
            <v>47958</v>
          </cell>
        </row>
        <row r="1174">
          <cell r="B1174">
            <v>62</v>
          </cell>
          <cell r="C1174" t="str">
            <v xml:space="preserve"> 풀박스 설치</v>
          </cell>
          <cell r="D1174" t="str">
            <v xml:space="preserve"> 200×200×150(철강조)</v>
          </cell>
          <cell r="E1174" t="str">
            <v>개</v>
          </cell>
          <cell r="F1174">
            <v>1</v>
          </cell>
        </row>
        <row r="1175">
          <cell r="C1175" t="str">
            <v>가, 재료비</v>
          </cell>
        </row>
        <row r="1176">
          <cell r="A1176" t="str">
            <v xml:space="preserve"> 풀박스  200×200×150</v>
          </cell>
          <cell r="C1176" t="str">
            <v xml:space="preserve"> 풀박스 </v>
          </cell>
          <cell r="D1176" t="str">
            <v xml:space="preserve"> 200×200×150</v>
          </cell>
          <cell r="E1176" t="str">
            <v>개</v>
          </cell>
          <cell r="F1176">
            <v>1</v>
          </cell>
          <cell r="G1176">
            <v>4050</v>
          </cell>
          <cell r="H1176">
            <v>4050</v>
          </cell>
          <cell r="I1176">
            <v>0</v>
          </cell>
        </row>
        <row r="1177">
          <cell r="B1177" t="str">
            <v>소         계</v>
          </cell>
          <cell r="H1177">
            <v>4050</v>
          </cell>
          <cell r="I1177" t="str">
            <v>ⓐ</v>
          </cell>
        </row>
        <row r="1178">
          <cell r="C1178" t="str">
            <v>나, 노무비</v>
          </cell>
        </row>
        <row r="1179">
          <cell r="A1179" t="str">
            <v>62 통신내선공</v>
          </cell>
          <cell r="C1179" t="str">
            <v xml:space="preserve"> 통신내선공</v>
          </cell>
          <cell r="E1179" t="str">
            <v>인</v>
          </cell>
          <cell r="F1179">
            <v>0.43</v>
          </cell>
          <cell r="G1179">
            <v>63738</v>
          </cell>
          <cell r="H1179">
            <v>27407.3</v>
          </cell>
          <cell r="I1179" t="str">
            <v>기본×(1+철강조),통신 3-61-라</v>
          </cell>
        </row>
        <row r="1180">
          <cell r="B1180" t="str">
            <v>소         계</v>
          </cell>
          <cell r="H1180">
            <v>27407</v>
          </cell>
          <cell r="I1180" t="str">
            <v>ⓑ</v>
          </cell>
        </row>
        <row r="1181">
          <cell r="C1181" t="str">
            <v>다, 기계경비</v>
          </cell>
        </row>
        <row r="1182">
          <cell r="C1182" t="str">
            <v xml:space="preserve"> 통신내선공</v>
          </cell>
          <cell r="E1182" t="str">
            <v>인</v>
          </cell>
          <cell r="F1182">
            <v>1.2E-2</v>
          </cell>
          <cell r="G1182">
            <v>63738</v>
          </cell>
          <cell r="H1182">
            <v>764.8</v>
          </cell>
        </row>
        <row r="1183">
          <cell r="B1183" t="str">
            <v>소         계</v>
          </cell>
          <cell r="H1183">
            <v>764</v>
          </cell>
          <cell r="I1183" t="str">
            <v>ⓒ</v>
          </cell>
        </row>
        <row r="1185">
          <cell r="A1185" t="str">
            <v>62재   료   비</v>
          </cell>
          <cell r="B1185" t="str">
            <v>재   료   비</v>
          </cell>
          <cell r="D1185" t="str">
            <v>ⓐ</v>
          </cell>
          <cell r="H1185">
            <v>4050</v>
          </cell>
        </row>
        <row r="1186">
          <cell r="A1186" t="str">
            <v>62노   무   비</v>
          </cell>
          <cell r="B1186" t="str">
            <v>노   무   비</v>
          </cell>
          <cell r="D1186" t="str">
            <v>ⓑ</v>
          </cell>
          <cell r="H1186">
            <v>27407</v>
          </cell>
        </row>
        <row r="1187">
          <cell r="A1187" t="str">
            <v>62경        비</v>
          </cell>
          <cell r="B1187" t="str">
            <v>경        비</v>
          </cell>
          <cell r="D1187" t="str">
            <v>ⓒ</v>
          </cell>
          <cell r="H1187">
            <v>764</v>
          </cell>
        </row>
        <row r="1188">
          <cell r="B1188" t="str">
            <v>계</v>
          </cell>
          <cell r="H1188">
            <v>32221</v>
          </cell>
        </row>
        <row r="1192">
          <cell r="B1192">
            <v>63</v>
          </cell>
          <cell r="C1192" t="str">
            <v xml:space="preserve"> 배선반 신설</v>
          </cell>
          <cell r="D1192" t="str">
            <v xml:space="preserve"> 178P</v>
          </cell>
          <cell r="E1192" t="str">
            <v>대</v>
          </cell>
          <cell r="F1192">
            <v>1</v>
          </cell>
        </row>
        <row r="1193">
          <cell r="C1193" t="str">
            <v>가, 재료비</v>
          </cell>
        </row>
        <row r="1194">
          <cell r="A1194" t="str">
            <v xml:space="preserve"> 배선반 178P</v>
          </cell>
          <cell r="C1194" t="str">
            <v xml:space="preserve"> 배선반</v>
          </cell>
          <cell r="D1194" t="str">
            <v xml:space="preserve"> 178P</v>
          </cell>
          <cell r="E1194" t="str">
            <v>m</v>
          </cell>
          <cell r="F1194">
            <v>1</v>
          </cell>
          <cell r="G1194">
            <v>6877600</v>
          </cell>
          <cell r="H1194">
            <v>6877600</v>
          </cell>
          <cell r="I1194">
            <v>0</v>
          </cell>
        </row>
        <row r="1195">
          <cell r="B1195" t="str">
            <v>소         계</v>
          </cell>
          <cell r="H1195">
            <v>6877600</v>
          </cell>
          <cell r="I1195" t="str">
            <v>ⓐ</v>
          </cell>
        </row>
        <row r="1196">
          <cell r="C1196" t="str">
            <v>나, 노무비</v>
          </cell>
        </row>
        <row r="1197">
          <cell r="A1197" t="str">
            <v>63 플랜트전공</v>
          </cell>
          <cell r="C1197" t="str">
            <v xml:space="preserve"> 플랜트전공</v>
          </cell>
          <cell r="E1197" t="str">
            <v>인</v>
          </cell>
          <cell r="F1197">
            <v>2.44</v>
          </cell>
          <cell r="G1197">
            <v>54503</v>
          </cell>
          <cell r="H1197">
            <v>132987.29999999999</v>
          </cell>
          <cell r="I1197" t="str">
            <v>기본,전기 3-81</v>
          </cell>
        </row>
        <row r="1198">
          <cell r="A1198" t="str">
            <v>63 보통인부</v>
          </cell>
          <cell r="C1198" t="str">
            <v xml:space="preserve"> 보통인부</v>
          </cell>
          <cell r="E1198" t="str">
            <v>인</v>
          </cell>
          <cell r="F1198">
            <v>1.63</v>
          </cell>
          <cell r="G1198">
            <v>34098</v>
          </cell>
          <cell r="H1198">
            <v>55579.7</v>
          </cell>
          <cell r="I1198" t="str">
            <v>기본,전기 3-81</v>
          </cell>
        </row>
        <row r="1199">
          <cell r="B1199" t="str">
            <v>소         계</v>
          </cell>
          <cell r="H1199">
            <v>188567</v>
          </cell>
          <cell r="I1199" t="str">
            <v>ⓑ</v>
          </cell>
        </row>
        <row r="1200">
          <cell r="C1200" t="str">
            <v>다, 기계경비</v>
          </cell>
        </row>
        <row r="1201">
          <cell r="C1201" t="str">
            <v xml:space="preserve"> 플랜트전공</v>
          </cell>
          <cell r="E1201" t="str">
            <v>인</v>
          </cell>
          <cell r="F1201">
            <v>7.2999999999999995E-2</v>
          </cell>
          <cell r="G1201">
            <v>54503</v>
          </cell>
          <cell r="H1201">
            <v>3978.7</v>
          </cell>
        </row>
        <row r="1202">
          <cell r="C1202" t="str">
            <v xml:space="preserve"> 보통인부</v>
          </cell>
          <cell r="E1202" t="str">
            <v>인</v>
          </cell>
          <cell r="F1202">
            <v>4.8000000000000001E-2</v>
          </cell>
          <cell r="G1202">
            <v>34098</v>
          </cell>
          <cell r="H1202">
            <v>1636.7</v>
          </cell>
        </row>
        <row r="1203">
          <cell r="B1203" t="str">
            <v>소         계</v>
          </cell>
          <cell r="H1203">
            <v>5615</v>
          </cell>
          <cell r="I1203" t="str">
            <v>ⓒ</v>
          </cell>
        </row>
        <row r="1205">
          <cell r="A1205" t="str">
            <v>63재   료   비</v>
          </cell>
          <cell r="B1205" t="str">
            <v>재   료   비</v>
          </cell>
          <cell r="D1205" t="str">
            <v>ⓐ</v>
          </cell>
          <cell r="H1205">
            <v>6877600</v>
          </cell>
        </row>
        <row r="1206">
          <cell r="A1206" t="str">
            <v>63노   무   비</v>
          </cell>
          <cell r="B1206" t="str">
            <v>노   무   비</v>
          </cell>
          <cell r="D1206" t="str">
            <v>ⓑ</v>
          </cell>
          <cell r="H1206">
            <v>188567</v>
          </cell>
        </row>
        <row r="1207">
          <cell r="A1207" t="str">
            <v>63경        비</v>
          </cell>
          <cell r="B1207" t="str">
            <v>경        비</v>
          </cell>
          <cell r="D1207" t="str">
            <v>ⓒ</v>
          </cell>
          <cell r="H1207">
            <v>5615</v>
          </cell>
        </row>
        <row r="1208">
          <cell r="B1208" t="str">
            <v>계</v>
          </cell>
          <cell r="H1208">
            <v>7071782</v>
          </cell>
        </row>
        <row r="1210">
          <cell r="B1210">
            <v>64</v>
          </cell>
          <cell r="C1210" t="str">
            <v xml:space="preserve"> 국선단자함</v>
          </cell>
          <cell r="D1210" t="str">
            <v xml:space="preserve"> 국선60/내선120</v>
          </cell>
          <cell r="E1210" t="str">
            <v>개</v>
          </cell>
          <cell r="F1210">
            <v>1</v>
          </cell>
        </row>
        <row r="1211">
          <cell r="C1211" t="str">
            <v>가, 재료비</v>
          </cell>
        </row>
        <row r="1212">
          <cell r="A1212" t="str">
            <v xml:space="preserve"> 국선단자함 국선60/내선120</v>
          </cell>
          <cell r="C1212" t="str">
            <v xml:space="preserve"> 국선단자함</v>
          </cell>
          <cell r="D1212" t="str">
            <v xml:space="preserve"> 국선60/내선120</v>
          </cell>
          <cell r="E1212" t="str">
            <v>개</v>
          </cell>
          <cell r="F1212">
            <v>1</v>
          </cell>
          <cell r="G1212">
            <v>420000</v>
          </cell>
          <cell r="H1212">
            <v>420000</v>
          </cell>
          <cell r="I1212">
            <v>0</v>
          </cell>
        </row>
        <row r="1213">
          <cell r="B1213" t="str">
            <v>소         계</v>
          </cell>
          <cell r="H1213">
            <v>420000</v>
          </cell>
          <cell r="I1213" t="str">
            <v>ⓐ</v>
          </cell>
        </row>
        <row r="1214">
          <cell r="C1214" t="str">
            <v>나, 노무비</v>
          </cell>
        </row>
        <row r="1215">
          <cell r="A1215" t="str">
            <v>64 통신내선공</v>
          </cell>
          <cell r="C1215" t="str">
            <v xml:space="preserve"> 통신내선공</v>
          </cell>
          <cell r="E1215" t="str">
            <v>인</v>
          </cell>
          <cell r="F1215">
            <v>0.69</v>
          </cell>
          <cell r="G1215">
            <v>63738</v>
          </cell>
          <cell r="H1215">
            <v>43979.199999999997</v>
          </cell>
          <cell r="I1215" t="str">
            <v>기본,통신 3-30</v>
          </cell>
        </row>
        <row r="1216">
          <cell r="A1216" t="str">
            <v>64 보통인부</v>
          </cell>
          <cell r="C1216" t="str">
            <v xml:space="preserve"> 보통인부</v>
          </cell>
          <cell r="E1216" t="str">
            <v>인</v>
          </cell>
          <cell r="F1216">
            <v>0.49</v>
          </cell>
          <cell r="G1216">
            <v>34098</v>
          </cell>
          <cell r="H1216">
            <v>16708</v>
          </cell>
          <cell r="I1216" t="str">
            <v>기본,통신 3-30</v>
          </cell>
        </row>
        <row r="1217">
          <cell r="B1217" t="str">
            <v>소         계</v>
          </cell>
          <cell r="H1217">
            <v>60687</v>
          </cell>
          <cell r="I1217" t="str">
            <v>ⓑ</v>
          </cell>
        </row>
        <row r="1218">
          <cell r="C1218" t="str">
            <v>다, 기계경비</v>
          </cell>
        </row>
        <row r="1219">
          <cell r="C1219" t="str">
            <v xml:space="preserve"> 통신내선공</v>
          </cell>
          <cell r="E1219" t="str">
            <v>인</v>
          </cell>
          <cell r="F1219">
            <v>0.02</v>
          </cell>
          <cell r="G1219">
            <v>63738</v>
          </cell>
          <cell r="H1219">
            <v>1274.7</v>
          </cell>
        </row>
        <row r="1220">
          <cell r="B1220" t="str">
            <v>소         계</v>
          </cell>
          <cell r="H1220">
            <v>1274</v>
          </cell>
          <cell r="I1220" t="str">
            <v>ⓒ</v>
          </cell>
        </row>
        <row r="1222">
          <cell r="A1222" t="str">
            <v>64재   료   비</v>
          </cell>
          <cell r="B1222" t="str">
            <v>재   료   비</v>
          </cell>
          <cell r="D1222" t="str">
            <v>ⓐ</v>
          </cell>
          <cell r="H1222">
            <v>420000</v>
          </cell>
        </row>
        <row r="1223">
          <cell r="A1223" t="str">
            <v>64노   무   비</v>
          </cell>
          <cell r="B1223" t="str">
            <v>노   무   비</v>
          </cell>
          <cell r="D1223" t="str">
            <v>ⓑ</v>
          </cell>
          <cell r="H1223">
            <v>60687</v>
          </cell>
        </row>
        <row r="1224">
          <cell r="A1224" t="str">
            <v>64경        비</v>
          </cell>
          <cell r="B1224" t="str">
            <v>경        비</v>
          </cell>
          <cell r="D1224" t="str">
            <v>ⓒ</v>
          </cell>
          <cell r="H1224">
            <v>1274</v>
          </cell>
        </row>
        <row r="1225">
          <cell r="B1225" t="str">
            <v>계</v>
          </cell>
          <cell r="H1225">
            <v>481961</v>
          </cell>
        </row>
        <row r="1228">
          <cell r="B1228">
            <v>65</v>
          </cell>
          <cell r="C1228" t="str">
            <v xml:space="preserve"> 전화단자함</v>
          </cell>
          <cell r="D1228" t="str">
            <v xml:space="preserve">  10P</v>
          </cell>
          <cell r="E1228" t="str">
            <v>개</v>
          </cell>
          <cell r="F1228">
            <v>1</v>
          </cell>
        </row>
        <row r="1229">
          <cell r="C1229" t="str">
            <v>가, 재료비</v>
          </cell>
        </row>
        <row r="1230">
          <cell r="A1230" t="str">
            <v xml:space="preserve"> 전화단자함 10P</v>
          </cell>
          <cell r="C1230" t="str">
            <v xml:space="preserve"> 전화단자함</v>
          </cell>
          <cell r="D1230" t="str">
            <v xml:space="preserve"> 10P</v>
          </cell>
          <cell r="E1230" t="str">
            <v>개</v>
          </cell>
          <cell r="F1230">
            <v>1</v>
          </cell>
          <cell r="G1230">
            <v>70000</v>
          </cell>
          <cell r="H1230">
            <v>70000</v>
          </cell>
          <cell r="I1230">
            <v>0</v>
          </cell>
        </row>
        <row r="1231">
          <cell r="B1231" t="str">
            <v>소         계</v>
          </cell>
          <cell r="H1231">
            <v>70000</v>
          </cell>
          <cell r="I1231" t="str">
            <v>ⓐ</v>
          </cell>
        </row>
        <row r="1232">
          <cell r="C1232" t="str">
            <v>나, 노무비</v>
          </cell>
        </row>
        <row r="1233">
          <cell r="A1233" t="str">
            <v>65 통신내선공</v>
          </cell>
          <cell r="C1233" t="str">
            <v xml:space="preserve"> 통신내선공</v>
          </cell>
          <cell r="E1233" t="str">
            <v>인</v>
          </cell>
          <cell r="F1233">
            <v>0.34</v>
          </cell>
          <cell r="G1233">
            <v>63738</v>
          </cell>
          <cell r="H1233">
            <v>21670.9</v>
          </cell>
          <cell r="I1233" t="str">
            <v>기본,통신 3-30</v>
          </cell>
        </row>
        <row r="1234">
          <cell r="A1234" t="str">
            <v>65 보통인부</v>
          </cell>
          <cell r="C1234" t="str">
            <v xml:space="preserve"> 보통인부</v>
          </cell>
          <cell r="E1234" t="str">
            <v>인</v>
          </cell>
          <cell r="F1234">
            <v>0.17</v>
          </cell>
          <cell r="G1234">
            <v>34098</v>
          </cell>
          <cell r="H1234">
            <v>5796.6</v>
          </cell>
          <cell r="I1234" t="str">
            <v>기본,통신 3-30</v>
          </cell>
        </row>
        <row r="1235">
          <cell r="B1235" t="str">
            <v>소         계</v>
          </cell>
          <cell r="H1235">
            <v>27467</v>
          </cell>
          <cell r="I1235" t="str">
            <v>ⓑ</v>
          </cell>
        </row>
        <row r="1236">
          <cell r="C1236" t="str">
            <v>다, 기계경비</v>
          </cell>
        </row>
        <row r="1237">
          <cell r="C1237" t="str">
            <v xml:space="preserve"> 통신내선공</v>
          </cell>
          <cell r="E1237" t="str">
            <v>인</v>
          </cell>
          <cell r="F1237">
            <v>0.01</v>
          </cell>
          <cell r="G1237">
            <v>63738</v>
          </cell>
          <cell r="H1237">
            <v>637.29999999999995</v>
          </cell>
        </row>
        <row r="1238">
          <cell r="B1238" t="str">
            <v>소         계</v>
          </cell>
          <cell r="H1238">
            <v>637</v>
          </cell>
          <cell r="I1238" t="str">
            <v>ⓒ</v>
          </cell>
        </row>
        <row r="1240">
          <cell r="A1240" t="str">
            <v>65재   료   비</v>
          </cell>
          <cell r="B1240" t="str">
            <v>재   료   비</v>
          </cell>
          <cell r="D1240" t="str">
            <v>ⓐ</v>
          </cell>
          <cell r="H1240">
            <v>70000</v>
          </cell>
        </row>
        <row r="1241">
          <cell r="A1241" t="str">
            <v>65노   무   비</v>
          </cell>
          <cell r="B1241" t="str">
            <v>노   무   비</v>
          </cell>
          <cell r="D1241" t="str">
            <v>ⓑ</v>
          </cell>
          <cell r="H1241">
            <v>27467</v>
          </cell>
        </row>
        <row r="1242">
          <cell r="A1242" t="str">
            <v>65경        비</v>
          </cell>
          <cell r="B1242" t="str">
            <v>경        비</v>
          </cell>
          <cell r="D1242" t="str">
            <v>ⓒ</v>
          </cell>
          <cell r="H1242">
            <v>637</v>
          </cell>
        </row>
        <row r="1243">
          <cell r="B1243" t="str">
            <v>계</v>
          </cell>
          <cell r="H1243">
            <v>98104</v>
          </cell>
        </row>
        <row r="1246">
          <cell r="B1246">
            <v>66</v>
          </cell>
          <cell r="C1246" t="str">
            <v xml:space="preserve"> 전화단자함</v>
          </cell>
          <cell r="D1246" t="str">
            <v xml:space="preserve">  20P</v>
          </cell>
          <cell r="E1246" t="str">
            <v>개</v>
          </cell>
          <cell r="F1246">
            <v>1</v>
          </cell>
        </row>
        <row r="1247">
          <cell r="C1247" t="str">
            <v>가, 재료비</v>
          </cell>
        </row>
        <row r="1248">
          <cell r="A1248" t="str">
            <v xml:space="preserve"> 전화단자함 20P</v>
          </cell>
          <cell r="C1248" t="str">
            <v xml:space="preserve"> 전화단자함</v>
          </cell>
          <cell r="D1248" t="str">
            <v xml:space="preserve"> 20P</v>
          </cell>
          <cell r="E1248" t="str">
            <v>개</v>
          </cell>
          <cell r="F1248">
            <v>1</v>
          </cell>
          <cell r="G1248">
            <v>90000</v>
          </cell>
          <cell r="H1248">
            <v>90000</v>
          </cell>
          <cell r="I1248">
            <v>0</v>
          </cell>
        </row>
        <row r="1249">
          <cell r="B1249" t="str">
            <v>소         계</v>
          </cell>
          <cell r="H1249">
            <v>90000</v>
          </cell>
          <cell r="I1249" t="str">
            <v>ⓐ</v>
          </cell>
        </row>
        <row r="1250">
          <cell r="C1250" t="str">
            <v>나, 노무비</v>
          </cell>
        </row>
        <row r="1251">
          <cell r="A1251" t="str">
            <v>66 통신내선공</v>
          </cell>
          <cell r="C1251" t="str">
            <v xml:space="preserve"> 통신내선공</v>
          </cell>
          <cell r="E1251" t="str">
            <v>인</v>
          </cell>
          <cell r="F1251">
            <v>0.36</v>
          </cell>
          <cell r="G1251">
            <v>63738</v>
          </cell>
          <cell r="H1251">
            <v>22945.599999999999</v>
          </cell>
          <cell r="I1251" t="str">
            <v>기본,통신 3-30</v>
          </cell>
        </row>
        <row r="1252">
          <cell r="A1252" t="str">
            <v>66 보통인부</v>
          </cell>
          <cell r="C1252" t="str">
            <v xml:space="preserve"> 보통인부</v>
          </cell>
          <cell r="E1252" t="str">
            <v>인</v>
          </cell>
          <cell r="F1252">
            <v>0.18</v>
          </cell>
          <cell r="G1252">
            <v>34098</v>
          </cell>
          <cell r="H1252">
            <v>6137.6</v>
          </cell>
          <cell r="I1252" t="str">
            <v>기본,통신 3-30</v>
          </cell>
        </row>
        <row r="1253">
          <cell r="B1253" t="str">
            <v>소         계</v>
          </cell>
          <cell r="H1253">
            <v>29083</v>
          </cell>
          <cell r="I1253" t="str">
            <v>ⓑ</v>
          </cell>
        </row>
        <row r="1254">
          <cell r="C1254" t="str">
            <v>다, 기계경비</v>
          </cell>
        </row>
        <row r="1255">
          <cell r="C1255" t="str">
            <v xml:space="preserve"> 통신내선공</v>
          </cell>
          <cell r="E1255" t="str">
            <v>인</v>
          </cell>
          <cell r="F1255">
            <v>0.01</v>
          </cell>
          <cell r="G1255">
            <v>63738</v>
          </cell>
          <cell r="H1255">
            <v>637.29999999999995</v>
          </cell>
        </row>
        <row r="1256">
          <cell r="B1256" t="str">
            <v>소         계</v>
          </cell>
          <cell r="H1256">
            <v>637</v>
          </cell>
          <cell r="I1256" t="str">
            <v>ⓒ</v>
          </cell>
        </row>
        <row r="1258">
          <cell r="A1258" t="str">
            <v>66재   료   비</v>
          </cell>
          <cell r="B1258" t="str">
            <v>재   료   비</v>
          </cell>
          <cell r="D1258" t="str">
            <v>ⓐ</v>
          </cell>
          <cell r="H1258">
            <v>90000</v>
          </cell>
        </row>
        <row r="1259">
          <cell r="A1259" t="str">
            <v>66노   무   비</v>
          </cell>
          <cell r="B1259" t="str">
            <v>노   무   비</v>
          </cell>
          <cell r="D1259" t="str">
            <v>ⓑ</v>
          </cell>
          <cell r="H1259">
            <v>29083</v>
          </cell>
        </row>
        <row r="1260">
          <cell r="A1260" t="str">
            <v>66경        비</v>
          </cell>
          <cell r="B1260" t="str">
            <v>경        비</v>
          </cell>
          <cell r="D1260" t="str">
            <v>ⓒ</v>
          </cell>
          <cell r="H1260">
            <v>637</v>
          </cell>
        </row>
        <row r="1261">
          <cell r="B1261" t="str">
            <v>계</v>
          </cell>
          <cell r="H1261">
            <v>119720</v>
          </cell>
        </row>
        <row r="1264">
          <cell r="B1264">
            <v>67</v>
          </cell>
          <cell r="C1264" t="str">
            <v xml:space="preserve"> 전화단자함</v>
          </cell>
          <cell r="D1264" t="str">
            <v xml:space="preserve">  30P</v>
          </cell>
          <cell r="E1264" t="str">
            <v>개</v>
          </cell>
          <cell r="F1264">
            <v>1</v>
          </cell>
        </row>
        <row r="1265">
          <cell r="C1265" t="str">
            <v>가, 재료비</v>
          </cell>
        </row>
        <row r="1266">
          <cell r="A1266" t="str">
            <v xml:space="preserve"> 전화단자함 30P</v>
          </cell>
          <cell r="C1266" t="str">
            <v xml:space="preserve"> 전화단자함</v>
          </cell>
          <cell r="D1266" t="str">
            <v xml:space="preserve"> 30P</v>
          </cell>
          <cell r="E1266" t="str">
            <v>개</v>
          </cell>
          <cell r="F1266">
            <v>1</v>
          </cell>
          <cell r="G1266">
            <v>95000</v>
          </cell>
          <cell r="H1266">
            <v>95000</v>
          </cell>
          <cell r="I1266">
            <v>0</v>
          </cell>
        </row>
        <row r="1267">
          <cell r="B1267" t="str">
            <v>소         계</v>
          </cell>
          <cell r="H1267">
            <v>95000</v>
          </cell>
          <cell r="I1267" t="str">
            <v>ⓐ</v>
          </cell>
        </row>
        <row r="1268">
          <cell r="C1268" t="str">
            <v>나, 노무비</v>
          </cell>
        </row>
        <row r="1269">
          <cell r="A1269" t="str">
            <v>67 통신내선공</v>
          </cell>
          <cell r="C1269" t="str">
            <v xml:space="preserve"> 통신내선공</v>
          </cell>
          <cell r="E1269" t="str">
            <v>인</v>
          </cell>
          <cell r="F1269">
            <v>0.65</v>
          </cell>
          <cell r="G1269">
            <v>63738</v>
          </cell>
          <cell r="H1269">
            <v>41429.699999999997</v>
          </cell>
          <cell r="I1269" t="str">
            <v>기본,통신 3-30</v>
          </cell>
        </row>
        <row r="1270">
          <cell r="A1270" t="str">
            <v>67 보통인부</v>
          </cell>
          <cell r="C1270" t="str">
            <v xml:space="preserve"> 보통인부</v>
          </cell>
          <cell r="E1270" t="str">
            <v>인</v>
          </cell>
          <cell r="F1270">
            <v>0.45</v>
          </cell>
          <cell r="G1270">
            <v>34098</v>
          </cell>
          <cell r="H1270">
            <v>15344.1</v>
          </cell>
          <cell r="I1270" t="str">
            <v>기본,통신 3-30</v>
          </cell>
        </row>
        <row r="1271">
          <cell r="B1271" t="str">
            <v>소         계</v>
          </cell>
          <cell r="H1271">
            <v>56773</v>
          </cell>
          <cell r="I1271" t="str">
            <v>ⓑ</v>
          </cell>
        </row>
        <row r="1272">
          <cell r="C1272" t="str">
            <v>다, 기계경비</v>
          </cell>
        </row>
        <row r="1273">
          <cell r="C1273" t="str">
            <v xml:space="preserve"> 통신내선공</v>
          </cell>
          <cell r="E1273" t="str">
            <v>인</v>
          </cell>
          <cell r="F1273">
            <v>1.9E-2</v>
          </cell>
          <cell r="G1273">
            <v>63738</v>
          </cell>
          <cell r="H1273">
            <v>1211</v>
          </cell>
        </row>
        <row r="1274">
          <cell r="B1274" t="str">
            <v>소         계</v>
          </cell>
          <cell r="H1274">
            <v>1211</v>
          </cell>
          <cell r="I1274" t="str">
            <v>ⓒ</v>
          </cell>
        </row>
        <row r="1276">
          <cell r="A1276" t="str">
            <v>67재   료   비</v>
          </cell>
          <cell r="B1276" t="str">
            <v>재   료   비</v>
          </cell>
          <cell r="D1276" t="str">
            <v>ⓐ</v>
          </cell>
          <cell r="H1276">
            <v>95000</v>
          </cell>
        </row>
        <row r="1277">
          <cell r="A1277" t="str">
            <v>67노   무   비</v>
          </cell>
          <cell r="B1277" t="str">
            <v>노   무   비</v>
          </cell>
          <cell r="D1277" t="str">
            <v>ⓑ</v>
          </cell>
          <cell r="H1277">
            <v>56773</v>
          </cell>
        </row>
        <row r="1278">
          <cell r="A1278" t="str">
            <v>67경        비</v>
          </cell>
          <cell r="B1278" t="str">
            <v>경        비</v>
          </cell>
          <cell r="D1278" t="str">
            <v>ⓒ</v>
          </cell>
          <cell r="H1278">
            <v>1211</v>
          </cell>
        </row>
        <row r="1279">
          <cell r="B1279" t="str">
            <v>계</v>
          </cell>
          <cell r="H1279">
            <v>152984</v>
          </cell>
        </row>
        <row r="1282">
          <cell r="B1282">
            <v>68</v>
          </cell>
          <cell r="C1282" t="str">
            <v xml:space="preserve"> 접지단자함 설치</v>
          </cell>
          <cell r="D1282" t="str">
            <v xml:space="preserve"> 450×500×150</v>
          </cell>
          <cell r="E1282" t="str">
            <v>개</v>
          </cell>
          <cell r="F1282">
            <v>1</v>
          </cell>
        </row>
        <row r="1283">
          <cell r="C1283" t="str">
            <v>가, 재료비</v>
          </cell>
        </row>
        <row r="1284">
          <cell r="A1284" t="str">
            <v xml:space="preserve"> 접지단자함(SUS)   450×500×150</v>
          </cell>
          <cell r="C1284" t="str">
            <v xml:space="preserve"> 접지단자함(SUS)  </v>
          </cell>
          <cell r="D1284" t="str">
            <v xml:space="preserve"> 450×500×150</v>
          </cell>
          <cell r="E1284" t="str">
            <v>개</v>
          </cell>
          <cell r="F1284">
            <v>1</v>
          </cell>
          <cell r="G1284">
            <v>180000</v>
          </cell>
          <cell r="H1284">
            <v>180000</v>
          </cell>
          <cell r="I1284">
            <v>0</v>
          </cell>
        </row>
        <row r="1285">
          <cell r="B1285" t="str">
            <v>소         계</v>
          </cell>
          <cell r="H1285">
            <v>180000</v>
          </cell>
          <cell r="I1285" t="str">
            <v>ⓐ</v>
          </cell>
        </row>
        <row r="1286">
          <cell r="C1286" t="str">
            <v>나, 노무비</v>
          </cell>
        </row>
        <row r="1287">
          <cell r="A1287" t="str">
            <v>68 통신내선공</v>
          </cell>
          <cell r="C1287" t="str">
            <v xml:space="preserve"> 통신내선공</v>
          </cell>
          <cell r="E1287" t="str">
            <v>인</v>
          </cell>
          <cell r="F1287">
            <v>0.95</v>
          </cell>
          <cell r="G1287">
            <v>63738</v>
          </cell>
          <cell r="H1287">
            <v>60551.1</v>
          </cell>
          <cell r="I1287" t="str">
            <v>기본,통신 3-61-라</v>
          </cell>
        </row>
        <row r="1288">
          <cell r="B1288" t="str">
            <v>소         계</v>
          </cell>
          <cell r="H1288">
            <v>60551</v>
          </cell>
          <cell r="I1288" t="str">
            <v>ⓑ</v>
          </cell>
        </row>
        <row r="1289">
          <cell r="C1289" t="str">
            <v>다, 기계경비</v>
          </cell>
        </row>
        <row r="1290">
          <cell r="C1290" t="str">
            <v xml:space="preserve"> 통신내선공</v>
          </cell>
          <cell r="E1290" t="str">
            <v>인</v>
          </cell>
          <cell r="F1290">
            <v>2.8000000000000001E-2</v>
          </cell>
          <cell r="G1290">
            <v>63738</v>
          </cell>
          <cell r="H1290">
            <v>1784.6</v>
          </cell>
        </row>
        <row r="1291">
          <cell r="B1291" t="str">
            <v>소         계</v>
          </cell>
          <cell r="H1291">
            <v>1784</v>
          </cell>
          <cell r="I1291" t="str">
            <v>ⓒ</v>
          </cell>
        </row>
        <row r="1293">
          <cell r="A1293" t="str">
            <v>68재   료   비</v>
          </cell>
          <cell r="B1293" t="str">
            <v>재   료   비</v>
          </cell>
          <cell r="D1293" t="str">
            <v>ⓐ</v>
          </cell>
          <cell r="H1293">
            <v>180000</v>
          </cell>
        </row>
        <row r="1294">
          <cell r="A1294" t="str">
            <v>68노   무   비</v>
          </cell>
          <cell r="B1294" t="str">
            <v>노   무   비</v>
          </cell>
          <cell r="D1294" t="str">
            <v>ⓑ</v>
          </cell>
          <cell r="H1294">
            <v>60551</v>
          </cell>
        </row>
        <row r="1295">
          <cell r="A1295" t="str">
            <v>68경        비</v>
          </cell>
          <cell r="B1295" t="str">
            <v>경        비</v>
          </cell>
          <cell r="D1295" t="str">
            <v>ⓒ</v>
          </cell>
          <cell r="H1295">
            <v>1784</v>
          </cell>
        </row>
        <row r="1296">
          <cell r="B1296" t="str">
            <v>계</v>
          </cell>
          <cell r="H1296">
            <v>242335</v>
          </cell>
        </row>
        <row r="1300">
          <cell r="B1300">
            <v>69</v>
          </cell>
          <cell r="C1300" t="str">
            <v xml:space="preserve"> 전화콘센트 설치</v>
          </cell>
          <cell r="D1300" t="str">
            <v xml:space="preserve"> 4P</v>
          </cell>
          <cell r="E1300" t="str">
            <v>개</v>
          </cell>
          <cell r="F1300">
            <v>1</v>
          </cell>
        </row>
        <row r="1301">
          <cell r="C1301" t="str">
            <v>가, 재료비</v>
          </cell>
        </row>
        <row r="1302">
          <cell r="A1302" t="str">
            <v xml:space="preserve"> 전화기 콘센트   4P</v>
          </cell>
          <cell r="C1302" t="str">
            <v xml:space="preserve"> 전화기 콘센트  </v>
          </cell>
          <cell r="D1302" t="str">
            <v xml:space="preserve"> 4P</v>
          </cell>
          <cell r="E1302" t="str">
            <v>개</v>
          </cell>
          <cell r="F1302">
            <v>1</v>
          </cell>
          <cell r="G1302">
            <v>560</v>
          </cell>
          <cell r="H1302">
            <v>560</v>
          </cell>
          <cell r="I1302">
            <v>0</v>
          </cell>
        </row>
        <row r="1303">
          <cell r="B1303" t="str">
            <v>소         계</v>
          </cell>
          <cell r="H1303">
            <v>560</v>
          </cell>
          <cell r="I1303" t="str">
            <v>ⓐ</v>
          </cell>
        </row>
        <row r="1304">
          <cell r="C1304" t="str">
            <v>나, 노무비</v>
          </cell>
        </row>
        <row r="1305">
          <cell r="A1305" t="str">
            <v>69 통신내선공</v>
          </cell>
          <cell r="C1305" t="str">
            <v xml:space="preserve"> 통신내선공</v>
          </cell>
          <cell r="E1305" t="str">
            <v>인</v>
          </cell>
          <cell r="F1305">
            <v>7.0000000000000007E-2</v>
          </cell>
          <cell r="G1305">
            <v>63738</v>
          </cell>
          <cell r="H1305">
            <v>4461.6000000000004</v>
          </cell>
          <cell r="I1305" t="str">
            <v>기본×콘센트미설치,통신 3-29</v>
          </cell>
        </row>
        <row r="1306">
          <cell r="B1306" t="str">
            <v>소         계</v>
          </cell>
          <cell r="H1306">
            <v>4461</v>
          </cell>
          <cell r="I1306" t="str">
            <v>ⓑ</v>
          </cell>
        </row>
        <row r="1307">
          <cell r="C1307" t="str">
            <v>다, 기계경비</v>
          </cell>
        </row>
        <row r="1308">
          <cell r="C1308" t="str">
            <v xml:space="preserve"> 통신내선공</v>
          </cell>
          <cell r="E1308" t="str">
            <v>인</v>
          </cell>
          <cell r="F1308">
            <v>2E-3</v>
          </cell>
          <cell r="G1308">
            <v>63738</v>
          </cell>
          <cell r="H1308">
            <v>127.4</v>
          </cell>
        </row>
        <row r="1309">
          <cell r="B1309" t="str">
            <v>소         계</v>
          </cell>
          <cell r="H1309">
            <v>127</v>
          </cell>
          <cell r="I1309" t="str">
            <v>ⓒ</v>
          </cell>
        </row>
        <row r="1311">
          <cell r="A1311" t="str">
            <v>69재   료   비</v>
          </cell>
          <cell r="B1311" t="str">
            <v>재   료   비</v>
          </cell>
          <cell r="D1311" t="str">
            <v>ⓐ</v>
          </cell>
          <cell r="H1311">
            <v>560</v>
          </cell>
        </row>
        <row r="1312">
          <cell r="A1312" t="str">
            <v>69노   무   비</v>
          </cell>
          <cell r="B1312" t="str">
            <v>노   무   비</v>
          </cell>
          <cell r="D1312" t="str">
            <v>ⓑ</v>
          </cell>
          <cell r="H1312">
            <v>4461</v>
          </cell>
        </row>
        <row r="1313">
          <cell r="A1313" t="str">
            <v>69경        비</v>
          </cell>
          <cell r="B1313" t="str">
            <v>경        비</v>
          </cell>
          <cell r="D1313" t="str">
            <v>ⓒ</v>
          </cell>
          <cell r="H1313">
            <v>127</v>
          </cell>
        </row>
        <row r="1314">
          <cell r="B1314" t="str">
            <v>계</v>
          </cell>
          <cell r="H1314">
            <v>5148</v>
          </cell>
        </row>
        <row r="1318">
          <cell r="B1318">
            <v>70</v>
          </cell>
          <cell r="C1318" t="str">
            <v xml:space="preserve"> 스위치 BOX 설치</v>
          </cell>
          <cell r="D1318" t="str">
            <v xml:space="preserve"> 벽부형</v>
          </cell>
          <cell r="E1318" t="str">
            <v>개</v>
          </cell>
          <cell r="F1318">
            <v>1</v>
          </cell>
        </row>
        <row r="1319">
          <cell r="C1319" t="str">
            <v>가, 재료비</v>
          </cell>
        </row>
        <row r="1320">
          <cell r="A1320" t="str">
            <v xml:space="preserve"> 스위치박스   2개용 54㎜</v>
          </cell>
          <cell r="C1320" t="str">
            <v xml:space="preserve"> 스위치박스  </v>
          </cell>
          <cell r="D1320" t="str">
            <v xml:space="preserve"> 2개용 54㎜</v>
          </cell>
          <cell r="E1320" t="str">
            <v>개</v>
          </cell>
          <cell r="F1320">
            <v>1</v>
          </cell>
          <cell r="G1320">
            <v>660</v>
          </cell>
          <cell r="H1320">
            <v>660</v>
          </cell>
          <cell r="I1320">
            <v>0</v>
          </cell>
        </row>
        <row r="1321">
          <cell r="A1321" t="str">
            <v xml:space="preserve"> 박스커버-4각   2개용S/W (평)</v>
          </cell>
          <cell r="C1321" t="str">
            <v xml:space="preserve"> 박스커버-4각  </v>
          </cell>
          <cell r="D1321" t="str">
            <v xml:space="preserve"> 2개용S/W (평)</v>
          </cell>
          <cell r="E1321" t="str">
            <v>개</v>
          </cell>
          <cell r="F1321">
            <v>1</v>
          </cell>
          <cell r="G1321">
            <v>190</v>
          </cell>
          <cell r="H1321">
            <v>190</v>
          </cell>
          <cell r="I1321">
            <v>0</v>
          </cell>
        </row>
        <row r="1322">
          <cell r="B1322" t="str">
            <v>소         계</v>
          </cell>
          <cell r="H1322">
            <v>850</v>
          </cell>
          <cell r="I1322" t="str">
            <v>ⓐ</v>
          </cell>
        </row>
        <row r="1323">
          <cell r="C1323" t="str">
            <v>나, 노무비</v>
          </cell>
        </row>
        <row r="1324">
          <cell r="A1324" t="str">
            <v>70 통신내선공</v>
          </cell>
          <cell r="C1324" t="str">
            <v xml:space="preserve"> 통신내선공</v>
          </cell>
          <cell r="E1324" t="str">
            <v>인</v>
          </cell>
          <cell r="F1324">
            <v>0.2</v>
          </cell>
          <cell r="G1324">
            <v>63738</v>
          </cell>
          <cell r="H1324">
            <v>12747.6</v>
          </cell>
          <cell r="I1324" t="str">
            <v>기본,통신 3-61-다</v>
          </cell>
        </row>
        <row r="1325">
          <cell r="B1325" t="str">
            <v>소         계</v>
          </cell>
          <cell r="H1325">
            <v>12747</v>
          </cell>
          <cell r="I1325" t="str">
            <v>ⓑ</v>
          </cell>
        </row>
        <row r="1326">
          <cell r="C1326" t="str">
            <v>다, 기계경비</v>
          </cell>
        </row>
        <row r="1327">
          <cell r="C1327" t="str">
            <v xml:space="preserve"> 통신내선공</v>
          </cell>
          <cell r="E1327" t="str">
            <v>인</v>
          </cell>
          <cell r="F1327">
            <v>6.0000000000000001E-3</v>
          </cell>
          <cell r="G1327">
            <v>63738</v>
          </cell>
          <cell r="H1327">
            <v>382.4</v>
          </cell>
        </row>
        <row r="1328">
          <cell r="B1328" t="str">
            <v>소         계</v>
          </cell>
          <cell r="H1328">
            <v>382</v>
          </cell>
          <cell r="I1328" t="str">
            <v>ⓒ</v>
          </cell>
        </row>
        <row r="1330">
          <cell r="A1330" t="str">
            <v>70재   료   비</v>
          </cell>
          <cell r="B1330" t="str">
            <v>재   료   비</v>
          </cell>
          <cell r="D1330" t="str">
            <v>ⓐ</v>
          </cell>
          <cell r="H1330">
            <v>850</v>
          </cell>
        </row>
        <row r="1331">
          <cell r="A1331" t="str">
            <v>70노   무   비</v>
          </cell>
          <cell r="B1331" t="str">
            <v>노   무   비</v>
          </cell>
          <cell r="D1331" t="str">
            <v>ⓑ</v>
          </cell>
          <cell r="H1331">
            <v>12747</v>
          </cell>
        </row>
        <row r="1332">
          <cell r="A1332" t="str">
            <v>70경        비</v>
          </cell>
          <cell r="B1332" t="str">
            <v>경        비</v>
          </cell>
          <cell r="D1332" t="str">
            <v>ⓒ</v>
          </cell>
          <cell r="H1332">
            <v>382</v>
          </cell>
        </row>
        <row r="1333">
          <cell r="B1333" t="str">
            <v>계</v>
          </cell>
          <cell r="H1333">
            <v>13979</v>
          </cell>
        </row>
        <row r="1336">
          <cell r="B1336">
            <v>71</v>
          </cell>
          <cell r="C1336" t="str">
            <v xml:space="preserve"> OUTLET BOX 설치</v>
          </cell>
          <cell r="D1336" t="str">
            <v xml:space="preserve"> 중형 4각 54mm</v>
          </cell>
          <cell r="E1336" t="str">
            <v>개</v>
          </cell>
          <cell r="F1336">
            <v>1</v>
          </cell>
        </row>
        <row r="1337">
          <cell r="C1337" t="str">
            <v>가, 재료비</v>
          </cell>
        </row>
        <row r="1338">
          <cell r="A1338" t="str">
            <v xml:space="preserve"> 아우트레트박스  중형 4각 54㎜</v>
          </cell>
          <cell r="C1338" t="str">
            <v xml:space="preserve"> 아우트레트박스 </v>
          </cell>
          <cell r="D1338" t="str">
            <v xml:space="preserve"> 중형 4각 54㎜</v>
          </cell>
          <cell r="E1338" t="str">
            <v>개</v>
          </cell>
          <cell r="F1338">
            <v>1</v>
          </cell>
          <cell r="G1338">
            <v>660</v>
          </cell>
          <cell r="H1338">
            <v>660</v>
          </cell>
          <cell r="I1338">
            <v>0</v>
          </cell>
        </row>
        <row r="1339">
          <cell r="A1339" t="str">
            <v xml:space="preserve"> 박스커버-4각   둥근구멍(평)</v>
          </cell>
          <cell r="C1339" t="str">
            <v xml:space="preserve"> 박스커버-4각  </v>
          </cell>
          <cell r="D1339" t="str">
            <v xml:space="preserve"> 둥근구멍(평)</v>
          </cell>
          <cell r="E1339" t="str">
            <v>개</v>
          </cell>
          <cell r="F1339">
            <v>1</v>
          </cell>
          <cell r="G1339">
            <v>190</v>
          </cell>
          <cell r="H1339">
            <v>190</v>
          </cell>
          <cell r="I1339">
            <v>0</v>
          </cell>
        </row>
        <row r="1340">
          <cell r="B1340" t="str">
            <v>소         계</v>
          </cell>
          <cell r="H1340">
            <v>850</v>
          </cell>
          <cell r="I1340" t="str">
            <v>ⓐ</v>
          </cell>
        </row>
        <row r="1341">
          <cell r="C1341" t="str">
            <v>나, 노무비</v>
          </cell>
        </row>
        <row r="1342">
          <cell r="A1342" t="str">
            <v>71 통신내선공</v>
          </cell>
          <cell r="C1342" t="str">
            <v xml:space="preserve"> 통신내선공</v>
          </cell>
          <cell r="E1342" t="str">
            <v>인</v>
          </cell>
          <cell r="F1342">
            <v>0.24</v>
          </cell>
          <cell r="G1342">
            <v>63738</v>
          </cell>
          <cell r="H1342">
            <v>15297.1</v>
          </cell>
          <cell r="I1342" t="str">
            <v>기본×(천장노출),통신 3-61-다</v>
          </cell>
        </row>
        <row r="1343">
          <cell r="B1343" t="str">
            <v>소         계</v>
          </cell>
          <cell r="H1343">
            <v>15297</v>
          </cell>
          <cell r="I1343" t="str">
            <v>ⓑ</v>
          </cell>
        </row>
        <row r="1344">
          <cell r="C1344" t="str">
            <v>다, 기계경비</v>
          </cell>
        </row>
        <row r="1345">
          <cell r="C1345" t="str">
            <v xml:space="preserve"> 통신내선공</v>
          </cell>
          <cell r="E1345" t="str">
            <v>인</v>
          </cell>
          <cell r="F1345">
            <v>7.0000000000000001E-3</v>
          </cell>
          <cell r="G1345">
            <v>63738</v>
          </cell>
          <cell r="H1345">
            <v>446.1</v>
          </cell>
        </row>
        <row r="1346">
          <cell r="B1346" t="str">
            <v>소         계</v>
          </cell>
          <cell r="H1346">
            <v>446</v>
          </cell>
          <cell r="I1346" t="str">
            <v>ⓒ</v>
          </cell>
        </row>
        <row r="1348">
          <cell r="A1348" t="str">
            <v>71재   료   비</v>
          </cell>
          <cell r="B1348" t="str">
            <v>재   료   비</v>
          </cell>
          <cell r="D1348" t="str">
            <v>ⓐ</v>
          </cell>
          <cell r="H1348">
            <v>850</v>
          </cell>
        </row>
        <row r="1349">
          <cell r="A1349" t="str">
            <v>71노   무   비</v>
          </cell>
          <cell r="B1349" t="str">
            <v>노   무   비</v>
          </cell>
          <cell r="D1349" t="str">
            <v>ⓑ</v>
          </cell>
          <cell r="H1349">
            <v>15297</v>
          </cell>
        </row>
        <row r="1350">
          <cell r="A1350" t="str">
            <v>71경        비</v>
          </cell>
          <cell r="B1350" t="str">
            <v>경        비</v>
          </cell>
          <cell r="D1350" t="str">
            <v>ⓒ</v>
          </cell>
          <cell r="H1350">
            <v>446</v>
          </cell>
        </row>
        <row r="1351">
          <cell r="B1351" t="str">
            <v>계</v>
          </cell>
          <cell r="H1351">
            <v>16593</v>
          </cell>
        </row>
        <row r="1354">
          <cell r="B1354">
            <v>72</v>
          </cell>
          <cell r="C1354" t="str">
            <v xml:space="preserve"> 노줄박스 설치</v>
          </cell>
          <cell r="D1354" t="str">
            <v xml:space="preserve"> 400×200×100</v>
          </cell>
          <cell r="E1354" t="str">
            <v>개</v>
          </cell>
          <cell r="F1354">
            <v>1</v>
          </cell>
        </row>
        <row r="1355">
          <cell r="C1355" t="str">
            <v>가, 재료비</v>
          </cell>
        </row>
        <row r="1356">
          <cell r="A1356" t="str">
            <v xml:space="preserve"> 노줄박스 설치 400×200×100</v>
          </cell>
          <cell r="C1356" t="str">
            <v xml:space="preserve"> 노줄박스 설치</v>
          </cell>
          <cell r="D1356" t="str">
            <v xml:space="preserve"> 400×200×100</v>
          </cell>
          <cell r="E1356" t="str">
            <v>대</v>
          </cell>
          <cell r="F1356">
            <v>1</v>
          </cell>
          <cell r="G1356">
            <v>128800</v>
          </cell>
          <cell r="H1356">
            <v>128800</v>
          </cell>
          <cell r="I1356">
            <v>0</v>
          </cell>
        </row>
        <row r="1357">
          <cell r="B1357" t="str">
            <v>소         계</v>
          </cell>
          <cell r="H1357">
            <v>128800</v>
          </cell>
          <cell r="I1357" t="str">
            <v>ⓐ</v>
          </cell>
        </row>
        <row r="1358">
          <cell r="C1358" t="str">
            <v>나, 노무비</v>
          </cell>
        </row>
        <row r="1359">
          <cell r="A1359" t="str">
            <v>72 통신내선공</v>
          </cell>
          <cell r="C1359" t="str">
            <v xml:space="preserve"> 통신내선공</v>
          </cell>
          <cell r="E1359" t="str">
            <v>인</v>
          </cell>
          <cell r="F1359">
            <v>0.2</v>
          </cell>
          <cell r="G1359">
            <v>63738</v>
          </cell>
          <cell r="H1359">
            <v>12747.6</v>
          </cell>
          <cell r="I1359" t="str">
            <v>기본,통신 3-61-다</v>
          </cell>
        </row>
        <row r="1360">
          <cell r="B1360" t="str">
            <v>소         계</v>
          </cell>
          <cell r="H1360">
            <v>12747</v>
          </cell>
          <cell r="I1360" t="str">
            <v>ⓑ</v>
          </cell>
        </row>
        <row r="1361">
          <cell r="C1361" t="str">
            <v>다, 기계경비</v>
          </cell>
        </row>
        <row r="1362">
          <cell r="C1362" t="str">
            <v xml:space="preserve"> 통신내선공</v>
          </cell>
          <cell r="E1362" t="str">
            <v>인</v>
          </cell>
          <cell r="F1362">
            <v>6.0000000000000001E-3</v>
          </cell>
          <cell r="G1362">
            <v>63738</v>
          </cell>
          <cell r="H1362">
            <v>382.4</v>
          </cell>
        </row>
        <row r="1363">
          <cell r="B1363" t="str">
            <v>소         계</v>
          </cell>
          <cell r="H1363">
            <v>382</v>
          </cell>
          <cell r="I1363" t="str">
            <v>ⓒ</v>
          </cell>
        </row>
        <row r="1365">
          <cell r="A1365" t="str">
            <v>72재   료   비</v>
          </cell>
          <cell r="B1365" t="str">
            <v>재   료   비</v>
          </cell>
          <cell r="D1365" t="str">
            <v>ⓐ</v>
          </cell>
          <cell r="H1365">
            <v>128800</v>
          </cell>
        </row>
        <row r="1366">
          <cell r="A1366" t="str">
            <v>72노   무   비</v>
          </cell>
          <cell r="B1366" t="str">
            <v>노   무   비</v>
          </cell>
          <cell r="D1366" t="str">
            <v>ⓑ</v>
          </cell>
          <cell r="H1366">
            <v>12747</v>
          </cell>
        </row>
        <row r="1367">
          <cell r="A1367" t="str">
            <v>72경        비</v>
          </cell>
          <cell r="B1367" t="str">
            <v>경        비</v>
          </cell>
          <cell r="D1367" t="str">
            <v>ⓒ</v>
          </cell>
          <cell r="H1367">
            <v>382</v>
          </cell>
        </row>
        <row r="1368">
          <cell r="B1368" t="str">
            <v>계</v>
          </cell>
          <cell r="H1368">
            <v>141929</v>
          </cell>
        </row>
        <row r="1372">
          <cell r="B1372">
            <v>73</v>
          </cell>
          <cell r="C1372" t="str">
            <v xml:space="preserve"> 케이블 랙 설치</v>
          </cell>
          <cell r="D1372" t="str">
            <v xml:space="preserve"> W : 150</v>
          </cell>
          <cell r="E1372" t="str">
            <v>m</v>
          </cell>
          <cell r="F1372">
            <v>1</v>
          </cell>
        </row>
        <row r="1373">
          <cell r="C1373" t="str">
            <v>가, 재료비</v>
          </cell>
        </row>
        <row r="1374">
          <cell r="A1374" t="str">
            <v xml:space="preserve"> 케이블 랙 W : 150</v>
          </cell>
          <cell r="C1374" t="str">
            <v xml:space="preserve"> 케이블 랙</v>
          </cell>
          <cell r="D1374" t="str">
            <v xml:space="preserve"> W : 150</v>
          </cell>
          <cell r="E1374" t="str">
            <v>m</v>
          </cell>
          <cell r="F1374">
            <v>1</v>
          </cell>
          <cell r="G1374">
            <v>10250</v>
          </cell>
          <cell r="H1374">
            <v>10250</v>
          </cell>
          <cell r="I1374">
            <v>0</v>
          </cell>
        </row>
        <row r="1375">
          <cell r="B1375" t="str">
            <v>소         계</v>
          </cell>
          <cell r="H1375">
            <v>10250</v>
          </cell>
          <cell r="I1375" t="str">
            <v>ⓐ</v>
          </cell>
        </row>
        <row r="1376">
          <cell r="C1376" t="str">
            <v>나, 노무비</v>
          </cell>
        </row>
        <row r="1377">
          <cell r="A1377" t="str">
            <v>73 통신설비공</v>
          </cell>
          <cell r="C1377" t="str">
            <v xml:space="preserve"> 통신설비공</v>
          </cell>
          <cell r="E1377" t="str">
            <v>인</v>
          </cell>
          <cell r="F1377">
            <v>0.1</v>
          </cell>
          <cell r="G1377">
            <v>66296</v>
          </cell>
          <cell r="H1377">
            <v>6629.6</v>
          </cell>
          <cell r="I1377" t="str">
            <v>기본,전기 7-5</v>
          </cell>
        </row>
        <row r="1378">
          <cell r="A1378" t="str">
            <v>73 보통인부</v>
          </cell>
          <cell r="C1378" t="str">
            <v xml:space="preserve"> 보통인부</v>
          </cell>
          <cell r="E1378" t="str">
            <v>인</v>
          </cell>
          <cell r="F1378">
            <v>0.1</v>
          </cell>
          <cell r="G1378">
            <v>34098</v>
          </cell>
          <cell r="H1378">
            <v>3409.8</v>
          </cell>
          <cell r="I1378" t="str">
            <v>기본,전기 7-5</v>
          </cell>
        </row>
        <row r="1379">
          <cell r="B1379" t="str">
            <v>소         계</v>
          </cell>
          <cell r="H1379">
            <v>10039</v>
          </cell>
          <cell r="I1379" t="str">
            <v>ⓑ</v>
          </cell>
        </row>
        <row r="1380">
          <cell r="C1380" t="str">
            <v>다, 기계경비</v>
          </cell>
        </row>
        <row r="1381">
          <cell r="C1381" t="str">
            <v xml:space="preserve"> 통신설비공</v>
          </cell>
          <cell r="E1381" t="str">
            <v>인</v>
          </cell>
          <cell r="F1381">
            <v>3.0000000000000001E-3</v>
          </cell>
          <cell r="G1381">
            <v>66296</v>
          </cell>
          <cell r="H1381">
            <v>198.8</v>
          </cell>
        </row>
        <row r="1382">
          <cell r="C1382" t="str">
            <v xml:space="preserve"> 보통인부</v>
          </cell>
          <cell r="E1382" t="str">
            <v>인</v>
          </cell>
          <cell r="F1382">
            <v>3.0000000000000001E-3</v>
          </cell>
          <cell r="G1382">
            <v>34098</v>
          </cell>
          <cell r="H1382">
            <v>102.2</v>
          </cell>
        </row>
        <row r="1383">
          <cell r="B1383" t="str">
            <v>소         계</v>
          </cell>
          <cell r="H1383">
            <v>301</v>
          </cell>
          <cell r="I1383" t="str">
            <v>ⓒ</v>
          </cell>
        </row>
        <row r="1385">
          <cell r="A1385" t="str">
            <v>73재   료   비</v>
          </cell>
          <cell r="B1385" t="str">
            <v>재   료   비</v>
          </cell>
          <cell r="D1385" t="str">
            <v>ⓐ</v>
          </cell>
          <cell r="H1385">
            <v>10250</v>
          </cell>
        </row>
        <row r="1386">
          <cell r="A1386" t="str">
            <v>73노   무   비</v>
          </cell>
          <cell r="B1386" t="str">
            <v>노   무   비</v>
          </cell>
          <cell r="D1386" t="str">
            <v>ⓑ</v>
          </cell>
          <cell r="H1386">
            <v>10039</v>
          </cell>
        </row>
        <row r="1387">
          <cell r="A1387" t="str">
            <v>73경        비</v>
          </cell>
          <cell r="B1387" t="str">
            <v>경        비</v>
          </cell>
          <cell r="D1387" t="str">
            <v>ⓒ</v>
          </cell>
          <cell r="H1387">
            <v>301</v>
          </cell>
        </row>
        <row r="1388">
          <cell r="B1388" t="str">
            <v>계</v>
          </cell>
          <cell r="H1388">
            <v>20590</v>
          </cell>
        </row>
        <row r="1390">
          <cell r="B1390">
            <v>74</v>
          </cell>
          <cell r="C1390" t="str">
            <v xml:space="preserve"> 덕트 설치</v>
          </cell>
          <cell r="D1390" t="str">
            <v xml:space="preserve"> 400×150</v>
          </cell>
          <cell r="E1390" t="str">
            <v>m</v>
          </cell>
          <cell r="F1390">
            <v>1</v>
          </cell>
        </row>
        <row r="1391">
          <cell r="C1391" t="str">
            <v>가, 재료비</v>
          </cell>
        </row>
        <row r="1392">
          <cell r="A1392" t="str">
            <v xml:space="preserve"> 케이블 덕트  400×150</v>
          </cell>
          <cell r="C1392" t="str">
            <v xml:space="preserve"> 케이블 덕트 </v>
          </cell>
          <cell r="D1392" t="str">
            <v xml:space="preserve"> 400×150</v>
          </cell>
          <cell r="E1392" t="str">
            <v>m</v>
          </cell>
          <cell r="F1392">
            <v>1</v>
          </cell>
          <cell r="G1392">
            <v>32300</v>
          </cell>
          <cell r="H1392">
            <v>32300</v>
          </cell>
          <cell r="I1392">
            <v>0</v>
          </cell>
        </row>
        <row r="1393">
          <cell r="B1393" t="str">
            <v>소         계</v>
          </cell>
          <cell r="H1393">
            <v>32300</v>
          </cell>
          <cell r="I1393" t="str">
            <v>ⓐ</v>
          </cell>
        </row>
        <row r="1394">
          <cell r="C1394" t="str">
            <v>나, 노무비</v>
          </cell>
        </row>
        <row r="1395">
          <cell r="A1395" t="str">
            <v>74 내선전공</v>
          </cell>
          <cell r="C1395" t="str">
            <v xml:space="preserve"> 내선전공</v>
          </cell>
          <cell r="E1395" t="str">
            <v>인</v>
          </cell>
          <cell r="F1395">
            <v>0.6</v>
          </cell>
          <cell r="G1395">
            <v>51021</v>
          </cell>
          <cell r="H1395">
            <v>30612.6</v>
          </cell>
          <cell r="I1395" t="str">
            <v>기본,전기 7-5</v>
          </cell>
        </row>
        <row r="1396">
          <cell r="B1396" t="str">
            <v>소         계</v>
          </cell>
          <cell r="H1396">
            <v>30612</v>
          </cell>
          <cell r="I1396" t="str">
            <v>ⓑ</v>
          </cell>
        </row>
        <row r="1397">
          <cell r="C1397" t="str">
            <v>다, 기계경비</v>
          </cell>
        </row>
        <row r="1398">
          <cell r="C1398" t="str">
            <v xml:space="preserve"> 내선전공</v>
          </cell>
          <cell r="E1398" t="str">
            <v>인</v>
          </cell>
          <cell r="F1398">
            <v>1.7999999999999999E-2</v>
          </cell>
          <cell r="G1398">
            <v>51021</v>
          </cell>
          <cell r="H1398">
            <v>918.3</v>
          </cell>
        </row>
        <row r="1399">
          <cell r="B1399" t="str">
            <v>소         계</v>
          </cell>
          <cell r="H1399">
            <v>918</v>
          </cell>
          <cell r="I1399" t="str">
            <v>ⓒ</v>
          </cell>
        </row>
        <row r="1401">
          <cell r="A1401" t="str">
            <v>74재   료   비</v>
          </cell>
          <cell r="B1401" t="str">
            <v>재   료   비</v>
          </cell>
          <cell r="D1401" t="str">
            <v>ⓐ</v>
          </cell>
          <cell r="H1401">
            <v>32300</v>
          </cell>
        </row>
        <row r="1402">
          <cell r="A1402" t="str">
            <v>74노   무   비</v>
          </cell>
          <cell r="B1402" t="str">
            <v>노   무   비</v>
          </cell>
          <cell r="D1402" t="str">
            <v>ⓑ</v>
          </cell>
          <cell r="H1402">
            <v>30612</v>
          </cell>
        </row>
        <row r="1403">
          <cell r="A1403" t="str">
            <v>74경        비</v>
          </cell>
          <cell r="B1403" t="str">
            <v>경        비</v>
          </cell>
          <cell r="D1403" t="str">
            <v>ⓒ</v>
          </cell>
          <cell r="H1403">
            <v>918</v>
          </cell>
        </row>
        <row r="1404">
          <cell r="B1404" t="str">
            <v>계</v>
          </cell>
          <cell r="H1404">
            <v>63830</v>
          </cell>
        </row>
        <row r="1408">
          <cell r="B1408">
            <v>75</v>
          </cell>
          <cell r="C1408" t="str">
            <v xml:space="preserve"> AMP 설치</v>
          </cell>
          <cell r="D1408" t="str">
            <v xml:space="preserve"> 800W</v>
          </cell>
          <cell r="E1408" t="str">
            <v>대</v>
          </cell>
          <cell r="F1408">
            <v>1</v>
          </cell>
        </row>
        <row r="1409">
          <cell r="C1409" t="str">
            <v>가, 재료비</v>
          </cell>
        </row>
        <row r="1410">
          <cell r="A1410" t="str">
            <v xml:space="preserve"> AMP  800W</v>
          </cell>
          <cell r="C1410" t="str">
            <v xml:space="preserve"> AMP </v>
          </cell>
          <cell r="D1410" t="str">
            <v xml:space="preserve"> 800W</v>
          </cell>
          <cell r="E1410" t="str">
            <v>대</v>
          </cell>
          <cell r="F1410">
            <v>1</v>
          </cell>
          <cell r="G1410">
            <v>28900000</v>
          </cell>
          <cell r="H1410">
            <v>28900000</v>
          </cell>
          <cell r="I1410">
            <v>0</v>
          </cell>
        </row>
        <row r="1411">
          <cell r="A1411" t="str">
            <v xml:space="preserve"> 충전기 48V 10A</v>
          </cell>
          <cell r="C1411" t="str">
            <v xml:space="preserve"> 충전기</v>
          </cell>
          <cell r="D1411" t="str">
            <v xml:space="preserve"> 48V 10A</v>
          </cell>
          <cell r="E1411" t="str">
            <v>대</v>
          </cell>
          <cell r="F1411">
            <v>1</v>
          </cell>
          <cell r="G1411">
            <v>2500000</v>
          </cell>
          <cell r="H1411">
            <v>2500000</v>
          </cell>
          <cell r="I1411">
            <v>0</v>
          </cell>
        </row>
        <row r="1412">
          <cell r="A1412" t="str">
            <v xml:space="preserve"> BATTERY MF 12V 50A </v>
          </cell>
          <cell r="C1412" t="str">
            <v xml:space="preserve"> BATTERY</v>
          </cell>
          <cell r="D1412" t="str">
            <v xml:space="preserve"> MF 12V 50A </v>
          </cell>
          <cell r="E1412" t="str">
            <v>개</v>
          </cell>
          <cell r="F1412">
            <v>4</v>
          </cell>
          <cell r="G1412">
            <v>85000</v>
          </cell>
          <cell r="H1412">
            <v>340000</v>
          </cell>
          <cell r="I1412">
            <v>0</v>
          </cell>
        </row>
        <row r="1413">
          <cell r="B1413" t="str">
            <v>소         계</v>
          </cell>
          <cell r="H1413">
            <v>31740000</v>
          </cell>
          <cell r="I1413" t="str">
            <v>ⓐ</v>
          </cell>
        </row>
        <row r="1414">
          <cell r="C1414" t="str">
            <v>나, 노무비</v>
          </cell>
        </row>
        <row r="1415">
          <cell r="A1415" t="str">
            <v>75 통신기사 2급</v>
          </cell>
          <cell r="C1415" t="str">
            <v xml:space="preserve"> 통신기사 2급</v>
          </cell>
          <cell r="E1415" t="str">
            <v>인</v>
          </cell>
          <cell r="F1415">
            <v>1.8</v>
          </cell>
          <cell r="G1415">
            <v>78519</v>
          </cell>
          <cell r="H1415">
            <v>141334.20000000001</v>
          </cell>
          <cell r="I1415" t="str">
            <v>기본,통신 3-29</v>
          </cell>
        </row>
        <row r="1416">
          <cell r="A1416" t="str">
            <v>75 통신설비공</v>
          </cell>
          <cell r="C1416" t="str">
            <v xml:space="preserve"> 통신설비공</v>
          </cell>
          <cell r="E1416" t="str">
            <v>인</v>
          </cell>
          <cell r="F1416">
            <v>5</v>
          </cell>
          <cell r="G1416">
            <v>66296</v>
          </cell>
          <cell r="H1416">
            <v>331480</v>
          </cell>
        </row>
        <row r="1417">
          <cell r="A1417" t="str">
            <v>75 플랜트전공</v>
          </cell>
          <cell r="C1417" t="str">
            <v xml:space="preserve"> 플랜트전공</v>
          </cell>
          <cell r="E1417" t="str">
            <v>인</v>
          </cell>
          <cell r="F1417">
            <v>3.93</v>
          </cell>
          <cell r="G1417">
            <v>54503</v>
          </cell>
          <cell r="H1417">
            <v>214196.7</v>
          </cell>
        </row>
        <row r="1418">
          <cell r="A1418" t="str">
            <v>75 보통인부</v>
          </cell>
          <cell r="C1418" t="str">
            <v xml:space="preserve"> 보통인부</v>
          </cell>
          <cell r="E1418" t="str">
            <v>인</v>
          </cell>
          <cell r="F1418">
            <v>4.45</v>
          </cell>
          <cell r="G1418">
            <v>34098</v>
          </cell>
          <cell r="H1418">
            <v>151736.1</v>
          </cell>
        </row>
        <row r="1419">
          <cell r="B1419" t="str">
            <v>소         계</v>
          </cell>
          <cell r="H1419">
            <v>838747</v>
          </cell>
          <cell r="I1419" t="str">
            <v>ⓑ</v>
          </cell>
        </row>
        <row r="1421">
          <cell r="C1421" t="str">
            <v xml:space="preserve"> 통신기사 2급</v>
          </cell>
          <cell r="E1421" t="str">
            <v>인</v>
          </cell>
          <cell r="F1421">
            <v>5.3999999999999999E-2</v>
          </cell>
          <cell r="G1421">
            <v>78519</v>
          </cell>
          <cell r="H1421">
            <v>4240</v>
          </cell>
        </row>
        <row r="1422">
          <cell r="C1422" t="str">
            <v xml:space="preserve"> 통신설비공</v>
          </cell>
          <cell r="E1422" t="str">
            <v>인</v>
          </cell>
          <cell r="F1422">
            <v>0.15</v>
          </cell>
          <cell r="G1422">
            <v>66296</v>
          </cell>
          <cell r="H1422">
            <v>9944.4</v>
          </cell>
        </row>
        <row r="1423">
          <cell r="C1423" t="str">
            <v xml:space="preserve"> 플랜트전공</v>
          </cell>
          <cell r="E1423" t="str">
            <v>인</v>
          </cell>
          <cell r="F1423">
            <v>0.11700000000000001</v>
          </cell>
          <cell r="G1423">
            <v>54503</v>
          </cell>
          <cell r="H1423">
            <v>6376.8</v>
          </cell>
        </row>
        <row r="1424">
          <cell r="C1424" t="str">
            <v xml:space="preserve"> 보통인부</v>
          </cell>
          <cell r="E1424" t="str">
            <v>인</v>
          </cell>
          <cell r="F1424">
            <v>0.13300000000000001</v>
          </cell>
          <cell r="G1424">
            <v>34098</v>
          </cell>
          <cell r="H1424">
            <v>4535</v>
          </cell>
        </row>
        <row r="1425">
          <cell r="B1425" t="str">
            <v>소         계</v>
          </cell>
          <cell r="H1425">
            <v>25096</v>
          </cell>
          <cell r="I1425" t="str">
            <v>ⓒ</v>
          </cell>
        </row>
        <row r="1426">
          <cell r="A1426" t="str">
            <v>75재   료   비</v>
          </cell>
          <cell r="B1426" t="str">
            <v>재   료   비</v>
          </cell>
          <cell r="D1426" t="str">
            <v>ⓐ</v>
          </cell>
          <cell r="H1426">
            <v>31740000</v>
          </cell>
        </row>
        <row r="1427">
          <cell r="A1427" t="str">
            <v>75노   무   비</v>
          </cell>
          <cell r="B1427" t="str">
            <v>노   무   비</v>
          </cell>
          <cell r="D1427" t="str">
            <v>ⓑ</v>
          </cell>
          <cell r="H1427">
            <v>838747</v>
          </cell>
        </row>
        <row r="1428">
          <cell r="A1428" t="str">
            <v>75경        비</v>
          </cell>
          <cell r="B1428" t="str">
            <v>경        비</v>
          </cell>
          <cell r="D1428" t="str">
            <v>ⓒ</v>
          </cell>
          <cell r="H1428">
            <v>25096</v>
          </cell>
        </row>
        <row r="1429">
          <cell r="B1429" t="str">
            <v>계</v>
          </cell>
          <cell r="H1429">
            <v>32603843</v>
          </cell>
        </row>
        <row r="1444">
          <cell r="B1444">
            <v>76</v>
          </cell>
          <cell r="C1444" t="str">
            <v xml:space="preserve"> AMP(음성증폭기) 설치</v>
          </cell>
          <cell r="D1444" t="str">
            <v xml:space="preserve"> 창구용(5CH)</v>
          </cell>
          <cell r="E1444" t="str">
            <v>대</v>
          </cell>
          <cell r="F1444">
            <v>1</v>
          </cell>
        </row>
        <row r="1445">
          <cell r="C1445" t="str">
            <v>가, 재료비</v>
          </cell>
        </row>
        <row r="1446">
          <cell r="A1446" t="str">
            <v xml:space="preserve"> AMP(음성증폭기)  창구용(5CH)</v>
          </cell>
          <cell r="C1446" t="str">
            <v xml:space="preserve"> AMP(음성증폭기) </v>
          </cell>
          <cell r="D1446" t="str">
            <v xml:space="preserve"> 창구용(5CH)</v>
          </cell>
          <cell r="E1446" t="str">
            <v>대</v>
          </cell>
          <cell r="F1446">
            <v>1</v>
          </cell>
          <cell r="G1446">
            <v>1890000</v>
          </cell>
          <cell r="H1446">
            <v>1890000</v>
          </cell>
          <cell r="I1446">
            <v>0</v>
          </cell>
        </row>
        <row r="1447">
          <cell r="B1447" t="str">
            <v>소         계</v>
          </cell>
          <cell r="H1447">
            <v>1890000</v>
          </cell>
          <cell r="I1447" t="str">
            <v>ⓐ</v>
          </cell>
        </row>
        <row r="1448">
          <cell r="C1448" t="str">
            <v>나, 노무비</v>
          </cell>
        </row>
        <row r="1449">
          <cell r="A1449" t="str">
            <v>76 통신내선공</v>
          </cell>
          <cell r="C1449" t="str">
            <v xml:space="preserve"> 통신내선공</v>
          </cell>
          <cell r="E1449" t="str">
            <v>인</v>
          </cell>
          <cell r="F1449">
            <v>0.7</v>
          </cell>
          <cell r="G1449">
            <v>63738</v>
          </cell>
          <cell r="H1449">
            <v>44616.6</v>
          </cell>
          <cell r="I1449" t="str">
            <v>기본,통신 3-29</v>
          </cell>
        </row>
        <row r="1450">
          <cell r="B1450" t="str">
            <v>소         계</v>
          </cell>
          <cell r="H1450">
            <v>44616</v>
          </cell>
          <cell r="I1450" t="str">
            <v>ⓑ</v>
          </cell>
        </row>
        <row r="1451">
          <cell r="C1451" t="str">
            <v>다, 기계경비</v>
          </cell>
        </row>
        <row r="1452">
          <cell r="C1452" t="str">
            <v xml:space="preserve"> 통신내선공</v>
          </cell>
          <cell r="E1452" t="str">
            <v>인</v>
          </cell>
          <cell r="F1452">
            <v>2.1000000000000001E-2</v>
          </cell>
          <cell r="G1452">
            <v>63738</v>
          </cell>
          <cell r="H1452">
            <v>1338.4</v>
          </cell>
        </row>
        <row r="1453">
          <cell r="B1453" t="str">
            <v>소         계</v>
          </cell>
          <cell r="H1453">
            <v>1338</v>
          </cell>
          <cell r="I1453" t="str">
            <v>ⓒ</v>
          </cell>
        </row>
        <row r="1455">
          <cell r="A1455" t="str">
            <v>76재   료   비</v>
          </cell>
          <cell r="B1455" t="str">
            <v>재   료   비</v>
          </cell>
          <cell r="D1455" t="str">
            <v>ⓐ</v>
          </cell>
          <cell r="H1455">
            <v>1890000</v>
          </cell>
        </row>
        <row r="1456">
          <cell r="A1456" t="str">
            <v>76노   무   비</v>
          </cell>
          <cell r="B1456" t="str">
            <v>노   무   비</v>
          </cell>
          <cell r="D1456" t="str">
            <v>ⓑ</v>
          </cell>
          <cell r="H1456">
            <v>44616</v>
          </cell>
        </row>
        <row r="1457">
          <cell r="A1457" t="str">
            <v>76경        비</v>
          </cell>
          <cell r="B1457" t="str">
            <v>경        비</v>
          </cell>
          <cell r="D1457" t="str">
            <v>ⓒ</v>
          </cell>
          <cell r="H1457">
            <v>1338</v>
          </cell>
        </row>
        <row r="1458">
          <cell r="B1458" t="str">
            <v>계</v>
          </cell>
          <cell r="H1458">
            <v>1935954</v>
          </cell>
        </row>
        <row r="1462">
          <cell r="B1462">
            <v>77</v>
          </cell>
          <cell r="C1462" t="str">
            <v xml:space="preserve"> AMP 이설</v>
          </cell>
          <cell r="D1462" t="str">
            <v xml:space="preserve"> 150W</v>
          </cell>
          <cell r="E1462" t="str">
            <v>대</v>
          </cell>
          <cell r="F1462">
            <v>1</v>
          </cell>
        </row>
        <row r="1463">
          <cell r="C1463" t="str">
            <v>가, 재료비</v>
          </cell>
        </row>
        <row r="1464">
          <cell r="A1464" t="str">
            <v xml:space="preserve"> AMP  150W</v>
          </cell>
          <cell r="C1464" t="str">
            <v xml:space="preserve"> AMP </v>
          </cell>
          <cell r="D1464" t="str">
            <v xml:space="preserve"> 150W</v>
          </cell>
          <cell r="E1464" t="str">
            <v>대</v>
          </cell>
          <cell r="F1464">
            <v>1</v>
          </cell>
          <cell r="G1464">
            <v>0</v>
          </cell>
          <cell r="H1464">
            <v>0</v>
          </cell>
          <cell r="I1464">
            <v>0</v>
          </cell>
        </row>
        <row r="1465">
          <cell r="B1465" t="str">
            <v>소         계</v>
          </cell>
          <cell r="H1465">
            <v>0</v>
          </cell>
          <cell r="I1465" t="str">
            <v>ⓐ</v>
          </cell>
        </row>
        <row r="1466">
          <cell r="C1466" t="str">
            <v>나, 노무비</v>
          </cell>
        </row>
        <row r="1467">
          <cell r="A1467" t="str">
            <v>77 통신기사 2급</v>
          </cell>
          <cell r="C1467" t="str">
            <v xml:space="preserve"> 통신기사 2급</v>
          </cell>
          <cell r="E1467" t="str">
            <v>인</v>
          </cell>
          <cell r="F1467">
            <v>1.4400000000000002</v>
          </cell>
          <cell r="G1467">
            <v>78519</v>
          </cell>
          <cell r="H1467">
            <v>113067.3</v>
          </cell>
          <cell r="I1467" t="str">
            <v>기본,통신 3-29</v>
          </cell>
        </row>
        <row r="1468">
          <cell r="A1468" t="str">
            <v>77 통신설비공</v>
          </cell>
          <cell r="C1468" t="str">
            <v xml:space="preserve"> 통신설비공</v>
          </cell>
          <cell r="E1468" t="str">
            <v>인</v>
          </cell>
          <cell r="F1468">
            <v>4</v>
          </cell>
          <cell r="G1468">
            <v>66296</v>
          </cell>
          <cell r="H1468">
            <v>265184</v>
          </cell>
        </row>
        <row r="1469">
          <cell r="A1469" t="str">
            <v>77 플랜트전공</v>
          </cell>
          <cell r="C1469" t="str">
            <v xml:space="preserve"> 플랜트전공</v>
          </cell>
          <cell r="E1469" t="str">
            <v>인</v>
          </cell>
          <cell r="F1469">
            <v>3.1440000000000001</v>
          </cell>
          <cell r="G1469">
            <v>54503</v>
          </cell>
          <cell r="H1469">
            <v>171357.4</v>
          </cell>
        </row>
        <row r="1470">
          <cell r="A1470" t="str">
            <v>77 보통인부</v>
          </cell>
          <cell r="C1470" t="str">
            <v xml:space="preserve"> 보통인부</v>
          </cell>
          <cell r="E1470" t="str">
            <v>인</v>
          </cell>
          <cell r="F1470">
            <v>3.5600000000000005</v>
          </cell>
          <cell r="G1470">
            <v>34098</v>
          </cell>
          <cell r="H1470">
            <v>121388.8</v>
          </cell>
        </row>
        <row r="1471">
          <cell r="B1471" t="str">
            <v>소         계</v>
          </cell>
          <cell r="H1471">
            <v>670997</v>
          </cell>
          <cell r="I1471" t="str">
            <v>ⓑ</v>
          </cell>
        </row>
        <row r="1473">
          <cell r="C1473" t="str">
            <v xml:space="preserve"> 통신기사 2급</v>
          </cell>
          <cell r="E1473" t="str">
            <v>인</v>
          </cell>
          <cell r="F1473">
            <v>4.2999999999999997E-2</v>
          </cell>
          <cell r="G1473">
            <v>78519</v>
          </cell>
          <cell r="H1473">
            <v>3376.3</v>
          </cell>
        </row>
        <row r="1474">
          <cell r="C1474" t="str">
            <v xml:space="preserve"> 통신설비공</v>
          </cell>
          <cell r="E1474" t="str">
            <v>인</v>
          </cell>
          <cell r="F1474">
            <v>0.12</v>
          </cell>
          <cell r="G1474">
            <v>66296</v>
          </cell>
          <cell r="H1474">
            <v>7955.5</v>
          </cell>
        </row>
        <row r="1475">
          <cell r="C1475" t="str">
            <v xml:space="preserve"> 플랜트전공</v>
          </cell>
          <cell r="E1475" t="str">
            <v>인</v>
          </cell>
          <cell r="F1475">
            <v>9.4E-2</v>
          </cell>
          <cell r="G1475">
            <v>54503</v>
          </cell>
          <cell r="H1475">
            <v>5123.2</v>
          </cell>
        </row>
        <row r="1476">
          <cell r="C1476" t="str">
            <v xml:space="preserve"> 보통인부</v>
          </cell>
          <cell r="E1476" t="str">
            <v>인</v>
          </cell>
          <cell r="F1476">
            <v>0.106</v>
          </cell>
          <cell r="G1476">
            <v>34098</v>
          </cell>
          <cell r="H1476">
            <v>3614.3</v>
          </cell>
        </row>
        <row r="1477">
          <cell r="B1477" t="str">
            <v>소         계</v>
          </cell>
          <cell r="H1477">
            <v>20069</v>
          </cell>
          <cell r="I1477" t="str">
            <v>ⓒ</v>
          </cell>
        </row>
        <row r="1480">
          <cell r="A1480" t="str">
            <v>77재   료   비</v>
          </cell>
          <cell r="B1480" t="str">
            <v>재   료   비</v>
          </cell>
          <cell r="D1480" t="str">
            <v>ⓐ</v>
          </cell>
          <cell r="H1480">
            <v>0</v>
          </cell>
        </row>
        <row r="1481">
          <cell r="A1481" t="str">
            <v>77노   무   비</v>
          </cell>
          <cell r="B1481" t="str">
            <v>노   무   비</v>
          </cell>
          <cell r="D1481" t="str">
            <v>ⓑ</v>
          </cell>
          <cell r="H1481">
            <v>670997</v>
          </cell>
        </row>
        <row r="1482">
          <cell r="A1482" t="str">
            <v>77경        비</v>
          </cell>
          <cell r="B1482" t="str">
            <v>경        비</v>
          </cell>
          <cell r="D1482" t="str">
            <v>ⓒ</v>
          </cell>
          <cell r="H1482">
            <v>20069</v>
          </cell>
        </row>
        <row r="1483">
          <cell r="B1483" t="str">
            <v>계</v>
          </cell>
          <cell r="H1483">
            <v>691066</v>
          </cell>
        </row>
        <row r="1498">
          <cell r="B1498">
            <v>78</v>
          </cell>
          <cell r="C1498" t="str">
            <v xml:space="preserve"> AMP(음성증폭기) 이설</v>
          </cell>
          <cell r="D1498" t="str">
            <v xml:space="preserve"> 10W</v>
          </cell>
          <cell r="E1498" t="str">
            <v>대</v>
          </cell>
          <cell r="F1498">
            <v>1</v>
          </cell>
        </row>
        <row r="1499">
          <cell r="C1499" t="str">
            <v>가, 재료비</v>
          </cell>
        </row>
        <row r="1500">
          <cell r="A1500" t="str">
            <v xml:space="preserve"> AMP(음성증폭기)  10W</v>
          </cell>
          <cell r="C1500" t="str">
            <v xml:space="preserve"> AMP(음성증폭기) </v>
          </cell>
          <cell r="D1500" t="str">
            <v xml:space="preserve"> 10W</v>
          </cell>
          <cell r="E1500" t="str">
            <v>대</v>
          </cell>
          <cell r="F1500">
            <v>1</v>
          </cell>
          <cell r="G1500">
            <v>0</v>
          </cell>
          <cell r="H1500">
            <v>0</v>
          </cell>
          <cell r="I1500">
            <v>0</v>
          </cell>
        </row>
        <row r="1501">
          <cell r="B1501" t="str">
            <v>소         계</v>
          </cell>
          <cell r="H1501">
            <v>0</v>
          </cell>
          <cell r="I1501" t="str">
            <v>ⓐ</v>
          </cell>
        </row>
        <row r="1502">
          <cell r="C1502" t="str">
            <v>나, 노무비</v>
          </cell>
        </row>
        <row r="1503">
          <cell r="A1503" t="str">
            <v>78 통신내선공</v>
          </cell>
          <cell r="C1503" t="str">
            <v xml:space="preserve"> 통신내선공</v>
          </cell>
          <cell r="E1503" t="str">
            <v>인</v>
          </cell>
          <cell r="F1503">
            <v>0.55999999999999994</v>
          </cell>
          <cell r="G1503">
            <v>63738</v>
          </cell>
          <cell r="H1503">
            <v>35693.199999999997</v>
          </cell>
          <cell r="I1503" t="str">
            <v>기본,통신 3-29</v>
          </cell>
        </row>
        <row r="1504">
          <cell r="B1504" t="str">
            <v>소         계</v>
          </cell>
          <cell r="H1504">
            <v>35693</v>
          </cell>
          <cell r="I1504" t="str">
            <v>ⓑ</v>
          </cell>
        </row>
        <row r="1505">
          <cell r="C1505" t="str">
            <v>다, 기계경비</v>
          </cell>
        </row>
        <row r="1506">
          <cell r="C1506" t="str">
            <v xml:space="preserve"> 통신내선공</v>
          </cell>
          <cell r="E1506" t="str">
            <v>인</v>
          </cell>
          <cell r="F1506">
            <v>1.6E-2</v>
          </cell>
          <cell r="G1506">
            <v>63738</v>
          </cell>
          <cell r="H1506">
            <v>1019.8</v>
          </cell>
        </row>
        <row r="1507">
          <cell r="B1507" t="str">
            <v>소         계</v>
          </cell>
          <cell r="H1507">
            <v>1019</v>
          </cell>
          <cell r="I1507" t="str">
            <v>ⓒ</v>
          </cell>
        </row>
        <row r="1509">
          <cell r="A1509" t="str">
            <v>78재   료   비</v>
          </cell>
          <cell r="B1509" t="str">
            <v>재   료   비</v>
          </cell>
          <cell r="D1509" t="str">
            <v>ⓐ</v>
          </cell>
          <cell r="H1509">
            <v>0</v>
          </cell>
        </row>
        <row r="1510">
          <cell r="A1510" t="str">
            <v>78노   무   비</v>
          </cell>
          <cell r="B1510" t="str">
            <v>노   무   비</v>
          </cell>
          <cell r="D1510" t="str">
            <v>ⓑ</v>
          </cell>
          <cell r="H1510">
            <v>35693</v>
          </cell>
        </row>
        <row r="1511">
          <cell r="A1511" t="str">
            <v>78경        비</v>
          </cell>
          <cell r="B1511" t="str">
            <v>경        비</v>
          </cell>
          <cell r="D1511" t="str">
            <v>ⓒ</v>
          </cell>
          <cell r="H1511">
            <v>1019</v>
          </cell>
        </row>
        <row r="1512">
          <cell r="B1512" t="str">
            <v>계</v>
          </cell>
          <cell r="H1512">
            <v>36712</v>
          </cell>
        </row>
        <row r="1516">
          <cell r="B1516">
            <v>79</v>
          </cell>
          <cell r="C1516" t="str">
            <v xml:space="preserve"> 스피커 설치</v>
          </cell>
          <cell r="D1516" t="str">
            <v xml:space="preserve"> 3W (천장형,ATT)</v>
          </cell>
          <cell r="E1516" t="str">
            <v>대</v>
          </cell>
          <cell r="F1516">
            <v>1</v>
          </cell>
        </row>
        <row r="1517">
          <cell r="C1517" t="str">
            <v>가, 재료비</v>
          </cell>
        </row>
        <row r="1518">
          <cell r="A1518" t="str">
            <v xml:space="preserve"> 스피커  천정형(3W,ATT부착)</v>
          </cell>
          <cell r="C1518" t="str">
            <v xml:space="preserve"> 스피커 </v>
          </cell>
          <cell r="D1518" t="str">
            <v xml:space="preserve"> 천정형(3W,ATT부착)</v>
          </cell>
          <cell r="E1518" t="str">
            <v>개</v>
          </cell>
          <cell r="F1518">
            <v>1</v>
          </cell>
          <cell r="G1518">
            <v>26000</v>
          </cell>
          <cell r="H1518">
            <v>26000</v>
          </cell>
          <cell r="I1518">
            <v>0</v>
          </cell>
        </row>
        <row r="1519">
          <cell r="B1519" t="str">
            <v>소         계</v>
          </cell>
          <cell r="H1519">
            <v>26000</v>
          </cell>
          <cell r="I1519" t="str">
            <v>ⓐ</v>
          </cell>
        </row>
        <row r="1520">
          <cell r="C1520" t="str">
            <v>나, 노무비</v>
          </cell>
        </row>
        <row r="1521">
          <cell r="A1521" t="str">
            <v>79 통신내선공</v>
          </cell>
          <cell r="C1521" t="str">
            <v xml:space="preserve"> 통신내선공</v>
          </cell>
          <cell r="E1521" t="str">
            <v>인</v>
          </cell>
          <cell r="F1521">
            <v>0.52</v>
          </cell>
          <cell r="G1521">
            <v>63738</v>
          </cell>
          <cell r="H1521">
            <v>33143.699999999997</v>
          </cell>
          <cell r="I1521" t="str">
            <v>기본,통신 3-29</v>
          </cell>
        </row>
        <row r="1522">
          <cell r="B1522" t="str">
            <v>소         계</v>
          </cell>
          <cell r="H1522">
            <v>33143</v>
          </cell>
          <cell r="I1522" t="str">
            <v>ⓑ</v>
          </cell>
        </row>
        <row r="1523">
          <cell r="C1523" t="str">
            <v>다, 기계경비</v>
          </cell>
        </row>
        <row r="1524">
          <cell r="C1524" t="str">
            <v xml:space="preserve"> 통신내선공</v>
          </cell>
          <cell r="E1524" t="str">
            <v>인</v>
          </cell>
          <cell r="F1524">
            <v>1.4999999999999999E-2</v>
          </cell>
          <cell r="G1524">
            <v>63738</v>
          </cell>
          <cell r="H1524">
            <v>956</v>
          </cell>
        </row>
        <row r="1525">
          <cell r="B1525" t="str">
            <v>소         계</v>
          </cell>
          <cell r="H1525">
            <v>956</v>
          </cell>
          <cell r="I1525" t="str">
            <v>ⓒ</v>
          </cell>
        </row>
        <row r="1527">
          <cell r="A1527" t="str">
            <v>79재   료   비</v>
          </cell>
          <cell r="B1527" t="str">
            <v>재   료   비</v>
          </cell>
          <cell r="D1527" t="str">
            <v>ⓐ</v>
          </cell>
          <cell r="H1527">
            <v>26000</v>
          </cell>
        </row>
        <row r="1528">
          <cell r="A1528" t="str">
            <v>79노   무   비</v>
          </cell>
          <cell r="B1528" t="str">
            <v>노   무   비</v>
          </cell>
          <cell r="D1528" t="str">
            <v>ⓑ</v>
          </cell>
          <cell r="H1528">
            <v>33143</v>
          </cell>
        </row>
        <row r="1529">
          <cell r="A1529" t="str">
            <v>79경        비</v>
          </cell>
          <cell r="B1529" t="str">
            <v>경        비</v>
          </cell>
          <cell r="D1529" t="str">
            <v>ⓒ</v>
          </cell>
          <cell r="H1529">
            <v>956</v>
          </cell>
        </row>
        <row r="1530">
          <cell r="B1530" t="str">
            <v>계</v>
          </cell>
          <cell r="H1530">
            <v>60099</v>
          </cell>
        </row>
        <row r="1534">
          <cell r="B1534">
            <v>80</v>
          </cell>
          <cell r="C1534" t="str">
            <v xml:space="preserve"> 스피커 설치</v>
          </cell>
          <cell r="D1534" t="str">
            <v xml:space="preserve"> 3W (천장형)</v>
          </cell>
          <cell r="E1534" t="str">
            <v>대</v>
          </cell>
          <cell r="F1534">
            <v>1</v>
          </cell>
        </row>
        <row r="1535">
          <cell r="C1535" t="str">
            <v>가, 재료비</v>
          </cell>
        </row>
        <row r="1536">
          <cell r="A1536" t="str">
            <v xml:space="preserve"> 스피커  천정형(3W)</v>
          </cell>
          <cell r="C1536" t="str">
            <v xml:space="preserve"> 스피커 </v>
          </cell>
          <cell r="D1536" t="str">
            <v xml:space="preserve"> 천정형(3W)</v>
          </cell>
          <cell r="E1536" t="str">
            <v>개</v>
          </cell>
          <cell r="F1536">
            <v>1</v>
          </cell>
          <cell r="G1536">
            <v>18000</v>
          </cell>
          <cell r="H1536">
            <v>18000</v>
          </cell>
          <cell r="I1536">
            <v>0</v>
          </cell>
        </row>
        <row r="1537">
          <cell r="B1537" t="str">
            <v>소         계</v>
          </cell>
          <cell r="H1537">
            <v>18000</v>
          </cell>
          <cell r="I1537" t="str">
            <v>ⓐ</v>
          </cell>
        </row>
        <row r="1538">
          <cell r="C1538" t="str">
            <v>나, 노무비</v>
          </cell>
        </row>
        <row r="1539">
          <cell r="A1539" t="str">
            <v>80 통신내선공</v>
          </cell>
          <cell r="C1539" t="str">
            <v xml:space="preserve"> 통신내선공</v>
          </cell>
          <cell r="E1539" t="str">
            <v>인</v>
          </cell>
          <cell r="F1539">
            <v>0.45</v>
          </cell>
          <cell r="G1539">
            <v>63738</v>
          </cell>
          <cell r="H1539">
            <v>28682.1</v>
          </cell>
          <cell r="I1539" t="str">
            <v>기본,통신 3-29</v>
          </cell>
        </row>
        <row r="1540">
          <cell r="B1540" t="str">
            <v>소         계</v>
          </cell>
          <cell r="H1540">
            <v>28682</v>
          </cell>
          <cell r="I1540" t="str">
            <v>ⓑ</v>
          </cell>
        </row>
        <row r="1541">
          <cell r="C1541" t="str">
            <v>다, 기계경비</v>
          </cell>
        </row>
        <row r="1542">
          <cell r="C1542" t="str">
            <v xml:space="preserve"> 통신내선공</v>
          </cell>
          <cell r="E1542" t="str">
            <v>인</v>
          </cell>
          <cell r="F1542">
            <v>1.2999999999999999E-2</v>
          </cell>
          <cell r="G1542">
            <v>63738</v>
          </cell>
          <cell r="H1542">
            <v>828.5</v>
          </cell>
        </row>
        <row r="1543">
          <cell r="B1543" t="str">
            <v>소         계</v>
          </cell>
          <cell r="H1543">
            <v>828</v>
          </cell>
          <cell r="I1543" t="str">
            <v>ⓒ</v>
          </cell>
        </row>
        <row r="1545">
          <cell r="A1545" t="str">
            <v>80재   료   비</v>
          </cell>
          <cell r="B1545" t="str">
            <v>재   료   비</v>
          </cell>
          <cell r="D1545" t="str">
            <v>ⓐ</v>
          </cell>
          <cell r="H1545">
            <v>18000</v>
          </cell>
        </row>
        <row r="1546">
          <cell r="A1546" t="str">
            <v>80노   무   비</v>
          </cell>
          <cell r="B1546" t="str">
            <v>노   무   비</v>
          </cell>
          <cell r="D1546" t="str">
            <v>ⓑ</v>
          </cell>
          <cell r="H1546">
            <v>28682</v>
          </cell>
        </row>
        <row r="1547">
          <cell r="A1547" t="str">
            <v>80경        비</v>
          </cell>
          <cell r="B1547" t="str">
            <v>경        비</v>
          </cell>
          <cell r="D1547" t="str">
            <v>ⓒ</v>
          </cell>
          <cell r="H1547">
            <v>828</v>
          </cell>
        </row>
        <row r="1548">
          <cell r="B1548" t="str">
            <v>계</v>
          </cell>
          <cell r="H1548">
            <v>47510</v>
          </cell>
        </row>
        <row r="1552">
          <cell r="B1552">
            <v>81</v>
          </cell>
          <cell r="C1552" t="str">
            <v xml:space="preserve"> 스피커 설치</v>
          </cell>
          <cell r="D1552" t="str">
            <v xml:space="preserve"> 3W (벽부형,ATT)</v>
          </cell>
          <cell r="E1552" t="str">
            <v>대</v>
          </cell>
          <cell r="F1552">
            <v>1</v>
          </cell>
        </row>
        <row r="1553">
          <cell r="C1553" t="str">
            <v>가, 재료비</v>
          </cell>
        </row>
        <row r="1554">
          <cell r="A1554" t="str">
            <v xml:space="preserve"> 스피커  벽부형(3W,ATT부착)</v>
          </cell>
          <cell r="C1554" t="str">
            <v xml:space="preserve"> 스피커 </v>
          </cell>
          <cell r="D1554" t="str">
            <v xml:space="preserve"> 벽부형(3W,ATT부착)</v>
          </cell>
          <cell r="E1554" t="str">
            <v>개</v>
          </cell>
          <cell r="F1554">
            <v>1</v>
          </cell>
          <cell r="G1554">
            <v>31500</v>
          </cell>
          <cell r="H1554">
            <v>31500</v>
          </cell>
          <cell r="I1554">
            <v>0</v>
          </cell>
        </row>
        <row r="1555">
          <cell r="B1555" t="str">
            <v>소         계</v>
          </cell>
          <cell r="H1555">
            <v>31500</v>
          </cell>
          <cell r="I1555" t="str">
            <v>ⓐ</v>
          </cell>
        </row>
        <row r="1556">
          <cell r="C1556" t="str">
            <v>나, 노무비</v>
          </cell>
        </row>
        <row r="1557">
          <cell r="A1557" t="str">
            <v>81 통신내선공</v>
          </cell>
          <cell r="C1557" t="str">
            <v xml:space="preserve"> 통신내선공</v>
          </cell>
          <cell r="E1557" t="str">
            <v>인</v>
          </cell>
          <cell r="F1557">
            <v>0.52</v>
          </cell>
          <cell r="G1557">
            <v>63738</v>
          </cell>
          <cell r="H1557">
            <v>33143.699999999997</v>
          </cell>
          <cell r="I1557" t="str">
            <v>기본,통신 3-29</v>
          </cell>
        </row>
        <row r="1558">
          <cell r="B1558" t="str">
            <v>소         계</v>
          </cell>
          <cell r="H1558">
            <v>33143</v>
          </cell>
          <cell r="I1558" t="str">
            <v>ⓑ</v>
          </cell>
        </row>
        <row r="1559">
          <cell r="C1559" t="str">
            <v>다, 기계경비</v>
          </cell>
        </row>
        <row r="1560">
          <cell r="C1560" t="str">
            <v xml:space="preserve"> 통신내선공</v>
          </cell>
          <cell r="E1560" t="str">
            <v>인</v>
          </cell>
          <cell r="F1560">
            <v>1.4999999999999999E-2</v>
          </cell>
          <cell r="G1560">
            <v>63738</v>
          </cell>
          <cell r="H1560">
            <v>956</v>
          </cell>
        </row>
        <row r="1561">
          <cell r="B1561" t="str">
            <v>소         계</v>
          </cell>
          <cell r="H1561">
            <v>956</v>
          </cell>
          <cell r="I1561" t="str">
            <v>ⓒ</v>
          </cell>
        </row>
        <row r="1563">
          <cell r="A1563" t="str">
            <v>81재   료   비</v>
          </cell>
          <cell r="B1563" t="str">
            <v>재   료   비</v>
          </cell>
          <cell r="D1563" t="str">
            <v>ⓐ</v>
          </cell>
          <cell r="H1563">
            <v>31500</v>
          </cell>
        </row>
        <row r="1564">
          <cell r="A1564" t="str">
            <v>81노   무   비</v>
          </cell>
          <cell r="B1564" t="str">
            <v>노   무   비</v>
          </cell>
          <cell r="D1564" t="str">
            <v>ⓑ</v>
          </cell>
          <cell r="H1564">
            <v>33143</v>
          </cell>
        </row>
        <row r="1565">
          <cell r="A1565" t="str">
            <v>81경        비</v>
          </cell>
          <cell r="B1565" t="str">
            <v>경        비</v>
          </cell>
          <cell r="D1565" t="str">
            <v>ⓒ</v>
          </cell>
          <cell r="H1565">
            <v>956</v>
          </cell>
        </row>
        <row r="1566">
          <cell r="B1566" t="str">
            <v>계</v>
          </cell>
          <cell r="H1566">
            <v>65599</v>
          </cell>
        </row>
        <row r="1570">
          <cell r="B1570">
            <v>82</v>
          </cell>
          <cell r="C1570" t="str">
            <v xml:space="preserve"> 스피커 설치</v>
          </cell>
          <cell r="D1570" t="str">
            <v xml:space="preserve"> 3W (벽부형)</v>
          </cell>
          <cell r="E1570" t="str">
            <v>대</v>
          </cell>
          <cell r="F1570">
            <v>1</v>
          </cell>
        </row>
        <row r="1571">
          <cell r="C1571" t="str">
            <v>가, 재료비</v>
          </cell>
        </row>
        <row r="1572">
          <cell r="A1572" t="str">
            <v xml:space="preserve"> 스피커  벽부형(3W)</v>
          </cell>
          <cell r="C1572" t="str">
            <v xml:space="preserve"> 스피커 </v>
          </cell>
          <cell r="D1572" t="str">
            <v xml:space="preserve"> 벽부형(3W)</v>
          </cell>
          <cell r="E1572" t="str">
            <v>개</v>
          </cell>
          <cell r="F1572">
            <v>1</v>
          </cell>
          <cell r="G1572">
            <v>26000</v>
          </cell>
          <cell r="H1572">
            <v>26000</v>
          </cell>
          <cell r="I1572">
            <v>0</v>
          </cell>
        </row>
        <row r="1573">
          <cell r="B1573" t="str">
            <v>소         계</v>
          </cell>
          <cell r="H1573">
            <v>26000</v>
          </cell>
          <cell r="I1573" t="str">
            <v>ⓐ</v>
          </cell>
        </row>
        <row r="1574">
          <cell r="C1574" t="str">
            <v>나, 노무비</v>
          </cell>
        </row>
        <row r="1575">
          <cell r="A1575" t="str">
            <v>82 통신내선공</v>
          </cell>
          <cell r="C1575" t="str">
            <v xml:space="preserve"> 통신내선공</v>
          </cell>
          <cell r="E1575" t="str">
            <v>인</v>
          </cell>
          <cell r="F1575">
            <v>0.45</v>
          </cell>
          <cell r="G1575">
            <v>63738</v>
          </cell>
          <cell r="H1575">
            <v>28682.1</v>
          </cell>
          <cell r="I1575" t="str">
            <v>기본,통신 3-29</v>
          </cell>
        </row>
        <row r="1576">
          <cell r="B1576" t="str">
            <v>소         계</v>
          </cell>
          <cell r="H1576">
            <v>28682</v>
          </cell>
          <cell r="I1576" t="str">
            <v>ⓑ</v>
          </cell>
        </row>
        <row r="1577">
          <cell r="C1577" t="str">
            <v>다, 기계경비</v>
          </cell>
        </row>
        <row r="1578">
          <cell r="C1578" t="str">
            <v xml:space="preserve"> 통신내선공</v>
          </cell>
          <cell r="E1578" t="str">
            <v>인</v>
          </cell>
          <cell r="F1578">
            <v>1.2999999999999999E-2</v>
          </cell>
          <cell r="G1578">
            <v>63738</v>
          </cell>
          <cell r="H1578">
            <v>828.5</v>
          </cell>
        </row>
        <row r="1579">
          <cell r="B1579" t="str">
            <v>소         계</v>
          </cell>
          <cell r="H1579">
            <v>828</v>
          </cell>
          <cell r="I1579" t="str">
            <v>ⓒ</v>
          </cell>
        </row>
        <row r="1581">
          <cell r="A1581" t="str">
            <v>82재   료   비</v>
          </cell>
          <cell r="B1581" t="str">
            <v>재   료   비</v>
          </cell>
          <cell r="D1581" t="str">
            <v>ⓐ</v>
          </cell>
          <cell r="H1581">
            <v>26000</v>
          </cell>
        </row>
        <row r="1582">
          <cell r="A1582" t="str">
            <v>82노   무   비</v>
          </cell>
          <cell r="B1582" t="str">
            <v>노   무   비</v>
          </cell>
          <cell r="D1582" t="str">
            <v>ⓑ</v>
          </cell>
          <cell r="H1582">
            <v>28682</v>
          </cell>
        </row>
        <row r="1583">
          <cell r="A1583" t="str">
            <v>82경        비</v>
          </cell>
          <cell r="B1583" t="str">
            <v>경        비</v>
          </cell>
          <cell r="D1583" t="str">
            <v>ⓒ</v>
          </cell>
          <cell r="H1583">
            <v>828</v>
          </cell>
        </row>
        <row r="1584">
          <cell r="B1584" t="str">
            <v>계</v>
          </cell>
          <cell r="H1584">
            <v>55510</v>
          </cell>
        </row>
        <row r="1588">
          <cell r="B1588">
            <v>83</v>
          </cell>
          <cell r="C1588" t="str">
            <v xml:space="preserve"> 스피커 설치</v>
          </cell>
          <cell r="D1588" t="str">
            <v xml:space="preserve"> 10W(혼형)</v>
          </cell>
          <cell r="E1588" t="str">
            <v>대</v>
          </cell>
          <cell r="F1588">
            <v>1</v>
          </cell>
        </row>
        <row r="1589">
          <cell r="C1589" t="str">
            <v>가, 재료비</v>
          </cell>
        </row>
        <row r="1590">
          <cell r="A1590" t="str">
            <v xml:space="preserve"> 스피커  10W(혼형)</v>
          </cell>
          <cell r="C1590" t="str">
            <v xml:space="preserve"> 스피커 </v>
          </cell>
          <cell r="D1590" t="str">
            <v xml:space="preserve"> 10W(혼형)</v>
          </cell>
          <cell r="E1590" t="str">
            <v>개</v>
          </cell>
          <cell r="F1590">
            <v>1</v>
          </cell>
          <cell r="G1590">
            <v>35000</v>
          </cell>
          <cell r="H1590">
            <v>35000</v>
          </cell>
          <cell r="I1590">
            <v>0</v>
          </cell>
        </row>
        <row r="1591">
          <cell r="A1591" t="str">
            <v xml:space="preserve"> 스피커 취부대 아연도금(도면참조)</v>
          </cell>
          <cell r="C1591" t="str">
            <v xml:space="preserve"> 스피커 취부대</v>
          </cell>
          <cell r="D1591" t="str">
            <v xml:space="preserve"> 아연도금(도면참조)</v>
          </cell>
          <cell r="E1591" t="str">
            <v>개</v>
          </cell>
          <cell r="F1591">
            <v>1</v>
          </cell>
          <cell r="G1591">
            <v>18000</v>
          </cell>
          <cell r="H1591">
            <v>18000</v>
          </cell>
          <cell r="I1591">
            <v>0</v>
          </cell>
        </row>
        <row r="1592">
          <cell r="B1592" t="str">
            <v>소         계</v>
          </cell>
          <cell r="H1592">
            <v>53000</v>
          </cell>
          <cell r="I1592" t="str">
            <v>ⓐ</v>
          </cell>
        </row>
        <row r="1593">
          <cell r="C1593" t="str">
            <v>나, 노무비</v>
          </cell>
        </row>
        <row r="1594">
          <cell r="A1594" t="str">
            <v>83 통신내선공</v>
          </cell>
          <cell r="C1594" t="str">
            <v xml:space="preserve"> 통신내선공</v>
          </cell>
          <cell r="E1594" t="str">
            <v>인</v>
          </cell>
          <cell r="F1594">
            <v>0.45</v>
          </cell>
          <cell r="G1594">
            <v>63738</v>
          </cell>
          <cell r="H1594">
            <v>28682.1</v>
          </cell>
          <cell r="I1594" t="str">
            <v>기본,통신 3-29</v>
          </cell>
        </row>
        <row r="1595">
          <cell r="A1595" t="str">
            <v>83 통신외선공</v>
          </cell>
          <cell r="C1595" t="str">
            <v xml:space="preserve"> 통신외선공</v>
          </cell>
          <cell r="E1595" t="str">
            <v>인</v>
          </cell>
          <cell r="F1595">
            <v>0.06</v>
          </cell>
          <cell r="G1595">
            <v>77946</v>
          </cell>
          <cell r="H1595">
            <v>4676.7</v>
          </cell>
          <cell r="I1595" t="str">
            <v>기본,통신 3-29</v>
          </cell>
        </row>
        <row r="1596">
          <cell r="A1596" t="str">
            <v>83 보통인부</v>
          </cell>
          <cell r="C1596" t="str">
            <v xml:space="preserve"> 보통인부</v>
          </cell>
          <cell r="E1596" t="str">
            <v>인</v>
          </cell>
          <cell r="F1596">
            <v>0.03</v>
          </cell>
          <cell r="G1596">
            <v>34098</v>
          </cell>
          <cell r="H1596">
            <v>1022.9</v>
          </cell>
          <cell r="I1596" t="str">
            <v>기본,통신 3-29</v>
          </cell>
        </row>
        <row r="1597">
          <cell r="B1597" t="str">
            <v>소         계</v>
          </cell>
          <cell r="H1597">
            <v>34381</v>
          </cell>
          <cell r="I1597" t="str">
            <v>ⓑ</v>
          </cell>
        </row>
        <row r="1598">
          <cell r="C1598" t="str">
            <v>다, 기계경비</v>
          </cell>
        </row>
        <row r="1599">
          <cell r="C1599" t="str">
            <v xml:space="preserve"> 통신내선공</v>
          </cell>
          <cell r="E1599" t="str">
            <v>인</v>
          </cell>
          <cell r="F1599">
            <v>1.2999999999999999E-2</v>
          </cell>
          <cell r="G1599">
            <v>63738</v>
          </cell>
          <cell r="H1599">
            <v>828.5</v>
          </cell>
        </row>
        <row r="1600">
          <cell r="C1600" t="str">
            <v xml:space="preserve"> 통신외선공</v>
          </cell>
          <cell r="E1600" t="str">
            <v>인</v>
          </cell>
          <cell r="F1600">
            <v>1E-3</v>
          </cell>
          <cell r="G1600">
            <v>77946</v>
          </cell>
          <cell r="H1600">
            <v>77.900000000000006</v>
          </cell>
        </row>
        <row r="1601">
          <cell r="B1601" t="str">
            <v>소         계</v>
          </cell>
          <cell r="H1601">
            <v>906</v>
          </cell>
          <cell r="I1601" t="str">
            <v>ⓒ</v>
          </cell>
        </row>
        <row r="1602">
          <cell r="A1602" t="str">
            <v>83재   료   비</v>
          </cell>
          <cell r="B1602" t="str">
            <v>재   료   비</v>
          </cell>
          <cell r="D1602" t="str">
            <v>ⓐ</v>
          </cell>
          <cell r="H1602">
            <v>53000</v>
          </cell>
        </row>
        <row r="1603">
          <cell r="A1603" t="str">
            <v>83노   무   비</v>
          </cell>
          <cell r="B1603" t="str">
            <v>노   무   비</v>
          </cell>
          <cell r="D1603" t="str">
            <v>ⓑ</v>
          </cell>
          <cell r="H1603">
            <v>34381</v>
          </cell>
        </row>
        <row r="1604">
          <cell r="A1604" t="str">
            <v>83경        비</v>
          </cell>
          <cell r="B1604" t="str">
            <v>경        비</v>
          </cell>
          <cell r="D1604" t="str">
            <v>ⓒ</v>
          </cell>
          <cell r="H1604">
            <v>906</v>
          </cell>
        </row>
        <row r="1605">
          <cell r="B1605" t="str">
            <v>계</v>
          </cell>
          <cell r="H1605">
            <v>88287</v>
          </cell>
        </row>
        <row r="1606">
          <cell r="B1606">
            <v>84</v>
          </cell>
          <cell r="C1606" t="str">
            <v xml:space="preserve"> TV증폭기 설치</v>
          </cell>
          <cell r="D1606" t="str">
            <v xml:space="preserve"> BOOSTER AMP</v>
          </cell>
          <cell r="E1606" t="str">
            <v>대</v>
          </cell>
          <cell r="F1606">
            <v>1</v>
          </cell>
        </row>
        <row r="1607">
          <cell r="C1607" t="str">
            <v>가, 재료비</v>
          </cell>
        </row>
        <row r="1608">
          <cell r="A1608" t="str">
            <v xml:space="preserve"> 공청용 증폭기  VHF/UHF 겸용</v>
          </cell>
          <cell r="C1608" t="str">
            <v xml:space="preserve"> 공청용 증폭기 </v>
          </cell>
          <cell r="D1608" t="str">
            <v xml:space="preserve"> VHF/UHF 겸용</v>
          </cell>
          <cell r="E1608" t="str">
            <v>개</v>
          </cell>
          <cell r="F1608">
            <v>1</v>
          </cell>
          <cell r="G1608">
            <v>65000</v>
          </cell>
          <cell r="H1608">
            <v>65000</v>
          </cell>
          <cell r="I1608">
            <v>0</v>
          </cell>
        </row>
        <row r="1609">
          <cell r="B1609" t="str">
            <v>소         계</v>
          </cell>
          <cell r="H1609">
            <v>65000</v>
          </cell>
          <cell r="I1609" t="str">
            <v>ⓐ</v>
          </cell>
        </row>
        <row r="1610">
          <cell r="C1610" t="str">
            <v>나, 노무비</v>
          </cell>
        </row>
        <row r="1611">
          <cell r="A1611" t="str">
            <v>84 통신내선공</v>
          </cell>
          <cell r="C1611" t="str">
            <v xml:space="preserve"> 통신내선공</v>
          </cell>
          <cell r="E1611" t="str">
            <v>인</v>
          </cell>
          <cell r="F1611">
            <v>0.31</v>
          </cell>
          <cell r="G1611">
            <v>63738</v>
          </cell>
          <cell r="H1611">
            <v>19758.7</v>
          </cell>
          <cell r="I1611" t="str">
            <v>기본,통신 5-89</v>
          </cell>
        </row>
        <row r="1612">
          <cell r="A1612" t="str">
            <v>84 무선안테나공</v>
          </cell>
          <cell r="C1612" t="str">
            <v xml:space="preserve"> 무선안테나공</v>
          </cell>
          <cell r="E1612" t="str">
            <v>인</v>
          </cell>
          <cell r="F1612">
            <v>0.78</v>
          </cell>
          <cell r="G1612">
            <v>97216</v>
          </cell>
          <cell r="H1612">
            <v>75828.399999999994</v>
          </cell>
          <cell r="I1612" t="str">
            <v>기본,통신 5-89</v>
          </cell>
        </row>
        <row r="1613">
          <cell r="B1613" t="str">
            <v>소         계</v>
          </cell>
          <cell r="H1613">
            <v>95587</v>
          </cell>
          <cell r="I1613" t="str">
            <v>ⓑ</v>
          </cell>
        </row>
        <row r="1614">
          <cell r="C1614" t="str">
            <v>다, 기계경비</v>
          </cell>
        </row>
        <row r="1615">
          <cell r="C1615" t="str">
            <v xml:space="preserve"> 통신내선공</v>
          </cell>
          <cell r="E1615" t="str">
            <v>인</v>
          </cell>
          <cell r="F1615">
            <v>8.9999999999999993E-3</v>
          </cell>
          <cell r="G1615">
            <v>63738</v>
          </cell>
          <cell r="H1615">
            <v>573.6</v>
          </cell>
        </row>
        <row r="1616">
          <cell r="C1616" t="str">
            <v xml:space="preserve"> 무선안테나공</v>
          </cell>
          <cell r="E1616" t="str">
            <v>인</v>
          </cell>
          <cell r="F1616">
            <v>2.3E-2</v>
          </cell>
          <cell r="G1616">
            <v>97216</v>
          </cell>
          <cell r="H1616">
            <v>2235.9</v>
          </cell>
        </row>
        <row r="1617">
          <cell r="B1617" t="str">
            <v>소         계</v>
          </cell>
          <cell r="H1617">
            <v>2809</v>
          </cell>
          <cell r="I1617" t="str">
            <v>ⓒ</v>
          </cell>
        </row>
        <row r="1619">
          <cell r="A1619" t="str">
            <v>84재   료   비</v>
          </cell>
          <cell r="B1619" t="str">
            <v>재   료   비</v>
          </cell>
          <cell r="D1619" t="str">
            <v>ⓐ</v>
          </cell>
          <cell r="H1619">
            <v>65000</v>
          </cell>
        </row>
        <row r="1620">
          <cell r="A1620" t="str">
            <v>84노   무   비</v>
          </cell>
          <cell r="B1620" t="str">
            <v>노   무   비</v>
          </cell>
          <cell r="D1620" t="str">
            <v>ⓑ</v>
          </cell>
          <cell r="H1620">
            <v>95587</v>
          </cell>
        </row>
        <row r="1621">
          <cell r="A1621" t="str">
            <v>84경        비</v>
          </cell>
          <cell r="B1621" t="str">
            <v>경        비</v>
          </cell>
          <cell r="D1621" t="str">
            <v>ⓒ</v>
          </cell>
          <cell r="H1621">
            <v>2809</v>
          </cell>
        </row>
        <row r="1622">
          <cell r="B1622" t="str">
            <v>계</v>
          </cell>
          <cell r="H1622">
            <v>163396</v>
          </cell>
        </row>
        <row r="1624">
          <cell r="B1624">
            <v>85</v>
          </cell>
          <cell r="C1624" t="str">
            <v xml:space="preserve"> 분배기 설치</v>
          </cell>
          <cell r="D1624" t="str">
            <v xml:space="preserve"> 3분배</v>
          </cell>
          <cell r="E1624" t="str">
            <v>대</v>
          </cell>
          <cell r="F1624">
            <v>1</v>
          </cell>
        </row>
        <row r="1625">
          <cell r="C1625" t="str">
            <v>가, 재료비</v>
          </cell>
        </row>
        <row r="1626">
          <cell r="A1626" t="str">
            <v xml:space="preserve"> 분배기   3회로</v>
          </cell>
          <cell r="C1626" t="str">
            <v xml:space="preserve"> 분배기  </v>
          </cell>
          <cell r="D1626" t="str">
            <v xml:space="preserve"> 3회로</v>
          </cell>
          <cell r="E1626" t="str">
            <v>개</v>
          </cell>
          <cell r="F1626">
            <v>1</v>
          </cell>
          <cell r="G1626">
            <v>6000</v>
          </cell>
          <cell r="H1626">
            <v>6000</v>
          </cell>
          <cell r="I1626">
            <v>0</v>
          </cell>
        </row>
        <row r="1627">
          <cell r="B1627" t="str">
            <v>소         계</v>
          </cell>
          <cell r="H1627">
            <v>6000</v>
          </cell>
          <cell r="I1627" t="str">
            <v>ⓐ</v>
          </cell>
        </row>
        <row r="1628">
          <cell r="C1628" t="str">
            <v>나, 노무비</v>
          </cell>
        </row>
        <row r="1629">
          <cell r="A1629" t="str">
            <v>85 통신내선공</v>
          </cell>
          <cell r="C1629" t="str">
            <v xml:space="preserve"> 통신내선공</v>
          </cell>
          <cell r="E1629" t="str">
            <v>인</v>
          </cell>
          <cell r="F1629">
            <v>0.2</v>
          </cell>
          <cell r="G1629">
            <v>63738</v>
          </cell>
          <cell r="H1629">
            <v>12747.6</v>
          </cell>
          <cell r="I1629" t="str">
            <v>기본,통신 5-89</v>
          </cell>
        </row>
        <row r="1630">
          <cell r="A1630" t="str">
            <v>85 무선안테나공</v>
          </cell>
          <cell r="C1630" t="str">
            <v xml:space="preserve"> 무선안테나공</v>
          </cell>
          <cell r="E1630" t="str">
            <v>인</v>
          </cell>
          <cell r="F1630">
            <v>0.09</v>
          </cell>
          <cell r="G1630">
            <v>97216</v>
          </cell>
          <cell r="H1630">
            <v>8749.4</v>
          </cell>
          <cell r="I1630" t="str">
            <v>기본,통신 5-89</v>
          </cell>
        </row>
        <row r="1631">
          <cell r="B1631" t="str">
            <v>소         계</v>
          </cell>
          <cell r="H1631">
            <v>21497</v>
          </cell>
          <cell r="I1631" t="str">
            <v>ⓑ</v>
          </cell>
        </row>
        <row r="1632">
          <cell r="C1632" t="str">
            <v>다, 기계경비</v>
          </cell>
        </row>
        <row r="1633">
          <cell r="C1633" t="str">
            <v xml:space="preserve"> 통신내선공</v>
          </cell>
          <cell r="E1633" t="str">
            <v>인</v>
          </cell>
          <cell r="F1633">
            <v>6.0000000000000001E-3</v>
          </cell>
          <cell r="G1633">
            <v>63738</v>
          </cell>
          <cell r="H1633">
            <v>382.4</v>
          </cell>
        </row>
        <row r="1634">
          <cell r="C1634" t="str">
            <v xml:space="preserve"> 무선안테나공</v>
          </cell>
          <cell r="E1634" t="str">
            <v>인</v>
          </cell>
          <cell r="F1634">
            <v>2E-3</v>
          </cell>
          <cell r="G1634">
            <v>97216</v>
          </cell>
          <cell r="H1634">
            <v>194.4</v>
          </cell>
        </row>
        <row r="1635">
          <cell r="B1635" t="str">
            <v>소         계</v>
          </cell>
          <cell r="H1635">
            <v>576</v>
          </cell>
          <cell r="I1635" t="str">
            <v>ⓒ</v>
          </cell>
        </row>
        <row r="1637">
          <cell r="A1637" t="str">
            <v>85재   료   비</v>
          </cell>
          <cell r="B1637" t="str">
            <v>재   료   비</v>
          </cell>
          <cell r="D1637" t="str">
            <v>ⓐ</v>
          </cell>
          <cell r="H1637">
            <v>6000</v>
          </cell>
        </row>
        <row r="1638">
          <cell r="A1638" t="str">
            <v>85노   무   비</v>
          </cell>
          <cell r="B1638" t="str">
            <v>노   무   비</v>
          </cell>
          <cell r="D1638" t="str">
            <v>ⓑ</v>
          </cell>
          <cell r="H1638">
            <v>21497</v>
          </cell>
        </row>
        <row r="1639">
          <cell r="A1639" t="str">
            <v>85경        비</v>
          </cell>
          <cell r="B1639" t="str">
            <v>경        비</v>
          </cell>
          <cell r="D1639" t="str">
            <v>ⓒ</v>
          </cell>
          <cell r="H1639">
            <v>576</v>
          </cell>
        </row>
        <row r="1640">
          <cell r="B1640" t="str">
            <v>계</v>
          </cell>
          <cell r="H1640">
            <v>28073</v>
          </cell>
        </row>
        <row r="1642">
          <cell r="B1642">
            <v>86</v>
          </cell>
          <cell r="C1642" t="str">
            <v xml:space="preserve"> TV콘센트 설치</v>
          </cell>
          <cell r="D1642" t="str">
            <v xml:space="preserve"> 직렬형</v>
          </cell>
          <cell r="E1642" t="str">
            <v>개</v>
          </cell>
          <cell r="F1642">
            <v>1</v>
          </cell>
        </row>
        <row r="1643">
          <cell r="C1643" t="str">
            <v>가, 재료비</v>
          </cell>
        </row>
        <row r="1644">
          <cell r="A1644" t="str">
            <v xml:space="preserve"> TV 유니트   직렬용</v>
          </cell>
          <cell r="C1644" t="str">
            <v xml:space="preserve"> TV 유니트  </v>
          </cell>
          <cell r="D1644" t="str">
            <v xml:space="preserve"> 직렬용</v>
          </cell>
          <cell r="E1644" t="str">
            <v>개</v>
          </cell>
          <cell r="F1644">
            <v>1</v>
          </cell>
          <cell r="G1644">
            <v>2606</v>
          </cell>
          <cell r="H1644">
            <v>2606</v>
          </cell>
          <cell r="I1644">
            <v>0</v>
          </cell>
        </row>
        <row r="1645">
          <cell r="B1645" t="str">
            <v>소         계</v>
          </cell>
          <cell r="H1645">
            <v>2606</v>
          </cell>
          <cell r="I1645" t="str">
            <v>ⓐ</v>
          </cell>
        </row>
        <row r="1646">
          <cell r="C1646" t="str">
            <v>나, 노무비</v>
          </cell>
        </row>
        <row r="1647">
          <cell r="A1647" t="str">
            <v>86 통신내선공</v>
          </cell>
          <cell r="C1647" t="str">
            <v xml:space="preserve"> 통신내선공</v>
          </cell>
          <cell r="E1647" t="str">
            <v>인</v>
          </cell>
          <cell r="F1647">
            <v>0.08</v>
          </cell>
          <cell r="G1647">
            <v>63738</v>
          </cell>
          <cell r="H1647">
            <v>5099</v>
          </cell>
          <cell r="I1647" t="str">
            <v>기본,통신 5-89</v>
          </cell>
        </row>
        <row r="1648">
          <cell r="B1648" t="str">
            <v>소         계</v>
          </cell>
          <cell r="H1648">
            <v>5099</v>
          </cell>
          <cell r="I1648" t="str">
            <v>ⓑ</v>
          </cell>
        </row>
        <row r="1649">
          <cell r="C1649" t="str">
            <v>다, 기계경비</v>
          </cell>
        </row>
        <row r="1650">
          <cell r="C1650" t="str">
            <v xml:space="preserve"> 통신내선공</v>
          </cell>
          <cell r="E1650" t="str">
            <v>인</v>
          </cell>
          <cell r="F1650">
            <v>2E-3</v>
          </cell>
          <cell r="G1650">
            <v>63738</v>
          </cell>
          <cell r="H1650">
            <v>127.4</v>
          </cell>
        </row>
        <row r="1651">
          <cell r="B1651" t="str">
            <v>소         계</v>
          </cell>
          <cell r="H1651">
            <v>127</v>
          </cell>
          <cell r="I1651" t="str">
            <v>ⓒ</v>
          </cell>
        </row>
        <row r="1653">
          <cell r="A1653" t="str">
            <v>86재   료   비</v>
          </cell>
          <cell r="B1653" t="str">
            <v>재   료   비</v>
          </cell>
          <cell r="D1653" t="str">
            <v>ⓐ</v>
          </cell>
          <cell r="H1653">
            <v>2606</v>
          </cell>
        </row>
        <row r="1654">
          <cell r="A1654" t="str">
            <v>86노   무   비</v>
          </cell>
          <cell r="B1654" t="str">
            <v>노   무   비</v>
          </cell>
          <cell r="D1654" t="str">
            <v>ⓑ</v>
          </cell>
          <cell r="H1654">
            <v>5099</v>
          </cell>
        </row>
        <row r="1655">
          <cell r="A1655" t="str">
            <v>86경        비</v>
          </cell>
          <cell r="B1655" t="str">
            <v>경        비</v>
          </cell>
          <cell r="D1655" t="str">
            <v>ⓒ</v>
          </cell>
          <cell r="H1655">
            <v>127</v>
          </cell>
        </row>
        <row r="1656">
          <cell r="B1656" t="str">
            <v>계</v>
          </cell>
          <cell r="H1656">
            <v>7832</v>
          </cell>
        </row>
        <row r="1660">
          <cell r="B1660">
            <v>87</v>
          </cell>
          <cell r="C1660" t="str">
            <v xml:space="preserve"> TV콘센트 설치</v>
          </cell>
          <cell r="D1660" t="str">
            <v xml:space="preserve"> 종단형</v>
          </cell>
          <cell r="E1660" t="str">
            <v>개</v>
          </cell>
          <cell r="F1660">
            <v>1</v>
          </cell>
        </row>
        <row r="1661">
          <cell r="C1661" t="str">
            <v>가, 재료비</v>
          </cell>
        </row>
        <row r="1662">
          <cell r="A1662" t="str">
            <v xml:space="preserve"> TV 유니트   단말용</v>
          </cell>
          <cell r="C1662" t="str">
            <v xml:space="preserve"> TV 유니트  </v>
          </cell>
          <cell r="D1662" t="str">
            <v xml:space="preserve"> 단말용</v>
          </cell>
          <cell r="E1662" t="str">
            <v>개</v>
          </cell>
          <cell r="F1662">
            <v>1</v>
          </cell>
          <cell r="G1662">
            <v>2493</v>
          </cell>
          <cell r="H1662">
            <v>2493</v>
          </cell>
          <cell r="I1662">
            <v>0</v>
          </cell>
        </row>
        <row r="1663">
          <cell r="B1663" t="str">
            <v>소         계</v>
          </cell>
          <cell r="H1663">
            <v>2493</v>
          </cell>
          <cell r="I1663" t="str">
            <v>ⓐ</v>
          </cell>
        </row>
        <row r="1664">
          <cell r="C1664" t="str">
            <v>나, 노무비</v>
          </cell>
        </row>
        <row r="1665">
          <cell r="A1665" t="str">
            <v>87 통신내선공</v>
          </cell>
          <cell r="C1665" t="str">
            <v xml:space="preserve"> 통신내선공</v>
          </cell>
          <cell r="E1665" t="str">
            <v>인</v>
          </cell>
          <cell r="F1665">
            <v>0.08</v>
          </cell>
          <cell r="G1665">
            <v>63738</v>
          </cell>
          <cell r="H1665">
            <v>5099</v>
          </cell>
          <cell r="I1665" t="str">
            <v>기본,통신 5-89</v>
          </cell>
        </row>
        <row r="1666">
          <cell r="B1666" t="str">
            <v>소         계</v>
          </cell>
          <cell r="H1666">
            <v>5099</v>
          </cell>
          <cell r="I1666" t="str">
            <v>ⓑ</v>
          </cell>
        </row>
        <row r="1667">
          <cell r="C1667" t="str">
            <v>다, 기계경비</v>
          </cell>
        </row>
        <row r="1668">
          <cell r="C1668" t="str">
            <v xml:space="preserve"> 통신내선공</v>
          </cell>
          <cell r="E1668" t="str">
            <v>인</v>
          </cell>
          <cell r="F1668">
            <v>2E-3</v>
          </cell>
          <cell r="G1668">
            <v>63738</v>
          </cell>
          <cell r="H1668">
            <v>127.4</v>
          </cell>
        </row>
        <row r="1669">
          <cell r="B1669" t="str">
            <v>소         계</v>
          </cell>
          <cell r="H1669">
            <v>127</v>
          </cell>
          <cell r="I1669" t="str">
            <v>ⓒ</v>
          </cell>
        </row>
        <row r="1671">
          <cell r="A1671" t="str">
            <v>87재   료   비</v>
          </cell>
          <cell r="B1671" t="str">
            <v>재   료   비</v>
          </cell>
          <cell r="D1671" t="str">
            <v>ⓐ</v>
          </cell>
          <cell r="H1671">
            <v>2493</v>
          </cell>
        </row>
        <row r="1672">
          <cell r="A1672" t="str">
            <v>87노   무   비</v>
          </cell>
          <cell r="B1672" t="str">
            <v>노   무   비</v>
          </cell>
          <cell r="D1672" t="str">
            <v>ⓑ</v>
          </cell>
          <cell r="H1672">
            <v>5099</v>
          </cell>
        </row>
        <row r="1673">
          <cell r="A1673" t="str">
            <v>87경        비</v>
          </cell>
          <cell r="B1673" t="str">
            <v>경        비</v>
          </cell>
          <cell r="D1673" t="str">
            <v>ⓒ</v>
          </cell>
          <cell r="H1673">
            <v>127</v>
          </cell>
        </row>
        <row r="1674">
          <cell r="B1674" t="str">
            <v>계</v>
          </cell>
          <cell r="H1674">
            <v>7719</v>
          </cell>
        </row>
        <row r="1678">
          <cell r="B1678">
            <v>88</v>
          </cell>
          <cell r="C1678" t="str">
            <v xml:space="preserve"> TV공시청 안테나 신설</v>
          </cell>
          <cell r="D1678" t="str">
            <v xml:space="preserve"> UHF/VHF(H.L)</v>
          </cell>
          <cell r="E1678" t="str">
            <v>기</v>
          </cell>
          <cell r="F1678">
            <v>1</v>
          </cell>
        </row>
        <row r="1679">
          <cell r="C1679" t="str">
            <v>가, 재료비</v>
          </cell>
        </row>
        <row r="1680">
          <cell r="A1680" t="str">
            <v xml:space="preserve"> 공청용안테나  UHF 용</v>
          </cell>
          <cell r="C1680" t="str">
            <v xml:space="preserve"> 공청용안테나 </v>
          </cell>
          <cell r="D1680" t="str">
            <v xml:space="preserve"> UHF 용</v>
          </cell>
          <cell r="E1680" t="str">
            <v>조</v>
          </cell>
          <cell r="F1680">
            <v>1</v>
          </cell>
          <cell r="G1680">
            <v>20000</v>
          </cell>
          <cell r="H1680">
            <v>20000</v>
          </cell>
          <cell r="I1680">
            <v>0</v>
          </cell>
        </row>
        <row r="1681">
          <cell r="A1681" t="str">
            <v xml:space="preserve"> 공청용안테나  VHF HIGH 찬넬용</v>
          </cell>
          <cell r="C1681" t="str">
            <v xml:space="preserve"> 공청용안테나 </v>
          </cell>
          <cell r="D1681" t="str">
            <v xml:space="preserve"> VHF HIGH 찬넬용</v>
          </cell>
          <cell r="E1681" t="str">
            <v>조</v>
          </cell>
          <cell r="F1681">
            <v>1</v>
          </cell>
          <cell r="G1681">
            <v>25000</v>
          </cell>
          <cell r="H1681">
            <v>25000</v>
          </cell>
          <cell r="I1681">
            <v>0</v>
          </cell>
        </row>
        <row r="1682">
          <cell r="A1682" t="str">
            <v xml:space="preserve"> 공청용안테나  VHF LOW 찬넬용</v>
          </cell>
          <cell r="C1682" t="str">
            <v xml:space="preserve"> 공청용안테나 </v>
          </cell>
          <cell r="D1682" t="str">
            <v xml:space="preserve"> VHF LOW 찬넬용</v>
          </cell>
          <cell r="E1682" t="str">
            <v>조</v>
          </cell>
          <cell r="F1682">
            <v>1</v>
          </cell>
          <cell r="G1682">
            <v>30000</v>
          </cell>
          <cell r="H1682">
            <v>30000</v>
          </cell>
          <cell r="I1682">
            <v>0</v>
          </cell>
        </row>
        <row r="1683">
          <cell r="A1683" t="str">
            <v xml:space="preserve"> 공청용 혼합기  VHF H/L</v>
          </cell>
          <cell r="C1683" t="str">
            <v xml:space="preserve"> 공청용 혼합기 </v>
          </cell>
          <cell r="D1683" t="str">
            <v xml:space="preserve"> VHF H/L</v>
          </cell>
          <cell r="E1683" t="str">
            <v>개</v>
          </cell>
          <cell r="F1683">
            <v>1</v>
          </cell>
          <cell r="G1683">
            <v>6000</v>
          </cell>
          <cell r="H1683">
            <v>6000</v>
          </cell>
          <cell r="I1683">
            <v>0</v>
          </cell>
        </row>
        <row r="1684">
          <cell r="A1684" t="str">
            <v xml:space="preserve"> 공청용 혼합기  VHF/UHF</v>
          </cell>
          <cell r="C1684" t="str">
            <v xml:space="preserve"> 공청용 혼합기 </v>
          </cell>
          <cell r="D1684" t="str">
            <v xml:space="preserve"> VHF/UHF</v>
          </cell>
          <cell r="E1684" t="str">
            <v>개</v>
          </cell>
          <cell r="F1684">
            <v>1</v>
          </cell>
          <cell r="G1684">
            <v>6000</v>
          </cell>
          <cell r="H1684">
            <v>6000</v>
          </cell>
          <cell r="I1684">
            <v>0</v>
          </cell>
        </row>
        <row r="1685">
          <cell r="A1685" t="str">
            <v xml:space="preserve"> 시멘트(40㎏)  분공장도</v>
          </cell>
          <cell r="C1685" t="str">
            <v xml:space="preserve"> 시멘트(40㎏) </v>
          </cell>
          <cell r="D1685" t="str">
            <v xml:space="preserve"> 분공장도</v>
          </cell>
          <cell r="E1685" t="str">
            <v>포</v>
          </cell>
          <cell r="F1685">
            <v>0.55200000000000005</v>
          </cell>
          <cell r="G1685">
            <v>2450</v>
          </cell>
          <cell r="H1685">
            <v>1352.4</v>
          </cell>
          <cell r="I1685">
            <v>0</v>
          </cell>
        </row>
        <row r="1686">
          <cell r="A1686" t="str">
            <v xml:space="preserve"> 모래(세척사)  인천(도착도)</v>
          </cell>
          <cell r="C1686" t="str">
            <v xml:space="preserve"> 모래(세척사) </v>
          </cell>
          <cell r="D1686" t="str">
            <v xml:space="preserve"> 인천(도착도)</v>
          </cell>
          <cell r="E1686" t="str">
            <v>㎥</v>
          </cell>
          <cell r="F1686">
            <v>3.1E-2</v>
          </cell>
          <cell r="G1686">
            <v>1750</v>
          </cell>
          <cell r="H1686">
            <v>54.2</v>
          </cell>
          <cell r="I1686">
            <v>0</v>
          </cell>
        </row>
        <row r="1687">
          <cell r="A1687" t="str">
            <v xml:space="preserve"> 자갈(#57,Φ25)   인천(도착도)</v>
          </cell>
          <cell r="C1687" t="str">
            <v xml:space="preserve"> 자갈(#57,Φ25)  </v>
          </cell>
          <cell r="D1687" t="str">
            <v xml:space="preserve"> 인천(도착도)</v>
          </cell>
          <cell r="E1687" t="str">
            <v>㎥</v>
          </cell>
          <cell r="F1687">
            <v>6.2E-2</v>
          </cell>
          <cell r="G1687">
            <v>17500</v>
          </cell>
          <cell r="H1687">
            <v>1085</v>
          </cell>
          <cell r="I1687">
            <v>0</v>
          </cell>
        </row>
        <row r="1688">
          <cell r="A1688" t="str">
            <v xml:space="preserve"> 보통합판(1급)  12T  1.21*2.42</v>
          </cell>
          <cell r="C1688" t="str">
            <v xml:space="preserve"> 보통합판(1급) </v>
          </cell>
          <cell r="D1688" t="str">
            <v xml:space="preserve"> 12T  1.21*2.42</v>
          </cell>
          <cell r="E1688" t="str">
            <v>㎡</v>
          </cell>
          <cell r="F1688">
            <v>0.20499999999999999</v>
          </cell>
          <cell r="G1688">
            <v>6181</v>
          </cell>
          <cell r="H1688">
            <v>1267.0999999999999</v>
          </cell>
          <cell r="I1688">
            <v>0</v>
          </cell>
        </row>
        <row r="1689">
          <cell r="A1689" t="str">
            <v xml:space="preserve"> 라왕  각재</v>
          </cell>
          <cell r="C1689" t="str">
            <v xml:space="preserve"> 라왕 </v>
          </cell>
          <cell r="D1689" t="str">
            <v xml:space="preserve"> 각재</v>
          </cell>
          <cell r="E1689" t="str">
            <v>㎥</v>
          </cell>
          <cell r="F1689">
            <v>8.0000000000000002E-3</v>
          </cell>
          <cell r="G1689">
            <v>986023</v>
          </cell>
          <cell r="H1689">
            <v>7888.1</v>
          </cell>
          <cell r="I1689">
            <v>0</v>
          </cell>
        </row>
        <row r="1690">
          <cell r="A1690" t="str">
            <v xml:space="preserve"> 어니일링(소)철선   #8  4.0mm</v>
          </cell>
          <cell r="C1690" t="str">
            <v xml:space="preserve"> 어니일링(소)철선  </v>
          </cell>
          <cell r="D1690" t="str">
            <v xml:space="preserve"> #8  4.0mm</v>
          </cell>
          <cell r="E1690" t="str">
            <v>kg</v>
          </cell>
          <cell r="F1690">
            <v>5.8000000000000003E-2</v>
          </cell>
          <cell r="G1690">
            <v>570</v>
          </cell>
          <cell r="H1690">
            <v>33</v>
          </cell>
          <cell r="I1690">
            <v>0</v>
          </cell>
        </row>
        <row r="1691">
          <cell r="A1691" t="str">
            <v xml:space="preserve"> 철못   N 50</v>
          </cell>
          <cell r="C1691" t="str">
            <v xml:space="preserve"> 철못  </v>
          </cell>
          <cell r="D1691" t="str">
            <v xml:space="preserve"> N 50</v>
          </cell>
          <cell r="E1691" t="str">
            <v>kg</v>
          </cell>
          <cell r="F1691">
            <v>0.04</v>
          </cell>
          <cell r="G1691">
            <v>700</v>
          </cell>
          <cell r="H1691">
            <v>28</v>
          </cell>
          <cell r="I1691">
            <v>0</v>
          </cell>
        </row>
        <row r="1692">
          <cell r="A1692" t="str">
            <v xml:space="preserve"> 박리제   유성</v>
          </cell>
          <cell r="C1692" t="str">
            <v xml:space="preserve"> 박리제  </v>
          </cell>
          <cell r="D1692" t="str">
            <v xml:space="preserve"> 유성</v>
          </cell>
          <cell r="E1692" t="str">
            <v>ℓ</v>
          </cell>
          <cell r="F1692">
            <v>3.7999999999999999E-2</v>
          </cell>
          <cell r="G1692">
            <v>1300</v>
          </cell>
          <cell r="H1692">
            <v>49.4</v>
          </cell>
          <cell r="I1692">
            <v>0</v>
          </cell>
        </row>
        <row r="1693">
          <cell r="A1693" t="str">
            <v xml:space="preserve"> 용접봉(고강용)  Φ3.2 LC-600</v>
          </cell>
          <cell r="C1693" t="str">
            <v xml:space="preserve"> 용접봉(고강용) </v>
          </cell>
          <cell r="D1693" t="str">
            <v xml:space="preserve"> Φ3.2 LC-600</v>
          </cell>
          <cell r="E1693" t="str">
            <v>kg</v>
          </cell>
          <cell r="F1693">
            <v>1</v>
          </cell>
          <cell r="G1693">
            <v>1620</v>
          </cell>
          <cell r="H1693">
            <v>1620</v>
          </cell>
          <cell r="I1693">
            <v>0</v>
          </cell>
        </row>
        <row r="1694">
          <cell r="A1694" t="str">
            <v xml:space="preserve"> 산소(기체)</v>
          </cell>
          <cell r="C1694" t="str">
            <v xml:space="preserve"> 산소(기체)</v>
          </cell>
          <cell r="D1694">
            <v>0</v>
          </cell>
          <cell r="E1694" t="str">
            <v>ℓ</v>
          </cell>
          <cell r="F1694">
            <v>343.35</v>
          </cell>
          <cell r="G1694">
            <v>250</v>
          </cell>
          <cell r="H1694">
            <v>85837.5</v>
          </cell>
          <cell r="I1694">
            <v>0</v>
          </cell>
        </row>
        <row r="1695">
          <cell r="A1695" t="str">
            <v xml:space="preserve"> 아세틸렌</v>
          </cell>
          <cell r="C1695" t="str">
            <v xml:space="preserve"> 아세틸렌</v>
          </cell>
          <cell r="D1695">
            <v>0</v>
          </cell>
          <cell r="E1695" t="str">
            <v>㎏</v>
          </cell>
          <cell r="F1695">
            <v>0.153</v>
          </cell>
          <cell r="G1695">
            <v>12000</v>
          </cell>
          <cell r="H1695">
            <v>1836</v>
          </cell>
          <cell r="I1695">
            <v>0</v>
          </cell>
        </row>
        <row r="1696">
          <cell r="A1696" t="str">
            <v xml:space="preserve"> 백관 (SPP)   D40</v>
          </cell>
          <cell r="C1696" t="str">
            <v xml:space="preserve"> 백관 (SPP)  </v>
          </cell>
          <cell r="D1696" t="str">
            <v xml:space="preserve"> D40</v>
          </cell>
          <cell r="E1696" t="str">
            <v>m</v>
          </cell>
          <cell r="F1696">
            <v>1.5</v>
          </cell>
          <cell r="G1696">
            <v>1347</v>
          </cell>
          <cell r="H1696">
            <v>2020.5</v>
          </cell>
          <cell r="I1696">
            <v>0</v>
          </cell>
        </row>
        <row r="1697">
          <cell r="A1697" t="str">
            <v xml:space="preserve"> 백관 (SPP)  D100</v>
          </cell>
          <cell r="C1697" t="str">
            <v xml:space="preserve"> 백관 (SPP) </v>
          </cell>
          <cell r="D1697" t="str">
            <v xml:space="preserve"> D100</v>
          </cell>
          <cell r="E1697" t="str">
            <v>m</v>
          </cell>
          <cell r="F1697">
            <v>3</v>
          </cell>
          <cell r="G1697">
            <v>7392</v>
          </cell>
          <cell r="H1697">
            <v>22176</v>
          </cell>
          <cell r="I1697">
            <v>0</v>
          </cell>
        </row>
        <row r="1698">
          <cell r="A1698" t="str">
            <v xml:space="preserve"> 백레듀샤 (용접)   D100</v>
          </cell>
          <cell r="C1698" t="str">
            <v xml:space="preserve"> 백레듀샤 (용접)  </v>
          </cell>
          <cell r="D1698" t="str">
            <v xml:space="preserve"> D100</v>
          </cell>
          <cell r="E1698" t="str">
            <v>개</v>
          </cell>
          <cell r="F1698">
            <v>1</v>
          </cell>
          <cell r="G1698">
            <v>2700</v>
          </cell>
          <cell r="H1698">
            <v>2700</v>
          </cell>
          <cell r="I1698">
            <v>0</v>
          </cell>
        </row>
        <row r="1699">
          <cell r="A1699" t="str">
            <v xml:space="preserve"> 열연강판   6t</v>
          </cell>
          <cell r="C1699" t="str">
            <v xml:space="preserve"> 열연강판  </v>
          </cell>
          <cell r="D1699" t="str">
            <v xml:space="preserve"> 6t</v>
          </cell>
          <cell r="E1699" t="str">
            <v>kg</v>
          </cell>
          <cell r="F1699">
            <v>12.43</v>
          </cell>
          <cell r="G1699">
            <v>360</v>
          </cell>
          <cell r="H1699">
            <v>4474.8</v>
          </cell>
          <cell r="I1699">
            <v>0</v>
          </cell>
        </row>
        <row r="1700">
          <cell r="A1700" t="str">
            <v xml:space="preserve"> 앵커볼트(7/8")  M22  L250</v>
          </cell>
          <cell r="C1700" t="str">
            <v xml:space="preserve"> 앵커볼트(7/8") </v>
          </cell>
          <cell r="D1700" t="str">
            <v xml:space="preserve"> M22  L250</v>
          </cell>
          <cell r="E1700" t="str">
            <v>조</v>
          </cell>
          <cell r="F1700">
            <v>4</v>
          </cell>
          <cell r="G1700">
            <v>570</v>
          </cell>
          <cell r="H1700">
            <v>2280</v>
          </cell>
          <cell r="I1700">
            <v>0</v>
          </cell>
        </row>
        <row r="1701">
          <cell r="A1701" t="str">
            <v xml:space="preserve"> 너트 Φ22</v>
          </cell>
          <cell r="C1701" t="str">
            <v xml:space="preserve"> 너트</v>
          </cell>
          <cell r="D1701" t="str">
            <v xml:space="preserve"> Φ22</v>
          </cell>
          <cell r="E1701" t="str">
            <v>개</v>
          </cell>
          <cell r="F1701">
            <v>4</v>
          </cell>
          <cell r="G1701">
            <v>97</v>
          </cell>
          <cell r="H1701">
            <v>388</v>
          </cell>
          <cell r="I1701">
            <v>0</v>
          </cell>
        </row>
        <row r="1702">
          <cell r="A1702" t="str">
            <v xml:space="preserve"> 스프링와샤 Φ22</v>
          </cell>
          <cell r="C1702" t="str">
            <v xml:space="preserve"> 스프링와샤</v>
          </cell>
          <cell r="D1702" t="str">
            <v xml:space="preserve"> Φ22</v>
          </cell>
          <cell r="E1702" t="str">
            <v>개</v>
          </cell>
          <cell r="F1702">
            <v>4</v>
          </cell>
          <cell r="G1702">
            <v>20</v>
          </cell>
          <cell r="H1702">
            <v>80</v>
          </cell>
          <cell r="I1702">
            <v>0</v>
          </cell>
        </row>
        <row r="1703">
          <cell r="A1703" t="str">
            <v xml:space="preserve"> WB 벽부형 200×300×150</v>
          </cell>
          <cell r="C1703" t="str">
            <v xml:space="preserve"> WB 벽부형</v>
          </cell>
          <cell r="D1703" t="str">
            <v xml:space="preserve"> 200×300×150</v>
          </cell>
          <cell r="E1703" t="str">
            <v>개</v>
          </cell>
          <cell r="F1703">
            <v>1</v>
          </cell>
          <cell r="G1703">
            <v>5080</v>
          </cell>
          <cell r="H1703">
            <v>5080</v>
          </cell>
          <cell r="I1703">
            <v>0</v>
          </cell>
        </row>
        <row r="1704">
          <cell r="B1704" t="str">
            <v>소         계</v>
          </cell>
          <cell r="H1704">
            <v>227250</v>
          </cell>
          <cell r="I1704" t="str">
            <v>ⓐ</v>
          </cell>
        </row>
        <row r="1705">
          <cell r="C1705" t="str">
            <v>나, 노무비</v>
          </cell>
        </row>
        <row r="1706">
          <cell r="A1706" t="str">
            <v>88 형틀목공</v>
          </cell>
          <cell r="C1706" t="str">
            <v xml:space="preserve"> 형틀목공</v>
          </cell>
          <cell r="E1706" t="str">
            <v>인</v>
          </cell>
          <cell r="F1706">
            <v>5.3999999999999999E-2</v>
          </cell>
          <cell r="G1706">
            <v>65381</v>
          </cell>
          <cell r="H1706">
            <v>3530.5</v>
          </cell>
          <cell r="I1706" t="str">
            <v>거푸집,건설 6-3-나</v>
          </cell>
        </row>
        <row r="1707">
          <cell r="A1707" t="str">
            <v>88 철공</v>
          </cell>
          <cell r="C1707" t="str">
            <v xml:space="preserve"> 철공</v>
          </cell>
          <cell r="E1707" t="str">
            <v>인</v>
          </cell>
          <cell r="F1707">
            <v>1.506</v>
          </cell>
          <cell r="G1707">
            <v>59917</v>
          </cell>
          <cell r="H1707">
            <v>90235</v>
          </cell>
          <cell r="I1707" t="str">
            <v>잡철물제작,건설 29-6</v>
          </cell>
        </row>
        <row r="1708">
          <cell r="A1708" t="str">
            <v>88 콘크리트공</v>
          </cell>
          <cell r="C1708" t="str">
            <v xml:space="preserve"> 콘크리트공</v>
          </cell>
          <cell r="E1708" t="str">
            <v>인</v>
          </cell>
          <cell r="F1708">
            <v>6.2E-2</v>
          </cell>
          <cell r="G1708">
            <v>63605</v>
          </cell>
          <cell r="H1708">
            <v>3943.5</v>
          </cell>
          <cell r="I1708" t="str">
            <v>콘크리트,건설 6-1</v>
          </cell>
        </row>
        <row r="1709">
          <cell r="A1709" t="str">
            <v>88 통신내선공</v>
          </cell>
          <cell r="C1709" t="str">
            <v xml:space="preserve"> 통신내선공</v>
          </cell>
          <cell r="E1709" t="str">
            <v>인</v>
          </cell>
          <cell r="F1709">
            <v>0.66</v>
          </cell>
          <cell r="G1709">
            <v>63738</v>
          </cell>
          <cell r="H1709">
            <v>42067</v>
          </cell>
          <cell r="I1709" t="str">
            <v>BOX,통신 3-61-라</v>
          </cell>
        </row>
        <row r="1710">
          <cell r="A1710" t="str">
            <v>88 통신설비공</v>
          </cell>
          <cell r="C1710" t="str">
            <v xml:space="preserve"> 통신설비공</v>
          </cell>
          <cell r="E1710" t="str">
            <v>인</v>
          </cell>
          <cell r="F1710">
            <v>1.55</v>
          </cell>
          <cell r="G1710">
            <v>66296</v>
          </cell>
          <cell r="H1710">
            <v>102758.8</v>
          </cell>
          <cell r="I1710" t="str">
            <v>ANT+혼합기,통신 5-89</v>
          </cell>
        </row>
        <row r="1711">
          <cell r="A1711" t="str">
            <v>88 무선안테나공</v>
          </cell>
          <cell r="C1711" t="str">
            <v xml:space="preserve"> 무선안테나공</v>
          </cell>
          <cell r="E1711" t="str">
            <v>인</v>
          </cell>
          <cell r="F1711">
            <v>0.5</v>
          </cell>
          <cell r="G1711">
            <v>97216</v>
          </cell>
          <cell r="H1711">
            <v>48608</v>
          </cell>
          <cell r="I1711" t="str">
            <v>시험및조정,통신 5-89</v>
          </cell>
        </row>
        <row r="1712">
          <cell r="A1712" t="str">
            <v>88 특별인부</v>
          </cell>
          <cell r="C1712" t="str">
            <v xml:space="preserve"> 특별인부</v>
          </cell>
          <cell r="E1712" t="str">
            <v>인</v>
          </cell>
          <cell r="F1712">
            <v>0.04</v>
          </cell>
          <cell r="G1712">
            <v>49659</v>
          </cell>
          <cell r="H1712">
            <v>1986.3</v>
          </cell>
          <cell r="I1712" t="str">
            <v>잡철물제작,건설 29-6</v>
          </cell>
        </row>
        <row r="1713">
          <cell r="A1713" t="str">
            <v>88 용접공</v>
          </cell>
          <cell r="C1713" t="str">
            <v xml:space="preserve"> 용접공</v>
          </cell>
          <cell r="E1713" t="str">
            <v>인</v>
          </cell>
          <cell r="F1713">
            <v>0.14099999999999999</v>
          </cell>
          <cell r="G1713">
            <v>61021</v>
          </cell>
          <cell r="H1713">
            <v>8603.9</v>
          </cell>
          <cell r="I1713" t="str">
            <v>잡철물제작,건설 29-6</v>
          </cell>
        </row>
        <row r="1714">
          <cell r="A1714" t="str">
            <v>88 보통인부</v>
          </cell>
          <cell r="C1714" t="str">
            <v xml:space="preserve"> 보통인부</v>
          </cell>
          <cell r="E1714" t="str">
            <v>인</v>
          </cell>
          <cell r="F1714">
            <v>0.15</v>
          </cell>
          <cell r="G1714">
            <v>34098</v>
          </cell>
          <cell r="H1714">
            <v>5114.7</v>
          </cell>
          <cell r="I1714" t="str">
            <v>거푸집,콘크리트,잡철물제작</v>
          </cell>
        </row>
        <row r="1715">
          <cell r="B1715" t="str">
            <v>소         계</v>
          </cell>
          <cell r="H1715">
            <v>306847</v>
          </cell>
          <cell r="I1715" t="str">
            <v>ⓑ</v>
          </cell>
        </row>
        <row r="1716">
          <cell r="C1716" t="str">
            <v>다, 기계경비</v>
          </cell>
        </row>
        <row r="1717">
          <cell r="C1717" t="str">
            <v xml:space="preserve"> 형틀목공</v>
          </cell>
          <cell r="E1717" t="str">
            <v>인</v>
          </cell>
          <cell r="F1717">
            <v>1E-3</v>
          </cell>
          <cell r="G1717">
            <v>65381</v>
          </cell>
          <cell r="H1717">
            <v>65.3</v>
          </cell>
        </row>
        <row r="1718">
          <cell r="C1718" t="str">
            <v xml:space="preserve"> 철공</v>
          </cell>
          <cell r="E1718" t="str">
            <v>인</v>
          </cell>
          <cell r="F1718">
            <v>4.4999999999999998E-2</v>
          </cell>
          <cell r="G1718">
            <v>59917</v>
          </cell>
          <cell r="H1718">
            <v>2696.2</v>
          </cell>
        </row>
        <row r="1719">
          <cell r="C1719" t="str">
            <v xml:space="preserve"> 콘크리트공</v>
          </cell>
          <cell r="E1719" t="str">
            <v>인</v>
          </cell>
          <cell r="F1719">
            <v>1E-3</v>
          </cell>
          <cell r="G1719">
            <v>63605</v>
          </cell>
          <cell r="H1719">
            <v>63.6</v>
          </cell>
        </row>
        <row r="1720">
          <cell r="C1720" t="str">
            <v xml:space="preserve"> 통신내선공</v>
          </cell>
          <cell r="E1720" t="str">
            <v>인</v>
          </cell>
          <cell r="F1720">
            <v>1.9E-2</v>
          </cell>
          <cell r="G1720">
            <v>63738</v>
          </cell>
          <cell r="H1720">
            <v>1211</v>
          </cell>
        </row>
        <row r="1721">
          <cell r="C1721" t="str">
            <v xml:space="preserve"> 통신설비공</v>
          </cell>
          <cell r="E1721" t="str">
            <v>인</v>
          </cell>
          <cell r="F1721">
            <v>4.5999999999999999E-2</v>
          </cell>
          <cell r="G1721">
            <v>66296</v>
          </cell>
          <cell r="H1721">
            <v>3049.6</v>
          </cell>
        </row>
        <row r="1722">
          <cell r="C1722" t="str">
            <v xml:space="preserve"> 무선안테나공</v>
          </cell>
          <cell r="E1722" t="str">
            <v>인</v>
          </cell>
          <cell r="F1722">
            <v>1.4999999999999999E-2</v>
          </cell>
          <cell r="G1722">
            <v>97216</v>
          </cell>
          <cell r="H1722">
            <v>1458.2</v>
          </cell>
        </row>
        <row r="1723">
          <cell r="C1723" t="str">
            <v xml:space="preserve"> 특별인부</v>
          </cell>
          <cell r="E1723" t="str">
            <v>인</v>
          </cell>
          <cell r="F1723">
            <v>1E-3</v>
          </cell>
          <cell r="G1723">
            <v>49659</v>
          </cell>
          <cell r="H1723">
            <v>49.6</v>
          </cell>
        </row>
        <row r="1724">
          <cell r="C1724" t="str">
            <v xml:space="preserve"> 용접공</v>
          </cell>
          <cell r="E1724" t="str">
            <v>인</v>
          </cell>
          <cell r="F1724">
            <v>4.0000000000000001E-3</v>
          </cell>
          <cell r="G1724">
            <v>61021</v>
          </cell>
          <cell r="H1724">
            <v>244</v>
          </cell>
        </row>
        <row r="1725">
          <cell r="B1725" t="str">
            <v>소         계</v>
          </cell>
          <cell r="H1725">
            <v>8837</v>
          </cell>
          <cell r="I1725" t="str">
            <v>ⓒ</v>
          </cell>
        </row>
        <row r="1727">
          <cell r="A1727" t="str">
            <v>88재   료   비</v>
          </cell>
          <cell r="B1727" t="str">
            <v>재   료   비</v>
          </cell>
          <cell r="D1727" t="str">
            <v>ⓐ</v>
          </cell>
          <cell r="H1727">
            <v>227250</v>
          </cell>
        </row>
        <row r="1728">
          <cell r="A1728" t="str">
            <v>88노   무   비</v>
          </cell>
          <cell r="B1728" t="str">
            <v>노   무   비</v>
          </cell>
          <cell r="D1728" t="str">
            <v>ⓑ</v>
          </cell>
          <cell r="H1728">
            <v>306847</v>
          </cell>
        </row>
        <row r="1729">
          <cell r="A1729" t="str">
            <v>88경        비</v>
          </cell>
          <cell r="B1729" t="str">
            <v>경        비</v>
          </cell>
          <cell r="D1729" t="str">
            <v>ⓒ</v>
          </cell>
          <cell r="H1729">
            <v>8837</v>
          </cell>
        </row>
        <row r="1730">
          <cell r="B1730" t="str">
            <v>계</v>
          </cell>
          <cell r="H1730">
            <v>542934</v>
          </cell>
        </row>
        <row r="1732">
          <cell r="B1732">
            <v>89</v>
          </cell>
          <cell r="C1732" t="str">
            <v xml:space="preserve"> CCTV수상기 콘솔 신설</v>
          </cell>
          <cell r="D1732" t="str">
            <v xml:space="preserve"> C14-4형</v>
          </cell>
          <cell r="E1732" t="str">
            <v>대</v>
          </cell>
          <cell r="F1732">
            <v>1</v>
          </cell>
        </row>
        <row r="1733">
          <cell r="C1733" t="str">
            <v>가, 재료비</v>
          </cell>
        </row>
        <row r="1734">
          <cell r="A1734" t="str">
            <v xml:space="preserve"> CONSOLE RACK 14" MONITOR 4대</v>
          </cell>
          <cell r="C1734" t="str">
            <v xml:space="preserve"> CONSOLE RACK</v>
          </cell>
          <cell r="D1734" t="str">
            <v xml:space="preserve"> 14" MONITOR 4대</v>
          </cell>
          <cell r="E1734" t="str">
            <v>대</v>
          </cell>
          <cell r="F1734">
            <v>1</v>
          </cell>
          <cell r="G1734">
            <v>1500000</v>
          </cell>
          <cell r="H1734">
            <v>1500000</v>
          </cell>
          <cell r="I1734">
            <v>0</v>
          </cell>
        </row>
        <row r="1735">
          <cell r="A1735" t="str">
            <v xml:space="preserve"> AUTO CODE TIME S/W 8CH</v>
          </cell>
          <cell r="C1735" t="str">
            <v xml:space="preserve"> AUTO CODE TIME S/W</v>
          </cell>
          <cell r="D1735" t="str">
            <v xml:space="preserve"> 8CH</v>
          </cell>
          <cell r="E1735" t="str">
            <v>개</v>
          </cell>
          <cell r="F1735">
            <v>4</v>
          </cell>
          <cell r="G1735">
            <v>850000</v>
          </cell>
          <cell r="H1735">
            <v>3400000</v>
          </cell>
          <cell r="I1735">
            <v>0</v>
          </cell>
        </row>
        <row r="1736">
          <cell r="A1736" t="str">
            <v xml:space="preserve"> COLOR MONITOR 14"</v>
          </cell>
          <cell r="C1736" t="str">
            <v xml:space="preserve"> COLOR MONITOR</v>
          </cell>
          <cell r="D1736" t="str">
            <v xml:space="preserve"> 14"</v>
          </cell>
          <cell r="E1736" t="str">
            <v>대</v>
          </cell>
          <cell r="F1736">
            <v>4</v>
          </cell>
          <cell r="G1736">
            <v>250000</v>
          </cell>
          <cell r="H1736">
            <v>1000000</v>
          </cell>
          <cell r="I1736">
            <v>0</v>
          </cell>
        </row>
        <row r="1737">
          <cell r="A1737" t="str">
            <v xml:space="preserve"> POWER CONTROLLER 8CH</v>
          </cell>
          <cell r="C1737" t="str">
            <v xml:space="preserve"> POWER CONTROLLER</v>
          </cell>
          <cell r="D1737" t="str">
            <v xml:space="preserve"> 8CH</v>
          </cell>
          <cell r="E1737" t="str">
            <v>개</v>
          </cell>
          <cell r="F1737">
            <v>1</v>
          </cell>
          <cell r="G1737">
            <v>230000</v>
          </cell>
          <cell r="H1737">
            <v>230000</v>
          </cell>
          <cell r="I1737">
            <v>0</v>
          </cell>
        </row>
        <row r="1738">
          <cell r="A1738" t="str">
            <v xml:space="preserve"> TIMER 24 Hr</v>
          </cell>
          <cell r="C1738" t="str">
            <v xml:space="preserve"> TIMER</v>
          </cell>
          <cell r="D1738" t="str">
            <v xml:space="preserve"> 24 Hr</v>
          </cell>
          <cell r="E1738" t="str">
            <v>개</v>
          </cell>
          <cell r="F1738">
            <v>1</v>
          </cell>
          <cell r="G1738">
            <v>48400</v>
          </cell>
          <cell r="H1738">
            <v>48400</v>
          </cell>
          <cell r="I1738">
            <v>0</v>
          </cell>
        </row>
        <row r="1739">
          <cell r="B1739" t="str">
            <v>소         계</v>
          </cell>
          <cell r="H1739">
            <v>6178400</v>
          </cell>
          <cell r="I1739" t="str">
            <v>ⓐ</v>
          </cell>
        </row>
        <row r="1740">
          <cell r="C1740" t="str">
            <v>나, 노무비</v>
          </cell>
        </row>
        <row r="1741">
          <cell r="A1741" t="str">
            <v>89 통신기사 2급</v>
          </cell>
          <cell r="C1741" t="str">
            <v xml:space="preserve"> 통신기사 2급</v>
          </cell>
          <cell r="E1741" t="str">
            <v>인</v>
          </cell>
          <cell r="F1741">
            <v>3.67</v>
          </cell>
          <cell r="G1741">
            <v>78519</v>
          </cell>
          <cell r="H1741">
            <v>288164.7</v>
          </cell>
          <cell r="I1741" t="str">
            <v>기본,통신 3-29</v>
          </cell>
        </row>
        <row r="1742">
          <cell r="A1742" t="str">
            <v>89 통신설비공</v>
          </cell>
          <cell r="C1742" t="str">
            <v xml:space="preserve"> 통신설비공</v>
          </cell>
          <cell r="E1742" t="str">
            <v>인</v>
          </cell>
          <cell r="F1742">
            <v>4.5600000000000005</v>
          </cell>
          <cell r="G1742">
            <v>66296</v>
          </cell>
          <cell r="H1742">
            <v>302309.7</v>
          </cell>
          <cell r="I1742" t="str">
            <v>기본,통신 3-29</v>
          </cell>
        </row>
        <row r="1743">
          <cell r="A1743" t="str">
            <v>89 보통인부</v>
          </cell>
          <cell r="C1743" t="str">
            <v xml:space="preserve"> 보통인부</v>
          </cell>
          <cell r="E1743" t="str">
            <v>인</v>
          </cell>
          <cell r="F1743">
            <v>0.8</v>
          </cell>
          <cell r="G1743">
            <v>34098</v>
          </cell>
          <cell r="H1743">
            <v>27278.400000000001</v>
          </cell>
          <cell r="I1743" t="str">
            <v>기본,통신 3-29</v>
          </cell>
        </row>
        <row r="1744">
          <cell r="B1744" t="str">
            <v>소         계</v>
          </cell>
          <cell r="H1744">
            <v>617752</v>
          </cell>
          <cell r="I1744" t="str">
            <v>ⓑ</v>
          </cell>
        </row>
        <row r="1745">
          <cell r="C1745" t="str">
            <v>다, 기계경비</v>
          </cell>
        </row>
        <row r="1746">
          <cell r="C1746" t="str">
            <v xml:space="preserve"> 통신기사 2급</v>
          </cell>
          <cell r="E1746" t="str">
            <v>인</v>
          </cell>
          <cell r="F1746">
            <v>0.11</v>
          </cell>
          <cell r="G1746">
            <v>78519</v>
          </cell>
          <cell r="H1746">
            <v>8637</v>
          </cell>
        </row>
        <row r="1747">
          <cell r="C1747" t="str">
            <v xml:space="preserve"> 통신설비공</v>
          </cell>
          <cell r="E1747" t="str">
            <v>인</v>
          </cell>
          <cell r="F1747">
            <v>0.13600000000000001</v>
          </cell>
          <cell r="G1747">
            <v>66296</v>
          </cell>
          <cell r="H1747">
            <v>9016.2000000000007</v>
          </cell>
        </row>
        <row r="1748">
          <cell r="C1748" t="str">
            <v xml:space="preserve"> 보통인부</v>
          </cell>
          <cell r="E1748" t="str">
            <v>인</v>
          </cell>
          <cell r="F1748">
            <v>2.4E-2</v>
          </cell>
          <cell r="G1748">
            <v>34098</v>
          </cell>
          <cell r="H1748">
            <v>818.3</v>
          </cell>
        </row>
        <row r="1749">
          <cell r="B1749" t="str">
            <v>소         계</v>
          </cell>
          <cell r="H1749">
            <v>18471</v>
          </cell>
          <cell r="I1749" t="str">
            <v>ⓒ</v>
          </cell>
        </row>
        <row r="1750">
          <cell r="A1750" t="str">
            <v>89재   료   비</v>
          </cell>
          <cell r="B1750" t="str">
            <v>재   료   비</v>
          </cell>
          <cell r="D1750" t="str">
            <v>ⓐ</v>
          </cell>
          <cell r="H1750">
            <v>6178400</v>
          </cell>
        </row>
        <row r="1751">
          <cell r="A1751" t="str">
            <v>89노   무   비</v>
          </cell>
          <cell r="B1751" t="str">
            <v>노   무   비</v>
          </cell>
          <cell r="D1751" t="str">
            <v>ⓑ</v>
          </cell>
          <cell r="H1751">
            <v>617752</v>
          </cell>
        </row>
        <row r="1752">
          <cell r="A1752" t="str">
            <v>89경        비</v>
          </cell>
          <cell r="B1752" t="str">
            <v>경        비</v>
          </cell>
          <cell r="D1752" t="str">
            <v>ⓒ</v>
          </cell>
          <cell r="H1752">
            <v>18471</v>
          </cell>
        </row>
        <row r="1753">
          <cell r="B1753" t="str">
            <v>계</v>
          </cell>
          <cell r="H1753">
            <v>6814623</v>
          </cell>
        </row>
        <row r="1768">
          <cell r="B1768">
            <v>90</v>
          </cell>
          <cell r="C1768" t="str">
            <v xml:space="preserve"> CCTV수상기 신설</v>
          </cell>
          <cell r="D1768" t="str">
            <v xml:space="preserve"> M20-2형</v>
          </cell>
          <cell r="E1768" t="str">
            <v>대</v>
          </cell>
          <cell r="F1768">
            <v>1</v>
          </cell>
        </row>
        <row r="1769">
          <cell r="C1769" t="str">
            <v>가, 재료비</v>
          </cell>
        </row>
        <row r="1770">
          <cell r="A1770" t="str">
            <v xml:space="preserve"> COLOR MONITOR 20"</v>
          </cell>
          <cell r="C1770" t="str">
            <v xml:space="preserve"> COLOR MONITOR</v>
          </cell>
          <cell r="D1770" t="str">
            <v xml:space="preserve"> 20"</v>
          </cell>
          <cell r="E1770" t="str">
            <v>대</v>
          </cell>
          <cell r="F1770">
            <v>2</v>
          </cell>
          <cell r="G1770">
            <v>350000</v>
          </cell>
          <cell r="H1770">
            <v>700000</v>
          </cell>
          <cell r="I1770">
            <v>0</v>
          </cell>
        </row>
        <row r="1771">
          <cell r="A1771" t="str">
            <v xml:space="preserve"> MONITOR HOUSING 20"×2형</v>
          </cell>
          <cell r="C1771" t="str">
            <v xml:space="preserve"> MONITOR HOUSING</v>
          </cell>
          <cell r="D1771" t="str">
            <v xml:space="preserve"> 20"×2형</v>
          </cell>
          <cell r="E1771" t="str">
            <v>대</v>
          </cell>
          <cell r="F1771">
            <v>1</v>
          </cell>
          <cell r="G1771">
            <v>700000</v>
          </cell>
          <cell r="H1771">
            <v>700000</v>
          </cell>
          <cell r="I1771">
            <v>0</v>
          </cell>
        </row>
        <row r="1772">
          <cell r="B1772" t="str">
            <v>소         계</v>
          </cell>
          <cell r="H1772">
            <v>1400000</v>
          </cell>
          <cell r="I1772" t="str">
            <v>ⓐ</v>
          </cell>
        </row>
        <row r="1773">
          <cell r="C1773" t="str">
            <v>나, 노무비</v>
          </cell>
        </row>
        <row r="1774">
          <cell r="A1774" t="str">
            <v>90 통신기사 2급</v>
          </cell>
          <cell r="C1774" t="str">
            <v xml:space="preserve"> 통신기사 2급</v>
          </cell>
          <cell r="E1774" t="str">
            <v>인</v>
          </cell>
          <cell r="F1774">
            <v>0.2</v>
          </cell>
          <cell r="G1774">
            <v>78519</v>
          </cell>
          <cell r="H1774">
            <v>15703.8</v>
          </cell>
          <cell r="I1774" t="str">
            <v>기본,통신 3-29</v>
          </cell>
        </row>
        <row r="1775">
          <cell r="A1775" t="str">
            <v>90 통신설비공</v>
          </cell>
          <cell r="C1775" t="str">
            <v xml:space="preserve"> 통신설비공</v>
          </cell>
          <cell r="E1775" t="str">
            <v>인</v>
          </cell>
          <cell r="F1775">
            <v>1.1200000000000001</v>
          </cell>
          <cell r="G1775">
            <v>66296</v>
          </cell>
          <cell r="H1775">
            <v>74251.5</v>
          </cell>
          <cell r="I1775" t="str">
            <v>기본,통신 3-29</v>
          </cell>
        </row>
        <row r="1776">
          <cell r="A1776" t="str">
            <v>90 보통인부</v>
          </cell>
          <cell r="C1776" t="str">
            <v xml:space="preserve"> 보통인부</v>
          </cell>
          <cell r="E1776" t="str">
            <v>인</v>
          </cell>
          <cell r="F1776">
            <v>0.72</v>
          </cell>
          <cell r="G1776">
            <v>34098</v>
          </cell>
          <cell r="H1776">
            <v>24550.5</v>
          </cell>
          <cell r="I1776" t="str">
            <v>기본,통신 3-29</v>
          </cell>
        </row>
        <row r="1777">
          <cell r="B1777" t="str">
            <v>소         계</v>
          </cell>
          <cell r="H1777">
            <v>114505</v>
          </cell>
          <cell r="I1777" t="str">
            <v>ⓑ</v>
          </cell>
        </row>
        <row r="1778">
          <cell r="C1778" t="str">
            <v>다, 기계경비</v>
          </cell>
        </row>
        <row r="1779">
          <cell r="C1779" t="str">
            <v xml:space="preserve"> 통신기사 2급</v>
          </cell>
          <cell r="E1779" t="str">
            <v>인</v>
          </cell>
          <cell r="F1779">
            <v>6.0000000000000001E-3</v>
          </cell>
          <cell r="G1779">
            <v>78519</v>
          </cell>
          <cell r="H1779">
            <v>471.1</v>
          </cell>
        </row>
        <row r="1780">
          <cell r="C1780" t="str">
            <v xml:space="preserve"> 통신설비공</v>
          </cell>
          <cell r="E1780" t="str">
            <v>인</v>
          </cell>
          <cell r="F1780">
            <v>3.3000000000000002E-2</v>
          </cell>
          <cell r="G1780">
            <v>66296</v>
          </cell>
          <cell r="H1780">
            <v>2187.6999999999998</v>
          </cell>
        </row>
        <row r="1781">
          <cell r="C1781" t="str">
            <v xml:space="preserve"> 보통인부</v>
          </cell>
          <cell r="E1781" t="str">
            <v>인</v>
          </cell>
          <cell r="F1781">
            <v>2.1000000000000001E-2</v>
          </cell>
          <cell r="G1781">
            <v>34098</v>
          </cell>
          <cell r="H1781">
            <v>716</v>
          </cell>
        </row>
        <row r="1782">
          <cell r="B1782" t="str">
            <v>소         계</v>
          </cell>
          <cell r="H1782">
            <v>3374</v>
          </cell>
          <cell r="I1782" t="str">
            <v>ⓒ</v>
          </cell>
        </row>
        <row r="1786">
          <cell r="A1786" t="str">
            <v>90재   료   비</v>
          </cell>
          <cell r="B1786" t="str">
            <v>재   료   비</v>
          </cell>
          <cell r="D1786" t="str">
            <v>ⓐ</v>
          </cell>
          <cell r="H1786">
            <v>1400000</v>
          </cell>
        </row>
        <row r="1787">
          <cell r="A1787" t="str">
            <v>90노   무   비</v>
          </cell>
          <cell r="B1787" t="str">
            <v>노   무   비</v>
          </cell>
          <cell r="D1787" t="str">
            <v>ⓑ</v>
          </cell>
          <cell r="H1787">
            <v>114505</v>
          </cell>
        </row>
        <row r="1788">
          <cell r="A1788" t="str">
            <v>90경        비</v>
          </cell>
          <cell r="B1788" t="str">
            <v>경        비</v>
          </cell>
          <cell r="D1788" t="str">
            <v>ⓒ</v>
          </cell>
          <cell r="H1788">
            <v>3374</v>
          </cell>
        </row>
        <row r="1789">
          <cell r="B1789" t="str">
            <v>계</v>
          </cell>
          <cell r="H1789">
            <v>1517879</v>
          </cell>
        </row>
        <row r="1804">
          <cell r="B1804">
            <v>91</v>
          </cell>
          <cell r="C1804" t="str">
            <v xml:space="preserve"> CCTV카메라 신설</v>
          </cell>
          <cell r="D1804" t="str">
            <v xml:space="preserve"> CCD- 8</v>
          </cell>
          <cell r="E1804" t="str">
            <v>대</v>
          </cell>
          <cell r="F1804">
            <v>1</v>
          </cell>
        </row>
        <row r="1805">
          <cell r="C1805" t="str">
            <v>가, 재료비</v>
          </cell>
        </row>
        <row r="1806">
          <cell r="A1806" t="str">
            <v xml:space="preserve"> COLOR CAMERA 2 LUX</v>
          </cell>
          <cell r="C1806" t="str">
            <v xml:space="preserve"> COLOR CAMERA</v>
          </cell>
          <cell r="D1806" t="str">
            <v xml:space="preserve"> 2 LUX</v>
          </cell>
          <cell r="E1806" t="str">
            <v>개</v>
          </cell>
          <cell r="F1806">
            <v>1</v>
          </cell>
          <cell r="G1806">
            <v>1250000</v>
          </cell>
          <cell r="H1806">
            <v>1250000</v>
          </cell>
          <cell r="I1806">
            <v>0</v>
          </cell>
        </row>
        <row r="1807">
          <cell r="A1807" t="str">
            <v xml:space="preserve"> AUTO IRIS LENS 8mm</v>
          </cell>
          <cell r="C1807" t="str">
            <v xml:space="preserve"> AUTO IRIS LENS</v>
          </cell>
          <cell r="D1807" t="str">
            <v xml:space="preserve"> 8mm</v>
          </cell>
          <cell r="E1807" t="str">
            <v>개</v>
          </cell>
          <cell r="F1807">
            <v>1</v>
          </cell>
          <cell r="G1807">
            <v>180000</v>
          </cell>
          <cell r="H1807">
            <v>180000</v>
          </cell>
          <cell r="I1807">
            <v>0</v>
          </cell>
        </row>
        <row r="1808">
          <cell r="A1808" t="str">
            <v xml:space="preserve"> CAMERA HOUSING INDOOR</v>
          </cell>
          <cell r="C1808" t="str">
            <v xml:space="preserve"> CAMERA HOUSING</v>
          </cell>
          <cell r="D1808" t="str">
            <v xml:space="preserve"> INDOOR</v>
          </cell>
          <cell r="E1808" t="str">
            <v>개</v>
          </cell>
          <cell r="F1808">
            <v>1</v>
          </cell>
          <cell r="G1808">
            <v>60000</v>
          </cell>
          <cell r="H1808">
            <v>60000</v>
          </cell>
          <cell r="I1808">
            <v>0</v>
          </cell>
        </row>
        <row r="1809">
          <cell r="A1809" t="str">
            <v xml:space="preserve"> CAMERA BRACKET WALL TYPE</v>
          </cell>
          <cell r="C1809" t="str">
            <v xml:space="preserve"> CAMERA BRACKET</v>
          </cell>
          <cell r="D1809" t="str">
            <v xml:space="preserve"> WALL TYPE</v>
          </cell>
          <cell r="E1809" t="str">
            <v>개</v>
          </cell>
          <cell r="F1809">
            <v>1</v>
          </cell>
          <cell r="G1809">
            <v>50000</v>
          </cell>
          <cell r="H1809">
            <v>50000</v>
          </cell>
          <cell r="I1809">
            <v>0</v>
          </cell>
        </row>
        <row r="1810">
          <cell r="B1810" t="str">
            <v>소         계</v>
          </cell>
          <cell r="H1810">
            <v>1540000</v>
          </cell>
          <cell r="I1810" t="str">
            <v>ⓐ</v>
          </cell>
        </row>
        <row r="1811">
          <cell r="C1811" t="str">
            <v>나, 노무비</v>
          </cell>
        </row>
        <row r="1812">
          <cell r="A1812" t="str">
            <v>91 통신기사 2급</v>
          </cell>
          <cell r="C1812" t="str">
            <v xml:space="preserve"> 통신기사 2급</v>
          </cell>
          <cell r="E1812" t="str">
            <v>인</v>
          </cell>
          <cell r="F1812">
            <v>0.7</v>
          </cell>
          <cell r="G1812">
            <v>78519</v>
          </cell>
          <cell r="H1812">
            <v>54963.3</v>
          </cell>
          <cell r="I1812" t="str">
            <v>기본,통신 3-29</v>
          </cell>
        </row>
        <row r="1813">
          <cell r="A1813" t="str">
            <v>91 통신설비공</v>
          </cell>
          <cell r="C1813" t="str">
            <v xml:space="preserve"> 통신설비공</v>
          </cell>
          <cell r="E1813" t="str">
            <v>인</v>
          </cell>
          <cell r="F1813">
            <v>1.02</v>
          </cell>
          <cell r="G1813">
            <v>66296</v>
          </cell>
          <cell r="H1813">
            <v>67621.899999999994</v>
          </cell>
          <cell r="I1813" t="str">
            <v>기본,통신 3-29</v>
          </cell>
        </row>
        <row r="1814">
          <cell r="A1814" t="str">
            <v>91 보통인부</v>
          </cell>
          <cell r="C1814" t="str">
            <v xml:space="preserve"> 보통인부</v>
          </cell>
          <cell r="E1814" t="str">
            <v>인</v>
          </cell>
          <cell r="F1814">
            <v>0.91999999999999993</v>
          </cell>
          <cell r="G1814">
            <v>34098</v>
          </cell>
          <cell r="H1814">
            <v>31370.1</v>
          </cell>
          <cell r="I1814" t="str">
            <v>기본,통신 3-29</v>
          </cell>
        </row>
        <row r="1815">
          <cell r="B1815" t="str">
            <v>소         계</v>
          </cell>
          <cell r="H1815">
            <v>153955</v>
          </cell>
          <cell r="I1815" t="str">
            <v>ⓑ</v>
          </cell>
        </row>
        <row r="1816">
          <cell r="C1816" t="str">
            <v>다, 기계경비</v>
          </cell>
        </row>
        <row r="1817">
          <cell r="C1817" t="str">
            <v xml:space="preserve"> 통신기사 2급</v>
          </cell>
          <cell r="E1817" t="str">
            <v>인</v>
          </cell>
          <cell r="F1817">
            <v>2.1000000000000001E-2</v>
          </cell>
          <cell r="G1817">
            <v>78519</v>
          </cell>
          <cell r="H1817">
            <v>1648.8</v>
          </cell>
        </row>
        <row r="1818">
          <cell r="C1818" t="str">
            <v xml:space="preserve"> 통신설비공</v>
          </cell>
          <cell r="E1818" t="str">
            <v>인</v>
          </cell>
          <cell r="F1818">
            <v>0.03</v>
          </cell>
          <cell r="G1818">
            <v>66296</v>
          </cell>
          <cell r="H1818">
            <v>1988.8</v>
          </cell>
        </row>
        <row r="1819">
          <cell r="C1819" t="str">
            <v xml:space="preserve"> 보통인부</v>
          </cell>
          <cell r="E1819" t="str">
            <v>인</v>
          </cell>
          <cell r="F1819">
            <v>2.7E-2</v>
          </cell>
          <cell r="G1819">
            <v>34098</v>
          </cell>
          <cell r="H1819">
            <v>920.6</v>
          </cell>
        </row>
        <row r="1820">
          <cell r="B1820" t="str">
            <v>소         계</v>
          </cell>
          <cell r="H1820">
            <v>4558</v>
          </cell>
          <cell r="I1820" t="str">
            <v>ⓒ</v>
          </cell>
        </row>
        <row r="1822">
          <cell r="A1822" t="str">
            <v>91재   료   비</v>
          </cell>
          <cell r="B1822" t="str">
            <v>재   료   비</v>
          </cell>
          <cell r="D1822" t="str">
            <v>ⓐ</v>
          </cell>
          <cell r="H1822">
            <v>1540000</v>
          </cell>
        </row>
        <row r="1823">
          <cell r="A1823" t="str">
            <v>91노   무   비</v>
          </cell>
          <cell r="B1823" t="str">
            <v>노   무   비</v>
          </cell>
          <cell r="D1823" t="str">
            <v>ⓑ</v>
          </cell>
          <cell r="H1823">
            <v>153955</v>
          </cell>
        </row>
        <row r="1824">
          <cell r="A1824" t="str">
            <v>91경        비</v>
          </cell>
          <cell r="B1824" t="str">
            <v>경        비</v>
          </cell>
          <cell r="D1824" t="str">
            <v>ⓒ</v>
          </cell>
          <cell r="H1824">
            <v>4558</v>
          </cell>
        </row>
        <row r="1825">
          <cell r="B1825" t="str">
            <v>계</v>
          </cell>
          <cell r="H1825">
            <v>1698513</v>
          </cell>
        </row>
        <row r="1840">
          <cell r="B1840">
            <v>92</v>
          </cell>
          <cell r="C1840" t="str">
            <v xml:space="preserve"> CCTV카메라 신설</v>
          </cell>
          <cell r="D1840" t="str">
            <v xml:space="preserve"> CCD-16</v>
          </cell>
          <cell r="E1840" t="str">
            <v>대</v>
          </cell>
          <cell r="F1840">
            <v>1</v>
          </cell>
        </row>
        <row r="1841">
          <cell r="C1841" t="str">
            <v>가, 재료비</v>
          </cell>
        </row>
        <row r="1842">
          <cell r="A1842" t="str">
            <v xml:space="preserve"> COLOR CAMERA 2 LUX</v>
          </cell>
          <cell r="C1842" t="str">
            <v xml:space="preserve"> COLOR CAMERA</v>
          </cell>
          <cell r="D1842" t="str">
            <v xml:space="preserve"> 2 LUX</v>
          </cell>
          <cell r="E1842" t="str">
            <v>개</v>
          </cell>
          <cell r="F1842">
            <v>1</v>
          </cell>
          <cell r="G1842">
            <v>1250000</v>
          </cell>
          <cell r="H1842">
            <v>1250000</v>
          </cell>
          <cell r="I1842">
            <v>0</v>
          </cell>
        </row>
        <row r="1843">
          <cell r="A1843" t="str">
            <v xml:space="preserve"> AUTO IRIS LENS 16mm</v>
          </cell>
          <cell r="C1843" t="str">
            <v xml:space="preserve"> AUTO IRIS LENS</v>
          </cell>
          <cell r="D1843" t="str">
            <v xml:space="preserve"> 16mm</v>
          </cell>
          <cell r="E1843" t="str">
            <v>개</v>
          </cell>
          <cell r="F1843">
            <v>1</v>
          </cell>
          <cell r="G1843">
            <v>250000</v>
          </cell>
          <cell r="H1843">
            <v>250000</v>
          </cell>
          <cell r="I1843">
            <v>0</v>
          </cell>
        </row>
        <row r="1844">
          <cell r="A1844" t="str">
            <v xml:space="preserve"> CAMERA HOUSING OUTDOOR</v>
          </cell>
          <cell r="C1844" t="str">
            <v xml:space="preserve"> CAMERA HOUSING</v>
          </cell>
          <cell r="D1844" t="str">
            <v xml:space="preserve"> OUTDOOR</v>
          </cell>
          <cell r="E1844" t="str">
            <v>개</v>
          </cell>
          <cell r="F1844">
            <v>1</v>
          </cell>
          <cell r="G1844">
            <v>300000</v>
          </cell>
          <cell r="H1844">
            <v>300000</v>
          </cell>
          <cell r="I1844">
            <v>0</v>
          </cell>
        </row>
        <row r="1845">
          <cell r="A1845" t="str">
            <v xml:space="preserve"> CAMERA BRACKET WALL TYPE</v>
          </cell>
          <cell r="C1845" t="str">
            <v xml:space="preserve"> CAMERA BRACKET</v>
          </cell>
          <cell r="D1845" t="str">
            <v xml:space="preserve"> WALL TYPE</v>
          </cell>
          <cell r="E1845" t="str">
            <v>개</v>
          </cell>
          <cell r="F1845">
            <v>1</v>
          </cell>
          <cell r="G1845">
            <v>50000</v>
          </cell>
          <cell r="H1845">
            <v>50000</v>
          </cell>
          <cell r="I1845">
            <v>0</v>
          </cell>
        </row>
        <row r="1846">
          <cell r="B1846" t="str">
            <v>소         계</v>
          </cell>
          <cell r="H1846">
            <v>1850000</v>
          </cell>
          <cell r="I1846" t="str">
            <v>ⓐ</v>
          </cell>
        </row>
        <row r="1847">
          <cell r="C1847" t="str">
            <v>나, 노무비</v>
          </cell>
        </row>
        <row r="1848">
          <cell r="A1848" t="str">
            <v>92 통신기사 2급</v>
          </cell>
          <cell r="C1848" t="str">
            <v xml:space="preserve"> 통신기사 2급</v>
          </cell>
          <cell r="E1848" t="str">
            <v>인</v>
          </cell>
          <cell r="F1848">
            <v>0.7</v>
          </cell>
          <cell r="G1848">
            <v>78519</v>
          </cell>
          <cell r="H1848">
            <v>54963.3</v>
          </cell>
          <cell r="I1848" t="str">
            <v>기본,통신 3-29</v>
          </cell>
        </row>
        <row r="1849">
          <cell r="A1849" t="str">
            <v>92 통신설비공</v>
          </cell>
          <cell r="C1849" t="str">
            <v xml:space="preserve"> 통신설비공</v>
          </cell>
          <cell r="E1849" t="str">
            <v>인</v>
          </cell>
          <cell r="F1849">
            <v>1.02</v>
          </cell>
          <cell r="G1849">
            <v>66296</v>
          </cell>
          <cell r="H1849">
            <v>67621.899999999994</v>
          </cell>
          <cell r="I1849" t="str">
            <v>기본,통신 3-29</v>
          </cell>
        </row>
        <row r="1850">
          <cell r="A1850" t="str">
            <v>92 보통인부</v>
          </cell>
          <cell r="C1850" t="str">
            <v xml:space="preserve"> 보통인부</v>
          </cell>
          <cell r="E1850" t="str">
            <v>인</v>
          </cell>
          <cell r="F1850">
            <v>0.91999999999999993</v>
          </cell>
          <cell r="G1850">
            <v>34098</v>
          </cell>
          <cell r="H1850">
            <v>31370.1</v>
          </cell>
          <cell r="I1850" t="str">
            <v>기본,통신 3-29</v>
          </cell>
        </row>
        <row r="1851">
          <cell r="B1851" t="str">
            <v>소         계</v>
          </cell>
          <cell r="H1851">
            <v>153955</v>
          </cell>
          <cell r="I1851" t="str">
            <v>ⓑ</v>
          </cell>
        </row>
        <row r="1852">
          <cell r="C1852" t="str">
            <v>다, 기계경비</v>
          </cell>
        </row>
        <row r="1853">
          <cell r="C1853" t="str">
            <v xml:space="preserve"> 통신기사 2급</v>
          </cell>
          <cell r="E1853" t="str">
            <v>인</v>
          </cell>
          <cell r="F1853">
            <v>2.1000000000000001E-2</v>
          </cell>
          <cell r="G1853">
            <v>78519</v>
          </cell>
          <cell r="H1853">
            <v>1648.8</v>
          </cell>
        </row>
        <row r="1854">
          <cell r="C1854" t="str">
            <v xml:space="preserve"> 통신설비공</v>
          </cell>
          <cell r="E1854" t="str">
            <v>인</v>
          </cell>
          <cell r="F1854">
            <v>0.03</v>
          </cell>
          <cell r="G1854">
            <v>66296</v>
          </cell>
          <cell r="H1854">
            <v>1988.8</v>
          </cell>
        </row>
        <row r="1855">
          <cell r="C1855" t="str">
            <v xml:space="preserve"> 보통인부</v>
          </cell>
          <cell r="E1855" t="str">
            <v>인</v>
          </cell>
          <cell r="F1855">
            <v>2.7E-2</v>
          </cell>
          <cell r="G1855">
            <v>34098</v>
          </cell>
          <cell r="H1855">
            <v>920.6</v>
          </cell>
        </row>
        <row r="1856">
          <cell r="B1856" t="str">
            <v>소         계</v>
          </cell>
          <cell r="H1856">
            <v>4558</v>
          </cell>
          <cell r="I1856" t="str">
            <v>ⓒ</v>
          </cell>
        </row>
        <row r="1858">
          <cell r="A1858" t="str">
            <v>92재   료   비</v>
          </cell>
          <cell r="B1858" t="str">
            <v>재   료   비</v>
          </cell>
          <cell r="D1858" t="str">
            <v>ⓐ</v>
          </cell>
          <cell r="H1858">
            <v>1850000</v>
          </cell>
        </row>
        <row r="1859">
          <cell r="A1859" t="str">
            <v>92노   무   비</v>
          </cell>
          <cell r="B1859" t="str">
            <v>노   무   비</v>
          </cell>
          <cell r="D1859" t="str">
            <v>ⓑ</v>
          </cell>
          <cell r="H1859">
            <v>153955</v>
          </cell>
        </row>
        <row r="1860">
          <cell r="A1860" t="str">
            <v>92경        비</v>
          </cell>
          <cell r="B1860" t="str">
            <v>경        비</v>
          </cell>
          <cell r="D1860" t="str">
            <v>ⓒ</v>
          </cell>
          <cell r="H1860">
            <v>4558</v>
          </cell>
        </row>
        <row r="1861">
          <cell r="B1861" t="str">
            <v>계</v>
          </cell>
          <cell r="H1861">
            <v>2008513</v>
          </cell>
        </row>
        <row r="1876">
          <cell r="B1876">
            <v>93</v>
          </cell>
          <cell r="C1876" t="str">
            <v xml:space="preserve"> 강관주 설치</v>
          </cell>
          <cell r="D1876" t="str">
            <v xml:space="preserve"> 150mmx4m</v>
          </cell>
          <cell r="E1876" t="str">
            <v>본</v>
          </cell>
          <cell r="F1876">
            <v>1</v>
          </cell>
        </row>
        <row r="1877">
          <cell r="C1877" t="str">
            <v>가, 재료비</v>
          </cell>
        </row>
        <row r="1878">
          <cell r="A1878" t="str">
            <v xml:space="preserve"> 강관주 150mm×4m</v>
          </cell>
          <cell r="C1878" t="str">
            <v xml:space="preserve"> 강관주</v>
          </cell>
          <cell r="D1878" t="str">
            <v xml:space="preserve"> 150mm×4m</v>
          </cell>
          <cell r="E1878" t="str">
            <v>본</v>
          </cell>
          <cell r="F1878">
            <v>1</v>
          </cell>
          <cell r="G1878">
            <v>1750000</v>
          </cell>
          <cell r="H1878">
            <v>1750000</v>
          </cell>
          <cell r="I1878">
            <v>0</v>
          </cell>
        </row>
        <row r="1879">
          <cell r="A1879" t="str">
            <v xml:space="preserve"> 볼트너트 Φ 25mm</v>
          </cell>
          <cell r="C1879" t="str">
            <v xml:space="preserve"> 볼트너트</v>
          </cell>
          <cell r="D1879" t="str">
            <v xml:space="preserve"> Φ 25mm</v>
          </cell>
          <cell r="E1879" t="str">
            <v>개</v>
          </cell>
          <cell r="F1879">
            <v>4</v>
          </cell>
          <cell r="G1879">
            <v>10</v>
          </cell>
          <cell r="H1879">
            <v>40</v>
          </cell>
          <cell r="I1879">
            <v>0</v>
          </cell>
        </row>
        <row r="1880">
          <cell r="A1880" t="str">
            <v xml:space="preserve"> 철판 900×900×16t</v>
          </cell>
          <cell r="C1880" t="str">
            <v xml:space="preserve"> 철판</v>
          </cell>
          <cell r="D1880" t="str">
            <v xml:space="preserve"> 900×900×16t</v>
          </cell>
          <cell r="E1880" t="str">
            <v>개</v>
          </cell>
          <cell r="F1880">
            <v>1</v>
          </cell>
          <cell r="G1880">
            <v>49505</v>
          </cell>
          <cell r="H1880">
            <v>49505</v>
          </cell>
          <cell r="I1880">
            <v>0</v>
          </cell>
        </row>
        <row r="1881">
          <cell r="A1881" t="str">
            <v xml:space="preserve"> 시멘트(40㎏)  분공장도</v>
          </cell>
          <cell r="C1881" t="str">
            <v xml:space="preserve"> 시멘트(40㎏) </v>
          </cell>
          <cell r="D1881" t="str">
            <v xml:space="preserve"> 분공장도</v>
          </cell>
          <cell r="E1881" t="str">
            <v>포</v>
          </cell>
          <cell r="F1881">
            <v>1.29</v>
          </cell>
          <cell r="G1881">
            <v>2450</v>
          </cell>
          <cell r="H1881">
            <v>3160.5</v>
          </cell>
          <cell r="I1881">
            <v>0</v>
          </cell>
        </row>
        <row r="1882">
          <cell r="A1882" t="str">
            <v xml:space="preserve"> 모래(세척사)  인천(도착도)</v>
          </cell>
          <cell r="C1882" t="str">
            <v xml:space="preserve"> 모래(세척사) </v>
          </cell>
          <cell r="D1882" t="str">
            <v xml:space="preserve"> 인천(도착도)</v>
          </cell>
          <cell r="E1882" t="str">
            <v>㎥</v>
          </cell>
          <cell r="F1882">
            <v>0.32</v>
          </cell>
          <cell r="G1882">
            <v>1750</v>
          </cell>
          <cell r="H1882">
            <v>560</v>
          </cell>
          <cell r="I1882">
            <v>0</v>
          </cell>
        </row>
        <row r="1883">
          <cell r="A1883" t="str">
            <v xml:space="preserve"> 자갈(#467,Φ40)   인천(도착도)</v>
          </cell>
          <cell r="C1883" t="str">
            <v xml:space="preserve"> 자갈(#467,Φ40)  </v>
          </cell>
          <cell r="D1883" t="str">
            <v xml:space="preserve"> 인천(도착도)</v>
          </cell>
          <cell r="E1883" t="str">
            <v>㎥</v>
          </cell>
          <cell r="F1883">
            <v>0.65</v>
          </cell>
          <cell r="G1883">
            <v>18500</v>
          </cell>
          <cell r="H1883">
            <v>12025</v>
          </cell>
          <cell r="I1883">
            <v>0</v>
          </cell>
        </row>
        <row r="1884">
          <cell r="A1884" t="str">
            <v xml:space="preserve"> 보통합판(1급)  12T  1.21*2.42</v>
          </cell>
          <cell r="C1884" t="str">
            <v xml:space="preserve"> 보통합판(1급) </v>
          </cell>
          <cell r="D1884" t="str">
            <v xml:space="preserve"> 12T  1.21*2.42</v>
          </cell>
          <cell r="E1884" t="str">
            <v>㎡</v>
          </cell>
          <cell r="F1884">
            <v>0.06</v>
          </cell>
          <cell r="G1884">
            <v>6181</v>
          </cell>
          <cell r="H1884">
            <v>370.8</v>
          </cell>
          <cell r="I1884">
            <v>0</v>
          </cell>
        </row>
        <row r="1885">
          <cell r="A1885" t="str">
            <v xml:space="preserve"> 라왕  각재</v>
          </cell>
          <cell r="C1885" t="str">
            <v xml:space="preserve"> 라왕 </v>
          </cell>
          <cell r="D1885" t="str">
            <v xml:space="preserve"> 각재</v>
          </cell>
          <cell r="E1885" t="str">
            <v>㎥</v>
          </cell>
          <cell r="F1885">
            <v>2E-3</v>
          </cell>
          <cell r="G1885">
            <v>986023</v>
          </cell>
          <cell r="H1885">
            <v>1972</v>
          </cell>
          <cell r="I1885">
            <v>0</v>
          </cell>
        </row>
        <row r="1886">
          <cell r="A1886" t="str">
            <v xml:space="preserve"> 어니일링(소)철선   #8  4.0mm</v>
          </cell>
          <cell r="C1886" t="str">
            <v xml:space="preserve"> 어니일링(소)철선  </v>
          </cell>
          <cell r="D1886" t="str">
            <v xml:space="preserve"> #8  4.0mm</v>
          </cell>
          <cell r="E1886" t="str">
            <v>kg</v>
          </cell>
          <cell r="F1886">
            <v>0.01</v>
          </cell>
          <cell r="G1886">
            <v>570</v>
          </cell>
          <cell r="H1886">
            <v>5.7</v>
          </cell>
          <cell r="I1886">
            <v>0</v>
          </cell>
        </row>
        <row r="1887">
          <cell r="A1887" t="str">
            <v xml:space="preserve"> 철못   N 50</v>
          </cell>
          <cell r="C1887" t="str">
            <v xml:space="preserve"> 철못  </v>
          </cell>
          <cell r="D1887" t="str">
            <v xml:space="preserve"> N 50</v>
          </cell>
          <cell r="E1887" t="str">
            <v>kg</v>
          </cell>
          <cell r="F1887">
            <v>0.01</v>
          </cell>
          <cell r="G1887">
            <v>700</v>
          </cell>
          <cell r="H1887">
            <v>7</v>
          </cell>
          <cell r="I1887">
            <v>0</v>
          </cell>
        </row>
        <row r="1888">
          <cell r="A1888" t="str">
            <v xml:space="preserve"> 박리제   유성</v>
          </cell>
          <cell r="C1888" t="str">
            <v xml:space="preserve"> 박리제  </v>
          </cell>
          <cell r="D1888" t="str">
            <v xml:space="preserve"> 유성</v>
          </cell>
          <cell r="E1888" t="str">
            <v>ℓ</v>
          </cell>
          <cell r="F1888">
            <v>0.01</v>
          </cell>
          <cell r="G1888">
            <v>1300</v>
          </cell>
          <cell r="H1888">
            <v>13</v>
          </cell>
          <cell r="I1888">
            <v>0</v>
          </cell>
        </row>
        <row r="1889">
          <cell r="B1889" t="str">
            <v>소         계</v>
          </cell>
          <cell r="H1889">
            <v>1817659</v>
          </cell>
          <cell r="I1889" t="str">
            <v>ⓐ</v>
          </cell>
        </row>
        <row r="1894">
          <cell r="C1894" t="str">
            <v>나, 노무비</v>
          </cell>
        </row>
        <row r="1895">
          <cell r="A1895" t="str">
            <v>93 콘크리트공</v>
          </cell>
          <cell r="C1895" t="str">
            <v xml:space="preserve"> 콘크리트공</v>
          </cell>
          <cell r="E1895" t="str">
            <v>인</v>
          </cell>
          <cell r="F1895">
            <v>0.14000000000000001</v>
          </cell>
          <cell r="G1895">
            <v>63605</v>
          </cell>
          <cell r="H1895">
            <v>8904.7000000000007</v>
          </cell>
          <cell r="I1895" t="str">
            <v>기본,통신 3-29</v>
          </cell>
        </row>
        <row r="1896">
          <cell r="A1896" t="str">
            <v>93 형틀목공</v>
          </cell>
          <cell r="C1896" t="str">
            <v xml:space="preserve"> 형틀목공</v>
          </cell>
          <cell r="E1896" t="str">
            <v>인</v>
          </cell>
          <cell r="F1896">
            <v>0.01</v>
          </cell>
          <cell r="G1896">
            <v>65381</v>
          </cell>
          <cell r="H1896">
            <v>653.79999999999995</v>
          </cell>
          <cell r="I1896" t="str">
            <v>기본,통신 3-29</v>
          </cell>
        </row>
        <row r="1897">
          <cell r="A1897" t="str">
            <v>93 내선전공</v>
          </cell>
          <cell r="C1897" t="str">
            <v xml:space="preserve"> 내선전공</v>
          </cell>
          <cell r="E1897" t="str">
            <v>인</v>
          </cell>
          <cell r="F1897">
            <v>3.08</v>
          </cell>
          <cell r="G1897">
            <v>51021</v>
          </cell>
          <cell r="H1897">
            <v>157144.6</v>
          </cell>
          <cell r="I1897" t="str">
            <v>기본,통신 3-29</v>
          </cell>
        </row>
        <row r="1898">
          <cell r="A1898" t="str">
            <v>93 보통인부</v>
          </cell>
          <cell r="C1898" t="str">
            <v xml:space="preserve"> 보통인부</v>
          </cell>
          <cell r="E1898" t="str">
            <v>인</v>
          </cell>
          <cell r="F1898">
            <v>0.17</v>
          </cell>
          <cell r="G1898">
            <v>34098</v>
          </cell>
          <cell r="H1898">
            <v>5796.6</v>
          </cell>
          <cell r="I1898" t="str">
            <v>기본,통신 3-29</v>
          </cell>
        </row>
        <row r="1899">
          <cell r="B1899" t="str">
            <v>소         계</v>
          </cell>
          <cell r="H1899">
            <v>172499</v>
          </cell>
          <cell r="I1899" t="str">
            <v>ⓑ</v>
          </cell>
        </row>
        <row r="1900">
          <cell r="C1900" t="str">
            <v>다, 기계경비</v>
          </cell>
        </row>
        <row r="1901">
          <cell r="C1901" t="str">
            <v xml:space="preserve"> 콘크리트공</v>
          </cell>
          <cell r="E1901" t="str">
            <v>인</v>
          </cell>
          <cell r="F1901">
            <v>4.0000000000000001E-3</v>
          </cell>
          <cell r="G1901">
            <v>63605</v>
          </cell>
          <cell r="H1901">
            <v>254.4</v>
          </cell>
        </row>
        <row r="1902">
          <cell r="C1902" t="str">
            <v xml:space="preserve"> 형틀목공</v>
          </cell>
          <cell r="E1902" t="str">
            <v>인</v>
          </cell>
          <cell r="F1902">
            <v>2.9999999999999997E-4</v>
          </cell>
          <cell r="G1902">
            <v>65381</v>
          </cell>
          <cell r="H1902">
            <v>19.600000000000001</v>
          </cell>
        </row>
        <row r="1903">
          <cell r="C1903" t="str">
            <v xml:space="preserve"> 내선전공</v>
          </cell>
          <cell r="E1903" t="str">
            <v>인</v>
          </cell>
          <cell r="F1903">
            <v>9.1999999999999998E-2</v>
          </cell>
          <cell r="G1903">
            <v>51021</v>
          </cell>
          <cell r="H1903">
            <v>4693.8999999999996</v>
          </cell>
        </row>
        <row r="1904">
          <cell r="C1904" t="str">
            <v xml:space="preserve"> 보통인부</v>
          </cell>
          <cell r="E1904" t="str">
            <v>인</v>
          </cell>
          <cell r="F1904">
            <v>5.0000000000000001E-3</v>
          </cell>
          <cell r="G1904">
            <v>34098</v>
          </cell>
          <cell r="H1904">
            <v>170.4</v>
          </cell>
        </row>
        <row r="1905">
          <cell r="B1905" t="str">
            <v>소         계</v>
          </cell>
          <cell r="H1905">
            <v>5138</v>
          </cell>
          <cell r="I1905" t="str">
            <v>ⓒ</v>
          </cell>
        </row>
        <row r="1907">
          <cell r="A1907" t="str">
            <v>93재   료   비</v>
          </cell>
          <cell r="B1907" t="str">
            <v>재   료   비</v>
          </cell>
          <cell r="D1907" t="str">
            <v>ⓐ</v>
          </cell>
          <cell r="H1907">
            <v>1817659</v>
          </cell>
        </row>
        <row r="1908">
          <cell r="A1908" t="str">
            <v>93노   무   비</v>
          </cell>
          <cell r="B1908" t="str">
            <v>노   무   비</v>
          </cell>
          <cell r="D1908" t="str">
            <v>ⓑ</v>
          </cell>
          <cell r="H1908">
            <v>172499</v>
          </cell>
        </row>
        <row r="1909">
          <cell r="A1909" t="str">
            <v>93경        비</v>
          </cell>
          <cell r="B1909" t="str">
            <v>경        비</v>
          </cell>
          <cell r="D1909" t="str">
            <v>ⓒ</v>
          </cell>
          <cell r="H1909">
            <v>5138</v>
          </cell>
        </row>
        <row r="1910">
          <cell r="B1910" t="str">
            <v>계</v>
          </cell>
          <cell r="H1910">
            <v>1995296</v>
          </cell>
        </row>
        <row r="1912">
          <cell r="B1912">
            <v>94</v>
          </cell>
          <cell r="C1912" t="str">
            <v xml:space="preserve"> 강관주 설치</v>
          </cell>
          <cell r="D1912" t="str">
            <v xml:space="preserve"> 100mmx4m</v>
          </cell>
          <cell r="E1912" t="str">
            <v>본</v>
          </cell>
          <cell r="F1912">
            <v>1</v>
          </cell>
        </row>
        <row r="1913">
          <cell r="C1913" t="str">
            <v>가, 재료비</v>
          </cell>
        </row>
        <row r="1914">
          <cell r="A1914" t="str">
            <v xml:space="preserve"> 강관주 100mm×4m</v>
          </cell>
          <cell r="C1914" t="str">
            <v xml:space="preserve"> 강관주</v>
          </cell>
          <cell r="D1914" t="str">
            <v xml:space="preserve"> 100mm×4m</v>
          </cell>
          <cell r="E1914" t="str">
            <v>본</v>
          </cell>
          <cell r="F1914">
            <v>1</v>
          </cell>
          <cell r="G1914">
            <v>1600000</v>
          </cell>
          <cell r="H1914">
            <v>1600000</v>
          </cell>
          <cell r="I1914">
            <v>0</v>
          </cell>
        </row>
        <row r="1915">
          <cell r="A1915" t="str">
            <v xml:space="preserve"> 볼트너트 Φ 25mm</v>
          </cell>
          <cell r="C1915" t="str">
            <v xml:space="preserve"> 볼트너트</v>
          </cell>
          <cell r="D1915" t="str">
            <v xml:space="preserve"> Φ 25mm</v>
          </cell>
          <cell r="E1915" t="str">
            <v>개</v>
          </cell>
          <cell r="F1915">
            <v>4</v>
          </cell>
          <cell r="G1915">
            <v>10</v>
          </cell>
          <cell r="H1915">
            <v>40</v>
          </cell>
          <cell r="I1915">
            <v>0</v>
          </cell>
        </row>
        <row r="1916">
          <cell r="A1916" t="str">
            <v xml:space="preserve"> 철판 900×900×16t</v>
          </cell>
          <cell r="C1916" t="str">
            <v xml:space="preserve"> 철판</v>
          </cell>
          <cell r="D1916" t="str">
            <v xml:space="preserve"> 900×900×16t</v>
          </cell>
          <cell r="E1916" t="str">
            <v>개</v>
          </cell>
          <cell r="F1916">
            <v>1</v>
          </cell>
          <cell r="G1916">
            <v>49505</v>
          </cell>
          <cell r="H1916">
            <v>49505</v>
          </cell>
          <cell r="I1916">
            <v>0</v>
          </cell>
        </row>
        <row r="1917">
          <cell r="A1917" t="str">
            <v xml:space="preserve"> 시멘트(40㎏)  분공장도</v>
          </cell>
          <cell r="C1917" t="str">
            <v xml:space="preserve"> 시멘트(40㎏) </v>
          </cell>
          <cell r="D1917" t="str">
            <v xml:space="preserve"> 분공장도</v>
          </cell>
          <cell r="E1917" t="str">
            <v>포</v>
          </cell>
          <cell r="F1917">
            <v>1.29</v>
          </cell>
          <cell r="G1917">
            <v>2450</v>
          </cell>
          <cell r="H1917">
            <v>3160.5</v>
          </cell>
          <cell r="I1917">
            <v>0</v>
          </cell>
        </row>
        <row r="1918">
          <cell r="A1918" t="str">
            <v xml:space="preserve"> 모래(세척사)  인천(도착도)</v>
          </cell>
          <cell r="C1918" t="str">
            <v xml:space="preserve"> 모래(세척사) </v>
          </cell>
          <cell r="D1918" t="str">
            <v xml:space="preserve"> 인천(도착도)</v>
          </cell>
          <cell r="E1918" t="str">
            <v>㎥</v>
          </cell>
          <cell r="F1918">
            <v>0.32</v>
          </cell>
          <cell r="G1918">
            <v>1750</v>
          </cell>
          <cell r="H1918">
            <v>560</v>
          </cell>
          <cell r="I1918">
            <v>0</v>
          </cell>
        </row>
        <row r="1919">
          <cell r="A1919" t="str">
            <v xml:space="preserve"> 자갈(#467,Φ40)   인천(도착도)</v>
          </cell>
          <cell r="C1919" t="str">
            <v xml:space="preserve"> 자갈(#467,Φ40)  </v>
          </cell>
          <cell r="D1919" t="str">
            <v xml:space="preserve"> 인천(도착도)</v>
          </cell>
          <cell r="E1919" t="str">
            <v>㎥</v>
          </cell>
          <cell r="F1919">
            <v>0.65</v>
          </cell>
          <cell r="G1919">
            <v>18500</v>
          </cell>
          <cell r="H1919">
            <v>12025</v>
          </cell>
          <cell r="I1919">
            <v>0</v>
          </cell>
        </row>
        <row r="1920">
          <cell r="A1920" t="str">
            <v xml:space="preserve"> 보통합판(1급)  12T  1.21*2.42</v>
          </cell>
          <cell r="C1920" t="str">
            <v xml:space="preserve"> 보통합판(1급) </v>
          </cell>
          <cell r="D1920" t="str">
            <v xml:space="preserve"> 12T  1.21*2.42</v>
          </cell>
          <cell r="E1920" t="str">
            <v>㎡</v>
          </cell>
          <cell r="F1920">
            <v>0.06</v>
          </cell>
          <cell r="G1920">
            <v>6181</v>
          </cell>
          <cell r="H1920">
            <v>370.8</v>
          </cell>
          <cell r="I1920">
            <v>0</v>
          </cell>
        </row>
        <row r="1921">
          <cell r="A1921" t="str">
            <v xml:space="preserve"> 라왕  각재</v>
          </cell>
          <cell r="C1921" t="str">
            <v xml:space="preserve"> 라왕 </v>
          </cell>
          <cell r="D1921" t="str">
            <v xml:space="preserve"> 각재</v>
          </cell>
          <cell r="E1921" t="str">
            <v>㎥</v>
          </cell>
          <cell r="F1921">
            <v>2E-3</v>
          </cell>
          <cell r="G1921">
            <v>986023</v>
          </cell>
          <cell r="H1921">
            <v>1972</v>
          </cell>
          <cell r="I1921">
            <v>0</v>
          </cell>
        </row>
        <row r="1922">
          <cell r="A1922" t="str">
            <v xml:space="preserve"> 어니일링(소)철선   #8  4.0mm</v>
          </cell>
          <cell r="C1922" t="str">
            <v xml:space="preserve"> 어니일링(소)철선  </v>
          </cell>
          <cell r="D1922" t="str">
            <v xml:space="preserve"> #8  4.0mm</v>
          </cell>
          <cell r="E1922" t="str">
            <v>kg</v>
          </cell>
          <cell r="F1922">
            <v>0.01</v>
          </cell>
          <cell r="G1922">
            <v>570</v>
          </cell>
          <cell r="H1922">
            <v>5.7</v>
          </cell>
          <cell r="I1922">
            <v>0</v>
          </cell>
        </row>
        <row r="1923">
          <cell r="A1923" t="str">
            <v xml:space="preserve"> 철못   N 50</v>
          </cell>
          <cell r="C1923" t="str">
            <v xml:space="preserve"> 철못  </v>
          </cell>
          <cell r="D1923" t="str">
            <v xml:space="preserve"> N 50</v>
          </cell>
          <cell r="E1923" t="str">
            <v>kg</v>
          </cell>
          <cell r="F1923">
            <v>0.01</v>
          </cell>
          <cell r="G1923">
            <v>700</v>
          </cell>
          <cell r="H1923">
            <v>7</v>
          </cell>
          <cell r="I1923">
            <v>0</v>
          </cell>
        </row>
        <row r="1924">
          <cell r="A1924" t="str">
            <v xml:space="preserve"> 박리제   유성</v>
          </cell>
          <cell r="C1924" t="str">
            <v xml:space="preserve"> 박리제  </v>
          </cell>
          <cell r="D1924" t="str">
            <v xml:space="preserve"> 유성</v>
          </cell>
          <cell r="E1924" t="str">
            <v>ℓ</v>
          </cell>
          <cell r="F1924">
            <v>0.01</v>
          </cell>
          <cell r="G1924">
            <v>1300</v>
          </cell>
          <cell r="H1924">
            <v>13</v>
          </cell>
          <cell r="I1924">
            <v>0</v>
          </cell>
        </row>
        <row r="1925">
          <cell r="B1925" t="str">
            <v>소         계</v>
          </cell>
          <cell r="H1925">
            <v>1667659</v>
          </cell>
          <cell r="I1925" t="str">
            <v>ⓐ</v>
          </cell>
        </row>
        <row r="1926">
          <cell r="C1926" t="str">
            <v>나, 노무비</v>
          </cell>
        </row>
        <row r="1927">
          <cell r="A1927" t="str">
            <v>94 콘크리트공</v>
          </cell>
          <cell r="C1927" t="str">
            <v xml:space="preserve"> 콘크리트공</v>
          </cell>
          <cell r="E1927" t="str">
            <v>인</v>
          </cell>
          <cell r="F1927">
            <v>0.14000000000000001</v>
          </cell>
          <cell r="G1927">
            <v>63605</v>
          </cell>
          <cell r="H1927">
            <v>8904.7000000000007</v>
          </cell>
          <cell r="I1927" t="str">
            <v>기본,통신 3-29</v>
          </cell>
        </row>
        <row r="1928">
          <cell r="A1928" t="str">
            <v>94 형틀목공</v>
          </cell>
          <cell r="C1928" t="str">
            <v xml:space="preserve"> 형틀목공</v>
          </cell>
          <cell r="E1928" t="str">
            <v>인</v>
          </cell>
          <cell r="F1928">
            <v>0.01</v>
          </cell>
          <cell r="G1928">
            <v>65381</v>
          </cell>
          <cell r="H1928">
            <v>653.79999999999995</v>
          </cell>
          <cell r="I1928" t="str">
            <v>기본,통신 3-29</v>
          </cell>
        </row>
        <row r="1929">
          <cell r="A1929" t="str">
            <v>94 내선전공</v>
          </cell>
          <cell r="C1929" t="str">
            <v xml:space="preserve"> 내선전공</v>
          </cell>
          <cell r="E1929" t="str">
            <v>인</v>
          </cell>
          <cell r="F1929">
            <v>3.08</v>
          </cell>
          <cell r="G1929">
            <v>51021</v>
          </cell>
          <cell r="H1929">
            <v>157144.6</v>
          </cell>
          <cell r="I1929" t="str">
            <v>기본,통신 3-29</v>
          </cell>
        </row>
        <row r="1930">
          <cell r="A1930" t="str">
            <v>94 보통인부</v>
          </cell>
          <cell r="C1930" t="str">
            <v xml:space="preserve"> 보통인부</v>
          </cell>
          <cell r="E1930" t="str">
            <v>인</v>
          </cell>
          <cell r="F1930">
            <v>0.17</v>
          </cell>
          <cell r="G1930">
            <v>34098</v>
          </cell>
          <cell r="H1930">
            <v>5796.6</v>
          </cell>
          <cell r="I1930" t="str">
            <v>기본,통신 3-29</v>
          </cell>
        </row>
        <row r="1931">
          <cell r="B1931" t="str">
            <v>소         계</v>
          </cell>
          <cell r="H1931">
            <v>172499</v>
          </cell>
          <cell r="I1931" t="str">
            <v>ⓑ</v>
          </cell>
        </row>
        <row r="1932">
          <cell r="C1932" t="str">
            <v>다, 기계경비</v>
          </cell>
        </row>
        <row r="1933">
          <cell r="C1933" t="str">
            <v xml:space="preserve"> 콘크리트공</v>
          </cell>
          <cell r="E1933" t="str">
            <v>인</v>
          </cell>
          <cell r="F1933">
            <v>4.0000000000000001E-3</v>
          </cell>
          <cell r="G1933">
            <v>63605</v>
          </cell>
          <cell r="H1933">
            <v>254.4</v>
          </cell>
        </row>
        <row r="1934">
          <cell r="C1934" t="str">
            <v xml:space="preserve"> 형틀목공</v>
          </cell>
          <cell r="E1934" t="str">
            <v>인</v>
          </cell>
          <cell r="F1934">
            <v>2.9999999999999997E-4</v>
          </cell>
          <cell r="G1934">
            <v>65381</v>
          </cell>
          <cell r="H1934">
            <v>19.600000000000001</v>
          </cell>
        </row>
        <row r="1935">
          <cell r="C1935" t="str">
            <v xml:space="preserve"> 내선전공</v>
          </cell>
          <cell r="E1935" t="str">
            <v>인</v>
          </cell>
          <cell r="F1935">
            <v>9.1999999999999998E-2</v>
          </cell>
          <cell r="G1935">
            <v>51021</v>
          </cell>
          <cell r="H1935">
            <v>4693.8999999999996</v>
          </cell>
        </row>
        <row r="1936">
          <cell r="C1936" t="str">
            <v xml:space="preserve"> 보통인부</v>
          </cell>
          <cell r="E1936" t="str">
            <v>인</v>
          </cell>
          <cell r="F1936">
            <v>5.0000000000000001E-3</v>
          </cell>
          <cell r="G1936">
            <v>34098</v>
          </cell>
          <cell r="H1936">
            <v>170.4</v>
          </cell>
        </row>
        <row r="1937">
          <cell r="B1937" t="str">
            <v>소         계</v>
          </cell>
          <cell r="H1937">
            <v>5138</v>
          </cell>
          <cell r="I1937" t="str">
            <v>ⓒ</v>
          </cell>
        </row>
        <row r="1939">
          <cell r="A1939" t="str">
            <v>94재   료   비</v>
          </cell>
          <cell r="B1939" t="str">
            <v>재   료   비</v>
          </cell>
          <cell r="D1939" t="str">
            <v>ⓐ</v>
          </cell>
          <cell r="H1939">
            <v>1667659</v>
          </cell>
        </row>
        <row r="1940">
          <cell r="A1940" t="str">
            <v>94노   무   비</v>
          </cell>
          <cell r="B1940" t="str">
            <v>노   무   비</v>
          </cell>
          <cell r="D1940" t="str">
            <v>ⓑ</v>
          </cell>
          <cell r="H1940">
            <v>172499</v>
          </cell>
        </row>
        <row r="1941">
          <cell r="A1941" t="str">
            <v>94경        비</v>
          </cell>
          <cell r="B1941" t="str">
            <v>경        비</v>
          </cell>
          <cell r="D1941" t="str">
            <v>ⓒ</v>
          </cell>
          <cell r="H1941">
            <v>5138</v>
          </cell>
        </row>
        <row r="1942">
          <cell r="B1942" t="str">
            <v>계</v>
          </cell>
          <cell r="H1942">
            <v>1845296</v>
          </cell>
        </row>
        <row r="1948">
          <cell r="B1948">
            <v>95</v>
          </cell>
          <cell r="C1948" t="str">
            <v xml:space="preserve"> 제어선 신설</v>
          </cell>
          <cell r="D1948" t="str">
            <v xml:space="preserve"> CVV-SB 2C/1.25㎟</v>
          </cell>
          <cell r="E1948" t="str">
            <v>m</v>
          </cell>
          <cell r="F1948">
            <v>1</v>
          </cell>
        </row>
        <row r="1949">
          <cell r="C1949" t="str">
            <v>가, 재료비</v>
          </cell>
        </row>
        <row r="1950">
          <cell r="A1950" t="str">
            <v xml:space="preserve"> 제어케이블 CVV-SB  2C×1.25㎟</v>
          </cell>
          <cell r="C1950" t="str">
            <v xml:space="preserve"> 제어케이블</v>
          </cell>
          <cell r="D1950" t="str">
            <v xml:space="preserve"> CVV-SB  2C×1.25㎟</v>
          </cell>
          <cell r="E1950" t="str">
            <v>m</v>
          </cell>
          <cell r="F1950">
            <v>1.03</v>
          </cell>
          <cell r="G1950">
            <v>711</v>
          </cell>
          <cell r="H1950">
            <v>732.3</v>
          </cell>
          <cell r="I1950">
            <v>0.03</v>
          </cell>
        </row>
        <row r="1951">
          <cell r="B1951" t="str">
            <v>소         계</v>
          </cell>
          <cell r="H1951">
            <v>732</v>
          </cell>
          <cell r="I1951" t="str">
            <v>ⓐ</v>
          </cell>
        </row>
        <row r="1952">
          <cell r="C1952" t="str">
            <v>나, 노무비</v>
          </cell>
        </row>
        <row r="1953">
          <cell r="A1953" t="str">
            <v>95 저압케이블전공</v>
          </cell>
          <cell r="C1953" t="str">
            <v xml:space="preserve"> 저압케이블전공</v>
          </cell>
          <cell r="E1953" t="str">
            <v>인</v>
          </cell>
          <cell r="F1953">
            <v>1.6E-2</v>
          </cell>
          <cell r="G1953">
            <v>55486</v>
          </cell>
          <cell r="H1953">
            <v>887.7</v>
          </cell>
          <cell r="I1953" t="str">
            <v>기본x(실드),전기 7-10</v>
          </cell>
        </row>
        <row r="1954">
          <cell r="B1954" t="str">
            <v>소         계</v>
          </cell>
          <cell r="H1954">
            <v>887</v>
          </cell>
          <cell r="I1954" t="str">
            <v>ⓑ</v>
          </cell>
        </row>
        <row r="1955">
          <cell r="C1955" t="str">
            <v>다, 기계경비</v>
          </cell>
        </row>
        <row r="1956">
          <cell r="C1956" t="str">
            <v xml:space="preserve"> 저압케이블전공</v>
          </cell>
          <cell r="E1956" t="str">
            <v>인</v>
          </cell>
          <cell r="F1956">
            <v>4.0000000000000002E-4</v>
          </cell>
          <cell r="G1956">
            <v>55486</v>
          </cell>
          <cell r="H1956">
            <v>22.1</v>
          </cell>
        </row>
        <row r="1957">
          <cell r="B1957" t="str">
            <v>소         계</v>
          </cell>
          <cell r="H1957">
            <v>22</v>
          </cell>
          <cell r="I1957" t="str">
            <v>ⓒ</v>
          </cell>
        </row>
        <row r="1959">
          <cell r="A1959" t="str">
            <v>95재   료   비</v>
          </cell>
          <cell r="B1959" t="str">
            <v>재   료   비</v>
          </cell>
          <cell r="D1959" t="str">
            <v>ⓐ</v>
          </cell>
          <cell r="H1959">
            <v>732</v>
          </cell>
        </row>
        <row r="1960">
          <cell r="A1960" t="str">
            <v>95노   무   비</v>
          </cell>
          <cell r="B1960" t="str">
            <v>노   무   비</v>
          </cell>
          <cell r="D1960" t="str">
            <v>ⓑ</v>
          </cell>
          <cell r="H1960">
            <v>887</v>
          </cell>
        </row>
        <row r="1961">
          <cell r="A1961" t="str">
            <v>95경        비</v>
          </cell>
          <cell r="B1961" t="str">
            <v>경        비</v>
          </cell>
          <cell r="D1961" t="str">
            <v>ⓒ</v>
          </cell>
          <cell r="H1961">
            <v>22</v>
          </cell>
        </row>
        <row r="1962">
          <cell r="B1962" t="str">
            <v>계</v>
          </cell>
          <cell r="H1962">
            <v>1641</v>
          </cell>
        </row>
        <row r="1966">
          <cell r="B1966">
            <v>96</v>
          </cell>
          <cell r="C1966" t="str">
            <v xml:space="preserve"> 전선 신설</v>
          </cell>
          <cell r="D1966" t="str">
            <v xml:space="preserve"> HIV 1.6mm</v>
          </cell>
          <cell r="E1966" t="str">
            <v>m</v>
          </cell>
          <cell r="F1966">
            <v>1</v>
          </cell>
        </row>
        <row r="1967">
          <cell r="C1967" t="str">
            <v>가, 재료비</v>
          </cell>
        </row>
        <row r="1968">
          <cell r="A1968" t="str">
            <v xml:space="preserve"> 2종 비닐절연전선 HIV 1.6㎜</v>
          </cell>
          <cell r="C1968" t="str">
            <v xml:space="preserve"> 2종 비닐절연전선</v>
          </cell>
          <cell r="D1968" t="str">
            <v xml:space="preserve"> HIV 1.6㎜</v>
          </cell>
          <cell r="E1968" t="str">
            <v>m</v>
          </cell>
          <cell r="F1968">
            <v>1.1000000000000001</v>
          </cell>
          <cell r="G1968">
            <v>95</v>
          </cell>
          <cell r="H1968">
            <v>104.5</v>
          </cell>
          <cell r="I1968">
            <v>0.1</v>
          </cell>
        </row>
        <row r="1969">
          <cell r="B1969" t="str">
            <v>소         계</v>
          </cell>
          <cell r="H1969">
            <v>104</v>
          </cell>
          <cell r="I1969" t="str">
            <v>ⓐ</v>
          </cell>
        </row>
        <row r="1970">
          <cell r="C1970" t="str">
            <v>나, 노무비</v>
          </cell>
        </row>
        <row r="1971">
          <cell r="A1971" t="str">
            <v>96 저압케이블전공</v>
          </cell>
          <cell r="C1971" t="str">
            <v xml:space="preserve"> 저압케이블전공</v>
          </cell>
          <cell r="E1971" t="str">
            <v>인</v>
          </cell>
          <cell r="F1971">
            <v>0.01</v>
          </cell>
          <cell r="G1971">
            <v>55486</v>
          </cell>
          <cell r="H1971">
            <v>554.79999999999995</v>
          </cell>
          <cell r="I1971" t="str">
            <v>기본,전기 7-10</v>
          </cell>
        </row>
        <row r="1972">
          <cell r="B1972" t="str">
            <v>소         계</v>
          </cell>
          <cell r="H1972">
            <v>554</v>
          </cell>
          <cell r="I1972" t="str">
            <v>ⓑ</v>
          </cell>
        </row>
        <row r="1973">
          <cell r="C1973" t="str">
            <v>다, 기계경비</v>
          </cell>
        </row>
        <row r="1974">
          <cell r="C1974" t="str">
            <v xml:space="preserve"> 저압케이블전공</v>
          </cell>
          <cell r="E1974" t="str">
            <v>인</v>
          </cell>
          <cell r="F1974">
            <v>2.9999999999999997E-4</v>
          </cell>
          <cell r="G1974">
            <v>55486</v>
          </cell>
          <cell r="H1974">
            <v>16.600000000000001</v>
          </cell>
        </row>
        <row r="1975">
          <cell r="B1975" t="str">
            <v>소         계</v>
          </cell>
          <cell r="H1975">
            <v>16</v>
          </cell>
          <cell r="I1975" t="str">
            <v>ⓒ</v>
          </cell>
        </row>
        <row r="1977">
          <cell r="A1977" t="str">
            <v>96재   료   비</v>
          </cell>
          <cell r="B1977" t="str">
            <v>재   료   비</v>
          </cell>
          <cell r="D1977" t="str">
            <v>ⓐ</v>
          </cell>
          <cell r="H1977">
            <v>104</v>
          </cell>
        </row>
        <row r="1978">
          <cell r="A1978" t="str">
            <v>96노   무   비</v>
          </cell>
          <cell r="B1978" t="str">
            <v>노   무   비</v>
          </cell>
          <cell r="D1978" t="str">
            <v>ⓑ</v>
          </cell>
          <cell r="H1978">
            <v>554</v>
          </cell>
        </row>
        <row r="1979">
          <cell r="A1979" t="str">
            <v>96경        비</v>
          </cell>
          <cell r="B1979" t="str">
            <v>경        비</v>
          </cell>
          <cell r="D1979" t="str">
            <v>ⓒ</v>
          </cell>
          <cell r="H1979">
            <v>16</v>
          </cell>
        </row>
        <row r="1980">
          <cell r="B1980" t="str">
            <v>계</v>
          </cell>
          <cell r="H1980">
            <v>674</v>
          </cell>
        </row>
        <row r="1984">
          <cell r="B1984">
            <v>97</v>
          </cell>
          <cell r="C1984" t="str">
            <v xml:space="preserve"> 전선 신설</v>
          </cell>
          <cell r="D1984" t="str">
            <v xml:space="preserve"> HIV 2.0mm</v>
          </cell>
          <cell r="E1984" t="str">
            <v>m</v>
          </cell>
          <cell r="F1984">
            <v>1</v>
          </cell>
        </row>
        <row r="1985">
          <cell r="C1985" t="str">
            <v>가, 재료비</v>
          </cell>
        </row>
        <row r="1986">
          <cell r="A1986" t="str">
            <v xml:space="preserve"> 2종 비닐절연전선 HIV 2.0㎜</v>
          </cell>
          <cell r="C1986" t="str">
            <v xml:space="preserve"> 2종 비닐절연전선</v>
          </cell>
          <cell r="D1986" t="str">
            <v xml:space="preserve"> HIV 2.0㎜</v>
          </cell>
          <cell r="E1986" t="str">
            <v>m</v>
          </cell>
          <cell r="F1986">
            <v>1.1000000000000001</v>
          </cell>
          <cell r="G1986">
            <v>139</v>
          </cell>
          <cell r="H1986">
            <v>152.9</v>
          </cell>
          <cell r="I1986">
            <v>0.1</v>
          </cell>
        </row>
        <row r="1987">
          <cell r="B1987" t="str">
            <v>소         계</v>
          </cell>
          <cell r="H1987">
            <v>152</v>
          </cell>
          <cell r="I1987" t="str">
            <v>ⓐ</v>
          </cell>
        </row>
        <row r="1988">
          <cell r="C1988" t="str">
            <v>나, 노무비</v>
          </cell>
        </row>
        <row r="1989">
          <cell r="A1989" t="str">
            <v>97 저압케이블전공</v>
          </cell>
          <cell r="C1989" t="str">
            <v xml:space="preserve"> 저압케이블전공</v>
          </cell>
          <cell r="E1989" t="str">
            <v>인</v>
          </cell>
          <cell r="F1989">
            <v>0.01</v>
          </cell>
          <cell r="G1989">
            <v>55486</v>
          </cell>
          <cell r="H1989">
            <v>554.79999999999995</v>
          </cell>
          <cell r="I1989" t="str">
            <v>기본,전기 7-10</v>
          </cell>
        </row>
        <row r="1990">
          <cell r="B1990" t="str">
            <v>소         계</v>
          </cell>
          <cell r="H1990">
            <v>554</v>
          </cell>
          <cell r="I1990" t="str">
            <v>ⓑ</v>
          </cell>
        </row>
        <row r="1991">
          <cell r="C1991" t="str">
            <v>다, 기계경비</v>
          </cell>
        </row>
        <row r="1992">
          <cell r="C1992" t="str">
            <v xml:space="preserve"> 저압케이블전공</v>
          </cell>
          <cell r="E1992" t="str">
            <v>인</v>
          </cell>
          <cell r="F1992">
            <v>2.9999999999999997E-4</v>
          </cell>
          <cell r="G1992">
            <v>55486</v>
          </cell>
          <cell r="H1992">
            <v>16.600000000000001</v>
          </cell>
        </row>
        <row r="1993">
          <cell r="B1993" t="str">
            <v>소         계</v>
          </cell>
          <cell r="H1993">
            <v>16</v>
          </cell>
          <cell r="I1993" t="str">
            <v>ⓒ</v>
          </cell>
        </row>
        <row r="1995">
          <cell r="A1995" t="str">
            <v>97재   료   비</v>
          </cell>
          <cell r="B1995" t="str">
            <v>재   료   비</v>
          </cell>
          <cell r="D1995" t="str">
            <v>ⓐ</v>
          </cell>
          <cell r="H1995">
            <v>152</v>
          </cell>
        </row>
        <row r="1996">
          <cell r="A1996" t="str">
            <v>97노   무   비</v>
          </cell>
          <cell r="B1996" t="str">
            <v>노   무   비</v>
          </cell>
          <cell r="D1996" t="str">
            <v>ⓑ</v>
          </cell>
          <cell r="H1996">
            <v>554</v>
          </cell>
        </row>
        <row r="1997">
          <cell r="A1997" t="str">
            <v>97경        비</v>
          </cell>
          <cell r="B1997" t="str">
            <v>경        비</v>
          </cell>
          <cell r="D1997" t="str">
            <v>ⓒ</v>
          </cell>
          <cell r="H1997">
            <v>16</v>
          </cell>
        </row>
        <row r="1998">
          <cell r="B1998" t="str">
            <v>계</v>
          </cell>
          <cell r="H1998">
            <v>722</v>
          </cell>
        </row>
        <row r="2002">
          <cell r="B2002">
            <v>98</v>
          </cell>
          <cell r="C2002" t="str">
            <v xml:space="preserve"> 수신기 설치</v>
          </cell>
          <cell r="D2002" t="str">
            <v xml:space="preserve"> P형 1급 (10회로)</v>
          </cell>
          <cell r="E2002" t="str">
            <v>Set</v>
          </cell>
          <cell r="F2002">
            <v>1</v>
          </cell>
        </row>
        <row r="2003">
          <cell r="C2003" t="str">
            <v>가, 재료비</v>
          </cell>
        </row>
        <row r="2004">
          <cell r="A2004" t="str">
            <v xml:space="preserve"> 화재수신기-P형1급  5회로(벽부)</v>
          </cell>
          <cell r="C2004" t="str">
            <v xml:space="preserve"> 화재수신기-P형1급 </v>
          </cell>
          <cell r="D2004" t="str">
            <v xml:space="preserve"> 5회로(벽부)</v>
          </cell>
          <cell r="E2004" t="str">
            <v>대</v>
          </cell>
          <cell r="F2004">
            <v>1</v>
          </cell>
          <cell r="G2004">
            <v>170000</v>
          </cell>
          <cell r="H2004">
            <v>170000</v>
          </cell>
          <cell r="I2004">
            <v>0</v>
          </cell>
        </row>
        <row r="2005">
          <cell r="A2005" t="str">
            <v xml:space="preserve"> 수신기 추가  수신 1회로당</v>
          </cell>
          <cell r="C2005" t="str">
            <v xml:space="preserve"> 수신기 추가 </v>
          </cell>
          <cell r="D2005" t="str">
            <v xml:space="preserve"> 수신 1회로당</v>
          </cell>
          <cell r="E2005" t="str">
            <v>회로</v>
          </cell>
          <cell r="F2005">
            <v>10</v>
          </cell>
          <cell r="G2005">
            <v>10000</v>
          </cell>
          <cell r="H2005">
            <v>100000</v>
          </cell>
          <cell r="I2005">
            <v>0</v>
          </cell>
        </row>
        <row r="2006">
          <cell r="B2006" t="str">
            <v>소         계</v>
          </cell>
          <cell r="H2006">
            <v>270000</v>
          </cell>
          <cell r="I2006" t="str">
            <v>ⓐ</v>
          </cell>
        </row>
        <row r="2007">
          <cell r="C2007" t="str">
            <v>나, 노무비</v>
          </cell>
        </row>
        <row r="2008">
          <cell r="A2008" t="str">
            <v>98 내선전공</v>
          </cell>
          <cell r="C2008" t="str">
            <v xml:space="preserve"> 내선전공</v>
          </cell>
          <cell r="E2008" t="str">
            <v>인</v>
          </cell>
          <cell r="F2008">
            <v>10.5</v>
          </cell>
          <cell r="G2008">
            <v>51021</v>
          </cell>
          <cell r="H2008">
            <v>535720.5</v>
          </cell>
          <cell r="I2008" t="str">
            <v>기본,전기 7-19</v>
          </cell>
        </row>
        <row r="2009">
          <cell r="B2009" t="str">
            <v>소         계</v>
          </cell>
          <cell r="H2009">
            <v>535720</v>
          </cell>
          <cell r="I2009" t="str">
            <v>ⓑ</v>
          </cell>
        </row>
        <row r="2010">
          <cell r="C2010" t="str">
            <v>다, 기계경비</v>
          </cell>
        </row>
        <row r="2011">
          <cell r="C2011" t="str">
            <v xml:space="preserve"> 내선전공</v>
          </cell>
          <cell r="E2011" t="str">
            <v>인</v>
          </cell>
          <cell r="F2011">
            <v>0.315</v>
          </cell>
          <cell r="G2011">
            <v>51021</v>
          </cell>
          <cell r="H2011">
            <v>16071.6</v>
          </cell>
        </row>
        <row r="2012">
          <cell r="B2012" t="str">
            <v>소         계</v>
          </cell>
          <cell r="H2012">
            <v>16071</v>
          </cell>
          <cell r="I2012" t="str">
            <v>ⓒ</v>
          </cell>
        </row>
        <row r="2014">
          <cell r="A2014" t="str">
            <v>98재   료   비</v>
          </cell>
          <cell r="B2014" t="str">
            <v>재   료   비</v>
          </cell>
          <cell r="D2014" t="str">
            <v>ⓐ</v>
          </cell>
          <cell r="H2014">
            <v>270000</v>
          </cell>
        </row>
        <row r="2015">
          <cell r="A2015" t="str">
            <v>98노   무   비</v>
          </cell>
          <cell r="B2015" t="str">
            <v>노   무   비</v>
          </cell>
          <cell r="D2015" t="str">
            <v>ⓑ</v>
          </cell>
          <cell r="H2015">
            <v>535720</v>
          </cell>
        </row>
        <row r="2016">
          <cell r="A2016" t="str">
            <v>98경        비</v>
          </cell>
          <cell r="B2016" t="str">
            <v>경        비</v>
          </cell>
          <cell r="D2016" t="str">
            <v>ⓒ</v>
          </cell>
          <cell r="H2016">
            <v>16071</v>
          </cell>
        </row>
        <row r="2017">
          <cell r="B2017" t="str">
            <v>계</v>
          </cell>
          <cell r="H2017">
            <v>821791</v>
          </cell>
        </row>
        <row r="2020">
          <cell r="B2020">
            <v>99</v>
          </cell>
          <cell r="C2020" t="str">
            <v xml:space="preserve"> 수동 발신기 설치</v>
          </cell>
          <cell r="D2020" t="str">
            <v xml:space="preserve"> 소화전 내장</v>
          </cell>
          <cell r="E2020" t="str">
            <v>Set</v>
          </cell>
          <cell r="F2020">
            <v>1</v>
          </cell>
        </row>
        <row r="2021">
          <cell r="C2021" t="str">
            <v>가, 재료비</v>
          </cell>
        </row>
        <row r="2022">
          <cell r="A2022" t="str">
            <v xml:space="preserve"> 발신기 P형1급</v>
          </cell>
          <cell r="C2022" t="str">
            <v xml:space="preserve"> 발신기</v>
          </cell>
          <cell r="D2022" t="str">
            <v xml:space="preserve"> P형1급</v>
          </cell>
          <cell r="E2022" t="str">
            <v>개</v>
          </cell>
          <cell r="F2022">
            <v>1</v>
          </cell>
          <cell r="G2022">
            <v>5000</v>
          </cell>
          <cell r="H2022">
            <v>5000</v>
          </cell>
          <cell r="I2022">
            <v>0</v>
          </cell>
        </row>
        <row r="2023">
          <cell r="A2023" t="str">
            <v xml:space="preserve"> 경종   DC 24V</v>
          </cell>
          <cell r="C2023" t="str">
            <v xml:space="preserve"> 경종  </v>
          </cell>
          <cell r="D2023" t="str">
            <v xml:space="preserve"> DC 24V</v>
          </cell>
          <cell r="E2023" t="str">
            <v>개</v>
          </cell>
          <cell r="F2023">
            <v>1</v>
          </cell>
          <cell r="G2023">
            <v>5000</v>
          </cell>
          <cell r="H2023">
            <v>5000</v>
          </cell>
          <cell r="I2023">
            <v>0</v>
          </cell>
        </row>
        <row r="2024">
          <cell r="A2024" t="str">
            <v xml:space="preserve"> 표시등   DC 24V</v>
          </cell>
          <cell r="C2024" t="str">
            <v xml:space="preserve"> 표시등  </v>
          </cell>
          <cell r="D2024" t="str">
            <v xml:space="preserve"> DC 24V</v>
          </cell>
          <cell r="E2024" t="str">
            <v>개</v>
          </cell>
          <cell r="F2024">
            <v>1</v>
          </cell>
          <cell r="G2024">
            <v>1000</v>
          </cell>
          <cell r="H2024">
            <v>1000</v>
          </cell>
          <cell r="I2024">
            <v>0</v>
          </cell>
        </row>
        <row r="2025">
          <cell r="B2025" t="str">
            <v>소         계</v>
          </cell>
          <cell r="H2025">
            <v>11000</v>
          </cell>
          <cell r="I2025" t="str">
            <v>ⓐ</v>
          </cell>
        </row>
        <row r="2026">
          <cell r="C2026" t="str">
            <v>나, 노무비</v>
          </cell>
        </row>
        <row r="2027">
          <cell r="A2027" t="str">
            <v>99 내선전공</v>
          </cell>
          <cell r="C2027" t="str">
            <v xml:space="preserve"> 내선전공</v>
          </cell>
          <cell r="E2027" t="str">
            <v>인</v>
          </cell>
          <cell r="F2027">
            <v>0.64999999999999991</v>
          </cell>
          <cell r="G2027">
            <v>51021</v>
          </cell>
          <cell r="H2027">
            <v>33163.599999999999</v>
          </cell>
          <cell r="I2027" t="str">
            <v>발신기+전령+표시등,전기 7-19</v>
          </cell>
        </row>
        <row r="2028">
          <cell r="B2028" t="str">
            <v>소         계</v>
          </cell>
          <cell r="H2028">
            <v>33163</v>
          </cell>
          <cell r="I2028" t="str">
            <v>ⓑ</v>
          </cell>
        </row>
        <row r="2029">
          <cell r="C2029" t="str">
            <v>다, 기계경비</v>
          </cell>
        </row>
        <row r="2030">
          <cell r="C2030" t="str">
            <v xml:space="preserve"> 내선전공</v>
          </cell>
          <cell r="E2030" t="str">
            <v>인</v>
          </cell>
          <cell r="F2030">
            <v>1.9E-2</v>
          </cell>
          <cell r="G2030">
            <v>51021</v>
          </cell>
          <cell r="H2030">
            <v>969.3</v>
          </cell>
        </row>
        <row r="2031">
          <cell r="B2031" t="str">
            <v>소         계</v>
          </cell>
          <cell r="H2031">
            <v>969</v>
          </cell>
          <cell r="I2031" t="str">
            <v>ⓒ</v>
          </cell>
        </row>
        <row r="2033">
          <cell r="A2033" t="str">
            <v>99재   료   비</v>
          </cell>
          <cell r="B2033" t="str">
            <v>재   료   비</v>
          </cell>
          <cell r="D2033" t="str">
            <v>ⓐ</v>
          </cell>
          <cell r="H2033">
            <v>11000</v>
          </cell>
        </row>
        <row r="2034">
          <cell r="A2034" t="str">
            <v>99노   무   비</v>
          </cell>
          <cell r="B2034" t="str">
            <v>노   무   비</v>
          </cell>
          <cell r="D2034" t="str">
            <v>ⓑ</v>
          </cell>
          <cell r="H2034">
            <v>33163</v>
          </cell>
        </row>
        <row r="2035">
          <cell r="A2035" t="str">
            <v>99경        비</v>
          </cell>
          <cell r="B2035" t="str">
            <v>경        비</v>
          </cell>
          <cell r="D2035" t="str">
            <v>ⓒ</v>
          </cell>
          <cell r="H2035">
            <v>969</v>
          </cell>
        </row>
        <row r="2036">
          <cell r="B2036" t="str">
            <v>계</v>
          </cell>
          <cell r="H2036">
            <v>45132</v>
          </cell>
        </row>
        <row r="2038">
          <cell r="B2038">
            <v>100</v>
          </cell>
          <cell r="C2038" t="str">
            <v xml:space="preserve"> 감지기 설치</v>
          </cell>
          <cell r="D2038" t="str">
            <v xml:space="preserve"> 정온식</v>
          </cell>
          <cell r="E2038" t="str">
            <v>개</v>
          </cell>
          <cell r="F2038">
            <v>1</v>
          </cell>
        </row>
        <row r="2039">
          <cell r="C2039" t="str">
            <v>가, 재료비</v>
          </cell>
        </row>
        <row r="2040">
          <cell r="A2040" t="str">
            <v xml:space="preserve"> 열감지기   정온식스포트형</v>
          </cell>
          <cell r="C2040" t="str">
            <v xml:space="preserve"> 열감지기  </v>
          </cell>
          <cell r="D2040" t="str">
            <v xml:space="preserve"> 정온식스포트형</v>
          </cell>
          <cell r="E2040" t="str">
            <v>개</v>
          </cell>
          <cell r="F2040">
            <v>1</v>
          </cell>
          <cell r="G2040">
            <v>5000</v>
          </cell>
          <cell r="H2040">
            <v>5000</v>
          </cell>
          <cell r="I2040">
            <v>0</v>
          </cell>
        </row>
        <row r="2041">
          <cell r="B2041" t="str">
            <v>소         계</v>
          </cell>
          <cell r="H2041">
            <v>5000</v>
          </cell>
          <cell r="I2041" t="str">
            <v>ⓐ</v>
          </cell>
        </row>
        <row r="2042">
          <cell r="C2042" t="str">
            <v>나, 노무비</v>
          </cell>
        </row>
        <row r="2043">
          <cell r="A2043" t="str">
            <v>100 내선전공</v>
          </cell>
          <cell r="C2043" t="str">
            <v xml:space="preserve"> 내선전공</v>
          </cell>
          <cell r="E2043" t="str">
            <v>인</v>
          </cell>
          <cell r="F2043">
            <v>0.13</v>
          </cell>
          <cell r="G2043">
            <v>51021</v>
          </cell>
          <cell r="H2043">
            <v>6632.7</v>
          </cell>
          <cell r="I2043" t="str">
            <v>기본,전기 7-19</v>
          </cell>
        </row>
        <row r="2044">
          <cell r="B2044" t="str">
            <v>소         계</v>
          </cell>
          <cell r="H2044">
            <v>6632</v>
          </cell>
          <cell r="I2044" t="str">
            <v>ⓑ</v>
          </cell>
        </row>
        <row r="2045">
          <cell r="C2045" t="str">
            <v>다, 기계경비</v>
          </cell>
        </row>
        <row r="2046">
          <cell r="C2046" t="str">
            <v xml:space="preserve"> 내선전공</v>
          </cell>
          <cell r="E2046" t="str">
            <v>인</v>
          </cell>
          <cell r="F2046">
            <v>3.0000000000000001E-3</v>
          </cell>
          <cell r="G2046">
            <v>51021</v>
          </cell>
          <cell r="H2046">
            <v>153</v>
          </cell>
        </row>
        <row r="2047">
          <cell r="B2047" t="str">
            <v>소         계</v>
          </cell>
          <cell r="H2047">
            <v>153</v>
          </cell>
          <cell r="I2047" t="str">
            <v>ⓒ</v>
          </cell>
        </row>
        <row r="2049">
          <cell r="A2049" t="str">
            <v>100재   료   비</v>
          </cell>
          <cell r="B2049" t="str">
            <v>재   료   비</v>
          </cell>
          <cell r="D2049" t="str">
            <v>ⓐ</v>
          </cell>
          <cell r="H2049">
            <v>5000</v>
          </cell>
        </row>
        <row r="2050">
          <cell r="A2050" t="str">
            <v>100노   무   비</v>
          </cell>
          <cell r="B2050" t="str">
            <v>노   무   비</v>
          </cell>
          <cell r="D2050" t="str">
            <v>ⓑ</v>
          </cell>
          <cell r="H2050">
            <v>6632</v>
          </cell>
        </row>
        <row r="2051">
          <cell r="A2051" t="str">
            <v>100경        비</v>
          </cell>
          <cell r="B2051" t="str">
            <v>경        비</v>
          </cell>
          <cell r="D2051" t="str">
            <v>ⓒ</v>
          </cell>
          <cell r="H2051">
            <v>153</v>
          </cell>
        </row>
        <row r="2052">
          <cell r="B2052" t="str">
            <v>계</v>
          </cell>
          <cell r="H2052">
            <v>11785</v>
          </cell>
        </row>
        <row r="2056">
          <cell r="B2056">
            <v>101</v>
          </cell>
          <cell r="C2056" t="str">
            <v xml:space="preserve"> 감지기 설치</v>
          </cell>
          <cell r="D2056" t="str">
            <v xml:space="preserve"> 차동식</v>
          </cell>
          <cell r="E2056" t="str">
            <v>개</v>
          </cell>
          <cell r="F2056">
            <v>1</v>
          </cell>
        </row>
        <row r="2057">
          <cell r="C2057" t="str">
            <v>가, 재료비</v>
          </cell>
        </row>
        <row r="2058">
          <cell r="A2058" t="str">
            <v xml:space="preserve"> 열감지기   차동식스포트형</v>
          </cell>
          <cell r="C2058" t="str">
            <v xml:space="preserve"> 열감지기  </v>
          </cell>
          <cell r="D2058" t="str">
            <v xml:space="preserve"> 차동식스포트형</v>
          </cell>
          <cell r="E2058" t="str">
            <v>개</v>
          </cell>
          <cell r="F2058">
            <v>1</v>
          </cell>
          <cell r="G2058">
            <v>5000</v>
          </cell>
          <cell r="H2058">
            <v>5000</v>
          </cell>
          <cell r="I2058">
            <v>0</v>
          </cell>
        </row>
        <row r="2059">
          <cell r="B2059" t="str">
            <v>소         계</v>
          </cell>
          <cell r="H2059">
            <v>5000</v>
          </cell>
          <cell r="I2059" t="str">
            <v>ⓐ</v>
          </cell>
        </row>
        <row r="2060">
          <cell r="C2060" t="str">
            <v>나, 노무비</v>
          </cell>
        </row>
        <row r="2061">
          <cell r="A2061" t="str">
            <v>101 내선전공</v>
          </cell>
          <cell r="C2061" t="str">
            <v xml:space="preserve"> 내선전공</v>
          </cell>
          <cell r="E2061" t="str">
            <v>인</v>
          </cell>
          <cell r="F2061">
            <v>0.13</v>
          </cell>
          <cell r="G2061">
            <v>51021</v>
          </cell>
          <cell r="H2061">
            <v>6632.7</v>
          </cell>
          <cell r="I2061" t="str">
            <v>기본,전기 7-19</v>
          </cell>
        </row>
        <row r="2062">
          <cell r="B2062" t="str">
            <v>소         계</v>
          </cell>
          <cell r="H2062">
            <v>6632</v>
          </cell>
          <cell r="I2062" t="str">
            <v>ⓑ</v>
          </cell>
        </row>
        <row r="2063">
          <cell r="C2063" t="str">
            <v>다, 기계경비</v>
          </cell>
        </row>
        <row r="2064">
          <cell r="C2064" t="str">
            <v xml:space="preserve"> 내선전공</v>
          </cell>
          <cell r="E2064" t="str">
            <v>인</v>
          </cell>
          <cell r="F2064">
            <v>3.0000000000000001E-3</v>
          </cell>
          <cell r="G2064">
            <v>51021</v>
          </cell>
          <cell r="H2064">
            <v>153</v>
          </cell>
        </row>
        <row r="2065">
          <cell r="B2065" t="str">
            <v>소         계</v>
          </cell>
          <cell r="H2065">
            <v>153</v>
          </cell>
          <cell r="I2065" t="str">
            <v>ⓒ</v>
          </cell>
        </row>
        <row r="2067">
          <cell r="A2067" t="str">
            <v>101재   료   비</v>
          </cell>
          <cell r="B2067" t="str">
            <v>재   료   비</v>
          </cell>
          <cell r="D2067" t="str">
            <v>ⓐ</v>
          </cell>
          <cell r="H2067">
            <v>5000</v>
          </cell>
        </row>
        <row r="2068">
          <cell r="A2068" t="str">
            <v>101노   무   비</v>
          </cell>
          <cell r="B2068" t="str">
            <v>노   무   비</v>
          </cell>
          <cell r="D2068" t="str">
            <v>ⓑ</v>
          </cell>
          <cell r="H2068">
            <v>6632</v>
          </cell>
        </row>
        <row r="2069">
          <cell r="A2069" t="str">
            <v>101경        비</v>
          </cell>
          <cell r="B2069" t="str">
            <v>경        비</v>
          </cell>
          <cell r="D2069" t="str">
            <v>ⓒ</v>
          </cell>
          <cell r="H2069">
            <v>153</v>
          </cell>
        </row>
        <row r="2070">
          <cell r="B2070" t="str">
            <v>계</v>
          </cell>
          <cell r="H2070">
            <v>11785</v>
          </cell>
        </row>
        <row r="2074">
          <cell r="B2074">
            <v>102</v>
          </cell>
          <cell r="C2074" t="str">
            <v xml:space="preserve"> 감지기 설치</v>
          </cell>
          <cell r="D2074" t="str">
            <v xml:space="preserve"> 연기식</v>
          </cell>
          <cell r="E2074" t="str">
            <v>개</v>
          </cell>
          <cell r="F2074">
            <v>1</v>
          </cell>
        </row>
        <row r="2075">
          <cell r="C2075" t="str">
            <v>가, 재료비</v>
          </cell>
        </row>
        <row r="2076">
          <cell r="A2076" t="str">
            <v xml:space="preserve"> 연기감지기(노출)   이온화식 2종</v>
          </cell>
          <cell r="C2076" t="str">
            <v xml:space="preserve"> 연기감지기(노출)  </v>
          </cell>
          <cell r="D2076" t="str">
            <v xml:space="preserve"> 이온화식 2종</v>
          </cell>
          <cell r="E2076" t="str">
            <v>개</v>
          </cell>
          <cell r="F2076">
            <v>1</v>
          </cell>
          <cell r="G2076">
            <v>20000</v>
          </cell>
          <cell r="H2076">
            <v>20000</v>
          </cell>
          <cell r="I2076">
            <v>0</v>
          </cell>
        </row>
        <row r="2077">
          <cell r="B2077" t="str">
            <v>소         계</v>
          </cell>
          <cell r="H2077">
            <v>20000</v>
          </cell>
          <cell r="I2077" t="str">
            <v>ⓐ</v>
          </cell>
        </row>
        <row r="2078">
          <cell r="C2078" t="str">
            <v>나, 노무비</v>
          </cell>
        </row>
        <row r="2079">
          <cell r="A2079" t="str">
            <v>102 내선전공</v>
          </cell>
          <cell r="C2079" t="str">
            <v xml:space="preserve"> 내선전공</v>
          </cell>
          <cell r="E2079" t="str">
            <v>인</v>
          </cell>
          <cell r="F2079">
            <v>0.13</v>
          </cell>
          <cell r="G2079">
            <v>51021</v>
          </cell>
          <cell r="H2079">
            <v>6632.7</v>
          </cell>
          <cell r="I2079" t="str">
            <v>기본,전기 7-19</v>
          </cell>
        </row>
        <row r="2080">
          <cell r="B2080" t="str">
            <v>소         계</v>
          </cell>
          <cell r="H2080">
            <v>6632</v>
          </cell>
          <cell r="I2080" t="str">
            <v>ⓑ</v>
          </cell>
        </row>
        <row r="2081">
          <cell r="C2081" t="str">
            <v>다, 기계경비</v>
          </cell>
        </row>
        <row r="2082">
          <cell r="C2082" t="str">
            <v xml:space="preserve"> 내선전공</v>
          </cell>
          <cell r="E2082" t="str">
            <v>인</v>
          </cell>
          <cell r="F2082">
            <v>3.0000000000000001E-3</v>
          </cell>
          <cell r="G2082">
            <v>51021</v>
          </cell>
          <cell r="H2082">
            <v>153</v>
          </cell>
        </row>
        <row r="2083">
          <cell r="B2083" t="str">
            <v>소         계</v>
          </cell>
          <cell r="H2083">
            <v>153</v>
          </cell>
          <cell r="I2083" t="str">
            <v>ⓒ</v>
          </cell>
        </row>
        <row r="2085">
          <cell r="A2085" t="str">
            <v>102재   료   비</v>
          </cell>
          <cell r="B2085" t="str">
            <v>재   료   비</v>
          </cell>
          <cell r="D2085" t="str">
            <v>ⓐ</v>
          </cell>
          <cell r="H2085">
            <v>20000</v>
          </cell>
        </row>
        <row r="2086">
          <cell r="A2086" t="str">
            <v>102노   무   비</v>
          </cell>
          <cell r="B2086" t="str">
            <v>노   무   비</v>
          </cell>
          <cell r="D2086" t="str">
            <v>ⓑ</v>
          </cell>
          <cell r="H2086">
            <v>6632</v>
          </cell>
        </row>
        <row r="2087">
          <cell r="A2087" t="str">
            <v>102경        비</v>
          </cell>
          <cell r="B2087" t="str">
            <v>경        비</v>
          </cell>
          <cell r="D2087" t="str">
            <v>ⓒ</v>
          </cell>
          <cell r="H2087">
            <v>153</v>
          </cell>
        </row>
        <row r="2088">
          <cell r="B2088" t="str">
            <v>계</v>
          </cell>
          <cell r="H2088">
            <v>26785</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
      <sheetName val="단순공사"/>
      <sheetName val="단가표"/>
      <sheetName val="키폰주장치(설계서#1)"/>
      <sheetName val="AL DUCT(설계서#2)"/>
      <sheetName val="국내케이블(설계서#3)"/>
      <sheetName val="전원케이블(설계서#4)"/>
      <sheetName val="후렉시블(설계서#5)"/>
      <sheetName val="스피커선(설계서#6)"/>
      <sheetName val="AMP(설계서#7)"/>
      <sheetName val="노임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P"/>
      <sheetName val="보도"/>
      <sheetName val="사리도"/>
      <sheetName val="투스콘"/>
      <sheetName val="Sheet1"/>
      <sheetName val="강동것1"/>
      <sheetName val="강동것"/>
      <sheetName val="참고"/>
      <sheetName val="1.사용법"/>
      <sheetName val="2.작성기준"/>
      <sheetName val="3.할증기준"/>
      <sheetName val="8.품셈단위환산"/>
      <sheetName val="11.자재단가비교"/>
      <sheetName val="9.품셈총괄"/>
      <sheetName val="10.품셈"/>
      <sheetName val="12.부표총괄"/>
      <sheetName val="13.부표"/>
      <sheetName val="14.별표"/>
      <sheetName val="15.복구기준"/>
      <sheetName val="10.할증예시"/>
      <sheetName val="노임단가"/>
      <sheetName val="핸드홀도"/>
      <sheetName val="14.경비입력"/>
      <sheetName val="12.재료비입력"/>
      <sheetName val="설계서"/>
    </sheetNames>
    <sheetDataSet>
      <sheetData sheetId="0" refreshError="1"/>
      <sheetData sheetId="1" refreshError="1"/>
      <sheetData sheetId="2" refreshError="1">
        <row r="13">
          <cell r="D13">
            <v>0.628</v>
          </cell>
        </row>
      </sheetData>
      <sheetData sheetId="3" refreshError="1"/>
      <sheetData sheetId="4" refreshError="1"/>
      <sheetData sheetId="5" refreshError="1"/>
      <sheetData sheetId="6" refreshError="1"/>
      <sheetData sheetId="7" refreshError="1">
        <row r="1">
          <cell r="A1" t="str">
            <v>기호</v>
          </cell>
        </row>
        <row r="2">
          <cell r="A2" t="str">
            <v>AA1</v>
          </cell>
          <cell r="B2" t="str">
            <v>ASP A-1 PVC 100mm*1</v>
          </cell>
          <cell r="C2">
            <v>1</v>
          </cell>
          <cell r="D2" t="str">
            <v>PVC 100mm</v>
          </cell>
          <cell r="E2">
            <v>1</v>
          </cell>
          <cell r="F2">
            <v>0.41399999999999998</v>
          </cell>
          <cell r="G2">
            <v>1.3640000000000001</v>
          </cell>
          <cell r="H2">
            <v>0.68700000000000006</v>
          </cell>
          <cell r="I2">
            <v>0.05</v>
          </cell>
          <cell r="J2">
            <v>0.15</v>
          </cell>
          <cell r="K2">
            <v>0.2</v>
          </cell>
          <cell r="L2">
            <v>0.4</v>
          </cell>
          <cell r="N2">
            <v>0.19999999999999996</v>
          </cell>
          <cell r="O2">
            <v>0.3640000000000001</v>
          </cell>
        </row>
        <row r="3">
          <cell r="A3" t="str">
            <v>AA2</v>
          </cell>
          <cell r="B3" t="str">
            <v>ASP A-1 PVC 100mm*2</v>
          </cell>
          <cell r="C3">
            <v>2</v>
          </cell>
          <cell r="D3" t="str">
            <v>PVC 100mm</v>
          </cell>
          <cell r="E3">
            <v>2</v>
          </cell>
          <cell r="F3">
            <v>0.628</v>
          </cell>
          <cell r="G3">
            <v>1.3640000000000001</v>
          </cell>
          <cell r="H3">
            <v>0.90100000000000002</v>
          </cell>
          <cell r="I3">
            <v>0.05</v>
          </cell>
          <cell r="J3">
            <v>0.15</v>
          </cell>
          <cell r="K3">
            <v>0.2</v>
          </cell>
          <cell r="L3">
            <v>0.4</v>
          </cell>
          <cell r="N3">
            <v>0.19999999999999996</v>
          </cell>
          <cell r="O3">
            <v>0.3640000000000001</v>
          </cell>
        </row>
        <row r="4">
          <cell r="A4" t="str">
            <v>AA3</v>
          </cell>
          <cell r="B4" t="str">
            <v>ASP A-1 PVC 100mm*3</v>
          </cell>
          <cell r="C4">
            <v>3</v>
          </cell>
          <cell r="D4" t="str">
            <v>PVC 100mm</v>
          </cell>
          <cell r="E4">
            <v>2</v>
          </cell>
          <cell r="F4">
            <v>0.628</v>
          </cell>
          <cell r="G4">
            <v>1.5780000000000001</v>
          </cell>
          <cell r="H4">
            <v>0.94399999999999995</v>
          </cell>
          <cell r="I4">
            <v>0.05</v>
          </cell>
          <cell r="J4">
            <v>0.15</v>
          </cell>
          <cell r="K4">
            <v>0.2</v>
          </cell>
          <cell r="L4">
            <v>0.4</v>
          </cell>
          <cell r="N4">
            <v>0.19999999999999996</v>
          </cell>
          <cell r="O4">
            <v>0.57800000000000007</v>
          </cell>
        </row>
        <row r="5">
          <cell r="A5" t="str">
            <v>AA4</v>
          </cell>
          <cell r="B5" t="str">
            <v>ASP A-1 PVC 100mm*4</v>
          </cell>
          <cell r="C5">
            <v>4</v>
          </cell>
          <cell r="D5" t="str">
            <v>PVC 100mm</v>
          </cell>
          <cell r="E5">
            <v>2</v>
          </cell>
          <cell r="F5">
            <v>0.628</v>
          </cell>
          <cell r="G5">
            <v>1.5780000000000001</v>
          </cell>
          <cell r="H5">
            <v>0.94399999999999995</v>
          </cell>
          <cell r="I5">
            <v>0.05</v>
          </cell>
          <cell r="J5">
            <v>0.15</v>
          </cell>
          <cell r="K5">
            <v>0.2</v>
          </cell>
          <cell r="L5">
            <v>0.4</v>
          </cell>
          <cell r="N5">
            <v>0.19999999999999996</v>
          </cell>
          <cell r="O5">
            <v>0.57800000000000007</v>
          </cell>
        </row>
        <row r="6">
          <cell r="A6" t="str">
            <v>AA5</v>
          </cell>
          <cell r="B6" t="str">
            <v>ASP A-1 PVC 100mm*5</v>
          </cell>
          <cell r="C6">
            <v>5</v>
          </cell>
          <cell r="D6" t="str">
            <v>PVC 100mm</v>
          </cell>
          <cell r="E6">
            <v>3</v>
          </cell>
          <cell r="F6">
            <v>0.84199999999999997</v>
          </cell>
          <cell r="G6">
            <v>1.5780000000000001</v>
          </cell>
          <cell r="H6">
            <v>1.1579999999999999</v>
          </cell>
          <cell r="I6">
            <v>0.05</v>
          </cell>
          <cell r="J6">
            <v>0.15</v>
          </cell>
          <cell r="K6">
            <v>0.2</v>
          </cell>
          <cell r="L6">
            <v>0.4</v>
          </cell>
          <cell r="N6">
            <v>0.19999999999999996</v>
          </cell>
          <cell r="O6">
            <v>0.57800000000000007</v>
          </cell>
        </row>
        <row r="7">
          <cell r="A7" t="str">
            <v>AA6</v>
          </cell>
          <cell r="B7" t="str">
            <v>ASP A-1 PVC 100mm*6</v>
          </cell>
          <cell r="C7">
            <v>6</v>
          </cell>
          <cell r="D7" t="str">
            <v>PVC 100mm</v>
          </cell>
          <cell r="E7">
            <v>3</v>
          </cell>
          <cell r="F7">
            <v>0.84199999999999997</v>
          </cell>
          <cell r="G7">
            <v>1.5780000000000001</v>
          </cell>
          <cell r="H7">
            <v>1.1579999999999999</v>
          </cell>
          <cell r="I7">
            <v>0.05</v>
          </cell>
          <cell r="J7">
            <v>0.15</v>
          </cell>
          <cell r="K7">
            <v>0.2</v>
          </cell>
          <cell r="L7">
            <v>0.4</v>
          </cell>
          <cell r="N7">
            <v>0.19999999999999996</v>
          </cell>
          <cell r="O7">
            <v>0.57800000000000007</v>
          </cell>
        </row>
        <row r="8">
          <cell r="A8" t="str">
            <v>AB1</v>
          </cell>
          <cell r="B8" t="str">
            <v>ASP A-2 PVC 100mm*1</v>
          </cell>
          <cell r="C8">
            <v>1</v>
          </cell>
          <cell r="D8" t="str">
            <v>PVC 100mm</v>
          </cell>
          <cell r="E8">
            <v>1</v>
          </cell>
          <cell r="F8">
            <v>0.41399999999999998</v>
          </cell>
          <cell r="G8">
            <v>1.3640000000000001</v>
          </cell>
          <cell r="H8">
            <v>0.68700000000000006</v>
          </cell>
          <cell r="I8">
            <v>0.05</v>
          </cell>
          <cell r="J8">
            <v>7.4999999999999997E-2</v>
          </cell>
          <cell r="K8">
            <v>0.2</v>
          </cell>
          <cell r="L8">
            <v>0.3</v>
          </cell>
          <cell r="N8">
            <v>0.375</v>
          </cell>
          <cell r="O8">
            <v>0.3640000000000001</v>
          </cell>
        </row>
        <row r="9">
          <cell r="A9" t="str">
            <v>AB2</v>
          </cell>
          <cell r="B9" t="str">
            <v>ASP A-2 PVC 100mm*2</v>
          </cell>
          <cell r="C9">
            <v>2</v>
          </cell>
          <cell r="D9" t="str">
            <v>PVC 100mm</v>
          </cell>
          <cell r="E9">
            <v>2</v>
          </cell>
          <cell r="F9">
            <v>0.628</v>
          </cell>
          <cell r="G9">
            <v>1.3640000000000001</v>
          </cell>
          <cell r="H9">
            <v>0.90100000000000002</v>
          </cell>
          <cell r="I9">
            <v>0.05</v>
          </cell>
          <cell r="J9">
            <v>7.4999999999999997E-2</v>
          </cell>
          <cell r="K9">
            <v>0.2</v>
          </cell>
          <cell r="L9">
            <v>0.3</v>
          </cell>
          <cell r="N9">
            <v>0.375</v>
          </cell>
          <cell r="O9">
            <v>0.3640000000000001</v>
          </cell>
        </row>
        <row r="10">
          <cell r="A10" t="str">
            <v>AB3</v>
          </cell>
          <cell r="B10" t="str">
            <v>ASP A-2 PVC 100mm*3</v>
          </cell>
          <cell r="C10">
            <v>3</v>
          </cell>
          <cell r="D10" t="str">
            <v>PVC 100mm</v>
          </cell>
          <cell r="E10">
            <v>2</v>
          </cell>
          <cell r="F10">
            <v>0.628</v>
          </cell>
          <cell r="G10">
            <v>1.5780000000000001</v>
          </cell>
          <cell r="H10">
            <v>0.94399999999999995</v>
          </cell>
          <cell r="I10">
            <v>0.05</v>
          </cell>
          <cell r="J10">
            <v>7.4999999999999997E-2</v>
          </cell>
          <cell r="K10">
            <v>0.2</v>
          </cell>
          <cell r="L10">
            <v>0.3</v>
          </cell>
          <cell r="N10">
            <v>0.375</v>
          </cell>
          <cell r="O10">
            <v>0.57800000000000007</v>
          </cell>
        </row>
        <row r="11">
          <cell r="A11" t="str">
            <v>AB4</v>
          </cell>
          <cell r="B11" t="str">
            <v>ASP A-2 PVC 100mm*4</v>
          </cell>
          <cell r="C11">
            <v>4</v>
          </cell>
          <cell r="D11" t="str">
            <v>PVC 100mm</v>
          </cell>
          <cell r="E11">
            <v>2</v>
          </cell>
          <cell r="F11">
            <v>0.628</v>
          </cell>
          <cell r="G11">
            <v>1.5780000000000001</v>
          </cell>
          <cell r="H11">
            <v>0.94399999999999995</v>
          </cell>
          <cell r="I11">
            <v>0.05</v>
          </cell>
          <cell r="J11">
            <v>7.4999999999999997E-2</v>
          </cell>
          <cell r="K11">
            <v>0.2</v>
          </cell>
          <cell r="L11">
            <v>0.3</v>
          </cell>
          <cell r="N11">
            <v>0.375</v>
          </cell>
          <cell r="O11">
            <v>0.57800000000000007</v>
          </cell>
        </row>
        <row r="12">
          <cell r="A12" t="str">
            <v>AB5</v>
          </cell>
          <cell r="B12" t="str">
            <v>ASP A-2 PVC 100mm*5</v>
          </cell>
          <cell r="C12">
            <v>5</v>
          </cell>
          <cell r="D12" t="str">
            <v>PVC 100mm</v>
          </cell>
          <cell r="E12">
            <v>3</v>
          </cell>
          <cell r="F12">
            <v>0.84199999999999997</v>
          </cell>
          <cell r="G12">
            <v>1.5780000000000001</v>
          </cell>
          <cell r="H12">
            <v>1.1579999999999999</v>
          </cell>
          <cell r="I12">
            <v>0.05</v>
          </cell>
          <cell r="J12">
            <v>7.4999999999999997E-2</v>
          </cell>
          <cell r="K12">
            <v>0.2</v>
          </cell>
          <cell r="L12">
            <v>0.3</v>
          </cell>
          <cell r="N12">
            <v>0.375</v>
          </cell>
          <cell r="O12">
            <v>0.57800000000000007</v>
          </cell>
        </row>
        <row r="13">
          <cell r="A13" t="str">
            <v>AB6</v>
          </cell>
          <cell r="B13" t="str">
            <v>ASP A-2 PVC 100mm*6</v>
          </cell>
          <cell r="C13">
            <v>6</v>
          </cell>
          <cell r="D13" t="str">
            <v>PVC 100mm</v>
          </cell>
          <cell r="E13">
            <v>3</v>
          </cell>
          <cell r="F13">
            <v>0.84199999999999997</v>
          </cell>
          <cell r="G13">
            <v>1.5780000000000001</v>
          </cell>
          <cell r="H13">
            <v>1.1579999999999999</v>
          </cell>
          <cell r="I13">
            <v>0.05</v>
          </cell>
          <cell r="J13">
            <v>7.4999999999999997E-2</v>
          </cell>
          <cell r="K13">
            <v>0.2</v>
          </cell>
          <cell r="L13">
            <v>0.3</v>
          </cell>
          <cell r="N13">
            <v>0.375</v>
          </cell>
          <cell r="O13">
            <v>0.57800000000000007</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기준자료"/>
      <sheetName val="품셈표"/>
      <sheetName val="지입단가"/>
      <sheetName val="단가표"/>
    </sheetNames>
    <sheetDataSet>
      <sheetData sheetId="0"/>
      <sheetData sheetId="1">
        <row r="4">
          <cell r="C4">
            <v>44101</v>
          </cell>
        </row>
        <row r="8">
          <cell r="C8">
            <v>57177</v>
          </cell>
        </row>
        <row r="9">
          <cell r="C9">
            <v>51718</v>
          </cell>
        </row>
        <row r="10">
          <cell r="C10">
            <v>42361</v>
          </cell>
        </row>
        <row r="11">
          <cell r="C11">
            <v>41929</v>
          </cell>
        </row>
        <row r="12">
          <cell r="C12">
            <v>57460</v>
          </cell>
        </row>
        <row r="13">
          <cell r="C13">
            <v>39631</v>
          </cell>
        </row>
        <row r="14">
          <cell r="C14">
            <v>28541</v>
          </cell>
        </row>
        <row r="21">
          <cell r="C21">
            <v>64949</v>
          </cell>
        </row>
        <row r="22">
          <cell r="C22">
            <v>62850</v>
          </cell>
        </row>
        <row r="26">
          <cell r="C26">
            <v>35423</v>
          </cell>
        </row>
        <row r="27">
          <cell r="C27">
            <v>42279</v>
          </cell>
        </row>
      </sheetData>
      <sheetData sheetId="2"/>
      <sheetData sheetId="3"/>
      <sheetData sheetId="4"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V공청"/>
      <sheetName val="DATA"/>
    </sheetNames>
    <sheetDataSet>
      <sheetData sheetId="0"/>
      <sheetData sheetId="1">
        <row r="4">
          <cell r="B4">
            <v>1</v>
          </cell>
          <cell r="C4" t="str">
            <v>HFBT-5C</v>
          </cell>
        </row>
        <row r="5">
          <cell r="B5">
            <v>2</v>
          </cell>
          <cell r="C5" t="str">
            <v>HFBT-7C</v>
          </cell>
        </row>
        <row r="6">
          <cell r="B6">
            <v>3</v>
          </cell>
          <cell r="C6" t="str">
            <v>HFBT-10C</v>
          </cell>
        </row>
        <row r="7">
          <cell r="B7">
            <v>4</v>
          </cell>
          <cell r="C7" t="str">
            <v>OPTICAL CABLE 2C M/M</v>
          </cell>
        </row>
        <row r="8">
          <cell r="B8">
            <v>5</v>
          </cell>
          <cell r="C8" t="str">
            <v>OPTICAL CABLE 4C M/M</v>
          </cell>
        </row>
        <row r="9">
          <cell r="B9">
            <v>6</v>
          </cell>
          <cell r="C9" t="str">
            <v>OPTICAL CABLE 8CM/M</v>
          </cell>
        </row>
        <row r="10">
          <cell r="B10">
            <v>7</v>
          </cell>
          <cell r="C10" t="str">
            <v>OPTICAL CABLE 2C S/M</v>
          </cell>
        </row>
        <row r="11">
          <cell r="C11" t="str">
            <v>OPTICAL CABLE 4C S/M</v>
          </cell>
        </row>
        <row r="12">
          <cell r="C12" t="str">
            <v>OPTICAL CABLE 8C S/M</v>
          </cell>
        </row>
        <row r="13">
          <cell r="C13" t="str">
            <v>EMPTY PIPE</v>
          </cell>
        </row>
      </sheetData>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NEW"/>
      <sheetName val="내역서"/>
      <sheetName val="기준자료"/>
      <sheetName val="______MY_DOCUMENTS_____My_eBo_2"/>
      <sheetName val=""/>
      <sheetName val="PART_DISCOUNT"/>
    </sheetNames>
    <definedNames>
      <definedName name="changdata"/>
      <definedName name="dinput"/>
      <definedName name="M_env.datasort"/>
      <definedName name="reportfile"/>
      <definedName name="THEEND"/>
    </definedNames>
    <sheetDataSet>
      <sheetData sheetId="0" refreshError="1"/>
      <sheetData sheetId="1" refreshError="1"/>
      <sheetData sheetId="2" refreshError="1"/>
      <sheetData sheetId="3"/>
      <sheetData sheetId="4"/>
      <sheetData sheetId="5"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보고서"/>
      <sheetName val="비교표"/>
      <sheetName val="변경내역"/>
      <sheetName val="정산내역서"/>
      <sheetName val="노무산출서"/>
      <sheetName val="소요자재"/>
      <sheetName val="바인딩물량"/>
      <sheetName val="피스표"/>
      <sheetName val="사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별집계표"/>
      <sheetName val="가설산출서"/>
      <sheetName val="토공산출서"/>
      <sheetName val="내부산출서"/>
      <sheetName val="내부산출서_1"/>
      <sheetName val="조적산출서"/>
      <sheetName val="외부산출서"/>
      <sheetName val="창호산출서"/>
      <sheetName val="동별창호리스트"/>
      <sheetName val="군산지사사옥마감산출서_이유진검토"/>
      <sheetName val="일위대가"/>
      <sheetName val=""/>
      <sheetName val="C__01__________56______01_24__2"/>
    </sheetNames>
    <definedNames>
      <definedName name="__ENG1"/>
      <definedName name="__ENG2"/>
      <definedName name="__ENG3"/>
      <definedName name="__HAN1"/>
      <definedName name="__HAN2"/>
      <definedName name="__HAN3"/>
      <definedName name="BlankMacro1"/>
      <definedName name="DCC"/>
      <definedName name="DCN"/>
      <definedName name="DCO"/>
      <definedName name="SN"/>
    </definedNames>
    <sheetDataSet>
      <sheetData sheetId="0"/>
      <sheetData sheetId="1"/>
      <sheetData sheetId="2"/>
      <sheetData sheetId="3"/>
      <sheetData sheetId="4"/>
      <sheetData sheetId="5"/>
      <sheetData sheetId="6"/>
      <sheetData sheetId="7"/>
      <sheetData sheetId="8"/>
      <sheetData sheetId="9" refreshError="1"/>
      <sheetData sheetId="10" refreshError="1"/>
      <sheetData sheetId="11"/>
      <sheetData sheetId="12"/>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음향내역서"/>
      <sheetName val="Sheet1"/>
      <sheetName val="Sheet2"/>
      <sheetName val="Sheet3"/>
      <sheetName val="가격표"/>
      <sheetName val="건축음향"/>
      <sheetName val="방송일위대가"/>
      <sheetName val="#REF"/>
      <sheetName val="신우"/>
      <sheetName val="과천MAIN"/>
      <sheetName val="DATA"/>
      <sheetName val="환율"/>
      <sheetName val="ABUT수량-A1"/>
      <sheetName val="인건비 "/>
      <sheetName val="코드표"/>
      <sheetName val="전기"/>
      <sheetName val="단가산출1"/>
      <sheetName val="8.석축단위(H=1.5M)"/>
      <sheetName val="04상노임"/>
      <sheetName val="표지"/>
      <sheetName val="갑지"/>
      <sheetName val="총괄표"/>
      <sheetName val="음향설비"/>
      <sheetName val="영상설비"/>
      <sheetName val="선로수량집계"/>
      <sheetName val="장비수량집계"/>
      <sheetName val="지장수량집계"/>
      <sheetName val="철거"/>
      <sheetName val="노임이"/>
      <sheetName val="일위대가"/>
      <sheetName val="견"/>
      <sheetName val="일위대가(가설)"/>
      <sheetName val="Sheet1 (2)"/>
      <sheetName val="대로근거"/>
      <sheetName val="공종별집계표"/>
      <sheetName val="기초일위"/>
      <sheetName val="시설일위"/>
      <sheetName val="조명일위"/>
      <sheetName val="_x0000__x0004_"/>
      <sheetName val="시행후면적"/>
      <sheetName val="수지예산"/>
      <sheetName val="제-노임"/>
      <sheetName val="제직재"/>
      <sheetName val="부하계산서"/>
      <sheetName val="수량산출"/>
      <sheetName val="경율산정"/>
      <sheetName val="EP0618"/>
      <sheetName val="내역서1999.8최종"/>
      <sheetName val="N賃率-職"/>
      <sheetName val="조건표"/>
      <sheetName val="환경기계공정표 (3)"/>
      <sheetName val="계약용량(서포)"/>
      <sheetName val="금액내역서"/>
      <sheetName val="사통"/>
      <sheetName val="포장공"/>
      <sheetName val="단가"/>
      <sheetName val="MS"/>
      <sheetName val="집계표"/>
      <sheetName val="DB"/>
      <sheetName val="2000년1차"/>
      <sheetName val="경비율"/>
      <sheetName val="결산"/>
      <sheetName val="제경집계"/>
      <sheetName val="유림골조"/>
      <sheetName val=""/>
      <sheetName val="현장관리비"/>
      <sheetName val="대비"/>
      <sheetName val="운영도(변경후)"/>
      <sheetName val="울산시산표"/>
      <sheetName val="수리결과"/>
      <sheetName val="경산"/>
      <sheetName val="기본일위"/>
      <sheetName val="I一般比"/>
      <sheetName val="1호인버트수량"/>
      <sheetName val="설계내역서"/>
      <sheetName val="경율산정.XLS"/>
      <sheetName val="?_x0004_"/>
      <sheetName val="J直材4"/>
      <sheetName val="소비자가"/>
      <sheetName val="발신정보"/>
      <sheetName val="__x0004_"/>
      <sheetName val="DATE"/>
      <sheetName val="1.설계조건"/>
      <sheetName val="날개벽수량표"/>
      <sheetName val="데이타"/>
      <sheetName val="식재인부"/>
      <sheetName val="기존단가 (2)"/>
      <sheetName val="맨홀토공산출"/>
      <sheetName val="9811"/>
      <sheetName val="01"/>
      <sheetName val="납부서"/>
      <sheetName val="VXXXXXXX"/>
      <sheetName val="ECSYSTEM"/>
      <sheetName val="ECSYSTEM_2"/>
      <sheetName val="ECSYSTEM_3"/>
      <sheetName val="원가"/>
      <sheetName val="집계"/>
      <sheetName val="내역"/>
      <sheetName val="소요량"/>
      <sheetName val="목록"/>
      <sheetName val="일위"/>
      <sheetName val="간노비"/>
      <sheetName val="경비"/>
      <sheetName val="산재"/>
      <sheetName val="산재비율"/>
      <sheetName val="고용"/>
      <sheetName val="배부"/>
      <sheetName val="완성1"/>
      <sheetName val="완성2"/>
      <sheetName val="일반"/>
      <sheetName val="일반비율"/>
      <sheetName val="이윤"/>
      <sheetName val="이윤비율"/>
      <sheetName val="출력제외----"/>
      <sheetName val="노임"/>
      <sheetName val="안전"/>
      <sheetName val="안전비율"/>
      <sheetName val="내역2"/>
      <sheetName val="목록2"/>
      <sheetName val="단가2"/>
      <sheetName val="일위2"/>
      <sheetName val="준설산출근거"/>
      <sheetName val="퇴직"/>
      <sheetName val="건강"/>
      <sheetName val="연금"/>
      <sheetName val="노인"/>
      <sheetName val="소일위대가코드표"/>
      <sheetName val="직노"/>
      <sheetName val="기타공사비"/>
      <sheetName val="산출내역"/>
      <sheetName val="중기사용료"/>
      <sheetName val="SORCE1"/>
      <sheetName val="sw1"/>
      <sheetName val="C-직노1"/>
      <sheetName val="노임단가"/>
      <sheetName val="1차 내역서"/>
      <sheetName val="실행철강하도"/>
      <sheetName val="내역서"/>
      <sheetName val="총괄내역서"/>
      <sheetName val="견적서1"/>
      <sheetName val="기계경비단가"/>
      <sheetName val="단가표"/>
      <sheetName val="복구경비"/>
      <sheetName val="특별교실"/>
      <sheetName val="갑지(추정)"/>
      <sheetName val="선로정수계산"/>
      <sheetName val="입출재고현황 (2)"/>
      <sheetName val="회관내역"/>
      <sheetName val="회관내역 (2)"/>
      <sheetName val="공동내역"/>
      <sheetName val="공동내역 (2)"/>
      <sheetName val="쉼터내역"/>
      <sheetName val="쉼터내역 (2)"/>
      <sheetName val="설계명세"/>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설명서"/>
      <sheetName val="예정공정표"/>
      <sheetName val="기별표지"/>
      <sheetName val="공사계획서"/>
      <sheetName val="소요자재"/>
      <sheetName val="노무산출서"/>
      <sheetName val="공사비예산서"/>
      <sheetName val="설계명세서(종합)"/>
      <sheetName val="장비형품목산출서"/>
      <sheetName val="품목(Rack,OFD)산출서"/>
      <sheetName val="일위대가"/>
      <sheetName val="관로시설"/>
      <sheetName val="pldt"/>
      <sheetName val="설계명세서"/>
      <sheetName val="적용기준표(98년상반기)"/>
      <sheetName val="단가표"/>
      <sheetName val="코드_관계회사"/>
      <sheetName val="코드_설비"/>
      <sheetName val="코드_차입"/>
      <sheetName val="설비입력"/>
      <sheetName val="관계회사CF"/>
      <sheetName val="misc"/>
      <sheetName val="기초자료입력"/>
      <sheetName val="한국중~1"/>
      <sheetName val="정산내역서(선로)"/>
      <sheetName val="정산"/>
      <sheetName val="아파트기별"/>
      <sheetName val="자재조사표"/>
      <sheetName val="일반부표집계표"/>
      <sheetName val="9GNG운반"/>
      <sheetName val="소요자재명세서"/>
      <sheetName val="노무비명세서"/>
      <sheetName val="내역서"/>
      <sheetName val="인건-측정"/>
      <sheetName val="내역서적용"/>
      <sheetName val="기별(철거)"/>
      <sheetName val="정산내역서"/>
      <sheetName val="01상노임"/>
      <sheetName val="노임단가표 "/>
      <sheetName val="준공정산"/>
      <sheetName val="토목수량(공정)"/>
      <sheetName val="노임단가표"/>
      <sheetName val="중부전력"/>
      <sheetName val="사급자재"/>
      <sheetName val="수량산출"/>
      <sheetName val="______C_______________________2"/>
    </sheetNames>
    <sheetDataSet>
      <sheetData sheetId="0" refreshError="1"/>
      <sheetData sheetId="1" refreshError="1"/>
      <sheetData sheetId="2" refreshError="1"/>
      <sheetData sheetId="3" refreshError="1"/>
      <sheetData sheetId="4" refreshError="1">
        <row r="38">
          <cell r="H38">
            <v>0</v>
          </cell>
        </row>
        <row r="39">
          <cell r="H39">
            <v>0</v>
          </cell>
        </row>
        <row r="40">
          <cell r="H40">
            <v>0</v>
          </cell>
        </row>
        <row r="52">
          <cell r="H52">
            <v>0</v>
          </cell>
        </row>
        <row r="59">
          <cell r="H59">
            <v>0</v>
          </cell>
        </row>
        <row r="110">
          <cell r="H110">
            <v>0</v>
          </cell>
        </row>
        <row r="133">
          <cell r="H133">
            <v>0</v>
          </cell>
        </row>
        <row r="139">
          <cell r="H139">
            <v>0</v>
          </cell>
        </row>
        <row r="150">
          <cell r="H150">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일위대가"/>
      <sheetName val="조명시설"/>
      <sheetName val="데리네이타현황"/>
      <sheetName val="내역"/>
      <sheetName val="산출근거"/>
      <sheetName val="골재산출"/>
      <sheetName val="입찰안"/>
      <sheetName val="guard(mac)"/>
      <sheetName val="DATA"/>
      <sheetName val="BID"/>
      <sheetName val="공동구수량"/>
      <sheetName val="바닥판"/>
      <sheetName val="입력DATA"/>
      <sheetName val="집계표"/>
      <sheetName val="#REF"/>
      <sheetName val="철근량"/>
      <sheetName val="주beam"/>
      <sheetName val="Sheet1"/>
      <sheetName val="교각1"/>
      <sheetName val="차수공개요"/>
      <sheetName val="대로근거"/>
      <sheetName val="중로근거"/>
      <sheetName val="총괄표"/>
      <sheetName val="96정변2"/>
      <sheetName val="말뚝지지력산정"/>
      <sheetName val="당초"/>
      <sheetName val="식생블럭단위수량"/>
      <sheetName val="내역서"/>
      <sheetName val="노임단가"/>
      <sheetName val="기계경비(시간당)"/>
      <sheetName val="터파기및재료"/>
      <sheetName val="상시"/>
      <sheetName val="지장물C"/>
      <sheetName val="흥양2교토공집계표"/>
      <sheetName val="분석"/>
      <sheetName val="우수받이"/>
      <sheetName val="토목"/>
      <sheetName val="설명서 "/>
      <sheetName val="총수량집계표"/>
      <sheetName val="BOX수량"/>
      <sheetName val="재료집계표"/>
      <sheetName val="일위대가9803"/>
      <sheetName val="총괄내역서"/>
      <sheetName val="신천3호용수로"/>
      <sheetName val="3련 BOX"/>
      <sheetName val="CC16-내역서"/>
      <sheetName val="3BL공동구 수량"/>
      <sheetName val="4.2유효폭의 계산"/>
      <sheetName val="이토변실"/>
      <sheetName val="단위단가"/>
      <sheetName val="교대(A1)"/>
      <sheetName val="단위수량"/>
      <sheetName val="건축공사실행"/>
      <sheetName val="연결관암거"/>
      <sheetName val="가시설수량"/>
      <sheetName val="2공구산출내역"/>
      <sheetName val="식재가격"/>
      <sheetName val="식재총괄"/>
      <sheetName val="일위목록"/>
      <sheetName val="수량산출"/>
      <sheetName val="기초일위"/>
      <sheetName val="시설일위"/>
      <sheetName val="조명일위"/>
      <sheetName val="기본1"/>
      <sheetName val="수정일위대가"/>
      <sheetName val="DATE"/>
      <sheetName val="표지"/>
      <sheetName val="일위대가목차"/>
      <sheetName val="인명부"/>
      <sheetName val="물량표"/>
      <sheetName val="PIPING"/>
      <sheetName val="#3_일위대가목록"/>
      <sheetName val="#2_일위대가목록"/>
      <sheetName val="102역사"/>
      <sheetName val="공사비총괄표"/>
      <sheetName val="6PILE  (돌출)"/>
      <sheetName val="신고조서"/>
      <sheetName val="우수내용"/>
      <sheetName val="H-PILE수량집계"/>
      <sheetName val="품셈TABLE"/>
      <sheetName val="직접공사비"/>
      <sheetName val="재료"/>
      <sheetName val="목차 "/>
      <sheetName val="내역서중"/>
      <sheetName val="부대내역"/>
      <sheetName val="내역서1999.8최종"/>
      <sheetName val="실행"/>
      <sheetName val="예산M11A"/>
      <sheetName val="추가예산"/>
      <sheetName val="입력란"/>
      <sheetName val="97노임단가"/>
      <sheetName val="날개벽"/>
      <sheetName val="97년 추정"/>
      <sheetName val="도로경계단위"/>
      <sheetName val="일위대가1"/>
      <sheetName val="원형1호맨홀토공수량"/>
      <sheetName val="월말"/>
      <sheetName val="INPUT"/>
      <sheetName val="자재단가비교표"/>
      <sheetName val="토공(우물통,기타) "/>
      <sheetName val="1,2공구원가계산서"/>
      <sheetName val="1공구산출내역서"/>
      <sheetName val="일위대가표"/>
      <sheetName val="날개벽수량표"/>
      <sheetName val="발주내역"/>
      <sheetName val="준검 내역서"/>
      <sheetName val="초기화면"/>
      <sheetName val="암거단위"/>
      <sheetName val="찍기"/>
      <sheetName val="골조"/>
      <sheetName val="간접1"/>
      <sheetName val="노임"/>
      <sheetName val="2000년1차"/>
      <sheetName val="2000전체분"/>
      <sheetName val="조명율표"/>
      <sheetName val="차수"/>
      <sheetName val="뚝토공"/>
      <sheetName val="각종양식"/>
      <sheetName val="오동"/>
      <sheetName val="대조"/>
      <sheetName val="나한"/>
      <sheetName val="바닥판의 설계"/>
      <sheetName val="설직재-1"/>
      <sheetName val="중기"/>
      <sheetName val="증감내역서"/>
      <sheetName val="실행철강하도"/>
      <sheetName val="해평견적"/>
      <sheetName val="세골재  T2 변경 현황"/>
      <sheetName val="0.단가"/>
      <sheetName val="CAT_5"/>
      <sheetName val="원가"/>
      <sheetName val="CIVIL4"/>
      <sheetName val="VE절감"/>
      <sheetName val="자재단가"/>
      <sheetName val="건축공사"/>
      <sheetName val="JUCKEYK"/>
      <sheetName val="차액보증"/>
      <sheetName val="구조물터파기수량집계"/>
      <sheetName val="덕전리"/>
      <sheetName val="공정코드"/>
      <sheetName val="간지"/>
      <sheetName val="금액내역서"/>
      <sheetName val="수안보-MBR1"/>
      <sheetName val="전체"/>
      <sheetName val="항목등록"/>
      <sheetName val="일위대가목록"/>
      <sheetName val="자료입력"/>
      <sheetName val="적용토목"/>
      <sheetName val="총괄내역"/>
      <sheetName val="0506생활권구적"/>
      <sheetName val="지급자재"/>
      <sheetName val="세부내역"/>
      <sheetName val="약품공급2"/>
      <sheetName val="COPING"/>
      <sheetName val="단가표"/>
      <sheetName val="CTEMCOST"/>
      <sheetName val="공통가설공사"/>
      <sheetName val="RAMP 단면(R2)"/>
      <sheetName val="램머"/>
      <sheetName val="업무분장"/>
      <sheetName val="재료비"/>
      <sheetName val="포장물량집계"/>
      <sheetName val="4. 주형설계"/>
      <sheetName val="산근"/>
      <sheetName val="단면 (2)"/>
      <sheetName val="8.석축단위(H=1.5M)"/>
      <sheetName val="역T형교대(말뚝기초)"/>
      <sheetName val="I一般比"/>
      <sheetName val="집계표(OPTION)"/>
      <sheetName val="보차도경계석"/>
      <sheetName val="견적단가"/>
      <sheetName val="용수량(생활용수)"/>
      <sheetName val="코드"/>
      <sheetName val="Macro(전선)"/>
      <sheetName val="요율"/>
      <sheetName val="조경일람"/>
      <sheetName val="세부내역서(전기)"/>
      <sheetName val="1호맨홀토공"/>
      <sheetName val="원가서"/>
      <sheetName val="대창(함평)"/>
      <sheetName val="대창(장성)"/>
      <sheetName val="대창(함평)-창열"/>
      <sheetName val="암거 제원표"/>
      <sheetName val="WING3"/>
      <sheetName val="N賃率-職"/>
      <sheetName val="위치조서"/>
      <sheetName val="여과지동"/>
      <sheetName val="기초자료"/>
      <sheetName val="노임이"/>
      <sheetName val="공사비산출내역"/>
      <sheetName val="DB"/>
      <sheetName val="101동"/>
      <sheetName val="단가"/>
      <sheetName val="지중자재단가"/>
      <sheetName val="99총공사내역서"/>
      <sheetName val="토사(PE)"/>
      <sheetName val="PSCbeam설계"/>
      <sheetName val="ABUT수량-A1"/>
      <sheetName val="단가 및 재료비"/>
      <sheetName val="중기사용료산출근거"/>
      <sheetName val="48전력선로일위"/>
      <sheetName val="산출내역서"/>
      <sheetName val="기성내역"/>
      <sheetName val="노무비"/>
      <sheetName val="단양 00 아파트-세부내역"/>
      <sheetName val="총괄"/>
      <sheetName val="내역서 제출"/>
      <sheetName val="양식3"/>
      <sheetName val="연돌일위집계"/>
      <sheetName val="인수공규격"/>
      <sheetName val="수량집"/>
      <sheetName val="내역_ver1.0"/>
      <sheetName val="crude.SLAB RE-bar"/>
      <sheetName val="CRUDE RE-bar"/>
      <sheetName val="대림경상68억"/>
      <sheetName val="토목내역서 (도급단가)"/>
      <sheetName val="갑지"/>
      <sheetName val="2.단면가정"/>
      <sheetName val="수우미양가(Vlookup)"/>
      <sheetName val="노무비 근거"/>
      <sheetName val="역T형(H=6.0) (2)"/>
      <sheetName val="교각계산"/>
      <sheetName val="대비"/>
      <sheetName val="계수시트"/>
      <sheetName val="입력변수"/>
      <sheetName val="H-pile(298x299)"/>
      <sheetName val="H-pile(250x250)"/>
      <sheetName val="참조"/>
      <sheetName val="율촌법률사무소2내역"/>
      <sheetName val="시중노임단가"/>
      <sheetName val="MAIN_TABLE"/>
      <sheetName val="개인"/>
      <sheetName val="200"/>
      <sheetName val="종배수관면벽구"/>
      <sheetName val="종배수관위치조서"/>
      <sheetName val="INPUT(덕도방향-시점)"/>
      <sheetName val="도수로수량산출"/>
      <sheetName val="장비집계"/>
      <sheetName val="표준차도부연장집계-ASP"/>
      <sheetName val="3.하중산정4.지지력"/>
      <sheetName val="1련박스"/>
      <sheetName val="맨홀수량"/>
      <sheetName val="NYS"/>
      <sheetName val="실행내역"/>
      <sheetName val="금융비용"/>
      <sheetName val="코드표"/>
      <sheetName val="중기근거"/>
      <sheetName val="제경비"/>
      <sheetName val="유림골조"/>
      <sheetName val="지점별강우량"/>
      <sheetName val="자료"/>
      <sheetName val="건축내역"/>
      <sheetName val="MAIN"/>
      <sheetName val="견적990322"/>
      <sheetName val="지장물_data"/>
      <sheetName val="공사착공계"/>
      <sheetName val="배수내역"/>
      <sheetName val="ATM기초철가"/>
      <sheetName val="원형맨홀수량"/>
      <sheetName val="물가자료"/>
      <sheetName val="접지수량"/>
      <sheetName val="Sheet2"/>
      <sheetName val="Y-WORK"/>
      <sheetName val=" 총괄표"/>
      <sheetName val="단가산출"/>
      <sheetName val="표  지"/>
      <sheetName val="내역서적용수량"/>
      <sheetName val="단가비교표_공통1"/>
      <sheetName val="토공 total"/>
      <sheetName val="직노"/>
      <sheetName val="Customer Databas"/>
      <sheetName val="단면가정"/>
      <sheetName val="기흥하도용"/>
      <sheetName val="당진1,2호기전선관설치및접지4차공사내역서-을지"/>
      <sheetName val="가격조사서"/>
      <sheetName val="배수공"/>
      <sheetName val="암거"/>
      <sheetName val="포장공"/>
      <sheetName val="Sheet5"/>
      <sheetName val="을지"/>
      <sheetName val="WORK"/>
      <sheetName val="일위(수원)"/>
      <sheetName val="전체제잡비"/>
      <sheetName val="미드수량"/>
      <sheetName val="2000용수잠관-수량집계"/>
      <sheetName val="실행대비"/>
      <sheetName val="참고사항"/>
      <sheetName val="대부예산서"/>
      <sheetName val="CODE"/>
      <sheetName val="기초공"/>
      <sheetName val="MOTOR"/>
      <sheetName val="기둥(원형)"/>
      <sheetName val="제직재"/>
      <sheetName val="배수장토목공사비"/>
      <sheetName val="시행후면적"/>
      <sheetName val="설계조건"/>
      <sheetName val="마산월령동골조물량변경"/>
      <sheetName val="총괄-1"/>
      <sheetName val="암거 제원표-1단계"/>
      <sheetName val="분뇨"/>
      <sheetName val="C.배수관공"/>
      <sheetName val="토공(1)"/>
      <sheetName val="절대지우지말것"/>
      <sheetName val="집기손료"/>
      <sheetName val="단위중량"/>
      <sheetName val="소도3교"/>
      <sheetName val="소보"/>
      <sheetName val="포장면적집계"/>
      <sheetName val="출력X"/>
      <sheetName val="우각부보강"/>
      <sheetName val="재료할증"/>
      <sheetName val="상-교대(A1-A2)"/>
      <sheetName val="8.PILE  (돌출)"/>
      <sheetName val="TYPE-A"/>
      <sheetName val="총공사내역서"/>
      <sheetName val="공사직종별노임"/>
      <sheetName val="보도단위"/>
      <sheetName val="일위-1"/>
      <sheetName val="단가조사서"/>
      <sheetName val="전기"/>
      <sheetName val="건축-물가변동"/>
      <sheetName val="날개벽(시점좌측)"/>
      <sheetName val="단가조사"/>
      <sheetName val="woo(mac)"/>
      <sheetName val="설치조서"/>
      <sheetName val="Sheet3"/>
      <sheetName val="배수공집계표"/>
      <sheetName val="예정공정표"/>
      <sheetName val="1062-X방향 "/>
      <sheetName val="포장공사"/>
      <sheetName val="설계개요"/>
      <sheetName val="교량"/>
      <sheetName val="특별땅고르기"/>
      <sheetName val="단가일람"/>
      <sheetName val="지질조사"/>
      <sheetName val="수량3"/>
      <sheetName val="실행간접비용"/>
      <sheetName val="제잡비"/>
      <sheetName val="수량산출서"/>
      <sheetName val="빗물받이(910-510-410)"/>
      <sheetName val="우수공"/>
      <sheetName val="spiral"/>
      <sheetName val="2.건축"/>
      <sheetName val="수요개발과판매량"/>
      <sheetName val="Macro1"/>
      <sheetName val="문학간접"/>
      <sheetName val="간접"/>
      <sheetName val="보증수수료산출"/>
      <sheetName val="천방교접속"/>
      <sheetName val="대포2교접속"/>
      <sheetName val="설계명세"/>
      <sheetName val="갑지(추정)"/>
      <sheetName val="갑지1"/>
      <sheetName val="건축기계설비표선정수장"/>
      <sheetName val="Sheet1 (2)"/>
      <sheetName val="환경보전비B"/>
      <sheetName val="가옥철거(지장물조서)"/>
      <sheetName val="진주방향"/>
      <sheetName val="연결관수량 (2)"/>
      <sheetName val="사다리"/>
      <sheetName val="철집"/>
      <sheetName val="토적표"/>
      <sheetName val="예정(3)"/>
      <sheetName val="터널조도"/>
      <sheetName val="상수도토공집계표"/>
      <sheetName val="견적서"/>
      <sheetName val="본체"/>
      <sheetName val="FAB별"/>
      <sheetName val="을"/>
      <sheetName val="소비자가"/>
      <sheetName val="내역서(전기)"/>
      <sheetName val="라멘수량"/>
      <sheetName val="최적단면"/>
      <sheetName val="경산"/>
      <sheetName val="공구"/>
      <sheetName val="원가계산서구조조정"/>
      <sheetName val="봉방동근생"/>
      <sheetName val="CALCULATION"/>
      <sheetName val="소요자재명세서"/>
      <sheetName val="노무비명세서"/>
      <sheetName val="안정계산"/>
      <sheetName val="단면검토"/>
      <sheetName val="교수설계"/>
      <sheetName val="수량집계"/>
      <sheetName val="암거날개벽"/>
      <sheetName val="측구터파기공수량집계"/>
      <sheetName val="배수공 시멘트 및 골재량 산출"/>
      <sheetName val="백호우계수"/>
      <sheetName val="마산방향철근집계"/>
      <sheetName val="마산방향"/>
      <sheetName val="신우"/>
      <sheetName val="s"/>
      <sheetName val="CON'C"/>
      <sheetName val="차압계산"/>
      <sheetName val="콘크리트포장"/>
      <sheetName val="진입도로포장산출"/>
      <sheetName val="진입부포장면적위치조서"/>
      <sheetName val="진입부수량집계표"/>
      <sheetName val="콘크리트포장집계표"/>
      <sheetName val="포장공집계"/>
      <sheetName val="토공집계표"/>
      <sheetName val="토공분석표"/>
      <sheetName val="자재대"/>
      <sheetName val="내역서 "/>
      <sheetName val="1.설계조건"/>
      <sheetName val="내역표지"/>
      <sheetName val="구조물철거타공정이월"/>
      <sheetName val="danga"/>
      <sheetName val="ilch"/>
      <sheetName val="철근단면적"/>
      <sheetName val="하도금액분계"/>
      <sheetName val="9GNG운반"/>
      <sheetName val="데이타"/>
      <sheetName val="Front"/>
      <sheetName val="wall"/>
      <sheetName val="앵커(3안)"/>
      <sheetName val="신표지1"/>
      <sheetName val="평가데이터"/>
      <sheetName val="자재집계표"/>
      <sheetName val="가중치"/>
      <sheetName val="제-노임"/>
      <sheetName val="청천내"/>
      <sheetName val="산출금액내역"/>
      <sheetName val="주차구획선수량"/>
      <sheetName val="조경내역서"/>
      <sheetName val="구천"/>
      <sheetName val="도급예산내역서봉투"/>
      <sheetName val="공사원가계산서"/>
      <sheetName val="설계산출표지"/>
      <sheetName val="도급예산내역서총괄표"/>
      <sheetName val="을부담운반비"/>
      <sheetName val="운반비산출"/>
      <sheetName val="관급자재"/>
      <sheetName val="설비"/>
      <sheetName val="예총"/>
      <sheetName val="배관배선 단가조사"/>
      <sheetName val="일위대가집계"/>
      <sheetName val="일위"/>
      <sheetName val="기계경비"/>
      <sheetName val="현장예산"/>
      <sheetName val="명세서"/>
      <sheetName val="2공구하도급내역서"/>
      <sheetName val="설계예산서"/>
      <sheetName val="3.공통공사대비"/>
      <sheetName val="목차"/>
      <sheetName val="설계내역서"/>
      <sheetName val="동원인원"/>
      <sheetName val="TOTAL_BOQ"/>
      <sheetName val="Total"/>
      <sheetName val="총투입계"/>
      <sheetName val="SANBAISU"/>
      <sheetName val="단가조사-2"/>
      <sheetName val="현장경상비"/>
      <sheetName val="연습"/>
      <sheetName val="실행내역서"/>
      <sheetName val="공제수량총집계표"/>
      <sheetName val="임금단가"/>
      <sheetName val="한강운반비"/>
      <sheetName val="원본(갑지)"/>
      <sheetName val="단열-자재"/>
      <sheetName val="공사개요"/>
      <sheetName val="현장경비"/>
      <sheetName val="방배동내역(리라)"/>
      <sheetName val="건축공사집계표"/>
      <sheetName val="방배동내역 (총괄)"/>
      <sheetName val="부대공사총괄"/>
      <sheetName val="설계예산"/>
      <sheetName val="12호기내역서(건축분)"/>
      <sheetName val="빙장비사양"/>
      <sheetName val="환경기계공정표 (3)"/>
      <sheetName val="대치판정"/>
      <sheetName val="옹벽일반수량"/>
      <sheetName val="설계서을"/>
      <sheetName val="견적"/>
      <sheetName val="품셈집계표"/>
      <sheetName val="자재조사표"/>
      <sheetName val="9.정착구 보강"/>
      <sheetName val="본선차로수량집계표"/>
      <sheetName val="범례표"/>
      <sheetName val="우수맨홀공제단위수량"/>
      <sheetName val="총집계표"/>
      <sheetName val="가압장(토목)"/>
      <sheetName val="내역서단가산출용"/>
      <sheetName val="심사공종"/>
      <sheetName val="3BL공동구_수량"/>
      <sheetName val="안정검토"/>
      <sheetName val="단면설계"/>
      <sheetName val="공사기본내용입력"/>
      <sheetName val="일반수량"/>
      <sheetName val="돌담교 상부수량"/>
      <sheetName val="수량-가로등"/>
      <sheetName val="SLAB&quot;1&quot;"/>
      <sheetName val="기초단가"/>
      <sheetName val="중기손료"/>
      <sheetName val="건축"/>
      <sheetName val="제원및배치"/>
      <sheetName val="입력자료"/>
      <sheetName val="원가계산"/>
      <sheetName val="토목주소"/>
      <sheetName val="기안"/>
      <sheetName val="1단계"/>
      <sheetName val="테이블"/>
      <sheetName val="관급자재대"/>
      <sheetName val="면적산출근거(실측)"/>
      <sheetName val="식재인부"/>
      <sheetName val="국도접속 차도부수량"/>
      <sheetName val="AIR SHOWER(3인용)"/>
      <sheetName val="4)유동표"/>
      <sheetName val="내역기준"/>
      <sheetName val="설명서_"/>
      <sheetName val="6PILE__(돌출)"/>
      <sheetName val="97년_추정"/>
      <sheetName val="4__주형설계"/>
      <sheetName val="4_2유효폭의_계산"/>
      <sheetName val="목차_"/>
      <sheetName val="노임,기계경비"/>
      <sheetName val="수량집계표"/>
      <sheetName val="부경대총괄내역서"/>
      <sheetName val="도근좌표"/>
      <sheetName val="영창26"/>
      <sheetName val="하조서"/>
      <sheetName val="지하"/>
      <sheetName val="자재일람"/>
      <sheetName val="포장(수량)-관로부"/>
      <sheetName val="2호맨홀공제수량"/>
      <sheetName val="원가계산서"/>
      <sheetName val="수습"/>
      <sheetName val="사유서제출현황-2"/>
      <sheetName val="유효폭의 계산"/>
      <sheetName val="입상내역"/>
      <sheetName val="인부신상자료"/>
      <sheetName val="재료단가"/>
      <sheetName val="기존단가 (2)"/>
      <sheetName val="우수공,맨홀,집수정"/>
      <sheetName val="슬래브수량"/>
      <sheetName val="공문"/>
      <sheetName val="변경내역"/>
      <sheetName val="ⴭⴭⴭⴭⴭ"/>
      <sheetName val="보도공제면적"/>
      <sheetName val="산출근거1"/>
      <sheetName val="unitpric"/>
      <sheetName val="계약서"/>
      <sheetName val="수량산출표"/>
      <sheetName val="가도공"/>
      <sheetName val="개산공사비"/>
      <sheetName val="정부노임단가"/>
      <sheetName val="설계명세서"/>
      <sheetName val="철거산출근거"/>
      <sheetName val="수목단가"/>
      <sheetName val="시설수량표"/>
      <sheetName val="식재수량표"/>
      <sheetName val="노임,재료비"/>
      <sheetName val="15"/>
      <sheetName val="부하계산서"/>
      <sheetName val="전선 및 전선관"/>
      <sheetName val="준공평가"/>
      <sheetName val="변경비교-을"/>
      <sheetName val="파형강관집계"/>
      <sheetName val="공량(1월22일)"/>
      <sheetName val="96보완계획7.12"/>
      <sheetName val="70%"/>
      <sheetName val="보온자재단가표"/>
      <sheetName val="물량표S"/>
      <sheetName val="물량표(신)"/>
      <sheetName val="대전21토목내역서"/>
      <sheetName val="수량BOQ"/>
      <sheetName val="1.수량집계"/>
      <sheetName val="현장설명"/>
      <sheetName val="1호토공"/>
      <sheetName val="공사비증감"/>
      <sheetName val="DATA 입력부"/>
      <sheetName val="단가파주4"/>
      <sheetName val="40총괄"/>
      <sheetName val="40집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내역서1999_8최종"/>
      <sheetName val="단면_(2)"/>
      <sheetName val="8_석축단위(H=1_5M)"/>
      <sheetName val="세골재__T2_변경_현황"/>
      <sheetName val="0_단가"/>
      <sheetName val="8설7발"/>
      <sheetName val="BOX 본체"/>
      <sheetName val="제수변 수량집계표(보통)"/>
      <sheetName val="기초(중마오수)"/>
      <sheetName val="환율"/>
      <sheetName val="수량분배표"/>
      <sheetName val="현황산출서"/>
      <sheetName val="기타 정보통신공사"/>
      <sheetName val="6공구(당초)"/>
      <sheetName val="CON포장수량"/>
      <sheetName val="ACUNIT"/>
      <sheetName val="CONUNIT"/>
      <sheetName val="대전(세창동)"/>
      <sheetName val="토공집계(rp)"/>
      <sheetName val="알맹이"/>
      <sheetName val="재료비단가"/>
      <sheetName val="자재표"/>
      <sheetName val="주차장(T4)"/>
      <sheetName val="건축원가계산서"/>
      <sheetName val="직재"/>
      <sheetName val="상부집계표"/>
      <sheetName val="9811"/>
      <sheetName val="관급"/>
      <sheetName val="일위대가(1)"/>
      <sheetName val="이름정의"/>
      <sheetName val="초기화면1"/>
      <sheetName val="archi(본사)"/>
      <sheetName val="유별자산배수"/>
      <sheetName val="토공"/>
      <sheetName val="2.2.2입적표"/>
      <sheetName val="Sheet17"/>
      <sheetName val="가로등내역서"/>
      <sheetName val="내력서"/>
      <sheetName val="일위대가(가설)"/>
      <sheetName val="몰탈재료산출"/>
      <sheetName val="신규 수주분(사용자 정의)"/>
      <sheetName val="DATA2000"/>
      <sheetName val="1.설계기준"/>
      <sheetName val="sw1"/>
      <sheetName val="방음벽기초(H=4m)"/>
      <sheetName val="WVAL"/>
      <sheetName val="ITEM"/>
      <sheetName val="용산1(해보)"/>
      <sheetName val="1"/>
      <sheetName val="합계금액"/>
      <sheetName val="공사비예산서(토목분)"/>
      <sheetName val="식재일위대가"/>
      <sheetName val="hvac내역서(제어동)"/>
      <sheetName val="원가입력"/>
      <sheetName val="hvac(제어동)"/>
      <sheetName val="내역서_"/>
      <sheetName val="송라터널총괄"/>
      <sheetName val="7.PILE  (돌출)"/>
      <sheetName val="공통가설"/>
      <sheetName val="손익분석"/>
      <sheetName val="관리,공감"/>
      <sheetName val="업체별기성내역"/>
      <sheetName val="PAINT"/>
      <sheetName val="SUMMARY"/>
      <sheetName val="일위대가(건축)"/>
      <sheetName val="역T형"/>
      <sheetName val="직공비"/>
      <sheetName val="연령현황"/>
      <sheetName val="99노임기준"/>
      <sheetName val="단가산출서1"/>
      <sheetName val="좌측"/>
      <sheetName val="일반부표"/>
      <sheetName val="plan&amp;section of foundation"/>
      <sheetName val="pile bearing capa &amp; arrenge"/>
      <sheetName val="design load"/>
      <sheetName val="working load at the btm ft."/>
      <sheetName val="stability check"/>
      <sheetName val="design criteria"/>
      <sheetName val="SAP_INPUT"/>
      <sheetName val="실행내역(10.13)"/>
      <sheetName val="도급"/>
      <sheetName val="대전가오_견출_집계표"/>
      <sheetName val="공사"/>
      <sheetName val="작업입력"/>
      <sheetName val="2003상반기노임기준"/>
      <sheetName val="POL6차-PIPING"/>
      <sheetName val="b_balju_cho"/>
      <sheetName val="거래처등록"/>
      <sheetName val="참고자료"/>
      <sheetName val="건축명"/>
      <sheetName val="기계명"/>
      <sheetName val="전기명"/>
      <sheetName val="토목명"/>
      <sheetName val="단중표"/>
      <sheetName val="설계기준"/>
      <sheetName val="내역1"/>
      <sheetName val="단가대비표"/>
      <sheetName val="2.가정단면"/>
      <sheetName val="사급자재"/>
      <sheetName val="방음벽기초"/>
      <sheetName val="노무비단가"/>
      <sheetName val="2.토목공사"/>
      <sheetName val="돌담교_상부수량"/>
      <sheetName val="CON기초"/>
      <sheetName val="설계예시"/>
      <sheetName val="기본일위"/>
      <sheetName val="집수정(600-700)"/>
      <sheetName val="중동공구"/>
      <sheetName val="안전장치"/>
      <sheetName val="건물철거"/>
      <sheetName val="기타배수구조물깨기-단위수량"/>
      <sheetName val="BOX-1510"/>
      <sheetName val="내역을"/>
      <sheetName val="신규보류입력"/>
      <sheetName val="입력"/>
      <sheetName val="단면치수"/>
      <sheetName val="수로BOX"/>
      <sheetName val="수량"/>
      <sheetName val="FILE1"/>
      <sheetName val="단가산출2"/>
      <sheetName val="단가산출1"/>
      <sheetName val="(A)내역서"/>
      <sheetName val="실행견적"/>
      <sheetName val="전기단가조사서"/>
      <sheetName val="SG"/>
      <sheetName val="배수철근"/>
      <sheetName val="오수주요자재"/>
      <sheetName val="용역비내역-진짜"/>
      <sheetName val="일위단위"/>
      <sheetName val="공사비집계"/>
      <sheetName val="T13(P68~72,78)"/>
      <sheetName val="설계"/>
      <sheetName val="내역서01"/>
      <sheetName val="EACT10"/>
      <sheetName val="본사공가현황"/>
      <sheetName val="GI-LIST"/>
      <sheetName val="시선유도표지집계표"/>
      <sheetName val="절대삭제금지"/>
      <sheetName val="파일의이용"/>
      <sheetName val="토목검측서"/>
      <sheetName val="비교1"/>
      <sheetName val="Sheet4"/>
      <sheetName val="구의33고"/>
      <sheetName val="1차 내역서"/>
      <sheetName val="slurrywall설계가"/>
      <sheetName val="2002하반기노임기준"/>
      <sheetName val="음성방향"/>
      <sheetName val="산출기준자료"/>
      <sheetName val="구역화물"/>
      <sheetName val="단위목록"/>
      <sheetName val="시험비"/>
      <sheetName val="할증"/>
      <sheetName val="수량증감표"/>
      <sheetName val="터파기운반비산출"/>
      <sheetName val="산적토운반비산출"/>
      <sheetName val="적용단가"/>
      <sheetName val="청 구"/>
      <sheetName val="설계산출기초"/>
      <sheetName val="수산(당)"/>
      <sheetName val="날개벽(TYPE2)"/>
      <sheetName val="단가 (2)"/>
      <sheetName val="이토변실(A3-LINE)"/>
      <sheetName val="고유코드_설계"/>
      <sheetName val="도기류"/>
      <sheetName val="확약서"/>
      <sheetName val="내역갑지"/>
      <sheetName val="A-8 PD(도로중앙)"/>
      <sheetName val="9-1차이내역"/>
      <sheetName val="프랜트면허"/>
      <sheetName val="신호등일위대가"/>
      <sheetName val="흄관기초"/>
      <sheetName val="DATA 입력란"/>
      <sheetName val="1. 설계조건 2.단면가정 3. 하중계산"/>
      <sheetName val="BSD (2)"/>
      <sheetName val="일반수량총괄집계"/>
      <sheetName val="차선도색-연장,수량(1)"/>
      <sheetName val="호프"/>
      <sheetName val="토목(용인)"/>
      <sheetName val="중기사용료"/>
      <sheetName val="물가시세"/>
      <sheetName val="공내역"/>
      <sheetName val="사  업  비  수  지  예  산  서"/>
      <sheetName val="터파기단면도(보도)"/>
      <sheetName val="98NS-N"/>
      <sheetName val="현장관리비참조"/>
      <sheetName val="다곡2교"/>
      <sheetName val="포장복구집계"/>
      <sheetName val="흙쌓기도수로설치현황"/>
      <sheetName val="관접합및부설"/>
      <sheetName val="하수급견적대비"/>
      <sheetName val="시점교대"/>
      <sheetName val="설계가"/>
      <sheetName val="현금흐름"/>
      <sheetName val="Baby일위대가"/>
      <sheetName val="database"/>
      <sheetName val="시설물단가표"/>
      <sheetName val="노무비단가표"/>
      <sheetName val="기초자료입력"/>
      <sheetName val="몰탈"/>
      <sheetName val="98수문일위"/>
      <sheetName val="1.수인터널"/>
      <sheetName val="기초코드"/>
      <sheetName val="남양내역"/>
      <sheetName val="상 부"/>
      <sheetName val="현장소운반"/>
      <sheetName val="관구보호몰탈"/>
      <sheetName val="(1)본선수량집계"/>
      <sheetName val="CABLE"/>
      <sheetName val="FAB4생산"/>
      <sheetName val="EQT-ESTN"/>
      <sheetName val="직원자료입력"/>
      <sheetName val="옥외등신설"/>
      <sheetName val="저케CV22신설"/>
      <sheetName val="저케CV38신설"/>
      <sheetName val="저케CV8신설"/>
      <sheetName val="접지3종"/>
      <sheetName val="당정동공통이수"/>
      <sheetName val="당정동경상이수"/>
      <sheetName val="장비사양"/>
      <sheetName val="Tables"/>
      <sheetName val="집계표(용역원실배기)"/>
      <sheetName val="실정보사유서"/>
      <sheetName val="원가계산서 과기원"/>
      <sheetName val="0.내역서  갑지"/>
      <sheetName val="1.내역서 "/>
      <sheetName val="2-1.수량산출근거"/>
      <sheetName val="2-2.노무비산출근거"/>
      <sheetName val="3.단가조사표"/>
      <sheetName val="3.단가대비표"/>
      <sheetName val="4.설변사유"/>
      <sheetName val="2-7.인건비산출근거"/>
      <sheetName val="3-1.설변사유"/>
      <sheetName val="3-2.공사비증감"/>
      <sheetName val="3-3.내역서"/>
      <sheetName val="3-4.단가대비표(기존)"/>
      <sheetName val="3-5.단가대비표(신규)"/>
      <sheetName val="3-6.일위대가목록"/>
      <sheetName val="7급줄떼공"/>
      <sheetName val="합계"/>
      <sheetName val="개요"/>
      <sheetName val="6월 출고 일일보고"/>
      <sheetName val="공기압축기실"/>
      <sheetName val="내역전기"/>
      <sheetName val="1.우편집중내역서"/>
      <sheetName val="전동기"/>
      <sheetName val="공통비(전체)"/>
      <sheetName val="B"/>
      <sheetName val="중기조종사 단위단가"/>
      <sheetName val="조직표"/>
      <sheetName val="정거장 설계조건"/>
      <sheetName val="수입"/>
      <sheetName val="조경"/>
      <sheetName val="SILICATE"/>
      <sheetName val="TB-내역서"/>
      <sheetName val="시설물기초"/>
      <sheetName val="전기일위대가"/>
      <sheetName val="표지 (2)"/>
      <sheetName val="총집계"/>
      <sheetName val="주경기-오배수"/>
      <sheetName val="토공총괄집계"/>
      <sheetName val="기기리스트"/>
      <sheetName val="1,2,3,4,5단위수량"/>
      <sheetName val="W3단면"/>
      <sheetName val="세목전체"/>
      <sheetName val="20관리비율"/>
      <sheetName val="플랜트 설치"/>
      <sheetName val="견적조건"/>
      <sheetName val="개략"/>
      <sheetName val="안산기계장치"/>
      <sheetName val="TEL"/>
      <sheetName val="6호기"/>
      <sheetName val="구체"/>
      <sheetName val="좌측날개벽"/>
      <sheetName val="우측날개벽"/>
      <sheetName val="setup"/>
      <sheetName val="품셈"/>
      <sheetName val="인부임"/>
      <sheetName val="원가+내역"/>
      <sheetName val="선정요령"/>
      <sheetName val="시운전연료"/>
      <sheetName val="b_balju"/>
      <sheetName val="연장및면적(좌측)"/>
      <sheetName val="SORCE1"/>
      <sheetName val="물가대비표"/>
      <sheetName val="Sheet2 (2)"/>
      <sheetName val="건축내역서 (경제상무실)"/>
      <sheetName val="화설내"/>
      <sheetName val="조건"/>
      <sheetName val="MAT"/>
      <sheetName val="연도별cash"/>
      <sheetName val="대비표"/>
      <sheetName val="1_설계조건"/>
      <sheetName val="하도급원가계산총괄표(식재)"/>
      <sheetName val="1공구 건정토건 토공"/>
      <sheetName val="직접경비호표"/>
      <sheetName val="3-7.일위대가"/>
      <sheetName val="3-8.물량산출근거"/>
      <sheetName val="3-9.인건비산출근거"/>
      <sheetName val="고강도 지수판 스리브업체선정"/>
      <sheetName val="업체구매견적서"/>
      <sheetName val="3.단가대비표 "/>
      <sheetName val="3.단가적용현황"/>
      <sheetName val="기성청구서"/>
      <sheetName val="기성검사원"/>
      <sheetName val="전기일위목록"/>
      <sheetName val="각사별공사비분개 "/>
      <sheetName val="접합수량(피벗)"/>
      <sheetName val="종배수관설치현황"/>
      <sheetName val="증감대비표"/>
      <sheetName val="4.하중산정"/>
      <sheetName val="대공종"/>
      <sheetName val="노면표시단위수량(안전지대및노상장애물)"/>
      <sheetName val="노면표시단위수량(방향및방면지시)"/>
      <sheetName val="노면표시단위수량(문자및기타기호)"/>
      <sheetName val="노면표시단위수량(차선)"/>
      <sheetName val="노면표시단위수량(횡단보도)"/>
      <sheetName val="내역서(중수)"/>
      <sheetName val="XL4Poppy"/>
      <sheetName val="기본파일"/>
      <sheetName val="건축공사집계"/>
      <sheetName val="자재테이블"/>
      <sheetName val="일위대가75-1"/>
      <sheetName val="일위대가76-1 "/>
      <sheetName val="일위대가77-1 "/>
      <sheetName val="일위대가78-1 "/>
      <sheetName val="일위대가79-1"/>
      <sheetName val="일위대가80-1"/>
      <sheetName val="일위대가81-1"/>
      <sheetName val="일위대가82-1"/>
      <sheetName val="일위대가92-1"/>
      <sheetName val="인공산출"/>
      <sheetName val="사유서"/>
      <sheetName val="입찰견적보고서"/>
      <sheetName val="1Month+Sheet2!"/>
      <sheetName val="노.표-조"/>
      <sheetName val="안양동교 1안"/>
      <sheetName val="자재집계 (2)"/>
      <sheetName val="제경비산출서"/>
      <sheetName val="00000"/>
      <sheetName val="기성부분 내역집계표-기계공사"/>
      <sheetName val="견적대비 견적서"/>
      <sheetName val="기초도면제작"/>
      <sheetName val="노면표지 수량"/>
      <sheetName val="토공사"/>
      <sheetName val="목록"/>
      <sheetName val="선수금"/>
      <sheetName val="환경평가"/>
      <sheetName val="인구"/>
      <sheetName val="내역서1"/>
      <sheetName val="신림자금"/>
      <sheetName val="2002년12월"/>
      <sheetName val="발주참고#"/>
      <sheetName val="전기내역"/>
      <sheetName val="중간"/>
      <sheetName val="Toolbox"/>
      <sheetName val="7-1.인건비"/>
      <sheetName val="토목내역서_(도급단가)"/>
      <sheetName val="crude_SLAB_RE-bar"/>
      <sheetName val="CRUDE_RE-bar"/>
      <sheetName val="내역_ver1_0"/>
      <sheetName val="단가_및_재료비"/>
      <sheetName val="준검_내역서"/>
      <sheetName val="토공(우물통,기타)_"/>
      <sheetName val="RAMP_단면(R2)"/>
      <sheetName val="바닥판의_설계"/>
      <sheetName val="2_단면가정"/>
      <sheetName val="내역서_제출"/>
      <sheetName val="노무비_근거"/>
      <sheetName val="역T형(H=6_0)_(2)"/>
      <sheetName val="_총괄표"/>
      <sheetName val="표__지"/>
      <sheetName val="3련_BOX"/>
      <sheetName val="단양_00_아파트-세부내역"/>
      <sheetName val="토공_total"/>
      <sheetName val="C_배수관공"/>
      <sheetName val="3_하중산정4_지지력"/>
      <sheetName val="암거_제원표"/>
      <sheetName val="Customer_Databas"/>
      <sheetName val="암거_제원표-1단계"/>
      <sheetName val="AIR_SHOWER(3인용)"/>
      <sheetName val="8_PILE__(돌출)"/>
      <sheetName val="옹벽수량집계"/>
      <sheetName val="배수통관(좌)"/>
      <sheetName val="구조물공"/>
      <sheetName val="오수공수량집계표"/>
      <sheetName val="부하자료"/>
      <sheetName val="Eq. Mobilization"/>
      <sheetName val="양수장(기계)"/>
      <sheetName val="PROJECT BRIEF(EX.NEW)"/>
      <sheetName val="asd"/>
      <sheetName val="(C)원내역"/>
      <sheetName val="원"/>
      <sheetName val="FORM-0"/>
      <sheetName val="직접노무"/>
      <sheetName val="직접재료"/>
      <sheetName val="효성CB 1P기초"/>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SHEET"/>
      <sheetName val="집 계 표"/>
      <sheetName val="eq_data"/>
      <sheetName val="제잡비계산"/>
      <sheetName val="결과조달"/>
      <sheetName val="1단계 (2)"/>
      <sheetName val="load"/>
      <sheetName val="지역"/>
      <sheetName val="지하시설물작성"/>
      <sheetName val="기본가정"/>
      <sheetName val="토목-물가"/>
      <sheetName val="9509"/>
      <sheetName val="총괄BOQ"/>
      <sheetName val="산근(1)"/>
      <sheetName val="기본단가표"/>
      <sheetName val="일위총괄"/>
      <sheetName val="#4 PSV"/>
      <sheetName val="중기목록표"/>
      <sheetName val="시간당중기사용료"/>
      <sheetName val="1TL종점(1)"/>
      <sheetName val="물푸기"/>
      <sheetName val="UEC영화관본공사내역"/>
      <sheetName val="지장물조서"/>
      <sheetName val="기별(종합)"/>
      <sheetName val="일용노무비지급명세서(7)"/>
      <sheetName val="중기가동(7)"/>
      <sheetName val="직종표"/>
      <sheetName val="집"/>
      <sheetName val="유림콘도"/>
      <sheetName val="교통안전시설집계표"/>
      <sheetName val="SANTOGO"/>
      <sheetName val="청주(철골발주의뢰서)"/>
      <sheetName val="배수관산출"/>
      <sheetName val="인입관수량총괄"/>
      <sheetName val="조경수목"/>
      <sheetName val="퇴직공제부금"/>
      <sheetName val="평균노임"/>
      <sheetName val="세부내역서"/>
      <sheetName val="부대공"/>
      <sheetName val="유입량"/>
      <sheetName val="전산output"/>
      <sheetName val="인원배치"/>
      <sheetName val="sub"/>
      <sheetName val="1공구원가계산서"/>
      <sheetName val="수량산출서 갑지"/>
      <sheetName val="수정시산표"/>
      <sheetName val="지역별수출"/>
      <sheetName val="효동종합건설(주)"/>
      <sheetName val="진입로 지세할증산출(다사분기)"/>
      <sheetName val=" FURNACE현설"/>
      <sheetName val="실행(1)"/>
      <sheetName val="C3"/>
      <sheetName val="정렬"/>
      <sheetName val="관로조서"/>
      <sheetName val="준공정산"/>
      <sheetName val="공사비예"/>
      <sheetName val="6.간접공사비 外"/>
      <sheetName val="일위대가(계측기설치)"/>
      <sheetName val="절취및터파기"/>
      <sheetName val="CPM챠트"/>
      <sheetName val="조작대(1연)"/>
      <sheetName val="토적계산서"/>
      <sheetName val="법면"/>
      <sheetName val="중기일위대가"/>
      <sheetName val="배수공1"/>
      <sheetName val="COMPARISON TABLE"/>
      <sheetName val="부대공Ⅱ"/>
      <sheetName val="견적대비"/>
      <sheetName val="통영LNG입찰현황"/>
      <sheetName val="슬래브"/>
      <sheetName val="토목품셈"/>
      <sheetName val="내역및총괄"/>
      <sheetName val="2.입력sheet"/>
      <sheetName val="M1"/>
      <sheetName val="(3.품질관리 시험 총괄표)"/>
      <sheetName val="토량1-1"/>
      <sheetName val="산출내역서집계표"/>
      <sheetName val="별표 "/>
      <sheetName val="음료실행"/>
      <sheetName val="공량산출서"/>
      <sheetName val="물가시세표"/>
      <sheetName val="1.2.1 마루높이결정"/>
      <sheetName val="&lt;목록&gt;"/>
      <sheetName val="입찰보고"/>
      <sheetName val="단면 _2_"/>
      <sheetName val="옥룡잡비"/>
      <sheetName val="설계변경원가계산총괄표"/>
      <sheetName val="BOILING검토"/>
      <sheetName val="차선도색현황"/>
      <sheetName val="U-TYPE(1)"/>
      <sheetName val="A-4"/>
      <sheetName val="토공총괄표"/>
      <sheetName val="COL"/>
      <sheetName val="상승요인분석"/>
      <sheetName val="식재일위"/>
      <sheetName val="옹벽"/>
      <sheetName val=" 냉각수펌프"/>
      <sheetName val="기자재비"/>
      <sheetName val="전력구구조물산근"/>
      <sheetName val="도로경계블럭연장조서"/>
      <sheetName val="관경별우수관집계"/>
      <sheetName val="현장일반사항"/>
      <sheetName val="원형측구(B-type)"/>
      <sheetName val="변경후-SHEET"/>
      <sheetName val="지주목시비량산출서"/>
      <sheetName val="DIAPHRAGM"/>
      <sheetName val="산근(PE,300)"/>
      <sheetName val="특2호하천산근"/>
      <sheetName val="특2호부관하천산근"/>
      <sheetName val="2011.(4)"/>
      <sheetName val="Pier 3"/>
      <sheetName val="※참고자료※"/>
      <sheetName val="원하도급내역서(당초)"/>
      <sheetName val="전력"/>
      <sheetName val="대운산출"/>
      <sheetName val="소방현물"/>
      <sheetName val="도장수량(하1)"/>
      <sheetName val="주형"/>
      <sheetName val="BOX전기내역"/>
      <sheetName val="소운반"/>
      <sheetName val="단가(1)"/>
      <sheetName val="참조M"/>
      <sheetName val="지구단위계획"/>
      <sheetName val="ASP"/>
      <sheetName val="예산작성기준(전기)"/>
      <sheetName val="SLIDES"/>
      <sheetName val="단가(반정1교-원주)"/>
      <sheetName val="Sheet10"/>
      <sheetName val="간지9)"/>
      <sheetName val="수정내역서"/>
      <sheetName val="공사내역"/>
      <sheetName val="자재목록"/>
      <sheetName val="BOX(1.5X1.5)"/>
      <sheetName val="PD-5(직선)"/>
      <sheetName val="일반공사"/>
      <sheetName val="웅진교-S2"/>
      <sheetName val="기계시공"/>
      <sheetName val="우수관"/>
      <sheetName val="인천제철"/>
      <sheetName val="PAD TR보호대기초"/>
      <sheetName val="가로등기초"/>
      <sheetName val="기계경비일람"/>
      <sheetName val="별총"/>
      <sheetName val="BID9697"/>
      <sheetName val="관경"/>
      <sheetName val="토목내역"/>
      <sheetName val="시가지우회도로공내역서"/>
      <sheetName val="o현장경비"/>
      <sheetName val="횡배수관"/>
      <sheetName val="간선계산"/>
      <sheetName val="기둥(하중)"/>
      <sheetName val="ENE-CAL 1"/>
      <sheetName val="costing_CV"/>
      <sheetName val="ITB COST"/>
      <sheetName val="costing_ESDV"/>
      <sheetName val="costing_Misc"/>
      <sheetName val="costing_MOV"/>
      <sheetName val="costing_Press"/>
      <sheetName val="자압"/>
      <sheetName val="-몰탈콘크리트"/>
      <sheetName val="지급자재조서"/>
      <sheetName val="주식"/>
      <sheetName val="집계표(육상)"/>
      <sheetName val="조건표"/>
      <sheetName val="Sheet15"/>
      <sheetName val="하중"/>
      <sheetName val="소업1교"/>
      <sheetName val="노무비계"/>
      <sheetName val="sheeet2"/>
      <sheetName val="plan&amp;section_of_foundation"/>
      <sheetName val="working_load_at_the_btm_ft_"/>
      <sheetName val="stability_check"/>
      <sheetName val="design_criteria"/>
      <sheetName val="design_load"/>
      <sheetName val="상수도공-간지"/>
      <sheetName val="품의"/>
      <sheetName val="재집"/>
      <sheetName val="주요자재집계표"/>
      <sheetName val="예상"/>
      <sheetName val="통합"/>
      <sheetName val="맨홀평균높이"/>
      <sheetName val="종배수관(신)"/>
      <sheetName val="적용단위길이"/>
      <sheetName val="종배수관면벽신"/>
      <sheetName val="계단"/>
      <sheetName val="터널구조물산근"/>
      <sheetName val="type-F"/>
      <sheetName val="WEON"/>
      <sheetName val="유림총괄"/>
      <sheetName val="바닥판(1)"/>
      <sheetName val="설계기준 및 하중계산"/>
      <sheetName val="11.자재단가"/>
      <sheetName val="공종별수량집계"/>
      <sheetName val="중기집계"/>
      <sheetName val="예산대비"/>
      <sheetName val="현장관리비"/>
      <sheetName val="산근목록"/>
      <sheetName val="슬래브(유곡)"/>
      <sheetName val="0226"/>
      <sheetName val="은행"/>
      <sheetName val="입력시트"/>
      <sheetName val="공사현황"/>
      <sheetName val="수량산출근거"/>
      <sheetName val="수로단위수량"/>
      <sheetName val="계산서(곡선부)"/>
      <sheetName val="-치수표(곡선부)"/>
      <sheetName val="설정"/>
      <sheetName val="전차선로 물량표"/>
      <sheetName val="기계내역"/>
      <sheetName val="품셈총괄표"/>
      <sheetName val="FOOTING단면력"/>
      <sheetName val="대정2공구"/>
      <sheetName val="단위량당중기"/>
      <sheetName val="P3"/>
      <sheetName val="GAEYO"/>
      <sheetName val="SUMDO"/>
      <sheetName val="ENDDO"/>
      <sheetName val="PLDB"/>
      <sheetName val="AAA"/>
      <sheetName val="M-HOUR"/>
      <sheetName val="공기"/>
      <sheetName val="집계"/>
      <sheetName val="포장직선구간"/>
      <sheetName val="맨홀토공수량"/>
      <sheetName val="Macro(차단기)"/>
      <sheetName val="분전함신설"/>
      <sheetName val="접지1종"/>
      <sheetName val="BOX-1515"/>
      <sheetName val="맨홀수량산출"/>
      <sheetName val="3CHBDC"/>
      <sheetName val="간접비내역-1"/>
      <sheetName val="기둥"/>
      <sheetName val="저판(버림100)"/>
      <sheetName val="계화배수"/>
      <sheetName val="국공유지및사유지"/>
      <sheetName val="inter"/>
      <sheetName val="DESCRIPTION"/>
      <sheetName val="내역(전체)"/>
      <sheetName val="석축"/>
      <sheetName val="예산내역서"/>
      <sheetName val="수목표준대가"/>
      <sheetName val="BOQ"/>
      <sheetName val="2000년하반기"/>
      <sheetName val="Dike for 49T03 &amp; 49T04"/>
      <sheetName val="Dike for 49T02, 05~07, 19 (1)"/>
      <sheetName val="wk prgs"/>
      <sheetName val="Berm"/>
      <sheetName val="M_DB"/>
      <sheetName val="TYPE"/>
      <sheetName val="costing_FE"/>
      <sheetName val="공종집계"/>
      <sheetName val="화단 철거"/>
      <sheetName val="수지예산"/>
      <sheetName val="Sheet6"/>
      <sheetName val="북방3터널"/>
      <sheetName val="전계가"/>
      <sheetName val="공통부대비"/>
      <sheetName val="추정공사비_산출내역1.xlsx"/>
      <sheetName val="EQ"/>
      <sheetName val="약품설비"/>
      <sheetName val="COPING-1"/>
      <sheetName val="역T형교대-2수량"/>
      <sheetName val="변화치수"/>
      <sheetName val="부속동"/>
      <sheetName val="밸브설치"/>
      <sheetName val="관로토공"/>
      <sheetName val="Model"/>
      <sheetName val="CONSTRUCTION COMPONENT"/>
      <sheetName val="접속 SLAB,BRACKET 설계"/>
      <sheetName val="우수"/>
      <sheetName val="cable data1"/>
      <sheetName val="중기비"/>
      <sheetName val="IMPEADENCE MAP 취수장"/>
      <sheetName val="평균터파기"/>
      <sheetName val="Sheet16"/>
      <sheetName val="Sheet14"/>
      <sheetName val="부하"/>
      <sheetName val="APT"/>
      <sheetName val="Sheet13"/>
      <sheetName val="1호-아(오)0.4"/>
      <sheetName val="EP0618"/>
      <sheetName val="빌딩 안내"/>
      <sheetName val="공정별 수량산출서"/>
      <sheetName val="일반시방서"/>
      <sheetName val="일위대가(조경)"/>
      <sheetName val="자재 및 폐기물견적(2008)"/>
      <sheetName val="대우단가(풍산)"/>
      <sheetName val="내역서_1"/>
      <sheetName val="1_우편집중내역서"/>
      <sheetName val="1_설계기준"/>
      <sheetName val="Sheet1_(2)"/>
      <sheetName val="신규_수주분(사용자_정의)"/>
      <sheetName val="pile_bearing_capa_&amp;_arrenge"/>
      <sheetName val="플랜트_설치"/>
      <sheetName val="DATA_입력란"/>
      <sheetName val="2_가정단면"/>
      <sheetName val="표지_(2)"/>
      <sheetName val="COMPARISON_TABLE"/>
      <sheetName val="건축집계"/>
      <sheetName val="인건비"/>
      <sheetName val="옥내아파트(전기)"/>
      <sheetName val="입력값"/>
      <sheetName val="측구공"/>
      <sheetName val="결재갑지"/>
      <sheetName val="BOX(1_5X1_5)"/>
      <sheetName val="2_입력sheet"/>
      <sheetName val="(3_품질관리_시험_총괄표)"/>
      <sheetName val="별표_"/>
      <sheetName val="7_PILE__(돌출)"/>
      <sheetName val="종단계산"/>
      <sheetName val="J直材4"/>
      <sheetName val="구조물공위치조서"/>
      <sheetName val="영동(D)"/>
      <sheetName val="AC포장수량"/>
      <sheetName val="기본DATA"/>
      <sheetName val="예가표"/>
      <sheetName val="간접비계산"/>
      <sheetName val="자재 집계표"/>
      <sheetName val="가정급수관"/>
      <sheetName val="1-1"/>
      <sheetName val="2. 공원조도"/>
      <sheetName val="CABLE SIZE-3"/>
      <sheetName val="음봉방향"/>
      <sheetName val="현장별계약현황('98.10.31)"/>
      <sheetName val="점수계산1-2"/>
      <sheetName val="TYPE1"/>
      <sheetName val="배수내역 (2)"/>
      <sheetName val="원가&amp;하도급원가"/>
      <sheetName val="2-1. 경관조명 내역총괄표"/>
      <sheetName val="공사비 증감 내역서"/>
      <sheetName val="Macro2"/>
      <sheetName val="년도별노임표"/>
      <sheetName val="건축일위"/>
      <sheetName val="그라우팅일위"/>
      <sheetName val="문산방향-교대(A2)"/>
      <sheetName val="건축내역서"/>
      <sheetName val="설비내역서"/>
      <sheetName val="전기내역서"/>
      <sheetName val="예산명세서"/>
      <sheetName val="토공개요"/>
      <sheetName val="초"/>
      <sheetName val="토공개요C"/>
      <sheetName val="정공공사"/>
      <sheetName val="관경별내역서"/>
      <sheetName val="도로"/>
      <sheetName val="pier-1"/>
      <sheetName val="설계변경총괄표(계산식)"/>
      <sheetName val=" 상부공통집계(총괄)"/>
      <sheetName val="중기단가LIST"/>
      <sheetName val="산출기준"/>
      <sheetName val="개별직종노임"/>
      <sheetName val="엔지니어링노임"/>
      <sheetName val="A2"/>
      <sheetName val="2"/>
      <sheetName val="각형맨홀"/>
      <sheetName val="격점수량"/>
      <sheetName val="II손익관리"/>
      <sheetName val="기존건물 깨기원단위"/>
      <sheetName val="시장성초안camera"/>
      <sheetName val="장비종합부표"/>
      <sheetName val="집계표_식재"/>
      <sheetName val="부표"/>
      <sheetName val="골조시행"/>
      <sheetName val="건축계약내역"/>
      <sheetName val="종형증설공"/>
      <sheetName val="노임단가 (2)"/>
      <sheetName val="개별직종노임단가(2003.9)"/>
      <sheetName val="적용기준"/>
      <sheetName val="tggwan(mac)"/>
      <sheetName val="설계설명서"/>
      <sheetName val="투찰"/>
      <sheetName val="L_RPTB02_01"/>
      <sheetName val="AS포장복구 "/>
      <sheetName val="준공조서"/>
      <sheetName val="공사준공계"/>
      <sheetName val="준공검사보고서"/>
      <sheetName val="실행(ALT1)"/>
      <sheetName val="경비_원본"/>
      <sheetName val="DATE2001"/>
      <sheetName val="기본데이타입력"/>
      <sheetName val="보도교산출근거"/>
      <sheetName val="HVAC"/>
      <sheetName val="가감수량"/>
      <sheetName val="EQUIP LIST"/>
      <sheetName val="1구간FRP수량산출"/>
      <sheetName val="총 원가계산"/>
      <sheetName val="목포방향"/>
      <sheetName val="노무자도장2"/>
      <sheetName val="위생"/>
      <sheetName val="noyim"/>
      <sheetName val="99노임단가"/>
      <sheetName val="준비공"/>
      <sheetName val="목교수량산출"/>
      <sheetName val="터널굴착단산"/>
      <sheetName val="COVER"/>
      <sheetName val="철근량 산정"/>
      <sheetName val="구분표"/>
      <sheetName val="개거산출내역"/>
      <sheetName val="공종별자재"/>
      <sheetName val="방수"/>
      <sheetName val="포장자재집계표"/>
      <sheetName val="종배수단위_CON기초"/>
      <sheetName val="참여현황 (직원)"/>
      <sheetName val="슬래브 -연속(3경간)"/>
      <sheetName val="배수공수집"/>
      <sheetName val="산출3-동력"/>
      <sheetName val="산출4-전등"/>
      <sheetName val="운임료"/>
      <sheetName val="물가단가"/>
      <sheetName val="제표일위대가"/>
      <sheetName val="208-238"/>
      <sheetName val="시노501"/>
      <sheetName val="5사남"/>
      <sheetName val="학습율"/>
      <sheetName val="캔개발배경"/>
      <sheetName val="캔판매목표"/>
      <sheetName val="시장"/>
      <sheetName val="손익"/>
      <sheetName val="일정표"/>
      <sheetName val="마케팅"/>
      <sheetName val="추정손익"/>
      <sheetName val="할당"/>
      <sheetName val="실적"/>
      <sheetName val="제목"/>
      <sheetName val="원가,목표"/>
      <sheetName val="판매"/>
      <sheetName val="판촉"/>
      <sheetName val="협조"/>
      <sheetName val="지수"/>
      <sheetName val="인제내역"/>
      <sheetName val="1~9 하중계산"/>
      <sheetName val="단관데이터"/>
      <sheetName val="이형관데이터"/>
      <sheetName val="가설공사비"/>
      <sheetName val="도로구조공사비"/>
      <sheetName val="도로토공공사비"/>
      <sheetName val="여수토공사비"/>
      <sheetName val="철거현황"/>
      <sheetName val="내역- CCTV"/>
      <sheetName val="D"/>
      <sheetName val="설비공사(4)"/>
      <sheetName val="연동내역"/>
      <sheetName val="건설성적"/>
      <sheetName val="2000노임기준"/>
      <sheetName val="식재"/>
      <sheetName val="시설물"/>
      <sheetName val="식재출력용"/>
      <sheetName val="유지관리"/>
      <sheetName val="가제당공사비"/>
      <sheetName val="기초처리공사비"/>
      <sheetName val="복통공사비"/>
      <sheetName val="본제당공사비"/>
      <sheetName val="중기운반비"/>
      <sheetName val="진입도로공사비"/>
      <sheetName val="취수탑공사비"/>
      <sheetName val="토취장복구"/>
      <sheetName val="토목공사일반"/>
      <sheetName val="고창방향"/>
      <sheetName val="토공분배표"/>
      <sheetName val="산출2-전력"/>
      <sheetName val="산출9-TRAY"/>
      <sheetName val="아파트"/>
      <sheetName val="부대시설"/>
      <sheetName val="포장집계"/>
      <sheetName val="포장연장"/>
      <sheetName val="견적1"/>
      <sheetName val="대3류 "/>
      <sheetName val="교대철근집계"/>
      <sheetName val="단가비교표"/>
      <sheetName val="단가(자재)"/>
      <sheetName val="단가(노임)"/>
      <sheetName val="기초목록"/>
      <sheetName val="3-구교-오리지날"/>
      <sheetName val="입력(K0)"/>
      <sheetName val="장비"/>
      <sheetName val="총_구조물공"/>
      <sheetName val="001"/>
      <sheetName val="2F 회의실견적(5_14 일대)"/>
      <sheetName val="전등수량산출"/>
      <sheetName val="산정표"/>
      <sheetName val="CONCRETE"/>
      <sheetName val="정의"/>
      <sheetName val="견적갑지"/>
      <sheetName val="물량내역"/>
      <sheetName val="대구은행"/>
      <sheetName val="DHEQSUPT"/>
      <sheetName val="(X)품셈집계"/>
      <sheetName val="돌담교_상부수량1"/>
      <sheetName val="2_토목공사"/>
      <sheetName val="_상부공통집계(총괄)"/>
      <sheetName val="주공 갑지"/>
      <sheetName val="잡비계산"/>
      <sheetName val="기초수량자료"/>
      <sheetName val="본문"/>
      <sheetName val="2.대외공문"/>
      <sheetName val="노임DB"/>
      <sheetName val="PL단가산정"/>
      <sheetName val="그림"/>
      <sheetName val="그림2"/>
      <sheetName val="1.토공"/>
      <sheetName val="노임자재단가"/>
      <sheetName val="내역서(도급)"/>
      <sheetName val="BS2"/>
      <sheetName val="1.견적보고서"/>
      <sheetName val="분전반계산서(석관)"/>
      <sheetName val="검사원"/>
      <sheetName val="준공조서갑지"/>
      <sheetName val="자재단가_사급"/>
      <sheetName val="중기적산목록"/>
      <sheetName val="01노임적용기준"/>
      <sheetName val="건설사업관리 공제요율"/>
      <sheetName val="건설공사 감리원 배치기준"/>
      <sheetName val="책임감리 공제요율"/>
      <sheetName val="소방"/>
      <sheetName val="경율산정.XLS"/>
      <sheetName val="GT 1050x650"/>
      <sheetName val="VXXXXXX"/>
      <sheetName val="Site Expenses"/>
      <sheetName val="계양가시설"/>
      <sheetName val="1000 DB구축 부표"/>
      <sheetName val="환율CHANGE"/>
      <sheetName val="낙찰표"/>
      <sheetName val="공용(현대건설공구)"/>
      <sheetName val="현대건설공구(UNIT)"/>
      <sheetName val="낙석방지수량"/>
      <sheetName val="일위대가_가설_"/>
      <sheetName val="금액"/>
      <sheetName val="PI"/>
      <sheetName val="원가계산하도"/>
      <sheetName val="설내역서 "/>
      <sheetName val="공사설명서"/>
      <sheetName val="1차설계변경내역"/>
      <sheetName val="11.1 단면hwp"/>
      <sheetName val="앵커구조계산"/>
      <sheetName val="직접경비"/>
      <sheetName val="직접인건비"/>
      <sheetName val="제경비율"/>
      <sheetName val="공사명입력"/>
      <sheetName val="근로자자료입력"/>
      <sheetName val="수주추정"/>
      <sheetName val="배수공 주요자재 집계표"/>
      <sheetName val="단위수량산출"/>
      <sheetName val="상호참고자료"/>
      <sheetName val="발주처자료입력"/>
      <sheetName val="회사기본자료"/>
      <sheetName val="하자보증자료"/>
      <sheetName val="기술자관련자료"/>
      <sheetName val="총괄서"/>
      <sheetName val="연결임시"/>
      <sheetName val="내역_FILE"/>
      <sheetName val="출장내역"/>
      <sheetName val="사각맨홀"/>
      <sheetName val="자재"/>
      <sheetName val="토목공사"/>
      <sheetName val="포장재료집계표"/>
      <sheetName val="내역서 (2)"/>
      <sheetName val="약전설비"/>
      <sheetName val="달서천-대비"/>
      <sheetName val="탄성1"/>
      <sheetName val="옹벽공 수량집계표"/>
      <sheetName val="교사기준면적(중)"/>
      <sheetName val="공사분석"/>
      <sheetName val="연속벽현황"/>
      <sheetName val="단"/>
      <sheetName val="원유_BANK"/>
      <sheetName val="특수선일위대가"/>
      <sheetName val="횡배수관집현황(2공구)"/>
      <sheetName val="시화점실행"/>
      <sheetName val="전 기"/>
      <sheetName val="해외(원화)"/>
      <sheetName val="설계내역"/>
      <sheetName val="조견표"/>
      <sheetName val="내역(신례)"/>
      <sheetName val="공사품의서"/>
      <sheetName val="경영상태"/>
      <sheetName val="(당평)자재"/>
      <sheetName val="당초명세(평)"/>
      <sheetName val="부대tu"/>
      <sheetName val="구조물공집계"/>
      <sheetName val="중요"/>
      <sheetName val="총내역서"/>
      <sheetName val="중강당 내역"/>
      <sheetName val="인원투입"/>
      <sheetName val="공비현2"/>
      <sheetName val="도급내역"/>
      <sheetName val="물집"/>
      <sheetName val="도급금액"/>
      <sheetName val="재노경"/>
      <sheetName val="단가조건(02년)"/>
      <sheetName val="GR"/>
      <sheetName val="평내중"/>
      <sheetName val="06 일위대가목록"/>
      <sheetName val="감액총괄표"/>
      <sheetName val="시점경사로"/>
      <sheetName val="하도급 검토"/>
      <sheetName val="보도포장연장조서-표준차도부"/>
      <sheetName val="표준차도부연장조서-ASP"/>
      <sheetName val="부표총괄"/>
      <sheetName val="포장공자재집계표"/>
      <sheetName val="콘크리트타설집계표"/>
      <sheetName val="사통"/>
      <sheetName val="수량산출서-2"/>
      <sheetName val="단가조정표"/>
      <sheetName val="계림(함평)"/>
      <sheetName val="계림(장성)"/>
      <sheetName val="산수배수"/>
      <sheetName val="이음개소"/>
      <sheetName val="4.내진설계"/>
      <sheetName val=" ｹ-ﾌﾞﾙ"/>
      <sheetName val="3BL공동구_수량1"/>
      <sheetName val="3_공통공사대비"/>
      <sheetName val="9_정착구_보강"/>
      <sheetName val="방배동내역_(총괄)"/>
      <sheetName val="단가_(2)"/>
      <sheetName val="1차_내역서"/>
      <sheetName val="전선_및_전선관"/>
      <sheetName val="배관배선_단가조사"/>
      <sheetName val="환경기계공정표_(3)"/>
      <sheetName val="1__설계조건_2_단면가정_3__하중계산"/>
      <sheetName val="BSD_(2)"/>
      <sheetName val="배수공_시멘트_및_골재량_산출"/>
      <sheetName val="96보완계획7_12"/>
      <sheetName val="사__업__비__수__지__예__산__서"/>
      <sheetName val="1차"/>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포장공수량집계표"/>
      <sheetName val="상행-교대(A1-A2)"/>
      <sheetName val="집수A"/>
      <sheetName val="VII-2현장경비"/>
      <sheetName val="Ⅴ-2.공종별내역"/>
      <sheetName val="공사비"/>
      <sheetName val="연도손익"/>
      <sheetName val="회수금"/>
      <sheetName val="대체용지"/>
      <sheetName val="건자이자"/>
      <sheetName val="내부매출원가"/>
      <sheetName val="지구 리스트"/>
      <sheetName val="용지비"/>
      <sheetName val="용역단가"/>
      <sheetName val="1.CB"/>
      <sheetName val="변수"/>
      <sheetName val="세금자료"/>
      <sheetName val="골재집계"/>
      <sheetName val="-레미콘집계"/>
      <sheetName val="자갈,시멘트,모래산출"/>
      <sheetName val="-철근집계"/>
      <sheetName val="포장재료(1)"/>
      <sheetName val="-흄관집계"/>
      <sheetName val="4.2.1 마루높이 검토"/>
      <sheetName val="반포2차"/>
      <sheetName val="첨"/>
      <sheetName val="List"/>
      <sheetName val="가열로SW"/>
      <sheetName val="03전반노무비"/>
      <sheetName val="3.하중계산"/>
      <sheetName val="순공사비"/>
      <sheetName val="단 box"/>
      <sheetName val="계측제어설비"/>
      <sheetName val="지급(1)"/>
      <sheetName val="자재비"/>
      <sheetName val="포장공수량집계"/>
      <sheetName val="폐기물"/>
      <sheetName val="기계"/>
      <sheetName val="협력업체"/>
      <sheetName val="설계명세서(종합)"/>
      <sheetName val="소요자재"/>
      <sheetName val="노무산출서"/>
      <sheetName val="울산자동제어"/>
      <sheetName val="교통대책내역"/>
      <sheetName val="sst,stl창호"/>
      <sheetName val="ETC"/>
      <sheetName val="A4"/>
      <sheetName val="45,46"/>
      <sheetName val="J형측구단위수량"/>
      <sheetName val="품종별월계"/>
      <sheetName val="전신환매도율"/>
      <sheetName val="특별교실"/>
      <sheetName val="맨홀수량산출(A-LINE)"/>
      <sheetName val="기존포장깨기"/>
      <sheetName val="석축헐기"/>
      <sheetName val="암거단위-1련"/>
      <sheetName val="A 견적"/>
      <sheetName val="집수정"/>
      <sheetName val="HRSG SMALL07220"/>
      <sheetName val="투입비"/>
      <sheetName val="pier(각형)"/>
      <sheetName val="인부노임"/>
      <sheetName val="단가산출서(기계)"/>
      <sheetName val="배관단가조사서"/>
      <sheetName val="지장물 철거 물량 산출서"/>
      <sheetName val="민감도"/>
      <sheetName val="노면및방향"/>
      <sheetName val="P4-C"/>
      <sheetName val="일위_파일"/>
      <sheetName val="05-원가계산"/>
      <sheetName val="토공정보"/>
      <sheetName val="노임 및 중기단가"/>
      <sheetName val="5수지"/>
      <sheetName val="수질정화시설"/>
      <sheetName val="청_구"/>
      <sheetName val="1_수인터널"/>
      <sheetName val="상_부"/>
      <sheetName val="공사비_증감_내역서"/>
      <sheetName val="Sheet2_(2)"/>
      <sheetName val="PROJECT_BRIEF(EX_NEW)"/>
      <sheetName val="Site_Expenses"/>
      <sheetName val="4차원가계산서"/>
      <sheetName val="골막이(야매)"/>
      <sheetName val="설-원가"/>
      <sheetName val="일위대가-1"/>
      <sheetName val="수량명세서"/>
      <sheetName val="가계부"/>
      <sheetName val="제품목록"/>
      <sheetName val="매입매출관리"/>
      <sheetName val="Sheet22"/>
      <sheetName val="08-공사비총괄표"/>
      <sheetName val="01-적용기준"/>
      <sheetName val="화전내"/>
      <sheetName val="투찰추정"/>
      <sheetName val="전기혼잡제경비(45)"/>
      <sheetName val="소방사항"/>
      <sheetName val="ELECTRIC"/>
      <sheetName val="구성비"/>
      <sheetName val="안전시설"/>
      <sheetName val="앵커설치(590)"/>
      <sheetName val="교대(A1-A2)"/>
      <sheetName val="화해(함평)"/>
      <sheetName val="화해(장성)"/>
      <sheetName val="7-2"/>
      <sheetName val="중기손료집계(1209)"/>
      <sheetName val="전체내역서"/>
      <sheetName val="흙막이 개산견적"/>
      <sheetName val="기본"/>
      <sheetName val="견적대비표"/>
      <sheetName val="기계경비및산출근거서"/>
      <sheetName val="A4288"/>
      <sheetName val="BJJIN"/>
      <sheetName val="일위집계표"/>
      <sheetName val="단가목록"/>
      <sheetName val="산출내역(K2)"/>
      <sheetName val="말뚝기초(안정검토)-외측"/>
      <sheetName val="예산"/>
      <sheetName val="4 공통갑지"/>
      <sheetName val="난방방식분류"/>
      <sheetName val="공사정보입력"/>
      <sheetName val="적용(기계)"/>
      <sheetName val="1-1평균터파기고(1)"/>
      <sheetName val="단가산출서"/>
      <sheetName val="공정data"/>
      <sheetName val="인건비 "/>
      <sheetName val="설계내역2"/>
      <sheetName val="공종단가"/>
      <sheetName val="증감대비"/>
      <sheetName val="배지거총재료집계표"/>
      <sheetName val="cal"/>
      <sheetName val="1_CB"/>
      <sheetName val="옹벽공_수량집계표"/>
      <sheetName val="A-8_PD(도로중앙)"/>
      <sheetName val="Flaer_Area"/>
      <sheetName val="건축내역서_(경제상무실)"/>
      <sheetName val="설내역서_"/>
      <sheetName val="일위산출"/>
      <sheetName val="금호"/>
      <sheetName val="법면단"/>
      <sheetName val="1공구내역서(1)"/>
      <sheetName val="수토공단위당"/>
      <sheetName val="이름"/>
      <sheetName val="급여표"/>
      <sheetName val="직원투입계획"/>
      <sheetName val="쇠(1)"/>
      <sheetName val="가격(3)"/>
      <sheetName val="어음수표추가테스트"/>
      <sheetName val="90.03실행 "/>
      <sheetName val="1차기성"/>
      <sheetName val="코스모공장 (어음)"/>
      <sheetName val="3"/>
      <sheetName val="4"/>
      <sheetName val="6"/>
      <sheetName val="집행안"/>
      <sheetName val="가로등설치"/>
      <sheetName val="공사비_NDE"/>
      <sheetName val="업무처리전"/>
      <sheetName val="노단"/>
      <sheetName val="단산"/>
      <sheetName val="명세"/>
      <sheetName val="일대"/>
      <sheetName val="아파트 내역"/>
      <sheetName val="TOSHIBA-Structure"/>
      <sheetName val="포집"/>
      <sheetName val="원가계산서 "/>
      <sheetName val="(2)자금(신용)"/>
      <sheetName val="개별직종노임단가(2005.1)"/>
      <sheetName val="細目"/>
      <sheetName val="15-1)VE제안서(유형2,4)"/>
      <sheetName val="01"/>
      <sheetName val="공통가설(기준안)"/>
      <sheetName val="지장물헐기조서"/>
      <sheetName val="입출재고현황 (2)"/>
      <sheetName val="가설"/>
      <sheetName val="일람표"/>
      <sheetName val="신축(단위)"/>
      <sheetName val="배수관토공산출"/>
      <sheetName val="형질변경"/>
      <sheetName val="경비"/>
      <sheetName val="보안등"/>
      <sheetName val="단가산출서 (2)"/>
      <sheetName val="비품"/>
      <sheetName val="새공통(96임금인상기준)"/>
      <sheetName val="gyun"/>
      <sheetName val="관일"/>
      <sheetName val="하도급계획"/>
      <sheetName val="단가조사표"/>
      <sheetName val="설계내역서(기계)"/>
      <sheetName val="1.3.1절점좌표"/>
      <sheetName val="1.1설계기준"/>
      <sheetName val="6차2회변경내역서"/>
      <sheetName val="견적보고"/>
      <sheetName val="일용노임단가"/>
      <sheetName val="간접비 총괄표"/>
      <sheetName val="Detail"/>
      <sheetName val="Manmonth(입력)"/>
      <sheetName val="16-1"/>
      <sheetName val="산출근거(수정)"/>
      <sheetName val="산출서양식01"/>
      <sheetName val="1안"/>
      <sheetName val="참조 (2)"/>
      <sheetName val="집행내역(190403)"/>
      <sheetName val="설비원가"/>
      <sheetName val="목표세부명세"/>
      <sheetName val="L_RPTB03_01"/>
      <sheetName val="중기목록"/>
      <sheetName val="총괄철근집계표"/>
      <sheetName val="RE9604"/>
      <sheetName val="ELEC"/>
      <sheetName val="기준단가현황"/>
      <sheetName val="공사개요(입력)"/>
      <sheetName val="마스터"/>
      <sheetName val="출자한도"/>
      <sheetName val="옥외외등집계표"/>
      <sheetName val="직접재료비데이타"/>
      <sheetName val="2004일위대가"/>
      <sheetName val="현장관리"/>
      <sheetName val="______PROJECT_hb___1__________2"/>
      <sheetName val="환율및유가"/>
      <sheetName val="국도접속_차도부수량"/>
      <sheetName val="연결관수량_(2)"/>
      <sheetName val="인사자료총집계"/>
      <sheetName val="99년하반기"/>
      <sheetName val="4.1DNR기계(공법)"/>
      <sheetName val="일반전기(가설, 접지)"/>
      <sheetName val="제조원가"/>
      <sheetName val="앉음벽 (2)"/>
      <sheetName val="부대단위수량"/>
      <sheetName val="배관단가"/>
      <sheetName val="수수료율표"/>
      <sheetName val="2-2.매출분석"/>
      <sheetName val="주안3차A-A"/>
      <sheetName val="기본사항"/>
      <sheetName val="252K444"/>
      <sheetName val="TEST1"/>
      <sheetName val="3.자재비(총괄)"/>
      <sheetName val="설원"/>
      <sheetName val="건축2"/>
      <sheetName val="-배수구조물공토공"/>
      <sheetName val="횡배수관재료-"/>
      <sheetName val="계산서(직선부)"/>
      <sheetName val="콘크리트측구연장"/>
      <sheetName val="EJ"/>
      <sheetName val="TOWER 12TON"/>
      <sheetName val="TOWER 10TON"/>
      <sheetName val="사용설명서"/>
      <sheetName val="근로자명부"/>
      <sheetName val="출력작업일보"/>
      <sheetName val="전공종통합-퇴직공제부"/>
      <sheetName val="전공종통합-퇴직공제부1"/>
      <sheetName val="퇴직공제부금1"/>
      <sheetName val="노임총괄"/>
      <sheetName val="총괄집계표"/>
      <sheetName val="복사기본시트(삭제금지)"/>
      <sheetName val="관리(삭제금지)"/>
      <sheetName val="직영(삭제금지)"/>
      <sheetName val="용역"/>
      <sheetName val="노무신고용"/>
      <sheetName val="p-master"/>
      <sheetName val="      "/>
      <sheetName val="비주거용"/>
      <sheetName val="F4-F7"/>
      <sheetName val="A5"/>
      <sheetName val="1호맨홀가감수량"/>
      <sheetName val="동물이동통로"/>
      <sheetName val="구조물집계"/>
      <sheetName val="토공집계"/>
      <sheetName val="간지1"/>
      <sheetName val="1.사유서"/>
      <sheetName val="간지2"/>
      <sheetName val="간지3"/>
      <sheetName val="부재별집계표"/>
      <sheetName val="도면"/>
      <sheetName val="콘크리트"/>
      <sheetName val="단가비교"/>
      <sheetName val="우수공,맨홀,집수_x0000_"/>
      <sheetName val="load(지하층)"/>
      <sheetName val="총중목"/>
      <sheetName val="데이터"/>
      <sheetName val="사업총괄"/>
      <sheetName val="전등설비"/>
      <sheetName val="Macro"/>
      <sheetName val="투찰내역"/>
      <sheetName val="진단세부현황"/>
      <sheetName val="220 (2)"/>
      <sheetName val="양식기준표"/>
      <sheetName val="토량산출서"/>
      <sheetName val="CAUDIT"/>
      <sheetName val="Team 종합"/>
      <sheetName val="CC Down load 0716"/>
      <sheetName val="수량산출서 (2)"/>
      <sheetName val="조직"/>
      <sheetName val="2.2 S-Curve"/>
      <sheetName val="D_MUC"/>
      <sheetName val="동방설계서"/>
      <sheetName val="토지산정"/>
      <sheetName val="특수기호강도거푸집"/>
      <sheetName val="MIJIBI"/>
      <sheetName val="YANG"/>
      <sheetName val="산출내역서_IWC"/>
      <sheetName val="제잡비(전체)"/>
      <sheetName val="본선 토공 분배표"/>
      <sheetName val="현장"/>
      <sheetName val="연부97-1"/>
      <sheetName val="기본자료 "/>
      <sheetName val="간접비"/>
      <sheetName val="보온자_x0000__x0000__x0005__x0000_"/>
      <sheetName val="I.설계조건"/>
      <sheetName val="3.바닥판설계"/>
      <sheetName val="잡철물"/>
      <sheetName val="참조영역"/>
      <sheetName val="광양 3기 유입수"/>
      <sheetName val="노임대장"/>
      <sheetName val="장비 (2)"/>
      <sheetName val="이자율"/>
      <sheetName val="임대손익"/>
      <sheetName val="LD TX"/>
      <sheetName val="CTG"/>
      <sheetName val="6MONTHS"/>
      <sheetName val="침하계"/>
      <sheetName val="일위대가표(유단가)"/>
      <sheetName val="Notes"/>
      <sheetName val="code HTT Thap"/>
      <sheetName val="Chiet tinh dz35"/>
      <sheetName val="RFP002"/>
      <sheetName val="Rooms"/>
      <sheetName val="TABLE DB"/>
      <sheetName val="쌍용 data base"/>
      <sheetName val="DI-ESTI"/>
      <sheetName val="6PILE__(돌출)1"/>
      <sheetName val="1_설계조건1"/>
      <sheetName val="2_2_S-Curve"/>
      <sheetName val="1_2_1_마루높이결정"/>
      <sheetName val="Pier_3"/>
      <sheetName val="PAD_TR보호대기초"/>
      <sheetName val="FitOutConfCentre"/>
      <sheetName val="물류최종8월7"/>
      <sheetName val="gvl"/>
      <sheetName val="dongia (2)"/>
      <sheetName val="RAB AR&amp;STR"/>
      <sheetName val="Civil. Sub-Station 1"/>
      <sheetName val="Z"/>
      <sheetName val="escon"/>
      <sheetName val="BG"/>
      <sheetName val="Mall"/>
      <sheetName val="실행내역서 "/>
      <sheetName val="Thuc thanh"/>
      <sheetName val="GIAVLIEU"/>
      <sheetName val="SAP"/>
      <sheetName val="D&amp;W def."/>
      <sheetName val="4-Lane bridge"/>
      <sheetName val="chitimc"/>
      <sheetName val="giathanh1"/>
      <sheetName val="t-h HA THE"/>
      <sheetName val="lam-moi"/>
      <sheetName val="THPDMoi  (2)"/>
      <sheetName val="gtrinh"/>
      <sheetName val="phuluc1"/>
      <sheetName val="DONGIA"/>
      <sheetName val="thao-go"/>
      <sheetName val="DON GIA"/>
      <sheetName val="TONGKE-HT"/>
      <sheetName val="DG"/>
      <sheetName val="dtxl"/>
      <sheetName val="CHITIET VL-NC-TT -1p"/>
      <sheetName val="TONG HOP VL-NC TT"/>
      <sheetName val="TH XL"/>
      <sheetName val="VC"/>
      <sheetName val="chitiet"/>
      <sheetName val="Tiepdia"/>
      <sheetName val="CHITIET VL-NC-TT-3p"/>
      <sheetName val="TDTKP"/>
      <sheetName val="TDTKP1"/>
      <sheetName val="KPVC-BD "/>
      <sheetName val="CHITIET VL-NC"/>
      <sheetName val="B3A - TOWER A"/>
      <sheetName val="Coax Designer"/>
      <sheetName val="264"/>
      <sheetName val="MAIN GATE HOUSE"/>
      <sheetName val="dnc4"/>
      <sheetName val="Bìa"/>
      <sheetName val="Bảng KLHT"/>
      <sheetName val="RC WORK"/>
      <sheetName val="PKKK"/>
      <sheetName val="Kính"/>
      <sheetName val="Bảng Phân Tích Chi Phí"/>
      <sheetName val="6PILE__(돌출)2"/>
      <sheetName val="내역서_2"/>
      <sheetName val="1_설계조건2"/>
      <sheetName val="돌담교_상부수량2"/>
      <sheetName val="8_석축단위(H=1_5M)1"/>
      <sheetName val="3BL공동구_수량2"/>
      <sheetName val="준검_내역서1"/>
      <sheetName val="3_공통공사대비1"/>
      <sheetName val="방배동내역_(총괄)1"/>
      <sheetName val="설명서_1"/>
      <sheetName val="플랜트_설치1"/>
      <sheetName val="8_PILE__(돌출)1"/>
      <sheetName val="COMPARISON_TABLE1"/>
      <sheetName val="crude_SLAB_RE-bar1"/>
      <sheetName val="CRUDE_RE-bar1"/>
      <sheetName val="1_설계기준1"/>
      <sheetName val="신규_수주분(사용자_정의)1"/>
      <sheetName val="단면_(2)1"/>
      <sheetName val="1_2_1_마루높이결정1"/>
      <sheetName val="3_하중산정4_지지력1"/>
      <sheetName val="표지_(2)1"/>
      <sheetName val="2_입력sheet1"/>
      <sheetName val="DATA_입력란1"/>
      <sheetName val="1_우편집중내역서1"/>
      <sheetName val="Pier_31"/>
      <sheetName val="2_가정단면1"/>
      <sheetName val="7_PILE__(돌출)1"/>
      <sheetName val="plan&amp;section_of_foundation1"/>
      <sheetName val="pile_bearing_capa_&amp;_arrenge1"/>
      <sheetName val="design_load1"/>
      <sheetName val="working_load_at_the_btm_ft_1"/>
      <sheetName val="stability_check1"/>
      <sheetName val="design_criteria1"/>
      <sheetName val="2_2_S-Curve1"/>
      <sheetName val="PAD_TR보호대기초1"/>
      <sheetName val="(3_품질관리_시험_총괄표)1"/>
      <sheetName val="Chiet_tinh_dz35"/>
      <sheetName val="TABLE_DB"/>
      <sheetName val="쌍용_data_base"/>
      <sheetName val="code_HTT_Thap"/>
      <sheetName val="dongia_(2)"/>
      <sheetName val="RAB_AR&amp;STR"/>
      <sheetName val="Civil__Sub-Station_1"/>
      <sheetName val="실행내역서_"/>
      <sheetName val="Thuc_thanh"/>
      <sheetName val="D&amp;W_def_"/>
      <sheetName val="4-Lane_bridge"/>
      <sheetName val="tong du toan"/>
      <sheetName val="DAF-2"/>
      <sheetName val="Quantity"/>
      <sheetName val="MTP"/>
      <sheetName val="Gia VL,NC,M"/>
      <sheetName val="Phan chung"/>
      <sheetName val="Names"/>
      <sheetName val="Tom tat gia du thau"/>
      <sheetName val="1_MV"/>
      <sheetName val="MTC"/>
      <sheetName val="Earthwork"/>
      <sheetName val="CFS3"/>
      <sheetName val="SITE-E"/>
      <sheetName val="Currency Rate"/>
      <sheetName val="Tien do TV"/>
      <sheetName val="Ts"/>
      <sheetName val="QD957"/>
      <sheetName val="Config"/>
      <sheetName val="CP Du phong"/>
      <sheetName val="THCP Lap dat"/>
      <sheetName val="THCP xay dung"/>
      <sheetName val="Tong hop kinh phi"/>
      <sheetName val="pvc연결관"/>
      <sheetName val="Contents"/>
      <sheetName val="개방1"/>
      <sheetName val="공사내역서(을)실행"/>
      <sheetName val="변실"/>
      <sheetName val="이음부"/>
      <sheetName val="아스콘단위"/>
      <sheetName val="배수개거"/>
      <sheetName val="업무"/>
      <sheetName val="일위대가_호표"/>
      <sheetName val="일위대가_호표 (계약)"/>
      <sheetName val="N10(미지급) "/>
      <sheetName val="(평균)"/>
      <sheetName val="단면A-A(TR)"/>
      <sheetName val="주소록2000(전화번호부)"/>
      <sheetName val="항목"/>
      <sheetName val="DNW"/>
      <sheetName val="단지조성공(가포)"/>
      <sheetName val="LKVL-CK-HT-GD1"/>
      <sheetName val="깨기"/>
      <sheetName val="도"/>
      <sheetName val="S0"/>
      <sheetName val="정읍농소"/>
      <sheetName val="편입용지조서"/>
      <sheetName val="계약ITEM"/>
      <sheetName val="수리결과"/>
      <sheetName val="Rebar"/>
      <sheetName val="Bảng mã VT"/>
      <sheetName val="종배수관"/>
      <sheetName val="설직재_1"/>
      <sheetName val="중간간지 (2)"/>
      <sheetName val="Multi-dims"/>
      <sheetName val="D-철근총괄"/>
      <sheetName val="수문보고"/>
      <sheetName val="2.단면가정 "/>
      <sheetName val="접속도로"/>
      <sheetName val="자재단가대비표"/>
      <sheetName val="汇总表"/>
      <sheetName val="PAINT (2)"/>
      <sheetName val="Sheet1_(2)1"/>
      <sheetName val="별표_1"/>
      <sheetName val="토공(우물통,기타)_1"/>
      <sheetName val="표__지1"/>
      <sheetName val="BOX(1_5X1_5)1"/>
      <sheetName val="단면__2_"/>
      <sheetName val="ENE-CAL_1"/>
      <sheetName val="ITB_COST"/>
      <sheetName val="_냉각수펌프"/>
      <sheetName val="2011_(4)"/>
      <sheetName val="설계기준_및_하중계산"/>
      <sheetName val="1062-X방향_"/>
      <sheetName val="11_자재단가"/>
      <sheetName val="각사별공사비분개_"/>
      <sheetName val="전차선로_물량표"/>
      <sheetName val="추정공사비_산출내역1_xlsx"/>
      <sheetName val="Dike_for_49T03_&amp;_49T04"/>
      <sheetName val="Dike_for_49T02,_05~07,_19_(1)"/>
      <sheetName val="수량산출서_갑지"/>
      <sheetName val="견적대비_견적서"/>
      <sheetName val="1호-아(오)0_4"/>
      <sheetName val="CONSTRUCTION_COMPONENT"/>
      <sheetName val="접속_SLAB,BRACKET_설계"/>
      <sheetName val="빌딩_안내"/>
      <sheetName val="공정별_수량산출서"/>
      <sheetName val="자재_및_폐기물견적(2008)"/>
      <sheetName val="화단_철거"/>
      <sheetName val="CABLE_SIZE-3"/>
      <sheetName val="cable_data1"/>
      <sheetName val="wk_prgs"/>
      <sheetName val="자재_집계표"/>
      <sheetName val="IMPEADENCE_MAP_취수장"/>
      <sheetName val="일위대가_호표_(계약)"/>
      <sheetName val="2__공원조도"/>
      <sheetName val="Cash Flow bulanan"/>
      <sheetName val="tifico"/>
      <sheetName val="Bao cao hao hut VT-TR"/>
      <sheetName val="Y_WORK"/>
      <sheetName val="運転条件一覧"/>
      <sheetName val="125x125"/>
      <sheetName val="Items"/>
      <sheetName val="¥ "/>
      <sheetName val="KLall"/>
      <sheetName val="DTTC CHI TIET"/>
      <sheetName val="Du toan"/>
      <sheetName val="Xunit (단위환산)"/>
      <sheetName val="고객사 관리 코드"/>
      <sheetName val="DTCT"/>
      <sheetName val="SEX"/>
      <sheetName val="2.1 受電設備棟"/>
      <sheetName val="2.2 受・防火水槽"/>
      <sheetName val="2.3 排水処理設備棟"/>
      <sheetName val="2.4 倉庫棟"/>
      <sheetName val="2.5 守衛棟"/>
      <sheetName val="Xunit_(단위환산)"/>
      <sheetName val="고객사_관리_코드"/>
      <sheetName val="인상효1"/>
      <sheetName val="DI_전처리 단가집(GP1 실적가)"/>
      <sheetName val="산출3-유도등"/>
      <sheetName val="산출2-동력"/>
      <sheetName val="산출2-피뢰침"/>
      <sheetName val="검측감리공제요율"/>
      <sheetName val="시공감리공제요율"/>
      <sheetName val="책임감리공제요율"/>
      <sheetName val="총정리"/>
      <sheetName val="INPUTDATA"/>
      <sheetName val="과거자료"/>
      <sheetName val="시설국장자료"/>
      <sheetName val="설계서(동안동)"/>
      <sheetName val="간이(갑)"/>
      <sheetName val="Bldg Brkdown"/>
      <sheetName val="교대"/>
      <sheetName val="노임단가표"/>
      <sheetName val="가로등"/>
      <sheetName val="공사일위대가"/>
      <sheetName val="15)VE제안서(유형1)"/>
      <sheetName val="12)아이디어 목록 및 개략평가"/>
      <sheetName val="11)VE 예비검토서"/>
      <sheetName val="15-3)VE제안서(가치향상 등)"/>
      <sheetName val="15-2)VE제안서(유형3)"/>
      <sheetName val="단위집계표"/>
      <sheetName val="노임단가(직종번호 순)"/>
      <sheetName val="기초수량산출서"/>
      <sheetName val="대창토공"/>
      <sheetName val="가시설(TYPE-A)"/>
      <sheetName val="포장수량"/>
      <sheetName val="산출서-1"/>
      <sheetName val="산출서-수식"/>
      <sheetName val="상부수량"/>
      <sheetName val="EQUIP_LIST"/>
      <sheetName val="실행내역(10_13)"/>
      <sheetName val="산출집계표"/>
      <sheetName val="참조자료"/>
      <sheetName val="기계경비산출기준"/>
      <sheetName val="기계경비목록"/>
      <sheetName val="건설기계가격1"/>
      <sheetName val="회사기초자료"/>
      <sheetName val="2-1__경관조명_내역총괄표"/>
      <sheetName val="AS포장복구_"/>
      <sheetName val="개별직종노임단가(2003_9)"/>
      <sheetName val="총_원가계산"/>
      <sheetName val="기존건물_깨기원단위"/>
      <sheetName val="철근량_산정"/>
      <sheetName val="슬래브_-연속(3경간)"/>
      <sheetName val="노임단가_(2)"/>
      <sheetName val="참여현황_(직원)"/>
      <sheetName val="노_표-조"/>
      <sheetName val="2F_회의실견적(5_14_일대)"/>
      <sheetName val="대3류_"/>
      <sheetName val="내역-_CCTV"/>
      <sheetName val="건설사업관리_공제요율"/>
      <sheetName val="건설공사_감리원_배치기준"/>
      <sheetName val="책임감리_공제요율"/>
      <sheetName val="1~9_하중계산"/>
      <sheetName val="단가산출서_(2)"/>
      <sheetName val="부대공수량산출"/>
      <sheetName val="공통갑지"/>
      <sheetName val="기성청구조서"/>
      <sheetName val="토공사B동추가"/>
      <sheetName val="심사물량"/>
      <sheetName val="토공(본관-토사)"/>
      <sheetName val="토공(분기관-토사)"/>
      <sheetName val="토공(분기관-암)"/>
      <sheetName val="토공(본관-암)"/>
      <sheetName val="DATA입력"/>
      <sheetName val="기초계산(Pmax)"/>
      <sheetName val="수량간지코드"/>
      <sheetName val="수량목차코드"/>
      <sheetName val="쌍송교"/>
      <sheetName val="포장면적산출"/>
      <sheetName val="포장수량집계"/>
      <sheetName val="1.RAMP-A"/>
      <sheetName val="BOJUNGGM"/>
      <sheetName val="금전출납"/>
      <sheetName val="직영명부"/>
      <sheetName val="대총괄"/>
      <sheetName val="방화도료"/>
      <sheetName val="제경비최종"/>
      <sheetName val="사본 _ b_balju"/>
      <sheetName val="중단원본"/>
      <sheetName val="업체별담당"/>
      <sheetName val="36+45-113-18+19+20I"/>
      <sheetName val="ESC (공정표기준)"/>
      <sheetName val="공사설계"/>
      <sheetName val="10동"/>
      <sheetName val="금속및금속창호"/>
      <sheetName val="입력장소"/>
      <sheetName val="값"/>
      <sheetName val="한일양산"/>
      <sheetName val="계약내역서"/>
      <sheetName val="계정"/>
      <sheetName val="서울대규장각(가시설흙막이)"/>
      <sheetName val="일위대가 "/>
      <sheetName val="2.관대집계표"/>
      <sheetName val="S.중기사용료"/>
      <sheetName val="수불계획서(전체)"/>
      <sheetName val="투입비분석표"/>
      <sheetName val="형식 - 1-2-3"/>
      <sheetName val="정부노임"/>
      <sheetName val="지수980731이후"/>
      <sheetName val="공정추가"/>
      <sheetName val="일위(PN)"/>
      <sheetName val="203"/>
      <sheetName val="9_정착구_보강1"/>
      <sheetName val="단가_(2)1"/>
      <sheetName val="환경기계공정표_(3)1"/>
      <sheetName val="전선_및_전선관1"/>
      <sheetName val="1차_내역서1"/>
      <sheetName val="1__설계조건_2_단면가정_3__하중계산1"/>
      <sheetName val="BSD_(2)1"/>
      <sheetName val="배관배선_단가조사1"/>
      <sheetName val="옹벽공_수량집계표1"/>
      <sheetName val="배수공_시멘트_및_골재량_산출1"/>
      <sheetName val="96보완계획7_121"/>
      <sheetName val="사__업__비__수__지__예__산__서1"/>
      <sheetName val="11_1_단면hwp"/>
      <sheetName val="Sheet2_(2)1"/>
      <sheetName val="Customer_Databas1"/>
      <sheetName val="상_부1"/>
      <sheetName val="A-8_PD(도로중앙)1"/>
      <sheetName val="청_구1"/>
      <sheetName val="설내역서_1"/>
      <sheetName val="건축내역서_(경제상무실)1"/>
      <sheetName val="1_수인터널1"/>
      <sheetName val="배수공_주요자재_집계표"/>
      <sheetName val="내역서1999_8최종1"/>
      <sheetName val="06_일위대가목록"/>
      <sheetName val="PROJECT_BRIEF(EX_NEW)1"/>
      <sheetName val="Site_Expenses1"/>
      <sheetName val="내역서_(2)"/>
      <sheetName val="전_기"/>
      <sheetName val="공사비_증감_내역서1"/>
      <sheetName val="단가_및_재료비1"/>
      <sheetName val="Ⅴ-2_공종별내역"/>
      <sheetName val="4_내진설계"/>
      <sheetName val="_ｹ-ﾌﾞﾙ"/>
      <sheetName val="지구_리스트"/>
      <sheetName val="1000_DB구축_부표"/>
      <sheetName val="효성CB_1P기초"/>
      <sheetName val="1_CB1"/>
      <sheetName val="Flaer_Area1"/>
      <sheetName val="하도급_검토"/>
      <sheetName val="지장물_철거_물량_산출서"/>
      <sheetName val="4_2_1_마루높이_검토"/>
      <sheetName val="3_하중계산"/>
      <sheetName val="단_box"/>
      <sheetName val="중강당_내역"/>
      <sheetName val="HRSG_SMALL07220"/>
      <sheetName val="아파트_내역"/>
      <sheetName val="노임_및_중기단가"/>
      <sheetName val="2_대외공문"/>
      <sheetName val="인건비_"/>
      <sheetName val="공통자료"/>
      <sheetName val="99노임단_x0007_"/>
      <sheetName val="99노임단쌇"/>
      <sheetName val="노임 단가"/>
      <sheetName val="할증 "/>
      <sheetName val="Macro(전동기)"/>
      <sheetName val="자재목록표"/>
      <sheetName val="1.건설폐기물"/>
      <sheetName val="시행예산"/>
      <sheetName val="자판실행"/>
      <sheetName val="경비대가"/>
      <sheetName val="참고"/>
      <sheetName val="시설물일위"/>
      <sheetName val="수목일위"/>
      <sheetName val="가설공사"/>
      <sheetName val="단가결정"/>
      <sheetName val="내역아"/>
      <sheetName val="울타리"/>
      <sheetName val="5"/>
      <sheetName val="BOX"/>
      <sheetName val="우배수"/>
      <sheetName val="STEEL BOX 단면설계(SEC.8)"/>
      <sheetName val="8. 안정검토"/>
      <sheetName val="4.하중"/>
      <sheetName val="0.9x0.9"/>
      <sheetName val="VXXXXXXX"/>
      <sheetName val="L측형구집계"/>
      <sheetName val="suk(mac)"/>
      <sheetName val="고양동1"/>
      <sheetName val="0.9토공"/>
      <sheetName val="사용성검토"/>
      <sheetName val="내역서2안"/>
      <sheetName val="Sheet9"/>
      <sheetName val="전기실-1"/>
      <sheetName val="SHEET PILE단가"/>
      <sheetName val="접속도수량집계표"/>
      <sheetName val="0. 인명부"/>
      <sheetName val="제안서"/>
      <sheetName val="행정표준(1)"/>
      <sheetName val="행정표준(2)"/>
      <sheetName val="9-1차이내㐈"/>
      <sheetName val="공사설계서"/>
      <sheetName val="민감도분석"/>
      <sheetName val="집계표(총괄)"/>
      <sheetName val="노 무 비"/>
      <sheetName val="Rate Analysis"/>
      <sheetName val="FRP내역서"/>
      <sheetName val="자재_계약일(2013_09_16)"/>
      <sheetName val="공통_계약일(2013_09_16)"/>
      <sheetName val="CAP"/>
      <sheetName val="Var."/>
      <sheetName val="R"/>
      <sheetName val="정리"/>
      <sheetName val="dV&amp;Cl"/>
      <sheetName val="15100"/>
      <sheetName val="노무비_근거1"/>
      <sheetName val="97년_추정1"/>
      <sheetName val="4_2유효폭의_계산1"/>
      <sheetName val="목차_1"/>
      <sheetName val="역T형(H=6_0)_(2)1"/>
      <sheetName val="2_단면가정1"/>
      <sheetName val="세골재__T2_변경_현황1"/>
      <sheetName val="0_단가1"/>
      <sheetName val="내역서_제출1"/>
      <sheetName val="4__주형설계1"/>
      <sheetName val="RAMP_단면(R2)1"/>
      <sheetName val="토공_total1"/>
      <sheetName val="C_배수관공1"/>
      <sheetName val="_총괄표1"/>
      <sheetName val="3련_BOX1"/>
      <sheetName val="내역_ver1_01"/>
      <sheetName val="토목내역서_(도급단가)1"/>
      <sheetName val="바닥판의_설계1"/>
      <sheetName val="암거_제원표1"/>
      <sheetName val="암거_제원표-1단계1"/>
      <sheetName val="2_건축"/>
      <sheetName val="단양_00_아파트-세부내역1"/>
      <sheetName val="유효폭의_계산"/>
      <sheetName val="AIR_SHOWER(3인용)1"/>
      <sheetName val="1_수량집계"/>
      <sheetName val="기존단가_(2)"/>
      <sheetName val="기타_정보통신공사"/>
      <sheetName val="2_2_2입적표"/>
      <sheetName val="BOX_본체"/>
      <sheetName val="제수변_수량집계표(보통)"/>
      <sheetName val="6월_출고_일일보고"/>
      <sheetName val="원가계산서_과기원"/>
      <sheetName val="0_내역서__갑지"/>
      <sheetName val="1_내역서_"/>
      <sheetName val="2-1_수량산출근거"/>
      <sheetName val="2-2_노무비산출근거"/>
      <sheetName val="3_단가조사표"/>
      <sheetName val="3_단가대비표"/>
      <sheetName val="4_설변사유"/>
      <sheetName val="2-7_인건비산출근거"/>
      <sheetName val="3-1_설변사유"/>
      <sheetName val="3-2_공사비증감"/>
      <sheetName val="3-3_내역서"/>
      <sheetName val="3-4_단가대비표(기존)"/>
      <sheetName val="3-5_단가대비표(신규)"/>
      <sheetName val="3-6_일위대가목록"/>
      <sheetName val="중기조종사_단위단가"/>
      <sheetName val="3-7_일위대가"/>
      <sheetName val="3-8_물량산출근거"/>
      <sheetName val="3-9_인건비산출근거"/>
      <sheetName val="고강도_지수판_스리브업체선정"/>
      <sheetName val="3_단가대비표_"/>
      <sheetName val="3_단가적용현황"/>
      <sheetName val="4_하중산정"/>
      <sheetName val="DATA_입력부"/>
      <sheetName val="정거장_설계조건"/>
      <sheetName val="일위대가56-1_"/>
      <sheetName val="일위대가71-1_"/>
      <sheetName val="일위대가74-1_"/>
      <sheetName val="일위대가76-1_"/>
      <sheetName val="일위대가77-1_"/>
      <sheetName val="일위대가78-1_"/>
      <sheetName val="자재집계_(2)"/>
      <sheetName val="기성부분_내역집계표-기계공사"/>
      <sheetName val="안양동교_1안"/>
      <sheetName val="Eq__Mobilization"/>
      <sheetName val="7-1_인건비"/>
      <sheetName val="노면표지_수량"/>
      <sheetName val="1공구_건정토건_토공"/>
      <sheetName val="간지03_)"/>
      <sheetName val="1_레미콘"/>
      <sheetName val="2_관집계"/>
      <sheetName val="3_제수밸브"/>
      <sheetName val="4_각종주철제"/>
      <sheetName val="5_유량계"/>
      <sheetName val="1_골재집계"/>
      <sheetName val="2_철근집계"/>
      <sheetName val="3_관세척"/>
      <sheetName val="4_분기관"/>
      <sheetName val="상수공_토공집계표"/>
      <sheetName val="집_계_표"/>
      <sheetName val="1단계_(2)"/>
      <sheetName val="#4_PSV"/>
      <sheetName val="일대-1"/>
      <sheetName val="가공2원도"/>
      <sheetName val="1-2.Sum_elemental"/>
      <sheetName val="내역서(토목)"/>
      <sheetName val="원가계산서(변경)"/>
      <sheetName val="시멘트"/>
      <sheetName val="작성방법"/>
      <sheetName val="ET2TOT"/>
      <sheetName val="자재테_x0000__x0000_"/>
      <sheetName val="2.실행예산내역서"/>
      <sheetName val="선급비용"/>
      <sheetName val="계약공정표-전체-"/>
      <sheetName val="정산내역서"/>
      <sheetName val="2_토목공사1"/>
      <sheetName val="6_간접공사비_外"/>
      <sheetName val="진입로_지세할증산출(다사분기)"/>
      <sheetName val="_FURNACE현설"/>
      <sheetName val="일반전기(가설,_접지)"/>
      <sheetName val="간접비_총괄표"/>
      <sheetName val="현장별계약현황('98_10_31)"/>
      <sheetName val="배수내역_(2)"/>
      <sheetName val="_상부공통집계(총괄)1"/>
      <sheetName val="주공_갑지"/>
      <sheetName val="1_토공"/>
      <sheetName val="1_견적보고서"/>
      <sheetName val="경율산정_XLS"/>
      <sheetName val="GT_1050x650"/>
      <sheetName val="A_견적"/>
      <sheetName val="흙막이_개산견적"/>
      <sheetName val="4_공통갑지"/>
      <sheetName val="90_03실행_"/>
      <sheetName val="코스모공장_(어음)"/>
      <sheetName val="원가계산서_"/>
      <sheetName val="개별직종노임단가(2005_1)"/>
      <sheetName val="입출재고현황_(2)"/>
      <sheetName val="1_3_1절점좌표"/>
      <sheetName val="1_1설계기준"/>
      <sheetName val="4_1DNR기계(공법)"/>
      <sheetName val="노임_단가"/>
      <sheetName val="LD_TX"/>
      <sheetName val="합천내역"/>
      <sheetName val="부재예실1월"/>
      <sheetName val="입찰내역 발주처 양식"/>
      <sheetName val="마감사양"/>
      <sheetName val="자재단가표"/>
      <sheetName val="공비대비"/>
      <sheetName val="기계공사"/>
      <sheetName val="공사비총"/>
      <sheetName val="포장절단"/>
      <sheetName val="패널"/>
      <sheetName val="대비2"/>
      <sheetName val="2000년 공정표"/>
      <sheetName val="8.3해석단면 선정"/>
      <sheetName val="Level 2"/>
      <sheetName val="VT190111"/>
      <sheetName val="TH-XL"/>
      <sheetName val="Keothep"/>
      <sheetName val="Re-bar"/>
      <sheetName val="HS"/>
      <sheetName val="Cst Pkg-Eden"/>
      <sheetName val="p"/>
      <sheetName val="Define finishing"/>
      <sheetName val="PTĐG"/>
      <sheetName val="RATE"/>
      <sheetName val="BIDDING-SUM"/>
      <sheetName val="MA"/>
      <sheetName val="Chi tiết cấu tạo giá (2)"/>
      <sheetName val="SUMMARY-HT Thô"/>
      <sheetName val="02.PHAT SINH TANG"/>
      <sheetName val="Tiến độ  Rev1 (phói hợp)"/>
      <sheetName val="kpxlc"/>
      <sheetName val="kpxld"/>
      <sheetName val="VTu"/>
      <sheetName val="PNT-QUOT-#3"/>
      <sheetName val="Unit price"/>
      <sheetName val="DANHMUC"/>
      <sheetName val="DT"/>
      <sheetName val="1.R18 BF"/>
      <sheetName val="A"/>
      <sheetName val="G"/>
      <sheetName val="F-B"/>
      <sheetName val="H-J"/>
      <sheetName val="6.External works-R18"/>
      <sheetName val="電気設備表"/>
      <sheetName val="May"/>
      <sheetName val="Profile"/>
      <sheetName val="bill 3 - D Wall"/>
      <sheetName val="Parem"/>
      <sheetName val="TONG HOP XIN GIA"/>
      <sheetName val="Bảng_mã_VT"/>
      <sheetName val="tong_du_toan"/>
      <sheetName val="VO"/>
      <sheetName val="Ref"/>
      <sheetName val="KHOI LUONG15-4"/>
      <sheetName val="NC"/>
      <sheetName val="Tro giup"/>
      <sheetName val="Villa A"/>
      <sheetName val="Div26 - Elect"/>
      <sheetName val="CPTNo"/>
      <sheetName val="COAT&amp;WRAP-QIOT-#3"/>
      <sheetName val="Xuly Data"/>
      <sheetName val="CSVC LD"/>
      <sheetName val="Ten_NVKD"/>
      <sheetName val="Setting"/>
      <sheetName val="MU"/>
      <sheetName val="Buy vs. Lease Car"/>
      <sheetName val="BQ"/>
      <sheetName val="dtct cong"/>
      <sheetName val="FD"/>
      <sheetName val="GI"/>
      <sheetName val="EE (3)"/>
      <sheetName val="PAVEMENT"/>
      <sheetName val="TRAFFIC"/>
      <sheetName val="관보호공단위수량"/>
      <sheetName val="관경결정"/>
      <sheetName val="공사원가 (3)"/>
      <sheetName val="내역서-2"/>
      <sheetName val="tra VL"/>
      <sheetName val="Phu cap"/>
      <sheetName val="CE(E)"/>
      <sheetName val="CE(M)"/>
      <sheetName val="Project Data"/>
      <sheetName val="Costmaster"/>
      <sheetName val="MTO REV.2(ARMOR)"/>
      <sheetName val="SP10"/>
      <sheetName val="Gia"/>
      <sheetName val="HRG BHN"/>
      <sheetName val="Bang gia"/>
      <sheetName val="조선용암면"/>
      <sheetName val="Index"/>
      <sheetName val="TABLE_DB1"/>
      <sheetName val="쌍용_data_base1"/>
      <sheetName val="tong_du_toan1"/>
      <sheetName val="Level_2"/>
      <sheetName val="Bảng_mã_VT1"/>
      <sheetName val="Du_toan"/>
      <sheetName val="Cst_Pkg-Eden"/>
      <sheetName val="Define_finishing"/>
      <sheetName val="Tiến_độ__Rev1_(phói_hợp)"/>
      <sheetName val="Chi_tiết_cấu_tạo_giá_(2)"/>
      <sheetName val="SUMMARY-HT_Thô"/>
      <sheetName val="02_PHAT_SINH_TANG"/>
      <sheetName val="Unit_price"/>
      <sheetName val="TONG_HOP_XIN_GIA"/>
      <sheetName val="1_R18_BF"/>
      <sheetName val="6_External_works-R18"/>
      <sheetName val="bill_3_-_D_Wall"/>
      <sheetName val="KHOI_LUONG15-4"/>
      <sheetName val="Tro_giup"/>
      <sheetName val="Villa_A"/>
      <sheetName val="Div26_-_Elect"/>
      <sheetName val="Xuly_Data"/>
      <sheetName val="CSVC_LD"/>
      <sheetName val="dtct_cong"/>
      <sheetName val="MAIN_GATE_HOUSE"/>
      <sheetName val="Currency_Rate"/>
      <sheetName val="t-h_HA_THE"/>
      <sheetName val="THPDMoi__(2)"/>
      <sheetName val="DON_GIA"/>
      <sheetName val="CHITIET_VL-NC-TT_-1p"/>
      <sheetName val="TONG_HOP_VL-NC_TT"/>
      <sheetName val="TH_XL"/>
      <sheetName val="CHITIET_VL-NC-TT-3p"/>
      <sheetName val="KPVC-BD_"/>
      <sheetName val="CHITIET_VL-NC"/>
      <sheetName val="B3A_-_TOWER_A"/>
      <sheetName val="Buy_vs__Lease_Car"/>
      <sheetName val="tra_VL"/>
      <sheetName val="8_3해석단면_선정"/>
      <sheetName val="현장별"/>
      <sheetName val="대가목록"/>
      <sheetName val="TEN CONG TRINH"/>
      <sheetName val="D+W"/>
      <sheetName val="INFOR-ST"/>
      <sheetName val="BechLab"/>
      <sheetName val="Rates"/>
      <sheetName val="HE SO DIEU CHINH"/>
      <sheetName val="6PILE__(돌출)3"/>
      <sheetName val="내역서_3"/>
      <sheetName val="1_설계조건3"/>
      <sheetName val="2_2_S-Curve2"/>
      <sheetName val="RAB_AR&amp;STR1"/>
      <sheetName val="8_PILE__(돌출)2"/>
      <sheetName val="Chiet_tinh_dz351"/>
      <sheetName val="플랜트_설치2"/>
      <sheetName val="단면_(2)2"/>
      <sheetName val="code_HTT_Thap1"/>
      <sheetName val="4-Lane_bridge1"/>
      <sheetName val="dongia_(2)1"/>
      <sheetName val="D&amp;W_def_1"/>
      <sheetName val="돌담교_상부수량3"/>
      <sheetName val="8_석축단위(H=1_5M)2"/>
      <sheetName val="3BL공동구_수량3"/>
      <sheetName val="준검_내역서2"/>
      <sheetName val="3_공통공사대비2"/>
      <sheetName val="방배동내역_(총괄)2"/>
      <sheetName val="설명서_2"/>
      <sheetName val="COMPARISON_TABLE2"/>
      <sheetName val="crude_SLAB_RE-bar2"/>
      <sheetName val="CRUDE_RE-bar2"/>
      <sheetName val="1_설계기준2"/>
      <sheetName val="신규_수주분(사용자_정의)2"/>
      <sheetName val="1_2_1_마루높이결정2"/>
      <sheetName val="3_하중산정4_지지력2"/>
      <sheetName val="표지_(2)2"/>
      <sheetName val="2_입력sheet2"/>
      <sheetName val="DATA_입력란2"/>
      <sheetName val="1_우편집중내역서2"/>
      <sheetName val="Pier_32"/>
      <sheetName val="2_가정단면2"/>
      <sheetName val="7_PILE__(돌출)2"/>
      <sheetName val="plan&amp;section_of_foundation2"/>
      <sheetName val="pile_bearing_capa_&amp;_arrenge2"/>
      <sheetName val="design_load2"/>
      <sheetName val="working_load_at_the_btm_ft_2"/>
      <sheetName val="stability_check2"/>
      <sheetName val="design_criteria2"/>
      <sheetName val="Thuc_thanh1"/>
      <sheetName val="(3_품질관리_시험_총괄표)2"/>
      <sheetName val="PAD_TR보호대기초2"/>
      <sheetName val="Civil__Sub-Station_11"/>
      <sheetName val="Coax_Designer"/>
      <sheetName val="Gia_VL,NC,M"/>
      <sheetName val="Phan_chung"/>
      <sheetName val="Tom_tat_gia_du_thau"/>
      <sheetName val="Bảng_Phân_Tích_Chi_Phí"/>
      <sheetName val="실행내역서_1"/>
      <sheetName val="Tien_do_TV"/>
      <sheetName val="CP_Du_phong"/>
      <sheetName val="THCP_Lap_dat"/>
      <sheetName val="THCP_xay_dung"/>
      <sheetName val="Tong_hop_kinh_phi"/>
      <sheetName val="Bảng_KLHT"/>
      <sheetName val="RC_WORK"/>
      <sheetName val="Bao_cao_hao_hut_VT-TR"/>
      <sheetName val="¥_"/>
      <sheetName val="DTTC_CHI_TIET"/>
      <sheetName val="MTO_REV_2(ARMOR)"/>
      <sheetName val="TEN_CONG_TRINH"/>
      <sheetName val="Cash_Flow_bulanan"/>
      <sheetName val="영업소실적"/>
      <sheetName val="SH-F"/>
      <sheetName val="Isolasi Luar Dalam"/>
      <sheetName val="Isolasi Luar"/>
      <sheetName val="EARTH WORKS"/>
      <sheetName val="Breakdown (B)"/>
      <sheetName val="THVT"/>
      <sheetName val="IBASE"/>
      <sheetName val="NKC6"/>
      <sheetName val="DeluxeVilla 4"/>
      <sheetName val="Bill No.01"/>
      <sheetName val="Summary - Budget"/>
      <sheetName val="Khoi luong"/>
      <sheetName val="Matls"/>
      <sheetName val="Labor"/>
      <sheetName val="public area"/>
      <sheetName val="02"/>
      <sheetName val=" 03"/>
      <sheetName val="04"/>
      <sheetName val="05"/>
      <sheetName val="06"/>
      <sheetName val="07"/>
      <sheetName val="08"/>
      <sheetName val="09"/>
      <sheetName val="負荷集計（断熱不燃）"/>
      <sheetName val="daf-3(OK)"/>
      <sheetName val="daf-7(OK)"/>
      <sheetName val="Cash Flow"/>
      <sheetName val="Yield"/>
      <sheetName val="8521"/>
      <sheetName val="Cover (x)"/>
      <sheetName val="SORT"/>
      <sheetName val="Cor Apt"/>
      <sheetName val="수로교총재료집계"/>
      <sheetName val="7월천안현장 집계표"/>
      <sheetName val="장비.자재"/>
      <sheetName val="장비명세서"/>
      <sheetName val=" 노무집계"/>
      <sheetName val="일용노무비"/>
      <sheetName val="CPBTXM-THUONG"/>
      <sheetName val="VCV-BE-TONG"/>
      <sheetName val="KLDT DIEN"/>
      <sheetName val="PTVT DIEN"/>
      <sheetName val="하중계산"/>
      <sheetName val="6.단면검토"/>
      <sheetName val="단가산출총괄표"/>
      <sheetName val="상세"/>
      <sheetName val="노임단가기준"/>
      <sheetName val="터파기_x0000__x0000_료"/>
      <sheetName val="수주현황2월"/>
      <sheetName val="출력표-본사"/>
      <sheetName val="물가"/>
      <sheetName val="우수맨홀 수량 및 높이 집계"/>
      <sheetName val="우수맨홀(차도측2호)"/>
      <sheetName val="특2호각형맨홀(차도측)"/>
      <sheetName val="특3호각형맨홀(차도측)"/>
      <sheetName val="특4호각형맨홀(차도측)"/>
      <sheetName val="우수맨홀(보도측2호)"/>
      <sheetName val="특2호각형맨홀(보도측)"/>
      <sheetName val="암거맨홀(차도측)"/>
      <sheetName val="토공유동표"/>
      <sheetName val="강관 및 부속"/>
      <sheetName val="2월 노임대장"/>
      <sheetName val="현관비DATA"/>
      <sheetName val="시중노임"/>
      <sheetName val="적정심사"/>
      <sheetName val="설계서"/>
      <sheetName val="TOTAL3"/>
      <sheetName val="BEND LOSS"/>
      <sheetName val="울산자금"/>
      <sheetName val="설비비3"/>
      <sheetName val="기계경비집계"/>
      <sheetName val="SLAB"/>
      <sheetName val="소분류목록"/>
      <sheetName val="Output"/>
      <sheetName val="기자재수량"/>
      <sheetName val="DB구축"/>
      <sheetName val="건축일"/>
      <sheetName val="수납장배치도"/>
      <sheetName val="본실행경비"/>
      <sheetName val="경비2내역"/>
      <sheetName val="노원열병합  건축공사기성내역서"/>
      <sheetName val="REACTION(USE평시)"/>
      <sheetName val="REACTION(USD지진시)"/>
      <sheetName val="산근1"/>
      <sheetName val="노무"/>
      <sheetName val="2@ BOX"/>
      <sheetName val="비탈면보호공수량산출"/>
      <sheetName val="배수관토공"/>
      <sheetName val="맨홀접합조서"/>
      <sheetName val="L_RPTB~1"/>
      <sheetName val="PIPE(UG)내역"/>
      <sheetName val="5-3.지급자재수불현황"/>
      <sheetName val="단가산출 (2)"/>
      <sheetName val="타공종포장공제집계표"/>
      <sheetName val="피벗테이블데이터분석"/>
      <sheetName val="선금급신청서"/>
      <sheetName val="설비비4"/>
      <sheetName val="48일위"/>
      <sheetName val="STAND20"/>
      <sheetName val="준공정산보고서"/>
      <sheetName val="계획집계"/>
      <sheetName val="부대"/>
      <sheetName val="도로구조물산근"/>
      <sheetName val="터파기"/>
      <sheetName val="관로수량총괄집계표"/>
      <sheetName val="L집(수평부)"/>
      <sheetName val="L집(성토부)"/>
      <sheetName val="공틀공사"/>
      <sheetName val="개소별수량산출"/>
      <sheetName val="공통"/>
      <sheetName val="유리"/>
      <sheetName val="가시설단위수량"/>
      <sheetName val="옹벽1"/>
      <sheetName val="건축(을)"/>
      <sheetName val="산거각호표"/>
      <sheetName val="자단"/>
      <sheetName val="기성부분액내역서(국고)"/>
      <sheetName val="SKETCH"/>
      <sheetName val="E총"/>
      <sheetName val="견적기준"/>
      <sheetName val="FPA"/>
      <sheetName val="순수개발"/>
      <sheetName val="인건-측정"/>
      <sheetName val="A1"/>
      <sheetName val="11"/>
      <sheetName val="배력철근"/>
      <sheetName val="변수2"/>
      <sheetName val="저항"/>
      <sheetName val="내역(중앙)"/>
      <sheetName val="내역(창신)"/>
      <sheetName val="설치자재"/>
      <sheetName val="단중"/>
      <sheetName val="터파기_x005f_x0000__x005f_x0000_료"/>
      <sheetName val="본공사"/>
      <sheetName val="01AC"/>
      <sheetName val="도로포장면적산출(1)"/>
      <sheetName val="건축토목내역"/>
      <sheetName val="단가산출_(2)"/>
      <sheetName val="우수관연장및터파기고"/>
      <sheetName val="FB25JN"/>
      <sheetName val="보완토적"/>
      <sheetName val="설계변경내역서"/>
      <sheetName val="역T형옹벽단위수량"/>
      <sheetName val="공사내역(2003년)"/>
      <sheetName val="CCS"/>
      <sheetName val="수로교"/>
      <sheetName val="슬래브(PF)(하류)"/>
      <sheetName val="상수구조화편집부표"/>
      <sheetName val="토공계산서(부체도로)"/>
      <sheetName val="구조물토적"/>
      <sheetName val="중간부"/>
      <sheetName val="CAL(1)."/>
      <sheetName val="날개수량1.5"/>
      <sheetName val="지수적용공사비내역서"/>
      <sheetName val="심사"/>
      <sheetName val=" "/>
      <sheetName val="견적산출"/>
      <sheetName val="3.1.1 마루높이결정"/>
      <sheetName val="콘_재료분리(1)"/>
      <sheetName val="내역-1"/>
      <sheetName val="샤워실위생"/>
      <sheetName val="교량전기"/>
      <sheetName val="기성 (2)"/>
      <sheetName val="실행갑지"/>
      <sheetName val="상하차비용(기계상차)"/>
      <sheetName val="수간보호"/>
      <sheetName val="운반비"/>
      <sheetName val="총(신설)"/>
      <sheetName val="노임단가자료"/>
      <sheetName val="정보요약"/>
      <sheetName val="BEND_LOSS"/>
      <sheetName val="2월_노임대장"/>
      <sheetName val="강관_및_부속"/>
      <sheetName val="2@_BOX"/>
      <sheetName val="3.바닥판  "/>
      <sheetName val="C_DATA"/>
      <sheetName val="작업내용 (종합)"/>
      <sheetName val="작업사항(추가)"/>
      <sheetName val="계좌입금의뢰서(서암)"/>
      <sheetName val="청구집계"/>
      <sheetName val="계좌입금의뢰서(장안)"/>
      <sheetName val="계좌입금의뢰서(장안) (출력용)"/>
      <sheetName val="1.노무비(직영)-서암"/>
      <sheetName val="1.노무비(직영)-장안"/>
      <sheetName val="노무대장(직영)-서암"/>
      <sheetName val="노무대장(직영)-장안"/>
      <sheetName val="노무대장(직영)-장안(직영)"/>
      <sheetName val="노무대장(직영)-장안(제초)"/>
      <sheetName val="노무대장(직영)-장안(예초)"/>
      <sheetName val="1.노무비 (대영)"/>
      <sheetName val="노무대장(대영)"/>
      <sheetName val="노무대장(직영)-장안 (직영)"/>
      <sheetName val="노무대장(직영)-장안 (제초 및 잔디)"/>
      <sheetName val="노무대장(직영)-장안 (예초)"/>
      <sheetName val="2.재료비"/>
      <sheetName val="재료비(세부) "/>
      <sheetName val="3.외주비"/>
      <sheetName val="4.운반비"/>
      <sheetName val="4-1운반비기안문서"/>
      <sheetName val="4-2주간운반비"/>
      <sheetName val="5.장비비"/>
      <sheetName val="장비사용내역"/>
      <sheetName val="6.현장관리비"/>
      <sheetName val="전도금사용내역서"/>
      <sheetName val="7.안전관리비"/>
      <sheetName val="7-1안전관리비상세"/>
      <sheetName val="8.간접노무비"/>
      <sheetName val="9.기타경비"/>
      <sheetName val="기타경비 세부"/>
      <sheetName val="CABLE SIZE-1"/>
      <sheetName val="적용건축"/>
      <sheetName val="단가입력"/>
      <sheetName val="최종전사PL"/>
      <sheetName val="접속도로집계"/>
      <sheetName val="터파기??료"/>
      <sheetName val="CAL."/>
      <sheetName val="설비비2"/>
      <sheetName val="설비비5"/>
      <sheetName val="설비비6"/>
      <sheetName val="설비비1"/>
      <sheetName val="가로등위치"/>
      <sheetName val="공제량"/>
      <sheetName val="지장물건일위대가"/>
      <sheetName val="보도경계블럭"/>
      <sheetName val="일위부표01"/>
      <sheetName val="19990101-엑셀1"/>
      <sheetName val="2-1.수_x0000__x0000__x0005__x0000_ᓠ"/>
      <sheetName val="2-1.수_x0000__x0000__x0005__x0000_䙐"/>
      <sheetName val="2-1.수_x0000__x0000__x0005__x0000_鰠"/>
      <sheetName val="투찰(하수)"/>
      <sheetName val="터파기,되메우기,램머,코아"/>
      <sheetName val="절단,포장깨기"/>
      <sheetName val="봉양~조차장간고하개명(신설)"/>
      <sheetName val="2007기계경비산출표"/>
      <sheetName val="토공(우물통,기타)_2"/>
      <sheetName val="내역서1999_8최종2"/>
      <sheetName val="단가_및_재료비2"/>
      <sheetName val="Customer_Databas2"/>
      <sheetName val="표__지2"/>
      <sheetName val="연결관수량_(2)1"/>
      <sheetName val="Sheet1_(2)2"/>
      <sheetName val="배수공_시멘트_및_골재량_산출2"/>
      <sheetName val="배관배선_단가조사2"/>
      <sheetName val="환경기계공정표_(3)2"/>
      <sheetName val="9_정착구_보강2"/>
      <sheetName val="1062-X방향_1"/>
      <sheetName val="국도접속_차도부수량1"/>
      <sheetName val="전선_및_전선관2"/>
      <sheetName val="96보완계획7_122"/>
      <sheetName val="단가_(2)2"/>
      <sheetName val="1차_내역서2"/>
      <sheetName val="Sheet2_(2)2"/>
      <sheetName val="건축내역서_(경제상무실)2"/>
      <sheetName val="1_수인터널2"/>
      <sheetName val="1__설계조건_2_단면가정_3__하중계산2"/>
      <sheetName val="각사별공사비분개_1"/>
      <sheetName val="실행내역(10_13)1"/>
      <sheetName val="청_구2"/>
      <sheetName val="A-8_PD(도로중앙)2"/>
      <sheetName val="BSD_(2)2"/>
      <sheetName val="사__업__비__수__지__예__산__서2"/>
      <sheetName val="상_부2"/>
      <sheetName val="효성CB_1P기초1"/>
      <sheetName val="PROJECT_BRIEF(EX_NEW)2"/>
      <sheetName val="견적대비_견적서1"/>
      <sheetName val="별표_2"/>
      <sheetName val="단면__2_1"/>
      <sheetName val="_냉각수펌프1"/>
      <sheetName val="2011_(4)1"/>
      <sheetName val="BOX(1_5X1_5)2"/>
      <sheetName val="ENE-CAL_11"/>
      <sheetName val="ITB_COST1"/>
      <sheetName val="설계기준_및_하중계산1"/>
      <sheetName val="11_자재단가1"/>
      <sheetName val="전차선로_물량표1"/>
      <sheetName val="Dike_for_49T03_&amp;_49T041"/>
      <sheetName val="Dike_for_49T02,_05~07,_19_(1)1"/>
      <sheetName val="wk_prgs1"/>
      <sheetName val="화단_철거1"/>
      <sheetName val="수량산출서_갑지1"/>
      <sheetName val="추정공사비_산출내역1_xlsx1"/>
      <sheetName val="CONSTRUCTION_COMPONENT1"/>
      <sheetName val="접속_SLAB,BRACKET_설계1"/>
      <sheetName val="cable_data11"/>
      <sheetName val="IMPEADENCE_MAP_취수장1"/>
      <sheetName val="1호-아(오)0_41"/>
      <sheetName val="빌딩_안내1"/>
      <sheetName val="공정별_수량산출서1"/>
      <sheetName val="자재_및_폐기물견적(2008)1"/>
      <sheetName val="자재_집계표1"/>
      <sheetName val="2__공원조도1"/>
      <sheetName val="CABLE_SIZE-31"/>
      <sheetName val="2-1__경관조명_내역총괄표1"/>
      <sheetName val="공사비_증감_내역서2"/>
      <sheetName val="기존건물_깨기원단위1"/>
      <sheetName val="노임단가_(2)1"/>
      <sheetName val="개별직종노임단가(2003_9)1"/>
      <sheetName val="AS포장복구_1"/>
      <sheetName val="EQUIP_LIST1"/>
      <sheetName val="총_원가계산1"/>
      <sheetName val="철근량_산정1"/>
      <sheetName val="참여현황_(직원)1"/>
      <sheetName val="슬래브_-연속(3경간)1"/>
      <sheetName val="1~9_하중계산1"/>
      <sheetName val="노_표-조1"/>
      <sheetName val="내역-_CCTV1"/>
      <sheetName val="대3류_1"/>
      <sheetName val="2F_회의실견적(5_14_일대)1"/>
      <sheetName val="2_대외공문1"/>
      <sheetName val="건설사업관리_공제요율1"/>
      <sheetName val="건설공사_감리원_배치기준1"/>
      <sheetName val="책임감리_공제요율1"/>
      <sheetName val="Site_Expenses2"/>
      <sheetName val="1000_DB구축_부표1"/>
      <sheetName val="설내역서_2"/>
      <sheetName val="11_1_단면hwp1"/>
      <sheetName val="배수공_주요자재_집계표1"/>
      <sheetName val="내역서_(2)1"/>
      <sheetName val="옹벽공_수량집계표2"/>
      <sheetName val="전_기1"/>
      <sheetName val="중강당_내역1"/>
      <sheetName val="06_일위대가목록1"/>
      <sheetName val="하도급_검토1"/>
      <sheetName val="4_내진설계1"/>
      <sheetName val="_ｹ-ﾌﾞﾙ1"/>
      <sheetName val="Flaer_Area2"/>
      <sheetName val="Ⅴ-2_공종별내역1"/>
      <sheetName val="지구_리스트1"/>
      <sheetName val="1_CB2"/>
      <sheetName val="4_2_1_마루높이_검토1"/>
      <sheetName val="3_하중계산1"/>
      <sheetName val="단_box1"/>
      <sheetName val="HRSG_SMALL072201"/>
      <sheetName val="지장물_철거_물량_산출서1"/>
      <sheetName val="노임_및_중기단가1"/>
      <sheetName val="인건비_1"/>
      <sheetName val="아파트_내역1"/>
      <sheetName val="단가산출서_(2)1"/>
      <sheetName val="TOWER_12TON"/>
      <sheetName val="TOWER_10TON"/>
      <sheetName val="참조_(2)"/>
      <sheetName val="할증_"/>
      <sheetName val="일위대가_호표_(계약)1"/>
      <sheetName val="N10(미지급)_"/>
      <sheetName val="중간간지_(2)"/>
      <sheetName val="2_단면가정_"/>
      <sheetName val="PAINT_(2)"/>
      <sheetName val="Xunit_(단위환산)1"/>
      <sheetName val="고객사_관리_코드1"/>
      <sheetName val="2_1_受電設備棟"/>
      <sheetName val="2_2_受・防火水槽"/>
      <sheetName val="2_3_排水処理設備棟"/>
      <sheetName val="2_4_倉庫棟"/>
      <sheetName val="2_5_守衛棟"/>
      <sheetName val="DI_전처리_단가집(GP1_실적가)"/>
      <sheetName val="Bldg_Brkdown"/>
      <sheetName val="12)아이디어_목록_및_개략평가"/>
      <sheetName val="11)VE_예비검토서"/>
      <sheetName val="15-3)VE제안서(가치향상_등)"/>
      <sheetName val="노임단가(직종번호_순)"/>
      <sheetName val="1_RAMP-A"/>
      <sheetName val="사본___b_balju"/>
      <sheetName val="ESC_(공정표기준)"/>
      <sheetName val="일위대가_"/>
      <sheetName val="2_관대집계표"/>
      <sheetName val="S_중기사용료"/>
      <sheetName val="형식_-_1-2-3"/>
      <sheetName val="99노임단"/>
      <sheetName val="장비_(2)"/>
      <sheetName val="앉음벽_(2)"/>
      <sheetName val="2-2_매출분석"/>
      <sheetName val="3_자재비(총괄)"/>
      <sheetName val="본선_토공_분배표"/>
      <sheetName val="광양_3기_유입수"/>
      <sheetName val="Team_종합"/>
      <sheetName val="CC_Down_load_0716"/>
      <sheetName val="수량산출서_(2)"/>
      <sheetName val="1_사유서"/>
      <sheetName val="t-h_HA_THE1"/>
      <sheetName val="THPDMoi__(2)1"/>
      <sheetName val="DON_GIA1"/>
      <sheetName val="CHITIET_VL-NC-TT_-1p1"/>
      <sheetName val="TONG_HOP_VL-NC_TT1"/>
      <sheetName val="TH_XL1"/>
      <sheetName val="CHITIET_VL-NC-TT-3p1"/>
      <sheetName val="KPVC-BD_1"/>
      <sheetName val="CHITIET_VL-NC1"/>
      <sheetName val="B3A_-_TOWER_A1"/>
      <sheetName val="Coax_Designer1"/>
      <sheetName val="MAIN_GATE_HOUSE1"/>
      <sheetName val="Bảng_Phân_Tích_Chi_Phí1"/>
      <sheetName val="Gia_VL,NC,M1"/>
      <sheetName val="Phan_chung1"/>
      <sheetName val="Tom_tat_gia_du_thau1"/>
      <sheetName val="Tien_do_TV1"/>
      <sheetName val="CP_Du_phong1"/>
      <sheetName val="THCP_Lap_dat1"/>
      <sheetName val="THCP_xay_dung1"/>
      <sheetName val="Tong_hop_kinh_phi1"/>
      <sheetName val="Bao_cao_hao_hut_VT-TR1"/>
      <sheetName val="Cấu tạo giá"/>
      <sheetName val="XXXXXX"/>
      <sheetName val="조도"/>
      <sheetName val="동력"/>
      <sheetName val="변압기"/>
      <sheetName val="발전기"/>
      <sheetName val="간선"/>
      <sheetName val="도체종-상수표"/>
      <sheetName val="Sheet8"/>
      <sheetName val="Sheet11"/>
      <sheetName val="Sheet12"/>
      <sheetName val="전기자료"/>
      <sheetName val="DUT-BAT1"/>
      <sheetName val="GEN"/>
      <sheetName val="1.폐기물집계표"/>
      <sheetName val="현금및현금등가물1"/>
      <sheetName val="지장물총괄표"/>
      <sheetName val="간접경상비"/>
      <sheetName val="제수"/>
      <sheetName val="Total Progress (2)"/>
      <sheetName val="암거공"/>
      <sheetName val="성곽내역서"/>
      <sheetName val="Project Brief"/>
      <sheetName val="AILC004"/>
      <sheetName val="STRA2"/>
      <sheetName val="화산경계"/>
      <sheetName val="BLOCK(1)"/>
      <sheetName val="Hydrant"/>
      <sheetName val="计算稿"/>
      <sheetName val="documentation"/>
      <sheetName val="매원개착터널총괄"/>
      <sheetName val="출력"/>
      <sheetName val="근로자명단"/>
      <sheetName val="친환경주택"/>
      <sheetName val="6.7현장운영"/>
      <sheetName val="48수량"/>
      <sheetName val="22수량"/>
      <sheetName val="49일위"/>
      <sheetName val="22일위"/>
      <sheetName val="49수량"/>
      <sheetName val="내역(포장)"/>
      <sheetName val="01 Summary"/>
      <sheetName val="CW,HW,NW"/>
      <sheetName val="SAN"/>
      <sheetName val="03 Rev.Log"/>
      <sheetName val="설비(제출)"/>
      <sheetName val="주요자재집계"/>
      <sheetName val="횡배수관수량집계"/>
      <sheetName val="횡배수관기초"/>
      <sheetName val="수량산출(음암)"/>
      <sheetName val="결재"/>
      <sheetName val="식재(예송)"/>
      <sheetName val="G2설비도급"/>
      <sheetName val="Requirement(Work Crew)"/>
      <sheetName val="주요재료비(원본)"/>
      <sheetName val="2000.05"/>
      <sheetName val="작성"/>
      <sheetName val="적요"/>
      <sheetName val="식생블럭"/>
      <sheetName val="용소리교"/>
      <sheetName val="전통건설"/>
      <sheetName val="49"/>
      <sheetName val="전력간선(신설)"/>
      <sheetName val="위치"/>
      <sheetName val="기초입력 DATA"/>
      <sheetName val="포장공총괄수량집계표"/>
      <sheetName val="판매시설"/>
      <sheetName val="길어깨단위"/>
      <sheetName val="역T형옹벽(3.0)"/>
      <sheetName val="keyword"/>
      <sheetName val="절대건들지마시오"/>
      <sheetName val="케이블트레이"/>
      <sheetName val="토목내역서(변경1)"/>
      <sheetName val="6_단면검토"/>
      <sheetName val="1_폐기물집계표"/>
      <sheetName val="7월천안현장_집계표"/>
      <sheetName val="장비_자재"/>
      <sheetName val="_노무집계"/>
      <sheetName val="내역총괄표"/>
      <sheetName val="98지급계획"/>
      <sheetName val="자금입금"/>
      <sheetName val="제조노임"/>
      <sheetName val="공량산출근거서"/>
      <sheetName val="진급관련DATA"/>
      <sheetName val="0417"/>
      <sheetName val="대전(세창동_x0000_"/>
      <sheetName val="3.면적"/>
      <sheetName val="신푝지1"/>
      <sheetName val="모래기초"/>
      <sheetName val="EQUIP-H"/>
      <sheetName val="판"/>
      <sheetName val="5지구단위"/>
      <sheetName val="농로수량집계"/>
      <sheetName val="농로토공집계"/>
      <sheetName val="배수공BOQ"/>
      <sheetName val="차선도색수량집계"/>
      <sheetName val="1.일반수량산출근거"/>
      <sheetName val="공사계약현황"/>
      <sheetName val="97 사업추정(WEKI)"/>
      <sheetName val="RCMinput"/>
      <sheetName val="총괄집계표(통합)"/>
      <sheetName val="일식견적목록표"/>
      <sheetName val="일반수량산출"/>
      <sheetName val="c_balju"/>
      <sheetName val="직접비"/>
      <sheetName val="노임목록"/>
      <sheetName val="산업"/>
      <sheetName val="Lr"/>
      <sheetName val="건설기계"/>
      <sheetName val="결재란"/>
      <sheetName val="2.견적조건 정보"/>
      <sheetName val="공간분류체계"/>
      <sheetName val="부위별항목"/>
      <sheetName val="영향요인"/>
      <sheetName val="동일대내"/>
      <sheetName val="1호맨홀수량산출"/>
      <sheetName val="12.보오링"/>
      <sheetName val="18.공내수압탄성자연"/>
      <sheetName val="NN"/>
      <sheetName val="매인"/>
      <sheetName val="97(US,EP,PCT,KR)"/>
      <sheetName val="공사요율"/>
      <sheetName val="PIER토수량"/>
      <sheetName val="궤도연장(종합)"/>
      <sheetName val="궤도연장(2단계)"/>
      <sheetName val="궤도연장(1단계)"/>
      <sheetName val="궤도부설연장1단계"/>
      <sheetName val="슬래브일반(포항방향 B=12.3m)"/>
      <sheetName val="설계공통자료입력"/>
      <sheetName val="품셈표"/>
      <sheetName val="공사개별자료입력"/>
      <sheetName val="공사비예산서"/>
      <sheetName val="표준내역"/>
      <sheetName val="작업 반복"/>
      <sheetName val="적용단가표"/>
      <sheetName val="변경당시노임단가표"/>
      <sheetName val="나.설계조건"/>
      <sheetName val="1. 총괄 집계표"/>
      <sheetName val="기계설비품셈"/>
      <sheetName val="5.장비(안)"/>
      <sheetName val="기시공토적"/>
      <sheetName val="공사품旼ã"/>
      <sheetName val="표지(예시)"/>
      <sheetName val="입찰품의서"/>
      <sheetName val="점검총괄"/>
      <sheetName val="2012노임단가"/>
      <sheetName val="스파이더산출근거"/>
      <sheetName val="본댐설계"/>
      <sheetName val="SCHE"/>
      <sheetName val="PILE"/>
      <sheetName val="전국현황"/>
      <sheetName val="산출"/>
      <sheetName val="(참고)지급수수료"/>
      <sheetName val="견적가"/>
      <sheetName val="공정자료2"/>
      <sheetName val="HC-04"/>
      <sheetName val="2_단면_x0000__x0000_"/>
      <sheetName val="공조기휀"/>
      <sheetName val="1.취수장"/>
      <sheetName val="3.2주형지지보"/>
      <sheetName val="상수도내역서"/>
      <sheetName val="공사내역서"/>
      <sheetName val="LOPCALC"/>
      <sheetName val="자동제어"/>
      <sheetName val="스톱로그내역"/>
      <sheetName val="품목납기"/>
      <sheetName val="신평리 권리자명부"/>
      <sheetName val="구분자"/>
      <sheetName val="현장청취복명서"/>
      <sheetName val="도면명"/>
      <sheetName val="상부"/>
      <sheetName val="설계총괄표"/>
      <sheetName val="콘크스"/>
      <sheetName val="취수탑"/>
      <sheetName val="협력업체기성(첨부)"/>
      <sheetName val="내역단위"/>
      <sheetName val="공종목록표"/>
      <sheetName val="개비온집계"/>
      <sheetName val="개비온 단위"/>
      <sheetName val="변수값"/>
      <sheetName val="0"/>
      <sheetName val="맨홀공수량집계"/>
      <sheetName val="1호맨홀수량집계"/>
      <sheetName val="2호맨홀수량집계"/>
      <sheetName val="3호맨홀수량집계"/>
      <sheetName val="맨홀뚜껑단위수량"/>
      <sheetName val="연속벽¼_x0000_"/>
      <sheetName val="주소"/>
      <sheetName val="U형개거"/>
      <sheetName val="일용직내역"/>
      <sheetName val="100만평"/>
      <sheetName val="현황판"/>
      <sheetName val="1SPAN"/>
      <sheetName val="2006계약"/>
      <sheetName val="(당氐⿾_x0000__x0000_"/>
      <sheetName val="(당_x0000__x0000__x0005__x0000_"/>
      <sheetName val="노임산출서"/>
      <sheetName val="돈암사업"/>
      <sheetName val="單價表단가표"/>
      <sheetName val="FAB消防报警"/>
      <sheetName val="工程量计算书"/>
      <sheetName val="FAB计算式"/>
      <sheetName val="코드명"/>
      <sheetName val="구조물단위표"/>
      <sheetName val="관포설품"/>
      <sheetName val="동원단위"/>
      <sheetName val="구조물절단규격"/>
      <sheetName val="거리별운반단가"/>
      <sheetName val="차도,토사-150"/>
      <sheetName val="차도,풍화암-150"/>
      <sheetName val="차도,발파암-150"/>
      <sheetName val="차도,토사-200"/>
      <sheetName val="차도,풍화암-200"/>
      <sheetName val="차도,발파암-200"/>
      <sheetName val="차도,토사-300"/>
      <sheetName val="차도,풍화암-300"/>
      <sheetName val="차도,발파암-300"/>
      <sheetName val="차도,토사-400"/>
      <sheetName val="차도,풍화암-400"/>
      <sheetName val="차도,발파암-400"/>
      <sheetName val="상수관연장조서"/>
      <sheetName val="포장자재총집계"/>
      <sheetName val="포장수량총괄표"/>
      <sheetName val="아스콘포장(대로1류)"/>
      <sheetName val="아스콘포장(대로2.3류)"/>
      <sheetName val="아스콘포장(중2,3로)"/>
      <sheetName val="아스콘포장(소로)"/>
      <sheetName val="L형 측구하부(대1류)"/>
      <sheetName val="L형 측구하부(대2.3류)"/>
      <sheetName val="L형 측구하부(중1.2.3류)"/>
      <sheetName val="L형 측구하부(소로)"/>
      <sheetName val="투수콘포장"/>
      <sheetName val="고압브럭포장"/>
      <sheetName val="유도.점자블럭포장"/>
      <sheetName val="L형측구및경계석단위수량"/>
      <sheetName val="L형측구.대로(우수받이부)"/>
      <sheetName val="L형측구.중로(우수받이부)"/>
      <sheetName val="L형측구소로(우수받이부)"/>
      <sheetName val="자전거도로경계석"/>
      <sheetName val="대지경계블럭"/>
      <sheetName val="가로수분단위수량"/>
      <sheetName val="표지판재료단위수량"/>
      <sheetName val="과속방지턱단위수량"/>
      <sheetName val="볼라드단위수량"/>
      <sheetName val="면적입력"/>
      <sheetName val="D-3109"/>
      <sheetName val="내역서 (변경단가)"/>
      <sheetName val="상촌2교-일반수량집계"/>
      <sheetName val="5.2.6~7공사요율"/>
      <sheetName val="일 위 대 가 표"/>
      <sheetName val="고상실행"/>
      <sheetName val="1袼ࣉ"/>
      <sheetName val="시멘,골재"/>
      <sheetName val="콘크집계"/>
      <sheetName val="낙차공"/>
      <sheetName val="자재집계1"/>
      <sheetName val="측구날개벽"/>
      <sheetName val="설계서(7)"/>
      <sheetName val="배수공 내역서 적용수량"/>
      <sheetName val="조_x0000__x0000__x0005_"/>
      <sheetName val="노무비지급명세"/>
      <sheetName val="기성내역서"/>
      <sheetName val="13후반노무비"/>
      <sheetName val="1.설계기준 "/>
      <sheetName val="설계예산서(2_소천우회토목)"/>
      <sheetName val="광장"/>
      <sheetName val="부대집계"/>
      <sheetName val="수자재단위당"/>
      <sheetName val="공정율"/>
      <sheetName val="90.0_x0000_"/>
      <sheetName val="본장"/>
      <sheetName val="지지력"/>
      <sheetName val="매출현황"/>
      <sheetName val="입력정보"/>
      <sheetName val="일위집계"/>
      <sheetName val="퇴직금(울산천상)"/>
      <sheetName val="정산"/>
      <sheetName val="선그높이산정"/>
      <sheetName val="공제단위수량"/>
      <sheetName val="공제"/>
      <sheetName val="날개1.5"/>
      <sheetName val="날개토공1.5"/>
      <sheetName val="접속도로물량"/>
      <sheetName val="sum1 (2)"/>
      <sheetName val="도급양식"/>
      <sheetName val="국소별공정"/>
      <sheetName val="5월급여"/>
      <sheetName val="공종구간"/>
      <sheetName val="현황"/>
      <sheetName val="전체_1설계"/>
      <sheetName val="인버트단위수량"/>
      <sheetName val="TYPE-1"/>
      <sheetName val="공정증감대ㅈ표"/>
      <sheetName val="단면계수(상부)"/>
      <sheetName val="휴지통"/>
      <sheetName val="편입토지조서"/>
      <sheetName val="치수표"/>
      <sheetName val="산출서"/>
      <sheetName val="AS복구"/>
      <sheetName val="중기터파기"/>
      <sheetName val="중기상차"/>
      <sheetName val="4.전기"/>
      <sheetName val="우석문틀"/>
      <sheetName val="Resource2"/>
      <sheetName val="표준건축비"/>
      <sheetName val="도담구내 개소별 명세"/>
      <sheetName val="2.1  노무비 평균단가산출"/>
      <sheetName val="기성갑지"/>
      <sheetName val="P.M 별"/>
      <sheetName val="토사절취"/>
      <sheetName val="수량산출서집계"/>
      <sheetName val="반중력식옹벽"/>
      <sheetName val="적점"/>
      <sheetName val="내역(가지)"/>
      <sheetName val="우수받이수량산출"/>
      <sheetName val="집수정수량집계"/>
      <sheetName val="각종측구수량집계"/>
      <sheetName val="접속도로1"/>
      <sheetName val="옹벽철근집계표"/>
      <sheetName val="예산총괄"/>
      <sheetName val="설산1.나"/>
      <sheetName val="본사S"/>
      <sheetName val="상반기손익차2총괄"/>
      <sheetName val="95년12월말"/>
      <sheetName val="5. 현장관리비(new) "/>
      <sheetName val="YOEMAGUM"/>
      <sheetName val="포장공집"/>
      <sheetName val="1-3.조건,바닥판 "/>
      <sheetName val="DA"/>
      <sheetName val="관로토공(보통암)"/>
      <sheetName val="관로토공(연암)"/>
      <sheetName val="관로토공(토사)"/>
      <sheetName val="관로토공(풍화암)"/>
      <sheetName val="리핑암"/>
      <sheetName val="보통암"/>
      <sheetName val="연결관조서 (토사)"/>
      <sheetName val="연결관수량"/>
      <sheetName val="연암"/>
      <sheetName val="우수받이BOX토공"/>
      <sheetName val="우수받이관로토공"/>
      <sheetName val="토사"/>
      <sheetName val="도색집계"/>
      <sheetName val="버스운행안내"/>
      <sheetName val="401"/>
      <sheetName val="집수정단면도 (2)"/>
      <sheetName val="퍼스트"/>
      <sheetName val="재정비내역"/>
      <sheetName val="지적고시내역"/>
      <sheetName val="재적표"/>
      <sheetName val="판정1교토공"/>
      <sheetName val="NAI"/>
      <sheetName val="화재 탐지 설비"/>
      <sheetName val="수량산출목록표"/>
      <sheetName val="운반"/>
      <sheetName val="공사비총괄"/>
      <sheetName val="만년달력"/>
      <sheetName val="공종별예산조서"/>
      <sheetName val="간노_콘"/>
      <sheetName val="수목데이타 "/>
      <sheetName val="관리비비계상"/>
      <sheetName val="도담구내_개소별_명세"/>
      <sheetName val="2_1__노무비_평균단가산출"/>
      <sheetName val="4_전기"/>
      <sheetName val="P_M_별"/>
      <sheetName val="설산1_나"/>
      <sheetName val="5__현장관리비(new)_"/>
      <sheetName val="1_취수장"/>
      <sheetName val="1-3_조건,바닥판_"/>
      <sheetName val="연결관조서_(토사)"/>
      <sheetName val="원가총괄"/>
      <sheetName val="A LINE"/>
      <sheetName val="spc 배관견적"/>
      <sheetName val="현장조사"/>
      <sheetName val="노동부"/>
      <sheetName val="Financial impact"/>
      <sheetName val="Sch7a (토요일)"/>
      <sheetName val="대전노은1차_조적_집계표"/>
      <sheetName val="총괄설계내역서"/>
      <sheetName val="INTRO.(X)"/>
      <sheetName val="부재치수입력"/>
      <sheetName val="N10(미지급)_1"/>
      <sheetName val="기준Data"/>
      <sheetName val="의왕F사"/>
      <sheetName val="가공사"/>
      <sheetName val="신구계정대사표"/>
      <sheetName val="static.cal"/>
      <sheetName val="수문일1"/>
      <sheetName val="배수관공"/>
      <sheetName val="조은나오스빌"/>
      <sheetName val="깨기수량집계"/>
      <sheetName val="배수관접합및부설  "/>
      <sheetName val="예산서"/>
      <sheetName val="내역서(우)"/>
      <sheetName val="JIB CRANE,HOIST"/>
      <sheetName val="백암비스타내역"/>
      <sheetName val="재료집계(분수관)"/>
      <sheetName val="laroux"/>
      <sheetName val="H-P규격"/>
      <sheetName val="S-P규격"/>
      <sheetName val="H-P＋토류판 수량산출"/>
      <sheetName val="S-P수량산출"/>
      <sheetName val="H-P수량집계"/>
      <sheetName val="총괄H-P수량집계 "/>
      <sheetName val="S-P수량집계"/>
      <sheetName val="총괄S-P수량집계"/>
      <sheetName val="평균h"/>
      <sheetName val="지반개량"/>
      <sheetName val="Lookups"/>
      <sheetName val="Add cost08"/>
      <sheetName val="SumBricks08"/>
      <sheetName val="SCOPE OF WORK"/>
      <sheetName val="PH 5"/>
      <sheetName val="Dầm -4.7m"/>
      <sheetName val="NOTE"/>
      <sheetName val="KUNGDEVI"/>
      <sheetName val="DFA"/>
      <sheetName val="StaffList-OLD"/>
      <sheetName val="Budget Code"/>
      <sheetName val="TinhGiaNC"/>
      <sheetName val="Thiet Bi"/>
      <sheetName val="VCBo"/>
      <sheetName val="Phan tich"/>
      <sheetName val="TH Vat tu"/>
      <sheetName val="TH Kinh phi"/>
      <sheetName val="BocXep"/>
      <sheetName val="TinhGiaMTC"/>
      <sheetName val="TH MTC"/>
      <sheetName val="TH N.Cong"/>
      <sheetName val="Bang KL"/>
      <sheetName val="VCThuy"/>
      <sheetName val="Cover page"/>
      <sheetName val="Inputs_Sens"/>
      <sheetName val="IS_Sum_CM"/>
      <sheetName val="Daf 1"/>
      <sheetName val="폐기물집계표"/>
      <sheetName val="조도계산서 (도서)"/>
      <sheetName val="남양시작동자105노65기1.3화1.2"/>
      <sheetName val="카니발(자105노60)"/>
      <sheetName val="TRE TABLE"/>
      <sheetName val="FAB"/>
      <sheetName val="Data&amp;Result"/>
      <sheetName val="일반수량총괄집계표"/>
      <sheetName val="2000_x0000__x0000__x0005__x0000_"/>
      <sheetName val="도장수량"/>
      <sheetName val="안정성검토"/>
      <sheetName val="삼홍테크"/>
      <sheetName val="2BOX본체"/>
      <sheetName val="Alat"/>
      <sheetName val="Analisa Gabungan"/>
      <sheetName val="bar"/>
      <sheetName val="table1"/>
      <sheetName val="SGC RATE"/>
      <sheetName val="KINH PHI TONG HOP"/>
      <sheetName val="Dinh muc CP KTCB khac"/>
      <sheetName val="TEN HANG MUC "/>
      <sheetName val="Cash2"/>
      <sheetName val="표 지"/>
      <sheetName val="견적및기타"/>
      <sheetName val="단가산출목록"/>
      <sheetName val="정화조"/>
      <sheetName val="허용전류"/>
      <sheetName val="BAOCHE A"/>
      <sheetName val="Takeoff"/>
      <sheetName val="Đơn Giá "/>
      <sheetName val="Para"/>
      <sheetName val="Duc_bk"/>
      <sheetName val="전체 내역서(통합)"/>
      <sheetName val="ESTI."/>
      <sheetName val="학생내역"/>
      <sheetName val="入力作成表"/>
      <sheetName val="Ma TP"/>
      <sheetName val="SCOPE_OF_WORK"/>
      <sheetName val="Dầm_-4_7m"/>
      <sheetName val="PH_5"/>
      <sheetName val="ESTI_"/>
      <sheetName val="Internal Finish"/>
      <sheetName val="Bill2-Sum-A"/>
      <sheetName val="Bill4-Sum-A"/>
      <sheetName val="Bill5-Sum-A"/>
      <sheetName val="BQ-E20-02(Rp)"/>
      <sheetName val="PTdam"/>
      <sheetName val="기계내역서"/>
      <sheetName val="Drop Down"/>
      <sheetName val="Project, methods &amp; costs"/>
      <sheetName val="Ind. costs. &amp; Closing"/>
      <sheetName val="Main risks"/>
      <sheetName val="Item-DATA"/>
      <sheetName val="NSA fr Revit"/>
      <sheetName val="Main_Mech"/>
      <sheetName val="Sub_Mech"/>
      <sheetName val="LEGEND"/>
      <sheetName val="Markup"/>
      <sheetName val="EFR30696"/>
      <sheetName val="PHG"/>
      <sheetName val="HỆ SỐ"/>
      <sheetName val="수량이동"/>
      <sheetName val="7. 교좌받침부검토(연속교)"/>
      <sheetName val="공사원가"/>
      <sheetName val="당초토량산출서"/>
      <sheetName val="변경토량산출서"/>
      <sheetName val="2. 2공구"/>
      <sheetName val="동원(3)"/>
      <sheetName val="DTICH_OLD"/>
      <sheetName val="07.HT PODIUM"/>
      <sheetName val="04.KC HAM"/>
      <sheetName val="05.KC THAN_OK"/>
      <sheetName val="08.HT CANHO_OK"/>
      <sheetName val="DMVT"/>
      <sheetName val="Loose"/>
      <sheetName val="Động cơ"/>
      <sheetName val="공조"/>
      <sheetName val="L_RPTB16_05"/>
      <sheetName val="6PILE__(돌출)4"/>
      <sheetName val="내역서_4"/>
      <sheetName val="1_설계조건4"/>
      <sheetName val="2_2_S-Curve3"/>
      <sheetName val="8_PILE__(돌출)3"/>
      <sheetName val="Chiet_tinh_dz352"/>
      <sheetName val="TABLE_DB2"/>
      <sheetName val="쌍용_data_base2"/>
      <sheetName val="플랜트_설치3"/>
      <sheetName val="단면_(2)3"/>
      <sheetName val="dongia_(2)2"/>
      <sheetName val="t-h_HA_THE2"/>
      <sheetName val="THPDMoi__(2)2"/>
      <sheetName val="DON_GIA2"/>
      <sheetName val="CHITIET_VL-NC-TT_-1p2"/>
      <sheetName val="TONG_HOP_VL-NC_TT2"/>
      <sheetName val="TH_XL2"/>
      <sheetName val="CHITIET_VL-NC-TT-3p2"/>
      <sheetName val="KPVC-BD_2"/>
      <sheetName val="CHITIET_VL-NC2"/>
      <sheetName val="code_HTT_Thap2"/>
      <sheetName val="B3A_-_TOWER_A2"/>
      <sheetName val="RAB_AR&amp;STR2"/>
      <sheetName val="D&amp;W_def_2"/>
      <sheetName val="COMPARISON_TABLE3"/>
      <sheetName val="crude_SLAB_RE-bar3"/>
      <sheetName val="CRUDE_RE-bar3"/>
      <sheetName val="1_설계기준3"/>
      <sheetName val="신규_수주분(사용자_정의)3"/>
      <sheetName val="설명서_3"/>
      <sheetName val="1_2_1_마루높이결정3"/>
      <sheetName val="3_하중산정4_지지력3"/>
      <sheetName val="표지_(2)3"/>
      <sheetName val="3BL공동구_수량4"/>
      <sheetName val="2_입력sheet3"/>
      <sheetName val="DATA_입력란3"/>
      <sheetName val="1_우편집중내역서3"/>
      <sheetName val="Pier_33"/>
      <sheetName val="2_가정단면3"/>
      <sheetName val="7_PILE__(돌출)3"/>
      <sheetName val="plan&amp;section_of_foundation3"/>
      <sheetName val="pile_bearing_capa_&amp;_arrenge3"/>
      <sheetName val="design_load3"/>
      <sheetName val="working_load_at_the_btm_ft_3"/>
      <sheetName val="stability_check3"/>
      <sheetName val="design_criteria3"/>
      <sheetName val="돌담교_상부수량4"/>
      <sheetName val="8_석축단위(H=1_5M)3"/>
      <sheetName val="준검_내역서3"/>
      <sheetName val="3_공통공사대비3"/>
      <sheetName val="방배동내역_(총괄)3"/>
      <sheetName val="MAIN_GATE_HOUSE2"/>
      <sheetName val="4-Lane_bridge2"/>
      <sheetName val="Coax_Designer2"/>
      <sheetName val="tong_du_toan2"/>
      <sheetName val="(3_품질관리_시험_총괄표)3"/>
      <sheetName val="PAD_TR보호대기초3"/>
      <sheetName val="Civil__Sub-Station_12"/>
      <sheetName val="실행내역서_2"/>
      <sheetName val="Thuc_thanh2"/>
      <sheetName val="Bảng_Phân_Tích_Chi_Phí2"/>
      <sheetName val="Gia_VL,NC,M2"/>
      <sheetName val="Phan_chung2"/>
      <sheetName val="Tom_tat_gia_du_thau2"/>
      <sheetName val="Tien_do_TV2"/>
      <sheetName val="CP_Du_phong2"/>
      <sheetName val="THCP_Lap_dat2"/>
      <sheetName val="THCP_xay_dung2"/>
      <sheetName val="Tong_hop_kinh_phi2"/>
      <sheetName val="Bảng_mã_VT2"/>
      <sheetName val="Bảng_KLHT1"/>
      <sheetName val="RC_WORK1"/>
      <sheetName val="배수내역_(2)1"/>
      <sheetName val="Bao_cao_hao_hut_VT-TR2"/>
      <sheetName val="¥_1"/>
      <sheetName val="DTTC_CHI_TIET1"/>
      <sheetName val="Du_toan1"/>
      <sheetName val="MTO_REV_2(ARMOR)1"/>
      <sheetName val="TEN_CONG_TRINH1"/>
      <sheetName val="Currency_Rate1"/>
      <sheetName val="Cash_Flow_bulanan1"/>
      <sheetName val="Isolasi_Luar_Dalam"/>
      <sheetName val="Isolasi_Luar"/>
      <sheetName val="Cash_Flow"/>
      <sheetName val="HE_SO_DIEU_CHINH"/>
      <sheetName val="Cover_(x)"/>
      <sheetName val="Cor_Apt"/>
      <sheetName val="Cấu_tạo_giá"/>
      <sheetName val="Cover_page"/>
      <sheetName val="Add_cost08"/>
      <sheetName val="Phu_cap"/>
      <sheetName val="Project_Data"/>
      <sheetName val="EE_(3)"/>
      <sheetName val="KLDT_DIEN"/>
      <sheetName val="PTVT_DIEN"/>
      <sheetName val="Budget_Code"/>
      <sheetName val="Thiet_Bi"/>
      <sheetName val="Phan_tich"/>
      <sheetName val="TH_Vat_tu"/>
      <sheetName val="TH_Kinh_phi"/>
      <sheetName val="TH_MTC"/>
      <sheetName val="TH_N_Cong"/>
      <sheetName val="Bang_KL"/>
      <sheetName val="Daf_1"/>
      <sheetName val="6PILE__(돌출)5"/>
      <sheetName val="내역서_5"/>
      <sheetName val="1_설계조건5"/>
      <sheetName val="2_2_S-Curve4"/>
      <sheetName val="돌담교_상부수량5"/>
      <sheetName val="8_석축단위(H=1_5M)4"/>
      <sheetName val="3BL공동구_수량5"/>
      <sheetName val="준검_내역서4"/>
      <sheetName val="3_공통공사대비4"/>
      <sheetName val="방배동내역_(총괄)4"/>
      <sheetName val="설명서_4"/>
      <sheetName val="플랜트_설치4"/>
      <sheetName val="8_PILE__(돌출)4"/>
      <sheetName val="COMPARISON_TABLE4"/>
      <sheetName val="crude_SLAB_RE-bar4"/>
      <sheetName val="CRUDE_RE-bar4"/>
      <sheetName val="1_설계기준4"/>
      <sheetName val="신규_수주분(사용자_정의)4"/>
      <sheetName val="단면_(2)4"/>
      <sheetName val="1_2_1_마루높이결정4"/>
      <sheetName val="3_하중산정4_지지력4"/>
      <sheetName val="표지_(2)4"/>
      <sheetName val="2_입력sheet4"/>
      <sheetName val="DATA_입력란4"/>
      <sheetName val="1_우편집중내역서4"/>
      <sheetName val="Pier_34"/>
      <sheetName val="2_가정단면4"/>
      <sheetName val="7_PILE__(돌출)4"/>
      <sheetName val="plan&amp;section_of_foundation4"/>
      <sheetName val="pile_bearing_capa_&amp;_arrenge4"/>
      <sheetName val="design_load4"/>
      <sheetName val="working_load_at_the_btm_ft_4"/>
      <sheetName val="stability_check4"/>
      <sheetName val="design_criteria4"/>
      <sheetName val="(3_품질관리_시험_총괄표)4"/>
      <sheetName val="별표_3"/>
      <sheetName val="토공(우물통,기타)_3"/>
      <sheetName val="Chiet_tinh_dz353"/>
      <sheetName val="TABLE_DB3"/>
      <sheetName val="쌍용_data_base3"/>
      <sheetName val="PAD_TR보호대기초4"/>
      <sheetName val="code_HTT_Thap3"/>
      <sheetName val="RAB_AR&amp;STR3"/>
      <sheetName val="dongia_(2)3"/>
      <sheetName val="Civil__Sub-Station_13"/>
      <sheetName val="실행내역서_3"/>
      <sheetName val="Thuc_thanh3"/>
      <sheetName val="D&amp;W_def_3"/>
      <sheetName val="4-Lane_bridge3"/>
      <sheetName val="t-h_HA_THE3"/>
      <sheetName val="THPDMoi__(2)3"/>
      <sheetName val="DON_GIA3"/>
      <sheetName val="CHITIET_VL-NC-TT_-1p3"/>
      <sheetName val="TONG_HOP_VL-NC_TT3"/>
      <sheetName val="TH_XL3"/>
      <sheetName val="CHITIET_VL-NC-TT-3p3"/>
      <sheetName val="KPVC-BD_3"/>
      <sheetName val="CHITIET_VL-NC3"/>
      <sheetName val="B3A_-_TOWER_A3"/>
      <sheetName val="Coax_Designer3"/>
      <sheetName val="MAIN_GATE_HOUSE3"/>
      <sheetName val="_냉각수펌프2"/>
      <sheetName val="1062-X방향_2"/>
      <sheetName val="Sheet1_(2)3"/>
      <sheetName val="BOX(1_5X1_5)3"/>
      <sheetName val="표__지3"/>
      <sheetName val="단면__2_2"/>
      <sheetName val="ENE-CAL_12"/>
      <sheetName val="ITB_COST2"/>
      <sheetName val="2011_(4)2"/>
      <sheetName val="11_자재단가2"/>
      <sheetName val="Dike_for_49T03_&amp;_49T042"/>
      <sheetName val="Dike_for_49T02,_05~07,_19_(1)2"/>
      <sheetName val="설계기준_및_하중계산2"/>
      <sheetName val="역T형(H=6_0)_(2)2"/>
      <sheetName val="각사별공사비분개_2"/>
      <sheetName val="전차선로_물량표2"/>
      <sheetName val="Bảng_KLHT2"/>
      <sheetName val="RC_WORK2"/>
      <sheetName val="배수내역_(2)2"/>
      <sheetName val="tong_du_toan3"/>
      <sheetName val="Bảng_Phân_Tích_Chi_Phí3"/>
      <sheetName val="Tien_do_TV3"/>
      <sheetName val="CP_Du_phong3"/>
      <sheetName val="THCP_Lap_dat3"/>
      <sheetName val="THCP_xay_dung3"/>
      <sheetName val="Tong_hop_kinh_phi3"/>
      <sheetName val="Gia_VL,NC,M3"/>
      <sheetName val="Phan_chung3"/>
      <sheetName val="Tom_tat_gia_du_thau3"/>
      <sheetName val="Bảng_mã_VT3"/>
      <sheetName val="Bao_cao_hao_hut_VT-TR3"/>
      <sheetName val="Currency_Rate2"/>
      <sheetName val="TEN_CONG_TRINH2"/>
      <sheetName val="¥_2"/>
      <sheetName val="DTTC_CHI_TIET2"/>
      <sheetName val="Du_toan2"/>
      <sheetName val="Cash_Flow_bulanan2"/>
      <sheetName val="수량산출서_갑지2"/>
      <sheetName val="CONSTRUCTION_COMPONENT2"/>
      <sheetName val="추정공사비_산출내역1_xlsx2"/>
      <sheetName val="견적대비_견적서2"/>
      <sheetName val="접속_SLAB,BRACKET_설계2"/>
      <sheetName val="공정별_수량산출서2"/>
      <sheetName val="자재_및_폐기물견적(2008)2"/>
      <sheetName val="IMPEADENCE_MAP_취수장2"/>
      <sheetName val="화단_철거2"/>
      <sheetName val="1호-아(오)0_42"/>
      <sheetName val="MTO_REV_2(ARMOR)2"/>
      <sheetName val="Isolasi_Luar_Dalam1"/>
      <sheetName val="Isolasi_Luar1"/>
      <sheetName val="1000_DB구축_부표2"/>
      <sheetName val="Cash_Flow1"/>
      <sheetName val="Unit_price1"/>
      <sheetName val="Define_finishing1"/>
      <sheetName val="Tiến_độ__Rev1_(phói_hợp)1"/>
      <sheetName val="Level_21"/>
      <sheetName val="Cst_Pkg-Eden1"/>
      <sheetName val="Chi_tiết_cấu_tạo_giá_(2)1"/>
      <sheetName val="SUMMARY-HT_Thô1"/>
      <sheetName val="02_PHAT_SINH_TANG1"/>
      <sheetName val="TONG_HOP_XIN_GIA1"/>
      <sheetName val="1_R18_BF1"/>
      <sheetName val="6_External_works-R181"/>
      <sheetName val="bill_3_-_D_Wall1"/>
      <sheetName val="KHOI_LUONG15-41"/>
      <sheetName val="Tro_giup1"/>
      <sheetName val="Villa_A1"/>
      <sheetName val="Div26_-_Elect1"/>
      <sheetName val="Xuly_Data1"/>
      <sheetName val="CSVC_LD1"/>
      <sheetName val="HE_SO_DIEU_CHINH1"/>
      <sheetName val="dtct_cong1"/>
      <sheetName val="Buy_vs__Lease_Car1"/>
      <sheetName val="2_1_受電設備棟1"/>
      <sheetName val="2_2_受・防火水槽1"/>
      <sheetName val="2_3_排水処理設備棟1"/>
      <sheetName val="2_4_倉庫棟1"/>
      <sheetName val="2_5_守衛棟1"/>
      <sheetName val="cable_data12"/>
      <sheetName val="CABLE_SIZE-32"/>
      <sheetName val="wk_prgs2"/>
      <sheetName val="현장별계약현황('98_10_31)1"/>
      <sheetName val="일위대가_호표_(계약)2"/>
      <sheetName val="Cover_(x)1"/>
      <sheetName val="Cor_Apt1"/>
      <sheetName val="Cấu_tạo_giá1"/>
      <sheetName val="Cover_page1"/>
      <sheetName val="tra_VL1"/>
      <sheetName val="8_3해석단면_선정1"/>
      <sheetName val="Add_cost081"/>
      <sheetName val="SCOPE_OF_WORK1"/>
      <sheetName val="Xunit_(단위환산)2"/>
      <sheetName val="고객사_관리_코드2"/>
      <sheetName val="PH_51"/>
      <sheetName val="Dầm_-4_7m1"/>
      <sheetName val="Phu_cap1"/>
      <sheetName val="Project_Data1"/>
      <sheetName val="EE_(3)1"/>
      <sheetName val="중간간지_(2)1"/>
      <sheetName val="6_단면검토1"/>
      <sheetName val="2_단면가정_1"/>
      <sheetName val="7월천안현장_집계표1"/>
      <sheetName val="장비_자재1"/>
      <sheetName val="_노무집계1"/>
      <sheetName val="KLDT_DIEN1"/>
      <sheetName val="PTVT_DIEN1"/>
      <sheetName val="Budget_Code1"/>
      <sheetName val="Thiet_Bi1"/>
      <sheetName val="Phan_tich1"/>
      <sheetName val="TH_Vat_tu1"/>
      <sheetName val="TH_Kinh_phi1"/>
      <sheetName val="TH_MTC1"/>
      <sheetName val="TH_N_Cong1"/>
      <sheetName val="Bang_KL1"/>
      <sheetName val="Daf_11"/>
      <sheetName val="공사개요-C"/>
      <sheetName val="맨홀토_x0000__x0000__x0005_"/>
      <sheetName val="Table"/>
      <sheetName val="IW-LIST"/>
      <sheetName val="Actual data"/>
      <sheetName val="4.경비 5.영업외수지"/>
      <sheetName val="5CHBDC"/>
      <sheetName val="Variable"/>
      <sheetName val="PROCURE"/>
      <sheetName val="블록(들고리8개)"/>
      <sheetName val="부가세별도"/>
      <sheetName val="업체자료"/>
      <sheetName val="CUB结算式"/>
      <sheetName val="FAB B01计算式"/>
      <sheetName val="室外计算式"/>
      <sheetName val="5.물량산출서"/>
      <sheetName val="산근cad용"/>
      <sheetName val="산근(계단)"/>
      <sheetName val="UNIT"/>
      <sheetName val="설명"/>
      <sheetName val="5정거장"/>
      <sheetName val="1-3길내기"/>
      <sheetName val="1.일위대가"/>
      <sheetName val="신고분기설정참고"/>
      <sheetName val="거래처자료등록"/>
      <sheetName val="건설기계가격"/>
      <sheetName val="보고서"/>
      <sheetName val="RDP2"/>
      <sheetName val="중기가격"/>
      <sheetName val="현장관리비 산출내역"/>
      <sheetName val="산출근거(9)"/>
      <sheetName val="절단표"/>
      <sheetName val="견적(02.07)"/>
      <sheetName val="산림조사비"/>
      <sheetName val="요율표"/>
      <sheetName val="폐기물발생(처리)내역-1"/>
      <sheetName val="빙축열"/>
      <sheetName val="C1.공사개요"/>
      <sheetName val="A1.스케쥴"/>
      <sheetName val="입력용"/>
      <sheetName val="입력용집계"/>
      <sheetName val="신당동집계표"/>
      <sheetName val="부안일위"/>
      <sheetName val="신공항A-9(원가수정)"/>
      <sheetName val="junggi"/>
      <sheetName val="수목조서 "/>
      <sheetName val="제수,우수,통신,소화전물건조서"/>
      <sheetName val="한전주물건조서"/>
      <sheetName val="지장물적용유무"/>
      <sheetName val="스케즐"/>
      <sheetName val="base"/>
      <sheetName val="계획금액"/>
      <sheetName val="분석대장"/>
      <sheetName val="12CGOU"/>
      <sheetName val="SP-B1"/>
      <sheetName val="기준비용"/>
      <sheetName val="단가조사표(노무비)"/>
      <sheetName val="개인토지"/>
      <sheetName val="15-3)VE제안서(가치향_x0000_隒_x0000__x0000_"/>
      <sheetName val="4.고용보험"/>
      <sheetName val="수정계획3"/>
      <sheetName val="구체단위"/>
      <sheetName val="00임금"/>
      <sheetName val="총괄내역서(도급)"/>
      <sheetName val="판매.DAT"/>
      <sheetName val="L형집계"/>
      <sheetName val="중사"/>
      <sheetName val="재료값"/>
      <sheetName val="3_공통공사_x0000_隒"/>
      <sheetName val="제수변수량"/>
      <sheetName val="직접시공계획서"/>
      <sheetName val="공사기본자료"/>
      <sheetName val="자재집게표 "/>
      <sheetName val="단가(마감)"/>
      <sheetName val="수배전반"/>
      <sheetName val="Elec LG"/>
      <sheetName val="TOYO"/>
      <sheetName val="건공요율"/>
      <sheetName val="마포토정"/>
      <sheetName val="공구원가계산"/>
      <sheetName val="이름표"/>
      <sheetName val="투자비"/>
      <sheetName val="사업비"/>
      <sheetName val="조성원가DATA"/>
      <sheetName val="공종별내역서"/>
      <sheetName val="2019 단가내역"/>
      <sheetName val="신규일위대가목록"/>
      <sheetName val="신규일위대가"/>
      <sheetName val="신규자재단가조서"/>
      <sheetName val="현황사진"/>
      <sheetName val="수량-1순위(2차)TOTAL"/>
      <sheetName val="본관 관리동 공동구 1순위"/>
      <sheetName val="3계열 침전지 공동구 1순위"/>
      <sheetName val="착수정 공동구 1순위"/>
      <sheetName val="송수실 공동구 1순위"/>
      <sheetName val="1(자양배관실)"/>
      <sheetName val="1(자양계단실)"/>
      <sheetName val="1(자양외벽)"/>
      <sheetName val="의뢰서"/>
      <sheetName val=" 토목 처리장도급내역서 "/>
      <sheetName val="수목보호틀연장조서"/>
      <sheetName val="콘크리트포장철거"/>
      <sheetName val="TOTAL1"/>
      <sheetName val="공종검토(1순위4공종)"/>
      <sheetName val="공종검토(4순위8공종) "/>
      <sheetName val="공종검토(7순위3공종)"/>
      <sheetName val="공종검토(8순위9공종)"/>
      <sheetName val="공종검토(27순위24공종)"/>
      <sheetName val="제원입력"/>
      <sheetName val="기구조직"/>
      <sheetName val="자금청구"/>
      <sheetName val="투찰내역서"/>
      <sheetName val="sand토적"/>
      <sheetName val="수목데이타"/>
      <sheetName val="분기관표식단위수량"/>
      <sheetName val="받이700"/>
      <sheetName val="재"/>
      <sheetName val="자"/>
      <sheetName val="99 조정금액"/>
      <sheetName val="동일리 권리자명부"/>
      <sheetName val="토목수량(공정)"/>
      <sheetName val="新철폐복2"/>
      <sheetName val="新철폐복3"/>
      <sheetName val="주공기준"/>
      <sheetName val="Macro(조도)"/>
      <sheetName val="신대방33(적용)"/>
      <sheetName val="터널패턴구성"/>
      <sheetName val="실적(휴양)"/>
      <sheetName val="말고개터널조명전압강하"/>
      <sheetName val="부관맨홀조서"/>
      <sheetName val="면적평당공사비"/>
      <sheetName val="터널전기"/>
      <sheetName val="망미"/>
      <sheetName val="가격"/>
      <sheetName val="설계명_x0000_⃇"/>
      <sheetName val="설계명Ć_x0000_"/>
      <sheetName val="총 괄 표"/>
      <sheetName val="가압장구체수량산출서"/>
      <sheetName val="보온자"/>
      <sheetName val="공작물조직표(용배수)"/>
      <sheetName val="대기업"/>
      <sheetName val="코드정보"/>
      <sheetName val="단가&amp;공율표"/>
      <sheetName val="적용률"/>
      <sheetName val="산출근거 (2)"/>
      <sheetName val="집계표 (2)"/>
      <sheetName val="경비산출"/>
      <sheetName val="9-1차이내Ȉ"/>
      <sheetName val="가¬_x0000_"/>
      <sheetName val="96노임기준"/>
      <sheetName val="전익자재"/>
      <sheetName val="토공 토적표"/>
      <sheetName val="TIE-INS"/>
      <sheetName val="무시"/>
      <sheetName val="준공공사 계"/>
      <sheetName val="TOT"/>
      <sheetName val="NAE-302"/>
      <sheetName val="3지구단위"/>
      <sheetName val="1¬_x0000_Ԁ"/>
      <sheetName val="10현장조직"/>
      <sheetName val="산출(변경후)"/>
      <sheetName val="생산매출 (3)"/>
      <sheetName val="SPARE PART"/>
      <sheetName val="HSA"/>
      <sheetName val="수량분개내역"/>
      <sheetName val="Tool"/>
      <sheetName val="자재(원원+원대)"/>
      <sheetName val="DATA-2 장비LIST"/>
      <sheetName val="산근(목록)"/>
      <sheetName val="이형관중량"/>
      <sheetName val="실행(표지,갑,을)"/>
      <sheetName val=" 갑  지 "/>
      <sheetName val="산출근거#2-3"/>
      <sheetName val="전체공내역서"/>
      <sheetName val="10"/>
      <sheetName val="12"/>
      <sheetName val="13"/>
      <sheetName val="14"/>
      <sheetName val="16"/>
      <sheetName val="7"/>
      <sheetName val="8"/>
      <sheetName val="9"/>
      <sheetName val="말뚝물량"/>
      <sheetName val="사업량총괄"/>
      <sheetName val="SR97-1"/>
      <sheetName val="IMF Code"/>
      <sheetName val="Gia VLNCMTC"/>
      <sheetName val="WT-LIST"/>
      <sheetName val="토지조서"/>
      <sheetName val="월별수입"/>
      <sheetName val="암센터"/>
      <sheetName val="게비온"/>
      <sheetName val="관정"/>
      <sheetName val="배수관 날개벽"/>
      <sheetName val="box날개"/>
      <sheetName val="방호벽"/>
      <sheetName val="절단"/>
      <sheetName val="아스팔트포장"/>
      <sheetName val="U형측구"/>
      <sheetName val="J형측구"/>
      <sheetName val="진입로"/>
      <sheetName val="1호맨홀자연토공"/>
      <sheetName val="편성절차"/>
      <sheetName val="8)중점관리장비현황"/>
      <sheetName val="시멘트 및 골재량산출"/>
      <sheetName val="총계"/>
      <sheetName val="견적내역서"/>
      <sheetName val="슬리브수량"/>
      <sheetName val="6.2 제거공"/>
      <sheetName val="6.2.1"/>
      <sheetName val="6.2.2"/>
      <sheetName val="7급줄떼"/>
      <sheetName val="su1"/>
      <sheetName val="관경별단위수량"/>
      <sheetName val="건축원가"/>
      <sheetName val="노견단위수량"/>
      <sheetName val="하부철근수량"/>
      <sheetName val="변압기 및 발전기 용량"/>
      <sheetName val="투찰금액"/>
      <sheetName val="오수표시테이프단위수량"/>
      <sheetName val="변경내역대비표(2)"/>
      <sheetName val="변경내역대비표_2_"/>
      <sheetName val="공사비증감(P4) "/>
      <sheetName val="인공LIST"/>
      <sheetName val="내역서-전기"/>
      <sheetName val="SUPTMTO"/>
      <sheetName val="_토목_처리장도급내역서_"/>
      <sheetName val="차도부연장현황"/>
      <sheetName val="단가구성 (2)"/>
      <sheetName val="집계표총괄"/>
      <sheetName val="신평리_권리자명부"/>
      <sheetName val="동일리_권리자명부"/>
      <sheetName val="공종검토(4순위8공종)_"/>
      <sheetName val="99_조정금액"/>
      <sheetName val="백룡교차로"/>
      <sheetName val="산정교차로"/>
      <sheetName val="신영교차로"/>
      <sheetName val="제출내역 (2)"/>
      <sheetName val="부서코드표"/>
      <sheetName val="영업권조서"/>
      <sheetName val="비교표"/>
      <sheetName val="배수량"/>
      <sheetName val="노임단"/>
      <sheetName val="증명지번목록"/>
      <sheetName val="3연box"/>
      <sheetName val="물건조서"/>
      <sheetName val="계정별실적"/>
      <sheetName val="안정검토(온1)"/>
      <sheetName val="BDATA"/>
      <sheetName val="추정설계"/>
      <sheetName val="2설계 (웅촌고연)"/>
      <sheetName val="토목내역서"/>
      <sheetName val="작업금지"/>
      <sheetName val="유입수문철근집계"/>
      <sheetName val="P4-3"/>
      <sheetName val="별첨4_전담운영PM(1)"/>
      <sheetName val="보호공"/>
      <sheetName val="7단가"/>
      <sheetName val="원가계산 (2)"/>
      <sheetName val="주현(해보)"/>
      <sheetName val="주현(영광)"/>
      <sheetName val="포장총괄집계표"/>
      <sheetName val="5.정산서"/>
      <sheetName val="이설도로유용토"/>
      <sheetName val="구간별"/>
      <sheetName val="자가"/>
      <sheetName val="공양식"/>
      <sheetName val="토지가격산출기초"/>
      <sheetName val="공시지가"/>
      <sheetName val="내역서(기성청구)"/>
      <sheetName val="5지진시"/>
      <sheetName val="여비"/>
      <sheetName val="규격"/>
      <sheetName val="교각"/>
      <sheetName val="2공종별예산조서"/>
      <sheetName val="노무단가"/>
      <sheetName val="호안공재료집계표"/>
      <sheetName val="A1(토공)"/>
      <sheetName val="A1(구조물)"/>
      <sheetName val="수량집계(1)"/>
      <sheetName val="철근집계표"/>
      <sheetName val="토공산근"/>
      <sheetName val="봉산운반"/>
      <sheetName val="24분기"/>
      <sheetName val="복주일위대가"/>
      <sheetName val="8.1.에너지"/>
      <sheetName val="규준틀"/>
      <sheetName val="덧씌우기구간수량산출1"/>
      <sheetName val="新철폐복"/>
      <sheetName val="1.시험비"/>
      <sheetName val="기단"/>
      <sheetName val="BM"/>
      <sheetName val="UNIT-QT"/>
      <sheetName val="JUCK"/>
      <sheetName val="합의경상"/>
      <sheetName val="MEXICO-C"/>
      <sheetName val="송장"/>
      <sheetName val="장비내역서"/>
      <sheetName val="부하LOAD"/>
      <sheetName val="날개벽(TYPE3)"/>
      <sheetName val="2공구수량"/>
      <sheetName val="부하(반월)"/>
      <sheetName val="청구내역(9807)"/>
      <sheetName val="유동표(변경)"/>
      <sheetName val="가설건물"/>
      <sheetName val="공통(20-91)"/>
      <sheetName val="공용시설내역"/>
      <sheetName val="변경실행(2차) "/>
      <sheetName val="L-type"/>
      <sheetName val="부하(성남)"/>
      <sheetName val="외천교"/>
      <sheetName val="자재수량"/>
      <sheetName val="Macro(AT)"/>
      <sheetName val="동력부하(도산)"/>
      <sheetName val="MACRO(MCC)"/>
      <sheetName val="토공A"/>
      <sheetName val="5. 차단기 용량계산"/>
      <sheetName val="CA지입"/>
      <sheetName val="관리사무소"/>
      <sheetName val="다이꾸"/>
      <sheetName val="cost"/>
      <sheetName val="품의서"/>
      <sheetName val="FEXS"/>
      <sheetName val="7.1유효폭"/>
      <sheetName val="기계실"/>
      <sheetName val="입고장부 (4)"/>
      <sheetName val="W-현원가"/>
      <sheetName val="조명율데이타"/>
      <sheetName val="매크로"/>
      <sheetName val="외주가공"/>
      <sheetName val="대구실행"/>
      <sheetName val="현장지지물물량"/>
      <sheetName val="현장관리비내역서"/>
      <sheetName val="J"/>
      <sheetName val="협조전"/>
      <sheetName val="지진시"/>
      <sheetName val="맨홀수량집계"/>
      <sheetName val="MBR9"/>
      <sheetName val="전력구구조물산근2구간"/>
      <sheetName val="BQ(실행)"/>
      <sheetName val="유동표"/>
      <sheetName val="LOAD-AY"/>
      <sheetName val="bearing"/>
      <sheetName val="굴착현장"/>
      <sheetName val="1공구(을)"/>
      <sheetName val="Cost bd-&quot;A&quot;"/>
      <sheetName val="L_RPTA05_목록"/>
      <sheetName val="IMP(MAIN)"/>
      <sheetName val="IMP (REACTOR)"/>
      <sheetName val="환률"/>
      <sheetName val="RAHMEN"/>
      <sheetName val="Languages"/>
      <sheetName val="명단원자료(이전)"/>
      <sheetName val="옹벽기초자료"/>
      <sheetName val="경상비"/>
      <sheetName val="실행예산"/>
      <sheetName val="현금"/>
      <sheetName val="부하(도서)"/>
      <sheetName val="E.P.T수량산출서"/>
      <sheetName val="타공종이기"/>
      <sheetName val="????"/>
      <sheetName val="Process"/>
      <sheetName val="C1ㅇ"/>
      <sheetName val="DG-LAP6"/>
      <sheetName val="工완성공사율"/>
      <sheetName val="96작생능"/>
      <sheetName val="견적정보"/>
      <sheetName val="토공(완충)"/>
      <sheetName val="가로등제어반 설치공사(수량)"/>
      <sheetName val="발신정보"/>
      <sheetName val="단가표 "/>
      <sheetName val="K"/>
      <sheetName val="내역서비교"/>
      <sheetName val="기성집계"/>
      <sheetName val="견"/>
      <sheetName val="설계서(설치)"/>
      <sheetName val="Picture"/>
      <sheetName val="직원동원SCH"/>
      <sheetName val="전압강하계산"/>
      <sheetName val="양식"/>
      <sheetName val="ROOF(ALKALI)"/>
      <sheetName val="정산입력"/>
      <sheetName val="계산근거"/>
      <sheetName val="내역(2000년)"/>
      <sheetName val="Dae_Jiju"/>
      <sheetName val="Sikje_ingun"/>
      <sheetName val="TREE_D"/>
      <sheetName val="원데이타"/>
      <sheetName val="22-2M단"/>
      <sheetName val="22-1소단"/>
      <sheetName val="CATV"/>
      <sheetName val="조명률표"/>
      <sheetName val="설계자료"/>
      <sheetName val="아산추가1220"/>
      <sheetName val="교량명원본"/>
      <sheetName val="BOX제원원본"/>
      <sheetName val="표지판현황"/>
      <sheetName val="회사99"/>
      <sheetName val="노원열병합__건축공사기성내역서"/>
      <sheetName val="철근정산"/>
      <sheetName val="호안공"/>
      <sheetName val="TYPE-B 평균H"/>
      <sheetName val="실행품의서"/>
      <sheetName val="OZ049E"/>
      <sheetName val="토공및부대2차"/>
      <sheetName val="단위내역서"/>
      <sheetName val="처리단락"/>
      <sheetName val="LD"/>
      <sheetName val="약전닥트"/>
      <sheetName val="건축부하"/>
      <sheetName val="일지-H"/>
      <sheetName val="FA설치명세"/>
      <sheetName val="김포IO"/>
      <sheetName val="물량산출_LP-1"/>
      <sheetName val="물량산출_LP-2"/>
      <sheetName val="물량산출_LP-3"/>
      <sheetName val="물량산출_LP-4"/>
      <sheetName val="LXLIST1"/>
      <sheetName val="와동25-3(변경)"/>
      <sheetName val="96수출"/>
      <sheetName val="내역(정지)"/>
      <sheetName val="L형측구단위수량"/>
      <sheetName val="L형측구연장조서"/>
      <sheetName val="도로경계블럭단위수량"/>
      <sheetName val="도로경계블럭단위토공"/>
      <sheetName val="단가산출집계"/>
      <sheetName val="주사무실종합"/>
      <sheetName val="SRC-B3U2"/>
      <sheetName val="비대칭계수"/>
      <sheetName val="전동기 SPEC"/>
      <sheetName val="일반맨홀수량집계(A-7 LINE)"/>
      <sheetName val="I_설계조건"/>
      <sheetName val="변경실행(2차)_"/>
      <sheetName val="토공산출(주차장)"/>
      <sheetName val="매입"/>
      <sheetName val="토공산출 (아파트)"/>
      <sheetName val="운용방안"/>
      <sheetName val="월선수금"/>
      <sheetName val="8. 내진해석"/>
      <sheetName val="LEVEL0~4"/>
      <sheetName val="__Isyou_c_PJT_2000_R_6_____Fi_2"/>
      <sheetName val="PROJECT COST ESTIMATE (cont)"/>
      <sheetName val="일위대가(원본)"/>
      <sheetName val="집행(2-1)"/>
      <sheetName val="LG제품"/>
      <sheetName val="횡배위치"/>
      <sheetName val="조명율"/>
      <sheetName val="Cost_bd-&quot;A&quot;"/>
      <sheetName val="TRE_TABLE"/>
      <sheetName val="사용자정의"/>
      <sheetName val="제품표준규격"/>
      <sheetName val="환율-LIBOR"/>
      <sheetName val="견적시담(송포2공구)"/>
      <sheetName val="출근부"/>
      <sheetName val="견적접수"/>
      <sheetName val="오산갈곳"/>
      <sheetName val="#230,#235"/>
      <sheetName val="5공철탑검토표"/>
      <sheetName val="4공철탑검토"/>
      <sheetName val="설계내역(2001)"/>
      <sheetName val="아파트 "/>
      <sheetName val="잡비"/>
      <sheetName val="SE-611"/>
      <sheetName val="1을"/>
      <sheetName val="장비당단가 (1)"/>
      <sheetName val="선로정수계산"/>
      <sheetName val="관세,통관수수료,운반비"/>
      <sheetName val="경영혁신본부"/>
      <sheetName val="nomi "/>
      <sheetName val="3-1.CB"/>
      <sheetName val="MCC제원"/>
      <sheetName val="SUM (INQNO."/>
      <sheetName val="99.6"/>
      <sheetName val="자료(통합)"/>
      <sheetName val="대상공사(조달청)"/>
      <sheetName val="토목변경"/>
      <sheetName val="집수정단"/>
      <sheetName val="99관저"/>
      <sheetName val="관람석제출"/>
      <sheetName val="시설C"/>
      <sheetName val="사진"/>
      <sheetName val="2.내역서"/>
      <sheetName val="6.교좌면보강"/>
      <sheetName val="수로집계"/>
      <sheetName val="1차증가원가계산"/>
      <sheetName val="STORAGE"/>
      <sheetName val="TYPE-U800"/>
      <sheetName val="구동"/>
      <sheetName val="TOTAL인원"/>
      <sheetName val="Design Q'ty"/>
      <sheetName val="설계내"/>
      <sheetName val="조도계산(가로등NEW)"/>
      <sheetName val="L형옹벽측구"/>
      <sheetName val="MFAB"/>
      <sheetName val="MFRT"/>
      <sheetName val="MPKG"/>
      <sheetName val="MPRD"/>
      <sheetName val="전기설계변경"/>
      <sheetName val="참조(2)"/>
      <sheetName val="BR.1(원)"/>
      <sheetName val="예산서(6)"/>
      <sheetName val="COMPRESSOR"/>
      <sheetName val="WIND-EQ"/>
      <sheetName val="견적업체"/>
      <sheetName val="02 SLAB"/>
      <sheetName val="05 BOX"/>
      <sheetName val="---FAB#1업무일지---"/>
      <sheetName val="06_공정표"/>
      <sheetName val="D-3503"/>
      <sheetName val="물량산출근거"/>
      <sheetName val="FACTOR"/>
      <sheetName val="GRDBS"/>
      <sheetName val="전기품산출"/>
      <sheetName val="방음벽 기초 일반수량"/>
      <sheetName val="G.R300경비"/>
      <sheetName val="K1자재(3차등)"/>
      <sheetName val="____"/>
      <sheetName val="card1"/>
      <sheetName val="분석가정"/>
      <sheetName val="ATS단가"/>
      <sheetName val=" 내역"/>
      <sheetName val="순환펌프"/>
      <sheetName val="저수조"/>
      <sheetName val="급,배기팬"/>
      <sheetName val="급탕순환펌프"/>
      <sheetName val="4b Consolidated PL"/>
      <sheetName val="Proposal"/>
      <sheetName val="Oper Amount"/>
      <sheetName val="DATA(BAC)"/>
      <sheetName val="주형지지보"/>
      <sheetName val="현황CODE"/>
      <sheetName val="손익현황"/>
      <sheetName val="PLAN_FEB97"/>
      <sheetName val="LAB"/>
      <sheetName val="노원열병합__건축공사기성내역서1"/>
      <sheetName val="조도계산서_(도서)"/>
      <sheetName val="입고장부_(4)"/>
      <sheetName val="IMP_(REACTOR)"/>
      <sheetName val="7_1유효폭"/>
      <sheetName val="5__차단기_용량계산"/>
      <sheetName val="가로등제어반_설치공사(수량)"/>
      <sheetName val="E_P_T수량산출서"/>
      <sheetName val="단가표_"/>
      <sheetName val="3-1_CB"/>
      <sheetName val="2월가격표-ESG-1월"/>
      <sheetName val="SPEC"/>
      <sheetName val="가설경비"/>
      <sheetName val="여흥"/>
      <sheetName val="Sheet16 (2)"/>
      <sheetName val="일반수량총괄"/>
      <sheetName val="통신부문노무임"/>
      <sheetName val="5. 설계명세서"/>
      <sheetName val="SELTDATA"/>
      <sheetName val="구리토평1전기"/>
      <sheetName val="지표"/>
      <sheetName val="교량하부공"/>
      <sheetName val="21301동"/>
      <sheetName val="공종별 집계"/>
      <sheetName val="횡배수관단위수량"/>
      <sheetName val="L형옹벽(key)"/>
      <sheetName val="샘플표지"/>
      <sheetName val="총공사집계"/>
      <sheetName val="대가집계(1)"/>
      <sheetName val="대가집계"/>
      <sheetName val="집계(1)"/>
      <sheetName val="단가산출(1)"/>
      <sheetName val="대가표"/>
      <sheetName val="대가"/>
      <sheetName val="사토정산현황"/>
      <sheetName val="위치도"/>
      <sheetName val="단가대비표(미첨부)"/>
      <sheetName val="토적표(길명리)"/>
      <sheetName val="사토(토사)"/>
      <sheetName val="사토(리핑)"/>
      <sheetName val="사토(발파)"/>
      <sheetName val="사토(발파) (2)"/>
      <sheetName val="운반거리표"/>
      <sheetName val="자금총괄"/>
      <sheetName val="현장별청구"/>
      <sheetName val="자금집행집계표"/>
      <sheetName val="장비비"/>
      <sheetName val="미불금청구내역(민)"/>
      <sheetName val="카메라"/>
      <sheetName val="카메라2"/>
      <sheetName val="1회"/>
      <sheetName val="1회분"/>
      <sheetName val="2회"/>
      <sheetName val="2회분"/>
      <sheetName val="3회"/>
      <sheetName val="3회분"/>
      <sheetName val="4회"/>
      <sheetName val="4회분"/>
      <sheetName val="5회"/>
      <sheetName val="5회분"/>
      <sheetName val="6회"/>
      <sheetName val="6회분"/>
      <sheetName val="회"/>
      <sheetName val="회분"/>
      <sheetName val="1~5회분"/>
      <sheetName val="현장별집행"/>
      <sheetName val="10월식대(직영)"/>
      <sheetName val="9월철근공"/>
      <sheetName val="10월철근공 "/>
      <sheetName val="9월목공 "/>
      <sheetName val="10월목공 "/>
      <sheetName val="10월식대"/>
      <sheetName val="11월식대"/>
      <sheetName val="식대(5회)"/>
      <sheetName val="자금총괄(민)"/>
      <sheetName val="현장별자금청구(10)"/>
      <sheetName val="현장별청구(민)"/>
      <sheetName val="자금청구집계표"/>
      <sheetName val="자금청구집계표(민)"/>
      <sheetName val="자금청구(민2)"/>
      <sheetName val="하도자기성고(갑)"/>
      <sheetName val="하도자기성고(을)"/>
      <sheetName val="유류대"/>
      <sheetName val="중기가동"/>
      <sheetName val="미불금청구내역"/>
      <sheetName val="미불금(민)"/>
      <sheetName val="공사별 사정분석표-ㅌ"/>
      <sheetName val="자금청구내역"/>
      <sheetName val="자금청구서"/>
      <sheetName val="월기성검토서"/>
      <sheetName val="부대대비"/>
      <sheetName val="냉연집계"/>
      <sheetName val="2011년"/>
      <sheetName val="내역서(총)"/>
      <sheetName val="예산M12A"/>
      <sheetName val="BOQ건축"/>
      <sheetName val="beam"/>
      <sheetName val="APT내역"/>
      <sheetName val="감가상각"/>
      <sheetName val="CI_GL Mapping"/>
      <sheetName val="3본사"/>
      <sheetName val="운영 비용(Infra)-원가"/>
      <sheetName val="금액집계"/>
      <sheetName val="평형공사비"/>
      <sheetName val="NEWDRAW"/>
      <sheetName val="영업.일"/>
      <sheetName val="매부산출"/>
      <sheetName val="현관"/>
      <sheetName val="WORKSHOP"/>
      <sheetName val="동해title"/>
      <sheetName val="예산M2"/>
      <sheetName val="기성내역서표지"/>
      <sheetName val="예산변경사항"/>
      <sheetName val="분양금할인"/>
      <sheetName val="충주"/>
      <sheetName val="영업.일1"/>
      <sheetName val="coll#"/>
      <sheetName val="경상비내역"/>
      <sheetName val="총요약서"/>
      <sheetName val="저"/>
      <sheetName val="일반관리비"/>
      <sheetName val="1월"/>
      <sheetName val="사토(발파)_(2)"/>
      <sheetName val="10월철근공_"/>
      <sheetName val="9월목공_"/>
      <sheetName val="10월목공_"/>
      <sheetName val="공사별_사정분석표-ㅌ"/>
      <sheetName val="Project_Brief"/>
      <sheetName val="CI_GL_Mapping"/>
      <sheetName val="운영_비용(Infra)-원가"/>
      <sheetName val="최초침전지집계표"/>
      <sheetName val="Macro1 (2)"/>
      <sheetName val="Constant"/>
      <sheetName val="명단"/>
      <sheetName val="Code03"/>
      <sheetName val="입력그림"/>
      <sheetName val="3_공통공사_x0000_庘"/>
      <sheetName val="사기성 (2)"/>
      <sheetName val="광통신 견적내역서1"/>
      <sheetName val="케이블수량재료"/>
      <sheetName val="노무DB"/>
      <sheetName val="정보매체A동"/>
      <sheetName val="N10(미지급)_2"/>
      <sheetName val="static_cal"/>
      <sheetName val="Total_Progress_(2)"/>
      <sheetName val="1_일반수량산출근거"/>
      <sheetName val="Financial_impact"/>
      <sheetName val="Sch7a_(토요일)"/>
      <sheetName val="남양시작동자105노65기1_3화1_2"/>
      <sheetName val="97_사업추정(WEKI)"/>
      <sheetName val="출하생산일보"/>
      <sheetName val="COA-17"/>
      <sheetName val="C-18"/>
      <sheetName val="목공사품의서"/>
      <sheetName val="IMPEADENCE H_x0000_Ԁ_x0000_怀ȅ㨍"/>
      <sheetName val="IMPEADENCE é_x0000_Ԁ_x0000__x0000_ᛅ_xde17_"/>
      <sheetName val="D200"/>
      <sheetName val="name"/>
      <sheetName val="PC, G.Slab"/>
      <sheetName val="CB"/>
      <sheetName val="XZLC004_PART2"/>
      <sheetName val="MATRLDATA"/>
      <sheetName val="INPUT_TABLE"/>
      <sheetName val="CODE1"/>
      <sheetName val="CODE2"/>
      <sheetName val="무근깨기"/>
      <sheetName val="견적의뢰"/>
      <sheetName val="CostDB"/>
      <sheetName val="계산중"/>
      <sheetName val="MAT_N048"/>
      <sheetName val="VALUATESheet13"/>
      <sheetName val="전도금정산집계"/>
      <sheetName val="은행코드"/>
      <sheetName val="4.04건축(건축-주계약내역서)"/>
      <sheetName val="예정공정표 "/>
      <sheetName val="부재별산출서"/>
      <sheetName val="k2 foundation"/>
      <sheetName val="노면표시1"/>
      <sheetName val="산출3-전등"/>
      <sheetName val="산출4-조명제어"/>
      <sheetName val="산출5-전열"/>
      <sheetName val="산출7-유도등"/>
      <sheetName val="01_Summary"/>
      <sheetName val="03_Rev_Log"/>
      <sheetName val="FAB_B01计算式"/>
      <sheetName val="5_물량산출서"/>
      <sheetName val="2_재료비"/>
      <sheetName val="12_보오링"/>
      <sheetName val="18_공내수압탄성자연"/>
      <sheetName val="2_견적조건_정보"/>
      <sheetName val="슬래브일반(포항방향_B=12_3m)"/>
      <sheetName val="6_7현장운영"/>
      <sheetName val="Module1"/>
      <sheetName val="Module2"/>
      <sheetName val="Module3"/>
      <sheetName val="Module4"/>
      <sheetName val="Module5"/>
      <sheetName val="Module6"/>
      <sheetName val="Module8"/>
      <sheetName val="Module9"/>
      <sheetName val="Module7"/>
      <sheetName val="Module11"/>
      <sheetName val="단면(RW1)"/>
      <sheetName val="YES"/>
      <sheetName val="DATA1"/>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2000.11월설계내역"/>
      <sheetName val="소야공정계획표"/>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복구량산정 및 전용회선 사용"/>
      <sheetName val="호계"/>
      <sheetName val="제암"/>
      <sheetName val="월마트"/>
      <sheetName val="월드컵"/>
      <sheetName val="Sheet7"/>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주상도"/>
      <sheetName val="일위대가(목록)"/>
      <sheetName val="- INFORMATION -"/>
      <sheetName val="관급내역서"/>
      <sheetName val="이전비내역서"/>
      <sheetName val="물량"/>
      <sheetName val="배선설계"/>
      <sheetName val="부하계산"/>
      <sheetName val="기초산출서"/>
      <sheetName val="장비단가산출"/>
      <sheetName val="t형"/>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JJ"/>
      <sheetName val="설 계"/>
      <sheetName val="ASP포장"/>
      <sheetName val="에너지동"/>
      <sheetName val="견적조건(을지)"/>
      <sheetName val="3차설계"/>
      <sheetName val="일위대가표 (2)"/>
      <sheetName val="Testing"/>
      <sheetName val="IP좌표"/>
      <sheetName val="부재력정리"/>
      <sheetName val="NEYOK"/>
      <sheetName val="NOMUBI"/>
      <sheetName val="원가계산서 (총괄)"/>
      <sheetName val="원가계산서 (건축)"/>
      <sheetName val="(총괄집계)"/>
      <sheetName val="단위세대"/>
      <sheetName val="가설공사내역"/>
      <sheetName val="General Data"/>
      <sheetName val="차도조도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0.집계"/>
      <sheetName val="가로등부표"/>
      <sheetName val="매립"/>
      <sheetName val="BID-도로"/>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Áö"/>
      <sheetName val="°ßÀû¼­"/>
      <sheetName val="³»¿ª¼­"/>
      <sheetName val="Ç¥Áö"/>
      <sheetName val="º¯°æ»çÀ¯"/>
      <sheetName val="°¡¿ÁÁ¶¸í¿ø°¡°è"/>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ÀÏÀ§´ë°¡"/>
      <sheetName val="¼³°è¿¹»ê¼­"/>
      <sheetName val="¼ö·®Áý°è"/>
      <sheetName val="ÃÑ°ý"/>
      <sheetName val="Åä¸ñ"/>
      <sheetName val="°¡·Îµî³»¿ª¼­"/>
      <sheetName val="¼ö·®»êÃâ¼­"/>
      <sheetName val="2000.11¿ù¼³°è³»¿ª"/>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손료목록"/>
      <sheetName val="돌망태단위수량"/>
      <sheetName val="공사원가계산서)"/>
      <sheetName val="내역집계표"/>
      <sheetName val="대가집계표"/>
      <sheetName val="대가전기"/>
      <sheetName val="집계표(관급)"/>
      <sheetName val="전기내역관급"/>
      <sheetName val="도급예정1199"/>
      <sheetName val="외주대비"/>
      <sheetName val="수정실행"/>
      <sheetName val="단가산출근거"/>
      <sheetName val="현장인원투입"/>
      <sheetName val="장비투입계획"/>
      <sheetName val="외주대비-구조물"/>
      <sheetName val="외주대비 -석축"/>
      <sheetName val="외주대비-구조물 (2)"/>
      <sheetName val="견적표지 (3)"/>
      <sheetName val="정태현"/>
      <sheetName val="입찰결과(DATA)"/>
      <sheetName val="발주설계서(당초)"/>
      <sheetName val="일위대가 집계표"/>
      <sheetName val="횡배수관토공수량"/>
      <sheetName val="제원.설계조건"/>
      <sheetName val="가공비"/>
      <sheetName val="투자효율분석"/>
      <sheetName val="단락전류-A"/>
      <sheetName val="DPRKMHDT"/>
      <sheetName val="출력-내역서"/>
      <sheetName val="날개벽(TYPE1)"/>
      <sheetName val="견적서세부내용"/>
      <sheetName val="견적내용입력"/>
      <sheetName val="집1"/>
      <sheetName val="일반맨홀수량집계"/>
      <sheetName val="EUPDAT2"/>
      <sheetName val="공사비내역서"/>
      <sheetName val="공사비 내역 (가)"/>
      <sheetName val="Top PO"/>
      <sheetName val="공종"/>
      <sheetName val="방송노임"/>
      <sheetName val="날개벽(좌,우=45도,75도)"/>
      <sheetName val="모델링"/>
      <sheetName val="mcc일위대가"/>
      <sheetName val="원본"/>
      <sheetName val="2006기계경비산출표"/>
      <sheetName val="고창터널(고창방향)"/>
      <sheetName val="아파트기별"/>
      <sheetName val="공리일"/>
      <sheetName val="예산갑지"/>
      <sheetName val="토목원가계산서"/>
      <sheetName val="토목원가"/>
      <sheetName val="집계장"/>
      <sheetName val="제외공종"/>
      <sheetName val="기계원가계산서"/>
      <sheetName val="기계원가"/>
      <sheetName val="가설내역"/>
      <sheetName val="갑지(가로)"/>
      <sheetName val="표지목차간지"/>
      <sheetName val="예산조서-총괄"/>
      <sheetName val="예산조서-신공항1"/>
      <sheetName val="가설물"/>
      <sheetName val="내역구성"/>
      <sheetName val="4원가"/>
      <sheetName val="임시급식"/>
      <sheetName val="옥외가스"/>
      <sheetName val="임시급식 (2)"/>
      <sheetName val="unit 4"/>
      <sheetName val="Summary Sheets"/>
      <sheetName val="일위목록-기"/>
      <sheetName val="6동"/>
      <sheetName val="Chart1"/>
      <sheetName val="단위내역목록"/>
      <sheetName val="원가(1)"/>
      <sheetName val="원가(2)"/>
      <sheetName val="통장출금액"/>
      <sheetName val="VA_code"/>
      <sheetName val="공종별원가계산"/>
      <sheetName val="연결관산출조서"/>
      <sheetName val="외주"/>
      <sheetName val="BASIC (2)"/>
      <sheetName val="참조-(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일집"/>
      <sheetName val="Tot-sum"/>
      <sheetName val="노원열병합  건축렀こ렀䡟ԯ_x0000_缀"/>
      <sheetName val="노원열병합  건축렀䡟ԯ_x0000_缀_x0000__x0000_"/>
      <sheetName val="노원열병합  건축︀ᇕ԰_x0000_缀_x0000__x0000_"/>
      <sheetName val="노원열병합  건축ﻕᇕ԰_x0000_缀_x0000__x0000_"/>
      <sheetName val="2.노무비명세서(난간대)"/>
      <sheetName val="2.사진대지"/>
      <sheetName val=" 견적서"/>
      <sheetName val="(2)"/>
      <sheetName val="3.사진대지"/>
      <sheetName val="22단가(철거)"/>
      <sheetName val="49단가"/>
      <sheetName val="49단가(철거)"/>
      <sheetName val="22단가"/>
      <sheetName val="적용공정"/>
      <sheetName val="금리계산"/>
      <sheetName val="맨홀"/>
      <sheetName val="49-119"/>
      <sheetName val="관로"/>
      <sheetName val="공기변수량"/>
      <sheetName val="PO-BOQ"/>
      <sheetName val="의왕내역"/>
      <sheetName val="중총괄"/>
      <sheetName val="소총괄"/>
      <sheetName val="사용내역"/>
      <sheetName val="안전세부"/>
      <sheetName val="총급여"/>
      <sheetName val="급여"/>
      <sheetName val="안전사진"/>
      <sheetName val="계좌"/>
      <sheetName val="작업일지"/>
      <sheetName val="계획"/>
      <sheetName val="계획세부"/>
      <sheetName val="사용내역서"/>
      <sheetName val="항목별내역서"/>
      <sheetName val="안전담당자"/>
      <sheetName val="유도원"/>
      <sheetName val="검사조서"/>
      <sheetName val="집계(총괄)"/>
      <sheetName val="실적보고"/>
      <sheetName val="표준안전집계"/>
      <sheetName val="표준안전내역"/>
      <sheetName val="A갑지"/>
      <sheetName val="공정"/>
      <sheetName val="L형옹벽"/>
      <sheetName val="내부부하"/>
      <sheetName val="Mc1"/>
      <sheetName val="2000,9월 일위"/>
      <sheetName val="과천MAIN"/>
      <sheetName val="관급총괄"/>
      <sheetName val="2007일위 "/>
      <sheetName val="토목일위 (83~)"/>
      <sheetName val="표지판일위(105~"/>
      <sheetName val="장비일위"/>
      <sheetName val="재료1월호"/>
      <sheetName val="노무비 "/>
      <sheetName val="00000000"/>
      <sheetName val="고등학교"/>
      <sheetName val="제1장"/>
      <sheetName val="제2장"/>
      <sheetName val="제3장"/>
      <sheetName val="견적내역"/>
      <sheetName val="주관사업"/>
      <sheetName val="진우+대광"/>
      <sheetName val="옥외"/>
      <sheetName val="가드레일산근"/>
      <sheetName val="적용2002"/>
      <sheetName val="본선토량운반계산서(1)0"/>
      <sheetName val="°ø»çºñ¿¹»ê¼­(Åä¸ñºÐ)"/>
      <sheetName val="°¢Çü¸ÇÈ¦"/>
      <sheetName val="¼ö¸ñ´Ü°¡"/>
      <sheetName val="½Ã¼³¼ö·®Ç¥"/>
      <sheetName val="½ÄÀç¼ö·®Ç¥"/>
      <sheetName val="ÀÏÀ§¸ñ·Ï"/>
      <sheetName val="ÀÚÀç´Ü°¡"/>
      <sheetName val="°¡·Îµî"/>
      <sheetName val="정화조동내역"/>
      <sheetName val="배"/>
      <sheetName val="단위별 일위대가표"/>
      <sheetName val="제4장"/>
      <sheetName val="5장공내역서"/>
      <sheetName val="제6장"/>
      <sheetName val="직불동의서"/>
      <sheetName val="전자입찰"/>
      <sheetName val="7작업장인수인계서"/>
      <sheetName val="3특기시방서"/>
      <sheetName val="일위대가목록(1)"/>
      <sheetName val="단가대비표(1)"/>
      <sheetName val="금액결정"/>
      <sheetName val="견적의뢰서"/>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배수문수량산출(3)"/>
      <sheetName val="기본단가"/>
      <sheetName val="LP-S"/>
      <sheetName val="보합"/>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철거집계"/>
      <sheetName val="12월31일"/>
      <sheetName val="EQUIPMENT -2"/>
      <sheetName val="고분전시관"/>
      <sheetName val="전기2005"/>
      <sheetName val="통신2005"/>
      <sheetName val="계산식"/>
      <sheetName val="1._x0018_변전설비"/>
      <sheetName val="Macro3"/>
      <sheetName val="대구-교대(A1-A2)"/>
      <sheetName val="LD일"/>
      <sheetName val="SULKEA"/>
      <sheetName val="아파트건축"/>
      <sheetName val="잔수량(작성)"/>
      <sheetName val="BOQ(전체)"/>
      <sheetName val="48평단가"/>
      <sheetName val="57단가"/>
      <sheetName val="54평단가"/>
      <sheetName val="66평단가"/>
      <sheetName val="61단가"/>
      <sheetName val="89평단가"/>
      <sheetName val="84평단가"/>
      <sheetName val="적상기초자료"/>
      <sheetName val="효동"/>
      <sheetName val="전체철근집계"/>
      <sheetName val="CIVIL"/>
      <sheetName val="자  재"/>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재정비직인"/>
      <sheetName val="시공계획"/>
      <sheetName val="현장설명서"/>
      <sheetName val="견적조건서"/>
      <sheetName val="시공일반사항"/>
      <sheetName val="현장설명서갑지"/>
      <sheetName val="하도급선정의뢰서(습식공사)"/>
      <sheetName val="36신설수량"/>
      <sheetName val="제품별"/>
      <sheetName val="사전공사"/>
      <sheetName val="소포내역 (2)"/>
      <sheetName val="성서방향-교대(A2)"/>
      <sheetName val="상행-교대(A1)"/>
      <sheetName val="매매"/>
      <sheetName val="전신"/>
      <sheetName val="기간등록"/>
      <sheetName val="신공"/>
      <sheetName val="저리조양"/>
      <sheetName val="기자재대비표"/>
      <sheetName val="경산(을)"/>
      <sheetName val="정화조방수미장"/>
      <sheetName val="접속슬라브"/>
      <sheetName val="공사별 가중치 산출근거(토목)"/>
      <sheetName val="가중치근거(조경)"/>
      <sheetName val="Inquiry"/>
      <sheetName val="제진기"/>
      <sheetName val="1.범위"/>
      <sheetName val="2.편성"/>
      <sheetName val="3개요"/>
      <sheetName val="5내역"/>
      <sheetName val="6.GAS"/>
      <sheetName val="7임급실"/>
      <sheetName val="미제출"/>
      <sheetName val="소방1"/>
      <sheetName val="소방2"/>
      <sheetName val="왜UP"/>
      <sheetName val="적현로"/>
      <sheetName val="산출(전주P7)"/>
      <sheetName val="H PILE수량"/>
      <sheetName val="철근량 검토"/>
      <sheetName val="TC표지"/>
      <sheetName val="유기공정"/>
      <sheetName val="변경서식"/>
      <sheetName val="STBOX"/>
      <sheetName val="공사진행"/>
      <sheetName val="Piping Design Data"/>
      <sheetName val="연습장소"/>
      <sheetName val="MACRO(전선관)"/>
      <sheetName val="기준액"/>
      <sheetName val="상세내역,전력산출서"/>
      <sheetName val="Ampecity Data"/>
      <sheetName val="3_바닥판설계"/>
      <sheetName val="교통량조사"/>
      <sheetName val="EQ-R1"/>
      <sheetName val="품목"/>
      <sheetName val="기성"/>
      <sheetName val="기성내역 진짜"/>
      <sheetName val="2회기성사정"/>
      <sheetName val="3회기성갑지"/>
      <sheetName val="3회총괄"/>
      <sheetName val="3회기성"/>
      <sheetName val="Á¡°ËÃÑ°ý"/>
      <sheetName val="»ó¼öµµÅä°øÁý°èÇ¥"/>
      <sheetName val="°ßÀû´ëºñ"/>
      <sheetName val="ÀÏÀ§´ë°¡Ç¥(À¯´Ü°¡)"/>
      <sheetName val="ÀÚÀç¸ñ·Ï"/>
      <sheetName val="20°ü¸®ºñÀ²"/>
      <sheetName val="담장산출"/>
      <sheetName val="일위대가(출입)"/>
      <sheetName val="현장관리비 "/>
      <sheetName val="aa"/>
      <sheetName val="★도급내역"/>
      <sheetName val="과세표준율-2"/>
      <sheetName val="면적분양가"/>
      <sheetName val="분양면적(1123)"/>
      <sheetName val="출력소스"/>
      <sheetName val="평교-내역"/>
      <sheetName val="노임(1차)"/>
      <sheetName val="관리,부대비"/>
      <sheetName val="basic"/>
      <sheetName val="메서,변+증"/>
      <sheetName val="공사별 가중치 산출근거(건축)"/>
      <sheetName val="FAX"/>
      <sheetName val="건축개요"/>
      <sheetName val="예방접종계획"/>
      <sheetName val="근태계획서"/>
      <sheetName val="건축직"/>
      <sheetName val="과세내역(세부)"/>
      <sheetName val="기타시설"/>
      <sheetName val="주민복지관"/>
      <sheetName val="지하주차장"/>
      <sheetName val="SCHEDULE"/>
      <sheetName val="2000_11월설계내역"/>
      <sheetName val="대,유,램"/>
      <sheetName val="목동1절주.bh01"/>
      <sheetName val="송우내역서"/>
      <sheetName val="증감분석"/>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산재 안전"/>
      <sheetName val="노무비 경비"/>
      <sheetName val="T6-6(2)"/>
      <sheetName val="Upgrades pricing"/>
      <sheetName val="주방환기"/>
      <sheetName val="경상직원"/>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수목데이타_"/>
      <sheetName val="변압기_및_발전기_용량"/>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사원등록"/>
      <sheetName val="호봉 (2)"/>
      <sheetName val="하도급변경대비표"/>
      <sheetName val="경상"/>
      <sheetName val="3.내역서"/>
      <sheetName val="통신물량"/>
      <sheetName val="매입세"/>
      <sheetName val="표층포설및다짐"/>
      <sheetName val="별표"/>
      <sheetName val="균열"/>
      <sheetName val="암거날개벽재료집계"/>
      <sheetName val="단가및재료비"/>
      <sheetName val="노᠀⁷"/>
      <sheetName val="1공구(입찰내역)"/>
      <sheetName val="유첨#2"/>
      <sheetName val="교각별수량"/>
      <sheetName val="원가산출서"/>
      <sheetName val="자동 철거"/>
      <sheetName val="자동 설치"/>
      <sheetName val="토목 철주"/>
      <sheetName val="철거 일위대가(1-19)"/>
      <sheetName val="철거 일위대가(20-22)"/>
      <sheetName val="설치 일위대가(23-45호)"/>
      <sheetName val="설치 일위대가(46~78호)"/>
      <sheetName val="CS2"/>
      <sheetName val="실행예산서"/>
      <sheetName val="급명"/>
      <sheetName val="단  가  대  비  표"/>
      <sheetName val="일  위  대  가  목  록"/>
      <sheetName val="교각별철근수량집계표"/>
      <sheetName val="const."/>
      <sheetName val="변경내역을"/>
      <sheetName val="펌프장수량산출(토)"/>
      <sheetName val="남양구조시험동"/>
      <sheetName val="본부소개"/>
      <sheetName val="통합내역"/>
      <sheetName val="대외공문"/>
      <sheetName val="DWPM"/>
      <sheetName val="자재집계"/>
      <sheetName val="투입(관수_건축)"/>
      <sheetName val="투입(APT500)"/>
      <sheetName val="투입(분당)"/>
      <sheetName val="작성지침서2)"/>
      <sheetName val="투입스케쥴양식"/>
      <sheetName val="투입(APT1200)"/>
      <sheetName val="투입(평촌)"/>
      <sheetName val="투입(APT1000)"/>
      <sheetName val="계약내역서(을지)"/>
      <sheetName val="가시설흙막이"/>
      <sheetName val="전선"/>
      <sheetName val="강북라우터"/>
      <sheetName val="노무비산출"/>
      <sheetName val="보할공정"/>
      <sheetName val="총인원"/>
      <sheetName val="직급인원"/>
      <sheetName val="차종별"/>
      <sheetName val="OPGW기별"/>
      <sheetName val="관기성공.내"/>
      <sheetName val="중동상가"/>
      <sheetName val="평균높이산출근거"/>
      <sheetName val="횡배수관위치조서"/>
      <sheetName val="기본설계도급항목"/>
      <sheetName val="8.현장관리비"/>
      <sheetName val="견적율"/>
      <sheetName val="승용"/>
      <sheetName val="Recovered_Sheet1"/>
      <sheetName val="원가상세내역"/>
      <sheetName val="2004경영(비목별)"/>
      <sheetName val="2004경영"/>
      <sheetName val="입적표"/>
      <sheetName val="단가조사-1"/>
      <sheetName val="Man Power &amp; Comp"/>
      <sheetName val="손익집계(공장별)"/>
      <sheetName val="설계명세서(선로)"/>
      <sheetName val="현장관리비데이타"/>
      <sheetName val="1)fs"/>
      <sheetName val="구조     ."/>
      <sheetName val="본부장"/>
      <sheetName val="공조기"/>
      <sheetName val="대림산업"/>
      <sheetName val="EKOG10건축"/>
      <sheetName val="내역서(전체)"/>
      <sheetName val="내역(토목)"/>
      <sheetName val="5.공종별예산내역서"/>
      <sheetName val="두앙"/>
      <sheetName val="깨기수량"/>
      <sheetName val="하중산정"/>
      <sheetName val="세부견적서(DAS Call Back)"/>
      <sheetName val="단중표-ST"/>
      <sheetName val="PIPE"/>
      <sheetName val="VALVE"/>
      <sheetName val="COVER-P"/>
      <sheetName val="Piping(Methanol)"/>
      <sheetName val="재료집계"/>
      <sheetName val="인수공총괄"/>
      <sheetName val="덕소내역"/>
      <sheetName val="종합기별"/>
      <sheetName val="개보수공사BM"/>
      <sheetName val="장문교(대전)"/>
      <sheetName val="CLAUSE"/>
      <sheetName val="약품설︀"/>
      <sheetName val="1공구 건정토건 철콘"/>
      <sheetName val="건축내역(진해석동)"/>
      <sheetName val="KMT물량"/>
      <sheetName val="Working(wo WTs)"/>
      <sheetName val="주조정실"/>
      <sheetName val="Requirements"/>
      <sheetName val="loading"/>
      <sheetName val="단가보완"/>
      <sheetName val="단위가격"/>
      <sheetName val="P-산#1-1(WOWA1)"/>
      <sheetName val="인공(100P,배선반)"/>
      <sheetName val="전기공사"/>
      <sheetName val="납부서"/>
      <sheetName val="일위대가(여기까지)"/>
      <sheetName val="단위_xdc00_ὗ␀"/>
      <sheetName val="수성페인트도장 내역서"/>
      <sheetName val="도급내역5+800"/>
      <sheetName val="변경내역서"/>
      <sheetName val="전체도급"/>
      <sheetName val="입찰"/>
      <sheetName val="현경"/>
      <sheetName val="전화번호DATA (2001)"/>
      <sheetName val="106C0300"/>
      <sheetName val="통로box전기"/>
      <sheetName val="밧데리"/>
      <sheetName val="진접"/>
      <sheetName val="사급자재(1단계)"/>
      <sheetName val="조명투자및환수계획"/>
      <sheetName val="제조중간결과"/>
      <sheetName val="J01"/>
      <sheetName val="공내ᰖ"/>
      <sheetName val="단면"/>
      <sheetName val="탑(을지)"/>
      <sheetName val="열린교실"/>
      <sheetName val="경산锼_x0013_閄"/>
      <sheetName val="단면瑌)"/>
      <sheetName val="22단"/>
      <sheetName val="22단锼"/>
      <sheetName val="기초자료입력및 K치 확인"/>
      <sheetName val="AS_x0005__x0000_"/>
      <sheetName val="진주䈀ᅪ"/>
      <sheetName val="사업수지"/>
      <sheetName val="기계경비단가"/>
      <sheetName val="지주설치제원"/>
      <sheetName val="역집계1"/>
      <sheetName val="삼보지질"/>
      <sheetName val="7.전산해석결과"/>
      <sheetName val="우각부검토"/>
      <sheetName val="기초입력"/>
      <sheetName val="공주-교대(A1)"/>
      <sheetName val="단가 "/>
      <sheetName val="보호"/>
      <sheetName val="성남여성복지내역"/>
      <sheetName val="안양1공구_건축"/>
      <sheetName val="기술자료 (연수)"/>
      <sheetName val="등록업체"/>
      <sheetName val="esc"/>
      <sheetName val="영흥TL(UP,DOWN) "/>
      <sheetName val="sheets"/>
      <sheetName val="2002계약현황"/>
      <sheetName val="w't table"/>
      <sheetName val="UR2-Calculation"/>
      <sheetName val="노임변동률"/>
      <sheetName val="품종별-이름"/>
      <sheetName val="부서현황"/>
      <sheetName val="Option"/>
      <sheetName val="사업계획1안"/>
      <sheetName val="VENDOR LIST"/>
      <sheetName val="공통비"/>
      <sheetName val="도장 및 용접 수량"/>
      <sheetName val="경율산정"/>
      <sheetName val="위성"/>
      <sheetName val="Vari by Vendor"/>
      <sheetName val="원내역서3"/>
      <sheetName val="3도로"/>
      <sheetName val="세동별비상"/>
      <sheetName val="대비내역"/>
      <sheetName val="9."/>
      <sheetName val="견적서1"/>
      <sheetName val="가CP"/>
      <sheetName val="기초및구체공"/>
      <sheetName val="금긋기 및 절단"/>
      <sheetName val="변경품셈총괄"/>
      <sheetName val="내역."/>
      <sheetName val="기계설비"/>
      <sheetName val="설계변경내역 98"/>
      <sheetName val="공제구간조서"/>
      <sheetName val="설계일반"/>
      <sheetName val="수압집계"/>
      <sheetName val="결합부검토"/>
      <sheetName val="신규 품"/>
      <sheetName val="변수데이타"/>
      <sheetName val="예산M6-B"/>
      <sheetName val="동원인원산출"/>
      <sheetName val="품셈기준"/>
      <sheetName val="대,怀፵"/>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22단헾"/>
      <sheetName val="단가적용(터널)"/>
      <sheetName val="단위가격_할증"/>
      <sheetName val="전선_및_전선ࠝ"/>
      <sheetName val="연동내역서"/>
      <sheetName val="제"/>
      <sheetName val="총괄집䠄ᡏ"/>
      <sheetName val="산출2-기기동력"/>
      <sheetName val="통신단가조사"/>
      <sheetName val="105,106,107동"/>
      <sheetName val="수로교총재료齘_x0013_"/>
      <sheetName val="산출및내역"/>
      <sheetName val="적용(기尜_x0013_"/>
      <sheetName val="1-11조직표"/>
      <sheetName val="96.12"/>
      <sheetName val="22단丵"/>
      <sheetName val="광혁기성"/>
      <sheetName val="일반부표집계표"/>
      <sheetName val="매출단가"/>
      <sheetName val="M-EQPT-Z"/>
      <sheetName val="현장대리인계"/>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1호인버트수량"/>
      <sheetName val="석축설면"/>
      <sheetName val="copy"/>
      <sheetName val="서식"/>
      <sheetName val="2000,咘೿踇⽟_x0000_"/>
      <sheetName val="2000,ﳨǬ踇⾣_x0000_"/>
      <sheetName val="실행변경(1차)"/>
      <sheetName val="2000,缈,罌,헾"/>
      <sheetName val="2000,薸!藼!헾"/>
      <sheetName val="2000,螨_x0013_蟬_x0013_헾"/>
      <sheetName val="2000,午_x0013_꾈ૂ䡲"/>
      <sheetName val="2000,午_x0013_ॢ䡲"/>
      <sheetName val="전체내저፺"/>
      <sheetName val="인건비堀"/>
      <sheetName val="전체내堀᎟"/>
      <sheetName val="전체내︀ᇕ"/>
      <sheetName val="전체내怀፵"/>
      <sheetName val="변경비鰀፰"/>
      <sheetName val="㰀"/>
      <sheetName val="전체내ᓈባ"/>
      <sheetName val="전체내죃፺"/>
      <sheetName val="주관锼_x0013_"/>
      <sheetName val="전체내쀀ፐ"/>
      <sheetName val="堀"/>
      <sheetName val="주관사堀"/>
      <sheetName val="전체내壈᎟"/>
      <sheetName val="전체내惇፵"/>
      <sheetName val="주관사저"/>
      <sheetName val="견적ꀀፐ"/>
      <sheetName val="전체내惈፵"/>
      <sheetName val="일위대가(계측ꀀፐቇ"/>
      <sheetName val="경ꀀፐ"/>
      <sheetName val="전체내죈፺"/>
      <sheetName val="교육종류"/>
      <sheetName val="견적堀᎟"/>
      <sheetName val="4렀቟԰"/>
      <sheetName val="4︀ᇕ԰"/>
      <sheetName val="자재조사표(참고용)"/>
      <sheetName val="제품"/>
      <sheetName val="3련 B姨#"/>
      <sheetName val="경로,구간현황"/>
      <sheetName val="자탐수량산출서"/>
      <sheetName val="CAPVC"/>
      <sheetName val="일반수량집계"/>
      <sheetName val="OCM"/>
      <sheetName val="AH-1 "/>
      <sheetName val="OHU"/>
      <sheetName val="형식별 개략공사비"/>
      <sheetName val="01_ 원가계산서"/>
      <sheetName val="등록׃】"/>
      <sheetName val="등록_x0010__x0000_"/>
      <sheetName val="PART_DISCOUNT"/>
      <sheetName val="등록_x0000__x0000_"/>
      <sheetName val="소상 &quot;1&quot;"/>
      <sheetName val="매입세율"/>
      <sheetName val="회로내역(승인)"/>
      <sheetName val="»êÃ렀䡟ԯ_x0000_缀"/>
      <sheetName val="»êÃ︀ᇕ԰_x0000_缀"/>
      <sheetName val="갈현동"/>
      <sheetName val="4/_x0000_䠀"/>
      <sheetName val="4쌇栅/"/>
      <sheetName val="4က_x0000_က"/>
      <sheetName val="증栀ᙿ가"/>
      <sheetName val="수안보-헾】_x0005__x0000_"/>
      <sheetName val="일위목차"/>
      <sheetName val="견적사양비교표"/>
      <sheetName val="송전재료비"/>
      <sheetName val="FIN TUBE"/>
      <sheetName val="HED. &amp; PIPE"/>
      <sheetName val="PUMP SHT"/>
      <sheetName val="한전고리-을"/>
      <sheetName val="MW-BM"/>
      <sheetName val="평가내역"/>
      <sheetName val="-15.0"/>
      <sheetName val="사리부설"/>
      <sheetName val="임대견적서"/>
      <sheetName val="36신丵〒_x0005_"/>
      <sheetName val="물량집계"/>
      <sheetName val="현장설က_x0000_蠀ᛟ"/>
      <sheetName val="환"/>
      <sheetName val="적용기준표(98년상반기)"/>
      <sheetName val="설계명세_x0005_"/>
      <sheetName val="DATA 입᠒ᎍ"/>
      <sheetName val="설계명세揄"/>
      <sheetName val="설계명세䡲"/>
      <sheetName val="견적서(1)"/>
      <sheetName val="2234"/>
      <sheetName val="조립1부실적"/>
      <sheetName val="5월"/>
      <sheetName val="능률"/>
      <sheetName val="Despacho (c.civil)"/>
      <sheetName val="인원"/>
      <sheetName val="견적의ᰀ፜"/>
      <sheetName val="사각맨᠜"/>
      <sheetName val="공기԰_x0000_缀"/>
      <sheetName val="설계睮め_x0005_"/>
      <sheetName val="사각맨0"/>
      <sheetName val="오억미만"/>
      <sheetName val="사각맨퀀"/>
      <sheetName val="사각맨堀"/>
      <sheetName val="사각맨䈀"/>
      <sheetName val="CF"/>
      <sheetName val="거푸집물량"/>
      <sheetName val="UPDATA"/>
      <sheetName val="원가계산서(남측)"/>
      <sheetName val="제조 경영"/>
      <sheetName val="금광1터널"/>
      <sheetName val="세부狇譈"/>
      <sheetName val="사각맨ﻇ"/>
      <sheetName val="몰탈재븧܊"/>
      <sheetName val="견적의"/>
      <sheetName val="견적의烇彰"/>
      <sheetName val="하도급선정의뢰서(습식공_x0000__x0000_"/>
      <sheetName val="2터널시점"/>
      <sheetName val="짉譥"/>
      <sheetName val="ᣉᎍ"/>
      <sheetName val="금액내렀቟"/>
      <sheetName val="금액내԰_x0000_"/>
      <sheetName val="성내동"/>
      <sheetName val="인원계획"/>
      <sheetName val="자압1"/>
      <sheetName val="조경내역"/>
      <sheetName val="물墸᎟鰀"/>
      <sheetName val="화재 탐지_x0005__x0000_"/>
      <sheetName val="전신환매도徸"/>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萀⅜"/>
      <sheetName val="貭♘"/>
      <sheetName val="산#2-1 (2)"/>
      <sheetName val="2002상반기노임기준"/>
      <sheetName val="단중聀"/>
      <sheetName val="예산조서(무선)"/>
      <sheetName val="사급자재총괄"/>
      <sheetName val="구성1"/>
      <sheetName val="구성2"/>
      <sheetName val="구성3"/>
      <sheetName val="구성4"/>
      <sheetName val="69.03%"/>
      <sheetName val="변경내역100%"/>
      <sheetName val="변경내역98%"/>
      <sheetName val="변경내역96%"/>
      <sheetName val="변경내역92%"/>
      <sheetName val="변경내역88%"/>
      <sheetName val="변경내역84.52%"/>
      <sheetName val="산출0"/>
      <sheetName val="5.공종별尜_x0013_層_x0013_闰"/>
      <sheetName val="평3"/>
      <sheetName val="2.펌프장(사급자재)"/>
      <sheetName val="A1_본체_수량산출서"/>
      <sheetName val="내역총괄"/>
      <sheetName val="내역서(삼호)"/>
      <sheetName val="지하1층"/>
      <sheetName val="공비대䠚"/>
      <sheetName val="금액내㔀቎"/>
      <sheetName val="본사인상전"/>
      <sheetName val="단가산출-기,교"/>
      <sheetName val="당사"/>
      <sheetName val="내역총괄2"/>
      <sheetName val="내역총괄3"/>
      <sheetName val="0001(arch)"/>
      <sheetName val="FO"/>
      <sheetName val="Summary Sheet"/>
      <sheetName val="일위대가내역"/>
      <sheetName val="대전-교대(A1-A2)"/>
      <sheetName val="만수배관단가"/>
      <sheetName val="FRP배관단가(만수)"/>
      <sheetName val="STD"/>
      <sheetName val="10월"/>
      <sheetName val="연면적"/>
      <sheetName val="991029UTP용 M.D.F"/>
      <sheetName val="현장점검 1"/>
      <sheetName val="상가을 "/>
      <sheetName val="3.사용전검사(1000KW이상)(본동-수정)"/>
      <sheetName val="계획예산입력자료"/>
      <sheetName val="전압"/>
      <sheetName val="일(4)"/>
      <sheetName val="1F"/>
      <sheetName val="손익계산서"/>
      <sheetName val="대차대조표"/>
      <sheetName val="폐토수익화 "/>
      <sheetName val="수량산출1"/>
      <sheetName val="수전기기DATA"/>
      <sheetName val="(전체발주,금회3차공사)내역서"/>
      <sheetName val="98수금사업"/>
      <sheetName val="FRT_O"/>
      <sheetName val="FAB_I"/>
      <sheetName val="RING WALL"/>
      <sheetName val="공사비PK5월"/>
      <sheetName val="간접비(1)"/>
      <sheetName val="터널(토공)"/>
      <sheetName val="리터팬내장형"/>
      <sheetName val="5차설계"/>
      <sheetName val="FUSE_MCB"/>
      <sheetName val="full (2)"/>
      <sheetName val="BREAKDOWN"/>
      <sheetName val="REINF."/>
      <sheetName val="IPS0823"/>
      <sheetName val="공조기(삭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산출목록표"/>
      <sheetName val="수원공"/>
      <sheetName val="DATA-UPS"/>
      <sheetName val="건설장비기초단가"/>
      <sheetName val="9-1차이내역."/>
      <sheetName val="총괄표(1)"/>
      <sheetName val="공종별집계표"/>
      <sheetName val="부산4"/>
      <sheetName val="계약표지"/>
      <sheetName val="내역서-전체낙찰율"/>
      <sheetName val="개봉3동하수관"/>
      <sheetName val="장비부하"/>
      <sheetName val="내역5"/>
      <sheetName val="역간(덕_동)"/>
      <sheetName val="역간(의-덕)"/>
      <sheetName val="단가대비표(SYS)"/>
      <sheetName val="변품8-37"/>
      <sheetName val="현장일보"/>
      <sheetName val="보집계표"/>
      <sheetName val="ISBL-CIV"/>
      <sheetName val="단가대비"/>
      <sheetName val="전류"/>
      <sheetName val="일위단가"/>
      <sheetName val="일위(설)"/>
      <sheetName val="전기공사일위대가"/>
      <sheetName val="일위대가표_(2)"/>
      <sheetName val="General_Data"/>
      <sheetName val="5호광장_(만점)"/>
      <sheetName val="인천국제_(만점)_(2)"/>
      <sheetName val="설_계"/>
      <sheetName val="방음벽_기초_일반수량"/>
      <sheetName val="sum1_(2)"/>
      <sheetName val="원가계산서_(총괄)"/>
      <sheetName val="원가계산서_(건축)"/>
      <sheetName val="제원_설계조건"/>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º¹±¸·®»êÁ¤_¹×_Àü¿ëÈ¸¼±_»ç¿ë"/>
      <sheetName val="4¿ù_½ÇÀûÃßÁ¤(°ÇÃà+Åä¸ñ)"/>
      <sheetName val="4¿ù_½ÇÀûÃßÁ¤(°ÇÃà)"/>
      <sheetName val="2000_11¿ù¼³°è³»¿ª"/>
      <sheetName val="Àü¼±_¹×_Àü¼±°ü"/>
      <sheetName val="ÁØ°Ë_³»¿ª¼­"/>
      <sheetName val="¼ö¸ñµ¥ÀÌÅ¸_"/>
      <sheetName val="º¯¾Ð±â_¹×_¹ßÀü±â_¿ë·®"/>
      <sheetName val="1_¼öÀÎÅÍ³Î"/>
      <sheetName val="외주대비_-석축"/>
      <sheetName val="외주대비-구조물_(2)"/>
      <sheetName val="견적표지_(3)"/>
      <sheetName val="일위대가_집계표"/>
      <sheetName val="공사비_내역_(가)"/>
      <sheetName val="임시급식_(2)"/>
      <sheetName val="unit_4"/>
      <sheetName val="Summary_Sheets"/>
      <sheetName val="5_정산서"/>
      <sheetName val="맨홀물량"/>
      <sheetName val="열차제어동"/>
      <sheetName val="전기성능동"/>
      <sheetName val="차량시스템인자"/>
      <sheetName val="차량부품동"/>
      <sheetName val="신.분"/>
      <sheetName val="시중노임(공사)"/>
      <sheetName val="기성공제요청서"/>
      <sheetName val="하도기성내역 수정"/>
      <sheetName val="기성공제 동의서"/>
      <sheetName val="기성공제 합의서(쓰레기처리비)"/>
      <sheetName val="정보"/>
      <sheetName val="현대물량"/>
      <sheetName val="한화 둔산 내역서"/>
      <sheetName val="적격점수&lt;300억미만&gt;"/>
      <sheetName val="간이영수증"/>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데이터북"/>
      <sheetName val="조명참고자료"/>
      <sheetName val="Cable schedule"/>
      <sheetName val="V-data"/>
      <sheetName val="L-data"/>
      <sheetName val="P-data"/>
      <sheetName val="pbs_lambda"/>
      <sheetName val="Matériel embarqué PVC"/>
      <sheetName val="기지국"/>
      <sheetName val="4월"/>
      <sheetName val="8월"/>
      <sheetName val="12월"/>
      <sheetName val="2월"/>
      <sheetName val="7월"/>
      <sheetName val="6월"/>
      <sheetName val="3월"/>
      <sheetName val="11월"/>
      <sheetName val="9월"/>
      <sheetName val="교실"/>
      <sheetName val="꣈፺"/>
      <sheetName val="¼ö·®»êÃÈ"/>
      <sheetName val="저፺"/>
      <sheetName val="¼ö·®»êÃX"/>
      <sheetName val="壈᎟"/>
      <sheetName val="쀀ፐ"/>
      <sheetName val="죈፺"/>
      <sheetName val="惈፵"/>
      <sheetName val="48신설수량"/>
      <sheetName val="품셈(기초)"/>
      <sheetName val="대가단최종"/>
      <sheetName val="부丵〒"/>
      <sheetName val="부司2"/>
      <sheetName val="성원계약"/>
      <sheetName val="2000.11¿ù¼³餀㢘ԯ_x0000_缀_x0000_"/>
      <sheetName val="총괄집렇♑"/>
      <sheetName val="아산경희980422"/>
      <sheetName val="총괄집桶青"/>
      <sheetName val="01상노임"/>
      <sheetName val="Instruction"/>
      <sheetName val="22단가(철完9"/>
      <sheetName val="T1"/>
      <sheetName val="총체보활공정표"/>
      <sheetName val="1차배부(JB포함)"/>
      <sheetName val="원내역서 그대로"/>
      <sheetName val="설계내역일위"/>
      <sheetName val="969910( R)"/>
      <sheetName val="전장품(관리용)"/>
      <sheetName val="박스토공"/>
      <sheetName val="남대문빌딩"/>
      <sheetName val="PUMP"/>
      <sheetName val="각종장비전압강하계산"/>
      <sheetName val="거래명세서"/>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재경"/>
      <sheetName val="5.일위대가"/>
      <sheetName val="6.철거발생품예정조서"/>
      <sheetName val="7.지급자재조서"/>
      <sheetName val="8.가격조사서"/>
      <sheetName val="준설량산정표"/>
      <sheetName val="01하반기노임"/>
      <sheetName val="울진항공등화 내역서"/>
      <sheetName val="단가견적조사표"/>
      <sheetName val="공무공A"/>
      <sheetName val="36신설수翇"/>
      <sheetName val="36신설수︀"/>
      <sheetName val="견적꓀᥻"/>
      <sheetName val="수안보-_x0005__x0000__x0000_"/>
      <sheetName val="36신설수Ç"/>
      <sheetName val="36신설수資"/>
      <sheetName val="수안보-徸〒_x0005__x0000_"/>
      <sheetName val="비목군분류일위"/>
      <sheetName val="입출재고현⩿〚_x0005__x0000_"/>
      <sheetName val="º¯°æ»çÀ_x0000_"/>
      <sheetName val="백호헾】_x0005_"/>
      <sheetName val="수안보-娐&gt;闰⿑"/>
      <sheetName val="수안보-ꮸ⿥_x0005__x0000_"/>
      <sheetName val="백호丵〒_x0005_"/>
      <sheetName val="투찰가"/>
      <sheetName val="구조대가"/>
      <sheetName val="포설대가1"/>
      <sheetName val="부대대가"/>
      <sheetName val="철근총괄집계표"/>
      <sheetName val="홈통받이수량"/>
      <sheetName val="공사수행방안"/>
      <sheetName val="Data2"/>
      <sheetName val="참조 DATA"/>
      <sheetName val="program"/>
      <sheetName val="studbolt no."/>
      <sheetName val="studbolt size"/>
      <sheetName val="item sort no"/>
      <sheetName val="기준"/>
      <sheetName val="파이프"/>
      <sheetName val="8__안정검토"/>
      <sheetName val="철근량_검토"/>
      <sheetName val="기술자료_(연수)"/>
      <sheetName val="실행비교"/>
      <sheetName val="지입재료비"/>
      <sheetName val="산출명세서"/>
      <sheetName val="조정내역"/>
      <sheetName val="조정_x0014__x0008_"/>
      <sheetName val="_x0000__x0008__x0000__x0008__x0000__x0006__x0000__x0004_"/>
      <sheetName val="상가지급현황"/>
      <sheetName val="13LPMCC"/>
      <sheetName val="마장"/>
      <sheetName val="3_바닥판설계1"/>
      <sheetName val="Piping_Design_Data"/>
      <sheetName val="H_PILE수량"/>
      <sheetName val="Ampecity_Data"/>
      <sheetName val="BASIC_(2)"/>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산재_안전"/>
      <sheetName val="노무비_경비"/>
      <sheetName val="소상_&quot;1&quot;"/>
      <sheetName val="개요입력"/>
      <sheetName val="수량기준"/>
      <sheetName val="단가기준"/>
      <sheetName val="결재판"/>
      <sheetName val="변경총괄지(1)"/>
      <sheetName val="기계경비(旉る_x0000__x0000_"/>
      <sheetName val="기계경비(贘_x0013_짘ࣅ"/>
      <sheetName val="MANUFACTORY"/>
      <sheetName val="일위대가서식"/>
      <sheetName val="일위대가양식"/>
      <sheetName val="O＆P"/>
      <sheetName val="결재판(삭제하지말아주세요)"/>
      <sheetName val="케이블"/>
      <sheetName val="유첨䈀ᅪ"/>
      <sheetName val="토공,기초"/>
      <sheetName val="자재 단가표"/>
      <sheetName val="주간계획"/>
      <sheetName val="선택"/>
      <sheetName val="총괄원가 "/>
      <sheetName val="TG9504"/>
      <sheetName val="1995년 섹터별 매출"/>
      <sheetName val="master(total)"/>
      <sheetName val="99년신청"/>
      <sheetName val="아수배전(1회)"/>
      <sheetName val="인건비_조사"/>
      <sheetName val="일위1"/>
      <sheetName val="층"/>
      <sheetName val="배수내역(총수량)"/>
      <sheetName val="3련 B_x0005__x0000_"/>
      <sheetName val="기성수금(단단위)"/>
      <sheetName val="원가매출(단단위)"/>
      <sheetName val="설치 일위대가(4԰_x0000_缀_x0000__x0000__x0000_"/>
      <sheetName val="프로젝트"/>
      <sheetName val="0217상가미분양자산"/>
      <sheetName val="BOQ-Summary_Form A1"/>
      <sheetName val="BOQ-Summary_Form A2"/>
      <sheetName val="BOQ-Summary_Form A3"/>
      <sheetName val="Attachment_A"/>
      <sheetName val="elect QC"/>
      <sheetName val="Quezon"/>
      <sheetName val="bulcan"/>
      <sheetName val="Bulacan"/>
      <sheetName val="3-1-12"/>
      <sheetName val="3-1-3"/>
      <sheetName val="Condition"/>
      <sheetName val="choose"/>
      <sheetName val="별표(48~75)"/>
      <sheetName val="제3장 기술업무"/>
      <sheetName val="일반전기C"/>
      <sheetName val="POOM_MOTO"/>
      <sheetName val="기초코徸"/>
      <sheetName val="예산조서(︀ᇕ԰"/>
      <sheetName val="205동"/>
      <sheetName val="과세면세표"/>
      <sheetName val="PARAMETER"/>
      <sheetName val="세부내역(직접인건비)"/>
      <sheetName val="현장지䀀ኀ㠀ኃ"/>
      <sheetName val="집계(세부총괄)"/>
      <sheetName val="물가변동잔여물량세부내역서"/>
      <sheetName val="신규(방류시설)"/>
      <sheetName val="덤프트럭계수"/>
      <sheetName val="미지급내역"/>
      <sheetName val="첨부1"/>
      <sheetName val="재료표"/>
      <sheetName val="금액결揄"/>
      <sheetName val="공사비 내역"/>
      <sheetName val="매입내역 "/>
      <sheetName val="거래처별지출내역"/>
      <sheetName val="㩷"/>
      <sheetName val="렀ⵘ"/>
      <sheetName val="֭_x0000_"/>
      <sheetName val="Param"/>
      <sheetName val="입찰보Ⳡ"/>
      <sheetName val="총(철거)"/>
      <sheetName val="RangeObject"/>
      <sheetName val="등록자료"/>
      <sheetName val="방음벽기초(H_xd8d4_ㆂᰀㆃ"/>
      <sheetName val="입찰준비계획안(부대)"/>
      <sheetName val="입찰준비계획안(외주)"/>
      <sheetName val="입찰준비계획안(기타견적)"/>
      <sheetName val="장항선4공구직접비집계"/>
      <sheetName val="용수간선"/>
      <sheetName val="노무비(첨부4-4)"/>
      <sheetName val="왕십리방향"/>
      <sheetName val="︀ᇕ"/>
      <sheetName val="怀፵"/>
      <sheetName val="주사무실︀ᇕ"/>
      <sheetName val="주사무실ꠀ፺"/>
      <sheetName val="BOX ꠀ፺"/>
      <sheetName val="㗈቎"/>
      <sheetName val="¼ö·®»êÃ¨"/>
      <sheetName val="주관사_x0000_"/>
      <sheetName val="주관사提"/>
      <sheetName val="주관사㌈"/>
      <sheetName val="주관사㧨"/>
      <sheetName val="전부인쇄"/>
      <sheetName val="1.외주공사"/>
      <sheetName val="2.직영공사"/>
      <sheetName val="첨부"/>
      <sheetName val="계산DATA입력"/>
      <sheetName val="계좌번호"/>
      <sheetName val="청하배수"/>
      <sheetName val="원가집계"/>
      <sheetName val="파이프류"/>
      <sheetName val="점검내역서(data) (2)"/>
      <sheetName val="2.주요계수총괄"/>
      <sheetName val="입찰사유서 제4공종 (흙깎기)"/>
      <sheetName val="D16"/>
      <sheetName val="D25"/>
      <sheetName val="D22"/>
      <sheetName val="단위세대물량"/>
      <sheetName val="변경품셈"/>
      <sheetName val="OCT.FDN"/>
      <sheetName val="HANDHOLE(2)"/>
      <sheetName val="N頀ᚃ"/>
      <sheetName val="N"/>
      <sheetName val="AHU집계"/>
      <sheetName val="삼성전기"/>
      <sheetName val="B부대공"/>
      <sheetName val="분양가격표"/>
      <sheetName val="일목"/>
      <sheetName val="기준표"/>
      <sheetName val="º¯°æ»çÀþ"/>
      <sheetName val="제수변︀ᇕ"/>
      <sheetName val="결과조Ⴚ"/>
      <sheetName val="결과조º"/>
      <sheetName val="º¯°æ»çÀ¸"/>
      <sheetName val="º¯°æ»çÀ5"/>
      <sheetName val="º¯°æ»çÀ "/>
      <sheetName val="제수변﹔ᇕ"/>
      <sheetName val="º¯°æ»çÀB"/>
      <sheetName val="단가일䊱"/>
      <sheetName val="전체내ﰀ⁗"/>
      <sheetName val="제수변䊱ᅪ"/>
      <sheetName val="A(Rev.3)"/>
      <sheetName val="부총"/>
      <sheetName val="원가계墬ᥓ"/>
      <sheetName val="원가계Ⴌ_x0000_"/>
      <sheetName val="관로토공집계표"/>
      <sheetName val="토 적 표"/>
      <sheetName val="3회기성헾】"/>
      <sheetName val="변경비교헾】"/>
      <sheetName val="몰탈㔀቎԰_x0000_"/>
      <sheetName val="몰탈䠊ፓ倀놡"/>
      <sheetName val="몰탈䠋ፓ頀뫻"/>
      <sheetName val="몰탈䠠ፓ瀀멗"/>
      <sheetName val="몰탈䠊ፓ "/>
      <sheetName val="몰탈䠉ፓ退"/>
      <sheetName val="몰탈䠉ፓ退ꠍ"/>
      <sheetName val="몰탈䠑ፓ뀀짅"/>
      <sheetName val="TOEC"/>
      <sheetName val="몰탈䠊ፓ㠀擞"/>
      <sheetName val="bdata-출력안함"/>
      <sheetName val="공리공제"/>
      <sheetName val="자재ᰀ፜搀"/>
      <sheetName val="부대공집계표"/>
      <sheetName val="노무비(DB)_이후 출력XXXXXX"/>
      <sheetName val="3회기성䃸〒"/>
      <sheetName val="3회기성_x0005__x0000_"/>
      <sheetName val="3회기성吸("/>
      <sheetName val="3회기성ⱂ⿌"/>
      <sheetName val="3회기성埀0"/>
      <sheetName val="철거산출헾】"/>
      <sheetName val="철거산출午_x0013_"/>
      <sheetName val="평균터파기고(1-2,ASP)"/>
      <sheetName val="남양주부대"/>
      <sheetName val="단위목헾"/>
      <sheetName val="지입집계"/>
      <sheetName val="11+040(통로)"/>
      <sheetName val="일별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지불내역1"/>
      <sheetName val="집수정(1)"/>
      <sheetName val="공사비명세서"/>
      <sheetName val="PAC"/>
      <sheetName val="행거,슈,볼트,펌프,잡재"/>
      <sheetName val="을-ATYPE"/>
      <sheetName val="동력부하계산"/>
      <sheetName val="단가표 (2)"/>
      <sheetName val="소각장스케줄"/>
      <sheetName val="단__가__대__비__표"/>
      <sheetName val="일__위__대__가__목__록"/>
      <sheetName val="페인트"/>
      <sheetName val="30신설일위대가"/>
      <sheetName val="30집계표"/>
      <sheetName val="00노임기준"/>
      <sheetName val="소일위대가코드표"/>
      <sheetName val="일위대가(가설԰"/>
      <sheetName val="TYPE집계표"/>
      <sheetName val="포쐀䑣"/>
      <sheetName val="포䠟⥏"/>
      <sheetName val="포䠠⥏"/>
      <sheetName val="포䈀㙪"/>
      <sheetName val="栍ᾆ"/>
      <sheetName val="시초1교"/>
      <sheetName val="대구-교대(A1)"/>
      <sheetName val="ꀀ"/>
      <sheetName val="공정량산출내역서 "/>
      <sheetName val="제철"/>
      <sheetName val="조정금액결과표 (차수별)"/>
      <sheetName val="토공실행"/>
      <sheetName val="구간산출"/>
      <sheetName val="Ext. Stone-P"/>
      <sheetName val="단위_x0000__x0000_尀"/>
      <sheetName val="단위ࠀᎄ䰀"/>
      <sheetName val="단위倀❹缀"/>
      <sheetName val="단위耀ὡ"/>
      <sheetName val="호표"/>
      <sheetName val="B767"/>
      <sheetName val="0.갑지"/>
      <sheetName val="건축공사 집계표"/>
      <sheetName val="토공대가"/>
      <sheetName val="B.O.M"/>
      <sheetName val="설변물량"/>
      <sheetName val="예비품"/>
      <sheetName val="제丵"/>
      <sheetName val="PW3"/>
      <sheetName val="PW4"/>
      <sheetName val="SC1"/>
      <sheetName val="PE"/>
      <sheetName val="PM"/>
      <sheetName val="TR"/>
      <sheetName val="금호산업"/>
      <sheetName val="총괄갑 "/>
      <sheetName val="5.동별횡주관경"/>
      <sheetName val="154TW"/>
      <sheetName val="수주실적0709"/>
      <sheetName val="제4절-1"/>
      <sheetName val="PANEL"/>
      <sheetName val="일위(시설)"/>
      <sheetName val="조건입력"/>
      <sheetName val="조건입력(2)"/>
      <sheetName val="장비선정"/>
      <sheetName val="공통대가"/>
      <sheetName val="특기사항"/>
      <sheetName val="하도내역 (철콘)"/>
      <sheetName val="대가 (보완)"/>
      <sheetName val="토목원가계窨_x0013_"/>
      <sheetName val="신공항A-9헾】_x0005__x0000__x0000_"/>
      <sheetName val="기존구조물철거집계계표"/>
      <sheetName val="내역서(교량)전체"/>
      <sheetName val="장비경비"/>
      <sheetName val="건공실"/>
      <sheetName val="총괄집㸁䧾"/>
      <sheetName val="허용전류-IEC DATA"/>
      <sheetName val="배관내역"/>
      <sheetName val="POWER"/>
      <sheetName val="교대일반수량"/>
      <sheetName val="WO"/>
      <sheetName val="비용"/>
      <sheetName val="적용환율"/>
      <sheetName val="DS-최종"/>
      <sheetName val="PREFACE"/>
      <sheetName val="DATA-1"/>
      <sheetName val="간접총괄"/>
      <sheetName val="960318-1"/>
      <sheetName val="2006기계䈌ᅪ԰_x0000_缀"/>
      <sheetName val="기타공"/>
      <sheetName val="재원표"/>
      <sheetName val="FCU (2)"/>
      <sheetName val="장비분석"/>
      <sheetName val="석재장조사"/>
      <sheetName val="기성청구현황"/>
      <sheetName val="JUCK֕_x0000_缀"/>
      <sheetName val="전체실적"/>
      <sheetName val="도급FORM"/>
      <sheetName val="귀래방향"/>
      <sheetName val="운반비산정"/>
      <sheetName val="을 2"/>
      <sheetName val="을 1"/>
      <sheetName val="재1"/>
      <sheetName val="장비가동"/>
      <sheetName val="IN"/>
      <sheetName val="CT "/>
      <sheetName val="정거장"/>
      <sheetName val="길내기"/>
      <sheetName val="강관산출"/>
      <sheetName val="master(2차)"/>
      <sheetName val="내역통합"/>
      <sheetName val="성토도수로현황"/>
      <sheetName val="구조물"/>
      <sheetName val="당사실시1"/>
      <sheetName val="하도급선정의뢰_x0000__x0000_螨_x0000__x0000__x0000_ۈ"/>
      <sheetName val="48전력선로일挔"/>
      <sheetName val="콘센트신설"/>
      <sheetName val="FWBS7000,8000"/>
      <sheetName val="ANALYSER"/>
      <sheetName val="ring wall thickness"/>
      <sheetName val="Change rate"/>
      <sheetName val="B3.PERSONEL-Ucret"/>
      <sheetName val="공정표(전체)"/>
      <sheetName val="무전표"/>
      <sheetName val="NOTE ALL"/>
      <sheetName val="내역서(당초변경)"/>
      <sheetName val="2.조명기구철거(일괄철거분)"/>
      <sheetName val="대운반(철재)"/>
      <sheetName val="설계수량"/>
      <sheetName val="3.2.1 마루높이결정"/>
      <sheetName val="제품橂"/>
      <sheetName val="피스표"/>
      <sheetName val="산업개발안내서"/>
      <sheetName val="작성양식"/>
      <sheetName val="품-(주)코①"/>
      <sheetName val="자재단가리스트"/>
      <sheetName val="공사내역(총괄)"/>
      <sheetName val="대보~세기"/>
      <sheetName val="8.수량산출 (2)"/>
      <sheetName val="일위대가표 (⠋ᡏ"/>
      <sheetName val="일위대가표 (䀀⅒"/>
      <sheetName val="ÀÏÀ§´ë°¡Ç¥(1@"/>
      <sheetName val="일위대가표 (ԯ_x0000_"/>
      <sheetName val="관헾"/>
      <sheetName val="원가(1︀"/>
      <sheetName val="원가(1䠀"/>
      <sheetName val="관聈"/>
      <sheetName val="관_x0005_"/>
      <sheetName val="제수午_x0013_ὐ"/>
      <sheetName val="수안보-墰5壼5"/>
      <sheetName val="5.3 단면가정"/>
      <sheetName val="시추주상도"/>
      <sheetName val="일위집계(기존)"/>
      <sheetName val="북제주-표지"/>
      <sheetName val="COVERSHEET"/>
      <sheetName val="[YES.XLS][YES.XLS]4/_x0000_䠀"/>
      <sheetName val="[YES.XLS][YES.XLS]4쌇栅/"/>
      <sheetName val="05년"/>
      <sheetName val="내역서(총괄)"/>
      <sheetName val="공종별 집계표"/>
      <sheetName val="철콘집계"/>
      <sheetName val="5회기성03월"/>
      <sheetName val="공통가설_8"/>
      <sheetName val="아파트_9"/>
      <sheetName val="직접공사비집계표_7"/>
      <sheetName val="GTG TR PIT"/>
      <sheetName val="BLR-S"/>
      <sheetName val="일위대가표(무)"/>
      <sheetName val="일위대가산출기초"/>
      <sheetName val="장비명"/>
      <sheetName val="cable-data"/>
      <sheetName val="1._x005f_x0018_변전설비"/>
      <sheetName val="입렀"/>
      <sheetName val="입栀"/>
      <sheetName val="입ꠀ"/>
      <sheetName val="평균환율-USD"/>
      <sheetName val="인원동원계획"/>
      <sheetName val="입︀"/>
      <sheetName val=" 소방공사 산출근거"/>
      <sheetName val="YES.XLS"/>
      <sheetName val="물량증감"/>
      <sheetName val="9902"/>
      <sheetName val="적격"/>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역삼"/>
      <sheetName val="배수관연장산출서"/>
      <sheetName val="기초ա_x0000_"/>
      <sheetName val="물량尜"/>
      <sheetName val="토공,철콘"/>
      <sheetName val="변경비丵〒_x0005_"/>
      <sheetName val="물량丵"/>
      <sheetName val="AILC005"/>
      <sheetName val="AILC00_x0000_"/>
      <sheetName val="AILC00_x0010_"/>
      <sheetName val="우,오수"/>
      <sheetName val="팔당터널(1공구)"/>
      <sheetName val="흙쌓기도수로설치현황(1)"/>
      <sheetName val="식재-외주 (2)"/>
      <sheetName val="자(3.0m)"/>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자재노임단가"/>
      <sheetName val="크레인5ton"/>
      <sheetName val="단가산출-2"/>
      <sheetName val="기초수량-1"/>
      <sheetName val="단가산출-1"/>
      <sheetName val="작용하중산정"/>
      <sheetName val="倀ᑙ"/>
      <sheetName val="1x"/>
      <sheetName val="栈᲋"/>
      <sheetName val="_xd810_᱓"/>
      <sheetName val="자재단가_x0005_"/>
      <sheetName val="물塠"/>
      <sheetName val="물徸"/>
      <sheetName val="guard(mac¸"/>
      <sheetName val="물嬼"/>
      <sheetName val="물闰"/>
      <sheetName val="guard(macð"/>
      <sheetName val="물呈"/>
      <sheetName val="guard(macH"/>
      <sheetName val="[YES.XLS][YES.XLS]신표司/"/>
      <sheetName val="변경비_x0000__x0000_Ѡ"/>
      <sheetName val="°ø»ç¿ø°¡°è牨-犬-"/>
      <sheetName val="전체내역갑지"/>
      <sheetName val="실행내역서 (조경)"/>
      <sheetName val="형틀공사"/>
      <sheetName val="주소록"/>
      <sheetName val="전체내ꀀፐ"/>
      <sheetName val="교대(A1挔"/>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
      <sheetName val="[YES.XLS][YES.XLS][YES.XLS]신표司/"/>
      <sheetName val="[YES.XLS]신표司/"/>
      <sheetName val="총괄분 설계서용지"/>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Macro(부하)"/>
      <sheetName val="밀양노선별공사비명세서"/>
      <sheetName val="일위산출근거"/>
      <sheetName val="적격심사표"/>
      <sheetName val="실내건축일위대가"/>
      <sheetName val="5.전사투자계획종함안"/>
      <sheetName val="기성신청"/>
      <sheetName val="방음벽 기초 일반헾】"/>
      <sheetName val="단가비교표 (계측제어)"/>
      <sheetName val="카렌스센터계량기설치공사"/>
      <sheetName val="지입자재"/>
      <sheetName val="배전반용량계산"/>
      <sheetName val="세정탑 설계"/>
      <sheetName val="기계설비-물가변동"/>
      <sheetName val="[YES.XLS][YES.XLS][YES.XLS]4/_x0000_䠀"/>
      <sheetName val="[YES.XLS][YES.XLS][YES.XLS]4쌇栅/"/>
      <sheetName val="교사기준면적(초등)"/>
      <sheetName val="새공통"/>
      <sheetName val="3절_CheckList_구분"/>
      <sheetName val="적정성평가표(8번)(1순위)"/>
      <sheetName val="적정성평가표(12번)(6순위)"/>
      <sheetName val="가옥조"/>
      <sheetName val="기계경비산출"/>
      <sheetName val="1_x0005_"/>
      <sheetName val="도면자료제출일정"/>
      <sheetName val="시공계_x0005_"/>
      <sheetName val="변경비_x0005__x0000_"/>
      <sheetName val="교대시점"/>
      <sheetName val="8. 안_x0000__x0000__x0005_"/>
      <sheetName val="경비공통"/>
      <sheetName val="동원인원계획표"/>
      <sheetName val="총괄집ᨈꥬ"/>
      <sheetName val="총괄집_x0000__x0000_"/>
      <sheetName val="VS P-Q"/>
      <sheetName val="KSHAHU-6"/>
      <sheetName val="LANGUAGE"/>
      <sheetName val="전기내역서(총계)"/>
      <sheetName val="1-최종안"/>
      <sheetName val="사업분석-분양가결정"/>
      <sheetName val="할丵〒"/>
      <sheetName val="부하집계"/>
      <sheetName val="영구峤"/>
      <sheetName val="단가_x0005__x0000_"/>
      <sheetName val="영구_x0005_"/>
      <sheetName val="영구射"/>
      <sheetName val="영구嶄"/>
      <sheetName val="설계(안)"/>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견적 (2)"/>
      <sheetName val="수곡내역"/>
      <sheetName val="전체내역 (2)"/>
      <sheetName val="Formulas &amp; Tables"/>
      <sheetName val="±âÀÚÀç´ëºñÇ¥"/>
      <sheetName val="¿¬°áÀÓ½Ã"/>
      <sheetName val="°ü±Þ"/>
      <sheetName val="일위대가 (PM)"/>
      <sheetName val="임시전기공사설계서"/>
      <sheetName val="토적계산"/>
      <sheetName val="96 능제취입"/>
      <sheetName val="M+1"/>
      <sheetName val="광,철광석 사용량(2000)"/>
      <sheetName val="포,철광석 사용량(2000)"/>
      <sheetName val="91,92황산"/>
      <sheetName val="도급단가-아파트"/>
      <sheetName val="BREAKDOWN(철거설치)"/>
      <sheetName val="변경후원본2"/>
      <sheetName val="LABTOTAL"/>
      <sheetName val="경성자금"/>
      <sheetName val="SUB일위대가"/>
      <sheetName val="평자재단가"/>
      <sheetName val="DRAIN DRUM PIT D-301"/>
      <sheetName val="목록1"/>
      <sheetName val="목록2"/>
      <sheetName val="요약"/>
      <sheetName val="전체총괄"/>
      <sheetName val="세목별"/>
      <sheetName val="소개"/>
      <sheetName val="#REF!"/>
      <sheetName val="계열사현황종합"/>
      <sheetName val="basic_info"/>
      <sheetName val="총공사비"/>
      <sheetName val="INS-SHEET"/>
      <sheetName val="shtOpr"/>
      <sheetName val="증감䈀ᅪ"/>
      <sheetName val="원가계산(2)"/>
      <sheetName val="/_x0000_"/>
      <sheetName val="က_x0000_"/>
      <sheetName val="포장쌅"/>
      <sheetName val="예산내역"/>
      <sheetName val="총괄수지표"/>
      <sheetName val="9GN邷㭘"/>
      <sheetName val="¹׃】_x0000_"/>
      <sheetName val="전등부하"/>
      <sheetName val="_x0005__x0006__x0008__x0003_"/>
      <sheetName val="_x0000_ _x0000__x0006__x0000__x0006_"/>
      <sheetName val="날개벽(좌,우=60도-4개)"/>
      <sheetName val="건0_x0000_蠀"/>
      <sheetName val="금0_x0000_䠀"/>
      <sheetName val="금蠣㡎耀"/>
      <sheetName val="재료집계표3"/>
      <sheetName val="범용개발순소요비용"/>
      <sheetName val="산#3-1"/>
      <sheetName val="산#3-2"/>
      <sheetName val="배관BM(일반)"/>
      <sheetName val="산#3-2-2"/>
      <sheetName val="수출가격"/>
      <sheetName val="IBL-C"/>
      <sheetName val="Architecture Work"/>
      <sheetName val="6.2.1 지하차도 조도계산"/>
      <sheetName val="8공구 강재 수량"/>
      <sheetName val="EVALUATE물량산출서"/>
      <sheetName val="스라브"/>
      <sheetName val="Stem Footing"/>
      <sheetName val="변경_x0005__x0006__x0004__x0004_"/>
      <sheetName val="_x0000__x0002__x0000__x0007__x0000__x0004__x0000__x0007__x0000_"/>
      <sheetName val="(14)전기품셈정산"/>
      <sheetName val="(12)전기경비"/>
      <sheetName val="8. _x0005__x0000__x0000_"/>
      <sheetName val="바이오"/>
      <sheetName val="도급내역서"/>
      <sheetName val="지급자재대"/>
      <sheetName val="5."/>
      <sheetName val="12."/>
      <sheetName val="14."/>
      <sheetName val="7."/>
      <sheetName val="8."/>
      <sheetName val="10."/>
      <sheetName val="PI蒨9"/>
      <sheetName val="겉장"/>
      <sheetName val="율림"/>
      <sheetName val="화진"/>
      <sheetName val="가설(내부수평비계)"/>
      <sheetName val="건축물현장정리"/>
      <sheetName val="공통가설공사(공통)"/>
      <sheetName val="골재대"/>
      <sheetName val="폐기물 (2)"/>
      <sheetName val="경로당내역건축"/>
      <sheetName val="노임단가(08.01)"/>
      <sheetName val="몰탈단가"/>
      <sheetName val="기능공인적사항"/>
      <sheetName val="5.단가대비표"/>
      <sheetName val="노임,자재"/>
      <sheetName val="기계경비(맨홀)"/>
      <sheetName val="4.일위대가목차"/>
      <sheetName val="가도䠀"/>
      <sheetName val="가도ԯ"/>
      <sheetName val="가도저"/>
      <sheetName val="절감계산"/>
      <sheetName val="ML"/>
      <sheetName val="기초"/>
      <sheetName val="가시설"/>
      <sheetName val="´_x0005__x0000_"/>
      <sheetName val="103동"/>
      <sheetName val="D.B"/>
      <sheetName val="기계경비(시"/>
      <sheetName val="ÀÏÀ§´ë헾】_x0005__x0000__x0000__x0000_"/>
      <sheetName val="고창터널(고창방향䈀"/>
      <sheetName val="영구청af헾"/>
      <sheetName val="영구청af薸"/>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단위"/>
      <sheetName val="총괄집계 "/>
      <sheetName val="기본자료"/>
      <sheetName val="기က_x0000_退"/>
      <sheetName val="_x0001__x0000_"/>
      <sheetName val="1-"/>
      <sheetName val="1"/>
      <sheetName val="1_x0008_"/>
      <sheetName val="1þ"/>
      <sheetName val="1¨"/>
      <sheetName val="1g"/>
      <sheetName val="㠈⎗"/>
      <sheetName val="⢔"/>
      <sheetName val="᠇Ẓ"/>
      <sheetName val="1ì"/>
      <sheetName val="1º"/>
      <sheetName val="謂ⷄ"/>
      <sheetName val="ꠀ⢄"/>
      <sheetName val="⠊⢌"/>
      <sheetName val="ꠀ฀"/>
      <sheetName val="了"/>
      <sheetName val="1"/>
      <sheetName val="1_x0018_"/>
      <sheetName val="1ð"/>
      <sheetName val="栉ᶆ"/>
      <sheetName val=" ᧡"/>
      <sheetName val="1P"/>
      <sheetName val="1("/>
      <sheetName val="1@"/>
      <sheetName val="1 "/>
      <sheetName val="⠖㔺"/>
      <sheetName val="砖㖌"/>
      <sheetName val="1è"/>
      <sheetName val="1_x001e_"/>
      <sheetName val="1`"/>
      <sheetName val="1"/>
      <sheetName val="1°"/>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목창호"/>
      <sheetName val="5.2코핑"/>
      <sheetName val="전체내԰_x0000_"/>
      <sheetName val="원안"/>
      <sheetName val="암거치수표"/>
      <sheetName val="재료집계표빽업"/>
      <sheetName val="암거수리계산서"/>
      <sheetName val="◀암거위치"/>
      <sheetName val="최종단면▶"/>
      <sheetName val="◀평균높이▶"/>
      <sheetName val="전체내저ᚙ"/>
      <sheetName val="전체내ꠀ᪘"/>
      <sheetName val="주관⩿〚"/>
      <sheetName val="1¸"/>
      <sheetName val="b_balju_ch"/>
      <sheetName val="b_balju_chÈ"/>
      <sheetName val="b_balju_ch_x0005_"/>
      <sheetName val="b_balju_chÛ"/>
      <sheetName val="b_balju_ch("/>
      <sheetName val="N賃率_職"/>
      <sheetName val="기본DATԯ"/>
      <sheetName val="기본DAT頀"/>
      <sheetName val="REDUCER"/>
      <sheetName val="WE'T"/>
      <sheetName val="실︀ԯ"/>
      <sheetName val="하수급견적대䧨"/>
      <sheetName val="SHUTDOWN VALVE"/>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Summar헾】_x0005__x0000__x0000__x0000__x0000_"/>
      <sheetName val="부대공(집계)"/>
      <sheetName val="포장단면별단위수량"/>
      <sheetName val="공사비집_x0005_"/>
      <sheetName val="bCord공정"/>
      <sheetName val="d수량"/>
      <sheetName val="e대가"/>
      <sheetName val="g단가"/>
      <sheetName val="h집계"/>
      <sheetName val="8.일위대가표(1)"/>
      <sheetName val="8.일위대가표(2)"/>
      <sheetName val="7.청제공기계기구조서"/>
      <sheetName val="횡분배정리(DB)"/>
      <sheetName val="방음벽기초-수량"/>
      <sheetName val="수량산출기초(케블등)"/>
      <sheetName val="2.노무비명세서(수직보垰7埼"/>
      <sheetName val="수량산출내역1115"/>
      <sheetName val="아파트저᝾"/>
      <sheetName val="아파트㾅"/>
      <sheetName val="관급원내역"/>
      <sheetName val="7.경제성결과"/>
      <sheetName val=" 갑지"/>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자재단가徸"/>
      <sheetName val="수안보-๿〚_x0005__x0000_"/>
      <sheetName val="금액내역헾"/>
      <sheetName val="자재단가尜"/>
      <sheetName val="NAIL단가산출"/>
      <sheetName val="수안보-挔_x0012_竖め"/>
      <sheetName val="자재단가헾"/>
      <sheetName val="자재단가丵"/>
      <sheetName val="수량산출(통신선로)"/>
      <sheetName val="수량산출(여객장치)"/>
      <sheetName val="수량산출(전화)"/>
      <sheetName val="사업부배부A"/>
      <sheetName val="입력값1"/>
      <sheetName val="insulation"/>
      <sheetName val="PipWT"/>
      <sheetName val="뜃맟뭁돽띿맟?-BLDG"/>
      <sheetName val="PBS"/>
      <sheetName val="검색"/>
      <sheetName val="INSTR"/>
      <sheetName val="수지표"/>
      <sheetName val="셀명"/>
      <sheetName val="공통단가"/>
      <sheetName val="1.동력공사"/>
      <sheetName val="청주-교대(A1)"/>
      <sheetName val="감시제어"/>
      <sheetName val="목차임시"/>
      <sheetName val="선로의 %임피던스 "/>
      <sheetName val="동력배선"/>
      <sheetName val="본선동력배선"/>
      <sheetName val="본선조명"/>
      <sheetName val="전력간선배선"/>
      <sheetName val="전열배선"/>
      <sheetName val="전체-원가분리내역"/>
      <sheetName val="계화배수(3대)"/>
      <sheetName val="익산"/>
      <sheetName val="가격표"/>
      <sheetName val="건축외주"/>
      <sheetName val="Sheet1(X)"/>
      <sheetName val="인원조직표"/>
      <sheetName val="냉천부속동"/>
      <sheetName val="국별인원"/>
      <sheetName val="산출기초"/>
      <sheetName val="DATA(광속)"/>
      <sheetName val="REACTION芨.헾⿁_x0005__x0000_"/>
      <sheetName val="REACTION鴘E鵜E헾⼼_x0005_"/>
      <sheetName val="정산내역"/>
      <sheetName val="변경ᛅ⾒_x0005_"/>
      <sheetName val="電磁弁LIST"/>
      <sheetName val="PLG"/>
      <sheetName val="외자배분"/>
      <sheetName val="외자내역"/>
      <sheetName val="관리비"/>
      <sheetName val="3-1.일위대가집계표(교통시설물1)"/>
      <sheetName val="직_x0005__x0000_"/>
      <sheetName val="임시급식ֿ_x0000_缀_x0000_"/>
      <sheetName val="직원자료"/>
      <sheetName val="업종분류"/>
      <sheetName val="장비분류"/>
      <sheetName val="단가산출목록표"/>
      <sheetName val="정문내역"/>
      <sheetName val="도시가스현황"/>
      <sheetName val="2차공사"/>
      <sheetName val="Imp-Data"/>
      <sheetName val="내역서 (1차)"/>
      <sheetName val="¿¹Á¤(3က"/>
      <sheetName val="SAMPLE"/>
      <sheetName val="건축공정"/>
      <sheetName val="방진공정"/>
      <sheetName val="조경공정"/>
      <sheetName val="전자"/>
      <sheetName val="환산"/>
      <sheetName val="금강견적"/>
      <sheetName val="D-RMIL"/>
      <sheetName val="3차준공"/>
      <sheetName val="옹벽수량집계표"/>
      <sheetName val="수종별인자"/>
      <sheetName val="BH-1 (2)"/>
      <sheetName val="공종코드"/>
      <sheetName val="가시설공(광장부)"/>
      <sheetName val="ÀÏÀ§´ë°¡Ç¥(_x0005__x0000_"/>
      <sheetName val="일위藨-헾"/>
      <sheetName val="AHU-1"/>
      <sheetName val="급탕설비"/>
      <sheetName val="화장실배기팬"/>
      <sheetName val="직급별"/>
      <sheetName val="S1099기장선행WOP"/>
      <sheetName val="방지책개소별명세"/>
      <sheetName val="단위량"/>
      <sheetName val="재료집계표2"/>
      <sheetName val="토적집계표"/>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조도계산서_(도서)1"/>
      <sheetName val="3-1_CB1"/>
      <sheetName val="3_내역서"/>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자동_철거"/>
      <sheetName val="자동_설치"/>
      <sheetName val="토목_철주"/>
      <sheetName val="철거_일위대가(1-19)"/>
      <sheetName val="철거_일위대가(20-22)"/>
      <sheetName val="설치_일위대가(23-45호)"/>
      <sheetName val="설치_일위대가(46~78호)"/>
      <sheetName val="const_"/>
      <sheetName val="220_(2)"/>
      <sheetName val="2000년_공정표"/>
      <sheetName val="화재_탐지_설비"/>
      <sheetName val="호봉_(2)"/>
      <sheetName val="69_03%"/>
      <sheetName val="변경내역84_52%"/>
      <sheetName val="_견적서"/>
      <sheetName val="5_공종별예산내역서"/>
      <sheetName val="단가_"/>
      <sheetName val="총괄원가_"/>
      <sheetName val="_갑__지_"/>
      <sheetName val="기성내역_진짜"/>
      <sheetName val="PUMP_SHT"/>
      <sheetName val="FIN_TUBE"/>
      <sheetName val="HED__&amp;_PIPE"/>
      <sheetName val="0_Áý°è"/>
      <sheetName val="Ç¥Áö_(2)"/>
      <sheetName val="9_"/>
      <sheetName val="세부견적서(DAS_Call_Back)"/>
      <sheetName val="2_펌프장(사급자재)"/>
      <sheetName val="5_"/>
      <sheetName val="12_"/>
      <sheetName val="14_"/>
      <sheetName val="7_"/>
      <sheetName val="8_"/>
      <sheetName val="10_"/>
      <sheetName val="추천서"/>
      <sheetName val="설계변경내역"/>
      <sheetName val="월별"/>
      <sheetName val="48산출"/>
      <sheetName val="단가대조"/>
      <sheetName val="INMD1198"/>
      <sheetName val="INFG1198"/>
      <sheetName val="M5_S"/>
      <sheetName val="M6_S"/>
      <sheetName val="SRAM_CHIP"/>
      <sheetName val="SRAM_생산"/>
      <sheetName val="YLD"/>
      <sheetName val="설치 일위대가(46~԰_x0000_缀_x0000_"/>
      <sheetName val="라멘교일반수량"/>
      <sheetName val="타견적(을)"/>
      <sheetName val="기성내역(건축)"/>
      <sheetName val="Á¤»ê¹°·®︀웕"/>
      <sheetName val="조도계산서1"/>
      <sheetName val="5.1단가조사"/>
      <sheetName val="배수설비"/>
      <sheetName val="표준ፙ렀ᑟ"/>
      <sheetName val="7.3.1 전력간선 굵기"/>
      <sheetName val="1단계_견적내역서"/>
      <sheetName val="내부수지예산"/>
      <sheetName val="15.공량산출근거서"/>
      <sheetName val="교각토공"/>
      <sheetName val="data_dci"/>
      <sheetName val="data_mci"/>
      <sheetName val="behind"/>
      <sheetName val="2.노무비명세서(수직보_x0005__x0000_"/>
      <sheetName val="2.노무비명세서(수직보丵⿰_x0005_"/>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2007일위_"/>
      <sheetName val="토목일위_(83~)"/>
      <sheetName val="노무비_"/>
      <sheetName val="2_노무비명세서(수직보丵⿰"/>
      <sheetName val="combi(wall)"/>
      <sheetName val="제잡비(주공종)"/>
      <sheetName val="유첨헾】"/>
      <sheetName val="철탑공사"/>
      <sheetName val="시점부교대"/>
      <sheetName val="48전력선_x0002__x0000_㣸"/>
      <sheetName val="주사무실ֳ_x0000_"/>
      <sheetName val="¼ö·®»êÃ "/>
      <sheetName val="¼ö·®»êÃ_x0005_"/>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흄관수량"/>
      <sheetName val="주재료비"/>
      <sheetName val="설계요율"/>
      <sheetName val="유첨_x0005__x0000_"/>
      <sheetName val="일_x0007__x0006__x0003__x0004__x0007_"/>
      <sheetName val="_x0000__x0005__x0000__x0004__x0000__x0008__x0000__x0005__x0000__x0008_"/>
      <sheetName val="간이연락"/>
      <sheetName val="견적을지"/>
      <sheetName val="불변현금흐름표"/>
      <sheetName val="기타유틸리티설비"/>
      <sheetName val="PANEL 내역"/>
      <sheetName val="ALINE"/>
      <sheetName val="횡배수관설치현황"/>
      <sheetName val="96월별PL"/>
      <sheetName val="양식(직판용)"/>
      <sheetName val="본사업"/>
      <sheetName val="수장"/>
      <sheetName val="단가표(전산)"/>
      <sheetName val="2219-SPOOL BOM"/>
      <sheetName val="설명서"/>
      <sheetName val="x주형보 설계(3차로)"/>
      <sheetName val="은평작업지시대장"/>
      <sheetName val="옥외배관기본공량"/>
      <sheetName val="선우통상(을)"/>
      <sheetName val="견적서-골조공사"/>
      <sheetName val="3-4호기 내역서"/>
      <sheetName val="인원계획-미화"/>
      <sheetName val="토공검토G"/>
      <sheetName val="미지급금"/>
      <sheetName val="CABdata"/>
      <sheetName val="기별수량산출서"/>
      <sheetName val="광양방향"/>
      <sheetName val="남양시작동010313100%"/>
      <sheetName val="98비정기소모"/>
      <sheetName val="도급및 실행내역"/>
      <sheetName val="참고자료등록"/>
      <sheetName val="하자보수보증자료"/>
      <sheetName val="재료-CODE"/>
      <sheetName val="9.2단가산출서"/>
      <sheetName val="손료"/>
      <sheetName val="General DaS_x0000_"/>
      <sheetName val="설비공사"/>
      <sheetName val="원가계산서 (2)"/>
      <sheetName val="내역(설계,도급)정이준"/>
      <sheetName val="실행단가철(ems코드적용)"/>
      <sheetName val="기초대가"/>
      <sheetName val="원곡IC교 내진성능보강공사 실시설계 용역.xlsx"/>
      <sheetName val="キ⩙"/>
      <sheetName val="첨부파일"/>
      <sheetName val="도장"/>
      <sheetName val="1._x005f_x005f_x005f_x0018_변전설비"/>
      <sheetName val="부대토목"/>
      <sheetName val="토목공종세부"/>
      <sheetName val="견적회신"/>
      <sheetName val="1. 가로등 설비 공사(산출)"/>
      <sheetName val="종료분석"/>
      <sheetName val="중질쓰레기"/>
      <sheetName val="장비단가"/>
      <sheetName val="1.관로"/>
      <sheetName val="입찰결과(DATA_x0000_"/>
      <sheetName val="화재 颮㍓씀넖ԯ"/>
      <sheetName val="SPM(13.84)"/>
      <sheetName val="ᰀ፜"/>
      <sheetName val="N炬≹"/>
      <sheetName val="KS-301_WBS"/>
      <sheetName val="MixBed"/>
      <sheetName val="CondPol"/>
      <sheetName val="ꠀ᪘"/>
      <sheetName val="︀盕"/>
      <sheetName val="ᓈባ"/>
      <sheetName val="壈▞"/>
      <sheetName val="대창(장ԯ_x0000_"/>
      <sheetName val="전기일ꙭÀ_x0000_"/>
      <sheetName val="전체내蠀ᒗ"/>
      <sheetName val="전체내︀盕"/>
      <sheetName val="일위대가(계측︩盕ԯ_x0000_"/>
      <sheetName val="전체내壈▞"/>
      <sheetName val="1호철근량"/>
      <sheetName val="진행 DATA (2)"/>
      <sheetName val="외화계약"/>
      <sheetName val="J直_x0004__x0005_"/>
      <sheetName val="ༀༀ̀ఀЀ"/>
      <sheetName val="³²¾ç½ÃÀÛµ¿ÀÚ105³ë65±_x0000__x0000__x0005__x0000_慀ȡ_x0000__x0000__x0000_"/>
      <sheetName val="단  가  垨4奜4睮⿩_x0005_"/>
      <sheetName val="1._x0018_변︀ᇕ԰"/>
      <sheetName val="골재丵〒"/>
      <sheetName val="내역총渀腷"/>
      <sheetName val="현지검측내역"/>
      <sheetName val="구주,중아,CIS"/>
      <sheetName val="EL90"/>
      <sheetName val="역T형교대栄⿇_x0000__x0000_庨_x0000_"/>
      <sheetName val="역T형교대栄⿇_x0000__x0000__x0000_"/>
      <sheetName val="펌프장수량䈀嵪ԯ_x0000_缀"/>
      <sheetName val="펌프장수량㔀቎԰_x0000_缀"/>
      <sheetName val="교량현황"/>
      <sheetName val="커튼월(pfg)"/>
      <sheetName val="ࠀ᎚"/>
      <sheetName val="평균물량산출서"/>
      <sheetName val="합의서"/>
      <sheetName val="낙석방지책"/>
      <sheetName val="금액︀⣕"/>
      <sheetName val="상수도토공_x0005__x0000_"/>
      <sheetName val="설직재0_x0000_"/>
      <sheetName val="설직재餀㒘"/>
      <sheetName val="싱가폴(실지급+인상율)"/>
      <sheetName val="UB2"/>
      <sheetName val="b_gunmul"/>
      <sheetName val="b_balju (2)"/>
      <sheetName val="갑(전기)"/>
      <sheetName val="갑(계장)"/>
      <sheetName val="010101"/>
      <sheetName val="심의대상"/>
      <sheetName val="내역금액적용"/>
      <sheetName val="비목코드"/>
      <sheetName val="철거산출徸〒"/>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가속도응답스펙트럼(Sa)및속도응답스펙트럼(Sv)"/>
      <sheetName val="4,5,6,7,8"/>
      <sheetName val="설계흐름도"/>
      <sheetName val="배수및구조물공1"/>
      <sheetName val="앨범표지"/>
      <sheetName val="B1(반포1차)"/>
      <sheetName val="esc(건축)"/>
      <sheetName val="일위대가집계표"/>
      <sheetName val="공예을"/>
      <sheetName val="골재및자재집계표"/>
      <sheetName val="현장유지관리비"/>
      <sheetName val="수안보-纈!헾『"/>
      <sheetName val="수안보-丵〒_x0005__x0000_"/>
      <sheetName val="수안보-橂】_x0005__x0000_"/>
      <sheetName val="9-1차_x0005__x0000_"/>
      <sheetName val="변경비懸_x0013_颙"/>
      <sheetName val="변경비颙〒_x0005_"/>
      <sheetName val="일위집԰_x0000_"/>
      <sheetName val="변경비窨_x0013_竬"/>
      <sheetName val="시공계ⱂ"/>
      <sheetName val="조명시헾"/>
      <sheetName val="8. 안吐呜"/>
      <sheetName val="전선관"/>
      <sheetName val="5.정산ﵠ"/>
      <sheetName val="실행내역 "/>
      <sheetName val="교량data"/>
      <sheetName val="파일구성"/>
      <sheetName val="분전반"/>
      <sheetName val="Priorities"/>
      <sheetName val="Paint,Fire-Proof,Insul(48)"/>
      <sheetName val="No.2LAB Unit"/>
      <sheetName val="약ྀ︁"/>
      <sheetName val="1.1 본체"/>
      <sheetName val="March"/>
      <sheetName val="토목 (2)"/>
      <sheetName val="인력터파기"/>
      <sheetName val="9G࠯_x0015__x0000__x0000_"/>
      <sheetName val="94"/>
      <sheetName val="20-25"/>
      <sheetName val="몰탈쐀/_x0000_"/>
      <sheetName val="실행ࠏE"/>
      <sheetName val="실행ဏ_x0000_"/>
      <sheetName val="시멘트,모래"/>
      <sheetName val="CHIP_O"/>
      <sheetName val="FAB_O"/>
      <sheetName val="PKG_I"/>
      <sheetName val="FT_금액"/>
      <sheetName val="Key assumption"/>
      <sheetName val="토목׃⿄"/>
      <sheetName val="토목׃⽴"/>
      <sheetName val="토목嘘_x001b_"/>
      <sheetName val="토목ꮸ⽤"/>
      <sheetName val="토목垐%"/>
      <sheetName val="토목狈6"/>
      <sheetName val="토목妀6"/>
      <sheetName val="토목枵〛"/>
      <sheetName val="의왕실행"/>
      <sheetName val="LCS-SEAT"/>
      <sheetName val="집계표(건축전기)"/>
      <sheetName val="품목현황"/>
      <sheetName val="PO-BOB"/>
      <sheetName val="보차도경계석수량"/>
      <sheetName val="48일위(기존)"/>
      <sheetName val="하도급선정의뢰_x0005__x0000__x0000__x0000__x0000_吝"/>
      <sheetName val="하도급선정의뢰唈_x001f_ᛅ⾠_x0005__x0000_"/>
      <sheetName val="하도급선정의뢰ᛅ⼝_x0005__x0000__x0000__x0000_"/>
      <sheetName val="음성(cable)"/>
      <sheetName val="제조부문배부"/>
      <sheetName val="XREF"/>
      <sheetName val="시공업체명부"/>
      <sheetName val="Direct (공사비대비)"/>
      <sheetName val="제출"/>
      <sheetName val="공사비예비관리공감측설산출내역"/>
      <sheetName val="TCDB"/>
      <sheetName val="1À"/>
      <sheetName val="1 "/>
      <sheetName val="ꀀ㇞"/>
      <sheetName val="1r"/>
      <sheetName val="　⮒"/>
      <sheetName val="산출서집계"/>
      <sheetName val="집계표(수정)"/>
      <sheetName val="잔여공사월별내역"/>
      <sheetName val="대비(최종이사회)"/>
      <sheetName val="표지세로"/>
      <sheetName val="5.소모재료비"/>
      <sheetName val="က"/>
      <sheetName val="⠈ⱒ"/>
      <sheetName val="1Ø"/>
      <sheetName val="1_x0004_"/>
      <sheetName val="MEMBER"/>
      <sheetName val="공사별 가중치0_x0000_ꀀâ_x0000__x0000_鬀ӊ㰞"/>
      <sheetName val="제수_x0000__x0000_"/>
      <sheetName val="제수午_x0013_뺨"/>
      <sheetName val="제수午_x0013_㸀"/>
      <sheetName val="제수午_x0013_㐨"/>
      <sheetName val="제수午_x0013_㺨"/>
      <sheetName val="제수午_x0013_绠"/>
      <sheetName val="제수午_x0013_떰"/>
      <sheetName val="제수午_x0013_"/>
      <sheetName val="옥내소화전계산서"/>
      <sheetName val="심사계산"/>
      <sheetName val="기타"/>
      <sheetName val="BID FORM"/>
      <sheetName val="Form of Bid"/>
      <sheetName val="이관문서목록표"/>
      <sheetName val="국내"/>
      <sheetName val="member design"/>
      <sheetName val="soil bearing check"/>
      <sheetName val="도급,하도급 예정금액"/>
      <sheetName val="산출(전기)"/>
      <sheetName val="DWG-CAB-I"/>
      <sheetName val="공감비"/>
      <sheetName val="재무가정"/>
      <sheetName val="건물현황"/>
      <sheetName val="대목"/>
      <sheetName val="간접재료비산출표-27-30"/>
      <sheetName val="공사원가계산蚘_x0013_"/>
      <sheetName val="도급예정1ီ_x0000_䀀"/>
      <sheetName val="도급예정1犢呄/"/>
      <sheetName val="도급예정1犢/"/>
      <sheetName val="도급예정1Ⴂ_x0000_䀀"/>
      <sheetName val="도급예정1ﻰᇕ԰"/>
      <sheetName val="도급예정1犢ፄ/"/>
      <sheetName val="도급예정1ჰ_x0000_䀀"/>
      <sheetName val="도급예정1ၪ_x0000_　"/>
      <sheetName val="도급예정1Ⴕ_x0000_"/>
      <sheetName val="도급예정1႒_x0000_က"/>
      <sheetName val="Macr_x0010__x0000_ፈদ䑲⼚"/>
      <sheetName val="Macr枵〺_x0000__x0000_揰_x0000_"/>
      <sheetName val="Macr枵〺_x0000__x0000_丸_x0000_"/>
      <sheetName val="Macr枵〺_x0000__x0000_㦠_x0000_"/>
      <sheetName val="Macr㑘_x001b_둠੆枵⿚"/>
      <sheetName val="Macr㑘_x001b_ञ枵⿚"/>
      <sheetName val="단위ה_x0000_"/>
      <sheetName val="__HAIWOOK_____hb___1__________2"/>
      <sheetName val="옥상바닥산출서"/>
      <sheetName val="외부비계산출서"/>
      <sheetName val="단열재산출서"/>
      <sheetName val="지하외부비계산출서"/>
      <sheetName val="내부강관비계산출서"/>
      <sheetName val="내부수평비계산출서"/>
      <sheetName val="내역집계(전체)"/>
      <sheetName val="하도급Ć_x0000__x0000_"/>
      <sheetName val="01후반노무비"/>
      <sheetName val="역T형옹벽(3_0)"/>
      <sheetName val="STEEL_BOX_단면설계(SEC_8)"/>
      <sheetName val="기초입력_DATA"/>
      <sheetName val="2000_05"/>
      <sheetName val="CABLE_SIZE-1"/>
      <sheetName val="1__총괄_집계표"/>
      <sheetName val="Requirement(Work_Crew)"/>
      <sheetName val="나_설계조건"/>
      <sheetName val="5_장비(안)"/>
      <sheetName val="3_2주형지지보"/>
      <sheetName val="작업_반복"/>
      <sheetName val="공정분류"/>
      <sheetName val="보고"/>
      <sheetName val="2_단면ﾈȋ"/>
      <sheetName val="배수공_시멘트_및_골재량__x0000_辴"/>
      <sheetName val="Ⅶ-2.현장경비산출"/>
      <sheetName val="그레이더"/>
      <sheetName val="내역서(폐기물) "/>
      <sheetName val="15 문제점"/>
      <sheetName val="일H35Y4"/>
      <sheetName val="11-1.주택공급(공공분양,공공임대)"/>
      <sheetName val="11-2.국민임대"/>
      <sheetName val="5-1.취득(간선정리)"/>
      <sheetName val="11-3.분양전환"/>
      <sheetName val="11-4.상가"/>
      <sheetName val="7-1.토지공급"/>
      <sheetName val="BOX복구단위수량"/>
      <sheetName val="건설기술표준원"/>
      <sheetName val="3국민주택채권_부동산등기"/>
      <sheetName val="electrical"/>
      <sheetName val="방송(체육관)"/>
      <sheetName val="전압강하"/>
      <sheetName val="상부공"/>
      <sheetName val="아스팔트 포장총괄집계표"/>
      <sheetName val="일위총괄표"/>
      <sheetName val="간지(5.04)"/>
      <sheetName val="식대장부"/>
      <sheetName val="WOOJ1"/>
      <sheetName val="CD-실적"/>
      <sheetName val="計算過程シート"/>
      <sheetName val="노임단가2003상"/>
      <sheetName val="일위대_x0000__x0000__x0005__x0000_ἰ"/>
      <sheetName val="1 자원총괄"/>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ow r="1">
          <cell r="A1" t="str">
            <v>시멘트,모래,자갈 산출표</v>
          </cell>
        </row>
      </sheetData>
      <sheetData sheetId="708" refreshError="1"/>
      <sheetData sheetId="709" refreshError="1"/>
      <sheetData sheetId="710" refreshError="1"/>
      <sheetData sheetId="711" refreshError="1"/>
      <sheetData sheetId="712">
        <row r="1">
          <cell r="A1" t="str">
            <v>시멘트,모래,자갈 산출표</v>
          </cell>
        </row>
      </sheetData>
      <sheetData sheetId="713" refreshError="1"/>
      <sheetData sheetId="714">
        <row r="1">
          <cell r="A1" t="str">
            <v>시멘트,모래,자갈 산출표</v>
          </cell>
        </row>
      </sheetData>
      <sheetData sheetId="715" refreshError="1"/>
      <sheetData sheetId="716" refreshError="1"/>
      <sheetData sheetId="717" refreshError="1"/>
      <sheetData sheetId="718" refreshError="1"/>
      <sheetData sheetId="719">
        <row r="1">
          <cell r="A1" t="str">
            <v>시멘트,모래,자갈 산출표</v>
          </cell>
        </row>
      </sheetData>
      <sheetData sheetId="720" refreshError="1"/>
      <sheetData sheetId="721" refreshError="1"/>
      <sheetData sheetId="722" refreshError="1"/>
      <sheetData sheetId="723" refreshError="1"/>
      <sheetData sheetId="724" refreshError="1"/>
      <sheetData sheetId="725" refreshError="1"/>
      <sheetData sheetId="726" refreshError="1"/>
      <sheetData sheetId="727">
        <row r="1">
          <cell r="A1" t="str">
            <v>시멘트,모래,자갈 산출표</v>
          </cell>
        </row>
      </sheetData>
      <sheetData sheetId="728">
        <row r="1">
          <cell r="A1" t="str">
            <v>시멘트,모래,자갈 산출표</v>
          </cell>
        </row>
      </sheetData>
      <sheetData sheetId="729">
        <row r="1">
          <cell r="A1" t="str">
            <v>시멘트,모래,자갈 산출표</v>
          </cell>
        </row>
      </sheetData>
      <sheetData sheetId="730" refreshError="1"/>
      <sheetData sheetId="731">
        <row r="1">
          <cell r="A1" t="str">
            <v>시멘트,모래,자갈 산출표</v>
          </cell>
        </row>
      </sheetData>
      <sheetData sheetId="732">
        <row r="1">
          <cell r="A1" t="str">
            <v>시멘트,모래,자갈 산출표</v>
          </cell>
        </row>
      </sheetData>
      <sheetData sheetId="733">
        <row r="1">
          <cell r="A1" t="str">
            <v>시멘트,모래,자갈 산출표</v>
          </cell>
        </row>
      </sheetData>
      <sheetData sheetId="734">
        <row r="1">
          <cell r="A1" t="str">
            <v>시멘트,모래,자갈 산출표</v>
          </cell>
        </row>
      </sheetData>
      <sheetData sheetId="735">
        <row r="1">
          <cell r="A1" t="str">
            <v>시멘트,모래,자갈 산출표</v>
          </cell>
        </row>
      </sheetData>
      <sheetData sheetId="736">
        <row r="1">
          <cell r="A1" t="str">
            <v>시멘트,모래,자갈 산출표</v>
          </cell>
        </row>
      </sheetData>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ow r="1">
          <cell r="A1" t="str">
            <v>시멘트,모래,자갈 산출표</v>
          </cell>
        </row>
      </sheetData>
      <sheetData sheetId="869">
        <row r="1">
          <cell r="A1" t="str">
            <v>시멘트,모래,자갈 산출표</v>
          </cell>
        </row>
      </sheetData>
      <sheetData sheetId="870">
        <row r="1">
          <cell r="A1" t="str">
            <v>시멘트,모래,자갈 산출표</v>
          </cell>
        </row>
      </sheetData>
      <sheetData sheetId="871">
        <row r="1">
          <cell r="A1" t="str">
            <v>시멘트,모래,자갈 산출표</v>
          </cell>
        </row>
      </sheetData>
      <sheetData sheetId="872">
        <row r="1">
          <cell r="A1" t="str">
            <v>시멘트,모래,자갈 산출표</v>
          </cell>
        </row>
      </sheetData>
      <sheetData sheetId="873">
        <row r="1">
          <cell r="A1" t="str">
            <v>시멘트,모래,자갈 산출표</v>
          </cell>
        </row>
      </sheetData>
      <sheetData sheetId="874">
        <row r="1">
          <cell r="A1" t="str">
            <v>시멘트,모래,자갈 산출표</v>
          </cell>
        </row>
      </sheetData>
      <sheetData sheetId="875">
        <row r="1">
          <cell r="A1" t="str">
            <v>시멘트,모래,자갈 산출표</v>
          </cell>
        </row>
      </sheetData>
      <sheetData sheetId="876">
        <row r="1">
          <cell r="A1" t="str">
            <v>시멘트,모래,자갈 산출표</v>
          </cell>
        </row>
      </sheetData>
      <sheetData sheetId="877">
        <row r="1">
          <cell r="A1" t="str">
            <v>시멘트,모래,자갈 산출표</v>
          </cell>
        </row>
      </sheetData>
      <sheetData sheetId="878">
        <row r="1">
          <cell r="A1" t="str">
            <v>시멘트,모래,자갈 산출표</v>
          </cell>
        </row>
      </sheetData>
      <sheetData sheetId="879">
        <row r="1">
          <cell r="A1" t="str">
            <v>시멘트,모래,자갈 산출표</v>
          </cell>
        </row>
      </sheetData>
      <sheetData sheetId="880">
        <row r="1">
          <cell r="A1" t="str">
            <v>시멘트,모래,자갈 산출표</v>
          </cell>
        </row>
      </sheetData>
      <sheetData sheetId="881">
        <row r="1">
          <cell r="A1" t="str">
            <v>시멘트,모래,자갈 산출표</v>
          </cell>
        </row>
      </sheetData>
      <sheetData sheetId="882">
        <row r="1">
          <cell r="A1" t="str">
            <v>시멘트,모래,자갈 산출표</v>
          </cell>
        </row>
      </sheetData>
      <sheetData sheetId="883">
        <row r="1">
          <cell r="A1" t="str">
            <v>시멘트,모래,자갈 산출표</v>
          </cell>
        </row>
      </sheetData>
      <sheetData sheetId="884">
        <row r="1">
          <cell r="A1" t="str">
            <v>시멘트,모래,자갈 산출표</v>
          </cell>
        </row>
      </sheetData>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ow r="1">
          <cell r="A1" t="str">
            <v>시멘트,모래,자갈 산출표</v>
          </cell>
        </row>
      </sheetData>
      <sheetData sheetId="944">
        <row r="1">
          <cell r="A1" t="str">
            <v>시멘트,모래,자갈 산출표</v>
          </cell>
        </row>
      </sheetData>
      <sheetData sheetId="945"/>
      <sheetData sheetId="946">
        <row r="1">
          <cell r="A1" t="str">
            <v>시멘트,모래,자갈 산출표</v>
          </cell>
        </row>
      </sheetData>
      <sheetData sheetId="947"/>
      <sheetData sheetId="948"/>
      <sheetData sheetId="949">
        <row r="1">
          <cell r="A1" t="str">
            <v>시멘트,모래,자갈 산출표</v>
          </cell>
        </row>
      </sheetData>
      <sheetData sheetId="950">
        <row r="1">
          <cell r="A1" t="str">
            <v>시멘트,모래,자갈 산출표</v>
          </cell>
        </row>
      </sheetData>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ow r="1">
          <cell r="A1" t="str">
            <v>시멘트,모래,자갈 산출표</v>
          </cell>
        </row>
      </sheetData>
      <sheetData sheetId="1005">
        <row r="1">
          <cell r="A1" t="str">
            <v>시멘트,모래,자갈 산출표</v>
          </cell>
        </row>
      </sheetData>
      <sheetData sheetId="1006">
        <row r="1">
          <cell r="A1" t="str">
            <v>시멘트,모래,자갈 산출표</v>
          </cell>
        </row>
      </sheetData>
      <sheetData sheetId="1007">
        <row r="1">
          <cell r="A1" t="str">
            <v>시멘트,모래,자갈 산출표</v>
          </cell>
        </row>
      </sheetData>
      <sheetData sheetId="1008">
        <row r="1">
          <cell r="A1" t="str">
            <v>시멘트,모래,자갈 산출표</v>
          </cell>
        </row>
      </sheetData>
      <sheetData sheetId="1009">
        <row r="1">
          <cell r="A1" t="str">
            <v>시멘트,모래,자갈 산출표</v>
          </cell>
        </row>
      </sheetData>
      <sheetData sheetId="1010">
        <row r="1">
          <cell r="A1" t="str">
            <v>시멘트,모래,자갈 산출표</v>
          </cell>
        </row>
      </sheetData>
      <sheetData sheetId="1011">
        <row r="1">
          <cell r="A1" t="str">
            <v>시멘트,모래,자갈 산출표</v>
          </cell>
        </row>
      </sheetData>
      <sheetData sheetId="1012">
        <row r="1">
          <cell r="A1" t="str">
            <v>시멘트,모래,자갈 산출표</v>
          </cell>
        </row>
      </sheetData>
      <sheetData sheetId="1013">
        <row r="1">
          <cell r="A1" t="str">
            <v>시멘트,모래,자갈 산출표</v>
          </cell>
        </row>
      </sheetData>
      <sheetData sheetId="1014">
        <row r="1">
          <cell r="A1" t="str">
            <v>시멘트,모래,자갈 산출표</v>
          </cell>
        </row>
      </sheetData>
      <sheetData sheetId="1015">
        <row r="1">
          <cell r="A1" t="str">
            <v>시멘트,모래,자갈 산출표</v>
          </cell>
        </row>
      </sheetData>
      <sheetData sheetId="1016">
        <row r="1">
          <cell r="A1" t="str">
            <v>시멘트,모래,자갈 산출표</v>
          </cell>
        </row>
      </sheetData>
      <sheetData sheetId="1017">
        <row r="1">
          <cell r="A1" t="str">
            <v>시멘트,모래,자갈 산출표</v>
          </cell>
        </row>
      </sheetData>
      <sheetData sheetId="1018">
        <row r="1">
          <cell r="A1" t="str">
            <v>시멘트,모래,자갈 산출표</v>
          </cell>
        </row>
      </sheetData>
      <sheetData sheetId="1019">
        <row r="1">
          <cell r="A1" t="str">
            <v>시멘트,모래,자갈 산출표</v>
          </cell>
        </row>
      </sheetData>
      <sheetData sheetId="1020">
        <row r="1">
          <cell r="A1" t="str">
            <v>시멘트,모래,자갈 산출표</v>
          </cell>
        </row>
      </sheetData>
      <sheetData sheetId="1021">
        <row r="1">
          <cell r="A1" t="str">
            <v>시멘트,모래,자갈 산출표</v>
          </cell>
        </row>
      </sheetData>
      <sheetData sheetId="1022">
        <row r="1">
          <cell r="A1" t="str">
            <v>시멘트,모래,자갈 산출표</v>
          </cell>
        </row>
      </sheetData>
      <sheetData sheetId="1023">
        <row r="1">
          <cell r="A1" t="str">
            <v>시멘트,모래,자갈 산출표</v>
          </cell>
        </row>
      </sheetData>
      <sheetData sheetId="1024">
        <row r="1">
          <cell r="A1" t="str">
            <v>시멘트,모래,자갈 산출표</v>
          </cell>
        </row>
      </sheetData>
      <sheetData sheetId="1025">
        <row r="1">
          <cell r="A1" t="str">
            <v>시멘트,모래,자갈 산출표</v>
          </cell>
        </row>
      </sheetData>
      <sheetData sheetId="1026">
        <row r="1">
          <cell r="A1" t="str">
            <v>시멘트,모래,자갈 산출표</v>
          </cell>
        </row>
      </sheetData>
      <sheetData sheetId="1027">
        <row r="1">
          <cell r="A1" t="str">
            <v>시멘트,모래,자갈 산출표</v>
          </cell>
        </row>
      </sheetData>
      <sheetData sheetId="1028">
        <row r="1">
          <cell r="A1" t="str">
            <v>시멘트,모래,자갈 산출표</v>
          </cell>
        </row>
      </sheetData>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A1" t="str">
            <v>시멘트,모래,자갈 산출표</v>
          </cell>
        </row>
      </sheetData>
      <sheetData sheetId="1045">
        <row r="1">
          <cell r="A1" t="str">
            <v>시멘트,모래,자갈 산출표</v>
          </cell>
        </row>
      </sheetData>
      <sheetData sheetId="1046">
        <row r="1">
          <cell r="A1" t="str">
            <v>시멘트,모래,자갈 산출표</v>
          </cell>
        </row>
      </sheetData>
      <sheetData sheetId="1047">
        <row r="1">
          <cell r="A1" t="str">
            <v>시멘트,모래,자갈 산출표</v>
          </cell>
        </row>
      </sheetData>
      <sheetData sheetId="1048">
        <row r="1">
          <cell r="A1" t="str">
            <v>시멘트,모래,자갈 산출표</v>
          </cell>
        </row>
      </sheetData>
      <sheetData sheetId="1049">
        <row r="1">
          <cell r="A1" t="str">
            <v>시멘트,모래,자갈 산출표</v>
          </cell>
        </row>
      </sheetData>
      <sheetData sheetId="1050">
        <row r="1">
          <cell r="A1" t="str">
            <v>시멘트,모래,자갈 산출표</v>
          </cell>
        </row>
      </sheetData>
      <sheetData sheetId="1051">
        <row r="1">
          <cell r="A1" t="str">
            <v>시멘트,모래,자갈 산출표</v>
          </cell>
        </row>
      </sheetData>
      <sheetData sheetId="1052">
        <row r="1">
          <cell r="A1" t="str">
            <v>시멘트,모래,자갈 산출표</v>
          </cell>
        </row>
      </sheetData>
      <sheetData sheetId="1053">
        <row r="1">
          <cell r="A1" t="str">
            <v>시멘트,모래,자갈 산출표</v>
          </cell>
        </row>
      </sheetData>
      <sheetData sheetId="1054">
        <row r="1">
          <cell r="A1" t="str">
            <v>시멘트,모래,자갈 산출표</v>
          </cell>
        </row>
      </sheetData>
      <sheetData sheetId="1055">
        <row r="1">
          <cell r="A1" t="str">
            <v>시멘트,모래,자갈 산출표</v>
          </cell>
        </row>
      </sheetData>
      <sheetData sheetId="1056">
        <row r="1">
          <cell r="A1" t="str">
            <v>시멘트,모래,자갈 산출표</v>
          </cell>
        </row>
      </sheetData>
      <sheetData sheetId="1057">
        <row r="1">
          <cell r="A1" t="str">
            <v>시멘트,모래,자갈 산출표</v>
          </cell>
        </row>
      </sheetData>
      <sheetData sheetId="1058">
        <row r="1">
          <cell r="A1" t="str">
            <v>시멘트,모래,자갈 산출표</v>
          </cell>
        </row>
      </sheetData>
      <sheetData sheetId="1059">
        <row r="1">
          <cell r="A1" t="str">
            <v>시멘트,모래,자갈 산출표</v>
          </cell>
        </row>
      </sheetData>
      <sheetData sheetId="1060">
        <row r="1">
          <cell r="A1" t="str">
            <v>시멘트,모래,자갈 산출표</v>
          </cell>
        </row>
      </sheetData>
      <sheetData sheetId="1061">
        <row r="1">
          <cell r="A1" t="str">
            <v>시멘트,모래,자갈 산출표</v>
          </cell>
        </row>
      </sheetData>
      <sheetData sheetId="1062">
        <row r="1">
          <cell r="A1" t="str">
            <v>시멘트,모래,자갈 산출표</v>
          </cell>
        </row>
      </sheetData>
      <sheetData sheetId="1063">
        <row r="1">
          <cell r="A1" t="str">
            <v>시멘트,모래,자갈 산출표</v>
          </cell>
        </row>
      </sheetData>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ow r="1">
          <cell r="A1" t="str">
            <v>시멘트,모래,자갈 산출표</v>
          </cell>
        </row>
      </sheetData>
      <sheetData sheetId="1943">
        <row r="1">
          <cell r="A1" t="str">
            <v>시멘트,모래,자갈 산출표</v>
          </cell>
        </row>
      </sheetData>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ow r="1">
          <cell r="A1" t="str">
            <v>시멘트,모래,자갈 산출표</v>
          </cell>
        </row>
      </sheetData>
      <sheetData sheetId="1969">
        <row r="1">
          <cell r="A1" t="str">
            <v>시멘트,모래,자갈 산출표</v>
          </cell>
        </row>
      </sheetData>
      <sheetData sheetId="1970">
        <row r="1">
          <cell r="A1" t="str">
            <v>시멘트,모래,자갈 산출표</v>
          </cell>
        </row>
      </sheetData>
      <sheetData sheetId="1971">
        <row r="1">
          <cell r="A1" t="str">
            <v>시멘트,모래,자갈 산출표</v>
          </cell>
        </row>
      </sheetData>
      <sheetData sheetId="1972">
        <row r="1">
          <cell r="A1" t="str">
            <v>시멘트,모래,자갈 산출표</v>
          </cell>
        </row>
      </sheetData>
      <sheetData sheetId="1973">
        <row r="1">
          <cell r="A1" t="str">
            <v>시멘트,모래,자갈 산출표</v>
          </cell>
        </row>
      </sheetData>
      <sheetData sheetId="1974">
        <row r="1">
          <cell r="A1" t="str">
            <v>시멘트,모래,자갈 산출표</v>
          </cell>
        </row>
      </sheetData>
      <sheetData sheetId="1975">
        <row r="1">
          <cell r="A1" t="str">
            <v>시멘트,모래,자갈 산출표</v>
          </cell>
        </row>
      </sheetData>
      <sheetData sheetId="1976">
        <row r="1">
          <cell r="A1" t="str">
            <v>시멘트,모래,자갈 산출표</v>
          </cell>
        </row>
      </sheetData>
      <sheetData sheetId="1977">
        <row r="1">
          <cell r="A1" t="str">
            <v>시멘트,모래,자갈 산출표</v>
          </cell>
        </row>
      </sheetData>
      <sheetData sheetId="1978">
        <row r="1">
          <cell r="A1" t="str">
            <v>시멘트,모래,자갈 산출표</v>
          </cell>
        </row>
      </sheetData>
      <sheetData sheetId="1979">
        <row r="1">
          <cell r="A1" t="str">
            <v>시멘트,모래,자갈 산출표</v>
          </cell>
        </row>
      </sheetData>
      <sheetData sheetId="1980">
        <row r="1">
          <cell r="A1" t="str">
            <v>시멘트,모래,자갈 산출표</v>
          </cell>
        </row>
      </sheetData>
      <sheetData sheetId="1981">
        <row r="1">
          <cell r="A1" t="str">
            <v>시멘트,모래,자갈 산출표</v>
          </cell>
        </row>
      </sheetData>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sheetData sheetId="1991"/>
      <sheetData sheetId="1992"/>
      <sheetData sheetId="1993"/>
      <sheetData sheetId="1994"/>
      <sheetData sheetId="1995"/>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sheetData sheetId="2110"/>
      <sheetData sheetId="2111"/>
      <sheetData sheetId="2112">
        <row r="1">
          <cell r="A1" t="str">
            <v>시멘트,모래,자갈 산출표</v>
          </cell>
        </row>
      </sheetData>
      <sheetData sheetId="2113"/>
      <sheetData sheetId="2114" refreshError="1"/>
      <sheetData sheetId="2115" refreshError="1"/>
      <sheetData sheetId="2116" refreshError="1"/>
      <sheetData sheetId="2117" refreshError="1"/>
      <sheetData sheetId="2118"/>
      <sheetData sheetId="2119"/>
      <sheetData sheetId="2120" refreshError="1"/>
      <sheetData sheetId="2121"/>
      <sheetData sheetId="2122"/>
      <sheetData sheetId="2123"/>
      <sheetData sheetId="2124" refreshError="1"/>
      <sheetData sheetId="2125"/>
      <sheetData sheetId="2126"/>
      <sheetData sheetId="2127"/>
      <sheetData sheetId="2128"/>
      <sheetData sheetId="2129"/>
      <sheetData sheetId="2130"/>
      <sheetData sheetId="2131" refreshError="1"/>
      <sheetData sheetId="2132"/>
      <sheetData sheetId="2133"/>
      <sheetData sheetId="2134"/>
      <sheetData sheetId="2135" refreshError="1"/>
      <sheetData sheetId="2136" refreshError="1"/>
      <sheetData sheetId="2137"/>
      <sheetData sheetId="2138" refreshError="1"/>
      <sheetData sheetId="2139" refreshError="1"/>
      <sheetData sheetId="2140" refreshError="1"/>
      <sheetData sheetId="2141" refreshError="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ow r="1">
          <cell r="A1" t="str">
            <v>시멘트,모래,자갈 산출표</v>
          </cell>
        </row>
      </sheetData>
      <sheetData sheetId="2485"/>
      <sheetData sheetId="2486">
        <row r="1">
          <cell r="A1" t="str">
            <v>시멘트,모래,자갈 산출표</v>
          </cell>
        </row>
      </sheetData>
      <sheetData sheetId="2487">
        <row r="1">
          <cell r="A1" t="str">
            <v>시멘트,모래,자갈 산출표</v>
          </cell>
        </row>
      </sheetData>
      <sheetData sheetId="2488">
        <row r="1">
          <cell r="A1" t="str">
            <v>시멘트,모래,자갈 산출표</v>
          </cell>
        </row>
      </sheetData>
      <sheetData sheetId="2489">
        <row r="1">
          <cell r="A1" t="str">
            <v>시멘트,모래,자갈 산출표</v>
          </cell>
        </row>
      </sheetData>
      <sheetData sheetId="2490">
        <row r="1">
          <cell r="A1" t="str">
            <v>시멘트,모래,자갈 산출표</v>
          </cell>
        </row>
      </sheetData>
      <sheetData sheetId="2491">
        <row r="1">
          <cell r="A1" t="str">
            <v>시멘트,모래,자갈 산출표</v>
          </cell>
        </row>
      </sheetData>
      <sheetData sheetId="2492">
        <row r="1">
          <cell r="A1" t="str">
            <v>시멘트,모래,자갈 산출표</v>
          </cell>
        </row>
      </sheetData>
      <sheetData sheetId="2493">
        <row r="1">
          <cell r="A1" t="str">
            <v>시멘트,모래,자갈 산출표</v>
          </cell>
        </row>
      </sheetData>
      <sheetData sheetId="2494">
        <row r="1">
          <cell r="A1" t="str">
            <v>시멘트,모래,자갈 산출표</v>
          </cell>
        </row>
      </sheetData>
      <sheetData sheetId="2495">
        <row r="1">
          <cell r="A1" t="str">
            <v>시멘트,모래,자갈 산출표</v>
          </cell>
        </row>
      </sheetData>
      <sheetData sheetId="2496">
        <row r="1">
          <cell r="A1" t="str">
            <v>시멘트,모래,자갈 산출표</v>
          </cell>
        </row>
      </sheetData>
      <sheetData sheetId="2497">
        <row r="1">
          <cell r="A1" t="str">
            <v>시멘트,모래,자갈 산출표</v>
          </cell>
        </row>
      </sheetData>
      <sheetData sheetId="2498">
        <row r="1">
          <cell r="A1" t="str">
            <v>시멘트,모래,자갈 산출표</v>
          </cell>
        </row>
      </sheetData>
      <sheetData sheetId="2499">
        <row r="1">
          <cell r="A1" t="str">
            <v>시멘트,모래,자갈 산출표</v>
          </cell>
        </row>
      </sheetData>
      <sheetData sheetId="2500">
        <row r="1">
          <cell r="A1" t="str">
            <v>시멘트,모래,자갈 산출표</v>
          </cell>
        </row>
      </sheetData>
      <sheetData sheetId="2501">
        <row r="1">
          <cell r="A1" t="str">
            <v>시멘트,모래,자갈 산출표</v>
          </cell>
        </row>
      </sheetData>
      <sheetData sheetId="2502">
        <row r="1">
          <cell r="A1" t="str">
            <v>시멘트,모래,자갈 산출표</v>
          </cell>
        </row>
      </sheetData>
      <sheetData sheetId="2503">
        <row r="1">
          <cell r="A1" t="str">
            <v>시멘트,모래,자갈 산출표</v>
          </cell>
        </row>
      </sheetData>
      <sheetData sheetId="2504">
        <row r="1">
          <cell r="A1" t="str">
            <v>시멘트,모래,자갈 산출표</v>
          </cell>
        </row>
      </sheetData>
      <sheetData sheetId="2505">
        <row r="1">
          <cell r="A1" t="str">
            <v>시멘트,모래,자갈 산출표</v>
          </cell>
        </row>
      </sheetData>
      <sheetData sheetId="2506">
        <row r="1">
          <cell r="A1" t="str">
            <v>시멘트,모래,자갈 산출표</v>
          </cell>
        </row>
      </sheetData>
      <sheetData sheetId="2507"/>
      <sheetData sheetId="2508">
        <row r="1">
          <cell r="A1" t="str">
            <v>시멘트,모래,자갈 산출표</v>
          </cell>
        </row>
      </sheetData>
      <sheetData sheetId="2509">
        <row r="1">
          <cell r="A1" t="str">
            <v>시멘트,모래,자갈 산출표</v>
          </cell>
        </row>
      </sheetData>
      <sheetData sheetId="2510">
        <row r="1">
          <cell r="A1" t="str">
            <v>시멘트,모래,자갈 산출표</v>
          </cell>
        </row>
      </sheetData>
      <sheetData sheetId="2511">
        <row r="1">
          <cell r="A1" t="str">
            <v>시멘트,모래,자갈 산출표</v>
          </cell>
        </row>
      </sheetData>
      <sheetData sheetId="2512">
        <row r="1">
          <cell r="A1" t="str">
            <v>시멘트,모래,자갈 산출표</v>
          </cell>
        </row>
      </sheetData>
      <sheetData sheetId="2513">
        <row r="1">
          <cell r="A1" t="str">
            <v>시멘트,모래,자갈 산출표</v>
          </cell>
        </row>
      </sheetData>
      <sheetData sheetId="2514">
        <row r="1">
          <cell r="A1" t="str">
            <v>시멘트,모래,자갈 산출표</v>
          </cell>
        </row>
      </sheetData>
      <sheetData sheetId="2515">
        <row r="1">
          <cell r="A1" t="str">
            <v>시멘트,모래,자갈 산출표</v>
          </cell>
        </row>
      </sheetData>
      <sheetData sheetId="2516">
        <row r="1">
          <cell r="A1" t="str">
            <v>시멘트,모래,자갈 산출표</v>
          </cell>
        </row>
      </sheetData>
      <sheetData sheetId="2517">
        <row r="1">
          <cell r="A1" t="str">
            <v>시멘트,모래,자갈 산출표</v>
          </cell>
        </row>
      </sheetData>
      <sheetData sheetId="2518">
        <row r="1">
          <cell r="A1" t="str">
            <v>시멘트,모래,자갈 산출표</v>
          </cell>
        </row>
      </sheetData>
      <sheetData sheetId="2519">
        <row r="1">
          <cell r="A1" t="str">
            <v>시멘트,모래,자갈 산출표</v>
          </cell>
        </row>
      </sheetData>
      <sheetData sheetId="2520">
        <row r="1">
          <cell r="A1" t="str">
            <v>시멘트,모래,자갈 산출표</v>
          </cell>
        </row>
      </sheetData>
      <sheetData sheetId="2521">
        <row r="1">
          <cell r="A1" t="str">
            <v>시멘트,모래,자갈 산출표</v>
          </cell>
        </row>
      </sheetData>
      <sheetData sheetId="2522">
        <row r="1">
          <cell r="A1" t="str">
            <v>시멘트,모래,자갈 산출표</v>
          </cell>
        </row>
      </sheetData>
      <sheetData sheetId="2523">
        <row r="1">
          <cell r="A1" t="str">
            <v>시멘트,모래,자갈 산출표</v>
          </cell>
        </row>
      </sheetData>
      <sheetData sheetId="2524">
        <row r="1">
          <cell r="A1" t="str">
            <v>시멘트,모래,자갈 산출표</v>
          </cell>
        </row>
      </sheetData>
      <sheetData sheetId="2525">
        <row r="1">
          <cell r="A1" t="str">
            <v>시멘트,모래,자갈 산출표</v>
          </cell>
        </row>
      </sheetData>
      <sheetData sheetId="2526">
        <row r="1">
          <cell r="A1" t="str">
            <v>시멘트,모래,자갈 산출표</v>
          </cell>
        </row>
      </sheetData>
      <sheetData sheetId="2527">
        <row r="1">
          <cell r="A1" t="str">
            <v>시멘트,모래,자갈 산출표</v>
          </cell>
        </row>
      </sheetData>
      <sheetData sheetId="2528">
        <row r="1">
          <cell r="A1" t="str">
            <v>시멘트,모래,자갈 산출표</v>
          </cell>
        </row>
      </sheetData>
      <sheetData sheetId="2529">
        <row r="1">
          <cell r="A1" t="str">
            <v>시멘트,모래,자갈 산출표</v>
          </cell>
        </row>
      </sheetData>
      <sheetData sheetId="2530">
        <row r="1">
          <cell r="A1" t="str">
            <v>시멘트,모래,자갈 산출표</v>
          </cell>
        </row>
      </sheetData>
      <sheetData sheetId="2531">
        <row r="1">
          <cell r="A1" t="str">
            <v>시멘트,모래,자갈 산출표</v>
          </cell>
        </row>
      </sheetData>
      <sheetData sheetId="2532">
        <row r="1">
          <cell r="A1" t="str">
            <v>시멘트,모래,자갈 산출표</v>
          </cell>
        </row>
      </sheetData>
      <sheetData sheetId="2533">
        <row r="1">
          <cell r="A1" t="str">
            <v>시멘트,모래,자갈 산출표</v>
          </cell>
        </row>
      </sheetData>
      <sheetData sheetId="2534">
        <row r="1">
          <cell r="A1" t="str">
            <v>시멘트,모래,자갈 산출표</v>
          </cell>
        </row>
      </sheetData>
      <sheetData sheetId="2535">
        <row r="1">
          <cell r="A1" t="str">
            <v>시멘트,모래,자갈 산출표</v>
          </cell>
        </row>
      </sheetData>
      <sheetData sheetId="2536">
        <row r="1">
          <cell r="A1" t="str">
            <v>시멘트,모래,자갈 산출표</v>
          </cell>
        </row>
      </sheetData>
      <sheetData sheetId="2537">
        <row r="1">
          <cell r="A1" t="str">
            <v>시멘트,모래,자갈 산출표</v>
          </cell>
        </row>
      </sheetData>
      <sheetData sheetId="2538">
        <row r="1">
          <cell r="A1" t="str">
            <v>시멘트,모래,자갈 산출표</v>
          </cell>
        </row>
      </sheetData>
      <sheetData sheetId="2539">
        <row r="1">
          <cell r="A1" t="str">
            <v>시멘트,모래,자갈 산출표</v>
          </cell>
        </row>
      </sheetData>
      <sheetData sheetId="2540">
        <row r="1">
          <cell r="A1" t="str">
            <v>시멘트,모래,자갈 산출표</v>
          </cell>
        </row>
      </sheetData>
      <sheetData sheetId="2541">
        <row r="1">
          <cell r="A1" t="str">
            <v>시멘트,모래,자갈 산출표</v>
          </cell>
        </row>
      </sheetData>
      <sheetData sheetId="2542">
        <row r="1">
          <cell r="A1" t="str">
            <v>시멘트,모래,자갈 산출표</v>
          </cell>
        </row>
      </sheetData>
      <sheetData sheetId="2543">
        <row r="1">
          <cell r="A1" t="str">
            <v>시멘트,모래,자갈 산출표</v>
          </cell>
        </row>
      </sheetData>
      <sheetData sheetId="2544"/>
      <sheetData sheetId="2545">
        <row r="1">
          <cell r="A1" t="str">
            <v>시멘트,모래,자갈 산출표</v>
          </cell>
        </row>
      </sheetData>
      <sheetData sheetId="2546">
        <row r="1">
          <cell r="A1" t="str">
            <v>시멘트,모래,자갈 산출표</v>
          </cell>
        </row>
      </sheetData>
      <sheetData sheetId="2547">
        <row r="1">
          <cell r="A1" t="str">
            <v>시멘트,모래,자갈 산출표</v>
          </cell>
        </row>
      </sheetData>
      <sheetData sheetId="2548">
        <row r="1">
          <cell r="A1" t="str">
            <v>시멘트,모래,자갈 산출표</v>
          </cell>
        </row>
      </sheetData>
      <sheetData sheetId="2549">
        <row r="1">
          <cell r="A1" t="str">
            <v>시멘트,모래,자갈 산출표</v>
          </cell>
        </row>
      </sheetData>
      <sheetData sheetId="2550">
        <row r="1">
          <cell r="A1" t="str">
            <v>시멘트,모래,자갈 산출표</v>
          </cell>
        </row>
      </sheetData>
      <sheetData sheetId="2551">
        <row r="1">
          <cell r="A1" t="str">
            <v>시멘트,모래,자갈 산출표</v>
          </cell>
        </row>
      </sheetData>
      <sheetData sheetId="2552">
        <row r="1">
          <cell r="A1" t="str">
            <v>시멘트,모래,자갈 산출표</v>
          </cell>
        </row>
      </sheetData>
      <sheetData sheetId="2553">
        <row r="1">
          <cell r="A1" t="str">
            <v>시멘트,모래,자갈 산출표</v>
          </cell>
        </row>
      </sheetData>
      <sheetData sheetId="2554">
        <row r="1">
          <cell r="A1" t="str">
            <v>시멘트,모래,자갈 산출표</v>
          </cell>
        </row>
      </sheetData>
      <sheetData sheetId="2555">
        <row r="1">
          <cell r="A1" t="str">
            <v>시멘트,모래,자갈 산출표</v>
          </cell>
        </row>
      </sheetData>
      <sheetData sheetId="2556">
        <row r="1">
          <cell r="A1" t="str">
            <v>시멘트,모래,자갈 산출표</v>
          </cell>
        </row>
      </sheetData>
      <sheetData sheetId="2557">
        <row r="1">
          <cell r="A1" t="str">
            <v>시멘트,모래,자갈 산출표</v>
          </cell>
        </row>
      </sheetData>
      <sheetData sheetId="2558">
        <row r="1">
          <cell r="A1" t="str">
            <v>시멘트,모래,자갈 산출표</v>
          </cell>
        </row>
      </sheetData>
      <sheetData sheetId="2559">
        <row r="1">
          <cell r="A1" t="str">
            <v>시멘트,모래,자갈 산출표</v>
          </cell>
        </row>
      </sheetData>
      <sheetData sheetId="2560">
        <row r="1">
          <cell r="A1" t="str">
            <v>시멘트,모래,자갈 산출표</v>
          </cell>
        </row>
      </sheetData>
      <sheetData sheetId="2561">
        <row r="1">
          <cell r="A1" t="str">
            <v>시멘트,모래,자갈 산출표</v>
          </cell>
        </row>
      </sheetData>
      <sheetData sheetId="2562">
        <row r="1">
          <cell r="A1" t="str">
            <v>시멘트,모래,자갈 산출표</v>
          </cell>
        </row>
      </sheetData>
      <sheetData sheetId="2563">
        <row r="1">
          <cell r="A1" t="str">
            <v>시멘트,모래,자갈 산출표</v>
          </cell>
        </row>
      </sheetData>
      <sheetData sheetId="2564">
        <row r="1">
          <cell r="A1" t="str">
            <v>시멘트,모래,자갈 산출표</v>
          </cell>
        </row>
      </sheetData>
      <sheetData sheetId="2565">
        <row r="1">
          <cell r="A1" t="str">
            <v>시멘트,모래,자갈 산출표</v>
          </cell>
        </row>
      </sheetData>
      <sheetData sheetId="2566">
        <row r="1">
          <cell r="A1" t="str">
            <v>시멘트,모래,자갈 산출표</v>
          </cell>
        </row>
      </sheetData>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ow r="1">
          <cell r="A1" t="str">
            <v>시멘트,모래,자갈 산출표</v>
          </cell>
        </row>
      </sheetData>
      <sheetData sheetId="2581">
        <row r="1">
          <cell r="A1" t="str">
            <v>시멘트,모래,자갈 산출표</v>
          </cell>
        </row>
      </sheetData>
      <sheetData sheetId="2582">
        <row r="1">
          <cell r="A1" t="str">
            <v>시멘트,모래,자갈 산출표</v>
          </cell>
        </row>
      </sheetData>
      <sheetData sheetId="2583">
        <row r="1">
          <cell r="A1" t="str">
            <v>시멘트,모래,자갈 산출표</v>
          </cell>
        </row>
      </sheetData>
      <sheetData sheetId="2584">
        <row r="1">
          <cell r="A1" t="str">
            <v>시멘트,모래,자갈 산출표</v>
          </cell>
        </row>
      </sheetData>
      <sheetData sheetId="2585"/>
      <sheetData sheetId="2586"/>
      <sheetData sheetId="2587"/>
      <sheetData sheetId="2588"/>
      <sheetData sheetId="2589">
        <row r="1">
          <cell r="A1" t="str">
            <v>시멘트,모래,자갈 산출표</v>
          </cell>
        </row>
      </sheetData>
      <sheetData sheetId="2590">
        <row r="1">
          <cell r="A1" t="str">
            <v>시멘트,모래,자갈 산출표</v>
          </cell>
        </row>
      </sheetData>
      <sheetData sheetId="2591">
        <row r="1">
          <cell r="A1" t="str">
            <v>시멘트,모래,자갈 산출표</v>
          </cell>
        </row>
      </sheetData>
      <sheetData sheetId="2592">
        <row r="1">
          <cell r="A1" t="str">
            <v>시멘트,모래,자갈 산출표</v>
          </cell>
        </row>
      </sheetData>
      <sheetData sheetId="2593"/>
      <sheetData sheetId="2594"/>
      <sheetData sheetId="2595"/>
      <sheetData sheetId="2596"/>
      <sheetData sheetId="2597"/>
      <sheetData sheetId="2598"/>
      <sheetData sheetId="2599">
        <row r="1">
          <cell r="A1" t="str">
            <v>시멘트,모래,자갈 산출표</v>
          </cell>
        </row>
      </sheetData>
      <sheetData sheetId="2600">
        <row r="1">
          <cell r="A1" t="str">
            <v>시멘트,모래,자갈 산출표</v>
          </cell>
        </row>
      </sheetData>
      <sheetData sheetId="2601">
        <row r="1">
          <cell r="A1" t="str">
            <v>시멘트,모래,자갈 산출표</v>
          </cell>
        </row>
      </sheetData>
      <sheetData sheetId="2602">
        <row r="1">
          <cell r="A1" t="str">
            <v>시멘트,모래,자갈 산출표</v>
          </cell>
        </row>
      </sheetData>
      <sheetData sheetId="2603">
        <row r="1">
          <cell r="A1" t="str">
            <v>시멘트,모래,자갈 산출표</v>
          </cell>
        </row>
      </sheetData>
      <sheetData sheetId="2604">
        <row r="1">
          <cell r="A1" t="str">
            <v>시멘트,모래,자갈 산출표</v>
          </cell>
        </row>
      </sheetData>
      <sheetData sheetId="2605"/>
      <sheetData sheetId="2606"/>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ow r="1">
          <cell r="A1" t="str">
            <v>시멘트,모래,자갈 산출표</v>
          </cell>
        </row>
      </sheetData>
      <sheetData sheetId="2645">
        <row r="1">
          <cell r="A1" t="str">
            <v>시멘트,모래,자갈 산출표</v>
          </cell>
        </row>
      </sheetData>
      <sheetData sheetId="2646">
        <row r="1">
          <cell r="A1" t="str">
            <v>시멘트,모래,자갈 산출표</v>
          </cell>
        </row>
      </sheetData>
      <sheetData sheetId="2647">
        <row r="1">
          <cell r="A1" t="str">
            <v>시멘트,모래,자갈 산출표</v>
          </cell>
        </row>
      </sheetData>
      <sheetData sheetId="2648"/>
      <sheetData sheetId="2649"/>
      <sheetData sheetId="2650" refreshError="1"/>
      <sheetData sheetId="2651"/>
      <sheetData sheetId="2652"/>
      <sheetData sheetId="2653"/>
      <sheetData sheetId="2654" refreshError="1"/>
      <sheetData sheetId="2655"/>
      <sheetData sheetId="2656"/>
      <sheetData sheetId="2657"/>
      <sheetData sheetId="2658"/>
      <sheetData sheetId="2659"/>
      <sheetData sheetId="2660"/>
      <sheetData sheetId="2661"/>
      <sheetData sheetId="2662"/>
      <sheetData sheetId="2663">
        <row r="1">
          <cell r="A1" t="str">
            <v>시멘트,모래,자갈 산출표</v>
          </cell>
        </row>
      </sheetData>
      <sheetData sheetId="2664">
        <row r="1">
          <cell r="A1" t="str">
            <v>시멘트,모래,자갈 산출표</v>
          </cell>
        </row>
      </sheetData>
      <sheetData sheetId="2665">
        <row r="1">
          <cell r="A1" t="str">
            <v>시멘트,모래,자갈 산출표</v>
          </cell>
        </row>
      </sheetData>
      <sheetData sheetId="2666">
        <row r="1">
          <cell r="A1" t="str">
            <v>시멘트,모래,자갈 산출표</v>
          </cell>
        </row>
      </sheetData>
      <sheetData sheetId="2667">
        <row r="1">
          <cell r="A1" t="str">
            <v>시멘트,모래,자갈 산출표</v>
          </cell>
        </row>
      </sheetData>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row r="1">
          <cell r="A1" t="str">
            <v>시멘트,모래,자갈 산출표</v>
          </cell>
        </row>
      </sheetData>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row r="1">
          <cell r="A1" t="str">
            <v>시멘트,모래,자갈 산출표</v>
          </cell>
        </row>
      </sheetData>
      <sheetData sheetId="2775"/>
      <sheetData sheetId="2776">
        <row r="1">
          <cell r="A1" t="str">
            <v>시멘트,모래,자갈 산출표</v>
          </cell>
        </row>
      </sheetData>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ow r="1">
          <cell r="A1" t="str">
            <v>시멘트,모래,자갈 산출표</v>
          </cell>
        </row>
      </sheetData>
      <sheetData sheetId="2842">
        <row r="1">
          <cell r="A1" t="str">
            <v>시멘트,모래,자갈 산출표</v>
          </cell>
        </row>
      </sheetData>
      <sheetData sheetId="2843">
        <row r="1">
          <cell r="A1" t="str">
            <v>시멘트,모래,자갈 산출표</v>
          </cell>
        </row>
      </sheetData>
      <sheetData sheetId="2844">
        <row r="1">
          <cell r="A1" t="str">
            <v>시멘트,모래,자갈 산출표</v>
          </cell>
        </row>
      </sheetData>
      <sheetData sheetId="2845">
        <row r="1">
          <cell r="A1" t="str">
            <v>시멘트,모래,자갈 산출표</v>
          </cell>
        </row>
      </sheetData>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sheetData sheetId="2910"/>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sheetData sheetId="2975" refreshError="1"/>
      <sheetData sheetId="2976" refreshError="1"/>
      <sheetData sheetId="2977" refreshError="1"/>
      <sheetData sheetId="2978"/>
      <sheetData sheetId="2979"/>
      <sheetData sheetId="2980"/>
      <sheetData sheetId="298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row r="1">
          <cell r="A1" t="str">
            <v>시멘트,모래,자갈 산출표</v>
          </cell>
        </row>
      </sheetData>
      <sheetData sheetId="3066">
        <row r="1">
          <cell r="A1" t="str">
            <v>시멘트,모래,자갈 산출표</v>
          </cell>
        </row>
      </sheetData>
      <sheetData sheetId="3067">
        <row r="1">
          <cell r="A1" t="str">
            <v>시멘트,모래,자갈 산출표</v>
          </cell>
        </row>
      </sheetData>
      <sheetData sheetId="3068">
        <row r="1">
          <cell r="A1" t="str">
            <v>시멘트,모래,자갈 산출표</v>
          </cell>
        </row>
      </sheetData>
      <sheetData sheetId="3069">
        <row r="1">
          <cell r="A1" t="str">
            <v>시멘트,모래,자갈 산출표</v>
          </cell>
        </row>
      </sheetData>
      <sheetData sheetId="3070">
        <row r="1">
          <cell r="A1" t="str">
            <v>시멘트,모래,자갈 산출표</v>
          </cell>
        </row>
      </sheetData>
      <sheetData sheetId="3071">
        <row r="1">
          <cell r="A1" t="str">
            <v>시멘트,모래,자갈 산출표</v>
          </cell>
        </row>
      </sheetData>
      <sheetData sheetId="3072">
        <row r="1">
          <cell r="A1" t="str">
            <v>시멘트,모래,자갈 산출표</v>
          </cell>
        </row>
      </sheetData>
      <sheetData sheetId="3073">
        <row r="1">
          <cell r="A1" t="str">
            <v>시멘트,모래,자갈 산출표</v>
          </cell>
        </row>
      </sheetData>
      <sheetData sheetId="3074">
        <row r="1">
          <cell r="A1" t="str">
            <v>시멘트,모래,자갈 산출표</v>
          </cell>
        </row>
      </sheetData>
      <sheetData sheetId="3075">
        <row r="1">
          <cell r="A1" t="str">
            <v>시멘트,모래,자갈 산출표</v>
          </cell>
        </row>
      </sheetData>
      <sheetData sheetId="3076">
        <row r="1">
          <cell r="A1" t="str">
            <v>시멘트,모래,자갈 산출표</v>
          </cell>
        </row>
      </sheetData>
      <sheetData sheetId="3077">
        <row r="1">
          <cell r="A1" t="str">
            <v>시멘트,모래,자갈 산출표</v>
          </cell>
        </row>
      </sheetData>
      <sheetData sheetId="3078">
        <row r="1">
          <cell r="A1" t="str">
            <v>시멘트,모래,자갈 산출표</v>
          </cell>
        </row>
      </sheetData>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row r="1">
          <cell r="A1" t="str">
            <v>시멘트,모래,자갈 산출표</v>
          </cell>
        </row>
      </sheetData>
      <sheetData sheetId="3165"/>
      <sheetData sheetId="3166"/>
      <sheetData sheetId="3167"/>
      <sheetData sheetId="3168"/>
      <sheetData sheetId="3169"/>
      <sheetData sheetId="3170">
        <row r="1">
          <cell r="A1" t="str">
            <v>시멘트,모래,자갈 산출표</v>
          </cell>
        </row>
      </sheetData>
      <sheetData sheetId="3171"/>
      <sheetData sheetId="3172"/>
      <sheetData sheetId="3173"/>
      <sheetData sheetId="3174"/>
      <sheetData sheetId="3175"/>
      <sheetData sheetId="3176" refreshError="1"/>
      <sheetData sheetId="3177"/>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refreshError="1"/>
      <sheetData sheetId="3203" refreshError="1"/>
      <sheetData sheetId="3204" refreshError="1"/>
      <sheetData sheetId="3205" refreshError="1"/>
      <sheetData sheetId="3206" refreshError="1"/>
      <sheetData sheetId="3207"/>
      <sheetData sheetId="3208"/>
      <sheetData sheetId="3209"/>
      <sheetData sheetId="3210"/>
      <sheetData sheetId="321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sheetData sheetId="3250"/>
      <sheetData sheetId="3251"/>
      <sheetData sheetId="3252"/>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sheetData sheetId="3262"/>
      <sheetData sheetId="3263"/>
      <sheetData sheetId="3264"/>
      <sheetData sheetId="3265"/>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sheetData sheetId="3296"/>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sheetData sheetId="3380"/>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sheetData sheetId="3569"/>
      <sheetData sheetId="3570"/>
      <sheetData sheetId="3571"/>
      <sheetData sheetId="3572"/>
      <sheetData sheetId="3573"/>
      <sheetData sheetId="3574"/>
      <sheetData sheetId="3575"/>
      <sheetData sheetId="3576"/>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일위대가"/>
      <sheetName val="조명시설"/>
      <sheetName val="말뚝지지력산정"/>
      <sheetName val="콘크리트포장"/>
      <sheetName val="진입도로포장산출"/>
      <sheetName val="진입부포장면적위치조서"/>
      <sheetName val="진입부수량집계표"/>
      <sheetName val="콘크리트포장집계표"/>
      <sheetName val="포장공집계"/>
      <sheetName val="토적표"/>
      <sheetName val="토공집계표"/>
      <sheetName val="토공분석표"/>
      <sheetName val="집계표"/>
      <sheetName val="자재대"/>
      <sheetName val="간지"/>
      <sheetName val="표지"/>
      <sheetName val="대로근거"/>
      <sheetName val="중로근거"/>
      <sheetName val="내역서 "/>
      <sheetName val="단가"/>
      <sheetName val="1.설계조건"/>
      <sheetName val="교각1"/>
      <sheetName val="ABUT수량-A1"/>
      <sheetName val="danga"/>
      <sheetName val="ilch"/>
      <sheetName val="철근단면적"/>
      <sheetName val="guard(mac)"/>
      <sheetName val="가도공"/>
      <sheetName val="입찰안"/>
      <sheetName val="산출근거"/>
      <sheetName val="기둥(원형)"/>
      <sheetName val="단면가정"/>
      <sheetName val="대비"/>
      <sheetName val="견적990322"/>
      <sheetName val="DATA"/>
      <sheetName val="하도금액분계"/>
      <sheetName val="#REF"/>
      <sheetName val="원형맨홀수량"/>
      <sheetName val="합계금액"/>
      <sheetName val="DATE"/>
      <sheetName val="SLAB&quot;1&quot;"/>
      <sheetName val="방음벽기초(H=4m)"/>
      <sheetName val="노임이"/>
      <sheetName val="전기"/>
      <sheetName val="전체"/>
      <sheetName val="CODE"/>
      <sheetName val="보온자재단가표"/>
      <sheetName val="자료"/>
      <sheetName val="COPING"/>
      <sheetName val="Y-WORK"/>
      <sheetName val="코드표"/>
      <sheetName val="단가산출서1"/>
      <sheetName val="식재총괄"/>
      <sheetName val="을"/>
      <sheetName val="좌측"/>
      <sheetName val="수입"/>
      <sheetName val="hvac(제어동)"/>
      <sheetName val="단위수량"/>
      <sheetName val="9GNG운반"/>
      <sheetName val="식생블럭단위수량"/>
      <sheetName val="Sheet1"/>
      <sheetName val="INPUT"/>
      <sheetName val="조경"/>
      <sheetName val="Macro(전선)"/>
      <sheetName val="SILICATE"/>
      <sheetName val="TB-내역서"/>
      <sheetName val="업체별기성내역"/>
      <sheetName val="내역서_"/>
      <sheetName val="토목"/>
      <sheetName val="70%"/>
      <sheetName val="일위대가9803"/>
      <sheetName val="내역서"/>
      <sheetName val="시설물기초"/>
      <sheetName val="구조물철거타공정이월"/>
      <sheetName val="역T형"/>
      <sheetName val="TYPE-A"/>
      <sheetName val="8.PILE  (돌출)"/>
      <sheetName val="주차구획선수량"/>
      <sheetName val="몰탈재료산출"/>
      <sheetName val="일위대가(가설)"/>
      <sheetName val="노임단가"/>
      <sheetName val="설계예산"/>
      <sheetName val="Macro1"/>
      <sheetName val="연령현황"/>
      <sheetName val="데이타"/>
      <sheetName val="Front"/>
      <sheetName val="wall"/>
      <sheetName val="전기일위대가"/>
      <sheetName val="hvac내역서(제어동)"/>
      <sheetName val="자재단가"/>
      <sheetName val="관리,공감"/>
      <sheetName val="노임"/>
      <sheetName val="WVAL"/>
      <sheetName val="1"/>
      <sheetName val="ITEM"/>
      <sheetName val="용산1(해보)"/>
      <sheetName val="터파기및재료"/>
      <sheetName val="3.하중산정4.지지력"/>
      <sheetName val="표지 (2)"/>
      <sheetName val="차액보증"/>
      <sheetName val="물량표S"/>
      <sheetName val="PAINT"/>
      <sheetName val="SUMMARY"/>
      <sheetName val="물량표"/>
      <sheetName val="물량표(신)"/>
      <sheetName val="99노임기준"/>
      <sheetName val="갑지(추정)"/>
      <sheetName val="설명서 "/>
      <sheetName val="총집계"/>
      <sheetName val="금융비용"/>
      <sheetName val="설계조건"/>
      <sheetName val="대전21토목내역서"/>
      <sheetName val="총괄표"/>
      <sheetName val="주경기-오배수"/>
      <sheetName val="설직재-1"/>
      <sheetName val="가중치"/>
      <sheetName val="2호맨홀공제수량"/>
      <sheetName val="토공총괄집계"/>
      <sheetName val="하수급견적대비"/>
      <sheetName val="1.설계기준"/>
      <sheetName val="설계내역서"/>
      <sheetName val="기기리스트"/>
      <sheetName val="1,2,3,4,5단위수량"/>
      <sheetName val="참조"/>
      <sheetName val="분석"/>
      <sheetName val="sw1"/>
      <sheetName val="W3단면"/>
      <sheetName val="송라터널총괄"/>
      <sheetName val="INPUT(덕도방향-시점)"/>
      <sheetName val="본체"/>
      <sheetName val="수량산출"/>
      <sheetName val="Total"/>
      <sheetName val="지장물C"/>
      <sheetName val="Sheet2"/>
      <sheetName val="뚝토공"/>
      <sheetName val="단면 (2)"/>
      <sheetName val="금액내역서"/>
      <sheetName val="세목전체"/>
      <sheetName val="20관리비율"/>
      <sheetName val="플랜트 설치"/>
      <sheetName val="찍기"/>
      <sheetName val="정부노임단가"/>
      <sheetName val="견적조건"/>
      <sheetName val="개략"/>
      <sheetName val="WORK"/>
      <sheetName val="일위대가표"/>
      <sheetName val="우수공"/>
      <sheetName val="실행철강하도"/>
      <sheetName val="H-pile(298x299)"/>
      <sheetName val="H-pile(250x250)"/>
      <sheetName val="물가자료"/>
      <sheetName val="개산공사비"/>
      <sheetName val="plan&amp;section of foundation"/>
      <sheetName val="pile bearing capa &amp; arrenge"/>
      <sheetName val="design load"/>
      <sheetName val="working load at the btm ft."/>
      <sheetName val="stability check"/>
      <sheetName val="design criteria"/>
      <sheetName val="3BL공동구 수량"/>
      <sheetName val="안산기계장치"/>
      <sheetName val="6PILE  (돌출)"/>
      <sheetName val="crude.SLAB RE-bar"/>
      <sheetName val="CRUDE RE-bar"/>
      <sheetName val="TEL"/>
      <sheetName val="일위대가(계측기설치)"/>
      <sheetName val="일반부표"/>
      <sheetName val="N賃率-職"/>
      <sheetName val="제직재"/>
      <sheetName val="제-노임"/>
      <sheetName val="철근량"/>
      <sheetName val="원형1호맨홀토공수량"/>
      <sheetName val="기계경비(시간당)"/>
      <sheetName val="램머"/>
      <sheetName val="갑지"/>
      <sheetName val="산근(PE,300)"/>
      <sheetName val="특2호하천산근"/>
      <sheetName val="특2호부관하천산근"/>
      <sheetName val="신표지1"/>
      <sheetName val="표  지"/>
      <sheetName val="안정계산"/>
      <sheetName val="단면검토"/>
      <sheetName val="신규 수주분(사용자 정의)"/>
      <sheetName val="DATA2000"/>
      <sheetName val="내력서"/>
      <sheetName val="가로등내역서"/>
      <sheetName val="1.우편집중내역서"/>
      <sheetName val="배수통관(좌)"/>
      <sheetName val="약품공급2"/>
      <sheetName val="2011.(4)"/>
      <sheetName val="COMPARISON TABLE"/>
      <sheetName val="부대공Ⅱ"/>
      <sheetName val="식재일위대가"/>
      <sheetName val="일위대가1"/>
      <sheetName val="Pier 3"/>
      <sheetName val="토공총괄표"/>
      <sheetName val="BID"/>
      <sheetName val="토목품셈"/>
      <sheetName val="마산방향철근집계"/>
      <sheetName val="진주방향"/>
      <sheetName val="마산방향"/>
      <sheetName val="DATA 입력란"/>
      <sheetName val="CPM챠트"/>
      <sheetName val="한강운반비"/>
      <sheetName val="신우"/>
      <sheetName val="내역및총괄"/>
      <sheetName val="토적계산서"/>
      <sheetName val="2.입력sheet"/>
      <sheetName val="M1"/>
      <sheetName val="슬래브"/>
      <sheetName val="직공비"/>
      <sheetName val="(3.품질관리 시험 총괄표)"/>
      <sheetName val="옥룡잡비"/>
      <sheetName val="정렬"/>
      <sheetName val="※참고자료※"/>
      <sheetName val="원하도급내역서(당초)"/>
      <sheetName val="공통가설"/>
      <sheetName val="견적서"/>
      <sheetName val="손익분석"/>
      <sheetName val="일위대가(건축)"/>
      <sheetName val="전력"/>
      <sheetName val="Sheet3"/>
      <sheetName val="음료실행"/>
      <sheetName val="UEC영화관본공사내역"/>
      <sheetName val="대운산출"/>
      <sheetName val="세부내역"/>
      <sheetName val="소방현물"/>
      <sheetName val="교대(A1)"/>
      <sheetName val="내역"/>
      <sheetName val="총괄내역서"/>
      <sheetName val="현장일반사항"/>
      <sheetName val="수량BOQ"/>
      <sheetName val="공사비예산서(토목분)"/>
      <sheetName val="토량1-1"/>
      <sheetName val="도장수량(하1)"/>
      <sheetName val="주형"/>
      <sheetName val="옹벽"/>
      <sheetName val="절취및터파기"/>
      <sheetName val="거래처등록"/>
      <sheetName val="98수문일위"/>
      <sheetName val="BOX전기내역"/>
      <sheetName val="소운반"/>
      <sheetName val="단가(1)"/>
      <sheetName val="원가계산서"/>
      <sheetName val="토공(우물통,기타) "/>
      <sheetName val="Sheet1 (2)"/>
      <sheetName val="보차도경계석"/>
      <sheetName val="2000년1차"/>
      <sheetName val="2.가정단면"/>
      <sheetName val="CON포장수량"/>
      <sheetName val="ACUNIT"/>
      <sheetName val="CONUNIT"/>
      <sheetName val="포장공"/>
      <sheetName val="품셈TABLE"/>
      <sheetName val="식재인부"/>
      <sheetName val="원형측구(B-type)"/>
      <sheetName val="내역표지"/>
      <sheetName val="노무비계"/>
      <sheetName val="기안"/>
      <sheetName val=" 냉각수펌프"/>
      <sheetName val="Sheet5"/>
      <sheetName val="인명부"/>
      <sheetName val="계단"/>
      <sheetName val="1062-X방향 "/>
      <sheetName val="날개벽수량표"/>
      <sheetName val="덕전리"/>
      <sheetName val="관경별우수관집계"/>
      <sheetName val="개요"/>
      <sheetName val="조작대(1연)"/>
      <sheetName val="산출내역서집계표"/>
      <sheetName val="PAD TR보호대기초"/>
      <sheetName val="가로등기초"/>
      <sheetName val="중기사용료산출근거"/>
      <sheetName val="단가 및 재료비"/>
      <sheetName val="토목주소"/>
      <sheetName val="프랜트면허"/>
      <sheetName val="별표 "/>
      <sheetName val="조명율표"/>
      <sheetName val="단가조사-2"/>
      <sheetName val="VE절감"/>
      <sheetName val="맨홀수량"/>
      <sheetName val="토사(PE)"/>
      <sheetName val="전력구구조물산근"/>
      <sheetName val="1TL종점(1)"/>
      <sheetName val="도로경계블럭연장조서"/>
      <sheetName val="변경후-SHEET"/>
      <sheetName val="지주목시비량산출서"/>
      <sheetName val="단가조사"/>
      <sheetName val="법면"/>
      <sheetName val="부대공"/>
      <sheetName val="구조물공"/>
      <sheetName val="중기일위대가"/>
      <sheetName val="토공"/>
      <sheetName val="배수공1"/>
      <sheetName val="참조M"/>
      <sheetName val="지구단위계획"/>
      <sheetName val="총괄"/>
      <sheetName val="용수량(생활용수)"/>
      <sheetName val="설계기준"/>
      <sheetName val="교각계산"/>
      <sheetName val="costing_CV"/>
      <sheetName val="ITB COST"/>
      <sheetName val="costing_ESDV"/>
      <sheetName val="costing_Misc"/>
      <sheetName val="costing_MOV"/>
      <sheetName val="costing_Press"/>
      <sheetName val="자압"/>
      <sheetName val="1.2.1 마루높이결정"/>
      <sheetName val="2000용수잠관-수량집계"/>
      <sheetName val="지급자재"/>
      <sheetName val="COL"/>
      <sheetName val="설계변경원가계산총괄표"/>
      <sheetName val="간지9)"/>
      <sheetName val="7.PILE  (돌출)"/>
      <sheetName val="수량집계표"/>
      <sheetName val="자재목록"/>
      <sheetName val="입력"/>
      <sheetName val="BOX(1.5X1.5)"/>
      <sheetName val="U-TYPE(1)"/>
      <sheetName val="전선 및 전선관"/>
      <sheetName val="공량산출서"/>
      <sheetName val="건축공사"/>
      <sheetName val="물가시세표"/>
      <sheetName val="시선유도표지집계표"/>
      <sheetName val="설계명세"/>
      <sheetName val="유림골조"/>
      <sheetName val="증감내역서"/>
      <sheetName val="예산작성기준(전기)"/>
      <sheetName val="일반공사"/>
      <sheetName val="웅진교-S2"/>
      <sheetName val="견적대비"/>
      <sheetName val="단가조사서"/>
      <sheetName val="목차"/>
      <sheetName val="방음벽기초"/>
      <sheetName val="입찰보고"/>
      <sheetName val="PD-5(직선)"/>
      <sheetName val="통합"/>
      <sheetName val="BOILING검토"/>
      <sheetName val="WEON"/>
      <sheetName val="차선도색현황"/>
      <sheetName val="o현장경비"/>
      <sheetName val="토목내역"/>
      <sheetName val="관경"/>
      <sheetName val="시행후면적"/>
      <sheetName val="시가지우회도로공내역서"/>
      <sheetName val="각사별공사비분개 "/>
      <sheetName val="기계경비일람"/>
      <sheetName val="기계시공"/>
      <sheetName val="설계예산서"/>
      <sheetName val="데리네이타현황"/>
      <sheetName val="바닥판(1)"/>
      <sheetName val="포장복구집계"/>
      <sheetName val="상시"/>
      <sheetName val="DIAPHRAGM"/>
      <sheetName val="단가일람"/>
      <sheetName val="단위량당중기"/>
      <sheetName val="P3"/>
      <sheetName val="기초공"/>
      <sheetName val="단가산출"/>
      <sheetName val="MOTOR"/>
      <sheetName val="부하계산서"/>
      <sheetName val="XL4Poppy"/>
      <sheetName val="기초일위"/>
      <sheetName val="수목단가"/>
      <sheetName val="시설수량표"/>
      <sheetName val="시설일위"/>
      <sheetName val="식재수량표"/>
      <sheetName val="식재일위"/>
      <sheetName val="재집"/>
      <sheetName val="직재"/>
      <sheetName val="A-4"/>
      <sheetName val="품의"/>
      <sheetName val="통영LNG입찰현황"/>
      <sheetName val="대비표"/>
      <sheetName val="상수도공-간지"/>
      <sheetName val="2공구산출내역"/>
      <sheetName val="소업1교"/>
      <sheetName val="수로단위수량"/>
      <sheetName val="산근"/>
      <sheetName val="하중"/>
      <sheetName val="지급자재조서"/>
      <sheetName val="단가(반정1교-원주)"/>
      <sheetName val="Sheet10"/>
      <sheetName val="실행대비"/>
      <sheetName val="SLIDES"/>
      <sheetName val="종배수관(신)"/>
      <sheetName val="적용단위길이"/>
      <sheetName val="자료입력"/>
      <sheetName val="종배수관면벽신"/>
      <sheetName val="수량산출근거"/>
      <sheetName val="기둥"/>
      <sheetName val="저판(버림100)"/>
      <sheetName val="계화배수"/>
      <sheetName val="1. 설계조건 2.단면가정 3. 하중계산"/>
      <sheetName val="(A)내역서"/>
      <sheetName val="현황산출서"/>
      <sheetName val="공사내역"/>
      <sheetName val="갑지1"/>
      <sheetName val="sheeet2"/>
      <sheetName val="단면 _2_"/>
      <sheetName val="대림경상68억"/>
      <sheetName val="날개벽(시점좌측)"/>
      <sheetName val="우수관"/>
      <sheetName val="2000년하반기"/>
      <sheetName val="11.자재단가"/>
      <sheetName val="Dike for 49T03 &amp; 49T04"/>
      <sheetName val="Dike for 49T02, 05~07, 19 (1)"/>
      <sheetName val="공사현황"/>
      <sheetName val="추정공사비_산출내역1.xlsx"/>
      <sheetName val="공정별 수량산출서"/>
      <sheetName val="일반시방서"/>
      <sheetName val="일위대가(조경)"/>
      <sheetName val="공사원가계산서"/>
      <sheetName val="수량집계"/>
      <sheetName val="자재 및 폐기물견적(2008)"/>
      <sheetName val="횡배수관"/>
      <sheetName val="type-F"/>
      <sheetName val="입력시트"/>
      <sheetName val="별총"/>
      <sheetName val="수정내역서"/>
      <sheetName val="간선계산"/>
      <sheetName val="원가입력"/>
      <sheetName val="ASP"/>
      <sheetName val="&lt;목록&gt;"/>
      <sheetName val="수목표준대가"/>
      <sheetName val="00000"/>
      <sheetName val="기자재비"/>
      <sheetName val="공종별수량집계"/>
      <sheetName val="슬래브(유곡)"/>
      <sheetName val="spiral"/>
      <sheetName val="석축"/>
      <sheetName val="EP0618"/>
      <sheetName val="2000전체분"/>
      <sheetName val="인천제철"/>
      <sheetName val="BID9697"/>
      <sheetName val="기둥(하중)"/>
      <sheetName val="ENE-CAL 1"/>
      <sheetName val="-몰탈콘크리트"/>
      <sheetName val="Baby일위대가"/>
      <sheetName val="주식"/>
      <sheetName val="6호기"/>
      <sheetName val="집계표(육상)"/>
      <sheetName val="조건표"/>
      <sheetName val="Sheet15"/>
      <sheetName val="1_설계조건"/>
      <sheetName val="plan&amp;section_of_foundation"/>
      <sheetName val="working_load_at_the_btm_ft_"/>
      <sheetName val="stability_check"/>
      <sheetName val="design_criteria"/>
      <sheetName val="design_load"/>
      <sheetName val="주요자재집계표"/>
      <sheetName val="날개벽"/>
      <sheetName val="예상"/>
      <sheetName val="2002년12월"/>
      <sheetName val="woo(mac)"/>
      <sheetName val="맨홀평균높이"/>
      <sheetName val="결과조달"/>
      <sheetName val="상승요인분석"/>
      <sheetName val="재료"/>
      <sheetName val="산근목록"/>
      <sheetName val="터널구조물산근"/>
      <sheetName val="유림총괄"/>
      <sheetName val="설계기준 및 하중계산"/>
      <sheetName val="내역서(전기)"/>
      <sheetName val="배수내역"/>
      <sheetName val="공내역"/>
      <sheetName val="역T형(H=6.0) (2)"/>
      <sheetName val="중기집계"/>
      <sheetName val="예산대비"/>
      <sheetName val="코드"/>
      <sheetName val="기초(중마오수)"/>
      <sheetName val="포장직선구간"/>
      <sheetName val="포장물량집계"/>
      <sheetName val="건축내역"/>
      <sheetName val="GAEYO"/>
      <sheetName val="SUMDO"/>
      <sheetName val="ENDDO"/>
      <sheetName val="PLDB"/>
      <sheetName val="AAA"/>
      <sheetName val="M-HOUR"/>
      <sheetName val="공기"/>
      <sheetName val="물가시세"/>
      <sheetName val="빌딩 안내"/>
      <sheetName val="0226"/>
      <sheetName val="대우단가(풍산)"/>
      <sheetName val="Macro(차단기)"/>
      <sheetName val="터널조도"/>
      <sheetName val="도급예산내역서봉투"/>
      <sheetName val="도급예산내역서총괄표"/>
      <sheetName val="분전함신설"/>
      <sheetName val="설계산출표지"/>
      <sheetName val="을부담운반비"/>
      <sheetName val="운반비산출"/>
      <sheetName val="접지1종"/>
      <sheetName val="계산서(곡선부)"/>
      <sheetName val="-치수표(곡선부)"/>
      <sheetName val="IMPEADENCE MAP 취수장"/>
      <sheetName val="전차선로 물량표"/>
      <sheetName val="기계경비"/>
      <sheetName val="공사비산출내역"/>
      <sheetName val="은행"/>
      <sheetName val="설정"/>
      <sheetName val="기계내역"/>
      <sheetName val="화단 철거"/>
      <sheetName val="배수철근"/>
      <sheetName val="집계"/>
      <sheetName val="수량산출서 갑지"/>
      <sheetName val="수지예산"/>
      <sheetName val="예정(3)"/>
      <sheetName val="Sheet6"/>
      <sheetName val="북방3터널"/>
      <sheetName val="전계가"/>
      <sheetName val="인건비"/>
      <sheetName val="inter"/>
      <sheetName val="실행"/>
      <sheetName val="예산내역서"/>
      <sheetName val="CTEMCOST"/>
      <sheetName val="DESCRIPTION"/>
      <sheetName val="내역(전체)"/>
      <sheetName val="배수공"/>
      <sheetName val="1호맨홀토공"/>
      <sheetName val="현장관리비"/>
      <sheetName val="Model"/>
      <sheetName val="CONSTRUCTION COMPONENT"/>
      <sheetName val="옥내아파트(전기)"/>
      <sheetName val="입력값"/>
      <sheetName val="측구공"/>
      <sheetName val="중동공구"/>
      <sheetName val="BOX-1515"/>
      <sheetName val="BOX-1510"/>
      <sheetName val="맨홀수량산출"/>
      <sheetName val="M_DB"/>
      <sheetName val="TYPE"/>
      <sheetName val="준검 내역서"/>
      <sheetName val="품셈총괄표"/>
      <sheetName val="FOOTING단면력"/>
      <sheetName val="대정2공구"/>
      <sheetName val="공구"/>
      <sheetName val="평균터파기"/>
      <sheetName val="3CHBDC"/>
      <sheetName val="사급자재"/>
      <sheetName val="CAT_5"/>
      <sheetName val="간접비내역-1"/>
      <sheetName val="중기비"/>
      <sheetName val="국공유지및사유지"/>
      <sheetName val="1호-아(오)0.4"/>
      <sheetName val="CABLE SIZE-3"/>
      <sheetName val="대치판정"/>
      <sheetName val="소비자가"/>
      <sheetName val="일위대가목차"/>
      <sheetName val="공종집계"/>
      <sheetName val="Sheet16"/>
      <sheetName val="Sheet14"/>
      <sheetName val="부하"/>
      <sheetName val="APT"/>
      <sheetName val="Sheet13"/>
      <sheetName val="최적단면"/>
      <sheetName val="변실"/>
      <sheetName val="이음부"/>
      <sheetName val="J直材4"/>
      <sheetName val="맨홀토공수량"/>
      <sheetName val="공사내역서(을)실행"/>
      <sheetName val="우수"/>
      <sheetName val="수량"/>
      <sheetName val="음봉방향"/>
      <sheetName val="cable data1"/>
      <sheetName val="약품설비"/>
      <sheetName val="COPING-1"/>
      <sheetName val="역T형교대-2수량"/>
      <sheetName val="costing_FE"/>
      <sheetName val="공통부대비"/>
      <sheetName val="견적대비 견적서"/>
      <sheetName val="재료비"/>
      <sheetName val="AC포장수량"/>
      <sheetName val="기본DATA"/>
      <sheetName val="내역서_1"/>
      <sheetName val="8_PILE__(돌출)"/>
      <sheetName val="1_설계기준"/>
      <sheetName val="아스콘단위"/>
      <sheetName val="배수개거"/>
      <sheetName val="구조물공위치조서"/>
      <sheetName val="영동(D)"/>
      <sheetName val="단가대비표"/>
      <sheetName val="총수량집계표"/>
      <sheetName val="예가표"/>
      <sheetName val="건축집계"/>
      <sheetName val="설계개요"/>
      <sheetName val="결재갑지"/>
      <sheetName val="간접비계산"/>
      <sheetName val="자재 집계표"/>
      <sheetName val="6PILE__(돌출)"/>
      <sheetName val="플랜트_설치"/>
      <sheetName val="설명서_"/>
      <sheetName val="3BL공동구_수량"/>
      <sheetName val="단면_(2)"/>
      <sheetName val="crude_SLAB_RE-bar"/>
      <sheetName val="CRUDE_RE-bar"/>
      <sheetName val="신규_수주분(사용자_정의)"/>
      <sheetName val="BOX(1_5X1_5)"/>
      <sheetName val="pile_bearing_capa_&amp;_arrenge"/>
      <sheetName val="DATA_입력란"/>
      <sheetName val="2_입력sheet"/>
      <sheetName val="(3_품질관리_시험_총괄표)"/>
      <sheetName val="별표_"/>
      <sheetName val="2_가정단면"/>
      <sheetName val="토공(우물통,기타)_"/>
      <sheetName val="7_PILE__(돌출)"/>
      <sheetName val="COMPARISON_TABLE"/>
      <sheetName val="BOQ"/>
      <sheetName val="종단계산"/>
      <sheetName val="접속 SLAB,BRACKET 설계"/>
      <sheetName val="가정급수관"/>
      <sheetName val="경산"/>
      <sheetName val="1-1"/>
      <sheetName val="wk prgs"/>
      <sheetName val="Berm"/>
      <sheetName val="6.단면검토"/>
      <sheetName val="밸브설치"/>
      <sheetName val="일위대가_호표"/>
      <sheetName val="일위대가_호표 (계약)"/>
      <sheetName val="수량명세서"/>
      <sheetName val="주beam"/>
      <sheetName val="관로토공"/>
      <sheetName val="명세서"/>
      <sheetName val="경비_원본"/>
      <sheetName val="3.공통공사대비"/>
      <sheetName val="1_우편집중내역서"/>
      <sheetName val="Sheet1_(2)"/>
      <sheetName val="3_하중산정4_지지력"/>
      <sheetName val="표__지"/>
      <sheetName val="표지_(2)"/>
      <sheetName val="전체내역서"/>
      <sheetName val="세부내역서"/>
      <sheetName val="6공구(당초)"/>
      <sheetName val="종배수관"/>
      <sheetName val="제수"/>
      <sheetName val="2. 공원조도"/>
      <sheetName val="TYPE1"/>
      <sheetName val="공사비집계"/>
      <sheetName val="2.2 S-Curve"/>
      <sheetName val="공사비증감"/>
      <sheetName val="업무"/>
      <sheetName val="부속동"/>
      <sheetName val="변화치수"/>
      <sheetName val="범례표"/>
      <sheetName val="특수선일위대가"/>
      <sheetName val="점수계산1-2"/>
      <sheetName val="개방1"/>
      <sheetName val="장비사양"/>
      <sheetName val="빙장비사양"/>
      <sheetName val="Tables"/>
      <sheetName val="BSD (2)"/>
      <sheetName val="EQ"/>
      <sheetName val="N10(미지급) "/>
      <sheetName val="(평균)"/>
      <sheetName val="청천내"/>
      <sheetName val="단면A-A(TR)"/>
      <sheetName val="주소록2000(전화번호부)"/>
      <sheetName val="항목"/>
      <sheetName val="DNW"/>
      <sheetName val="tggwan(mac)"/>
      <sheetName val="단지조성공(가포)"/>
      <sheetName val="SG"/>
      <sheetName val="LKVL-CK-HT-GD1"/>
      <sheetName val="TONGKE-HT"/>
      <sheetName val="포장재료집계표"/>
      <sheetName val="CTG"/>
      <sheetName val="대포2교접속"/>
      <sheetName val="천방교접속"/>
      <sheetName val="돌담교 상부수량"/>
      <sheetName val="H-PILE수량집계"/>
      <sheetName val="수량-가로등"/>
      <sheetName val="가시설수량"/>
      <sheetName val="우수받이"/>
      <sheetName val="제원및배치"/>
      <sheetName val="돌담교_상부수량"/>
      <sheetName val="해평견적"/>
      <sheetName val="CON기초"/>
      <sheetName val="역T형교대(말뚝기초)"/>
      <sheetName val="SAP_INPUT"/>
      <sheetName val="1단계"/>
      <sheetName val="테이블"/>
      <sheetName val="건축"/>
      <sheetName val="8.석축단위(H=1.5M)"/>
      <sheetName val="원가계산"/>
      <sheetName val="장비집계"/>
      <sheetName val="자재집계표"/>
      <sheetName val="구천"/>
      <sheetName val="평가데이터"/>
      <sheetName val="일위"/>
      <sheetName val="산출금액내역"/>
      <sheetName val="현장예산"/>
      <sheetName val="예총"/>
      <sheetName val="요율"/>
      <sheetName val="조경내역서"/>
      <sheetName val="안정검토"/>
      <sheetName val="단면설계"/>
      <sheetName val="공사기본내용입력"/>
      <sheetName val="동원인원"/>
      <sheetName val="2공구하도급내역서"/>
      <sheetName val="TOTAL_BOQ"/>
      <sheetName val="옹벽일반수량"/>
      <sheetName val="품셈집계표"/>
      <sheetName val="자재조사표"/>
      <sheetName val="연결관암거"/>
      <sheetName val="현장경비"/>
      <sheetName val="방배동내역(리라)"/>
      <sheetName val="건축공사집계표"/>
      <sheetName val="방배동내역 (총괄)"/>
      <sheetName val="부대공사총괄"/>
      <sheetName val="원본(갑지)"/>
      <sheetName val="단열-자재"/>
      <sheetName val="공제수량총집계표"/>
      <sheetName val="임금단가"/>
      <sheetName val="총투입계"/>
      <sheetName val="대창(함평)"/>
      <sheetName val="대창(장성)"/>
      <sheetName val="대창(함평)-창열"/>
      <sheetName val="원가"/>
      <sheetName val="연습"/>
      <sheetName val="설계서을"/>
      <sheetName val="견적"/>
      <sheetName val="수량3"/>
      <sheetName val="이토변실(A3-LINE)"/>
      <sheetName val="골재산출"/>
      <sheetName val="바닥판"/>
      <sheetName val="입력DATA"/>
      <sheetName val="흥양2교토공집계표"/>
      <sheetName val="2.단면가정 "/>
      <sheetName val="설직재_1"/>
      <sheetName val="집수정"/>
      <sheetName val="깨기"/>
      <sheetName val="편입용지조서"/>
      <sheetName val="일반수량총괄집계"/>
      <sheetName val="단위중량"/>
      <sheetName val="현장별계약현황('98.10.31)"/>
      <sheetName val="중간간지 (2)"/>
      <sheetName val="마산월령동골조물량변경"/>
      <sheetName val="S0"/>
      <sheetName val="CAL"/>
      <sheetName val="도"/>
      <sheetName val="기초코드"/>
      <sheetName val="산출내역서"/>
      <sheetName val="pvc연결관"/>
      <sheetName val="정읍농소"/>
      <sheetName val="부대내역"/>
      <sheetName val="목표세부명세"/>
      <sheetName val="배수내역 (2)"/>
      <sheetName val="-배수구조물공토공"/>
      <sheetName val="횡배수관재료-"/>
      <sheetName val="계산서(직선부)"/>
      <sheetName val="Multi-dims"/>
      <sheetName val="단면치수"/>
      <sheetName val="배수관산출"/>
      <sheetName val="하중계산"/>
      <sheetName val="기초자료"/>
      <sheetName val="암거 제원표"/>
      <sheetName val="6MONTHS"/>
      <sheetName val="기초단가"/>
      <sheetName val="중기손료"/>
      <sheetName val="설계명세서"/>
      <sheetName val="#3_일위대가목록"/>
      <sheetName val="차수공개요"/>
      <sheetName val="당초"/>
      <sheetName val="PIPING"/>
      <sheetName val="#2_일위대가목록"/>
      <sheetName val="중기"/>
      <sheetName val="DB"/>
      <sheetName val="Chiet tinh dz35"/>
      <sheetName val="가압장(토목)"/>
      <sheetName val="RFP002"/>
      <sheetName val="01"/>
      <sheetName val="Rooms"/>
      <sheetName val="TABLE DB"/>
      <sheetName val="쌍용 data base"/>
      <sheetName val="업무분장"/>
      <sheetName val="침하계"/>
      <sheetName val="DI-ESTI"/>
      <sheetName val="일위대가표(유단가)"/>
      <sheetName val="SORCE1"/>
      <sheetName val="6PILE__(돌출)1"/>
      <sheetName val="1_설계조건1"/>
      <sheetName val="2_2_S-Curve"/>
      <sheetName val="1_2_1_마루높이결정"/>
      <sheetName val="3BL공동구_수량1"/>
      <sheetName val="Pier_3"/>
      <sheetName val="돌담교_상부수량1"/>
      <sheetName val="8_석축단위(H=1_5M)"/>
      <sheetName val="준검_내역서"/>
      <sheetName val="3_공통공사대비"/>
      <sheetName val="방배동내역_(총괄)"/>
      <sheetName val="PAD_TR보호대기초"/>
      <sheetName val="Notes"/>
      <sheetName val="code HTT Thap"/>
      <sheetName val="FitOutConfCentre"/>
      <sheetName val="물류최종8월7"/>
      <sheetName val="gvl"/>
      <sheetName val="dongia (2)"/>
      <sheetName val="RAB AR&amp;STR"/>
      <sheetName val="Civil. Sub-Station 1"/>
      <sheetName val="Z"/>
      <sheetName val="escon"/>
      <sheetName val="BG"/>
      <sheetName val="실행내역서 "/>
      <sheetName val="Thuc thanh"/>
      <sheetName val="Sheet4"/>
      <sheetName val="GIAVLIEU"/>
      <sheetName val="SAP"/>
      <sheetName val="Mall"/>
      <sheetName val="D&amp;W def."/>
      <sheetName val="4-Lane bridge"/>
      <sheetName val="접속도로"/>
      <sheetName val="D-철근총괄"/>
      <sheetName val="수문보고"/>
      <sheetName val="3련 BOX"/>
      <sheetName val="수안보-MBR1"/>
      <sheetName val="자재단가대비표"/>
      <sheetName val="위치조서"/>
      <sheetName val="경영상태"/>
      <sheetName val="252K444"/>
      <sheetName val="Macro(전동기)"/>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노임단가기준"/>
      <sheetName val="汇总表"/>
      <sheetName val="계약ITEM"/>
      <sheetName val="7월천안현장 집계표"/>
      <sheetName val="장비.자재"/>
      <sheetName val="장비명세서"/>
      <sheetName val=" 노무집계"/>
      <sheetName val="일용노무비"/>
      <sheetName val="BOX"/>
      <sheetName val="상세"/>
      <sheetName val="직노"/>
      <sheetName val="단가산출총괄표"/>
      <sheetName val="Contents"/>
      <sheetName val="chitimc"/>
      <sheetName val="giathanh1"/>
      <sheetName val="t-h HA THE"/>
      <sheetName val="lam-moi"/>
      <sheetName val="THPDMoi  (2)"/>
      <sheetName val="gtrinh"/>
      <sheetName val="phuluc1"/>
      <sheetName val="DONGIA"/>
      <sheetName val="thao-go"/>
      <sheetName val="DON GIA"/>
      <sheetName val="DG"/>
      <sheetName val="dtxl"/>
      <sheetName val="CHITIET VL-NC-TT -1p"/>
      <sheetName val="TONG HOP VL-NC TT"/>
      <sheetName val="TH XL"/>
      <sheetName val="VC"/>
      <sheetName val="chitiet"/>
      <sheetName val="Tiepdia"/>
      <sheetName val="CHITIET VL-NC-TT-3p"/>
      <sheetName val="TDTKP"/>
      <sheetName val="TDTKP1"/>
      <sheetName val="KPVC-BD "/>
      <sheetName val="CHITIET VL-NC"/>
      <sheetName val="B3A - TOWER A"/>
      <sheetName val="FAB별"/>
      <sheetName val="264"/>
      <sheetName val="Quantity"/>
      <sheetName val="Coax Designer"/>
      <sheetName val="tong du toan"/>
      <sheetName val="DAF-2"/>
      <sheetName val="TOSHIBA-Structure"/>
      <sheetName val="MAIN GATE HOUSE"/>
      <sheetName val="수리결과"/>
      <sheetName val="Rebar"/>
      <sheetName val="Bảng mã VT"/>
      <sheetName val="dnc4"/>
      <sheetName val="경비"/>
      <sheetName val="직접인건비"/>
      <sheetName val="간접경상비"/>
      <sheetName val="성곽내역서"/>
      <sheetName val="화산경계"/>
      <sheetName val="목록"/>
      <sheetName val="EQUIP-H"/>
      <sheetName val="초기화면"/>
      <sheetName val="현금및현금등가물1"/>
      <sheetName val="지장물총괄표"/>
      <sheetName val="단위수량산출"/>
      <sheetName val="내역서_2"/>
      <sheetName val="8_PILE__(돌출)1"/>
      <sheetName val="플랜트_설치1"/>
      <sheetName val="1_설계기준1"/>
      <sheetName val="DATA_입력란1"/>
      <sheetName val="3_하중산정4_지지력1"/>
      <sheetName val="표지_(2)1"/>
      <sheetName val="plan&amp;section_of_foundation1"/>
      <sheetName val="pile_bearing_capa_&amp;_arrenge1"/>
      <sheetName val="design_load1"/>
      <sheetName val="working_load_at_the_btm_ft_1"/>
      <sheetName val="stability_check1"/>
      <sheetName val="design_criteria1"/>
      <sheetName val="신규_수주분(사용자_정의)1"/>
      <sheetName val="Sheet1_(2)1"/>
      <sheetName val="설명서_1"/>
      <sheetName val="2_가정단면1"/>
      <sheetName val="단면_(2)1"/>
      <sheetName val="7_PILE__(돌출)1"/>
      <sheetName val="crude_SLAB_RE-bar1"/>
      <sheetName val="CRUDE_RE-bar1"/>
      <sheetName val="COMPARISON_TABLE1"/>
      <sheetName val="2_입력sheet1"/>
      <sheetName val="(3_품질관리_시험_총괄표)1"/>
      <sheetName val="별표_1"/>
      <sheetName val="토공(우물통,기타)_1"/>
      <sheetName val="표__지1"/>
      <sheetName val="1_우편집중내역서1"/>
      <sheetName val="BOX(1_5X1_5)1"/>
      <sheetName val="전선_및_전선관"/>
      <sheetName val="단면__2_"/>
      <sheetName val="ENE-CAL_1"/>
      <sheetName val="ITB_COST"/>
      <sheetName val="_냉각수펌프"/>
      <sheetName val="2011_(4)"/>
      <sheetName val="설계기준_및_하중계산"/>
      <sheetName val="1062-X방향_"/>
      <sheetName val="11_자재단가"/>
      <sheetName val="역T형(H=6_0)_(2)"/>
      <sheetName val="각사별공사비분개_"/>
      <sheetName val="1__설계조건_2_단면가정_3__하중계산"/>
      <sheetName val="전차선로_물량표"/>
      <sheetName val="단가_및_재료비"/>
      <sheetName val="추정공사비_산출내역1_xlsx"/>
      <sheetName val="Dike_for_49T03_&amp;_49T04"/>
      <sheetName val="Dike_for_49T02,_05~07,_19_(1)"/>
      <sheetName val="수량산출서_갑지"/>
      <sheetName val="견적대비_견적서"/>
      <sheetName val="1호-아(오)0_4"/>
      <sheetName val="CONSTRUCTION_COMPONENT"/>
      <sheetName val="접속_SLAB,BRACKET_설계"/>
      <sheetName val="빌딩_안내"/>
      <sheetName val="공정별_수량산출서"/>
      <sheetName val="자재_및_폐기물견적(2008)"/>
      <sheetName val="화단_철거"/>
      <sheetName val="CABLE_SIZE-3"/>
      <sheetName val="cable_data1"/>
      <sheetName val="wk_prgs"/>
      <sheetName val="자재_집계표"/>
      <sheetName val="IMPEADENCE_MAP_취수장"/>
      <sheetName val="일위대가_호표_(계약)"/>
      <sheetName val="2__공원조도"/>
      <sheetName val="STRA2"/>
      <sheetName val="1.폐기물집계표"/>
      <sheetName val="수량산출서"/>
      <sheetName val="차선도색수량집계"/>
      <sheetName val="PAINT (2)"/>
      <sheetName val="가감수량"/>
      <sheetName val="Bìa"/>
      <sheetName val="Bảng KLHT"/>
      <sheetName val="RC WORK"/>
      <sheetName val="6PILE__(돌출)2"/>
      <sheetName val="1_설계조건2"/>
      <sheetName val="돌담교_상부수량2"/>
      <sheetName val="8_석축단위(H=1_5M)1"/>
      <sheetName val="3BL공동구_수량2"/>
      <sheetName val="준검_내역서1"/>
      <sheetName val="3_공통공사대비1"/>
      <sheetName val="방배동내역_(총괄)1"/>
      <sheetName val="1_2_1_마루높이결정1"/>
      <sheetName val="Pier_31"/>
      <sheetName val="2_2_S-Curve1"/>
      <sheetName val="PAD_TR보호대기초1"/>
      <sheetName val="Chiet_tinh_dz35"/>
      <sheetName val="TABLE_DB"/>
      <sheetName val="쌍용_data_base"/>
      <sheetName val="code_HTT_Thap"/>
      <sheetName val="dongia_(2)"/>
      <sheetName val="RAB_AR&amp;STR"/>
      <sheetName val="Civil__Sub-Station_1"/>
      <sheetName val="실행내역서_"/>
      <sheetName val="Thuc_thanh"/>
      <sheetName val="D&amp;W_def_"/>
      <sheetName val="4-Lane_bridge"/>
      <sheetName val="PKKK"/>
      <sheetName val="Kính"/>
      <sheetName val="Bảng Phân Tích Chi Phí"/>
      <sheetName val="MTP"/>
      <sheetName val="Gia VL,NC,M"/>
      <sheetName val="Phan chung"/>
      <sheetName val="Names"/>
      <sheetName val="Tom tat gia du thau"/>
      <sheetName val="1_MV"/>
      <sheetName val="MTC"/>
      <sheetName val="Tien do TV"/>
      <sheetName val="Ts"/>
      <sheetName val="QD957"/>
      <sheetName val="Config"/>
      <sheetName val="CP Du phong"/>
      <sheetName val="THCP Lap dat"/>
      <sheetName val="THCP xay dung"/>
      <sheetName val="Tong hop kinh phi"/>
      <sheetName val="Earthwork"/>
      <sheetName val="CFS3"/>
      <sheetName val="SITE-E"/>
      <sheetName val="내역서(토목)"/>
      <sheetName val="S.중기사용료"/>
      <sheetName val="97노임단가"/>
      <sheetName val="입력란"/>
      <sheetName val="입찰견적보고서"/>
      <sheetName val="수로교총재료집계"/>
      <sheetName val="철거산출근거"/>
      <sheetName val="BLOCK(1)"/>
      <sheetName val="96보완계획7.12"/>
      <sheetName val="사각맨홀"/>
      <sheetName val="공동구수량"/>
      <sheetName val="96정변2"/>
      <sheetName val="BOX수량"/>
      <sheetName val="공사개요"/>
      <sheetName val="설계예시"/>
      <sheetName val="입력자료"/>
      <sheetName val="내역서1999.8최종"/>
      <sheetName val="내역서 제출"/>
      <sheetName val="FILE1"/>
      <sheetName val="견적단가"/>
      <sheetName val="CON'C"/>
      <sheetName val="I一般比"/>
      <sheetName val="건축명"/>
      <sheetName val="기계명"/>
      <sheetName val="전기명"/>
      <sheetName val="토목명"/>
      <sheetName val="내역1"/>
      <sheetName val="단중표"/>
      <sheetName val="구체"/>
      <sheetName val="좌측날개벽"/>
      <sheetName val="우측날개벽"/>
      <sheetName val="setup"/>
      <sheetName val="12호기내역서(건축분)"/>
      <sheetName val="환경기계공정표 (3)"/>
      <sheetName val="시설물단가표"/>
      <sheetName val="노무비단가표"/>
      <sheetName val="기초자료입력"/>
      <sheetName val="파형강관집계"/>
      <sheetName val="설비"/>
      <sheetName val="품셈"/>
      <sheetName val="인부임"/>
      <sheetName val="원가+내역"/>
      <sheetName val="배관배선 단가조사"/>
      <sheetName val="일위대가집계"/>
      <sheetName val="선정요령"/>
      <sheetName val="본선차로수량집계표"/>
      <sheetName val="SANBAISU"/>
      <sheetName val="중기사용료"/>
      <sheetName val="2002하반기노임기준"/>
      <sheetName val="9.정착구 보강"/>
      <sheetName val="단가 (2)"/>
      <sheetName val="심사공종"/>
      <sheetName val="절대삭제금지"/>
      <sheetName val="시운전연료"/>
      <sheetName val="b_balju"/>
      <sheetName val="수량증감표"/>
      <sheetName val="터파기운반비산출"/>
      <sheetName val="산적토운반비산출"/>
      <sheetName val="적용단가"/>
      <sheetName val="비교1"/>
      <sheetName val="구의33고"/>
      <sheetName val="연장및면적(좌측)"/>
      <sheetName val="구조물터파기수량집계"/>
      <sheetName val="배수공 시멘트 및 골재량 산출"/>
      <sheetName val="공량(1월22일)"/>
      <sheetName val="측구터파기공수량집계"/>
      <sheetName val="빗물받이(910-510-410)"/>
      <sheetName val="우수맨홀공제단위수량"/>
      <sheetName val="일반수량"/>
      <sheetName val="총집계표"/>
      <sheetName val="slurrywall설계가"/>
      <sheetName val="1차 내역서"/>
      <sheetName val="할증"/>
      <sheetName val="실행내역서"/>
      <sheetName val="확약서"/>
      <sheetName val="물가대비표"/>
      <sheetName val="Sheet2 (2)"/>
      <sheetName val="변경비교-을"/>
      <sheetName val="건축내역서 (경제상무실)"/>
      <sheetName val="수산(당)"/>
      <sheetName val="을지"/>
      <sheetName val="화설내"/>
      <sheetName val="본사공가현황"/>
      <sheetName val="토목검측서"/>
      <sheetName val="관급자재"/>
      <sheetName val="9811"/>
      <sheetName val="신호등일위대가"/>
      <sheetName val="흄관기초"/>
      <sheetName val="내역서단가산출용"/>
      <sheetName val="하조서"/>
      <sheetName val="현장경상비"/>
      <sheetName val="database"/>
      <sheetName val="15"/>
      <sheetName val="준공평가"/>
      <sheetName val="98NS-N"/>
      <sheetName val="200"/>
      <sheetName val="몰탈"/>
      <sheetName val="집수정(600-700)"/>
      <sheetName val="내역서01"/>
      <sheetName val="1.수인터널"/>
      <sheetName val="오수주요자재"/>
      <sheetName val="조건"/>
      <sheetName val="T13(P68~72,78)"/>
      <sheetName val="MAT"/>
      <sheetName val="연도별cash"/>
      <sheetName val="공통가설공사"/>
      <sheetName val="항목등록"/>
      <sheetName val="102역사"/>
      <sheetName val="신고조서"/>
      <sheetName val="공사비총괄표"/>
      <sheetName val="101동"/>
      <sheetName val="총괄내역"/>
      <sheetName val="97년 추정"/>
      <sheetName val="추가예산"/>
      <sheetName val="월말"/>
      <sheetName val="간접1"/>
      <sheetName val="직접공사비"/>
      <sheetName val="0506생활권구적"/>
      <sheetName val="공정코드"/>
      <sheetName val="우수내용"/>
      <sheetName val="내역_ver1.0"/>
      <sheetName val="기성내역"/>
      <sheetName val="99총공사내역서"/>
      <sheetName val="차수"/>
      <sheetName val="노무비"/>
      <sheetName val="단양 00 아파트-세부내역"/>
      <sheetName val="일위대가목록"/>
      <sheetName val="적용토목"/>
      <sheetName val="재료집계표"/>
      <sheetName val="신천3호용수로"/>
      <sheetName val="각종양식"/>
      <sheetName val="암거단위"/>
      <sheetName val="오동"/>
      <sheetName val="대조"/>
      <sheetName val="나한"/>
      <sheetName val="단가표"/>
      <sheetName val="RAMP 단면(R2)"/>
      <sheetName val="토목내역서 (도급단가)"/>
      <sheetName val="예산M11A"/>
      <sheetName val="목차 "/>
      <sheetName val="NYS"/>
      <sheetName val="도로경계단위"/>
      <sheetName val="4.2유효폭의 계산"/>
      <sheetName val="시중노임단가"/>
      <sheetName val="발주내역"/>
      <sheetName val="세골재  T2 변경 현황"/>
      <sheetName val="0.단가"/>
      <sheetName val="토공 total"/>
      <sheetName val="PSCbeam설계"/>
      <sheetName val="내역서중"/>
      <sheetName val="접지수량"/>
      <sheetName val="공사착공계"/>
      <sheetName val="EQT-ESTN"/>
      <sheetName val="실행내역"/>
      <sheetName val="양식3"/>
      <sheetName val="세부내역서(전기)"/>
      <sheetName val="CC16-내역서"/>
      <sheetName val="이토변실"/>
      <sheetName val="단위단가"/>
      <sheetName val="건축공사실행"/>
      <sheetName val="식재가격"/>
      <sheetName val="일위목록"/>
      <sheetName val="조명일위"/>
      <sheetName val="기본1"/>
      <sheetName val="수정일위대가"/>
      <sheetName val="MAIN_TABLE"/>
      <sheetName val="자재단가비교표"/>
      <sheetName val="4. 주형설계"/>
      <sheetName val="1,2공구원가계산서"/>
      <sheetName val="1공구산출내역서"/>
      <sheetName val="수량집"/>
      <sheetName val="골조"/>
      <sheetName val="2.단면가정"/>
      <sheetName val="수우미양가(Vlookup)"/>
      <sheetName val="집계표(OPTION)"/>
      <sheetName val="지중자재단가"/>
      <sheetName val="계수시트"/>
      <sheetName val="입력변수"/>
      <sheetName val="개인"/>
      <sheetName val="인수공규격"/>
      <sheetName val="노무비 근거"/>
      <sheetName val="MAIN"/>
      <sheetName val="지장물_data"/>
      <sheetName val="ATM기초철가"/>
      <sheetName val="CIVIL4"/>
      <sheetName val=" 총괄표"/>
      <sheetName val="내역서적용수량"/>
      <sheetName val="도수로수량산출"/>
      <sheetName val="단가비교표_공통1"/>
      <sheetName val="제경비"/>
      <sheetName val="Customer Databas"/>
      <sheetName val="대부예산서"/>
      <sheetName val="표준차도부연장집계-ASP"/>
      <sheetName val="종배수관면벽구"/>
      <sheetName val="종배수관위치조서"/>
      <sheetName val="1련박스"/>
      <sheetName val="조경일람"/>
      <sheetName val="일위(수원)"/>
      <sheetName val="바닥판의 설계"/>
      <sheetName val="전체제잡비"/>
      <sheetName val="미드수량"/>
      <sheetName val="보도단위"/>
      <sheetName val="배수장토목공사비"/>
      <sheetName val="건축-물가변동"/>
      <sheetName val="I.설계조건"/>
      <sheetName val="부재치수입력"/>
      <sheetName val="암거공"/>
      <sheetName val="배수공BOQ"/>
      <sheetName val="우각부보강"/>
      <sheetName val="농로수량집계"/>
      <sheetName val="농로토공집계"/>
      <sheetName val="N10(미지급)_"/>
      <sheetName val="N10(미지급)_1"/>
      <sheetName val="기준Data"/>
      <sheetName val="의왕F사"/>
      <sheetName val="가공사"/>
      <sheetName val="참조영역"/>
      <sheetName val="신구계정대사표"/>
      <sheetName val="Project Brief"/>
      <sheetName val="AILC004"/>
      <sheetName val="CALCULATION"/>
      <sheetName val="static.cal"/>
      <sheetName val="Total Progress (2)"/>
      <sheetName val="공사계약현황"/>
      <sheetName val="설계"/>
      <sheetName val="공문"/>
      <sheetName val="4)유동표"/>
      <sheetName val="현황"/>
      <sheetName val="1.일반수량산출근거"/>
      <sheetName val="대전노은1차_조적_집계표"/>
      <sheetName val="運転条件一覧"/>
      <sheetName val="Bao cao hao hut VT-TR"/>
      <sheetName val="125x125"/>
      <sheetName val="tifico"/>
      <sheetName val="Du toan"/>
      <sheetName val="Items"/>
      <sheetName val="Detail"/>
      <sheetName val="¥ "/>
      <sheetName val="KLall"/>
      <sheetName val="DTTC CHI TIET"/>
      <sheetName val="SP10"/>
      <sheetName val="BechLab"/>
      <sheetName val="Rates"/>
      <sheetName val="당진1,2호기전선관설치및접지4차공사내역서-을지"/>
      <sheetName val="실행(ALT1)"/>
      <sheetName val="금액"/>
      <sheetName val="조직"/>
      <sheetName val="Currency Rate"/>
      <sheetName val="MTO REV.2(ARMOR)"/>
      <sheetName val="TEN CONG TRINH"/>
      <sheetName val="VXXXXXX"/>
      <sheetName val="파일의이용"/>
      <sheetName val="이름정의"/>
      <sheetName val="교대철근집계"/>
      <sheetName val="계양가시설"/>
      <sheetName val="일위단위"/>
      <sheetName val="고유코드_설계"/>
      <sheetName val="PROJECT BRIEF(EX.NEW)"/>
      <sheetName val="Site Expenses"/>
      <sheetName val="실행견적"/>
      <sheetName val="현장관리비참조"/>
      <sheetName val="다곡2교"/>
      <sheetName val="s"/>
      <sheetName val="용역비내역-진짜"/>
      <sheetName val="1000 DB구축 부표"/>
      <sheetName val="환율CHANGE"/>
      <sheetName val="EACT10"/>
      <sheetName val="현금흐름"/>
      <sheetName val="상 부"/>
      <sheetName val="9-1차이내역"/>
      <sheetName val="내역갑지"/>
      <sheetName val="D+W"/>
      <sheetName val="INFOR-ST"/>
      <sheetName val="kpxlc"/>
      <sheetName val="kpxld"/>
      <sheetName val="VTu"/>
      <sheetName val="D_MUC"/>
      <sheetName val="Unit price"/>
      <sheetName val="p"/>
      <sheetName val="Define finishing"/>
      <sheetName val="SEX"/>
      <sheetName val="BIDDING-SUM"/>
      <sheetName val="PTĐG"/>
      <sheetName val="RATE"/>
      <sheetName val="MA"/>
      <sheetName val="Tiến độ  Rev1 (phói hợp)"/>
      <sheetName val="Level 2"/>
      <sheetName val="VT190111"/>
      <sheetName val="TH-XL"/>
      <sheetName val="PNT-QUOT-#3"/>
      <sheetName val="Keothep"/>
      <sheetName val="Re-bar"/>
      <sheetName val="HS"/>
      <sheetName val="Cst Pkg-Eden"/>
      <sheetName val="Chi tiết cấu tạo giá (2)"/>
      <sheetName val="SUMMARY-HT Thô"/>
      <sheetName val="02.PHAT SINH TANG"/>
      <sheetName val="DT"/>
      <sheetName val="TONG HOP XIN GIA"/>
      <sheetName val="Bảng_mã_VT"/>
      <sheetName val="tong_du_toan"/>
      <sheetName val="Cover"/>
      <sheetName val="Sheet"/>
      <sheetName val="DANHMUC"/>
      <sheetName val="電気設備表"/>
      <sheetName val="1.R18 BF"/>
      <sheetName val="A"/>
      <sheetName val="G"/>
      <sheetName val="F-B"/>
      <sheetName val="H-J"/>
      <sheetName val="6.External works-R18"/>
      <sheetName val="May"/>
      <sheetName val="Profile"/>
      <sheetName val="bill 3 - D Wall"/>
      <sheetName val="KHOI LUONG15-4"/>
      <sheetName val="NC"/>
      <sheetName val="Tro giup"/>
      <sheetName val="Villa A"/>
      <sheetName val="Div26 - Elect"/>
      <sheetName val="CPTNo"/>
      <sheetName val="COAT&amp;WRAP-QIOT-#3"/>
      <sheetName val="Parem"/>
      <sheetName val="Ref"/>
      <sheetName val="VO"/>
      <sheetName val="Xuly Data"/>
      <sheetName val="CSVC LD"/>
      <sheetName val="Ten_NVKD"/>
      <sheetName val="Setting"/>
      <sheetName val="dtct cong"/>
      <sheetName val="Buy vs. Lease Car"/>
      <sheetName val="BQ"/>
      <sheetName val="Costmaster"/>
      <sheetName val="Cash Flow bulanan"/>
      <sheetName val="Isolasi Luar Dalam"/>
      <sheetName val="Isolasi Luar"/>
      <sheetName val="8521"/>
      <sheetName val="Y_WORK"/>
      <sheetName val="본장"/>
      <sheetName val="예산서"/>
      <sheetName val="DI_전처리 단가집(GP1 실적가)"/>
      <sheetName val="XXXXXX"/>
      <sheetName val="조도"/>
      <sheetName val="동력"/>
      <sheetName val="변압기"/>
      <sheetName val="발전기"/>
      <sheetName val="간선"/>
      <sheetName val="도체종-상수표"/>
      <sheetName val="Sheet8"/>
      <sheetName val="Sheet9"/>
      <sheetName val="Sheet11"/>
      <sheetName val="Sheet12"/>
      <sheetName val="전기자료"/>
      <sheetName val="DUT-BAT1"/>
      <sheetName val="GEN"/>
      <sheetName val="합천내역"/>
      <sheetName val="노동부"/>
      <sheetName val="구성비"/>
      <sheetName val="Financial impact"/>
      <sheetName val="Sch7a (토요일)"/>
      <sheetName val="计算稿"/>
      <sheetName val="TOWER 12TON"/>
      <sheetName val="JIB CRANE,HOIST"/>
      <sheetName val="TOWER 10TON"/>
      <sheetName val="CAUDIT"/>
      <sheetName val="97 사업추정(WEKI)"/>
      <sheetName val="내역서(우)"/>
      <sheetName val="단가산출서"/>
      <sheetName val="배수관접합및부설  "/>
      <sheetName val="건설성적"/>
      <sheetName val="5지구단위"/>
      <sheetName val="계획집계"/>
      <sheetName val="판"/>
      <sheetName val=""/>
      <sheetName val="지장물조서"/>
      <sheetName val="산거각호표"/>
      <sheetName val="백암비스타내역"/>
      <sheetName val="총괄설계내역서"/>
      <sheetName val="재료집계(분수관)"/>
      <sheetName val="폐기물집계표"/>
      <sheetName val="Cover (x)"/>
      <sheetName val="SORT"/>
      <sheetName val="Cor Apt"/>
      <sheetName val="DTCT"/>
      <sheetName val="2.1 受電設備棟"/>
      <sheetName val="2.2 受・防火水槽"/>
      <sheetName val="2.3 排水処理設備棟"/>
      <sheetName val="2.4 倉庫棟"/>
      <sheetName val="2.5 守衛棟"/>
      <sheetName val="daf-3(OK)"/>
      <sheetName val="daf-7(OK)"/>
      <sheetName val="Cash Flow"/>
      <sheetName val="Yield"/>
      <sheetName val="CPBTXM-THUONG"/>
      <sheetName val="Xunit (단위환산)"/>
      <sheetName val="고객사 관리 코드"/>
      <sheetName val="단"/>
      <sheetName val="연부97-1"/>
      <sheetName val="울산자동제어"/>
      <sheetName val="Xunit_(단위환산)"/>
      <sheetName val="고객사_관리_코드"/>
      <sheetName val="인상효1"/>
      <sheetName val="HE SO DIEU CHINH"/>
      <sheetName val="VCV-BE-TONG"/>
      <sheetName val="6PILE__(돌출)3"/>
      <sheetName val="내역서_3"/>
      <sheetName val="1_설계조건3"/>
      <sheetName val="2_2_S-Curve2"/>
      <sheetName val="RAB_AR&amp;STR1"/>
      <sheetName val="8_PILE__(돌출)2"/>
      <sheetName val="Chiet_tinh_dz351"/>
      <sheetName val="TABLE_DB1"/>
      <sheetName val="쌍용_data_base1"/>
      <sheetName val="플랜트_설치2"/>
      <sheetName val="단면_(2)2"/>
      <sheetName val="code_HTT_Thap1"/>
      <sheetName val="4-Lane_bridge1"/>
      <sheetName val="dongia_(2)1"/>
      <sheetName val="t-h_HA_THE"/>
      <sheetName val="THPDMoi__(2)"/>
      <sheetName val="DON_GIA"/>
      <sheetName val="CHITIET_VL-NC-TT_-1p"/>
      <sheetName val="TONG_HOP_VL-NC_TT"/>
      <sheetName val="TH_XL"/>
      <sheetName val="CHITIET_VL-NC-TT-3p"/>
      <sheetName val="KPVC-BD_"/>
      <sheetName val="CHITIET_VL-NC"/>
      <sheetName val="B3A_-_TOWER_A"/>
      <sheetName val="D&amp;W_def_1"/>
      <sheetName val="돌담교_상부수량3"/>
      <sheetName val="8_석축단위(H=1_5M)2"/>
      <sheetName val="3BL공동구_수량3"/>
      <sheetName val="준검_내역서2"/>
      <sheetName val="3_공통공사대비2"/>
      <sheetName val="방배동내역_(총괄)2"/>
      <sheetName val="설명서_2"/>
      <sheetName val="COMPARISON_TABLE2"/>
      <sheetName val="crude_SLAB_RE-bar2"/>
      <sheetName val="CRUDE_RE-bar2"/>
      <sheetName val="1_설계기준2"/>
      <sheetName val="신규_수주분(사용자_정의)2"/>
      <sheetName val="1_2_1_마루높이결정2"/>
      <sheetName val="3_하중산정4_지지력2"/>
      <sheetName val="표지_(2)2"/>
      <sheetName val="2_입력sheet2"/>
      <sheetName val="DATA_입력란2"/>
      <sheetName val="1_우편집중내역서2"/>
      <sheetName val="Pier_32"/>
      <sheetName val="2_가정단면2"/>
      <sheetName val="7_PILE__(돌출)2"/>
      <sheetName val="plan&amp;section_of_foundation2"/>
      <sheetName val="pile_bearing_capa_&amp;_arrenge2"/>
      <sheetName val="design_load2"/>
      <sheetName val="working_load_at_the_btm_ft_2"/>
      <sheetName val="stability_check2"/>
      <sheetName val="design_criteria2"/>
      <sheetName val="Thuc_thanh1"/>
      <sheetName val="(3_품질관리_시험_총괄표)2"/>
      <sheetName val="PAD_TR보호대기초2"/>
      <sheetName val="Civil__Sub-Station_11"/>
      <sheetName val="Coax_Designer"/>
      <sheetName val="MAIN_GATE_HOUSE"/>
      <sheetName val="Gia_VL,NC,M"/>
      <sheetName val="Phan_chung"/>
      <sheetName val="Tom_tat_gia_du_thau"/>
      <sheetName val="Bảng_Phân_Tích_Chi_Phí"/>
      <sheetName val="실행내역서_1"/>
      <sheetName val="Tien_do_TV"/>
      <sheetName val="CP_Du_phong"/>
      <sheetName val="THCP_Lap_dat"/>
      <sheetName val="THCP_xay_dung"/>
      <sheetName val="Tong_hop_kinh_phi"/>
      <sheetName val="Bảng_KLHT"/>
      <sheetName val="RC_WORK"/>
      <sheetName val="배수내역_(2)"/>
      <sheetName val="Bao_cao_hao_hut_VT-TR"/>
      <sheetName val="¥_"/>
      <sheetName val="DTTC_CHI_TIET"/>
      <sheetName val="Du_toan"/>
      <sheetName val="MTO_REV_2(ARMOR)"/>
      <sheetName val="TEN_CONG_TRINH"/>
      <sheetName val="환경기계공정표_(3)"/>
      <sheetName val="배관배선_단가조사"/>
      <sheetName val="9_정착구_보강"/>
      <sheetName val="단가_(2)"/>
      <sheetName val="96보완계획7_12"/>
      <sheetName val="배수공_시멘트_및_골재량_산출"/>
      <sheetName val="1차_내역서"/>
      <sheetName val="1_수인터널"/>
      <sheetName val="Sheet2_(2)"/>
      <sheetName val="건축내역서_(경제상무실)"/>
      <sheetName val="BSD_(2)"/>
      <sheetName val="내역서1999_8최종"/>
      <sheetName val="PROJECT_BRIEF(EX_NEW)"/>
      <sheetName val="Site_Expenses"/>
      <sheetName val="1000_DB구축_부표"/>
      <sheetName val="상_부"/>
      <sheetName val="Cash_Flow_bulanan"/>
      <sheetName val="Currency_Rate"/>
      <sheetName val="MU"/>
      <sheetName val="tra VL"/>
      <sheetName val="8.3해석단면 선정"/>
      <sheetName val="Ⅴ-2.공종별내역"/>
      <sheetName val="관보호공단위수량"/>
      <sheetName val="관경결정"/>
      <sheetName val="KLDT DIEN"/>
      <sheetName val="PTVT DIEN"/>
      <sheetName val="t-h_HA_THE1"/>
      <sheetName val="THPDMoi__(2)1"/>
      <sheetName val="DON_GIA1"/>
      <sheetName val="CHITIET_VL-NC-TT_-1p1"/>
      <sheetName val="TONG_HOP_VL-NC_TT1"/>
      <sheetName val="TH_XL1"/>
      <sheetName val="CHITIET_VL-NC-TT-3p1"/>
      <sheetName val="KPVC-BD_1"/>
      <sheetName val="CHITIET_VL-NC1"/>
      <sheetName val="B3A_-_TOWER_A1"/>
      <sheetName val="Coax_Designer1"/>
      <sheetName val="MAIN_GATE_HOUSE1"/>
      <sheetName val="Bảng_Phân_Tích_Chi_Phí1"/>
      <sheetName val="tong_du_toan1"/>
      <sheetName val="Gia_VL,NC,M1"/>
      <sheetName val="Phan_chung1"/>
      <sheetName val="Tom_tat_gia_du_thau1"/>
      <sheetName val="Tien_do_TV1"/>
      <sheetName val="CP_Du_phong1"/>
      <sheetName val="THCP_Lap_dat1"/>
      <sheetName val="THCP_xay_dung1"/>
      <sheetName val="Tong_hop_kinh_phi1"/>
      <sheetName val="Bảng_mã_VT1"/>
      <sheetName val="Bao_cao_hao_hut_VT-TR1"/>
      <sheetName val="Cấu tạo giá"/>
      <sheetName val="Cover page"/>
      <sheetName val="수정시산표"/>
      <sheetName val="Phu cap"/>
      <sheetName val="CE(E)"/>
      <sheetName val="CE(M)"/>
      <sheetName val="Project Data"/>
      <sheetName val="FD"/>
      <sheetName val="GI"/>
      <sheetName val="EE (3)"/>
      <sheetName val="PAVEMENT"/>
      <sheetName val="TRAFFIC"/>
      <sheetName val="Lookups"/>
      <sheetName val="NOTE"/>
      <sheetName val="StaffList-OLD"/>
      <sheetName val="Budget Code"/>
      <sheetName val="마감사양"/>
      <sheetName val="KUNGDEVI"/>
      <sheetName val="Add cost08"/>
      <sheetName val="SumBricks08"/>
      <sheetName val="SCOPE OF WORK"/>
      <sheetName val="Gia"/>
      <sheetName val="PH 5"/>
      <sheetName val="Dầm -4.7m"/>
      <sheetName val="삼홍테크"/>
      <sheetName val="DFA"/>
      <sheetName val="TinhGiaNC"/>
      <sheetName val="Thiet Bi"/>
      <sheetName val="VCBo"/>
      <sheetName val="Phan tich"/>
      <sheetName val="TH Vat tu"/>
      <sheetName val="TH Kinh phi"/>
      <sheetName val="BocXep"/>
      <sheetName val="TinhGiaMTC"/>
      <sheetName val="TH MTC"/>
      <sheetName val="TH N.Cong"/>
      <sheetName val="Bang KL"/>
      <sheetName val="VCThuy"/>
      <sheetName val="Inputs_Sens"/>
      <sheetName val="IS_Sum_CM"/>
      <sheetName val="Daf 1"/>
      <sheetName val="2BOX본체"/>
      <sheetName val="Alat"/>
      <sheetName val="Analisa Gabungan"/>
      <sheetName val="bar"/>
      <sheetName val="table1"/>
      <sheetName val="SGC RATE"/>
      <sheetName val="KINH PHI TONG HOP"/>
      <sheetName val="Dinh muc CP KTCB khac"/>
      <sheetName val="TEN HANG MUC "/>
      <sheetName val="Cash2"/>
      <sheetName val="Hydrant"/>
      <sheetName val="수문일1"/>
      <sheetName val="대전(세창동)"/>
      <sheetName val="b_balju_cho"/>
      <sheetName val="일반수량총괄집계표"/>
      <sheetName val="화재 탐지 설비"/>
      <sheetName val="조도계산서 (도서)"/>
      <sheetName val="공사비 증감 내역서"/>
      <sheetName val="기본"/>
      <sheetName val="수주추정"/>
      <sheetName val="흙쌓기도수로설치현황"/>
      <sheetName val="시점교대"/>
      <sheetName val="소보"/>
      <sheetName val="포장면적집계"/>
      <sheetName val="수로BOX"/>
      <sheetName val="신규보류입력"/>
      <sheetName val="POL6차-PIPING"/>
      <sheetName val="토공개요C"/>
      <sheetName val="정공공사"/>
      <sheetName val="안전장치"/>
      <sheetName val="예산명세서"/>
      <sheetName val="Macro2"/>
      <sheetName val="년도별노임표"/>
      <sheetName val="중기목록표"/>
      <sheetName val="건축계약내역"/>
      <sheetName val="대전가오_견출_집계표"/>
      <sheetName val="공사"/>
      <sheetName val="도로"/>
      <sheetName val="노무비단가"/>
      <sheetName val="관급자재대"/>
      <sheetName val="2.토목공사"/>
      <sheetName val="노임,재료비"/>
      <sheetName val="골조시행"/>
      <sheetName val="건물철거"/>
      <sheetName val="기타배수구조물깨기-단위수량"/>
      <sheetName val="초"/>
      <sheetName val="관경별내역서"/>
      <sheetName val="원가&amp;하도급원가"/>
      <sheetName val="설계설명서"/>
      <sheetName val="개별직종노임단가(2003.9)"/>
      <sheetName val="청주(철골발주의뢰서)"/>
      <sheetName val="2-1. 경관조명 내역총괄표"/>
      <sheetName val="각형맨홀"/>
      <sheetName val="pier-1"/>
      <sheetName val="건축내역서"/>
      <sheetName val="설비내역서"/>
      <sheetName val="전기내역서"/>
      <sheetName val="II손익관리"/>
      <sheetName val="기본단가표"/>
      <sheetName val="노임단가 (2)"/>
      <sheetName val="적용기준"/>
      <sheetName val="내역을"/>
      <sheetName val="AS포장복구 "/>
      <sheetName val="문산방향-교대(A2)"/>
      <sheetName val="건축일위"/>
      <sheetName val="그라우팅일위"/>
      <sheetName val="설계변경총괄표(계산식)"/>
      <sheetName val="운임료"/>
      <sheetName val="작업입력"/>
      <sheetName val="2003상반기노임기준"/>
      <sheetName val="날개벽(TYPE2)"/>
      <sheetName val="보도교산출근거"/>
      <sheetName val="토공개요"/>
      <sheetName val="토공(1)"/>
      <sheetName val="공종별자재"/>
      <sheetName val="준공조서"/>
      <sheetName val="공사준공계"/>
      <sheetName val="준공검사보고서"/>
      <sheetName val="투찰"/>
      <sheetName val="L_RPTB02_01"/>
      <sheetName val="A2"/>
      <sheetName val=" 상부공통집계(총괄)"/>
      <sheetName val="방수"/>
      <sheetName val="포장자재집계표"/>
      <sheetName val="EQUIP LIST"/>
      <sheetName val="기본일위"/>
      <sheetName val="중기단가LIST"/>
      <sheetName val="산출기준"/>
      <sheetName val="개별직종노임"/>
      <sheetName val="엔지니어링노임"/>
      <sheetName val="2"/>
      <sheetName val="터파기단면도(보도)"/>
      <sheetName val="격점수량"/>
      <sheetName val="기존건물 깨기원단위"/>
      <sheetName val="시장성초안camera"/>
      <sheetName val="장비종합부표"/>
      <sheetName val="집계표_식재"/>
      <sheetName val="부표"/>
      <sheetName val="기본데이타입력"/>
      <sheetName val="단가산출2"/>
      <sheetName val="HVAC"/>
      <sheetName val="대공종"/>
      <sheetName val="실행내역(10.13)"/>
      <sheetName val="도급"/>
      <sheetName val="1구간FRP수량산출"/>
      <sheetName val="JUCKEYK"/>
      <sheetName val="노.표-조"/>
      <sheetName val="단관데이터"/>
      <sheetName val="이형관데이터"/>
      <sheetName val="가설공사비"/>
      <sheetName val="도로구조공사비"/>
      <sheetName val="도로토공공사비"/>
      <sheetName val="여수토공사비"/>
      <sheetName val="철거현황"/>
      <sheetName val="준공정산"/>
      <sheetName val="2000노임기준"/>
      <sheetName val="노무자도장2"/>
      <sheetName val="목포방향"/>
      <sheetName val="식재"/>
      <sheetName val="시설물"/>
      <sheetName val="식재출력용"/>
      <sheetName val="유지관리"/>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토목공사일반"/>
      <sheetName val="unitpric"/>
      <sheetName val="noyim"/>
      <sheetName val="99노임단가"/>
      <sheetName val="준비공"/>
      <sheetName val="목교수량산출"/>
      <sheetName val="물가단가"/>
      <sheetName val="제표일위대가"/>
      <sheetName val="208-238"/>
      <sheetName val="철근량 산정"/>
      <sheetName val="구분표"/>
      <sheetName val="개거산출내역"/>
      <sheetName val="연동내역"/>
      <sheetName val="슬래브 -연속(3경간)"/>
      <sheetName val="고창방향"/>
      <sheetName val="토공분배표"/>
      <sheetName val="산출3-동력"/>
      <sheetName val="산출4-전등"/>
      <sheetName val="종배수단위_CON기초"/>
      <sheetName val="터널굴착단산"/>
      <sheetName val="총 원가계산"/>
      <sheetName val="위생"/>
      <sheetName val="산출2-전력"/>
      <sheetName val="산출9-TRAY"/>
      <sheetName val="DATE2001"/>
      <sheetName val="사  업  비  수  지  예  산  서"/>
      <sheetName val="배수공수집"/>
      <sheetName val="참여현황 (직원)"/>
      <sheetName val="종형증설공"/>
      <sheetName val="시노501"/>
      <sheetName val="D"/>
      <sheetName val="일위대가_가설_"/>
      <sheetName val="공사설명서"/>
      <sheetName val="PI"/>
      <sheetName val="간접"/>
      <sheetName val="원가계산하도"/>
      <sheetName val="설내역서 "/>
      <sheetName val="현장소운반"/>
      <sheetName val="관구보호몰탈"/>
      <sheetName val="청 구"/>
      <sheetName val="설계산출기초"/>
      <sheetName val="전기단가조사서"/>
      <sheetName val="토목(용인)"/>
      <sheetName val="도기류"/>
      <sheetName val="남양내역"/>
      <sheetName val="원가서"/>
      <sheetName val="출장내역"/>
      <sheetName val="연결임시"/>
      <sheetName val="11.1 단면hwp"/>
      <sheetName val="흙막이 개산견적"/>
      <sheetName val="GI-LIST"/>
      <sheetName val="음성방향"/>
      <sheetName val="산출기준자료"/>
      <sheetName val="구역화물"/>
      <sheetName val="단위목록"/>
      <sheetName val="직접경비"/>
      <sheetName val="평내중"/>
      <sheetName val="차선도색-연장,수량(1)"/>
      <sheetName val="하도급 검토"/>
      <sheetName val="3.하중계산"/>
      <sheetName val="내역(신례)"/>
      <sheetName val="호프"/>
      <sheetName val="재료비단가"/>
      <sheetName val="탄성1"/>
      <sheetName val="산수배수"/>
      <sheetName val="(당평)자재"/>
      <sheetName val="당초명세(평)"/>
      <sheetName val="A-8 PD(도로중앙)"/>
      <sheetName val="보도포장연장조서-표준차도부"/>
      <sheetName val="표준차도부연장조서-ASP"/>
      <sheetName val="감액총괄표"/>
      <sheetName val="설계가"/>
      <sheetName val="단가조정표"/>
      <sheetName val="배수공 주요자재 집계표"/>
      <sheetName val="실행간접비용"/>
      <sheetName val="옹벽공 수량집계표"/>
      <sheetName val="순공사비"/>
      <sheetName val="앵커구조계산"/>
      <sheetName val="관접합및부설"/>
      <sheetName val="사통"/>
      <sheetName val="내역_FILE"/>
      <sheetName val="계림(함평)"/>
      <sheetName val="계림(장성)"/>
      <sheetName val="인원투입"/>
      <sheetName val="포장공자재집계표"/>
      <sheetName val="슬래브수량"/>
      <sheetName val="일위대가(1)"/>
      <sheetName val="구조물공집계"/>
      <sheetName val="상행-교대(A1-A2)"/>
      <sheetName val="부표총괄"/>
      <sheetName val="VII-2현장경비"/>
      <sheetName val="출력X"/>
      <sheetName val="내역서 (2)"/>
      <sheetName val="06 일위대가목록"/>
      <sheetName val="옹벽수량집계"/>
      <sheetName val="4.내진설계"/>
      <sheetName val=" ｹ-ﾌﾞﾙ"/>
      <sheetName val="공사비"/>
      <sheetName val="연도손익"/>
      <sheetName val="회수금"/>
      <sheetName val="대체용지"/>
      <sheetName val="건자이자"/>
      <sheetName val="내부매출원가"/>
      <sheetName val="지구 리스트"/>
      <sheetName val="용지비"/>
      <sheetName val="총괄서"/>
      <sheetName val="용역단가"/>
      <sheetName val="효성CB 1P기초"/>
      <sheetName val="조견표"/>
      <sheetName val="공용(현대건설공구)"/>
      <sheetName val="현대건설공구(UNIT)"/>
      <sheetName val="상호참고자료"/>
      <sheetName val="발주처자료입력"/>
      <sheetName val="회사기본자료"/>
      <sheetName val="하자보증자료"/>
      <sheetName val="기술자관련자료"/>
      <sheetName val="시점경사로"/>
      <sheetName val="사__업__비__수__지__예__산__서"/>
      <sheetName val="1차"/>
      <sheetName val="1.CB"/>
      <sheetName val="변수"/>
      <sheetName val="교사기준면적(중)"/>
      <sheetName val="반포2차"/>
      <sheetName val="첨"/>
      <sheetName val="낙석방지수량"/>
      <sheetName val="1차설계변경내역"/>
      <sheetName val="시화점실행"/>
      <sheetName val="전 기"/>
      <sheetName val="설계내역"/>
      <sheetName val="해외(원화)"/>
      <sheetName val="토목공사"/>
      <sheetName val="포장공수량집계표"/>
      <sheetName val="사유서제출현황-2"/>
      <sheetName val="콘크리트타설집계표"/>
      <sheetName val="제경비율"/>
      <sheetName val="공사명입력"/>
      <sheetName val="근로자자료입력"/>
      <sheetName val="참고자료"/>
      <sheetName val="원유_BANK"/>
      <sheetName val="공사분석"/>
      <sheetName val="GR"/>
      <sheetName val="폐기물"/>
      <sheetName val="공사품의서"/>
      <sheetName val="45,46"/>
      <sheetName val="부대tu"/>
      <sheetName val="HRSG SMALL07220"/>
      <sheetName val="수질정화시설"/>
      <sheetName val="ELECTRIC"/>
      <sheetName val="자재"/>
      <sheetName val="공비현2"/>
      <sheetName val="도급내역"/>
      <sheetName val="물집"/>
      <sheetName val="도급금액"/>
      <sheetName val="재노경"/>
      <sheetName val="집수A"/>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중요"/>
      <sheetName val="총내역서"/>
      <sheetName val="수량산출서-2"/>
      <sheetName val="인부노임"/>
      <sheetName val="4.2.1 마루높이 검토"/>
      <sheetName val="List"/>
      <sheetName val="단가산출서(기계)"/>
      <sheetName val="배관단가조사서"/>
      <sheetName val="참고사항"/>
      <sheetName val="설계명세서(종합)"/>
      <sheetName val="소요자재"/>
      <sheetName val="노무산출서"/>
      <sheetName val="특별교실"/>
      <sheetName val="낙찰표"/>
      <sheetName val="단 box"/>
      <sheetName val="기계"/>
      <sheetName val="sub"/>
      <sheetName val="내역전기"/>
      <sheetName val="중강당 내역"/>
      <sheetName val="단가조건(02년)"/>
      <sheetName val="05-원가계산"/>
      <sheetName val="골재집계"/>
      <sheetName val="-레미콘집계"/>
      <sheetName val="자갈,시멘트,모래산출"/>
      <sheetName val="-철근집계"/>
      <sheetName val="포장재료(1)"/>
      <sheetName val="-흄관집계"/>
      <sheetName val="안전시설"/>
      <sheetName val="세금자료"/>
      <sheetName val="가열로SW"/>
      <sheetName val="청_구"/>
      <sheetName val="공사비_증감_내역서"/>
      <sheetName val="Customer_Databas"/>
      <sheetName val="기존포장깨기"/>
      <sheetName val="석축헐기"/>
      <sheetName val="sst,stl창호"/>
      <sheetName val="ETC"/>
      <sheetName val="A4"/>
      <sheetName val="연속벽현황"/>
      <sheetName val="산근(1)"/>
      <sheetName val="2_단면가정"/>
      <sheetName val="맨홀수량산출(A-LINE)"/>
      <sheetName val="03전반노무비"/>
      <sheetName val="08-공사비총괄표"/>
      <sheetName val="01-적용기준"/>
      <sheetName val="지장물 철거 물량 산출서"/>
      <sheetName val="민감도"/>
      <sheetName val="달서천-대비"/>
      <sheetName val="소방"/>
      <sheetName val="공통비(전체)"/>
      <sheetName val="노면및방향"/>
      <sheetName val="A4288"/>
      <sheetName val="포장공수량집계"/>
      <sheetName val="일위_파일"/>
      <sheetName val="P4-C"/>
      <sheetName val="J형측구단위수량"/>
      <sheetName val="설-원가"/>
      <sheetName val="일위대가-1"/>
      <sheetName val="협력업체"/>
      <sheetName val="지급(1)"/>
      <sheetName val="산출내역(K2)"/>
      <sheetName val="이음개소"/>
      <sheetName val="견적대비표"/>
      <sheetName val="기계경비및산출근거서"/>
      <sheetName val="집행안"/>
      <sheetName val="7-2"/>
      <sheetName val="중기손료집계(1209)"/>
      <sheetName val="가계부"/>
      <sheetName val="제품목록"/>
      <sheetName val="매입매출관리"/>
      <sheetName val="골막이(야매)"/>
      <sheetName val="말뚝기초(안정검토)-외측"/>
      <sheetName val="기흥하도용"/>
      <sheetName val="가격조사서"/>
      <sheetName val="암거"/>
      <sheetName val="총괄-1"/>
      <sheetName val="암거 제원표-1단계"/>
      <sheetName val="분뇨"/>
      <sheetName val="C.배수관공"/>
      <sheetName val="상-교대(A1-A2)"/>
      <sheetName val="집기손료"/>
      <sheetName val="WING3"/>
      <sheetName val="수요개발과판매량"/>
      <sheetName val="지질조사"/>
      <sheetName val="소도3교"/>
      <sheetName val="2.건축"/>
      <sheetName val="연돌일위집계"/>
      <sheetName val="여과지동"/>
      <sheetName val="교량"/>
      <sheetName val="제잡비"/>
      <sheetName val="문학간접"/>
      <sheetName val="보증수수료산출"/>
      <sheetName val="건축기계설비표선정수장"/>
      <sheetName val="지점별강우량"/>
      <sheetName val="절대지우지말것"/>
      <sheetName val="인사자료총집계"/>
      <sheetName val="남양시작동자105노65기1.3화1.2"/>
      <sheetName val="工程量计算书"/>
      <sheetName val="카니발(자105노60)"/>
      <sheetName val="TRE TABLE"/>
      <sheetName val="laroux"/>
      <sheetName val="H-P규격"/>
      <sheetName val="S-P규격"/>
      <sheetName val="H-P＋토류판 수량산출"/>
      <sheetName val="S-P수량산출"/>
      <sheetName val="H-P수량집계"/>
      <sheetName val="총괄H-P수량집계 "/>
      <sheetName val="S-P수량집계"/>
      <sheetName val="총괄S-P수량집계"/>
      <sheetName val="평균h"/>
      <sheetName val="지반개량"/>
      <sheetName val="깨기수량집계"/>
      <sheetName val="FAB"/>
      <sheetName val="Data&amp;Result"/>
      <sheetName val="2000_x0000__x0000__x0005__x0000_"/>
      <sheetName val="허용전류"/>
      <sheetName val="콘크리트측구연장"/>
      <sheetName val="작성"/>
      <sheetName val="안정성검토"/>
      <sheetName val="SLAB"/>
      <sheetName val="도장수량"/>
      <sheetName val="표 지"/>
      <sheetName val="지하시설물작성"/>
      <sheetName val="INTRO.(X)"/>
      <sheetName val="조은나오스빌"/>
      <sheetName val="공사원가"/>
      <sheetName val="당초토량산출서"/>
      <sheetName val="변경토량산출서"/>
      <sheetName val="봉양~조차장간고하개명(신설)"/>
      <sheetName val="견적및기타"/>
      <sheetName val="단가산출목록"/>
      <sheetName val="정화조"/>
      <sheetName val="L_RPTB16_05"/>
      <sheetName val="동원(3)"/>
      <sheetName val="P.M 별"/>
      <sheetName val="Actual data"/>
      <sheetName val="4.경비 5.영업외수지"/>
      <sheetName val="공조"/>
      <sheetName val="Item-DATA"/>
      <sheetName val="NSA fr Revit"/>
      <sheetName val="PTdam"/>
      <sheetName val="Bang gia"/>
      <sheetName val="HRG BHN"/>
      <sheetName val="조선용암면"/>
      <sheetName val="INDEX"/>
      <sheetName val="Matls"/>
      <sheetName val="Labor"/>
      <sheetName val="DTICH_OLD"/>
      <sheetName val="07.HT PODIUM"/>
      <sheetName val="04.KC HAM"/>
      <sheetName val="05.KC THAN_OK"/>
      <sheetName val="08.HT CANHO_OK"/>
      <sheetName val="DMVT"/>
      <sheetName val="Loose"/>
      <sheetName val="Main_Mech"/>
      <sheetName val="Sub_Mech"/>
      <sheetName val="負荷集計（断熱不燃）"/>
      <sheetName val="LEGEND"/>
      <sheetName val="BAOCHE A"/>
      <sheetName val="Takeoff"/>
      <sheetName val="Đơn Giá "/>
      <sheetName val="Para"/>
      <sheetName val="Duc_bk"/>
      <sheetName val="Drop Down"/>
      <sheetName val="EFR30696"/>
      <sheetName val="Hệ số"/>
      <sheetName val="Động cơ"/>
      <sheetName val="수량이동"/>
      <sheetName val="맨홀토_x0000__x0000__x0005_"/>
      <sheetName val="2. 2공구"/>
      <sheetName val="전체 내역서(통합)"/>
      <sheetName val="ESTI."/>
      <sheetName val="학생내역"/>
      <sheetName val="入力作成表"/>
      <sheetName val="Ma TP"/>
      <sheetName val="2_1_受電設備棟"/>
      <sheetName val="2_2_受・防火水槽"/>
      <sheetName val="2_3_排水処理設備棟"/>
      <sheetName val="2_4_倉庫棟"/>
      <sheetName val="2_5_守衛棟"/>
      <sheetName val="Xunit_(단위환산)1"/>
      <sheetName val="고객사_관리_코드1"/>
      <sheetName val="SCOPE_OF_WORK"/>
      <sheetName val="Dầm_-4_7m"/>
      <sheetName val="PH_5"/>
      <sheetName val="ESTI_"/>
      <sheetName val="Internal Finish"/>
      <sheetName val="Bill2-Sum-A"/>
      <sheetName val="Bill4-Sum-A"/>
      <sheetName val="Bill5-Sum-A"/>
      <sheetName val="EARTH WORKS"/>
      <sheetName val="Level_2"/>
      <sheetName val="Cst_Pkg-Eden"/>
      <sheetName val="Define_finishing"/>
      <sheetName val="Tiến_độ__Rev1_(phói_hợp)"/>
      <sheetName val="Chi_tiết_cấu_tạo_giá_(2)"/>
      <sheetName val="SUMMARY-HT_Thô"/>
      <sheetName val="02_PHAT_SINH_TANG"/>
      <sheetName val="Unit_price"/>
      <sheetName val="TONG_HOP_XIN_GIA"/>
      <sheetName val="1_R18_BF"/>
      <sheetName val="6_External_works-R18"/>
      <sheetName val="bill_3_-_D_Wall"/>
      <sheetName val="KHOI_LUONG15-4"/>
      <sheetName val="Tro_giup"/>
      <sheetName val="Villa_A"/>
      <sheetName val="Div26_-_Elect"/>
      <sheetName val="Xuly_Data"/>
      <sheetName val="CSVC_LD"/>
      <sheetName val="dtct_cong"/>
      <sheetName val="Buy_vs__Lease_Car"/>
      <sheetName val="tra_VL"/>
      <sheetName val="8_3해석단면_선정"/>
      <sheetName val="Ⅴ-2_공종별내역"/>
      <sheetName val="Bill No.01"/>
      <sheetName val="Breakdown (B)"/>
      <sheetName val="THVT"/>
      <sheetName val="현장별"/>
      <sheetName val="IBASE"/>
      <sheetName val="NKC6"/>
      <sheetName val="DeluxeVilla 4"/>
      <sheetName val="공사원가 (3)"/>
      <sheetName val="내역서-2"/>
      <sheetName val="업무처리전"/>
      <sheetName val="Summary - Budget"/>
      <sheetName val="Khoi luong"/>
      <sheetName val="BQ-E20-02(Rp)"/>
      <sheetName val="기계내역서"/>
      <sheetName val="Project, methods &amp; costs"/>
      <sheetName val="Ind. costs. &amp; Closing"/>
      <sheetName val="Main risks"/>
      <sheetName val="Markup"/>
      <sheetName val="PHG"/>
      <sheetName val="설산1.나"/>
      <sheetName val="본사S"/>
      <sheetName val="7. 교좌받침부검토(연속교)"/>
      <sheetName val="배수관공"/>
      <sheetName val="IW-LIST"/>
      <sheetName val="8. 안정검토"/>
      <sheetName val="간지1"/>
      <sheetName val="1.사유서"/>
      <sheetName val="간지2"/>
      <sheetName val="간지3"/>
      <sheetName val="부재별집계표"/>
      <sheetName val="도면"/>
      <sheetName val="5CHBDC"/>
      <sheetName val="Tool"/>
      <sheetName val="그림"/>
      <sheetName val="수량분개내역"/>
      <sheetName val="단가목록"/>
      <sheetName val="중기목록"/>
      <sheetName val="Table"/>
      <sheetName val="내역- CCTV"/>
      <sheetName val="설비공사(4)"/>
      <sheetName val="5수지"/>
      <sheetName val="4차원가계산서"/>
      <sheetName val="Sheet22"/>
      <sheetName val="화전내"/>
      <sheetName val="투찰추정"/>
      <sheetName val="전기혼잡제경비(45)"/>
      <sheetName val="일위집계표"/>
      <sheetName val="BJJIN"/>
      <sheetName val="계측제어설비"/>
      <sheetName val="법면단"/>
      <sheetName val="견적1"/>
      <sheetName val="인부신상자료"/>
      <sheetName val="001"/>
      <sheetName val="2F 회의실견적(5_14 일대)"/>
      <sheetName val="총_구조물공"/>
      <sheetName val="DHEQSUPT"/>
      <sheetName val="(X)품셈집계"/>
      <sheetName val="대3류 "/>
      <sheetName val="아파트"/>
      <sheetName val="부대시설"/>
      <sheetName val="설치조서"/>
      <sheetName val="배수공집계표"/>
      <sheetName val="예정공정표"/>
      <sheetName val="포장집계"/>
      <sheetName val="포장연장"/>
      <sheetName val="학습율"/>
      <sheetName val="건설사업관리 공제요율"/>
      <sheetName val="건설공사 감리원 배치기준"/>
      <sheetName val="책임감리 공제요율"/>
      <sheetName val="단가비교표"/>
      <sheetName val="실적"/>
      <sheetName val="입력(K0)"/>
      <sheetName val="장비"/>
      <sheetName val="단가산출1"/>
      <sheetName val="지수"/>
      <sheetName val="인제내역"/>
      <sheetName val="1~9 하중계산"/>
      <sheetName val="PL단가산정"/>
      <sheetName val="그림2"/>
      <sheetName val="전등수량산출"/>
      <sheetName val="단가산출서 (2)"/>
      <sheetName val="산정표"/>
      <sheetName val="캔개발배경"/>
      <sheetName val="캔판매목표"/>
      <sheetName val="시장"/>
      <sheetName val="손익"/>
      <sheetName val="일정표"/>
      <sheetName val="마케팅"/>
      <sheetName val="추정손익"/>
      <sheetName val="할당"/>
      <sheetName val="제목"/>
      <sheetName val="원가,목표"/>
      <sheetName val="판매"/>
      <sheetName val="판촉"/>
      <sheetName val="협조"/>
      <sheetName val="정의"/>
      <sheetName val="대구은행"/>
      <sheetName val="CONCRETE"/>
      <sheetName val="견적갑지"/>
      <sheetName val="물량내역"/>
      <sheetName val="소요자재명세서"/>
      <sheetName val="예산"/>
      <sheetName val="자재테이블"/>
      <sheetName val="토공정보"/>
      <sheetName val="횡배수관집현황(2공구)"/>
      <sheetName val="신축(단위)"/>
      <sheetName val="배수관토공산출"/>
      <sheetName val="아파트 내역"/>
      <sheetName val="노임 및 중기단가"/>
      <sheetName val="투입비"/>
      <sheetName val="쇠(1)"/>
      <sheetName val="가격(3)"/>
      <sheetName val="금호"/>
      <sheetName val="3"/>
      <sheetName val="4"/>
      <sheetName val="6"/>
      <sheetName val="공정data"/>
      <sheetName val="1공구내역서(1)"/>
      <sheetName val="2.대외공문"/>
      <sheetName val="이름"/>
      <sheetName val="급여표"/>
      <sheetName val="직원투입계획"/>
      <sheetName val="pier(각형)"/>
      <sheetName val="소방사항"/>
      <sheetName val="약전설비"/>
      <sheetName val="인건비 "/>
      <sheetName val="설계내역2"/>
      <sheetName val="공종단가"/>
      <sheetName val="증감대비"/>
      <sheetName val="품종별월계"/>
      <sheetName val="전신환매도율"/>
      <sheetName val="배지거총재료집계표"/>
      <sheetName val="자재비"/>
      <sheetName val="가로등설치"/>
      <sheetName val="형질변경"/>
      <sheetName val="1_CB"/>
      <sheetName val="옹벽공_수량집계표"/>
      <sheetName val="A-8_PD(도로중앙)"/>
      <sheetName val="Flaer_Area"/>
      <sheetName val="설내역서_"/>
      <sheetName val="일위산출"/>
      <sheetName val="적용(기계)"/>
      <sheetName val="1-1평균터파기고(1)"/>
      <sheetName val="내역서_제출"/>
      <sheetName val="2_토목공사"/>
      <sheetName val="3련_BOX"/>
      <sheetName val="2-1__경관조명_내역총괄표"/>
      <sheetName val="4_2유효폭의_계산"/>
      <sheetName val="_상부공통집계(총괄)"/>
      <sheetName val="AS포장복구_"/>
      <sheetName val="실행내역(10_13)"/>
      <sheetName val="개별직종노임단가(2003_9)"/>
      <sheetName val="총_원가계산"/>
      <sheetName val="EQUIP_LIST"/>
      <sheetName val="기존건물_깨기원단위"/>
      <sheetName val="철근량_산정"/>
      <sheetName val="슬래브_-연속(3경간)"/>
      <sheetName val="노임단가_(2)"/>
      <sheetName val="참여현황_(직원)"/>
      <sheetName val="노_표-조"/>
      <sheetName val="2F_회의실견적(5_14_일대)"/>
      <sheetName val="대3류_"/>
      <sheetName val="내역-_CCTV"/>
      <sheetName val="건설사업관리_공제요율"/>
      <sheetName val="건설공사_감리원_배치기준"/>
      <sheetName val="책임감리_공제요율"/>
      <sheetName val="1~9_하중계산"/>
      <sheetName val="단가산출서_(2)"/>
      <sheetName val="9_정착구_보강1"/>
      <sheetName val="단가_(2)1"/>
      <sheetName val="환경기계공정표_(3)1"/>
      <sheetName val="전선_및_전선관1"/>
      <sheetName val="1차_내역서1"/>
      <sheetName val="1__설계조건_2_단면가정_3__하중계산1"/>
      <sheetName val="BSD_(2)1"/>
      <sheetName val="배관배선_단가조사1"/>
      <sheetName val="옹벽공_수량집계표1"/>
      <sheetName val="배수공_시멘트_및_골재량_산출1"/>
      <sheetName val="96보완계획7_121"/>
      <sheetName val="사__업__비__수__지__예__산__서1"/>
      <sheetName val="11_1_단면hwp"/>
      <sheetName val="Sheet2_(2)1"/>
      <sheetName val="Customer_Databas1"/>
      <sheetName val="상_부1"/>
      <sheetName val="A-8_PD(도로중앙)1"/>
      <sheetName val="단양_00_아파트-세부내역"/>
      <sheetName val="청_구1"/>
      <sheetName val="설내역서_1"/>
      <sheetName val="건축내역서_(경제상무실)1"/>
      <sheetName val="1_수인터널1"/>
      <sheetName val="배수공_주요자재_집계표"/>
      <sheetName val="내역서1999_8최종1"/>
      <sheetName val="06_일위대가목록"/>
      <sheetName val="PROJECT_BRIEF(EX_NEW)1"/>
      <sheetName val="Site_Expenses1"/>
      <sheetName val="내역서_(2)"/>
      <sheetName val="전_기"/>
      <sheetName val="공사비_증감_내역서1"/>
      <sheetName val="단가_및_재료비1"/>
      <sheetName val="4_내진설계"/>
      <sheetName val="_ｹ-ﾌﾞﾙ"/>
      <sheetName val="지구_리스트"/>
      <sheetName val="효성CB_1P기초"/>
      <sheetName val="1_CB1"/>
      <sheetName val="Flaer_Area1"/>
      <sheetName val="하도급_검토"/>
      <sheetName val="지장물_철거_물량_산출서"/>
      <sheetName val="4_2_1_마루높이_검토"/>
      <sheetName val="3_하중계산"/>
      <sheetName val="단_box"/>
      <sheetName val="중강당_내역"/>
      <sheetName val="HRSG_SMALL07220"/>
      <sheetName val="아파트_내역"/>
      <sheetName val="노임_및_중기단가"/>
      <sheetName val="2_대외공문"/>
      <sheetName val="인건비_"/>
      <sheetName val="주공 갑지"/>
      <sheetName val="잡비계산"/>
      <sheetName val="3-구교-오리지날"/>
      <sheetName val="기초수량자료"/>
      <sheetName val="본문"/>
      <sheetName val="노임DB"/>
      <sheetName val="1.토공"/>
      <sheetName val="노임자재단가"/>
      <sheetName val="내역서(도급)"/>
      <sheetName val="BS2"/>
      <sheetName val="1.견적보고서"/>
      <sheetName val="분전반계산서(석관)"/>
      <sheetName val="검사원"/>
      <sheetName val="준공조서갑지"/>
      <sheetName val="단가(자재)"/>
      <sheetName val="단가(노임)"/>
      <sheetName val="기초목록"/>
      <sheetName val="자재단가_사급"/>
      <sheetName val="중기적산목록"/>
      <sheetName val="01노임적용기준"/>
      <sheetName val="경율산정.XLS"/>
      <sheetName val="GT 1050x650"/>
      <sheetName val="총정리"/>
      <sheetName val="INPUTDATA"/>
      <sheetName val="산출3-유도등"/>
      <sheetName val="산출2-동력"/>
      <sheetName val="산출2-피뢰침"/>
      <sheetName val="노임단가(직종번호 순)"/>
      <sheetName val="간이(갑)"/>
      <sheetName val="노임단가표"/>
      <sheetName val="Bldg Brkdown"/>
      <sheetName val="상부수량"/>
      <sheetName val="대창토공"/>
      <sheetName val="검측감리공제요율"/>
      <sheetName val="시공감리공제요율"/>
      <sheetName val="책임감리공제요율"/>
      <sheetName val="가로등"/>
      <sheetName val="기초수량산출서"/>
      <sheetName val="설계서(동안동)"/>
      <sheetName val="5사남"/>
      <sheetName val="과거자료"/>
      <sheetName val="단위집계표"/>
      <sheetName val="15)VE제안서(유형1)"/>
      <sheetName val="12)아이디어 목록 및 개략평가"/>
      <sheetName val="11)VE 예비검토서"/>
      <sheetName val="15-3)VE제안서(가치향상 등)"/>
      <sheetName val="15-2)VE제안서(유형3)"/>
      <sheetName val="공사일위대가"/>
      <sheetName val="산출서-1"/>
      <sheetName val="산출서-수식"/>
      <sheetName val="수토공단위당"/>
      <sheetName val="난방방식분류"/>
      <sheetName val="공사정보입력"/>
      <sheetName val="어음수표추가테스트"/>
      <sheetName val="90.03실행 "/>
      <sheetName val="1차기성"/>
      <sheetName val="코스모공장 (어음)"/>
      <sheetName val="공사비_NDE"/>
      <sheetName val="교대(A1-A2)"/>
      <sheetName val="화해(함평)"/>
      <sheetName val="화해(장성)"/>
      <sheetName val="노단"/>
      <sheetName val="단산"/>
      <sheetName val="명세"/>
      <sheetName val="일대"/>
      <sheetName val="A 견적"/>
      <sheetName val="앵커설치(590)"/>
      <sheetName val="포집"/>
      <sheetName val="원가계산서 "/>
      <sheetName val="(2)자금(신용)"/>
      <sheetName val="개별직종노임단가(2005.1)"/>
      <sheetName val="細目"/>
      <sheetName val="15-1)VE제안서(유형2,4)"/>
      <sheetName val="공통가설(기준안)"/>
      <sheetName val="지장물헐기조서"/>
      <sheetName val="입출재고현황 (2)"/>
      <sheetName val="가설"/>
      <sheetName val="일람표"/>
      <sheetName val="보안등"/>
      <sheetName val="자재표"/>
      <sheetName val="계정"/>
      <sheetName val="비품"/>
      <sheetName val="새공통(96임금인상기준)"/>
      <sheetName val="심사물량"/>
      <sheetName val="1.1설계기준"/>
      <sheetName val="DATA입력"/>
      <sheetName val="하도급계획"/>
      <sheetName val="토공(본관-토사)"/>
      <sheetName val="토공(분기관-토사)"/>
      <sheetName val="토공(분기관-암)"/>
      <sheetName val="토공(본관-암)"/>
      <sheetName val="단가조사표"/>
      <sheetName val="설계내역서(기계)"/>
      <sheetName val="1.3.1절점좌표"/>
      <sheetName val="6차2회변경내역서"/>
      <sheetName val="중단원본"/>
      <sheetName val="업체별담당"/>
      <sheetName val="4 공통갑지"/>
      <sheetName val="제경비최종"/>
      <sheetName val="사본 _ b_balju"/>
      <sheetName val="공사설계"/>
      <sheetName val="교통대책내역"/>
      <sheetName val="gyun"/>
      <sheetName val="관일"/>
      <sheetName val="포장면적산출"/>
      <sheetName val="포장수량집계"/>
      <sheetName val="토공사B동추가"/>
      <sheetName val="1.RAMP-A"/>
      <sheetName val="대총괄"/>
      <sheetName val="중기조종사 단위단가"/>
      <sheetName val="암거단위-1련"/>
      <sheetName val="견적보고"/>
      <sheetName val="기초계산(Pmax)"/>
      <sheetName val="쌍송교"/>
      <sheetName val="방화도료"/>
      <sheetName val="BOJUNGGM"/>
      <sheetName val="공정추가"/>
      <sheetName val="금전출납"/>
      <sheetName val="직영명부"/>
      <sheetName val="계약내역서"/>
      <sheetName val="공통자료"/>
      <sheetName val="입력장소"/>
      <sheetName val="지수980731이후"/>
      <sheetName val="ESC (공정표기준)"/>
      <sheetName val="10동"/>
      <sheetName val="36+45-113-18+19+20I"/>
      <sheetName val="Variable"/>
      <sheetName val="RCMinput"/>
      <sheetName val="PROCURE"/>
      <sheetName val="광통신 견적내역서1"/>
      <sheetName val="투찰(하수)"/>
      <sheetName val="케이블수량재료"/>
      <sheetName val="표__지2"/>
      <sheetName val="2011_(4)1"/>
      <sheetName val="토공(우물통,기타)_2"/>
      <sheetName val="Sheet1_(2)2"/>
      <sheetName val="_냉각수펌프1"/>
      <sheetName val="1062-X방향_1"/>
      <sheetName val="별표_2"/>
      <sheetName val="BOX(1_5X1_5)2"/>
      <sheetName val="각사별공사비분개_1"/>
      <sheetName val="ITB_COST1"/>
      <sheetName val="단면__2_1"/>
      <sheetName val="11_자재단가1"/>
      <sheetName val="Dike_for_49T03_&amp;_49T041"/>
      <sheetName val="Dike_for_49T02,_05~07,_19_(1)1"/>
      <sheetName val="ENE-CAL_11"/>
      <sheetName val="설계기준_및_하중계산1"/>
      <sheetName val="역T형(H=6_0)_(2)1"/>
      <sheetName val="추정공사비_산출내역1_xlsx1"/>
      <sheetName val="빌딩_안내1"/>
      <sheetName val="공정별_수량산출서1"/>
      <sheetName val="자재_및_폐기물견적(2008)1"/>
      <sheetName val="1호-아(오)0_41"/>
      <sheetName val="전차선로_물량표1"/>
      <sheetName val="화단_철거1"/>
      <sheetName val="수량산출서_갑지1"/>
      <sheetName val="CONSTRUCTION_COMPONENT1"/>
      <sheetName val="cable_data11"/>
      <sheetName val="견적대비_견적서1"/>
      <sheetName val="자재_집계표1"/>
      <sheetName val="IMPEADENCE_MAP_취수장1"/>
      <sheetName val="접속_SLAB,BRACKET_설계1"/>
      <sheetName val="wk_prgs1"/>
      <sheetName val="2__공원조도1"/>
      <sheetName val="CABLE_SIZE-31"/>
      <sheetName val="일위대가_호표_(계약)1"/>
      <sheetName val="N10(미지급)_2"/>
      <sheetName val="6_단면검토"/>
      <sheetName val="현장별계약현황('98_10_31)"/>
      <sheetName val="중간간지_(2)"/>
      <sheetName val="2_단면가정_"/>
      <sheetName val="암거_제원표"/>
      <sheetName val="간지03_)"/>
      <sheetName val="1_레미콘"/>
      <sheetName val="2_관집계"/>
      <sheetName val="3_제수밸브"/>
      <sheetName val="4_각종주철제"/>
      <sheetName val="5_유량계"/>
      <sheetName val="1_골재집계"/>
      <sheetName val="2_철근집계"/>
      <sheetName val="3_관세척"/>
      <sheetName val="4_분기관"/>
      <sheetName val="상수공_토공집계표"/>
      <sheetName val="7월천안현장_집계표"/>
      <sheetName val="장비_자재"/>
      <sheetName val="_노무집계"/>
      <sheetName val="1_폐기물집계표"/>
      <sheetName val="PAINT_(2)"/>
      <sheetName val="S_중기사용료"/>
      <sheetName val="97년_추정"/>
      <sheetName val="내역_ver1_0"/>
      <sheetName val="RAMP_단면(R2)"/>
      <sheetName val="토목내역서_(도급단가)"/>
      <sheetName val="목차_"/>
      <sheetName val="세골재__T2_변경_현황"/>
      <sheetName val="0_단가"/>
      <sheetName val="토공_total"/>
      <sheetName val="4__주형설계"/>
      <sheetName val="2_단면가정1"/>
      <sheetName val="노무비_근거"/>
      <sheetName val="_총괄표"/>
      <sheetName val="바닥판의_설계"/>
      <sheetName val="I_설계조건"/>
      <sheetName val="Project_Brief"/>
      <sheetName val="static_cal"/>
      <sheetName val="Total_Progress_(2)"/>
      <sheetName val="1_일반수량산출근거"/>
      <sheetName val="Isolasi_Luar_Dalam"/>
      <sheetName val="Isolasi_Luar"/>
      <sheetName val="DI_전처리_단가집(GP1_실적가)"/>
      <sheetName val="Financial_impact"/>
      <sheetName val="Sch7a_(토요일)"/>
      <sheetName val="남양시작동자105노65기1_3화1_2"/>
      <sheetName val="TRE_TABLE"/>
      <sheetName val="흙막이_개산견적"/>
      <sheetName val="암거_제원표-1단계"/>
      <sheetName val="C_배수관공"/>
      <sheetName val="2_건축"/>
      <sheetName val="97_사업추정(WEKI)"/>
      <sheetName val="산근(목록)"/>
      <sheetName val="이형관중량"/>
      <sheetName val="DATA-2 장비LIST"/>
      <sheetName val="정보매체A동"/>
      <sheetName val="노무DB"/>
      <sheetName val="6PILE__(돌출)4"/>
      <sheetName val="내역서_4"/>
      <sheetName val="1_설계조건4"/>
      <sheetName val="2_2_S-Curve3"/>
      <sheetName val="8_PILE__(돌출)3"/>
      <sheetName val="Chiet_tinh_dz352"/>
      <sheetName val="TABLE_DB2"/>
      <sheetName val="쌍용_data_base2"/>
      <sheetName val="플랜트_설치3"/>
      <sheetName val="단면_(2)3"/>
      <sheetName val="dongia_(2)2"/>
      <sheetName val="t-h_HA_THE2"/>
      <sheetName val="THPDMoi__(2)2"/>
      <sheetName val="DON_GIA2"/>
      <sheetName val="CHITIET_VL-NC-TT_-1p2"/>
      <sheetName val="TONG_HOP_VL-NC_TT2"/>
      <sheetName val="TH_XL2"/>
      <sheetName val="CHITIET_VL-NC-TT-3p2"/>
      <sheetName val="KPVC-BD_2"/>
      <sheetName val="CHITIET_VL-NC2"/>
      <sheetName val="code_HTT_Thap2"/>
      <sheetName val="B3A_-_TOWER_A2"/>
      <sheetName val="RAB_AR&amp;STR2"/>
      <sheetName val="D&amp;W_def_2"/>
      <sheetName val="COMPARISON_TABLE3"/>
      <sheetName val="crude_SLAB_RE-bar3"/>
      <sheetName val="CRUDE_RE-bar3"/>
      <sheetName val="1_설계기준3"/>
      <sheetName val="신규_수주분(사용자_정의)3"/>
      <sheetName val="설명서_3"/>
      <sheetName val="1_2_1_마루높이결정3"/>
      <sheetName val="3_하중산정4_지지력3"/>
      <sheetName val="표지_(2)3"/>
      <sheetName val="3BL공동구_수량4"/>
      <sheetName val="2_입력sheet3"/>
      <sheetName val="DATA_입력란3"/>
      <sheetName val="1_우편집중내역서3"/>
      <sheetName val="Pier_33"/>
      <sheetName val="2_가정단면3"/>
      <sheetName val="7_PILE__(돌출)3"/>
      <sheetName val="plan&amp;section_of_foundation3"/>
      <sheetName val="pile_bearing_capa_&amp;_arrenge3"/>
      <sheetName val="design_load3"/>
      <sheetName val="working_load_at_the_btm_ft_3"/>
      <sheetName val="stability_check3"/>
      <sheetName val="design_criteria3"/>
      <sheetName val="돌담교_상부수량4"/>
      <sheetName val="8_석축단위(H=1_5M)3"/>
      <sheetName val="준검_내역서3"/>
      <sheetName val="3_공통공사대비3"/>
      <sheetName val="방배동내역_(총괄)3"/>
      <sheetName val="MAIN_GATE_HOUSE2"/>
      <sheetName val="4-Lane_bridge2"/>
      <sheetName val="Coax_Designer2"/>
      <sheetName val="tong_du_toan2"/>
      <sheetName val="(3_품질관리_시험_총괄표)3"/>
      <sheetName val="PAD_TR보호대기초3"/>
      <sheetName val="Civil__Sub-Station_12"/>
      <sheetName val="실행내역서_2"/>
      <sheetName val="Thuc_thanh2"/>
      <sheetName val="Bảng_Phân_Tích_Chi_Phí2"/>
      <sheetName val="Gia_VL,NC,M2"/>
      <sheetName val="Phan_chung2"/>
      <sheetName val="Tom_tat_gia_du_thau2"/>
      <sheetName val="Tien_do_TV2"/>
      <sheetName val="CP_Du_phong2"/>
      <sheetName val="THCP_Lap_dat2"/>
      <sheetName val="THCP_xay_dung2"/>
      <sheetName val="Tong_hop_kinh_phi2"/>
      <sheetName val="Bảng_mã_VT2"/>
      <sheetName val="Bảng_KLHT1"/>
      <sheetName val="RC_WORK1"/>
      <sheetName val="배수내역_(2)1"/>
      <sheetName val="Bao_cao_hao_hut_VT-TR2"/>
      <sheetName val="¥_1"/>
      <sheetName val="DTTC_CHI_TIET1"/>
      <sheetName val="Du_toan1"/>
      <sheetName val="MTO_REV_2(ARMOR)1"/>
      <sheetName val="TEN_CONG_TRINH1"/>
      <sheetName val="1000_DB구축_부표1"/>
      <sheetName val="Currency_Rate1"/>
      <sheetName val="Cash_Flow_bulanan1"/>
      <sheetName val="Cash_Flow"/>
      <sheetName val="HE_SO_DIEU_CHINH"/>
      <sheetName val="Cover_(x)"/>
      <sheetName val="Cor_Apt"/>
      <sheetName val="Cấu_tạo_giá"/>
      <sheetName val="Cover_page"/>
      <sheetName val="Add_cost08"/>
      <sheetName val="Phu_cap"/>
      <sheetName val="Project_Data"/>
      <sheetName val="EE_(3)"/>
      <sheetName val="KLDT_DIEN"/>
      <sheetName val="PTVT_DIEN"/>
      <sheetName val="Budget_Code"/>
      <sheetName val="Thiet_Bi"/>
      <sheetName val="Phan_tich"/>
      <sheetName val="TH_Vat_tu"/>
      <sheetName val="TH_Kinh_phi"/>
      <sheetName val="TH_MTC"/>
      <sheetName val="TH_N_Cong"/>
      <sheetName val="Bang_KL"/>
      <sheetName val="Daf_1"/>
      <sheetName val="6PILE__(돌출)5"/>
      <sheetName val="내역서_5"/>
      <sheetName val="1_설계조건5"/>
      <sheetName val="2_2_S-Curve4"/>
      <sheetName val="돌담교_상부수량5"/>
      <sheetName val="8_석축단위(H=1_5M)4"/>
      <sheetName val="3BL공동구_수량5"/>
      <sheetName val="준검_내역서4"/>
      <sheetName val="3_공통공사대비4"/>
      <sheetName val="방배동내역_(총괄)4"/>
      <sheetName val="설명서_4"/>
      <sheetName val="플랜트_설치4"/>
      <sheetName val="8_PILE__(돌출)4"/>
      <sheetName val="COMPARISON_TABLE4"/>
      <sheetName val="crude_SLAB_RE-bar4"/>
      <sheetName val="CRUDE_RE-bar4"/>
      <sheetName val="1_설계기준4"/>
      <sheetName val="신규_수주분(사용자_정의)4"/>
      <sheetName val="단면_(2)4"/>
      <sheetName val="1_2_1_마루높이결정4"/>
      <sheetName val="3_하중산정4_지지력4"/>
      <sheetName val="표지_(2)4"/>
      <sheetName val="2_입력sheet4"/>
      <sheetName val="DATA_입력란4"/>
      <sheetName val="1_우편집중내역서4"/>
      <sheetName val="Pier_34"/>
      <sheetName val="2_가정단면4"/>
      <sheetName val="7_PILE__(돌출)4"/>
      <sheetName val="plan&amp;section_of_foundation4"/>
      <sheetName val="pile_bearing_capa_&amp;_arrenge4"/>
      <sheetName val="design_load4"/>
      <sheetName val="working_load_at_the_btm_ft_4"/>
      <sheetName val="stability_check4"/>
      <sheetName val="design_criteria4"/>
      <sheetName val="(3_품질관리_시험_총괄표)4"/>
      <sheetName val="별표_3"/>
      <sheetName val="토공(우물통,기타)_3"/>
      <sheetName val="Chiet_tinh_dz353"/>
      <sheetName val="TABLE_DB3"/>
      <sheetName val="쌍용_data_base3"/>
      <sheetName val="PAD_TR보호대기초4"/>
      <sheetName val="code_HTT_Thap3"/>
      <sheetName val="RAB_AR&amp;STR3"/>
      <sheetName val="dongia_(2)3"/>
      <sheetName val="Civil__Sub-Station_13"/>
      <sheetName val="실행내역서_3"/>
      <sheetName val="Thuc_thanh3"/>
      <sheetName val="D&amp;W_def_3"/>
      <sheetName val="4-Lane_bridge3"/>
      <sheetName val="t-h_HA_THE3"/>
      <sheetName val="THPDMoi__(2)3"/>
      <sheetName val="DON_GIA3"/>
      <sheetName val="CHITIET_VL-NC-TT_-1p3"/>
      <sheetName val="TONG_HOP_VL-NC_TT3"/>
      <sheetName val="TH_XL3"/>
      <sheetName val="CHITIET_VL-NC-TT-3p3"/>
      <sheetName val="KPVC-BD_3"/>
      <sheetName val="CHITIET_VL-NC3"/>
      <sheetName val="B3A_-_TOWER_A3"/>
      <sheetName val="Coax_Designer3"/>
      <sheetName val="MAIN_GATE_HOUSE3"/>
      <sheetName val="_냉각수펌프2"/>
      <sheetName val="1062-X방향_2"/>
      <sheetName val="Sheet1_(2)3"/>
      <sheetName val="BOX(1_5X1_5)3"/>
      <sheetName val="전선_및_전선관2"/>
      <sheetName val="표__지3"/>
      <sheetName val="단면__2_2"/>
      <sheetName val="ENE-CAL_12"/>
      <sheetName val="ITB_COST2"/>
      <sheetName val="2011_(4)2"/>
      <sheetName val="11_자재단가2"/>
      <sheetName val="Dike_for_49T03_&amp;_49T042"/>
      <sheetName val="Dike_for_49T02,_05~07,_19_(1)2"/>
      <sheetName val="설계기준_및_하중계산2"/>
      <sheetName val="역T형(H=6_0)_(2)2"/>
      <sheetName val="1__설계조건_2_단면가정_3__하중계산2"/>
      <sheetName val="단가_및_재료비2"/>
      <sheetName val="각사별공사비분개_2"/>
      <sheetName val="전차선로_물량표2"/>
      <sheetName val="Bảng_KLHT2"/>
      <sheetName val="RC_WORK2"/>
      <sheetName val="배수내역_(2)2"/>
      <sheetName val="tong_du_toan3"/>
      <sheetName val="Bảng_Phân_Tích_Chi_Phí3"/>
      <sheetName val="Tien_do_TV3"/>
      <sheetName val="CP_Du_phong3"/>
      <sheetName val="THCP_Lap_dat3"/>
      <sheetName val="THCP_xay_dung3"/>
      <sheetName val="Tong_hop_kinh_phi3"/>
      <sheetName val="Gia_VL,NC,M3"/>
      <sheetName val="Phan_chung3"/>
      <sheetName val="Tom_tat_gia_du_thau3"/>
      <sheetName val="Bảng_mã_VT3"/>
      <sheetName val="Bao_cao_hao_hut_VT-TR3"/>
      <sheetName val="Currency_Rate2"/>
      <sheetName val="TEN_CONG_TRINH2"/>
      <sheetName val="¥_2"/>
      <sheetName val="DTTC_CHI_TIET2"/>
      <sheetName val="Du_toan2"/>
      <sheetName val="Cash_Flow_bulanan2"/>
      <sheetName val="수량산출서_갑지2"/>
      <sheetName val="CONSTRUCTION_COMPONENT2"/>
      <sheetName val="추정공사비_산출내역1_xlsx2"/>
      <sheetName val="견적대비_견적서2"/>
      <sheetName val="접속_SLAB,BRACKET_설계2"/>
      <sheetName val="공정별_수량산출서2"/>
      <sheetName val="자재_및_폐기물견적(2008)2"/>
      <sheetName val="IMPEADENCE_MAP_취수장2"/>
      <sheetName val="화단_철거2"/>
      <sheetName val="1호-아(오)0_42"/>
      <sheetName val="MTO_REV_2(ARMOR)2"/>
      <sheetName val="Isolasi_Luar_Dalam1"/>
      <sheetName val="Isolasi_Luar1"/>
      <sheetName val="환경기계공정표_(3)2"/>
      <sheetName val="배관배선_단가조사2"/>
      <sheetName val="9_정착구_보강2"/>
      <sheetName val="단가_(2)2"/>
      <sheetName val="96보완계획7_122"/>
      <sheetName val="배수공_시멘트_및_골재량_산출2"/>
      <sheetName val="1차_내역서2"/>
      <sheetName val="1_수인터널2"/>
      <sheetName val="Sheet2_(2)2"/>
      <sheetName val="건축내역서_(경제상무실)2"/>
      <sheetName val="BSD_(2)2"/>
      <sheetName val="내역서1999_8최종2"/>
      <sheetName val="PROJECT_BRIEF(EX_NEW)2"/>
      <sheetName val="Site_Expenses2"/>
      <sheetName val="1000_DB구축_부표2"/>
      <sheetName val="상_부2"/>
      <sheetName val="Cash_Flow1"/>
      <sheetName val="Unit_price1"/>
      <sheetName val="Define_finishing1"/>
      <sheetName val="Tiến_độ__Rev1_(phói_hợp)1"/>
      <sheetName val="Level_21"/>
      <sheetName val="Cst_Pkg-Eden1"/>
      <sheetName val="Chi_tiết_cấu_tạo_giá_(2)1"/>
      <sheetName val="SUMMARY-HT_Thô1"/>
      <sheetName val="02_PHAT_SINH_TANG1"/>
      <sheetName val="TONG_HOP_XIN_GIA1"/>
      <sheetName val="1_R18_BF1"/>
      <sheetName val="6_External_works-R181"/>
      <sheetName val="bill_3_-_D_Wall1"/>
      <sheetName val="KHOI_LUONG15-41"/>
      <sheetName val="Tro_giup1"/>
      <sheetName val="Villa_A1"/>
      <sheetName val="Div26_-_Elect1"/>
      <sheetName val="Xuly_Data1"/>
      <sheetName val="CSVC_LD1"/>
      <sheetName val="HE_SO_DIEU_CHINH1"/>
      <sheetName val="dtct_cong1"/>
      <sheetName val="Buy_vs__Lease_Car1"/>
      <sheetName val="2_1_受電設備棟1"/>
      <sheetName val="2_2_受・防火水槽1"/>
      <sheetName val="2_3_排水処理設備棟1"/>
      <sheetName val="2_4_倉庫棟1"/>
      <sheetName val="2_5_守衛棟1"/>
      <sheetName val="cable_data12"/>
      <sheetName val="CABLE_SIZE-32"/>
      <sheetName val="wk_prgs2"/>
      <sheetName val="현장별계약현황('98_10_31)1"/>
      <sheetName val="일위대가_호표_(계약)2"/>
      <sheetName val="내역서_제출1"/>
      <sheetName val="97년_추정1"/>
      <sheetName val="내역_ver1_01"/>
      <sheetName val="단양_00_아파트-세부내역1"/>
      <sheetName val="RAMP_단면(R2)1"/>
      <sheetName val="토목내역서_(도급단가)1"/>
      <sheetName val="목차_1"/>
      <sheetName val="4_2유효폭의_계산1"/>
      <sheetName val="세골재__T2_변경_현황1"/>
      <sheetName val="0_단가1"/>
      <sheetName val="토공_total1"/>
      <sheetName val="3련_BOX1"/>
      <sheetName val="4__주형설계1"/>
      <sheetName val="노무비_근거1"/>
      <sheetName val="_총괄표1"/>
      <sheetName val="바닥판의_설계1"/>
      <sheetName val="Cover_(x)1"/>
      <sheetName val="Cor_Apt1"/>
      <sheetName val="Cấu_tạo_giá1"/>
      <sheetName val="Cover_page1"/>
      <sheetName val="tra_VL1"/>
      <sheetName val="8_3해석단면_선정1"/>
      <sheetName val="Ⅴ-2_공종별내역1"/>
      <sheetName val="Add_cost081"/>
      <sheetName val="SCOPE_OF_WORK1"/>
      <sheetName val="Xunit_(단위환산)2"/>
      <sheetName val="고객사_관리_코드2"/>
      <sheetName val="PH_51"/>
      <sheetName val="Dầm_-4_7m1"/>
      <sheetName val="Phu_cap1"/>
      <sheetName val="Project_Data1"/>
      <sheetName val="EE_(3)1"/>
      <sheetName val="중간간지_(2)1"/>
      <sheetName val="6_단면검토1"/>
      <sheetName val="암거_제원표1"/>
      <sheetName val="2_단면가정_1"/>
      <sheetName val="7월천안현장_집계표1"/>
      <sheetName val="장비_자재1"/>
      <sheetName val="_노무집계1"/>
      <sheetName val="KLDT_DIEN1"/>
      <sheetName val="PTVT_DIEN1"/>
      <sheetName val="Budget_Code1"/>
      <sheetName val="Thiet_Bi1"/>
      <sheetName val="Phan_tich1"/>
      <sheetName val="TH_Vat_tu1"/>
      <sheetName val="TH_Kinh_phi1"/>
      <sheetName val="TH_MTC1"/>
      <sheetName val="TH_N_Cong1"/>
      <sheetName val="Bang_KL1"/>
      <sheetName val="Daf_11"/>
      <sheetName val="경비2내역"/>
      <sheetName val="공사개요-C"/>
      <sheetName val="D200"/>
      <sheetName val="F4-F7"/>
      <sheetName val="name"/>
      <sheetName val="PC, G.Slab"/>
      <sheetName val="율촌법률사무소2내역"/>
      <sheetName val="중기근거"/>
      <sheetName val="특별땅고르기"/>
      <sheetName val="일위-1"/>
      <sheetName val="노무비명세서"/>
      <sheetName val="교수설계"/>
      <sheetName val="연결관수량 (2)"/>
      <sheetName val="사다리"/>
      <sheetName val="철집"/>
      <sheetName val="재료할증"/>
      <sheetName val="원가계산서구조조정"/>
      <sheetName val="영창26"/>
      <sheetName val="상수도토공집계표"/>
      <sheetName val="봉방동근생"/>
      <sheetName val="라멘수량"/>
      <sheetName val="부경대총괄내역서"/>
      <sheetName val="주차장(T4)"/>
      <sheetName val="산출근거1"/>
      <sheetName val="40총괄"/>
      <sheetName val="40집계"/>
      <sheetName val="변경내역"/>
      <sheetName val="보도공제면적"/>
      <sheetName val="수습"/>
      <sheetName val="노임,기계경비"/>
      <sheetName val="토공집계(rp)"/>
      <sheetName val="앵커(3안)"/>
      <sheetName val="차압계산"/>
      <sheetName val="1.수량집계"/>
      <sheetName val="AIR SHOWER(3인용)"/>
      <sheetName val="포장공사"/>
      <sheetName val="합계"/>
      <sheetName val="archi(본사)"/>
      <sheetName val="알맹이"/>
      <sheetName val="총공사내역서"/>
      <sheetName val="공사직종별노임"/>
      <sheetName val="48전력선로일위"/>
      <sheetName val="면적산출근거(실측)"/>
      <sheetName val="내역기준"/>
      <sheetName val="유효폭의 계산"/>
      <sheetName val="암거날개벽"/>
      <sheetName val="전기일위목록"/>
      <sheetName val="국도접속 차도부수량"/>
      <sheetName val="입상내역"/>
      <sheetName val="기타 정보통신공사"/>
      <sheetName val="FAB4생산"/>
      <sheetName val="직원자료입력"/>
      <sheetName val="재료단가"/>
      <sheetName val="기존단가 (2)"/>
      <sheetName val="우수공,맨홀,집수정"/>
      <sheetName val="집계표(용역원실배기)"/>
      <sheetName val="실정보사유서"/>
      <sheetName val="원가계산서 과기원"/>
      <sheetName val="0.내역서  갑지"/>
      <sheetName val="1.내역서 "/>
      <sheetName val="2-1.수량산출근거"/>
      <sheetName val="2-2.노무비산출근거"/>
      <sheetName val="3.단가조사표"/>
      <sheetName val="3.단가대비표"/>
      <sheetName val="4.설변사유"/>
      <sheetName val="2-7.인건비산출근거"/>
      <sheetName val="3-1.설변사유"/>
      <sheetName val="3-2.공사비증감"/>
      <sheetName val="3-3.내역서"/>
      <sheetName val="3-4.단가대비표(기존)"/>
      <sheetName val="3-5.단가대비표(신규)"/>
      <sheetName val="3-6.일위대가목록"/>
      <sheetName val="3-7.일위대가"/>
      <sheetName val="3-8.물량산출근거"/>
      <sheetName val="3-9.인건비산출근거"/>
      <sheetName val="고강도 지수판 스리브업체선정"/>
      <sheetName val="업체구매견적서"/>
      <sheetName val="3.단가대비표 "/>
      <sheetName val="3.단가적용현황"/>
      <sheetName val="기성청구서"/>
      <sheetName val="기성검사원"/>
      <sheetName val="노면표시단위수량(안전지대및노상장애물)"/>
      <sheetName val="노면표시단위수량(방향및방면지시)"/>
      <sheetName val="노면표시단위수량(문자및기타기호)"/>
      <sheetName val="노면표시단위수량(차선)"/>
      <sheetName val="노면표시단위수량(횡단보도)"/>
      <sheetName val="계약서"/>
      <sheetName val="수량산출표"/>
      <sheetName val="포장(수량)-관로부"/>
      <sheetName val="공기압축기실"/>
      <sheetName val="도근좌표"/>
      <sheetName val="자재일람"/>
      <sheetName val="환율"/>
      <sheetName val="백호우계수"/>
      <sheetName val="건축원가계산서"/>
      <sheetName val="현장설명"/>
      <sheetName val="환경보전비B"/>
      <sheetName val="가옥철거(지장물조서)"/>
      <sheetName val="종배수관설치현황"/>
      <sheetName val="증감대비표"/>
      <sheetName val="4.하중산정"/>
      <sheetName val="6월 출고 일일보고"/>
      <sheetName val="기성부분 내역집계표-기계공사"/>
      <sheetName val="1호토공"/>
      <sheetName val="1Month+Sheet2!"/>
      <sheetName val="수량분배표"/>
      <sheetName val="DATA 입력부"/>
      <sheetName val="내역서(중수)"/>
      <sheetName val="8설7발"/>
      <sheetName val="BOX 본체"/>
      <sheetName val="제수변 수량집계표(보통)"/>
      <sheetName val="양수장(기계)"/>
      <sheetName val="중간"/>
      <sheetName val="접합수량(피벗)"/>
      <sheetName val="Toolbox"/>
      <sheetName val="신림자금"/>
      <sheetName val="하도급원가계산총괄표(식재)"/>
      <sheetName val="단가파주4"/>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7-1.인건비"/>
      <sheetName val="지하"/>
      <sheetName val="7급줄떼공"/>
      <sheetName val="당정동공통이수"/>
      <sheetName val="당정동경상이수"/>
      <sheetName val="지역"/>
      <sheetName val="CABLE"/>
      <sheetName val="건축공사집계"/>
      <sheetName val="오수공수량집계표"/>
      <sheetName val="B"/>
      <sheetName val="전기내역"/>
      <sheetName val="상부집계표"/>
      <sheetName val="관급"/>
      <sheetName val="초기화면1"/>
      <sheetName val="유별자산배수"/>
      <sheetName val="2.2.2입적표"/>
      <sheetName val="Sheet17"/>
      <sheetName val="시설국장자료"/>
      <sheetName val="교대"/>
      <sheetName val="가시설(TYPE-A)"/>
      <sheetName val="포장수량"/>
      <sheetName val="산출집계표"/>
      <sheetName val="참조자료"/>
      <sheetName val="기계경비산출기준"/>
      <sheetName val="기계경비목록"/>
      <sheetName val="건설기계가격1"/>
      <sheetName val="회사기초자료"/>
      <sheetName val="부대공수량산출"/>
      <sheetName val="공통갑지"/>
      <sheetName val="기성청구조서"/>
      <sheetName val="수량간지코드"/>
      <sheetName val="수량목차코드"/>
      <sheetName val="금속및금속창호"/>
      <sheetName val="값"/>
      <sheetName val="한일양산"/>
      <sheetName val="서울대규장각(가시설흙막이)"/>
      <sheetName val="일위대가 "/>
      <sheetName val="2.관대집계표"/>
      <sheetName val="수불계획서(전체)"/>
      <sheetName val="투입비분석표"/>
      <sheetName val="형식 - 1-2-3"/>
      <sheetName val="정부노임"/>
      <sheetName val="일위(PN)"/>
      <sheetName val="203"/>
      <sheetName val="99노임단_x0007_"/>
      <sheetName val="99노임단쌇"/>
      <sheetName val="documentation"/>
      <sheetName val="COA-17"/>
      <sheetName val="C-18"/>
      <sheetName val="목공사품의서"/>
      <sheetName val="터널전기"/>
      <sheetName val="자재(원원+원대)"/>
      <sheetName val="MATRLDATA"/>
      <sheetName val="INPUT_TABLE"/>
      <sheetName val="CAP"/>
      <sheetName val="Var."/>
      <sheetName val="R"/>
      <sheetName val="정리"/>
      <sheetName val="dV&amp;Cl"/>
      <sheetName val="CB"/>
      <sheetName val="XZLC004_PART2"/>
      <sheetName val="IMPEADENCE H_x0000_Ԁ_x0000_怀ȅ㨍"/>
      <sheetName val="IMPEADENCE é_x0000_Ԁ_x0000__x0000_ᛅ_xde17_"/>
      <sheetName val="토공계산서(부체도로)"/>
      <sheetName val="HSA"/>
      <sheetName val="출하생산일보"/>
      <sheetName val="4.2내역서"/>
      <sheetName val="중기(목록)"/>
      <sheetName val="일위대가(목록)"/>
      <sheetName val="관전식시설제원"/>
      <sheetName val="구조물공(집계)"/>
      <sheetName val="SGC_RATE"/>
      <sheetName val="Bang_gia"/>
      <sheetName val="HRG_BHN"/>
      <sheetName val="NSA_fr_Revit"/>
      <sheetName val="BXLDL"/>
      <sheetName val="DM.ChiPhi"/>
      <sheetName val="May TC"/>
      <sheetName val="Nhan cong"/>
      <sheetName val="Area Cal"/>
      <sheetName val="DTICH (Full)"/>
      <sheetName val="DGG"/>
      <sheetName val="DTICH(FDC)"/>
      <sheetName val="CP3-DI"/>
      <sheetName val="SPEC"/>
      <sheetName val="견"/>
      <sheetName val="VXXXXXXX"/>
      <sheetName val="토공유동표"/>
      <sheetName val="말뚝물량"/>
      <sheetName val="CODE1"/>
      <sheetName val="CODE2"/>
      <sheetName val="위치"/>
      <sheetName val="가시설총괄"/>
      <sheetName val="TOT"/>
      <sheetName val="무근깨기"/>
      <sheetName val="계산중"/>
      <sheetName val="횡배위치"/>
      <sheetName val="_____________hb___1___________2"/>
      <sheetName val="첨부2"/>
      <sheetName val="Macr_x0000__x0000__x0005__x0000_纠瀝"/>
      <sheetName val="Bldg"/>
      <sheetName val="확산동"/>
      <sheetName val="운반"/>
      <sheetName val="제출계산서"/>
      <sheetName val=" "/>
      <sheetName val="국가별"/>
      <sheetName val="수액원료"/>
      <sheetName val="시산표"/>
      <sheetName val="공정"/>
      <sheetName val="종목코드"/>
      <sheetName val="linehaul cost model (2)"/>
      <sheetName val="인원계획-미화"/>
      <sheetName val="사각수로관단수"/>
      <sheetName val="집수정단위수량산출"/>
      <sheetName val="자재 및 폐기물견적(20È됀"/>
      <sheetName val="총체보활공정표"/>
      <sheetName val="그레이더"/>
      <sheetName val="견적의뢰"/>
      <sheetName val="CostDB"/>
      <sheetName val="Take-Off"/>
      <sheetName val="설계서(갑지)"/>
      <sheetName val="2000"/>
      <sheetName val="Macro(_x0000__x0000__x0005__x0000_"/>
      <sheetName val="공통부대"/>
      <sheetName val="버스운행안내"/>
      <sheetName val="근태계획서"/>
      <sheetName val="총중목"/>
      <sheetName val="간접비"/>
      <sheetName val="단가(마감)"/>
      <sheetName val="맨홀토"/>
      <sheetName val="Analisa_Gabungan"/>
      <sheetName val="KINH_PHI_TONG_HOP"/>
      <sheetName val="Dinh_muc_CP_KTCB_khac"/>
      <sheetName val="TEN_HANG_MUC_"/>
      <sheetName val="BAOCHE_A"/>
      <sheetName val="Đơn_Giá_"/>
      <sheetName val="BAC THO"/>
      <sheetName val="DINHMU-DONGIA"/>
      <sheetName val="CAP NGAM HA THE"/>
      <sheetName val="CPVL CHIEU SANG"/>
      <sheetName val="BTK TT3P"/>
      <sheetName val="BANG KE TRU"/>
      <sheetName val="THKP957"/>
      <sheetName val="Tính giá NC"/>
      <sheetName val="Đầu vào"/>
      <sheetName val="Tiên lượng"/>
      <sheetName val="SL cước"/>
      <sheetName val="Eq. Mobilization"/>
      <sheetName val="DGVL"/>
      <sheetName val="IMPEADENCE H"/>
      <sheetName val="IMPEADENCE é"/>
      <sheetName val="HX"/>
      <sheetName val="제경비산출서"/>
      <sheetName val="(C)원내역"/>
      <sheetName val="전동기"/>
      <sheetName val="기초도면제작"/>
      <sheetName val="load"/>
      <sheetName val="#4 PSV"/>
      <sheetName val="조직표"/>
      <sheetName val="기본파일"/>
      <sheetName val="일위대가75-1"/>
      <sheetName val="일위대가76-1 "/>
      <sheetName val="일위대가77-1 "/>
      <sheetName val="일위대가78-1 "/>
      <sheetName val="일위대가79-1"/>
      <sheetName val="일위대가80-1"/>
      <sheetName val="일위대가81-1"/>
      <sheetName val="일위대가82-1"/>
      <sheetName val="일위대가92-1"/>
      <sheetName val="사유서"/>
      <sheetName val="자재집계 (2)"/>
      <sheetName val="(1)본선수량집계"/>
      <sheetName val="옥외등신설"/>
      <sheetName val="저케CV22신설"/>
      <sheetName val="저케CV38신설"/>
      <sheetName val="저케CV8신설"/>
      <sheetName val="접지3종"/>
      <sheetName val="정거장 설계조건"/>
      <sheetName val="노면표지 수량"/>
      <sheetName val="토공사"/>
      <sheetName val="AIR_SHOWER(3인용)"/>
      <sheetName val="시간당중기사용료"/>
      <sheetName val="asd"/>
      <sheetName val="인공산출"/>
      <sheetName val="매원개착터널총괄"/>
      <sheetName val="가시설단위수량"/>
      <sheetName val="2_토목공사1"/>
      <sheetName val="AS포장복구_1"/>
      <sheetName val="2-1__경관조명_내역총괄표1"/>
      <sheetName val="개별직종노임단가(2003_9)1"/>
      <sheetName val="_상부공통집계(총괄)1"/>
      <sheetName val="실행내역(10_13)1"/>
      <sheetName val="참여현황_(직원)1"/>
      <sheetName val="노임단가_(2)1"/>
      <sheetName val="기존건물_깨기원단위1"/>
      <sheetName val="EQUIP_LIST1"/>
      <sheetName val="철근량_산정1"/>
      <sheetName val="총_원가계산1"/>
      <sheetName val="슬래브_-연속(3경간)1"/>
      <sheetName val="1~9_하중계산1"/>
      <sheetName val="노_표-조1"/>
      <sheetName val="1_토공"/>
      <sheetName val="2F_회의실견적(5_14_일대)1"/>
      <sheetName val="대3류_1"/>
      <sheetName val="내역-_CCTV1"/>
      <sheetName val="건설사업관리_공제요율1"/>
      <sheetName val="건설공사_감리원_배치기준1"/>
      <sheetName val="책임감리_공제요율1"/>
      <sheetName val="경율산정_XLS"/>
      <sheetName val="GT_1050x650"/>
      <sheetName val="주공_갑지"/>
      <sheetName val="1_견적보고서"/>
      <sheetName val="Bldg_Brkdown"/>
      <sheetName val="12)아이디어_목록_및_개략평가"/>
      <sheetName val="11)VE_예비검토서"/>
      <sheetName val="15-3)VE제안서(가치향상_등)"/>
      <sheetName val="단가산출서_(2)1"/>
      <sheetName val="노임단가(직종번호_순)"/>
      <sheetName val="11_1_단면hwp1"/>
      <sheetName val="4_공통갑지"/>
      <sheetName val="설내역서_2"/>
      <sheetName val="청_구2"/>
      <sheetName val="공사비_증감_내역서2"/>
      <sheetName val="Customer_Databas2"/>
      <sheetName val="배수공_주요자재_집계표1"/>
      <sheetName val="전_기1"/>
      <sheetName val="내역서_(2)1"/>
      <sheetName val="사__업__비__수__지__예__산__서2"/>
      <sheetName val="옹벽공_수량집계표2"/>
      <sheetName val="A-8_PD(도로중앙)2"/>
      <sheetName val="06_일위대가목록1"/>
      <sheetName val="4_내진설계1"/>
      <sheetName val="_ｹ-ﾌﾞﾙ1"/>
      <sheetName val="지구_리스트1"/>
      <sheetName val="효성CB_1P기초1"/>
      <sheetName val="1_CB2"/>
      <sheetName val="Flaer_Area2"/>
      <sheetName val="4_2_1_마루높이_검토1"/>
      <sheetName val="하도급_검토1"/>
      <sheetName val="3_하중계산1"/>
      <sheetName val="단_box1"/>
      <sheetName val="중강당_내역1"/>
      <sheetName val="지장물_철거_물량_산출서1"/>
      <sheetName val="HRSG_SMALL072201"/>
      <sheetName val="90_03실행_"/>
      <sheetName val="코스모공장_(어음)"/>
      <sheetName val="노임_및_중기단가1"/>
      <sheetName val="개별직종노임단가(2005_1)"/>
      <sheetName val="아파트_내역1"/>
      <sheetName val="A_견적"/>
      <sheetName val="1_3_1절점좌표"/>
      <sheetName val="1_1설계기준"/>
      <sheetName val="인건비_1"/>
      <sheetName val="원가계산서_"/>
      <sheetName val="2_대외공문1"/>
      <sheetName val="입출재고현황_(2)"/>
      <sheetName val="1_RAMP-A"/>
      <sheetName val="사본___b_balju"/>
      <sheetName val="ESC_(공정표기준)"/>
      <sheetName val="중기조종사_단위단가"/>
      <sheetName val="일위대가_"/>
      <sheetName val="2_관대집계표"/>
      <sheetName val="형식_-_1-2-3"/>
      <sheetName val="99노임단"/>
      <sheetName val="암거_제원표-1단계1"/>
      <sheetName val="C_배수관공1"/>
      <sheetName val="연결관수량_(2)"/>
      <sheetName val="1_수량집계"/>
      <sheetName val="AIR_SHOWER(3인용)1"/>
      <sheetName val="유효폭의_계산"/>
      <sheetName val="국도접속_차도부수량"/>
      <sheetName val="기타_정보통신공사"/>
      <sheetName val="기존단가_(2)"/>
      <sheetName val="원가계산서_과기원"/>
      <sheetName val="0_내역서__갑지"/>
      <sheetName val="1_내역서_"/>
      <sheetName val="2-1_수량산출근거"/>
      <sheetName val="2-2_노무비산출근거"/>
      <sheetName val="3_단가조사표"/>
      <sheetName val="3_단가대비표"/>
      <sheetName val="4_설변사유"/>
      <sheetName val="2-7_인건비산출근거"/>
      <sheetName val="3-1_설변사유"/>
      <sheetName val="3-2_공사비증감"/>
      <sheetName val="3-3_내역서"/>
      <sheetName val="3-4_단가대비표(기존)"/>
      <sheetName val="3-5_단가대비표(신규)"/>
      <sheetName val="3-6_일위대가목록"/>
      <sheetName val="3-7_일위대가"/>
      <sheetName val="3-8_물량산출근거"/>
      <sheetName val="3-9_인건비산출근거"/>
      <sheetName val="고강도_지수판_스리브업체선정"/>
      <sheetName val="3_단가대비표_"/>
      <sheetName val="3_단가적용현황"/>
      <sheetName val="4_하중산정"/>
      <sheetName val="6월_출고_일일보고"/>
      <sheetName val="기성부분_내역집계표-기계공사"/>
      <sheetName val="DATA_입력부"/>
      <sheetName val="BOX_본체"/>
      <sheetName val="제수변_수량집계표(보통)"/>
      <sheetName val="일위대가56-1_"/>
      <sheetName val="일위대가71-1_"/>
      <sheetName val="일위대가74-1_"/>
      <sheetName val="7-1_인건비"/>
      <sheetName val="2_2_2입적표"/>
      <sheetName val="Eq__Mobilization"/>
      <sheetName val="#4_PSV"/>
      <sheetName val="일위대가76-1_"/>
      <sheetName val="일위대가77-1_"/>
      <sheetName val="일위대가78-1_"/>
      <sheetName val="자재집계_(2)"/>
      <sheetName val="정거장_설계조건"/>
      <sheetName val="노면표지_수량"/>
      <sheetName val="직접노무"/>
      <sheetName val="직접재료"/>
      <sheetName val="직종표"/>
      <sheetName val="집"/>
      <sheetName val="일위총괄"/>
      <sheetName val="출력"/>
      <sheetName val="근로자명단"/>
      <sheetName val="친환경주택"/>
      <sheetName val="6.7현장운영"/>
      <sheetName val="자단"/>
      <sheetName val="48일위"/>
      <sheetName val="48수량"/>
      <sheetName val="22수량"/>
      <sheetName val="49일위"/>
      <sheetName val="22일위"/>
      <sheetName val="49수량"/>
      <sheetName val="내역(포장)"/>
      <sheetName val="01 Summary"/>
      <sheetName val="CW,HW,NW"/>
      <sheetName val="SAN"/>
      <sheetName val="03 Rev.Log"/>
      <sheetName val="설비(제출)"/>
      <sheetName val="주요자재집계"/>
      <sheetName val="횡배수관수량집계"/>
      <sheetName val="횡배수관기초"/>
      <sheetName val="수량산출(음암)"/>
      <sheetName val="결재"/>
      <sheetName val="식재(예송)"/>
      <sheetName val="G2설비도급"/>
      <sheetName val="Requirement(Work Crew)"/>
      <sheetName val="주요재료비(원본)"/>
      <sheetName val="2000.05"/>
      <sheetName val="적요"/>
      <sheetName val="식생블럭"/>
      <sheetName val="용소리교"/>
      <sheetName val="CABLE SIZE-1"/>
      <sheetName val="전통건설"/>
      <sheetName val="49"/>
      <sheetName val="전력간선(신설)"/>
      <sheetName val="기초입력 DATA"/>
      <sheetName val="포장공총괄수량집계표"/>
      <sheetName val="판매시설"/>
      <sheetName val="길어깨단위"/>
      <sheetName val="역T형옹벽(3.0)"/>
      <sheetName val="9509"/>
      <sheetName val="STEEL BOX 단면설계(SEC.8)"/>
      <sheetName val="절대건들지마시오"/>
      <sheetName val="케이블트레이"/>
      <sheetName val="토목내역서(변경1)"/>
      <sheetName val="keyword"/>
      <sheetName val="아주기계"/>
      <sheetName val="Gia vat tu"/>
      <sheetName val="PhÇnCK"/>
      <sheetName val="Tongke"/>
      <sheetName val="Annex B"/>
      <sheetName val="입찰내역"/>
      <sheetName val="Macro(缈ď헾⼕"/>
      <sheetName val="규준틀"/>
      <sheetName val="FOOTING단면¬"/>
      <sheetName val="단가비교표 (계측제어)"/>
      <sheetName val="삼성전기"/>
      <sheetName val="조은인력명세서"/>
      <sheetName val="96갑지"/>
      <sheetName val="접속 SLAB,_x0000_밢Ȳ_x0000__x0000__x0000_Ā_x0000_뮰ᖸ"/>
      <sheetName val="우배수"/>
      <sheetName val="Be"/>
      <sheetName val="LOADS"/>
      <sheetName val="REINF."/>
      <sheetName val="022᠀"/>
      <sheetName val="밸è欀N"/>
      <sheetName val="KLHT"/>
      <sheetName val="做法表"/>
      <sheetName val="sub struc-Omission"/>
      <sheetName val="比率"/>
      <sheetName val="数据库"/>
      <sheetName val="Giathanh1m3BT"/>
      <sheetName val="SPS"/>
      <sheetName val="V.c noi bo"/>
      <sheetName val="DGiaDZ"/>
      <sheetName val="TT"/>
      <sheetName val="DGXDCB_DD"/>
      <sheetName val="Don gia III"/>
      <sheetName val="Don gia CT"/>
      <sheetName val="proj"/>
      <sheetName val="분양가표"/>
      <sheetName val="JOKUN"/>
      <sheetName val="GGJ0824"/>
      <sheetName val="자재 집羘ↈ"/>
      <sheetName val="BOX(1_5X1°_x0000__x0000_"/>
      <sheetName val="평균토피고"/>
      <sheetName val="단면_(☈⣇"/>
      <sheetName val="단면_(턠̓"/>
      <sheetName val="단면_(ᖠ㋭"/>
      <sheetName val="단면_(䑰ᑻ"/>
      <sheetName val="Macr_x0000__x0000__x0005__x0000_旐ƽ"/>
      <sheetName val="단지조성공(_x0000__x0000__x0005_"/>
      <sheetName val="단지조성공(_x0000__x0000_ﾈ"/>
      <sheetName val="4.하중"/>
      <sheetName val="0.9x0.9"/>
      <sheetName val="L측형구집계"/>
      <sheetName val="suk(mac)"/>
      <sheetName val="고양동1"/>
      <sheetName val="0.9토공"/>
      <sheetName val="사용성검토"/>
      <sheetName val="Be跀璕"/>
      <sheetName val="노무비산정"/>
      <sheetName val="2000_x0000__x0000__x0019__x0000_"/>
      <sheetName val="철거공-조경"/>
      <sheetName val="항_x0000_"/>
      <sheetName val="자재 집_x0000_꟣"/>
      <sheetName val="잡철물"/>
      <sheetName val="Chi phi khac 4.3KH-CP"/>
      <sheetName val="Personnaliser votre facture"/>
      <sheetName val="Project Name"/>
      <sheetName val="Deliver Date"/>
      <sheetName val="Staff"/>
      <sheetName val="Quotation"/>
      <sheetName val="영업소실적"/>
      <sheetName val="SH-F"/>
      <sheetName val="02"/>
      <sheetName val=" 03"/>
      <sheetName val="04"/>
      <sheetName val="05"/>
      <sheetName val="06"/>
      <sheetName val="07"/>
      <sheetName val="08"/>
      <sheetName val="09"/>
      <sheetName val="public area"/>
      <sheetName val="electrical"/>
      <sheetName val="THIET DAT"/>
      <sheetName val="DU LIEU"/>
      <sheetName val="CTGT"/>
      <sheetName val="CBD-PRICE"/>
      <sheetName val="TAIKHOAN"/>
      <sheetName val="tra_vat_lieu"/>
      <sheetName val="Ma_TP"/>
      <sheetName val="tuong"/>
      <sheetName val="SUMMARY QUANTITIES"/>
      <sheetName val="chiettinh"/>
      <sheetName val="비교표"/>
      <sheetName val="배수량"/>
      <sheetName val="비탈면보호공수량산출"/>
      <sheetName val="노견단위수량"/>
      <sheetName val="하부철근수량"/>
      <sheetName val="7단가"/>
      <sheetName val="수자재단위당"/>
      <sheetName val="BDATA"/>
      <sheetName val="변압기 및 발전기 용량"/>
      <sheetName val="TH thiet bi"/>
      <sheetName val="TH may TC"/>
      <sheetName val="DM Chi phi"/>
      <sheetName val="Bang khoi luong"/>
      <sheetName val="bridge # 1"/>
      <sheetName val="XNT7"/>
      <sheetName val="Areas"/>
      <sheetName val="149-2"/>
      <sheetName val="BQMPALOC"/>
      <sheetName val="SPL4"/>
      <sheetName val="Analisa"/>
      <sheetName val="BOX-15_x0000__x0000_"/>
      <sheetName val="현장식당(1)"/>
      <sheetName val="매입(1~3월)"/>
      <sheetName val="매입(10~12월)"/>
      <sheetName val="매입(4~6월)"/>
      <sheetName val="매입(7~9월)"/>
      <sheetName val="Macro(뛠Ŕ殺0"/>
      <sheetName val="설계예산서0"/>
      <sheetName val="CONSTRUCTION Cၒ_x0000__x0000__x0000__x0000__x0000_Ā_x0000_"/>
      <sheetName val="VXXXXX"/>
      <sheetName val="공사원가계산서)"/>
      <sheetName val="내역집계표"/>
      <sheetName val="대가집계표"/>
      <sheetName val="대가전기"/>
      <sheetName val="집계표(관급)"/>
      <sheetName val="전기내역관급"/>
      <sheetName val="본부장"/>
      <sheetName val="YES"/>
      <sheetName val="전도품의"/>
      <sheetName val="신푝지1"/>
      <sheetName val="모래기초"/>
      <sheetName val="총괄집계표(통합)"/>
      <sheetName val="일식견적목록표"/>
      <sheetName val="1단계 (2)"/>
      <sheetName val="SANTOGO"/>
      <sheetName val="환경평가"/>
      <sheetName val="인구"/>
      <sheetName val="원"/>
      <sheetName val="교통안전시설집계표"/>
      <sheetName val="안양동교 1안"/>
      <sheetName val="진입로 지세할증산출(다사분기)"/>
      <sheetName val=" FURNACE현설"/>
      <sheetName val="물푸기"/>
      <sheetName val="eq_data"/>
      <sheetName val="실행(1)"/>
      <sheetName val="C3"/>
      <sheetName val="유림콘도"/>
      <sheetName val="인원배치"/>
      <sheetName val="선수금"/>
      <sheetName val="부하자료"/>
      <sheetName val="Manmonth(입력)"/>
      <sheetName val="제잡비계산"/>
      <sheetName val="총괄BOQ"/>
      <sheetName val="16-1"/>
      <sheetName val="인입관수량총괄"/>
      <sheetName val="집 계 표"/>
      <sheetName val="내역서1"/>
      <sheetName val="FORM-0"/>
      <sheetName val="직접경비호표"/>
      <sheetName val="1공구원가계산서"/>
      <sheetName val="지역별수출"/>
      <sheetName val="효동종합건설(주)"/>
      <sheetName val="공사비예"/>
      <sheetName val="6.간접공사비 外"/>
      <sheetName val="RE9604"/>
      <sheetName val="전산output"/>
      <sheetName val="토목-물가"/>
      <sheetName val="산출서양식01"/>
      <sheetName val="일용노무비지급명세서(7)"/>
      <sheetName val="중기가동(7)"/>
      <sheetName val="유입량"/>
      <sheetName val="직접재료비데이타"/>
      <sheetName val="부대단위수량"/>
      <sheetName val="조경수목"/>
      <sheetName val="퇴직공제부금"/>
      <sheetName val="평균노임"/>
      <sheetName val="기본가정"/>
      <sheetName val="기별(종합)"/>
      <sheetName val="참조 (2)"/>
      <sheetName val="1공구 건정토건 토공"/>
      <sheetName val="발주참고#"/>
      <sheetName val="기준단가현황"/>
      <sheetName val="공사개요(입력)"/>
      <sheetName val="마스터"/>
      <sheetName val="출자한도"/>
      <sheetName val="산출근거(수정)"/>
      <sheetName val="간접비 총괄표"/>
      <sheetName val="옥외외등집계표"/>
      <sheetName val="1안"/>
      <sheetName val="2004일위대가"/>
      <sheetName val="일용노임단가"/>
      <sheetName val="기본사항"/>
      <sheetName val="적정심사"/>
      <sheetName val="터파기_x0000__x0000_료"/>
      <sheetName val="수주현황2월"/>
      <sheetName val="출력표-본사"/>
      <sheetName val="기계경비집계"/>
      <sheetName val="단가산출 (2)"/>
      <sheetName val="시중노임"/>
      <sheetName val="설비비3"/>
      <sheetName val="본실행경비"/>
      <sheetName val="건축일"/>
      <sheetName val="수납장배치도"/>
      <sheetName val="울산자금"/>
      <sheetName val="단가결정"/>
      <sheetName val="현관비DATA"/>
      <sheetName val="2@ BOX"/>
      <sheetName val="DB구축"/>
      <sheetName val="BEND LOSS"/>
      <sheetName val="배수관토공"/>
      <sheetName val="맨홀접합조서"/>
      <sheetName val="TOTAL3"/>
      <sheetName val="2월 노임대장"/>
      <sheetName val="물가"/>
      <sheetName val="강관 및 부속"/>
      <sheetName val="피벗테이블데이터분석"/>
      <sheetName val="노원열병합  건축공사기성내역서"/>
      <sheetName val="REACTION(USE평시)"/>
      <sheetName val="REACTION(USD지진시)"/>
      <sheetName val="배력철근"/>
      <sheetName val="설계서"/>
      <sheetName val="소분류목록"/>
      <sheetName val="Output"/>
      <sheetName val="기자재수량"/>
      <sheetName val="선금급신청서"/>
      <sheetName val="설비비4"/>
      <sheetName val="타공종포장공제집계표"/>
      <sheetName val="공틀공사"/>
      <sheetName val="개소별수량산출"/>
      <sheetName val="5-3.지급자재수불현황"/>
      <sheetName val="유리"/>
      <sheetName val="공통"/>
      <sheetName val="옹벽1"/>
      <sheetName val="건축(을)"/>
      <sheetName val="인건-측정"/>
      <sheetName val="설치자재"/>
      <sheetName val="단중"/>
      <sheetName val="산근1"/>
      <sheetName val="노무"/>
      <sheetName val="L집(수평부)"/>
      <sheetName val="L집(성토부)"/>
      <sheetName val="STAND20"/>
      <sheetName val="기성부분액내역서(국고)"/>
      <sheetName val="관로수량총괄집계표"/>
      <sheetName val="준공정산보고서"/>
      <sheetName val="부대"/>
      <sheetName val="도로구조물산근"/>
      <sheetName val="우수맨홀 수량 및 높이 집계"/>
      <sheetName val="우수맨홀(차도측2호)"/>
      <sheetName val="특2호각형맨홀(차도측)"/>
      <sheetName val="특3호각형맨홀(차도측)"/>
      <sheetName val="특4호각형맨홀(차도측)"/>
      <sheetName val="우수맨홀(보도측2호)"/>
      <sheetName val="특2호각형맨홀(보도측)"/>
      <sheetName val="암거맨홀(차도측)"/>
      <sheetName val="터파기"/>
      <sheetName val="FPA"/>
      <sheetName val="순수개발"/>
      <sheetName val="L_RPTB~1"/>
      <sheetName val="PIPE(UG)내역"/>
      <sheetName val="견적기준"/>
      <sheetName val="E총"/>
      <sheetName val="SKETCH"/>
      <sheetName val="내역(중앙)"/>
      <sheetName val="내역(창신)"/>
      <sheetName val="건축토목내역"/>
      <sheetName val="단가산출_(2)"/>
      <sheetName val="A1"/>
      <sheetName val="터파기_x005f_x0000__x005f_x0000_료"/>
      <sheetName val="보완토적"/>
      <sheetName val="설계변경내역서"/>
      <sheetName val="공사내역(2003년)"/>
      <sheetName val="CCS"/>
      <sheetName val="역T형옹벽단위수량"/>
      <sheetName val="변수2"/>
      <sheetName val="저항"/>
      <sheetName val="슬래브(PF)(하류)"/>
      <sheetName val="11"/>
      <sheetName val="상수구조화편집부표"/>
      <sheetName val="FB25JN"/>
      <sheetName val="본공사"/>
      <sheetName val="수로교"/>
      <sheetName val="날개수량1.5"/>
      <sheetName val="지수적용공사비내역서"/>
      <sheetName val="가설공사"/>
      <sheetName val="심사"/>
      <sheetName val="일반수량산출"/>
      <sheetName val="c_balju"/>
      <sheetName val="직접비"/>
      <sheetName val="노임목록"/>
      <sheetName val="산업"/>
      <sheetName val="Lr"/>
      <sheetName val="건설기계"/>
      <sheetName val="결재란"/>
      <sheetName val="2.견적조건 정보"/>
      <sheetName val="공간분류체계"/>
      <sheetName val="부위별항목"/>
      <sheetName val="영향요인"/>
      <sheetName val="동일대내"/>
      <sheetName val="1호맨홀수량산출"/>
      <sheetName val="2.재료비"/>
      <sheetName val="12.보오링"/>
      <sheetName val="18.공내수압탄성자연"/>
      <sheetName val="NN"/>
      <sheetName val="매인"/>
      <sheetName val="97(US,EP,PCT,KR)"/>
      <sheetName val="공사요율"/>
      <sheetName val="PIER토수량"/>
      <sheetName val="궤도연장(종합)"/>
      <sheetName val="궤도연장(2단계)"/>
      <sheetName val="궤도연장(1단계)"/>
      <sheetName val="궤도부설연장1단계"/>
      <sheetName val="슬래브일반(포항방향 B=12.3m)"/>
      <sheetName val="설계공통자료입력"/>
      <sheetName val="품셈표"/>
      <sheetName val="공사개별자료입력"/>
      <sheetName val="공사비예산서"/>
      <sheetName val="표준내역"/>
      <sheetName val="작업 반복"/>
      <sheetName val="적용단가표"/>
      <sheetName val="변경당시노임단가표"/>
      <sheetName val="나.설계조건"/>
      <sheetName val="1. 총괄 집계표"/>
      <sheetName val="본선 토공 분배표"/>
      <sheetName val="기계설비품셈"/>
      <sheetName val="5.장비(안)"/>
      <sheetName val="기시공토적"/>
      <sheetName val="공사품旼ã"/>
      <sheetName val="표지(예시)"/>
      <sheetName val="입찰품의서"/>
      <sheetName val="점검총괄"/>
      <sheetName val="2012노임단가"/>
      <sheetName val="스파이더산출근거"/>
      <sheetName val="본댐설계"/>
      <sheetName val="SCHE"/>
      <sheetName val="PILE"/>
      <sheetName val="전국현황"/>
      <sheetName val="산출"/>
      <sheetName val="(참고)지급수수료"/>
      <sheetName val="견적가"/>
      <sheetName val="공정자료2"/>
      <sheetName val="HC-04"/>
      <sheetName val="2_단면_x0000__x0000_"/>
      <sheetName val="공조기휀"/>
      <sheetName val="1.취수장"/>
      <sheetName val="3.2주형지지보"/>
      <sheetName val="상수도내역서"/>
      <sheetName val="공사내역서"/>
      <sheetName val="LOPCALC"/>
      <sheetName val="자동제어"/>
      <sheetName val="스톱로그내역"/>
      <sheetName val="품목납기"/>
      <sheetName val="신평리 권리자명부"/>
      <sheetName val="구분자"/>
      <sheetName val="현장청취복명서"/>
      <sheetName val="도면명"/>
      <sheetName val="상부"/>
      <sheetName val="설계총괄표"/>
      <sheetName val="콘크스"/>
      <sheetName val="취수탑"/>
      <sheetName val="협력업체기성(첨부)"/>
      <sheetName val="내역단위"/>
      <sheetName val="공종목록표"/>
      <sheetName val="개비온집계"/>
      <sheetName val="개비온 단위"/>
      <sheetName val="변수값"/>
      <sheetName val="0"/>
      <sheetName val="맨홀공수량집계"/>
      <sheetName val="1호맨홀수량집계"/>
      <sheetName val="2호맨홀수량집계"/>
      <sheetName val="3호맨홀수량집계"/>
      <sheetName val="맨홀뚜껑단위수량"/>
      <sheetName val="연속벽¼_x0000_"/>
      <sheetName val="주소"/>
      <sheetName val="U형개거"/>
      <sheetName val="일용직내역"/>
      <sheetName val="100만평"/>
      <sheetName val="현황판"/>
      <sheetName val="상하차비용(기계상차)"/>
      <sheetName val="수간보호"/>
      <sheetName val="운반비"/>
      <sheetName val="1SPAN"/>
      <sheetName val="2006계약"/>
      <sheetName val="(당氐⿾_x0000__x0000_"/>
      <sheetName val="(당_x0000__x0000__x0005__x0000_"/>
      <sheetName val="노임산출서"/>
      <sheetName val="돈암사업"/>
      <sheetName val="單價表단가표"/>
      <sheetName val="FAB消防报警"/>
      <sheetName val="FAB计算式"/>
      <sheetName val="코드명"/>
      <sheetName val="구조물단위표"/>
      <sheetName val="관포설품"/>
      <sheetName val="동원단위"/>
      <sheetName val="구조물절단규격"/>
      <sheetName val="거리별운반단가"/>
      <sheetName val="토량산출서"/>
      <sheetName val="차도,토사-150"/>
      <sheetName val="차도,풍화암-150"/>
      <sheetName val="차도,발파암-150"/>
      <sheetName val="차도,토사-200"/>
      <sheetName val="차도,풍화암-200"/>
      <sheetName val="차도,발파암-200"/>
      <sheetName val="차도,토사-300"/>
      <sheetName val="차도,풍화암-300"/>
      <sheetName val="차도,발파암-300"/>
      <sheetName val="차도,토사-400"/>
      <sheetName val="차도,풍화암-400"/>
      <sheetName val="차도,발파암-400"/>
      <sheetName val="상수관연장조서"/>
      <sheetName val="포장자재총집계"/>
      <sheetName val="포장수량총괄표"/>
      <sheetName val="아스콘포장(대로1류)"/>
      <sheetName val="아스콘포장(대로2.3류)"/>
      <sheetName val="아스콘포장(중2,3로)"/>
      <sheetName val="아스콘포장(소로)"/>
      <sheetName val="L형 측구하부(대1류)"/>
      <sheetName val="L형 측구하부(대2.3류)"/>
      <sheetName val="L형 측구하부(중1.2.3류)"/>
      <sheetName val="L형 측구하부(소로)"/>
      <sheetName val="투수콘포장"/>
      <sheetName val="고압브럭포장"/>
      <sheetName val="유도.점자블럭포장"/>
      <sheetName val="L형측구및경계석단위수량"/>
      <sheetName val="L형측구.대로(우수받이부)"/>
      <sheetName val="L형측구.중로(우수받이부)"/>
      <sheetName val="L형측구소로(우수받이부)"/>
      <sheetName val="자전거도로경계석"/>
      <sheetName val="대지경계블럭"/>
      <sheetName val="가로수분단위수량"/>
      <sheetName val="표지판재료단위수량"/>
      <sheetName val="과속방지턱단위수량"/>
      <sheetName val="볼라드단위수량"/>
      <sheetName val="면적입력"/>
      <sheetName val="D-3109"/>
      <sheetName val="내역서 (변경단가)"/>
      <sheetName val="상촌2교-일반수량집계"/>
      <sheetName val="포장절단"/>
      <sheetName val="5.2.6~7공사요율"/>
      <sheetName val="일 위 대 가 표"/>
      <sheetName val="고상실행"/>
      <sheetName val="1袼ࣉ"/>
      <sheetName val="시멘,골재"/>
      <sheetName val="콘크집계"/>
      <sheetName val="낙차공"/>
      <sheetName val="자재집계1"/>
      <sheetName val="측구날개벽"/>
      <sheetName val="설계서(7)"/>
      <sheetName val="참고"/>
      <sheetName val="배수공 내역서 적용수량"/>
      <sheetName val="조_x0000__x0000__x0005_"/>
      <sheetName val="노무비지급명세"/>
      <sheetName val="기성내역서"/>
      <sheetName val="13후반노무비"/>
      <sheetName val="1.설계기준 "/>
      <sheetName val="설계예산서(2_소천우회토목)"/>
      <sheetName val="광장"/>
      <sheetName val="부대집계"/>
      <sheetName val="공정율"/>
      <sheetName val="90.0_x0000_"/>
      <sheetName val="지지력"/>
      <sheetName val="매출현황"/>
      <sheetName val="입력정보"/>
      <sheetName val="일위집계"/>
      <sheetName val="퇴직금(울산천상)"/>
      <sheetName val="정산"/>
      <sheetName val="5"/>
      <sheetName val="선그높이산정"/>
      <sheetName val="공제단위수량"/>
      <sheetName val="공제"/>
      <sheetName val="날개1.5"/>
      <sheetName val="날개토공1.5"/>
      <sheetName val="접속도로물량"/>
      <sheetName val="sum1 (2)"/>
      <sheetName val="도급양식"/>
      <sheetName val="국소별공정"/>
      <sheetName val="5월급여"/>
      <sheetName val="공종구간"/>
      <sheetName val="ELEC"/>
      <sheetName val="관로조서"/>
      <sheetName val="기계공사"/>
      <sheetName val="공사비총"/>
      <sheetName val="내역서2안"/>
      <sheetName val="패널"/>
      <sheetName val="대비2"/>
      <sheetName val="2000년 공정표"/>
      <sheetName val="대가목록"/>
      <sheetName val="01AC"/>
      <sheetName val="도로포장면적산출(1)"/>
      <sheetName val="우수관연장및터파기고"/>
      <sheetName val="단가비교"/>
      <sheetName val="할증 "/>
      <sheetName val="구조물토적"/>
      <sheetName val="중간부"/>
      <sheetName val="CAL(1)."/>
      <sheetName val="견적산출"/>
      <sheetName val="3.1.1 마루높이결정"/>
      <sheetName val="콘_재료분리(1)"/>
      <sheetName val="내역-1"/>
      <sheetName val="샤워실위생"/>
      <sheetName val="교량전기"/>
      <sheetName val="기성 (2)"/>
      <sheetName val="실행갑지"/>
      <sheetName val="총(신설)"/>
      <sheetName val="노임단가자료"/>
      <sheetName val="정보요약"/>
      <sheetName val="BEND_LOSS"/>
      <sheetName val="2월_노임대장"/>
      <sheetName val="강관_및_부속"/>
      <sheetName val="2@_BOX"/>
      <sheetName val="현장"/>
      <sheetName val="3.바닥판  "/>
      <sheetName val="C_DATA"/>
      <sheetName val="작업내용 (종합)"/>
      <sheetName val="작업사항(추가)"/>
      <sheetName val="계좌입금의뢰서(서암)"/>
      <sheetName val="청구집계"/>
      <sheetName val="계좌입금의뢰서(장안)"/>
      <sheetName val="계좌입금의뢰서(장안) (출력용)"/>
      <sheetName val="1.노무비(직영)-서암"/>
      <sheetName val="1.노무비(직영)-장안"/>
      <sheetName val="노무대장(직영)-서암"/>
      <sheetName val="노무대장(직영)-장안"/>
      <sheetName val="노무대장(직영)-장안(직영)"/>
      <sheetName val="노무대장(직영)-장안(제초)"/>
      <sheetName val="노무대장(직영)-장안(예초)"/>
      <sheetName val="1.노무비 (대영)"/>
      <sheetName val="노무대장(대영)"/>
      <sheetName val="노무대장(직영)-장안 (직영)"/>
      <sheetName val="노무대장(직영)-장안 (제초 및 잔디)"/>
      <sheetName val="노무대장(직영)-장안 (예초)"/>
      <sheetName val="재료비(세부) "/>
      <sheetName val="3.외주비"/>
      <sheetName val="4.운반비"/>
      <sheetName val="4-1운반비기안문서"/>
      <sheetName val="4-2주간운반비"/>
      <sheetName val="5.장비비"/>
      <sheetName val="장비사용내역"/>
      <sheetName val="6.현장관리비"/>
      <sheetName val="전도금사용내역서"/>
      <sheetName val="7.안전관리비"/>
      <sheetName val="7-1안전관리비상세"/>
      <sheetName val="8.간접노무비"/>
      <sheetName val="9.기타경비"/>
      <sheetName val="기타경비 세부"/>
      <sheetName val="적용건축"/>
      <sheetName val="단가입력"/>
      <sheetName val="최종전사PL"/>
      <sheetName val="접속도로집계"/>
      <sheetName val="터파기??료"/>
      <sheetName val="CAL."/>
      <sheetName val="설비비2"/>
      <sheetName val="설비비5"/>
      <sheetName val="설비비6"/>
      <sheetName val="설비비1"/>
      <sheetName val="가로등위치"/>
      <sheetName val="공제량"/>
      <sheetName val="지장물건일위대가"/>
      <sheetName val="자판실행"/>
      <sheetName val="중기가격"/>
      <sheetName val="산근cad용"/>
      <sheetName val="산근(계단)"/>
      <sheetName val="건설기계가격"/>
      <sheetName val="보고서"/>
      <sheetName val="산림조사비"/>
      <sheetName val="요율표"/>
      <sheetName val="C1.공사개요"/>
      <sheetName val="A1.스케쥴"/>
      <sheetName val="신당동집계표"/>
      <sheetName val="신고분기설정참고"/>
      <sheetName val="거래처자료등록"/>
      <sheetName val="폐기물발생(처리)내역-1"/>
      <sheetName val="빙축열"/>
      <sheetName val="현장관리비 산출내역"/>
      <sheetName val="1.일위대가"/>
      <sheetName val="부안일위"/>
      <sheetName val="5정거장"/>
      <sheetName val="1-3길내기"/>
      <sheetName val="일반전기(가설, 접지)"/>
      <sheetName val="99년하반기"/>
      <sheetName val="4.1DNR기계(공법)"/>
      <sheetName val="설원"/>
      <sheetName val="TEST1"/>
      <sheetName val="노임 단가"/>
      <sheetName val="집행내역(190403)"/>
      <sheetName val="데이터"/>
      <sheetName val="사업총괄"/>
      <sheetName val="전등설비"/>
      <sheetName val="Macro"/>
      <sheetName val="LD TX"/>
      <sheetName val="설명"/>
      <sheetName val="블록(들고리8개)"/>
      <sheetName val="부가세별도"/>
      <sheetName val="업체자료"/>
      <sheetName val="CUB结算式"/>
      <sheetName val="FAB B01计算式"/>
      <sheetName val="室外计算式"/>
      <sheetName val="5.물량산출서"/>
      <sheetName val="절단표"/>
      <sheetName val="신공항A-9(원가수정)"/>
      <sheetName val="산출근거(9)"/>
      <sheetName val="입력용"/>
      <sheetName val="입력용집계"/>
      <sheetName val="UNIT"/>
      <sheetName val="junggi"/>
      <sheetName val="수목조서 "/>
      <sheetName val="제수,우수,통신,소화전물건조서"/>
      <sheetName val="한전주물건조서"/>
      <sheetName val="지장물적용유무"/>
      <sheetName val="RDP2"/>
      <sheetName val="12CGOU"/>
      <sheetName val="SP-B1"/>
      <sheetName val="base"/>
      <sheetName val="계획금액"/>
      <sheetName val="분석대장"/>
      <sheetName val="단가조사표(노무비)"/>
      <sheetName val="제수변수량"/>
      <sheetName val="제조원가"/>
      <sheetName val="설비원가"/>
      <sheetName val="L_RPTB03_01"/>
      <sheetName val="A5"/>
      <sheetName val="주안3차A-A"/>
      <sheetName val="1호맨홀가감수량"/>
      <sheetName val="______PROJECT_hb___1__________2"/>
      <sheetName val="환율및유가"/>
      <sheetName val="총괄철근집계표"/>
      <sheetName val="현장관리"/>
      <sheetName val="앉음벽 (2)"/>
      <sheetName val="전체_1설계"/>
      <sheetName val="공정증감대ㅈ표"/>
      <sheetName val="단면계수(상부)"/>
      <sheetName val="휴지통"/>
      <sheetName val="도담구내 개소별 명세"/>
      <sheetName val="산출서"/>
      <sheetName val="인버트단위수량"/>
      <sheetName val="2.1  노무비 평균단가산출"/>
      <sheetName val="Resource2"/>
      <sheetName val="표준건축비"/>
      <sheetName val="작성방법"/>
      <sheetName val="4.전기"/>
      <sheetName val="적점"/>
      <sheetName val="반중력식옹벽"/>
      <sheetName val="98지급계획"/>
      <sheetName val="기성갑지"/>
      <sheetName val="동물이동통로"/>
      <sheetName val="토사절취"/>
      <sheetName val="우석문틀"/>
      <sheetName val="접속도수량집계표"/>
      <sheetName val="YOEMAGUM"/>
      <sheetName val="TYPE-1"/>
      <sheetName val="치수표"/>
      <sheetName val="포장공집"/>
      <sheetName val="AS복구"/>
      <sheetName val="중기터파기"/>
      <sheetName val="중기상차"/>
      <sheetName val="편입토지조서"/>
      <sheetName val="내역(가지)"/>
      <sheetName val="수량산출서집계"/>
      <sheetName val="우수받이수량산출"/>
      <sheetName val="집수정수량집계"/>
      <sheetName val="각종측구수량집계"/>
      <sheetName val="옹벽철근집계표"/>
      <sheetName val="5. 현장관리비(new) "/>
      <sheetName val="1-3.조건,바닥판 "/>
      <sheetName val="재적표"/>
      <sheetName val="401"/>
      <sheetName val="NAI"/>
      <sheetName val="공사비총괄"/>
      <sheetName val="상반기손익차2총괄"/>
      <sheetName val="95년12월말"/>
      <sheetName val="DA"/>
      <sheetName val="관로토공(보통암)"/>
      <sheetName val="관로토공(연암)"/>
      <sheetName val="관로토공(토사)"/>
      <sheetName val="관로토공(풍화암)"/>
      <sheetName val="리핑암"/>
      <sheetName val="보통암"/>
      <sheetName val="연결관조서 (토사)"/>
      <sheetName val="연결관수량"/>
      <sheetName val="연암"/>
      <sheetName val="우수받이BOX토공"/>
      <sheetName val="우수받이관로토공"/>
      <sheetName val="토사"/>
      <sheetName val="집수정단면도 (2)"/>
      <sheetName val="도색집계"/>
      <sheetName val="접속도로1"/>
      <sheetName val="수량산출목록표"/>
      <sheetName val="공종별예산조서"/>
      <sheetName val="만년달력"/>
      <sheetName val="퍼스트"/>
      <sheetName val="예산총괄"/>
      <sheetName val="0303"/>
      <sheetName val="spc 배관견적"/>
      <sheetName val="앉음벽_(2)"/>
      <sheetName val="도담구내_개소별_명세"/>
      <sheetName val="2_1__노무비_평균단가산출"/>
      <sheetName val="4_전기"/>
      <sheetName val="P_M_별"/>
      <sheetName val="설산1_나"/>
      <sheetName val="5__현장관리비(new)_"/>
      <sheetName val="1_취수장"/>
      <sheetName val="1-3_조건,바닥판_"/>
      <sheetName val="안양동교_1안"/>
      <sheetName val="연결관조서_(토사)"/>
      <sheetName val="관리비비계상"/>
      <sheetName val="예가내역서"/>
      <sheetName val="검토"/>
      <sheetName val="LG제품"/>
      <sheetName val="NEYOK"/>
      <sheetName val="Macr"/>
      <sheetName val="Macro("/>
      <sheetName val="Div2"/>
      <sheetName val="장문교(대전)"/>
      <sheetName val="음_x0000__x0000_Ԁ"/>
      <sheetName val="2. 공원䠀愇"/>
      <sheetName val="2. 공원䠀꜇"/>
      <sheetName val="2. 공원㄂䉆"/>
      <sheetName val="단면_(_x0000__x0000_"/>
      <sheetName val="Dircet Buried"/>
      <sheetName val="Duct Bank"/>
      <sheetName val="갑지 "/>
      <sheetName val="공사내역서(을)실¬"/>
      <sheetName val="재정비내역"/>
      <sheetName val="지적고시내역"/>
      <sheetName val="판정1교토공"/>
      <sheetName val="간노_콘"/>
      <sheetName val="수목데이타 "/>
      <sheetName val="원가총괄"/>
      <sheetName val="A LINE"/>
      <sheetName val="현장조사"/>
      <sheetName val="총괄집계표"/>
      <sheetName val="콘크리트 블록 유형별 수량"/>
      <sheetName val="최灩辏ퟝ"/>
      <sheetName val="광양 3기 유입수"/>
      <sheetName val="P4-3"/>
      <sheetName val="가설배관"/>
      <sheetName val="호표"/>
      <sheetName val="공사비 내역 (가)"/>
      <sheetName val="kimre scrubber"/>
      <sheetName val="GRDBS"/>
      <sheetName val="제작사양"/>
      <sheetName val="_____________hb___1___________3"/>
      <sheetName val="맨홀조서"/>
      <sheetName val="방송(체육관)"/>
      <sheetName val="내역서_6"/>
      <sheetName val="DATA_입력란5"/>
      <sheetName val="1_설계조건6"/>
      <sheetName val="8_PILE__(돌출)5"/>
      <sheetName val="1_설계기준5"/>
      <sheetName val="단면_(2)5"/>
      <sheetName val="2_입력sheet5"/>
      <sheetName val="설명서_5"/>
      <sheetName val="(3_품질관리_시험_총괄표)5"/>
      <sheetName val="별표_4"/>
      <sheetName val="플랜트_설치5"/>
      <sheetName val="6PILE__(돌출)6"/>
      <sheetName val="2_가정단면5"/>
      <sheetName val="3BL공동구_수량6"/>
      <sheetName val="crude_SLAB_RE-bar5"/>
      <sheetName val="CRUDE_RE-bar5"/>
      <sheetName val="토공(우물통,기타)_4"/>
      <sheetName val="COMPARISON_TABLE5"/>
      <sheetName val="plan&amp;section_of_foundation5"/>
      <sheetName val="pile_bearing_capa_&amp;_arrenge5"/>
      <sheetName val="working_load_at_the_btm_ft_5"/>
      <sheetName val="stability_check5"/>
      <sheetName val="design_criteria5"/>
      <sheetName val="design_load5"/>
      <sheetName val="신규_수주분(사용자_정의)5"/>
      <sheetName val="1_2_1_마루높이결정5"/>
      <sheetName val="3_하중산정4_지지력5"/>
      <sheetName val="표지_(2)5"/>
      <sheetName val="1_우편집중내역서5"/>
      <sheetName val="Pier_35"/>
      <sheetName val="7_PILE__(돌출)5"/>
      <sheetName val="BOX(1_5X1_5)4"/>
      <sheetName val="전선_및_전선관3"/>
      <sheetName val="표__지4"/>
      <sheetName val="Sheet1_(2)4"/>
      <sheetName val="PAD_TR보호대기초5"/>
      <sheetName val="단면__2_3"/>
      <sheetName val="ENE-CAL_13"/>
      <sheetName val="ITB_COST3"/>
      <sheetName val="2011_(4)3"/>
      <sheetName val="_냉각수펌프3"/>
      <sheetName val="1062-X방향_3"/>
      <sheetName val="설계기준_및_하중계산3"/>
      <sheetName val="11_자재단가3"/>
      <sheetName val="역T형(H=6_0)_(2)3"/>
      <sheetName val="각사별공사비분개_3"/>
      <sheetName val="1__설계조건_2_단면가정_3__하중계산3"/>
      <sheetName val="전차선로_물량표3"/>
      <sheetName val="단가_및_재료비3"/>
      <sheetName val="Dike_for_49T03_&amp;_49T043"/>
      <sheetName val="Dike_for_49T02,_05~07,_19_(1)3"/>
      <sheetName val="CONSTRUCTION_COMPONENT3"/>
      <sheetName val="접속_SLAB,BRACKET_설계3"/>
      <sheetName val="수량산출서_갑지3"/>
      <sheetName val="추정공사비_산출내역1_xlsx3"/>
      <sheetName val="준검_내역서5"/>
      <sheetName val="견적대비_견적서3"/>
      <sheetName val="공정별_수량산출서3"/>
      <sheetName val="자재_및_폐기물견적(2008)3"/>
      <sheetName val="IMPEADENCE_MAP_취수장3"/>
      <sheetName val="화단_철거3"/>
      <sheetName val="1호-아(오)0_43"/>
      <sheetName val="cable_data13"/>
      <sheetName val="빌딩_안내2"/>
      <sheetName val="자재_집계표2"/>
      <sheetName val="wk_prgs3"/>
      <sheetName val="2__공원조도2"/>
      <sheetName val="CABLE_SIZE-33"/>
      <sheetName val="현장별계약현황('98_10_31)2"/>
      <sheetName val="일위대가_호표_(계약)3"/>
      <sheetName val="BSD_(2)3"/>
      <sheetName val="Chiet_tinh_dz354"/>
      <sheetName val="TABLE_DB4"/>
      <sheetName val="쌍용_data_base4"/>
      <sheetName val="2_2_S-Curve5"/>
      <sheetName val="돌담교_상부수량6"/>
      <sheetName val="8_석축단위(H=1_5M)5"/>
      <sheetName val="배수내역_(2)3"/>
      <sheetName val="3_공통공사대비5"/>
      <sheetName val="방배동내역_(총괄)5"/>
      <sheetName val="N10(미지급)_3"/>
      <sheetName val="code_HTT_Thap4"/>
      <sheetName val="dongia_(2)4"/>
      <sheetName val="RAB_AR&amp;STR4"/>
      <sheetName val="Civil__Sub-Station_14"/>
      <sheetName val="실행내역서_4"/>
      <sheetName val="Thuc_thanh4"/>
      <sheetName val="D&amp;W_def_4"/>
      <sheetName val="4-Lane_bridge4"/>
      <sheetName val="2_단면가정_2"/>
      <sheetName val="암거_제원표2"/>
      <sheetName val="중간간지_(2)2"/>
      <sheetName val="6_단면검토2"/>
      <sheetName val="t-h_HA_THE4"/>
      <sheetName val="THPDMoi__(2)4"/>
      <sheetName val="DON_GIA4"/>
      <sheetName val="CHITIET_VL-NC-TT_-1p4"/>
      <sheetName val="TONG_HOP_VL-NC_TT4"/>
      <sheetName val="TH_XL4"/>
      <sheetName val="CHITIET_VL-NC-TT-3p4"/>
      <sheetName val="KPVC-BD_4"/>
      <sheetName val="CHITIET_VL-NC4"/>
      <sheetName val="B3A_-_TOWER_A4"/>
      <sheetName val="Coax_Designer4"/>
      <sheetName val="tong_du_toan4"/>
      <sheetName val="MAIN_GATE_HOUSE4"/>
      <sheetName val="Bảng_mã_VT4"/>
      <sheetName val="7월천안현장_집계표2"/>
      <sheetName val="장비_자재2"/>
      <sheetName val="_노무집계2"/>
      <sheetName val="3련_BOX2"/>
      <sheetName val="Bảng_KLHT3"/>
      <sheetName val="RC_WORK3"/>
      <sheetName val="Bảng_Phân_Tích_Chi_Phí4"/>
      <sheetName val="PAINT_(2)1"/>
      <sheetName val="내역서1999_8최종3"/>
      <sheetName val="내역서_제출2"/>
      <sheetName val="환경기계공정표_(3)3"/>
      <sheetName val="배관배선_단가조사3"/>
      <sheetName val="96보완계획7_123"/>
      <sheetName val="9_정착구_보강3"/>
      <sheetName val="단가_(2)3"/>
      <sheetName val="배수공_시멘트_및_골재량_산출3"/>
      <sheetName val="1차_내역서3"/>
      <sheetName val="Sheet2_(2)3"/>
      <sheetName val="건축내역서_(경제상무실)3"/>
      <sheetName val="1_수인터널3"/>
      <sheetName val="97년_추정2"/>
      <sheetName val="내역_ver1_02"/>
      <sheetName val="단양_00_아파트-세부내역2"/>
      <sheetName val="RAMP_단면(R2)2"/>
      <sheetName val="토목내역서_(도급단가)2"/>
      <sheetName val="목차_2"/>
      <sheetName val="4_2유효폭의_계산2"/>
      <sheetName val="세골재__T2_변경_현황2"/>
      <sheetName val="0_단가2"/>
      <sheetName val="토공_total2"/>
      <sheetName val="4__주형설계2"/>
      <sheetName val="2_단면가정2"/>
      <sheetName val="노무비_근거2"/>
      <sheetName val="_총괄표2"/>
      <sheetName val="바닥판의_설계2"/>
      <sheetName val="1_폐기물집계표1"/>
      <sheetName val="DI_전처리_단가집(GP1_실적가)1"/>
      <sheetName val="Gia_VL,NC,M4"/>
      <sheetName val="Phan_chung4"/>
      <sheetName val="Tom_tat_gia_du_thau4"/>
      <sheetName val="Currency_Rate3"/>
      <sheetName val="Tien_do_TV4"/>
      <sheetName val="CP_Du_phong4"/>
      <sheetName val="THCP_Lap_dat4"/>
      <sheetName val="THCP_xay_dung4"/>
      <sheetName val="Tong_hop_kinh_phi4"/>
      <sheetName val="Cash_Flow_bulanan3"/>
      <sheetName val="Bao_cao_hao_hut_VT-TR4"/>
      <sheetName val="I_설계조건1"/>
      <sheetName val="간지03_)1"/>
      <sheetName val="1_레미콘1"/>
      <sheetName val="2_관집계1"/>
      <sheetName val="3_제수밸브1"/>
      <sheetName val="4_각종주철제1"/>
      <sheetName val="5_유량계1"/>
      <sheetName val="1_골재집계1"/>
      <sheetName val="2_철근집계1"/>
      <sheetName val="3_관세척1"/>
      <sheetName val="4_분기관1"/>
      <sheetName val="상수공_토공집계표1"/>
      <sheetName val="Project_Brief1"/>
      <sheetName val="Total_Progress_(2)1"/>
      <sheetName val="S_중기사용료1"/>
      <sheetName val="¥_3"/>
      <sheetName val="DTTC_CHI_TIET3"/>
      <sheetName val="Du_toan3"/>
      <sheetName val="TEN_CONG_TRINH3"/>
      <sheetName val="MTO_REV_2(ARMOR)3"/>
      <sheetName val="Unit_price2"/>
      <sheetName val="Define_finishing2"/>
      <sheetName val="Tiến_độ__Rev1_(phói_hợp)2"/>
      <sheetName val="Level_22"/>
      <sheetName val="Cst_Pkg-Eden2"/>
      <sheetName val="Chi_tiết_cấu_tạo_giá_(2)2"/>
      <sheetName val="SUMMARY-HT_Thô2"/>
      <sheetName val="02_PHAT_SINH_TANG2"/>
      <sheetName val="TONG_HOP_XIN_GIA2"/>
      <sheetName val="1_R18_BF2"/>
      <sheetName val="6_External_works-R182"/>
      <sheetName val="bill_3_-_D_Wall2"/>
      <sheetName val="KHOI_LUONG15-42"/>
      <sheetName val="Tro_giup2"/>
      <sheetName val="Villa_A2"/>
      <sheetName val="Div26_-_Elect2"/>
      <sheetName val="Xuly_Data2"/>
      <sheetName val="CSVC_LD2"/>
      <sheetName val="PROJECT_BRIEF(EX_NEW)3"/>
      <sheetName val="Site_Expenses3"/>
      <sheetName val="1000_DB구축_부표3"/>
      <sheetName val="상_부3"/>
      <sheetName val="Cover_(x)2"/>
      <sheetName val="Cor_Apt2"/>
      <sheetName val="Isolasi_Luar_Dalam2"/>
      <sheetName val="Isolasi_Luar2"/>
      <sheetName val="dtct_cong2"/>
      <sheetName val="Buy_vs__Lease_Car2"/>
      <sheetName val="2_1_受電設備棟2"/>
      <sheetName val="2_2_受・防火水槽2"/>
      <sheetName val="2_3_排水処理設備棟2"/>
      <sheetName val="2_4_倉庫棟2"/>
      <sheetName val="2_5_守衛棟2"/>
      <sheetName val="Cash_Flow2"/>
      <sheetName val="Xunit_(단위환산)3"/>
      <sheetName val="고객사_관리_코드3"/>
      <sheetName val="HE_SO_DIEU_CHINH2"/>
      <sheetName val="흙막이_개산견적1"/>
      <sheetName val="Ⅴ-2_공종별내역2"/>
      <sheetName val="2_건축1"/>
      <sheetName val="static_cal1"/>
      <sheetName val="1_일반수량산출근거1"/>
      <sheetName val="97_사업추정(WEKI)1"/>
      <sheetName val="Financial_impact1"/>
      <sheetName val="Sch7a_(토요일)1"/>
      <sheetName val="남양시작동자105노65기1_3화1_21"/>
      <sheetName val="TRE_TABLE1"/>
      <sheetName val="Cấu_tạo_giá2"/>
      <sheetName val="tra_VL2"/>
      <sheetName val="8_3해석단면_선정2"/>
      <sheetName val="Cover_page2"/>
      <sheetName val="Budget_Code2"/>
      <sheetName val="Phu_cap2"/>
      <sheetName val="Project_Data2"/>
      <sheetName val="EE_(3)2"/>
      <sheetName val="Add_cost082"/>
      <sheetName val="SCOPE_OF_WORK2"/>
      <sheetName val="PH_52"/>
      <sheetName val="Dầm_-4_7m2"/>
      <sheetName val="Thiet_Bi2"/>
      <sheetName val="Phan_tich2"/>
      <sheetName val="TH_Vat_tu2"/>
      <sheetName val="TH_Kinh_phi2"/>
      <sheetName val="TH_MTC2"/>
      <sheetName val="TH_N_Cong2"/>
      <sheetName val="Bang_KL2"/>
      <sheetName val="KLDT_DIEN2"/>
      <sheetName val="PTVT_DIEN2"/>
      <sheetName val="Daf_12"/>
      <sheetName val="전체_내역서(통합)"/>
      <sheetName val="배수관접합및부설__"/>
      <sheetName val="표_지"/>
      <sheetName val="INTRO_(X)"/>
      <sheetName val="TOWER_12TON"/>
      <sheetName val="JIB_CRANE,HOIST"/>
      <sheetName val="TOWER_10TON"/>
      <sheetName val="조도계산서_(도서)"/>
      <sheetName val="H-P＋토류판_수량산출"/>
      <sheetName val="총괄H-P수량집계_"/>
      <sheetName val="7__교좌받침부검토(연속교)"/>
      <sheetName val="화재_탐지_설비"/>
      <sheetName val="ESTI_1"/>
      <sheetName val="Internal_Finish"/>
      <sheetName val="EARTH_WORKS"/>
      <sheetName val="Bill_No_01"/>
      <sheetName val="Breakdown_(B)"/>
      <sheetName val="DeluxeVilla_4"/>
      <sheetName val="공사원가_(3)"/>
      <sheetName val="Summary_-_Budget"/>
      <sheetName val="Khoi_luong"/>
      <sheetName val="Drop_Down"/>
      <sheetName val="1_사유서"/>
      <sheetName val="Project,_methods_&amp;_costs"/>
      <sheetName val="Ind__costs__&amp;_Closing"/>
      <sheetName val="Main_risks"/>
      <sheetName val="HỆ_SỐ"/>
      <sheetName val="Var_"/>
      <sheetName val="07_HT_PODIUM"/>
      <sheetName val="04_KC_HAM"/>
      <sheetName val="05_KC_THAN_OK"/>
      <sheetName val="08_HT_CANHO_OK"/>
      <sheetName val="Động_cơ"/>
      <sheetName val="2__2공구"/>
      <sheetName val="광통신_견적내역서1"/>
      <sheetName val="8__안정검토"/>
      <sheetName val="Actual_data"/>
      <sheetName val="4_경비_5_영업외수지"/>
      <sheetName val="IMPEADENCE_HԀ怀ȅ㨍"/>
      <sheetName val="IMPEADENCE_éԀᛅ"/>
      <sheetName val="DATA-2_장비LIST"/>
      <sheetName val="PC,_G_Slab"/>
      <sheetName val="지(2)"/>
      <sheetName val="공예을"/>
      <sheetName val="Be_x0000_䇪"/>
      <sheetName val="변경내역대비표(2)"/>
      <sheetName val="주관사업"/>
      <sheetName val="캠프용산(토지조서,원본)"/>
      <sheetName val="cable _x0003_謀䀃읋戂"/>
      <sheetName val="CONSTRUCTION COMPON³_x0000_Ԁ"/>
      <sheetName val="DATA1"/>
      <sheetName val="master"/>
      <sheetName val="costing_堀ⷔ"/>
      <sheetName val="costing_ꧧ"/>
      <sheetName val="costing_栀蓂"/>
      <sheetName val="소k_x0000_Ԁ"/>
      <sheetName val="A-Presale Payment Schedule"/>
      <sheetName val="적용대가산출근거"/>
      <sheetName val="97년추정손익계산서"/>
      <sheetName val="집1"/>
      <sheetName val="FOOTINㅜȩ称⹣"/>
      <sheetName val="Rev.A"/>
      <sheetName val="H.Satuan"/>
      <sheetName val="BOX¶_x0000_䬀_x0000__x0000_"/>
      <sheetName val="BOX$_x0000_䬀_x0000__x0000_"/>
      <sheetName val="BOX/_x0000_䰀_x0000__x0000_"/>
      <sheetName val="BOX$_x0000_뼀_x0000__x0000_"/>
      <sheetName val="BOX$_x0000_吀_x0000__x0000_"/>
      <sheetName val="오수표시테이프단위수량"/>
      <sheetName val="공사비증감(P4) "/>
      <sheetName val="기구조직"/>
      <sheetName val="TOTAL1"/>
      <sheetName val="수목데이타"/>
      <sheetName val=" 토목 처리장도급내역서 "/>
      <sheetName val="수목보호틀연장조서"/>
      <sheetName val="콘크리트포장철거"/>
      <sheetName val="공종검토(1순위4공종)"/>
      <sheetName val="공종검토(4순위8공종) "/>
      <sheetName val="공종검토(7순위3공종)"/>
      <sheetName val="공종검토(8순위9공종)"/>
      <sheetName val="공종검토(27순위24공종)"/>
      <sheetName val="제원입력"/>
      <sheetName val="재"/>
      <sheetName val="자"/>
      <sheetName val="실적(휴양)"/>
      <sheetName val="투찰내역서"/>
      <sheetName val="터널패턴구성"/>
      <sheetName val="Macro(조도)"/>
      <sheetName val="받이700"/>
      <sheetName val="분기관표식단위수량"/>
      <sheetName val="sand토적"/>
      <sheetName val="토목수량(공정)"/>
      <sheetName val="자금청구"/>
      <sheetName val="新철폐복2"/>
      <sheetName val="新철폐복3"/>
      <sheetName val="주공기준"/>
      <sheetName val="99 조정금액"/>
      <sheetName val="동일리 권리자명부"/>
      <sheetName val="면적평당공사비"/>
      <sheetName val="말고개터널조명전압강하"/>
      <sheetName val="부관맨홀조서"/>
      <sheetName val="신대방33(적용)"/>
      <sheetName val="시설물일위"/>
      <sheetName val="시멘트 및 골재량산출"/>
      <sheetName val="영업권조서"/>
      <sheetName val="토지조서"/>
      <sheetName val="노임단"/>
      <sheetName val="증명지번목록"/>
      <sheetName val="3연box"/>
      <sheetName val="물건조서"/>
      <sheetName val="계정별실적"/>
      <sheetName val="안정검토(온1)"/>
      <sheetName val="투찰금액"/>
      <sheetName val="추정설계"/>
      <sheetName val="2설계 (웅촌고연)"/>
      <sheetName val="토목내역서"/>
      <sheetName val="작업금지"/>
      <sheetName val="가압장구체수량산출서"/>
      <sheetName val="유입수문철근집계"/>
      <sheetName val="7급줄떼"/>
      <sheetName val="별첨4_전담운영PM(1)"/>
      <sheetName val="보호공"/>
      <sheetName val="원가계산 (2)"/>
      <sheetName val="주현(해보)"/>
      <sheetName val="주현(영광)"/>
      <sheetName val="포장총괄집계표"/>
      <sheetName val="5.정산서"/>
      <sheetName val="이설도로유용토"/>
      <sheetName val="구간별"/>
      <sheetName val="자가"/>
      <sheetName val="공양식"/>
      <sheetName val="이름표"/>
      <sheetName val="토지가격산출기초"/>
      <sheetName val="공시지가"/>
      <sheetName val="내역서(기성청구)"/>
      <sheetName val="5지진시"/>
      <sheetName val="여비"/>
      <sheetName val="규격"/>
      <sheetName val="교각"/>
      <sheetName val="2공종별예산조서"/>
      <sheetName val="노무단가"/>
      <sheetName val="호안공재료집계표"/>
      <sheetName val="A1(토공)"/>
      <sheetName val="A1(구조물)"/>
      <sheetName val="수량집계(1)"/>
      <sheetName val="철근집계표"/>
      <sheetName val="토공산근"/>
      <sheetName val="봉산운반"/>
      <sheetName val="24분기"/>
      <sheetName val="총괄내역서(도급)"/>
      <sheetName val="00임금"/>
      <sheetName val="복주일위대가"/>
      <sheetName val="8.1.에너지"/>
      <sheetName val="덧씌우기구간수량산출1"/>
      <sheetName val="新철폐복"/>
      <sheetName val="중사"/>
      <sheetName val="재료값"/>
      <sheetName val="3_공통공사_x0000_隒"/>
      <sheetName val="건공요율"/>
      <sheetName val="공종별내역서"/>
      <sheetName val="2019 단가내역"/>
      <sheetName val="신규일위대가목록"/>
      <sheetName val="신규일위대가"/>
      <sheetName val="신규자재단가조서"/>
      <sheetName val="현황사진"/>
      <sheetName val="수량-1순위(2차)TOTAL"/>
      <sheetName val="본관 관리동 공동구 1순위"/>
      <sheetName val="3계열 침전지 공동구 1순위"/>
      <sheetName val="착수정 공동구 1순위"/>
      <sheetName val="송수실 공동구 1순위"/>
      <sheetName val="1(자양배관실)"/>
      <sheetName val="1(자양계단실)"/>
      <sheetName val="1(자양외벽)"/>
      <sheetName val="직접시공계획서"/>
      <sheetName val="공사기본자료"/>
      <sheetName val="자재집게표 "/>
      <sheetName val="수배전반"/>
      <sheetName val="의뢰서"/>
      <sheetName val="전체공내역서"/>
      <sheetName val="마포토정"/>
      <sheetName val="1.시험비"/>
      <sheetName val="산출근거#2-3"/>
      <sheetName val=" 갑  지 "/>
      <sheetName val="기단"/>
      <sheetName val="10"/>
      <sheetName val="12"/>
      <sheetName val="13"/>
      <sheetName val="14"/>
      <sheetName val="16"/>
      <sheetName val="7"/>
      <sheetName val="8"/>
      <sheetName val="9"/>
      <sheetName val="투자비"/>
      <sheetName val="사업비"/>
      <sheetName val="조성원가DATA"/>
      <sheetName val="공구원가계산"/>
      <sheetName val="BM"/>
      <sheetName val="Elec LG"/>
      <sheetName val="TOYO"/>
      <sheetName val="사업량총괄"/>
      <sheetName val="UNIT-QT"/>
      <sheetName val="JUCK"/>
      <sheetName val="합의경상"/>
      <sheetName val="MEXICO-C"/>
      <sheetName val="송장"/>
      <sheetName val="장비내역서"/>
      <sheetName val="부하LOAD"/>
      <sheetName val="날개벽(TYPE3)"/>
      <sheetName val="2공구수량"/>
      <sheetName val="부하(반월)"/>
      <sheetName val="청구내역(9807)"/>
      <sheetName val="유동표(변경)"/>
      <sheetName val="가설건물"/>
      <sheetName val="공통(20-91)"/>
      <sheetName val="공용시설내역"/>
      <sheetName val="변경실행(2차) "/>
      <sheetName val="L-type"/>
      <sheetName val="부하(성남)"/>
      <sheetName val="외천교"/>
      <sheetName val="자재수량"/>
      <sheetName val="Macro(AT)"/>
      <sheetName val="동력부하(도산)"/>
      <sheetName val="MACRO(MCC)"/>
      <sheetName val="토공A"/>
      <sheetName val="5. 차단기 용량계산"/>
      <sheetName val="CA지입"/>
      <sheetName val="관리사무소"/>
      <sheetName val="다이꾸"/>
      <sheetName val="cost"/>
      <sheetName val="품의서"/>
      <sheetName val="FEXS"/>
      <sheetName val="7.1유효폭"/>
      <sheetName val="기계실"/>
      <sheetName val="입고장부 (4)"/>
      <sheetName val="EJ"/>
      <sheetName val="W-현원가"/>
      <sheetName val="조명율데이타"/>
      <sheetName val="매크로"/>
      <sheetName val="외주가공"/>
      <sheetName val="대구실행"/>
      <sheetName val="현장지지물물량"/>
      <sheetName val="현장관리비내역서"/>
      <sheetName val="J"/>
      <sheetName val="협조전"/>
      <sheetName val="지진시"/>
      <sheetName val="맨홀수량집계"/>
      <sheetName val="MBR9"/>
      <sheetName val="전력구구조물산근2구간"/>
      <sheetName val="BQ(실행)"/>
      <sheetName val="유동표"/>
      <sheetName val="LOAD-AY"/>
      <sheetName val="bearing"/>
      <sheetName val="굴착현장"/>
      <sheetName val="1공구(을)"/>
      <sheetName val="Cost bd-&quot;A&quot;"/>
      <sheetName val="L_RPTA05_목록"/>
      <sheetName val="IMP(MAIN)"/>
      <sheetName val="IMP (REACTOR)"/>
      <sheetName val="환률"/>
      <sheetName val="RAHMEN"/>
      <sheetName val="Languages"/>
      <sheetName val="명단원자료(이전)"/>
      <sheetName val="옹벽기초자료"/>
      <sheetName val="경상비"/>
      <sheetName val="실행예산"/>
      <sheetName val="현금"/>
      <sheetName val="부하(도서)"/>
      <sheetName val="E.P.T수량산출서"/>
      <sheetName val="타공종이기"/>
      <sheetName val="????"/>
      <sheetName val="Process"/>
      <sheetName val="C1ㅇ"/>
      <sheetName val="DG-LAP6"/>
      <sheetName val="工완성공사율"/>
      <sheetName val="96작생능"/>
      <sheetName val="견적정보"/>
      <sheetName val="토공(완충)"/>
      <sheetName val="가로등제어반 설치공사(수량)"/>
      <sheetName val="발신정보"/>
      <sheetName val="단가표 "/>
      <sheetName val="K"/>
      <sheetName val="내역서비교"/>
      <sheetName val="기성집계"/>
      <sheetName val="설계서(설치)"/>
      <sheetName val="Picture"/>
      <sheetName val="직원동원SCH"/>
      <sheetName val="전압강하계산"/>
      <sheetName val="양식"/>
      <sheetName val="ROOF(ALKALI)"/>
      <sheetName val="정산입력"/>
      <sheetName val="계산근거"/>
      <sheetName val="내역(2000년)"/>
      <sheetName val="Dae_Jiju"/>
      <sheetName val="Sikje_ingun"/>
      <sheetName val="TREE_D"/>
      <sheetName val="원데이타"/>
      <sheetName val="22-2M단"/>
      <sheetName val="22-1소단"/>
      <sheetName val="CATV"/>
      <sheetName val="조명률표"/>
      <sheetName val="설계자료"/>
      <sheetName val="아산추가1220"/>
      <sheetName val="교량명원본"/>
      <sheetName val="BOX제원원본"/>
      <sheetName val="표지판현황"/>
      <sheetName val="회사99"/>
      <sheetName val="노원열병합__건축공사기성내역서"/>
      <sheetName val="철근정산"/>
      <sheetName val="호안공"/>
      <sheetName val="TYPE-B 평균H"/>
      <sheetName val="실행품의서"/>
      <sheetName val="OZ049E"/>
      <sheetName val="토공및부대2차"/>
      <sheetName val="단위내역서"/>
      <sheetName val="처리단락"/>
      <sheetName val="LD"/>
      <sheetName val="약전닥트"/>
      <sheetName val="건축부하"/>
      <sheetName val="일지-H"/>
      <sheetName val="FA설치명세"/>
      <sheetName val="김포IO"/>
      <sheetName val="물량산출_LP-1"/>
      <sheetName val="물량산출_LP-2"/>
      <sheetName val="물량산출_LP-3"/>
      <sheetName val="물량산출_LP-4"/>
      <sheetName val="LXLIST1"/>
      <sheetName val="와동25-3(변경)"/>
      <sheetName val="96수출"/>
      <sheetName val="내역(정지)"/>
      <sheetName val="L형측구단위수량"/>
      <sheetName val="L형측구연장조서"/>
      <sheetName val="도로경계블럭단위수량"/>
      <sheetName val="도로경계블럭단위토공"/>
      <sheetName val="단가산출집계"/>
      <sheetName val="주사무실종합"/>
      <sheetName val="SRC-B3U2"/>
      <sheetName val="비대칭계수"/>
      <sheetName val="전동기 SPEC"/>
      <sheetName val="일반맨홀수량집계(A-7 LINE)"/>
      <sheetName val="변경실행(2차)_"/>
      <sheetName val="토공산출(주차장)"/>
      <sheetName val="매입"/>
      <sheetName val="토공산출 (아파트)"/>
      <sheetName val="운용방안"/>
      <sheetName val="월선수금"/>
      <sheetName val="8. 내진해석"/>
      <sheetName val="LEVEL0~4"/>
      <sheetName val="__Isyou_c_PJT_2000_R_6_____Fi_2"/>
      <sheetName val="PROJECT COST ESTIMATE (cont)"/>
      <sheetName val="일위대가(원본)"/>
      <sheetName val="집행(2-1)"/>
      <sheetName val="조명율"/>
      <sheetName val="Cost_bd-&quot;A&quot;"/>
      <sheetName val="사용자정의"/>
      <sheetName val="제품표준규격"/>
      <sheetName val="환율-LIBOR"/>
      <sheetName val="견적시담(송포2공구)"/>
      <sheetName val="출근부"/>
      <sheetName val="견적내역서"/>
      <sheetName val="견적접수"/>
      <sheetName val="오산갈곳"/>
      <sheetName val="#230,#235"/>
      <sheetName val="5공철탑검토표"/>
      <sheetName val="4공철탑검토"/>
      <sheetName val="설계내역(2001)"/>
      <sheetName val="아파트 "/>
      <sheetName val="잡비"/>
      <sheetName val="SE-611"/>
      <sheetName val="1을"/>
      <sheetName val="장비당단가 (1)"/>
      <sheetName val="선로정수계산"/>
      <sheetName val="관세,통관수수료,운반비"/>
      <sheetName val="경영혁신본부"/>
      <sheetName val="nomi "/>
      <sheetName val="3-1.CB"/>
      <sheetName val="MCC제원"/>
      <sheetName val="SUM (INQNO."/>
      <sheetName val="99.6"/>
      <sheetName val="자료(통합)"/>
      <sheetName val="대상공사(조달청)"/>
      <sheetName val="토목변경"/>
      <sheetName val="집수정단"/>
      <sheetName val="총계"/>
      <sheetName val="99관저"/>
      <sheetName val="관람석제출"/>
      <sheetName val="시설C"/>
      <sheetName val="사진"/>
      <sheetName val="2.내역서"/>
      <sheetName val="6.교좌면보강"/>
      <sheetName val="수로집계"/>
      <sheetName val="1차증가원가계산"/>
      <sheetName val="STORAGE"/>
      <sheetName val="TYPE-U800"/>
      <sheetName val="구동"/>
      <sheetName val="TOTAL인원"/>
      <sheetName val="Design Q'ty"/>
      <sheetName val="설계내"/>
      <sheetName val="조도계산(가로등NEW)"/>
      <sheetName val="L형옹벽측구"/>
      <sheetName val="MFAB"/>
      <sheetName val="MFRT"/>
      <sheetName val="MPKG"/>
      <sheetName val="MPRD"/>
      <sheetName val="전기설계변경"/>
      <sheetName val="참조(2)"/>
      <sheetName val="BR.1(원)"/>
      <sheetName val="예산서(6)"/>
      <sheetName val="COMPRESSOR"/>
      <sheetName val="WIND-EQ"/>
      <sheetName val="견적업체"/>
      <sheetName val="02 SLAB"/>
      <sheetName val="05 BOX"/>
      <sheetName val="---FAB#1업무일지---"/>
      <sheetName val="06_공정표"/>
      <sheetName val="D-3503"/>
      <sheetName val="물량산출근거"/>
      <sheetName val="FACTOR"/>
      <sheetName val="전기품산출"/>
      <sheetName val="방음벽 기초 일반수량"/>
      <sheetName val="G.R300경비"/>
      <sheetName val="K1자재(3차등)"/>
      <sheetName val="____"/>
      <sheetName val="card1"/>
      <sheetName val="분석가정"/>
      <sheetName val="ATS단가"/>
      <sheetName val=" 내역"/>
      <sheetName val="순환펌프"/>
      <sheetName val="저수조"/>
      <sheetName val="급,배기팬"/>
      <sheetName val="급탕순환펌프"/>
      <sheetName val="4b Consolidated PL"/>
      <sheetName val="Proposal"/>
      <sheetName val="Oper Amount"/>
      <sheetName val="DATA(BAC)"/>
      <sheetName val="주형지지보"/>
      <sheetName val="현황CODE"/>
      <sheetName val="손익현황"/>
      <sheetName val="PLAN_FEB97"/>
      <sheetName val="LAB"/>
      <sheetName val="노원열병합__건축공사기성내역서1"/>
      <sheetName val="입고장부_(4)"/>
      <sheetName val="IMP_(REACTOR)"/>
      <sheetName val="7_1유효폭"/>
      <sheetName val="5__차단기_용량계산"/>
      <sheetName val="가로등제어반_설치공사(수량)"/>
      <sheetName val="E_P_T수량산출서"/>
      <sheetName val="단가표_"/>
      <sheetName val="3-1_CB"/>
      <sheetName val="2월가격표-ESG-1월"/>
      <sheetName val="가설경비"/>
      <sheetName val="여흥"/>
      <sheetName val="Sheet16 (2)"/>
      <sheetName val="일반수량총괄"/>
      <sheetName val="통신부문노무임"/>
      <sheetName val="5. 설계명세서"/>
      <sheetName val="SELTDATA"/>
      <sheetName val="구리토평1전기"/>
      <sheetName val="지표"/>
      <sheetName val="교량하부공"/>
      <sheetName val="21301동"/>
      <sheetName val="공종별 집계"/>
      <sheetName val="횡배수관단위수량"/>
      <sheetName val="L형옹벽(key)"/>
      <sheetName val="샘플표지"/>
      <sheetName val="총공사집계"/>
      <sheetName val="대가집계(1)"/>
      <sheetName val="대가집계"/>
      <sheetName val="집계(1)"/>
      <sheetName val="단가산출(1)"/>
      <sheetName val="대가표"/>
      <sheetName val="대가"/>
      <sheetName val="사토정산현황"/>
      <sheetName val="위치도"/>
      <sheetName val="단가대비표(미첨부)"/>
      <sheetName val="토적표(길명리)"/>
      <sheetName val="사토(토사)"/>
      <sheetName val="사토(리핑)"/>
      <sheetName val="사토(발파)"/>
      <sheetName val="사토(발파) (2)"/>
      <sheetName val="운반거리표"/>
      <sheetName val="자금총괄"/>
      <sheetName val="현장별청구"/>
      <sheetName val="자금집행집계표"/>
      <sheetName val="장비비"/>
      <sheetName val="미불금청구내역(민)"/>
      <sheetName val="카메라"/>
      <sheetName val="카메라2"/>
      <sheetName val="1회"/>
      <sheetName val="1회분"/>
      <sheetName val="2회"/>
      <sheetName val="2회분"/>
      <sheetName val="3회"/>
      <sheetName val="3회분"/>
      <sheetName val="4회"/>
      <sheetName val="4회분"/>
      <sheetName val="5회"/>
      <sheetName val="5회분"/>
      <sheetName val="6회"/>
      <sheetName val="6회분"/>
      <sheetName val="회"/>
      <sheetName val="회분"/>
      <sheetName val="1~5회분"/>
      <sheetName val="현장별집행"/>
      <sheetName val="10월식대(직영)"/>
      <sheetName val="9월철근공"/>
      <sheetName val="10월철근공 "/>
      <sheetName val="9월목공 "/>
      <sheetName val="10월목공 "/>
      <sheetName val="10월식대"/>
      <sheetName val="11월식대"/>
      <sheetName val="식대(5회)"/>
      <sheetName val="자금총괄(민)"/>
      <sheetName val="현장별자금청구(10)"/>
      <sheetName val="현장별청구(민)"/>
      <sheetName val="자금청구집계표"/>
      <sheetName val="자금청구집계표(민)"/>
      <sheetName val="자금청구(민2)"/>
      <sheetName val="하도자기성고(갑)"/>
      <sheetName val="하도자기성고(을)"/>
      <sheetName val="유류대"/>
      <sheetName val="중기가동"/>
      <sheetName val="미불금청구내역"/>
      <sheetName val="미불금(민)"/>
      <sheetName val="공사별 사정분석표-ㅌ"/>
      <sheetName val="자금청구내역"/>
      <sheetName val="자금청구서"/>
      <sheetName val="월기성검토서"/>
      <sheetName val="부대대비"/>
      <sheetName val="냉연집계"/>
      <sheetName val="2011년"/>
      <sheetName val="내역서(총)"/>
      <sheetName val="예산M12A"/>
      <sheetName val="BOQ건축"/>
      <sheetName val="beam"/>
      <sheetName val="APT내역"/>
      <sheetName val="감가상각"/>
      <sheetName val="CI_GL Mapping"/>
      <sheetName val="3본사"/>
      <sheetName val="운영 비용(Infra)-원가"/>
      <sheetName val="금액집계"/>
      <sheetName val="평형공사비"/>
      <sheetName val="NEWDRAW"/>
      <sheetName val="영업.일"/>
      <sheetName val="매부산출"/>
      <sheetName val="현관"/>
      <sheetName val="WORKSHOP"/>
      <sheetName val="동해title"/>
      <sheetName val="예산M2"/>
      <sheetName val="기성내역서표지"/>
      <sheetName val="예산변경사항"/>
      <sheetName val="분양금할인"/>
      <sheetName val="충주"/>
      <sheetName val="제출내역 (2)"/>
      <sheetName val="영업.일1"/>
      <sheetName val="coll#"/>
      <sheetName val="CC Down load 0716"/>
      <sheetName val="경상비내역"/>
      <sheetName val="총요약서"/>
      <sheetName val="저"/>
      <sheetName val="일반관리비"/>
      <sheetName val="1월"/>
      <sheetName val="사토(발파)_(2)"/>
      <sheetName val="10월철근공_"/>
      <sheetName val="9월목공_"/>
      <sheetName val="10월목공_"/>
      <sheetName val="공사별_사정분석표-ㅌ"/>
      <sheetName val="CI_GL_Mapping"/>
      <sheetName val="운영_비용(Infra)-원가"/>
      <sheetName val="최초침전지집계표"/>
      <sheetName val="Macro1 (2)"/>
      <sheetName val="Constant"/>
      <sheetName val="명단"/>
      <sheetName val="Code03"/>
      <sheetName val="입력그림"/>
      <sheetName val="3_공통공사_x0000_庘"/>
      <sheetName val="사기성 (2)"/>
      <sheetName val="기준비용"/>
      <sheetName val="MAT_N048"/>
      <sheetName val="견적(02.07)"/>
      <sheetName val="개인토지"/>
      <sheetName val="IMF Code"/>
      <sheetName val="Gia VLNCMTC"/>
      <sheetName val="WT-LIST"/>
      <sheetName val="스케즐"/>
      <sheetName val="VALUATESheet13"/>
      <sheetName val="L형집계"/>
      <sheetName val="전도금정산집계"/>
      <sheetName val="은행코드"/>
      <sheetName val="게비온"/>
      <sheetName val="관정"/>
      <sheetName val="배수관 날개벽"/>
      <sheetName val="box날개"/>
      <sheetName val="방호벽"/>
      <sheetName val="절단"/>
      <sheetName val="아스팔트포장"/>
      <sheetName val="U형측구"/>
      <sheetName val="J형측구"/>
      <sheetName val="진입로"/>
      <sheetName val="판매.DAT"/>
      <sheetName val="4.04건축(건축-주계약내역서)"/>
      <sheetName val="예정공정표 "/>
      <sheetName val="4.고용보험"/>
      <sheetName val="암센터"/>
      <sheetName val="수정계획3"/>
      <sheetName val="부재별산출서"/>
      <sheetName val="구체단위"/>
      <sheetName val="수목일위"/>
      <sheetName val="1호맨홀자연토공"/>
      <sheetName val="월별수입"/>
      <sheetName val="k2 foundation"/>
      <sheetName val="노면표시1"/>
      <sheetName val="산출3-전등"/>
      <sheetName val="산출4-조명제어"/>
      <sheetName val="산출5-전열"/>
      <sheetName val="산출7-유도등"/>
      <sheetName val="15-3)VE제안서(가치향_x0000_隒_x0000__x0000_"/>
      <sheetName val="01_Summary"/>
      <sheetName val="03_Rev_Log"/>
      <sheetName val="FAB_B01计算式"/>
      <sheetName val="5_물량산출서"/>
      <sheetName val="2_재료비"/>
      <sheetName val="12_보오링"/>
      <sheetName val="18_공내수압탄성자연"/>
      <sheetName val="2_견적조건_정보"/>
      <sheetName val="슬래브일반(포항방향_B=12_3m)"/>
      <sheetName val="6_7현장운영"/>
      <sheetName val="Module1"/>
      <sheetName val="Module2"/>
      <sheetName val="Module3"/>
      <sheetName val="Module4"/>
      <sheetName val="Module5"/>
      <sheetName val="Module6"/>
      <sheetName val="Module8"/>
      <sheetName val="Module9"/>
      <sheetName val="Module7"/>
      <sheetName val="Module11"/>
      <sheetName val="단면(RW1)"/>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2000.11월설계내역"/>
      <sheetName val="소야공정계획표"/>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복구량산정 및 전용회선 사용"/>
      <sheetName val="호계"/>
      <sheetName val="제암"/>
      <sheetName val="월마트"/>
      <sheetName val="월드컵"/>
      <sheetName val="Sheet7"/>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주상도"/>
      <sheetName val="- INFORMATION -"/>
      <sheetName val="관급내역서"/>
      <sheetName val="이전비내역서"/>
      <sheetName val="물량"/>
      <sheetName val="배선설계"/>
      <sheetName val="부하계산"/>
      <sheetName val="기초산출서"/>
      <sheetName val="장비단가산출"/>
      <sheetName val="t형"/>
      <sheetName val="VXXXX"/>
      <sheetName val="1.수변전설비"/>
      <sheetName val="2.전력간선"/>
      <sheetName val="3.동력"/>
      <sheetName val="4.전등"/>
      <sheetName val="5.전열"/>
      <sheetName val="6.약전"/>
      <sheetName val="7.소방"/>
      <sheetName val="8.방송"/>
      <sheetName val="9.조명제어"/>
      <sheetName val="10.철거공사"/>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JJ"/>
      <sheetName val="설 계"/>
      <sheetName val="ASP포장"/>
      <sheetName val="에너지동"/>
      <sheetName val="견적조건(을지)"/>
      <sheetName val="3차설계"/>
      <sheetName val="3.바닥판설계"/>
      <sheetName val="일위대가표 (2)"/>
      <sheetName val="Testing"/>
      <sheetName val="IP좌표"/>
      <sheetName val="부재력정리"/>
      <sheetName val="NOMUBI"/>
      <sheetName val="원가계산서 (총괄)"/>
      <sheetName val="원가계산서 (건축)"/>
      <sheetName val="(총괄집계)"/>
      <sheetName val="단위세대"/>
      <sheetName val="가설공사내역"/>
      <sheetName val="General Data"/>
      <sheetName val="차도조도계산"/>
      <sheetName val="자재단가표"/>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0.집계"/>
      <sheetName val="가로등부표"/>
      <sheetName val="매립"/>
      <sheetName val="BID-도로"/>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Áö"/>
      <sheetName val="°ßÀû¼­"/>
      <sheetName val="³»¿ª¼­"/>
      <sheetName val="Ç¥Áö"/>
      <sheetName val="º¯°æ»çÀ¯"/>
      <sheetName val="°¡¿ÁÁ¶¸í¿ø°¡°è"/>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ÀÏÀ§´ë°¡"/>
      <sheetName val="¼³°è¿¹»ê¼­"/>
      <sheetName val="¼ö·®Áý°è"/>
      <sheetName val="ÃÑ°ý"/>
      <sheetName val="Åä¸ñ"/>
      <sheetName val="°¡·Îµî³»¿ª¼­"/>
      <sheetName val="¼ö·®»êÃâ¼­"/>
      <sheetName val="2000.11¿ù¼³°è³»¿ª"/>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손료목록"/>
      <sheetName val="돌망태단위수량"/>
      <sheetName val="도급예정1199"/>
      <sheetName val="외주대비"/>
      <sheetName val="수정실행"/>
      <sheetName val="단가산출근거"/>
      <sheetName val="현장인원투입"/>
      <sheetName val="장비투입계획"/>
      <sheetName val="외주대비-구조물"/>
      <sheetName val="외주대비 -석축"/>
      <sheetName val="외주대비-구조물 (2)"/>
      <sheetName val="견적표지 (3)"/>
      <sheetName val="정태현"/>
      <sheetName val="입찰결과(DATA)"/>
      <sheetName val="발주설계서(당초)"/>
      <sheetName val="일위대가 집계표"/>
      <sheetName val="횡배수관토공수량"/>
      <sheetName val="제원.설계조건"/>
      <sheetName val="가공비"/>
      <sheetName val="투자효율분석"/>
      <sheetName val="단락전류-A"/>
      <sheetName val="DPRKMHDT"/>
      <sheetName val="출력-내역서"/>
      <sheetName val="날개벽(TYPE1)"/>
      <sheetName val="견적서세부내용"/>
      <sheetName val="견적내용입력"/>
      <sheetName val="일반맨홀수량집계"/>
      <sheetName val="EUPDAT2"/>
      <sheetName val="공사비내역서"/>
      <sheetName val="Top PO"/>
      <sheetName val="공종"/>
      <sheetName val="방송노임"/>
      <sheetName val="날개벽(좌,우=45도,75도)"/>
      <sheetName val="모델링"/>
      <sheetName val="mcc일위대가"/>
      <sheetName val="원본"/>
      <sheetName val="2006기계경비산출표"/>
      <sheetName val="고창터널(고창방향)"/>
      <sheetName val="아파트기별"/>
      <sheetName val="공리일"/>
      <sheetName val="예산갑지"/>
      <sheetName val="토목원가계산서"/>
      <sheetName val="토목원가"/>
      <sheetName val="집계장"/>
      <sheetName val="제외공종"/>
      <sheetName val="기계원가계산서"/>
      <sheetName val="기계원가"/>
      <sheetName val="가설내역"/>
      <sheetName val="갑지(가로)"/>
      <sheetName val="표지목차간지"/>
      <sheetName val="예산조서-총괄"/>
      <sheetName val="예산조서-신공항1"/>
      <sheetName val="가설물"/>
      <sheetName val="내역구성"/>
      <sheetName val="4원가"/>
      <sheetName val="임시급식"/>
      <sheetName val="옥외가스"/>
      <sheetName val="임시급식 (2)"/>
      <sheetName val="unit 4"/>
      <sheetName val="Summary Sheets"/>
      <sheetName val="일위목록-기"/>
      <sheetName val="6동"/>
      <sheetName val="Chart1"/>
      <sheetName val="단위내역목록"/>
      <sheetName val="원가(1)"/>
      <sheetName val="원가(2)"/>
      <sheetName val="통장출금액"/>
      <sheetName val="VA_code"/>
      <sheetName val="공종별원가계산"/>
      <sheetName val="연결관산출조서"/>
      <sheetName val="외주"/>
      <sheetName val="BASIC (2)"/>
      <sheetName val="참조-(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일집"/>
      <sheetName val="Tot-sum"/>
      <sheetName val="노원열병합  건축렀こ렀䡟ԯ_x0000_缀"/>
      <sheetName val="노원열병합  건축렀䡟ԯ_x0000_缀_x0000__x0000_"/>
      <sheetName val="노원열병합  건축︀ᇕ԰_x0000_缀_x0000__x0000_"/>
      <sheetName val="노원열병합  건축ﻕᇕ԰_x0000_缀_x0000__x0000_"/>
      <sheetName val="2.노무비명세서(난간대)"/>
      <sheetName val="2.사진대지"/>
      <sheetName val=" 견적서"/>
      <sheetName val="(2)"/>
      <sheetName val="3.사진대지"/>
      <sheetName val="22단가(철거)"/>
      <sheetName val="49단가"/>
      <sheetName val="49단가(철거)"/>
      <sheetName val="22단가"/>
      <sheetName val="적용공정"/>
      <sheetName val="금리계산"/>
      <sheetName val="맨홀"/>
      <sheetName val="49-119"/>
      <sheetName val="관로"/>
      <sheetName val="공기변수량"/>
      <sheetName val="PO-BOQ"/>
      <sheetName val="의왕내역"/>
      <sheetName val="중총괄"/>
      <sheetName val="소총괄"/>
      <sheetName val="사용내역"/>
      <sheetName val="안전세부"/>
      <sheetName val="총급여"/>
      <sheetName val="급여"/>
      <sheetName val="안전사진"/>
      <sheetName val="계좌"/>
      <sheetName val="작업일지"/>
      <sheetName val="계획"/>
      <sheetName val="계획세부"/>
      <sheetName val="사용내역서"/>
      <sheetName val="항목별내역서"/>
      <sheetName val="안전담당자"/>
      <sheetName val="유도원"/>
      <sheetName val="검사조서"/>
      <sheetName val="집계(총괄)"/>
      <sheetName val="실적보고"/>
      <sheetName val="표준안전집계"/>
      <sheetName val="표준안전내역"/>
      <sheetName val="A갑지"/>
      <sheetName val="보도경계블럭"/>
      <sheetName val="L형옹벽"/>
      <sheetName val="내부부하"/>
      <sheetName val="Mc1"/>
      <sheetName val="2000,9월 일위"/>
      <sheetName val="과천MAIN"/>
      <sheetName val="관급총괄"/>
      <sheetName val="2007일위 "/>
      <sheetName val="토목일위 (83~)"/>
      <sheetName val="표지판일위(105~"/>
      <sheetName val="장비일위"/>
      <sheetName val="재료1월호"/>
      <sheetName val="노무비 "/>
      <sheetName val="00000000"/>
      <sheetName val="고등학교"/>
      <sheetName val="제1장"/>
      <sheetName val="제2장"/>
      <sheetName val="제3장"/>
      <sheetName val="견적내역"/>
      <sheetName val="진우+대광"/>
      <sheetName val="옥외"/>
      <sheetName val="가드레일산근"/>
      <sheetName val="적용2002"/>
      <sheetName val="본선토량운반계산서(1)0"/>
      <sheetName val="°ø»çºñ¿¹»ê¼­(Åä¸ñºÐ)"/>
      <sheetName val="°¢Çü¸ÇÈ¦"/>
      <sheetName val="¼ö¸ñ´Ü°¡"/>
      <sheetName val="½Ã¼³¼ö·®Ç¥"/>
      <sheetName val="½ÄÀç¼ö·®Ç¥"/>
      <sheetName val="ÀÏÀ§¸ñ·Ï"/>
      <sheetName val="ÀÚÀç´Ü°¡"/>
      <sheetName val="°¡·Îµî"/>
      <sheetName val="정화조동내역"/>
      <sheetName val="배"/>
      <sheetName val="단위별 일위대가표"/>
      <sheetName val="제4장"/>
      <sheetName val="5장공내역서"/>
      <sheetName val="제6장"/>
      <sheetName val="직불동의서"/>
      <sheetName val="전자입찰"/>
      <sheetName val="7작업장인수인계서"/>
      <sheetName val="3특기시방서"/>
      <sheetName val="일위대가목록(1)"/>
      <sheetName val="단가대비표(1)"/>
      <sheetName val="금액결정"/>
      <sheetName val="견적의뢰서"/>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배수문수량산출(3)"/>
      <sheetName val="기본단가"/>
      <sheetName val="LP-S"/>
      <sheetName val="보합"/>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철거집계"/>
      <sheetName val="12월31일"/>
      <sheetName val="EQUIPMENT -2"/>
      <sheetName val="고분전시관"/>
      <sheetName val="공비대비"/>
      <sheetName val="전기2005"/>
      <sheetName val="통신2005"/>
      <sheetName val="계산식"/>
      <sheetName val="1._x0018_변전설비"/>
      <sheetName val="Macro3"/>
      <sheetName val="대구-교대(A1-A2)"/>
      <sheetName val="3.자재비(총괄)"/>
      <sheetName val="LD일"/>
      <sheetName val="SULKEA"/>
      <sheetName val="아파트건축"/>
      <sheetName val="잔수량(작성)"/>
      <sheetName val="BOQ(전체)"/>
      <sheetName val="48평단가"/>
      <sheetName val="57단가"/>
      <sheetName val="54평단가"/>
      <sheetName val="66평단가"/>
      <sheetName val="61단가"/>
      <sheetName val="89평단가"/>
      <sheetName val="84평단가"/>
      <sheetName val="적상기초자료"/>
      <sheetName val="효동"/>
      <sheetName val="전체철근집계"/>
      <sheetName val="CIVIL"/>
      <sheetName val="자  재"/>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재정비직인"/>
      <sheetName val="시공계획"/>
      <sheetName val="현장설명서"/>
      <sheetName val="견적조건서"/>
      <sheetName val="시공일반사항"/>
      <sheetName val="현장설명서갑지"/>
      <sheetName val="하도급선정의뢰서(습식공사)"/>
      <sheetName val="36신설수량"/>
      <sheetName val="제품별"/>
      <sheetName val="사전공사"/>
      <sheetName val="소포내역 (2)"/>
      <sheetName val="특수기호강도거푸집"/>
      <sheetName val="성서방향-교대(A2)"/>
      <sheetName val="상행-교대(A1)"/>
      <sheetName val="매매"/>
      <sheetName val="전신"/>
      <sheetName val="기간등록"/>
      <sheetName val="신공"/>
      <sheetName val="저리조양"/>
      <sheetName val="기자재대비표"/>
      <sheetName val="경산(을)"/>
      <sheetName val="정화조방수미장"/>
      <sheetName val="접속슬라브"/>
      <sheetName val="공사별 가중치 산출근거(토목)"/>
      <sheetName val="가중치근거(조경)"/>
      <sheetName val="Inquiry"/>
      <sheetName val="제진기"/>
      <sheetName val="1.범위"/>
      <sheetName val="2.편성"/>
      <sheetName val="3개요"/>
      <sheetName val="5내역"/>
      <sheetName val="6.GAS"/>
      <sheetName val="7임급실"/>
      <sheetName val="미제출"/>
      <sheetName val="소방1"/>
      <sheetName val="소방2"/>
      <sheetName val="왜UP"/>
      <sheetName val="적현로"/>
      <sheetName val="산출(전주P7)"/>
      <sheetName val="H PILE수량"/>
      <sheetName val="철근량 검토"/>
      <sheetName val="TC표지"/>
      <sheetName val="유기공정"/>
      <sheetName val="변경서식"/>
      <sheetName val="STBOX"/>
      <sheetName val="공사진행"/>
      <sheetName val="Piping Design Data"/>
      <sheetName val="연습장소"/>
      <sheetName val="MACRO(전선관)"/>
      <sheetName val="기준액"/>
      <sheetName val="상세내역,전력산출서"/>
      <sheetName val="Ampecity Data"/>
      <sheetName val="3_바닥판설계"/>
      <sheetName val="교통량조사"/>
      <sheetName val="EQ-R1"/>
      <sheetName val="품목"/>
      <sheetName val="기성"/>
      <sheetName val="기성내역 진짜"/>
      <sheetName val="2회기성사정"/>
      <sheetName val="3회기성갑지"/>
      <sheetName val="3회총괄"/>
      <sheetName val="3회기성"/>
      <sheetName val="Á¡°ËÃÑ°ý"/>
      <sheetName val="»ó¼öµµÅä°øÁý°èÇ¥"/>
      <sheetName val="°ßÀû´ëºñ"/>
      <sheetName val="ÀÏÀ§´ë°¡Ç¥(À¯´Ü°¡)"/>
      <sheetName val="ÀÚÀç¸ñ·Ï"/>
      <sheetName val="20°ü¸®ºñÀ²"/>
      <sheetName val="담장산출"/>
      <sheetName val="일위대가(출입)"/>
      <sheetName val="현장관리비 "/>
      <sheetName val="aa"/>
      <sheetName val="시멘트"/>
      <sheetName val="★도급내역"/>
      <sheetName val="과세표준율-2"/>
      <sheetName val="면적분양가"/>
      <sheetName val="분양면적(1123)"/>
      <sheetName val="출력소스"/>
      <sheetName val="평교-내역"/>
      <sheetName val="노임(1차)"/>
      <sheetName val="관리,부대비"/>
      <sheetName val="실행(표지,갑,을)"/>
      <sheetName val="basic"/>
      <sheetName val="메서,변+증"/>
      <sheetName val="공사별 가중치 산출근거(건축)"/>
      <sheetName val="FAX"/>
      <sheetName val="건축개요"/>
      <sheetName val="예방접종계획"/>
      <sheetName val="MIJIBI"/>
      <sheetName val="건축직"/>
      <sheetName val="과세내역(세부)"/>
      <sheetName val="기타시설"/>
      <sheetName val="주민복지관"/>
      <sheetName val="지하주차장"/>
      <sheetName val="SCHEDULE"/>
      <sheetName val="2000_11월설계내역"/>
      <sheetName val="대,유,램"/>
      <sheetName val="목동1절주.bh01"/>
      <sheetName val="송우내역서"/>
      <sheetName val="증감분석"/>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산재 안전"/>
      <sheetName val="노무비 경비"/>
      <sheetName val="T6-6(2)"/>
      <sheetName val="Upgrades pricing"/>
      <sheetName val="주방환기"/>
      <sheetName val="경상직원"/>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수목데이타_"/>
      <sheetName val="변압기_및_발전기_용량"/>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사원등록"/>
      <sheetName val="호봉 (2)"/>
      <sheetName val="하도급변경대비표"/>
      <sheetName val="경상"/>
      <sheetName val="3.내역서"/>
      <sheetName val="통신물량"/>
      <sheetName val="매입세"/>
      <sheetName val="표층포설및다짐"/>
      <sheetName val="별표"/>
      <sheetName val="균열"/>
      <sheetName val="암거날개벽재료집계"/>
      <sheetName val="단가및재료비"/>
      <sheetName val="노᠀⁷"/>
      <sheetName val="1공구(입찰내역)"/>
      <sheetName val="유첨#2"/>
      <sheetName val="교각별수량"/>
      <sheetName val="원가산출서"/>
      <sheetName val="자동 철거"/>
      <sheetName val="자동 설치"/>
      <sheetName val="토목 철주"/>
      <sheetName val="철거 일위대가(1-19)"/>
      <sheetName val="철거 일위대가(20-22)"/>
      <sheetName val="설치 일위대가(23-45호)"/>
      <sheetName val="설치 일위대가(46~78호)"/>
      <sheetName val="CS2"/>
      <sheetName val="실행예산서"/>
      <sheetName val="급명"/>
      <sheetName val="단  가  대  비  표"/>
      <sheetName val="일  위  대  가  목  록"/>
      <sheetName val="교각별철근수량집계표"/>
      <sheetName val="const."/>
      <sheetName val="변경내역을"/>
      <sheetName val="펌프장수량산출(토)"/>
      <sheetName val="남양구조시험동"/>
      <sheetName val="본부소개"/>
      <sheetName val="통합내역"/>
      <sheetName val="대외공문"/>
      <sheetName val="DWPM"/>
      <sheetName val="자재집계"/>
      <sheetName val="투입(관수_건축)"/>
      <sheetName val="투입(APT500)"/>
      <sheetName val="투입(분당)"/>
      <sheetName val="작성지침서2)"/>
      <sheetName val="투입스케쥴양식"/>
      <sheetName val="투입(APT1200)"/>
      <sheetName val="투입(평촌)"/>
      <sheetName val="투입(APT1000)"/>
      <sheetName val="계약내역서(을지)"/>
      <sheetName val="가시설흙막이"/>
      <sheetName val="전선"/>
      <sheetName val="강북라우터"/>
      <sheetName val="노무비산출"/>
      <sheetName val="보할공정"/>
      <sheetName val="220 (2)"/>
      <sheetName val="총인원"/>
      <sheetName val="직급인원"/>
      <sheetName val="차종별"/>
      <sheetName val="OPGW기별"/>
      <sheetName val="관기성공.내"/>
      <sheetName val="중동상가"/>
      <sheetName val="평균높이산출근거"/>
      <sheetName val="횡배수관위치조서"/>
      <sheetName val="기본설계도급항목"/>
      <sheetName val="8.현장관리비"/>
      <sheetName val="견적율"/>
      <sheetName val="승용"/>
      <sheetName val="Recovered_Sheet1"/>
      <sheetName val="원가상세내역"/>
      <sheetName val="2004경영(비목별)"/>
      <sheetName val="2004경영"/>
      <sheetName val="입적표"/>
      <sheetName val="단가조사-1"/>
      <sheetName val="Man Power &amp; Comp"/>
      <sheetName val="손익집계(공장별)"/>
      <sheetName val="설계명세서(선로)"/>
      <sheetName val="현장관리비데이타"/>
      <sheetName val="1)fs"/>
      <sheetName val="구조     ."/>
      <sheetName val="공조기"/>
      <sheetName val="대림산업"/>
      <sheetName val="EKOG10건축"/>
      <sheetName val="내역서(전체)"/>
      <sheetName val="내역(토목)"/>
      <sheetName val="5.공종별예산내역서"/>
      <sheetName val="두앙"/>
      <sheetName val="깨기수량"/>
      <sheetName val="하중산정"/>
      <sheetName val="세부견적서(DAS Call Back)"/>
      <sheetName val="단중표-ST"/>
      <sheetName val="PIPE"/>
      <sheetName val="VALVE"/>
      <sheetName val="투찰내역"/>
      <sheetName val="COVER-P"/>
      <sheetName val="Piping(Methanol)"/>
      <sheetName val="재료집계"/>
      <sheetName val="인수공총괄"/>
      <sheetName val="덕소내역"/>
      <sheetName val="종합기별"/>
      <sheetName val="개보수공사BM"/>
      <sheetName val="CLAUSE"/>
      <sheetName val="약품설︀"/>
      <sheetName val="1공구 건정토건 철콘"/>
      <sheetName val="건축내역(진해석동)"/>
      <sheetName val="KMT물량"/>
      <sheetName val="Working(wo WTs)"/>
      <sheetName val="주조정실"/>
      <sheetName val="Requirements"/>
      <sheetName val="loading"/>
      <sheetName val="단가보완"/>
      <sheetName val="단위가격"/>
      <sheetName val="P-산#1-1(WOWA1)"/>
      <sheetName val="인공(100P,배선반)"/>
      <sheetName val="전기공사"/>
      <sheetName val="납부서"/>
      <sheetName val="일위대가(여기까지)"/>
      <sheetName val="단위_xdc00_ὗ␀"/>
      <sheetName val="수성페인트도장 내역서"/>
      <sheetName val="도급내역5+800"/>
      <sheetName val="변경내역서"/>
      <sheetName val="전체도급"/>
      <sheetName val="입찰"/>
      <sheetName val="현경"/>
      <sheetName val="전화번호DATA (2001)"/>
      <sheetName val="106C0300"/>
      <sheetName val="통로box전기"/>
      <sheetName val="밧데리"/>
      <sheetName val="진접"/>
      <sheetName val="사급자재(1단계)"/>
      <sheetName val="조명투자및환수계획"/>
      <sheetName val="제조중간결과"/>
      <sheetName val="J01"/>
      <sheetName val="공내ᰖ"/>
      <sheetName val="단면"/>
      <sheetName val="탑(을지)"/>
      <sheetName val="열린교실"/>
      <sheetName val="경산锼_x0013_閄"/>
      <sheetName val="단면瑌)"/>
      <sheetName val="22단"/>
      <sheetName val="22단锼"/>
      <sheetName val="기초자료입력및 K치 확인"/>
      <sheetName val="AS_x0005__x0000_"/>
      <sheetName val="진주䈀ᅪ"/>
      <sheetName val="사업수지"/>
      <sheetName val="기계경비단가"/>
      <sheetName val="지주설치제원"/>
      <sheetName val="역집계1"/>
      <sheetName val="삼보지질"/>
      <sheetName val="7.전산해석결과"/>
      <sheetName val="우각부검토"/>
      <sheetName val="기초입력"/>
      <sheetName val="공주-교대(A1)"/>
      <sheetName val="단가 "/>
      <sheetName val="보호"/>
      <sheetName val="성남여성복지내역"/>
      <sheetName val="안양1공구_건축"/>
      <sheetName val="기술자료 (연수)"/>
      <sheetName val="등록업체"/>
      <sheetName val="esc"/>
      <sheetName val="영흥TL(UP,DOWN) "/>
      <sheetName val="sheets"/>
      <sheetName val="내역아"/>
      <sheetName val="울타리"/>
      <sheetName val="2002계약현황"/>
      <sheetName val="w't table"/>
      <sheetName val="UR2-Calculation"/>
      <sheetName val="노임변동률"/>
      <sheetName val="품종별-이름"/>
      <sheetName val="부서현황"/>
      <sheetName val="Option"/>
      <sheetName val="사업계획1안"/>
      <sheetName val="VENDOR LIST"/>
      <sheetName val="공통비"/>
      <sheetName val="도장 및 용접 수량"/>
      <sheetName val="경율산정"/>
      <sheetName val="위성"/>
      <sheetName val="Vari by Vendor"/>
      <sheetName val="원내역서3"/>
      <sheetName val="3도로"/>
      <sheetName val="세동별비상"/>
      <sheetName val="대비내역"/>
      <sheetName val="9."/>
      <sheetName val="견적서1"/>
      <sheetName val="가CP"/>
      <sheetName val="기초및구체공"/>
      <sheetName val="금긋기 및 절단"/>
      <sheetName val="변경품셈총괄"/>
      <sheetName val="내역."/>
      <sheetName val="기계설비"/>
      <sheetName val="설계변경내역 98"/>
      <sheetName val="공제구간조서"/>
      <sheetName val="설계일반"/>
      <sheetName val="수압집계"/>
      <sheetName val="결합부검토"/>
      <sheetName val="신규 품"/>
      <sheetName val="변수데이타"/>
      <sheetName val="15100"/>
      <sheetName val="예산M6-B"/>
      <sheetName val="동원인원산출"/>
      <sheetName val="품셈기준"/>
      <sheetName val="대,怀፵"/>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22단헾"/>
      <sheetName val="단가적용(터널)"/>
      <sheetName val="단위가격_할증"/>
      <sheetName val="전선_및_전선ࠝ"/>
      <sheetName val="연동내역서"/>
      <sheetName val="제"/>
      <sheetName val="총괄집䠄ᡏ"/>
      <sheetName val="산출2-기기동력"/>
      <sheetName val="통신단가조사"/>
      <sheetName val="105,106,107동"/>
      <sheetName val="수로교총재료齘_x0013_"/>
      <sheetName val="산출및내역"/>
      <sheetName val="적용(기尜_x0013_"/>
      <sheetName val="1-11조직표"/>
      <sheetName val="96.12"/>
      <sheetName val="22단丵"/>
      <sheetName val="광혁기성"/>
      <sheetName val="일반부표집계표"/>
      <sheetName val="매출단가"/>
      <sheetName val="M-EQPT-Z"/>
      <sheetName val="현장대리인계"/>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1호인버트수량"/>
      <sheetName val="석축설면"/>
      <sheetName val="copy"/>
      <sheetName val="서식"/>
      <sheetName val="2000,咘೿踇⽟_x0000_"/>
      <sheetName val="2000,ﳨǬ踇⾣_x0000_"/>
      <sheetName val="실행변경(1차)"/>
      <sheetName val="2000,缈,罌,헾"/>
      <sheetName val="2000,薸!藼!헾"/>
      <sheetName val="2000,螨_x0013_蟬_x0013_헾"/>
      <sheetName val="2000,午_x0013_꾈ૂ䡲"/>
      <sheetName val="2000,午_x0013_ॢ䡲"/>
      <sheetName val="전체내저፺"/>
      <sheetName val="인건비堀"/>
      <sheetName val="전체내堀᎟"/>
      <sheetName val="전체내︀ᇕ"/>
      <sheetName val="전체내怀፵"/>
      <sheetName val="변경비鰀፰"/>
      <sheetName val="㰀"/>
      <sheetName val="전체내ᓈባ"/>
      <sheetName val="전체내죃፺"/>
      <sheetName val="주관锼_x0013_"/>
      <sheetName val="전체내쀀ፐ"/>
      <sheetName val="堀"/>
      <sheetName val="주관사堀"/>
      <sheetName val="전체내壈᎟"/>
      <sheetName val="전체내惇፵"/>
      <sheetName val="주관사저"/>
      <sheetName val="견적ꀀፐ"/>
      <sheetName val="전체내惈፵"/>
      <sheetName val="일위대가(계측ꀀፐቇ"/>
      <sheetName val="경ꀀፐ"/>
      <sheetName val="전체내죈፺"/>
      <sheetName val="교육종류"/>
      <sheetName val="견적堀᎟"/>
      <sheetName val="4렀቟԰"/>
      <sheetName val="4︀ᇕ԰"/>
      <sheetName val="자재조사표(참고용)"/>
      <sheetName val="제품"/>
      <sheetName val="3련 B姨#"/>
      <sheetName val="경로,구간현황"/>
      <sheetName val="자탐수량산출서"/>
      <sheetName val="CAPVC"/>
      <sheetName val="일반수량집계"/>
      <sheetName val="OCM"/>
      <sheetName val="AH-1 "/>
      <sheetName val="OHU"/>
      <sheetName val="형식별 개략공사비"/>
      <sheetName val="01_ 원가계산서"/>
      <sheetName val="등록׃】"/>
      <sheetName val="등록_x0010__x0000_"/>
      <sheetName val="PART_DISCOUNT"/>
      <sheetName val="등록_x0000__x0000_"/>
      <sheetName val="소상 &quot;1&quot;"/>
      <sheetName val="매입세율"/>
      <sheetName val="회로내역(승인)"/>
      <sheetName val="»êÃ렀䡟ԯ_x0000_缀"/>
      <sheetName val="»êÃ︀ᇕ԰_x0000_缀"/>
      <sheetName val="갈현동"/>
      <sheetName val="4/_x0000_䠀"/>
      <sheetName val="4쌇栅/"/>
      <sheetName val="4က_x0000_က"/>
      <sheetName val="증栀ᙿ가"/>
      <sheetName val="수안보-헾】_x0005__x0000_"/>
      <sheetName val="일위목차"/>
      <sheetName val="견적사양비교표"/>
      <sheetName val="송전재료비"/>
      <sheetName val="FIN TUBE"/>
      <sheetName val="HED. &amp; PIPE"/>
      <sheetName val="PUMP SHT"/>
      <sheetName val="한전고리-을"/>
      <sheetName val="MW-BM"/>
      <sheetName val="평가내역"/>
      <sheetName val="-15.0"/>
      <sheetName val="사리부설"/>
      <sheetName val="임대견적서"/>
      <sheetName val="36신丵〒_x0005_"/>
      <sheetName val="물량집계"/>
      <sheetName val="현장설က_x0000_蠀ᛟ"/>
      <sheetName val="환"/>
      <sheetName val="적용기준표(98년상반기)"/>
      <sheetName val="설계명세_x0005_"/>
      <sheetName val="DATA 입᠒ᎍ"/>
      <sheetName val="설계명세揄"/>
      <sheetName val="설계명세䡲"/>
      <sheetName val="견적서(1)"/>
      <sheetName val="2234"/>
      <sheetName val="조립1부실적"/>
      <sheetName val="5월"/>
      <sheetName val="능률"/>
      <sheetName val="Despacho (c.civil)"/>
      <sheetName val="인원"/>
      <sheetName val="견적의ᰀ፜"/>
      <sheetName val="사각맨᠜"/>
      <sheetName val="공기԰_x0000_缀"/>
      <sheetName val="설계睮め_x0005_"/>
      <sheetName val="사각맨0"/>
      <sheetName val="오억미만"/>
      <sheetName val="사각맨퀀"/>
      <sheetName val="사각맨堀"/>
      <sheetName val="사각맨䈀"/>
      <sheetName val="CF"/>
      <sheetName val="거푸집물량"/>
      <sheetName val="UPDATA"/>
      <sheetName val="원가계산서(남측)"/>
      <sheetName val="제조 경영"/>
      <sheetName val="금광1터널"/>
      <sheetName val="세부狇譈"/>
      <sheetName val="사각맨ﻇ"/>
      <sheetName val="몰탈재븧܊"/>
      <sheetName val="견적의"/>
      <sheetName val="견적의烇彰"/>
      <sheetName val="하도급선정의뢰서(습식공_x0000__x0000_"/>
      <sheetName val="2터널시점"/>
      <sheetName val="짉譥"/>
      <sheetName val="ᣉᎍ"/>
      <sheetName val="금액내렀቟"/>
      <sheetName val="금액내԰_x0000_"/>
      <sheetName val="성내동"/>
      <sheetName val="인원계획"/>
      <sheetName val="시행예산"/>
      <sheetName val="자압1"/>
      <sheetName val="조경내역"/>
      <sheetName val="물墸᎟鰀"/>
      <sheetName val="화재 탐지_x0005__x0000_"/>
      <sheetName val="전신환매도徸"/>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萀⅜"/>
      <sheetName val="貭♘"/>
      <sheetName val="산#2-1 (2)"/>
      <sheetName val="자재목록표"/>
      <sheetName val="2002상반기노임기준"/>
      <sheetName val="단중聀"/>
      <sheetName val="예산조서(무선)"/>
      <sheetName val="사급자재총괄"/>
      <sheetName val="구성1"/>
      <sheetName val="구성2"/>
      <sheetName val="구성3"/>
      <sheetName val="구성4"/>
      <sheetName val="69.03%"/>
      <sheetName val="변경내역100%"/>
      <sheetName val="변경내역98%"/>
      <sheetName val="변경내역96%"/>
      <sheetName val="변경내역92%"/>
      <sheetName val="변경내역88%"/>
      <sheetName val="변경내역84.52%"/>
      <sheetName val="산출0"/>
      <sheetName val="5.공종별尜_x0013_層_x0013_闰"/>
      <sheetName val="평3"/>
      <sheetName val="2.펌프장(사급자재)"/>
      <sheetName val="A1_본체_수량산출서"/>
      <sheetName val="내역총괄"/>
      <sheetName val="내역서(삼호)"/>
      <sheetName val="지하1층"/>
      <sheetName val="공비대䠚"/>
      <sheetName val="금액내㔀቎"/>
      <sheetName val="본사인상전"/>
      <sheetName val="단가산출-기,교"/>
      <sheetName val="당사"/>
      <sheetName val="내역총괄2"/>
      <sheetName val="내역총괄3"/>
      <sheetName val="0001(arch)"/>
      <sheetName val="FO"/>
      <sheetName val="Summary Sheet"/>
      <sheetName val="일위대가내역"/>
      <sheetName val="대전-교대(A1-A2)"/>
      <sheetName val="만수배관단가"/>
      <sheetName val="FRP배관단가(만수)"/>
      <sheetName val="STD"/>
      <sheetName val="10월"/>
      <sheetName val="연면적"/>
      <sheetName val="991029UTP용 M.D.F"/>
      <sheetName val="현장점검 1"/>
      <sheetName val="상가을 "/>
      <sheetName val="3.사용전검사(1000KW이상)(본동-수정)"/>
      <sheetName val="계획예산입력자료"/>
      <sheetName val="전압"/>
      <sheetName val="가공2원도"/>
      <sheetName val="일(4)"/>
      <sheetName val="1F"/>
      <sheetName val="손익계산서"/>
      <sheetName val="대차대조표"/>
      <sheetName val="폐토수익화 "/>
      <sheetName val="수량산출1"/>
      <sheetName val="수전기기DATA"/>
      <sheetName val="(전체발주,금회3차공사)내역서"/>
      <sheetName val="정산내역서"/>
      <sheetName val="98수금사업"/>
      <sheetName val="FRT_O"/>
      <sheetName val="FAB_I"/>
      <sheetName val="RING WALL"/>
      <sheetName val="공사비PK5월"/>
      <sheetName val="간접비(1)"/>
      <sheetName val="터널(토공)"/>
      <sheetName val="리터팬내장형"/>
      <sheetName val="내역총괄표"/>
      <sheetName val="5차설계"/>
      <sheetName val="경비산출"/>
      <sheetName val="FUSE_MCB"/>
      <sheetName val="full (2)"/>
      <sheetName val="BREAKDOWN"/>
      <sheetName val="IPS0823"/>
      <sheetName val="공조기(삭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산출목록표"/>
      <sheetName val="수원공"/>
      <sheetName val="DATA-UPS"/>
      <sheetName val="건설장비기초단가"/>
      <sheetName val="9-1차이내역."/>
      <sheetName val="총괄표(1)"/>
      <sheetName val="공종별집계표"/>
      <sheetName val="부산4"/>
      <sheetName val="계약표지"/>
      <sheetName val="내역서-전체낙찰율"/>
      <sheetName val="개봉3동하수관"/>
      <sheetName val="장비부하"/>
      <sheetName val="내역5"/>
      <sheetName val="역간(덕_동)"/>
      <sheetName val="역간(의-덕)"/>
      <sheetName val="단가대비표(SYS)"/>
      <sheetName val="제조노임"/>
      <sheetName val="변품8-37"/>
      <sheetName val="현장일보"/>
      <sheetName val="보집계표"/>
      <sheetName val="ISBL-CIV"/>
      <sheetName val="단가대비"/>
      <sheetName val="전류"/>
      <sheetName val="일위단가"/>
      <sheetName val="일위(설)"/>
      <sheetName val="전기공사일위대가"/>
      <sheetName val="일위대가표_(2)"/>
      <sheetName val="General_Data"/>
      <sheetName val="5호광장_(만점)"/>
      <sheetName val="인천국제_(만점)_(2)"/>
      <sheetName val="설_계"/>
      <sheetName val="방음벽_기초_일반수량"/>
      <sheetName val="sum1_(2)"/>
      <sheetName val="원가계산서_(총괄)"/>
      <sheetName val="원가계산서_(건축)"/>
      <sheetName val="제원_설계조건"/>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º¹±¸·®»êÁ¤_¹×_Àü¿ëÈ¸¼±_»ç¿ë"/>
      <sheetName val="4¿ù_½ÇÀûÃßÁ¤(°ÇÃà+Åä¸ñ)"/>
      <sheetName val="4¿ù_½ÇÀûÃßÁ¤(°ÇÃà)"/>
      <sheetName val="2000_11¿ù¼³°è³»¿ª"/>
      <sheetName val="Àü¼±_¹×_Àü¼±°ü"/>
      <sheetName val="ÁØ°Ë_³»¿ª¼­"/>
      <sheetName val="¼ö¸ñµ¥ÀÌÅ¸_"/>
      <sheetName val="º¯¾Ð±â_¹×_¹ßÀü±â_¿ë·®"/>
      <sheetName val="1_¼öÀÎÅÍ³Î"/>
      <sheetName val="외주대비_-석축"/>
      <sheetName val="외주대비-구조물_(2)"/>
      <sheetName val="견적표지_(3)"/>
      <sheetName val="일위대가_집계표"/>
      <sheetName val="공사비_내역_(가)"/>
      <sheetName val="임시급식_(2)"/>
      <sheetName val="unit_4"/>
      <sheetName val="Summary_Sheets"/>
      <sheetName val="5_정산서"/>
      <sheetName val="맨홀물량"/>
      <sheetName val="열차제어동"/>
      <sheetName val="전기성능동"/>
      <sheetName val="차량시스템인자"/>
      <sheetName val="차량부품동"/>
      <sheetName val="신.분"/>
      <sheetName val="96노임기준"/>
      <sheetName val="시중노임(공사)"/>
      <sheetName val="기성공제요청서"/>
      <sheetName val="하도기성내역 수정"/>
      <sheetName val="기성공제 동의서"/>
      <sheetName val="기성공제 합의서(쓰레기처리비)"/>
      <sheetName val="정보"/>
      <sheetName val="현대물량"/>
      <sheetName val="한화 둔산 내역서"/>
      <sheetName val="적격점수&lt;300억미만&gt;"/>
      <sheetName val="간이영수증"/>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데이터북"/>
      <sheetName val="조명참고자료"/>
      <sheetName val="Cable schedule"/>
      <sheetName val="V-data"/>
      <sheetName val="L-data"/>
      <sheetName val="P-data"/>
      <sheetName val="pbs_lambda"/>
      <sheetName val="Matériel embarqué PVC"/>
      <sheetName val="기지국"/>
      <sheetName val="4월"/>
      <sheetName val="8월"/>
      <sheetName val="12월"/>
      <sheetName val="2월"/>
      <sheetName val="7월"/>
      <sheetName val="6월"/>
      <sheetName val="3월"/>
      <sheetName val="11월"/>
      <sheetName val="9월"/>
      <sheetName val="교실"/>
      <sheetName val="꣈፺"/>
      <sheetName val="¼ö·®»êÃÈ"/>
      <sheetName val="저፺"/>
      <sheetName val="¼ö·®»êÃX"/>
      <sheetName val="壈᎟"/>
      <sheetName val="쀀ፐ"/>
      <sheetName val="죈፺"/>
      <sheetName val="惈፵"/>
      <sheetName val="48신설수량"/>
      <sheetName val="품셈(기초)"/>
      <sheetName val="대가단최종"/>
      <sheetName val="부丵〒"/>
      <sheetName val="부司2"/>
      <sheetName val="성원계약"/>
      <sheetName val="2000.11¿ù¼³餀㢘ԯ_x0000_缀_x0000_"/>
      <sheetName val="총괄집렇♑"/>
      <sheetName val="아산경희980422"/>
      <sheetName val="총괄집桶青"/>
      <sheetName val="01상노임"/>
      <sheetName val="Instruction"/>
      <sheetName val="22단가(철完9"/>
      <sheetName val="T1"/>
      <sheetName val="1차배부(JB포함)"/>
      <sheetName val="원내역서 그대로"/>
      <sheetName val="설계내역일위"/>
      <sheetName val="969910( R)"/>
      <sheetName val="전장품(관리용)"/>
      <sheetName val="박스토공"/>
      <sheetName val="남대문빌딩"/>
      <sheetName val="PUMP"/>
      <sheetName val="각종장비전압강하계산"/>
      <sheetName val="거래명세서"/>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재경"/>
      <sheetName val="5.일위대가"/>
      <sheetName val="6.철거발생품예정조서"/>
      <sheetName val="7.지급자재조서"/>
      <sheetName val="8.가격조사서"/>
      <sheetName val="준설량산정표"/>
      <sheetName val="01하반기노임"/>
      <sheetName val="울진항공등화 내역서"/>
      <sheetName val="단가견적조사표"/>
      <sheetName val="공무공A"/>
      <sheetName val="36신설수翇"/>
      <sheetName val="36신설수︀"/>
      <sheetName val="견적꓀᥻"/>
      <sheetName val="수안보-_x0005__x0000__x0000_"/>
      <sheetName val="36신설수Ç"/>
      <sheetName val="36신설수資"/>
      <sheetName val="수안보-徸〒_x0005__x0000_"/>
      <sheetName val="비목군분류일위"/>
      <sheetName val="입출재고현⩿〚_x0005__x0000_"/>
      <sheetName val="º¯°æ»çÀ_x0000_"/>
      <sheetName val="백호헾】_x0005_"/>
      <sheetName val="수안보-娐&gt;闰⿑"/>
      <sheetName val="수안보-ꮸ⿥_x0005__x0000_"/>
      <sheetName val="백호丵〒_x0005_"/>
      <sheetName val="공작물조직표(용배수)"/>
      <sheetName val="투찰가"/>
      <sheetName val="구조대가"/>
      <sheetName val="포설대가1"/>
      <sheetName val="부대대가"/>
      <sheetName val="철근총괄집계표"/>
      <sheetName val="홈통받이수량"/>
      <sheetName val="공사수행방안"/>
      <sheetName val="Data2"/>
      <sheetName val="참조 DATA"/>
      <sheetName val="program"/>
      <sheetName val="studbolt no."/>
      <sheetName val="studbolt size"/>
      <sheetName val="item sort no"/>
      <sheetName val="기준"/>
      <sheetName val="파이프"/>
      <sheetName val="철근량_검토"/>
      <sheetName val="기술자료_(연수)"/>
      <sheetName val="실행비교"/>
      <sheetName val="지입재료비"/>
      <sheetName val="산출명세서"/>
      <sheetName val="조정내역"/>
      <sheetName val="조정_x0014__x0008_"/>
      <sheetName val="_x0000__x0008__x0000__x0008__x0000__x0006__x0000__x0004_"/>
      <sheetName val="상가지급현황"/>
      <sheetName val="13LPMCC"/>
      <sheetName val="마장"/>
      <sheetName val="3_바닥판설계1"/>
      <sheetName val="Piping_Design_Data"/>
      <sheetName val="H_PILE수량"/>
      <sheetName val="Ampecity_Data"/>
      <sheetName val="BASIC_(2)"/>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산재_안전"/>
      <sheetName val="노무비_경비"/>
      <sheetName val="소상_&quot;1&quot;"/>
      <sheetName val="개요입력"/>
      <sheetName val="수량기준"/>
      <sheetName val="단가기준"/>
      <sheetName val="결재판"/>
      <sheetName val="변경총괄지(1)"/>
      <sheetName val="기계경비(旉る_x0000__x0000_"/>
      <sheetName val="기계경비(贘_x0013_짘ࣅ"/>
      <sheetName val="MANUFACTORY"/>
      <sheetName val="일위대가서식"/>
      <sheetName val="일위대가양식"/>
      <sheetName val="O＆P"/>
      <sheetName val="결재판(삭제하지말아주세요)"/>
      <sheetName val="케이블"/>
      <sheetName val="유첨䈀ᅪ"/>
      <sheetName val="토공,기초"/>
      <sheetName val="자재 단가표"/>
      <sheetName val="주간계획"/>
      <sheetName val="선택"/>
      <sheetName val="총괄원가 "/>
      <sheetName val="TG9504"/>
      <sheetName val="1995년 섹터별 매출"/>
      <sheetName val="master(total)"/>
      <sheetName val="99년신청"/>
      <sheetName val="아수배전(1회)"/>
      <sheetName val="인건비_조사"/>
      <sheetName val="일위1"/>
      <sheetName val="공사설계서"/>
      <sheetName val="층"/>
      <sheetName val="배수내역(총수량)"/>
      <sheetName val="3련 B_x0005__x0000_"/>
      <sheetName val="기성수금(단단위)"/>
      <sheetName val="원가매출(단단위)"/>
      <sheetName val="설치 일위대가(4԰_x0000_缀_x0000__x0000__x0000_"/>
      <sheetName val="프로젝트"/>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Condition"/>
      <sheetName val="choose"/>
      <sheetName val="별표(48~75)"/>
      <sheetName val="제3장 기술업무"/>
      <sheetName val="일반전기C"/>
      <sheetName val="POOM_MOTO"/>
      <sheetName val="기초코徸"/>
      <sheetName val="예산조서(︀ᇕ԰"/>
      <sheetName val="205동"/>
      <sheetName val="과세면세표"/>
      <sheetName val="PARAMETER"/>
      <sheetName val="세부내역(직접인건비)"/>
      <sheetName val="현장지䀀ኀ㠀ኃ"/>
      <sheetName val="건축원가"/>
      <sheetName val="집계(세부총괄)"/>
      <sheetName val="물가변동잔여물량세부내역서"/>
      <sheetName val="신규(방류시설)"/>
      <sheetName val="덤프트럭계수"/>
      <sheetName val="미지급내역"/>
      <sheetName val="첨부1"/>
      <sheetName val="재료표"/>
      <sheetName val="금액결揄"/>
      <sheetName val="공사비 내역"/>
      <sheetName val="매입내역 "/>
      <sheetName val="거래처별지출내역"/>
      <sheetName val="㩷"/>
      <sheetName val="렀ⵘ"/>
      <sheetName val="֭_x0000_"/>
      <sheetName val="Param"/>
      <sheetName val="입찰보Ⳡ"/>
      <sheetName val="총(철거)"/>
      <sheetName val="RangeObject"/>
      <sheetName val="등록자료"/>
      <sheetName val="방음벽기초(H_xd8d4_ㆂᰀㆃ"/>
      <sheetName val="입찰준비계획안(부대)"/>
      <sheetName val="입찰준비계획안(외주)"/>
      <sheetName val="입찰준비계획안(기타견적)"/>
      <sheetName val="장항선4공구직접비집계"/>
      <sheetName val="용수간선"/>
      <sheetName val="노무비(첨부4-4)"/>
      <sheetName val="왕십리방향"/>
      <sheetName val="︀ᇕ"/>
      <sheetName val="怀፵"/>
      <sheetName val="주사무실︀ᇕ"/>
      <sheetName val="주사무실ꠀ፺"/>
      <sheetName val="BOX ꠀ፺"/>
      <sheetName val="㗈቎"/>
      <sheetName val="¼ö·®»êÃ¨"/>
      <sheetName val="주관사_x0000_"/>
      <sheetName val="주관사提"/>
      <sheetName val="주관사㌈"/>
      <sheetName val="주관사㧨"/>
      <sheetName val="전부인쇄"/>
      <sheetName val="1.외주공사"/>
      <sheetName val="2.직영공사"/>
      <sheetName val="첨부"/>
      <sheetName val="계산DATA입력"/>
      <sheetName val="계좌번호"/>
      <sheetName val="청하배수"/>
      <sheetName val="원가집계"/>
      <sheetName val="파이프류"/>
      <sheetName val="점검내역서(data) (2)"/>
      <sheetName val="2.주요계수총괄"/>
      <sheetName val="입찰사유서 제4공종 (흙깎기)"/>
      <sheetName val="D16"/>
      <sheetName val="D25"/>
      <sheetName val="D22"/>
      <sheetName val="단위세대물량"/>
      <sheetName val="변경품셈"/>
      <sheetName val="OCT.FDN"/>
      <sheetName val="HANDHOLE(2)"/>
      <sheetName val="N頀ᚃ"/>
      <sheetName val="N"/>
      <sheetName val="AHU집계"/>
      <sheetName val="B부대공"/>
      <sheetName val="분양가격표"/>
      <sheetName val="일목"/>
      <sheetName val="기준표"/>
      <sheetName val="º¯°æ»çÀþ"/>
      <sheetName val="제수변︀ᇕ"/>
      <sheetName val="결과조Ⴚ"/>
      <sheetName val="결과조º"/>
      <sheetName val="º¯°æ»çÀ¸"/>
      <sheetName val="º¯°æ»çÀ5"/>
      <sheetName val="º¯°æ»çÀ "/>
      <sheetName val="제수변﹔ᇕ"/>
      <sheetName val="º¯°æ»çÀB"/>
      <sheetName val="단가일䊱"/>
      <sheetName val="전체내ﰀ⁗"/>
      <sheetName val="제수변䊱ᅪ"/>
      <sheetName val="A(Rev.3)"/>
      <sheetName val="부총"/>
      <sheetName val="원가계墬ᥓ"/>
      <sheetName val="원가계Ⴌ_x0000_"/>
      <sheetName val="관로토공집계표"/>
      <sheetName val="토 적 표"/>
      <sheetName val="3회기성헾】"/>
      <sheetName val="변경비교헾】"/>
      <sheetName val="몰탈㔀቎԰_x0000_"/>
      <sheetName val="몰탈䠊ፓ倀놡"/>
      <sheetName val="몰탈䠋ፓ頀뫻"/>
      <sheetName val="몰탈䠠ፓ瀀멗"/>
      <sheetName val="몰탈䠊ፓ "/>
      <sheetName val="몰탈䠉ፓ退"/>
      <sheetName val="몰탈䠉ፓ退ꠍ"/>
      <sheetName val="몰탈䠑ፓ뀀짅"/>
      <sheetName val="TOEC"/>
      <sheetName val="몰탈䠊ፓ㠀擞"/>
      <sheetName val="bdata-출력안함"/>
      <sheetName val="공리공제"/>
      <sheetName val="자재ᰀ፜搀"/>
      <sheetName val="부대공집계표"/>
      <sheetName val="노무비(DB)_이후 출력XXXXXX"/>
      <sheetName val="3회기성䃸〒"/>
      <sheetName val="3회기성_x0005__x0000_"/>
      <sheetName val="3회기성吸("/>
      <sheetName val="3회기성ⱂ⿌"/>
      <sheetName val="3회기성埀0"/>
      <sheetName val="철거산출헾】"/>
      <sheetName val="철거산출午_x0013_"/>
      <sheetName val="평균터파기고(1-2,ASP)"/>
      <sheetName val="남양주부대"/>
      <sheetName val="단위목헾"/>
      <sheetName val="지입집계"/>
      <sheetName val="11+040(통로)"/>
      <sheetName val="일별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지불내역1"/>
      <sheetName val="집수정(1)"/>
      <sheetName val="공사비명세서"/>
      <sheetName val="PAC"/>
      <sheetName val="행거,슈,볼트,펌프,잡재"/>
      <sheetName val="을-ATYPE"/>
      <sheetName val="동력부하계산"/>
      <sheetName val="단가표 (2)"/>
      <sheetName val="소각장스케줄"/>
      <sheetName val="단__가__대__비__표"/>
      <sheetName val="일__위__대__가__목__록"/>
      <sheetName val="페인트"/>
      <sheetName val="30신설일위대가"/>
      <sheetName val="30집계표"/>
      <sheetName val="00노임기준"/>
      <sheetName val="소일위대가코드표"/>
      <sheetName val="일위대가(가설԰"/>
      <sheetName val="TYPE집계표"/>
      <sheetName val="포쐀䑣"/>
      <sheetName val="포䠟⥏"/>
      <sheetName val="포䠠⥏"/>
      <sheetName val="포䈀㙪"/>
      <sheetName val="栍ᾆ"/>
      <sheetName val="시초1교"/>
      <sheetName val="대구-교대(A1)"/>
      <sheetName val="ꀀ"/>
      <sheetName val="공정량산출내역서 "/>
      <sheetName val="제철"/>
      <sheetName val="조정금액결과표 (차수별)"/>
      <sheetName val="토공실행"/>
      <sheetName val="구간산출"/>
      <sheetName val="Ext. Stone-P"/>
      <sheetName val="단위_x0000__x0000_尀"/>
      <sheetName val="단위ࠀᎄ䰀"/>
      <sheetName val="단위倀❹缀"/>
      <sheetName val="단위耀ὡ"/>
      <sheetName val="B767"/>
      <sheetName val="0.갑지"/>
      <sheetName val="건축공사 집계표"/>
      <sheetName val="토공대가"/>
      <sheetName val="B.O.M"/>
      <sheetName val="설변물량"/>
      <sheetName val="예비품"/>
      <sheetName val="제丵"/>
      <sheetName val="PW3"/>
      <sheetName val="PW4"/>
      <sheetName val="SC1"/>
      <sheetName val="PE"/>
      <sheetName val="PM"/>
      <sheetName val="TR"/>
      <sheetName val="금호산업"/>
      <sheetName val="총괄갑 "/>
      <sheetName val="5.동별횡주관경"/>
      <sheetName val="154TW"/>
      <sheetName val="수주실적0709"/>
      <sheetName val="제4절-1"/>
      <sheetName val="PANEL"/>
      <sheetName val="일위(시설)"/>
      <sheetName val="조건입력"/>
      <sheetName val="조건입력(2)"/>
      <sheetName val="장비선정"/>
      <sheetName val="공통대가"/>
      <sheetName val="특기사항"/>
      <sheetName val="하도내역 (철콘)"/>
      <sheetName val="대가 (보완)"/>
      <sheetName val="토목원가계窨_x0013_"/>
      <sheetName val="신공항A-9헾】_x0005__x0000__x0000_"/>
      <sheetName val="기존구조물철거집계계표"/>
      <sheetName val="내역서(교량)전체"/>
      <sheetName val="장비경비"/>
      <sheetName val="건공실"/>
      <sheetName val="총괄집㸁䧾"/>
      <sheetName val="허용전류-IEC DATA"/>
      <sheetName val="배관내역"/>
      <sheetName val="POWER"/>
      <sheetName val="교대일반수량"/>
      <sheetName val="WO"/>
      <sheetName val="비용"/>
      <sheetName val="적용환율"/>
      <sheetName val="DS-최종"/>
      <sheetName val="PREFACE"/>
      <sheetName val="DATA-1"/>
      <sheetName val="간접총괄"/>
      <sheetName val="960318-1"/>
      <sheetName val="2006기계䈌ᅪ԰_x0000_缀"/>
      <sheetName val="기타공"/>
      <sheetName val="재원표"/>
      <sheetName val="FCU (2)"/>
      <sheetName val="장비분석"/>
      <sheetName val="석재장조사"/>
      <sheetName val="기성청구현황"/>
      <sheetName val="JUCK֕_x0000_缀"/>
      <sheetName val="전체실적"/>
      <sheetName val="도급FORM"/>
      <sheetName val="귀래방향"/>
      <sheetName val="운반비산정"/>
      <sheetName val="을 2"/>
      <sheetName val="을 1"/>
      <sheetName val="재1"/>
      <sheetName val="장비가동"/>
      <sheetName val="IN"/>
      <sheetName val="CT "/>
      <sheetName val="정거장"/>
      <sheetName val="길내기"/>
      <sheetName val="강관산출"/>
      <sheetName val="master(2차)"/>
      <sheetName val="내역통합"/>
      <sheetName val="성토도수로현황"/>
      <sheetName val="구조물"/>
      <sheetName val="당사실시1"/>
      <sheetName val="하도급선정의뢰_x0000__x0000_螨_x0000__x0000__x0000_ۈ"/>
      <sheetName val="48전력선로일挔"/>
      <sheetName val="콘센트신설"/>
      <sheetName val="FWBS7000,8000"/>
      <sheetName val="ANALYSER"/>
      <sheetName val="ring wall thickness"/>
      <sheetName val="Change rate"/>
      <sheetName val="B3.PERSONEL-Ucret"/>
      <sheetName val="공정표(전체)"/>
      <sheetName val="무전표"/>
      <sheetName val="NOTE ALL"/>
      <sheetName val="내역서(당초변경)"/>
      <sheetName val="2.조명기구철거(일괄철거분)"/>
      <sheetName val="대운반(철재)"/>
      <sheetName val="설계수량"/>
      <sheetName val="3.2.1 마루높이결정"/>
      <sheetName val="제품橂"/>
      <sheetName val="피스표"/>
      <sheetName val="산업개발안내서"/>
      <sheetName val="작성양식"/>
      <sheetName val="품-(주)코①"/>
      <sheetName val="자재단가리스트"/>
      <sheetName val="공사내역(총괄)"/>
      <sheetName val="대보~세기"/>
      <sheetName val="8.수량산출 (2)"/>
      <sheetName val="일위대가표 (⠋ᡏ"/>
      <sheetName val="일위대가표 (䀀⅒"/>
      <sheetName val="ÀÏÀ§´ë°¡Ç¥(1@"/>
      <sheetName val="일위대가표 (ԯ_x0000_"/>
      <sheetName val="관헾"/>
      <sheetName val="원가(1︀"/>
      <sheetName val="원가(1䠀"/>
      <sheetName val="관聈"/>
      <sheetName val="관_x0005_"/>
      <sheetName val="제수午_x0013_ὐ"/>
      <sheetName val="수안보-墰5壼5"/>
      <sheetName val="5.3 단면가정"/>
      <sheetName val="시추주상도"/>
      <sheetName val="일위집계(기존)"/>
      <sheetName val="북제주-표지"/>
      <sheetName val="COVERSHEET"/>
      <sheetName val="[YES.XLS][YES.XLS]4/_x0000_䠀"/>
      <sheetName val="[YES.XLS][YES.XLS]4쌇栅/"/>
      <sheetName val="05년"/>
      <sheetName val="내역서(총괄)"/>
      <sheetName val="공종별 집계표"/>
      <sheetName val="철콘집계"/>
      <sheetName val="5회기성03월"/>
      <sheetName val="공통가설_8"/>
      <sheetName val="아파트_9"/>
      <sheetName val="직접공사비집계표_7"/>
      <sheetName val="GTG TR PIT"/>
      <sheetName val="BLR-S"/>
      <sheetName val="일위대가표(무)"/>
      <sheetName val="일위대가산출기초"/>
      <sheetName val="장비명"/>
      <sheetName val="cable-data"/>
      <sheetName val="1._x005f_x0018_변전설비"/>
      <sheetName val="입렀"/>
      <sheetName val="입栀"/>
      <sheetName val="입ꠀ"/>
      <sheetName val="평균환율-USD"/>
      <sheetName val="인원동원계획"/>
      <sheetName val="입︀"/>
      <sheetName val=" 소방공사 산출근거"/>
      <sheetName val="YES.XLS"/>
      <sheetName val="물량증감"/>
      <sheetName val="9902"/>
      <sheetName val="적격"/>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역삼"/>
      <sheetName val="배수관연장산출서"/>
      <sheetName val="기초ա_x0000_"/>
      <sheetName val="물량尜"/>
      <sheetName val="토공,철콘"/>
      <sheetName val="변경비丵〒_x0005_"/>
      <sheetName val="물량丵"/>
      <sheetName val="AILC005"/>
      <sheetName val="AILC00_x0000_"/>
      <sheetName val="AILC00_x0010_"/>
      <sheetName val="우,오수"/>
      <sheetName val="팔당터널(1공구)"/>
      <sheetName val="흙쌓기도수로설치현황(1)"/>
      <sheetName val="식재-외주 (2)"/>
      <sheetName val="자(3.0m)"/>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자재노임단가"/>
      <sheetName val="크레인5ton"/>
      <sheetName val="단가산출-2"/>
      <sheetName val="기초수량-1"/>
      <sheetName val="단가산출-1"/>
      <sheetName val="작용하중산정"/>
      <sheetName val="倀ᑙ"/>
      <sheetName val="1x"/>
      <sheetName val="栈᲋"/>
      <sheetName val="_xd810_᱓"/>
      <sheetName val="자재단가_x0005_"/>
      <sheetName val="물塠"/>
      <sheetName val="물徸"/>
      <sheetName val="guard(mac¸"/>
      <sheetName val="물嬼"/>
      <sheetName val="물闰"/>
      <sheetName val="guard(macð"/>
      <sheetName val="물呈"/>
      <sheetName val="guard(macH"/>
      <sheetName val="[YES.XLS][YES.XLS]신표司/"/>
      <sheetName val="변경비_x0000__x0000_Ѡ"/>
      <sheetName val="°ø»ç¿ø°¡°è牨-犬-"/>
      <sheetName val="전체내역갑지"/>
      <sheetName val="실행내역서 (조경)"/>
      <sheetName val="형틀공사"/>
      <sheetName val="주소록"/>
      <sheetName val="전체내ꀀፐ"/>
      <sheetName val="교대(A1挔"/>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
      <sheetName val="[YES.XLS][YES.XLS][YES.XLS]신표司/"/>
      <sheetName val="[YES.XLS]신표司/"/>
      <sheetName val="총괄분 설계서용지"/>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Macro(부하)"/>
      <sheetName val="밀양노선별공사비명세서"/>
      <sheetName val="일위산출근거"/>
      <sheetName val="적격심사표"/>
      <sheetName val="실내건축일위대가"/>
      <sheetName val="5.전사투자계획종함안"/>
      <sheetName val="기성신청"/>
      <sheetName val="방음벽 기초 일반헾】"/>
      <sheetName val="카렌스센터계량기설치공사"/>
      <sheetName val="지입자재"/>
      <sheetName val="배전반용량계산"/>
      <sheetName val="세정탑 설계"/>
      <sheetName val="기계설비-물가변동"/>
      <sheetName val="[YES.XLS][YES.XLS][YES.XLS]4/_x0000_䠀"/>
      <sheetName val="[YES.XLS][YES.XLS][YES.XLS]4쌇栅/"/>
      <sheetName val="교사기준면적(초등)"/>
      <sheetName val="새공통"/>
      <sheetName val="3절_CheckList_구분"/>
      <sheetName val="적정성평가표(8번)(1순위)"/>
      <sheetName val="적정성평가표(12번)(6순위)"/>
      <sheetName val="가옥조"/>
      <sheetName val="기계경비산출"/>
      <sheetName val="1_x0005_"/>
      <sheetName val="도면자료제출일정"/>
      <sheetName val="시공계_x0005_"/>
      <sheetName val="변경비_x0005__x0000_"/>
      <sheetName val="교대시점"/>
      <sheetName val="8. 안_x0000__x0000__x0005_"/>
      <sheetName val="경비공통"/>
      <sheetName val="동원인원계획표"/>
      <sheetName val="총괄집ᨈꥬ"/>
      <sheetName val="총괄집_x0000__x0000_"/>
      <sheetName val="VS P-Q"/>
      <sheetName val="KSHAHU-6"/>
      <sheetName val="LANGUAGE"/>
      <sheetName val="전기내역서(총계)"/>
      <sheetName val="1-최종안"/>
      <sheetName val="사업분석-분양가결정"/>
      <sheetName val="할丵〒"/>
      <sheetName val="부하집계"/>
      <sheetName val="영구峤"/>
      <sheetName val="단가_x0005__x0000_"/>
      <sheetName val="영구_x0005_"/>
      <sheetName val="영구射"/>
      <sheetName val="영구嶄"/>
      <sheetName val="설계(안)"/>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견적 (2)"/>
      <sheetName val="수곡내역"/>
      <sheetName val="전체내역 (2)"/>
      <sheetName val="Formulas &amp; Tables"/>
      <sheetName val="±âÀÚÀç´ëºñÇ¥"/>
      <sheetName val="¿¬°áÀÓ½Ã"/>
      <sheetName val="°ü±Þ"/>
      <sheetName val="일위대가 (PM)"/>
      <sheetName val="임시전기공사설계서"/>
      <sheetName val="토적계산"/>
      <sheetName val="96 능제취입"/>
      <sheetName val="M+1"/>
      <sheetName val="광,철광석 사용량(2000)"/>
      <sheetName val="포,철광석 사용량(2000)"/>
      <sheetName val="91,92황산"/>
      <sheetName val="도급단가-아파트"/>
      <sheetName val="BREAKDOWN(철거설치)"/>
      <sheetName val="변경후원본2"/>
      <sheetName val="LABTOTAL"/>
      <sheetName val="경성자금"/>
      <sheetName val="SUB일위대가"/>
      <sheetName val="평자재단가"/>
      <sheetName val="DRAIN DRUM PIT D-301"/>
      <sheetName val="목록1"/>
      <sheetName val="목록2"/>
      <sheetName val="요약"/>
      <sheetName val="전체총괄"/>
      <sheetName val="세목별"/>
      <sheetName val="소개"/>
      <sheetName val="#REF!"/>
      <sheetName val="계열사현황종합"/>
      <sheetName val="basic_info"/>
      <sheetName val="총공사비"/>
      <sheetName val="INS-SHEET"/>
      <sheetName val="shtOpr"/>
      <sheetName val="증감䈀ᅪ"/>
      <sheetName val="원가계산(2)"/>
      <sheetName val="/_x0000_"/>
      <sheetName val="က_x0000_"/>
      <sheetName val="포장쌅"/>
      <sheetName val="예산내역"/>
      <sheetName val="총괄수지표"/>
      <sheetName val="9GN邷㭘"/>
      <sheetName val="¹׃】_x0000_"/>
      <sheetName val="전등부하"/>
      <sheetName val="_x0005__x0006__x0008__x0003_"/>
      <sheetName val="_x0000_ _x0000__x0006__x0000__x0006_"/>
      <sheetName val="날개벽(좌,우=60도-4개)"/>
      <sheetName val="건0_x0000_蠀"/>
      <sheetName val="금0_x0000_䠀"/>
      <sheetName val="금蠣㡎耀"/>
      <sheetName val="재료집계표3"/>
      <sheetName val="범용개발순소요비용"/>
      <sheetName val="산#3-1"/>
      <sheetName val="산#3-2"/>
      <sheetName val="배관BM(일반)"/>
      <sheetName val="산#3-2-2"/>
      <sheetName val="수출가격"/>
      <sheetName val="IBL-C"/>
      <sheetName val="Architecture Work"/>
      <sheetName val="6.2.1 지하차도 조도계산"/>
      <sheetName val="8공구 강재 수량"/>
      <sheetName val="EVALUATE물량산출서"/>
      <sheetName val="스라브"/>
      <sheetName val="Stem Footing"/>
      <sheetName val="변경_x0005__x0006__x0004__x0004_"/>
      <sheetName val="_x0000__x0002__x0000__x0007__x0000__x0004__x0000__x0007__x0000_"/>
      <sheetName val="(14)전기품셈정산"/>
      <sheetName val="(12)전기경비"/>
      <sheetName val="8. _x0005__x0000__x0000_"/>
      <sheetName val="바이오"/>
      <sheetName val="도급내역서"/>
      <sheetName val="지급자재대"/>
      <sheetName val="5."/>
      <sheetName val="12."/>
      <sheetName val="14."/>
      <sheetName val="7."/>
      <sheetName val="8."/>
      <sheetName val="10."/>
      <sheetName val="PI蒨9"/>
      <sheetName val="겉장"/>
      <sheetName val="율림"/>
      <sheetName val="화진"/>
      <sheetName val="가설(내부수평비계)"/>
      <sheetName val="건축물현장정리"/>
      <sheetName val="공통가설공사(공통)"/>
      <sheetName val="골재대"/>
      <sheetName val="폐기물 (2)"/>
      <sheetName val="경로당내역건축"/>
      <sheetName val="노임단가(08.01)"/>
      <sheetName val="몰탈단가"/>
      <sheetName val="기능공인적사항"/>
      <sheetName val="5.단가대비표"/>
      <sheetName val="노임,자재"/>
      <sheetName val="기계경비(맨홀)"/>
      <sheetName val="4.일위대가목차"/>
      <sheetName val="가도䠀"/>
      <sheetName val="가도ԯ"/>
      <sheetName val="가도저"/>
      <sheetName val="절감계산"/>
      <sheetName val="ML"/>
      <sheetName val="기초"/>
      <sheetName val="가시설"/>
      <sheetName val="´_x0005__x0000_"/>
      <sheetName val="103동"/>
      <sheetName val="D.B"/>
      <sheetName val="기계경비(시"/>
      <sheetName val="ÀÏÀ§´ë헾】_x0005__x0000__x0000__x0000_"/>
      <sheetName val="고창터널(고창방향䈀"/>
      <sheetName val="영구청af헾"/>
      <sheetName val="영구청af薸"/>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단위"/>
      <sheetName val="총괄집계 "/>
      <sheetName val="기본자료"/>
      <sheetName val="기က_x0000_退"/>
      <sheetName val="_x0001__x0000_"/>
      <sheetName val="1-"/>
      <sheetName val="1"/>
      <sheetName val="1_x0008_"/>
      <sheetName val="1þ"/>
      <sheetName val="1¨"/>
      <sheetName val="1g"/>
      <sheetName val="㠈⎗"/>
      <sheetName val="⢔"/>
      <sheetName val="᠇Ẓ"/>
      <sheetName val="1ì"/>
      <sheetName val="1º"/>
      <sheetName val="謂ⷄ"/>
      <sheetName val="ꠀ⢄"/>
      <sheetName val="⠊⢌"/>
      <sheetName val="ꠀ฀"/>
      <sheetName val="了"/>
      <sheetName val="1"/>
      <sheetName val="1_x0018_"/>
      <sheetName val="1ð"/>
      <sheetName val="栉ᶆ"/>
      <sheetName val=" ᧡"/>
      <sheetName val="1P"/>
      <sheetName val="1("/>
      <sheetName val="1@"/>
      <sheetName val="1 "/>
      <sheetName val="⠖㔺"/>
      <sheetName val="砖㖌"/>
      <sheetName val="1è"/>
      <sheetName val="1_x001e_"/>
      <sheetName val="1`"/>
      <sheetName val="1"/>
      <sheetName val="1°"/>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목창호"/>
      <sheetName val="5.2코핑"/>
      <sheetName val="전체내԰_x0000_"/>
      <sheetName val="원안"/>
      <sheetName val="암거치수표"/>
      <sheetName val="재료집계표빽업"/>
      <sheetName val="암거수리계산서"/>
      <sheetName val="◀암거위치"/>
      <sheetName val="최종단면▶"/>
      <sheetName val="◀평균높이▶"/>
      <sheetName val="전체내저ᚙ"/>
      <sheetName val="전체내ꠀ᪘"/>
      <sheetName val="주관⩿〚"/>
      <sheetName val="1¸"/>
      <sheetName val="b_balju_ch"/>
      <sheetName val="b_balju_chÈ"/>
      <sheetName val="b_balju_ch_x0005_"/>
      <sheetName val="b_balju_chÛ"/>
      <sheetName val="b_balju_ch("/>
      <sheetName val="N賃率_職"/>
      <sheetName val="기본DATԯ"/>
      <sheetName val="기본DAT頀"/>
      <sheetName val="REDUCER"/>
      <sheetName val="WE'T"/>
      <sheetName val="실︀ԯ"/>
      <sheetName val="하수급견적대䧨"/>
      <sheetName val="SHUTDOWN VALVE"/>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Summar헾】_x0005__x0000__x0000__x0000__x0000_"/>
      <sheetName val="부대공(집계)"/>
      <sheetName val="포장단면별단위수량"/>
      <sheetName val="공사비집_x0005_"/>
      <sheetName val="bCord공정"/>
      <sheetName val="d수량"/>
      <sheetName val="e대가"/>
      <sheetName val="g단가"/>
      <sheetName val="h집계"/>
      <sheetName val="8.일위대가표(1)"/>
      <sheetName val="8.일위대가표(2)"/>
      <sheetName val="7.청제공기계기구조서"/>
      <sheetName val="횡분배정리(DB)"/>
      <sheetName val="방음벽기초-수량"/>
      <sheetName val="수량산출기초(케블등)"/>
      <sheetName val="2.노무비명세서(수직보垰7埼"/>
      <sheetName val="제안서"/>
      <sheetName val="행정표준(1)"/>
      <sheetName val="행정표준(2)"/>
      <sheetName val="수량산출내역1115"/>
      <sheetName val="아파트저᝾"/>
      <sheetName val="아파트㾅"/>
      <sheetName val="관급원내역"/>
      <sheetName val="7.경제성결과"/>
      <sheetName val=" 갑지"/>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자재단가徸"/>
      <sheetName val="수안보-๿〚_x0005__x0000_"/>
      <sheetName val="금액내역헾"/>
      <sheetName val="자재단가尜"/>
      <sheetName val="NAIL단가산출"/>
      <sheetName val="수안보-挔_x0012_竖め"/>
      <sheetName val="자재단가헾"/>
      <sheetName val="자재단가丵"/>
      <sheetName val="수량산출(통신선로)"/>
      <sheetName val="수량산출(여객장치)"/>
      <sheetName val="수량산출(전화)"/>
      <sheetName val="사업부배부A"/>
      <sheetName val="입력값1"/>
      <sheetName val="insulation"/>
      <sheetName val="PipWT"/>
      <sheetName val="뜃맟뭁돽띿맟?-BLDG"/>
      <sheetName val="PBS"/>
      <sheetName val="검색"/>
      <sheetName val="INSTR"/>
      <sheetName val="수지표"/>
      <sheetName val="셀명"/>
      <sheetName val="공통단가"/>
      <sheetName val="1.동력공사"/>
      <sheetName val="청주-교대(A1)"/>
      <sheetName val="감시제어"/>
      <sheetName val="목차임시"/>
      <sheetName val="선로의 %임피던스 "/>
      <sheetName val="동력배선"/>
      <sheetName val="본선동력배선"/>
      <sheetName val="본선조명"/>
      <sheetName val="전력간선배선"/>
      <sheetName val="전열배선"/>
      <sheetName val="전체-원가분리내역"/>
      <sheetName val="계화배수(3대)"/>
      <sheetName val="익산"/>
      <sheetName val="가격표"/>
      <sheetName val="건축외주"/>
      <sheetName val="Sheet1(X)"/>
      <sheetName val="인원조직표"/>
      <sheetName val="냉천부속동"/>
      <sheetName val="국별인원"/>
      <sheetName val="산출기초"/>
      <sheetName val="DATA(광속)"/>
      <sheetName val="REACTION芨.헾⿁_x0005__x0000_"/>
      <sheetName val="REACTION鴘E鵜E헾⼼_x0005_"/>
      <sheetName val="정산내역"/>
      <sheetName val="변경ᛅ⾒_x0005_"/>
      <sheetName val="무시"/>
      <sheetName val="電磁弁LIST"/>
      <sheetName val="PLG"/>
      <sheetName val="외자배분"/>
      <sheetName val="외자내역"/>
      <sheetName val="관리비"/>
      <sheetName val="3-1.일위대가집계표(교통시설물1)"/>
      <sheetName val="직_x0005__x0000_"/>
      <sheetName val="임시급식ֿ_x0000_缀_x0000_"/>
      <sheetName val="직원자료"/>
      <sheetName val="업종분류"/>
      <sheetName val="장비분류"/>
      <sheetName val="단가산출목록표"/>
      <sheetName val="정문내역"/>
      <sheetName val="도시가스현황"/>
      <sheetName val="2차공사"/>
      <sheetName val="Imp-Data"/>
      <sheetName val="내역서 (1차)"/>
      <sheetName val="¿¹Á¤(3က"/>
      <sheetName val="SAMPLE"/>
      <sheetName val="건축공정"/>
      <sheetName val="방진공정"/>
      <sheetName val="조경공정"/>
      <sheetName val="전자"/>
      <sheetName val="환산"/>
      <sheetName val="금강견적"/>
      <sheetName val="D-RMIL"/>
      <sheetName val="3차준공"/>
      <sheetName val="옹벽수량집계표"/>
      <sheetName val="수종별인자"/>
      <sheetName val="BH-1 (2)"/>
      <sheetName val="공종코드"/>
      <sheetName val="가시설공(광장부)"/>
      <sheetName val="ÀÏÀ§´ë°¡Ç¥(_x0005__x0000_"/>
      <sheetName val="일위藨-헾"/>
      <sheetName val="AHU-1"/>
      <sheetName val="급탕설비"/>
      <sheetName val="화장실배기팬"/>
      <sheetName val="직급별"/>
      <sheetName val="S1099기장선행WOP"/>
      <sheetName val="방지책개소별명세"/>
      <sheetName val="단위량"/>
      <sheetName val="재료집계표2"/>
      <sheetName val="토적집계표"/>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0_집계1"/>
      <sheetName val="1_수변전설비공사1"/>
      <sheetName val="조도계산서_(도서)1"/>
      <sheetName val="3-1_CB1"/>
      <sheetName val="3_내역서"/>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자동_철거"/>
      <sheetName val="자동_설치"/>
      <sheetName val="토목_철주"/>
      <sheetName val="철거_일위대가(1-19)"/>
      <sheetName val="철거_일위대가(20-22)"/>
      <sheetName val="설치_일위대가(23-45호)"/>
      <sheetName val="설치_일위대가(46~78호)"/>
      <sheetName val="const_"/>
      <sheetName val="220_(2)"/>
      <sheetName val="1공구_건정토건_토공"/>
      <sheetName val="2000년_공정표"/>
      <sheetName val="호봉_(2)"/>
      <sheetName val="69_03%"/>
      <sheetName val="변경내역84_52%"/>
      <sheetName val="_견적서"/>
      <sheetName val="5_공종별예산내역서"/>
      <sheetName val="단가_"/>
      <sheetName val="총괄원가_"/>
      <sheetName val="_갑__지_"/>
      <sheetName val="기성내역_진짜"/>
      <sheetName val="할증_"/>
      <sheetName val="PUMP_SHT"/>
      <sheetName val="FIN_TUBE"/>
      <sheetName val="HED__&amp;_PIPE"/>
      <sheetName val="0_Áý°è"/>
      <sheetName val="Ç¥Áö_(2)"/>
      <sheetName val="9_"/>
      <sheetName val="세부견적서(DAS_Call_Back)"/>
      <sheetName val="2_펌프장(사급자재)"/>
      <sheetName val="5_"/>
      <sheetName val="12_"/>
      <sheetName val="14_"/>
      <sheetName val="7_"/>
      <sheetName val="8_"/>
      <sheetName val="10_"/>
      <sheetName val="추천서"/>
      <sheetName val="설계변경내역"/>
      <sheetName val="월별"/>
      <sheetName val="48산출"/>
      <sheetName val="단가대조"/>
      <sheetName val="INMD1198"/>
      <sheetName val="INFG1198"/>
      <sheetName val="M5_S"/>
      <sheetName val="M6_S"/>
      <sheetName val="SRAM_CHIP"/>
      <sheetName val="SRAM_생산"/>
      <sheetName val="YLD"/>
      <sheetName val="설치 일위대가(46~԰_x0000_缀_x0000_"/>
      <sheetName val="라멘교일반수량"/>
      <sheetName val="타견적(을)"/>
      <sheetName val="기성내역(건축)"/>
      <sheetName val="Á¤»ê¹°·®︀웕"/>
      <sheetName val="조도계산서1"/>
      <sheetName val="5.1단가조사"/>
      <sheetName val="배수설비"/>
      <sheetName val="표준ፙ렀ᑟ"/>
      <sheetName val="7.3.1 전력간선 굵기"/>
      <sheetName val="1단계_견적내역서"/>
      <sheetName val="내부수지예산"/>
      <sheetName val="15.공량산출근거서"/>
      <sheetName val="교각토공"/>
      <sheetName val="data_dci"/>
      <sheetName val="data_mci"/>
      <sheetName val="behind"/>
      <sheetName val="2.노무비명세서(수직보_x0005__x0000_"/>
      <sheetName val="2.노무비명세서(수직보丵⿰_x0005_"/>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2007일위_"/>
      <sheetName val="토목일위_(83~)"/>
      <sheetName val="노무비_"/>
      <sheetName val="2_노무비명세서(수직보丵⿰"/>
      <sheetName val="combi(wall)"/>
      <sheetName val="제잡비(주공종)"/>
      <sheetName val="유첨헾】"/>
      <sheetName val="철탑공사"/>
      <sheetName val="시점부교대"/>
      <sheetName val="48전력선_x0002__x0000_㣸"/>
      <sheetName val="주사무실ֳ_x0000_"/>
      <sheetName val="¼ö·®»êÃ "/>
      <sheetName val="¼ö·®»êÃ_x0005_"/>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흄관수량"/>
      <sheetName val="주재료비"/>
      <sheetName val="설계요율"/>
      <sheetName val="유첨_x0005__x0000_"/>
      <sheetName val="일_x0007__x0006__x0003__x0004__x0007_"/>
      <sheetName val="_x0000__x0005__x0000__x0004__x0000__x0008__x0000__x0005__x0000__x0008_"/>
      <sheetName val="간이연락"/>
      <sheetName val="견적을지"/>
      <sheetName val="불변현금흐름표"/>
      <sheetName val="기타유틸리티설비"/>
      <sheetName val="PANEL 내역"/>
      <sheetName val="ALINE"/>
      <sheetName val="횡배수관설치현황"/>
      <sheetName val="96월별PL"/>
      <sheetName val="양식(직판용)"/>
      <sheetName val="본사업"/>
      <sheetName val="수장"/>
      <sheetName val="단가표(전산)"/>
      <sheetName val="2219-SPOOL BOM"/>
      <sheetName val="설명서"/>
      <sheetName val="x주형보 설계(3차로)"/>
      <sheetName val="은평작업지시대장"/>
      <sheetName val="옥외배관기본공량"/>
      <sheetName val="선우통상(을)"/>
      <sheetName val="견적서-골조공사"/>
      <sheetName val="건축2"/>
      <sheetName val="3-4호기 내역서"/>
      <sheetName val="토공검토G"/>
      <sheetName val="미지급금"/>
      <sheetName val="CABdata"/>
      <sheetName val="기별수량산출서"/>
      <sheetName val="광양방향"/>
      <sheetName val="남양시작동010313100%"/>
      <sheetName val="98비정기소모"/>
      <sheetName val="도급및 실행내역"/>
      <sheetName val="참고자료등록"/>
      <sheetName val="하자보수보증자료"/>
      <sheetName val="재료-CODE"/>
      <sheetName val="9.2단가산출서"/>
      <sheetName val="손료"/>
      <sheetName val="General DaS_x0000_"/>
      <sheetName val="설비공사"/>
      <sheetName val="원가계산서 (2)"/>
      <sheetName val="내역(설계,도급)정이준"/>
      <sheetName val="실행단가철(ems코드적용)"/>
      <sheetName val="기초대가"/>
      <sheetName val="차도부연장현황"/>
      <sheetName val="원곡IC교 내진성능보강공사 실시설계 용역.xlsx"/>
      <sheetName val="キ⩙"/>
      <sheetName val="첨부파일"/>
      <sheetName val="도장"/>
      <sheetName val="1._x005f_x005f_x005f_x0018_변전설비"/>
      <sheetName val="부대토목"/>
      <sheetName val="토목공종세부"/>
      <sheetName val="견적회신"/>
      <sheetName val="1. 가로등 설비 공사(산출)"/>
      <sheetName val="일대-1"/>
      <sheetName val="종료분석"/>
      <sheetName val="중질쓰레기"/>
      <sheetName val="장비단가"/>
      <sheetName val="1.관로"/>
      <sheetName val="입찰결과(DATA_x0000_"/>
      <sheetName val="화재 颮㍓씀넖ԯ"/>
      <sheetName val="SPM(13.84)"/>
      <sheetName val="ᰀ፜"/>
      <sheetName val="N炬≹"/>
      <sheetName val="KS-301_WBS"/>
      <sheetName val="MixBed"/>
      <sheetName val="CondPol"/>
      <sheetName val="ꠀ᪘"/>
      <sheetName val="︀盕"/>
      <sheetName val="ᓈባ"/>
      <sheetName val="壈▞"/>
      <sheetName val="대창(장ԯ_x0000_"/>
      <sheetName val="전기일ꙭÀ_x0000_"/>
      <sheetName val="전체내蠀ᒗ"/>
      <sheetName val="전체내︀盕"/>
      <sheetName val="일위대가(계측︩盕ԯ_x0000_"/>
      <sheetName val="전체내壈▞"/>
      <sheetName val="1호철근량"/>
      <sheetName val="진행 DATA (2)"/>
      <sheetName val="외화계약"/>
      <sheetName val="J直_x0004__x0005_"/>
      <sheetName val="ༀༀ̀ఀЀ"/>
      <sheetName val="³²¾ç½ÃÀÛµ¿ÀÚ105³ë65±_x0000__x0000__x0005__x0000_慀ȡ_x0000__x0000__x0000_"/>
      <sheetName val="단  가  垨4奜4睮⿩_x0005_"/>
      <sheetName val="1._x0018_변︀ᇕ԰"/>
      <sheetName val="골재丵〒"/>
      <sheetName val="내역총渀腷"/>
      <sheetName val="현지검측내역"/>
      <sheetName val="구주,중아,CIS"/>
      <sheetName val="EL90"/>
      <sheetName val="역T형교대栄⿇_x0000__x0000_庨_x0000_"/>
      <sheetName val="역T형교대栄⿇_x0000__x0000__x0000_"/>
      <sheetName val="펌프장수량䈀嵪ԯ_x0000_缀"/>
      <sheetName val="펌프장수량㔀቎԰_x0000_缀"/>
      <sheetName val="교량현황"/>
      <sheetName val="커튼월(pfg)"/>
      <sheetName val="ࠀ᎚"/>
      <sheetName val="평균물량산출서"/>
      <sheetName val="합의서"/>
      <sheetName val="낙석방지책"/>
      <sheetName val="금액︀⣕"/>
      <sheetName val="상수도토공_x0005__x0000_"/>
      <sheetName val="설직재0_x0000_"/>
      <sheetName val="설직재餀㒘"/>
      <sheetName val="싱가폴(실지급+인상율)"/>
      <sheetName val="UB2"/>
      <sheetName val="b_gunmul"/>
      <sheetName val="b_balju (2)"/>
      <sheetName val="갑(전기)"/>
      <sheetName val="갑(계장)"/>
      <sheetName val="010101"/>
      <sheetName val="심의대상"/>
      <sheetName val="내역금액적용"/>
      <sheetName val="비목코드"/>
      <sheetName val="철거산출徸〒"/>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가속도응답스펙트럼(Sa)및속도응답스펙트럼(Sv)"/>
      <sheetName val="4,5,6,7,8"/>
      <sheetName val="설계흐름도"/>
      <sheetName val="배수및구조물공1"/>
      <sheetName val="앨범표지"/>
      <sheetName val="B1(반포1차)"/>
      <sheetName val="esc(건축)"/>
      <sheetName val="일위대가집계표"/>
      <sheetName val="골재및자재집계표"/>
      <sheetName val="현장유지관리비"/>
      <sheetName val="수안보-纈!헾『"/>
      <sheetName val="수안보-丵〒_x0005__x0000_"/>
      <sheetName val="수안보-橂】_x0005__x0000_"/>
      <sheetName val="9-1차_x0005__x0000_"/>
      <sheetName val="변경비懸_x0013_颙"/>
      <sheetName val="변경비颙〒_x0005_"/>
      <sheetName val="일위집԰_x0000_"/>
      <sheetName val="변경비窨_x0013_竬"/>
      <sheetName val="시공계ⱂ"/>
      <sheetName val="조명시헾"/>
      <sheetName val="8. 안吐呜"/>
      <sheetName val="전선관"/>
      <sheetName val="5.정산ﵠ"/>
      <sheetName val="실행내역 "/>
      <sheetName val="교량data"/>
      <sheetName val="파일구성"/>
      <sheetName val="분전반"/>
      <sheetName val="Priorities"/>
      <sheetName val="Paint,Fire-Proof,Insul(48)"/>
      <sheetName val="No.2LAB Unit"/>
      <sheetName val="약ྀ︁"/>
      <sheetName val="1.1 본체"/>
      <sheetName val="March"/>
      <sheetName val="토목 (2)"/>
      <sheetName val="인력터파기"/>
      <sheetName val="9G࠯_x0015__x0000__x0000_"/>
      <sheetName val="94"/>
      <sheetName val="20-25"/>
      <sheetName val="몰탈쐀/_x0000_"/>
      <sheetName val="실행ࠏE"/>
      <sheetName val="실행ဏ_x0000_"/>
      <sheetName val="시멘트,모래"/>
      <sheetName val="CHIP_O"/>
      <sheetName val="FAB_O"/>
      <sheetName val="PKG_I"/>
      <sheetName val="FT_금액"/>
      <sheetName val="Key assumption"/>
      <sheetName val="토목׃⿄"/>
      <sheetName val="토목׃⽴"/>
      <sheetName val="토목嘘_x001b_"/>
      <sheetName val="토목ꮸ⽤"/>
      <sheetName val="토목垐%"/>
      <sheetName val="토목狈6"/>
      <sheetName val="토목妀6"/>
      <sheetName val="토목枵〛"/>
      <sheetName val="의왕실행"/>
      <sheetName val="LCS-SEAT"/>
      <sheetName val="집계표(건축전기)"/>
      <sheetName val="품목현황"/>
      <sheetName val="PO-BOB"/>
      <sheetName val="보차도경계석수량"/>
      <sheetName val="48일위(기존)"/>
      <sheetName val="하도급선정의뢰_x0005__x0000__x0000__x0000__x0000_吝"/>
      <sheetName val="하도급선정의뢰唈_x001f_ᛅ⾠_x0005__x0000_"/>
      <sheetName val="하도급선정의뢰ᛅ⼝_x0005__x0000__x0000__x0000_"/>
      <sheetName val="음성(cable)"/>
      <sheetName val="제조부문배부"/>
      <sheetName val="XREF"/>
      <sheetName val="시공업체명부"/>
      <sheetName val="Direct (공사비대비)"/>
      <sheetName val="제출"/>
      <sheetName val="공사비예비관리공감측설산출내역"/>
      <sheetName val="TCDB"/>
      <sheetName val="1À"/>
      <sheetName val="1 "/>
      <sheetName val="ꀀ㇞"/>
      <sheetName val="1r"/>
      <sheetName val="　⮒"/>
      <sheetName val="산출서집계"/>
      <sheetName val="집계표(수정)"/>
      <sheetName val="잔여공사월별내역"/>
      <sheetName val="대비(최종이사회)"/>
      <sheetName val="표지세로"/>
      <sheetName val="5.소모재료비"/>
      <sheetName val="က"/>
      <sheetName val="⠈ⱒ"/>
      <sheetName val="1Ø"/>
      <sheetName val="1_x0004_"/>
      <sheetName val="MEMBER"/>
      <sheetName val="공사별 가중치0_x0000_ꀀâ_x0000__x0000_鬀ӊ㰞"/>
      <sheetName val="제수_x0000__x0000_"/>
      <sheetName val="제수午_x0013_뺨"/>
      <sheetName val="제수午_x0013_㸀"/>
      <sheetName val="제수午_x0013_㐨"/>
      <sheetName val="제수午_x0013_㺨"/>
      <sheetName val="제수午_x0013_绠"/>
      <sheetName val="제수午_x0013_떰"/>
      <sheetName val="제수午_x0013_"/>
      <sheetName val="옥내소화전계산서"/>
      <sheetName val="심사계산"/>
      <sheetName val="기타"/>
      <sheetName val="BID FORM"/>
      <sheetName val="Form of Bid"/>
      <sheetName val="이관문서목록표"/>
      <sheetName val="국내"/>
      <sheetName val="member design"/>
      <sheetName val="soil bearing check"/>
      <sheetName val="도급,하도급 예정금액"/>
      <sheetName val="산출(전기)"/>
      <sheetName val="DWG-CAB-I"/>
      <sheetName val="공감비"/>
      <sheetName val="재무가정"/>
      <sheetName val="건물현황"/>
      <sheetName val="대목"/>
      <sheetName val="간접재료비산출표-27-30"/>
      <sheetName val="공사원가계산蚘_x0013_"/>
      <sheetName val="도급예정1ီ_x0000_䀀"/>
      <sheetName val="도급예정1犢呄/"/>
      <sheetName val="도급예정1犢/"/>
      <sheetName val="도급예정1Ⴂ_x0000_䀀"/>
      <sheetName val="도급예정1ﻰᇕ԰"/>
      <sheetName val="도급예정1犢ፄ/"/>
      <sheetName val="도급예정1ჰ_x0000_䀀"/>
      <sheetName val="도급예정1ၪ_x0000_　"/>
      <sheetName val="도급예정1Ⴕ_x0000_"/>
      <sheetName val="도급예정1႒_x0000_က"/>
      <sheetName val="Macr_x0010__x0000_ፈদ䑲⼚"/>
      <sheetName val="Macr枵〺_x0000__x0000_揰_x0000_"/>
      <sheetName val="Macr枵〺_x0000__x0000_丸_x0000_"/>
      <sheetName val="Macr枵〺_x0000__x0000_㦠_x0000_"/>
      <sheetName val="Macr㑘_x001b_둠੆枵⿚"/>
      <sheetName val="Macr㑘_x001b_ञ枵⿚"/>
      <sheetName val="단위ה_x0000_"/>
      <sheetName val="__HAIWOOK_____hb___1__________2"/>
      <sheetName val="옥상바닥산출서"/>
      <sheetName val="외부비계산출서"/>
      <sheetName val="단열재산출서"/>
      <sheetName val="지하외부비계산출서"/>
      <sheetName val="내부강관비계산출서"/>
      <sheetName val="내부수평비계산출서"/>
      <sheetName val="내역집계(전체)"/>
      <sheetName val="0. 인명부"/>
      <sheetName val="사용설명서"/>
      <sheetName val="근로자명부"/>
      <sheetName val="출력작업일보"/>
      <sheetName val="전공종통합-퇴직공제부"/>
      <sheetName val="전공종통합-퇴직공제부1"/>
      <sheetName val="퇴직공제부금1"/>
      <sheetName val="노임총괄"/>
      <sheetName val="복사기본시트(삭제금지)"/>
      <sheetName val="관리(삭제금지)"/>
      <sheetName val="직영(삭제금지)"/>
      <sheetName val="용역"/>
      <sheetName val="노무신고용"/>
      <sheetName val="p-master"/>
      <sheetName val="YANG"/>
      <sheetName val="Team 종합"/>
      <sheetName val="수량산출서 (2)"/>
      <sheetName val="동방설계서"/>
      <sheetName val="2-2.매출분석"/>
      <sheetName val="수수료율표"/>
      <sheetName val="비주거용"/>
      <sheetName val="load(지하층)"/>
      <sheetName val="우수공,맨홀,집수_x0000_"/>
      <sheetName val="콘크리트"/>
      <sheetName val="Rate Analysis"/>
      <sheetName val="산출내역서_IWC"/>
      <sheetName val="진단세부현황"/>
      <sheetName val="임대손익"/>
      <sheetName val="토지산정"/>
      <sheetName val="구조물집계"/>
      <sheetName val="토공집계"/>
      <sheetName val="제잡비(전체)"/>
      <sheetName val="배관단가"/>
      <sheetName val="이자율"/>
      <sheetName val="기본자료 "/>
      <sheetName val="      "/>
      <sheetName val="전기실-1"/>
      <sheetName val="경비대가"/>
      <sheetName val="SHEET PILE단가"/>
      <sheetName val="노 무 비"/>
      <sheetName val="양식기준표"/>
      <sheetName val="자재_계약일(2013_09_16)"/>
      <sheetName val="공통_계약일(2013_09_16)"/>
      <sheetName val="노임대장"/>
      <sheetName val="하도급Ć_x0000__x0000_"/>
      <sheetName val="01후반노무비"/>
      <sheetName val="역T형옹벽(3_0)"/>
      <sheetName val="STEEL_BOX_단면설계(SEC_8)"/>
      <sheetName val="기초입력_DATA"/>
      <sheetName val="2000_05"/>
      <sheetName val="CABLE_SIZE-1"/>
      <sheetName val="1__총괄_집계표"/>
      <sheetName val="본선_토공_분배표"/>
      <sheetName val="Requirement(Work_Crew)"/>
      <sheetName val="나_설계조건"/>
      <sheetName val="5_장비(안)"/>
      <sheetName val="3_2주형지지보"/>
      <sheetName val="작업_반복"/>
      <sheetName val="공정분류"/>
      <sheetName val="보고"/>
      <sheetName val="2_단면ﾈȋ"/>
      <sheetName val="배수공_시멘트_및_골재량__x0000_辴"/>
      <sheetName val="Ⅶ-2.현장경비산출"/>
      <sheetName val="내역서(폐기물) "/>
      <sheetName val="15 문제점"/>
      <sheetName val="일H35Y4"/>
      <sheetName val="11-1.주택공급(공공분양,공공임대)"/>
      <sheetName val="11-2.국민임대"/>
      <sheetName val="5-1.취득(간선정리)"/>
      <sheetName val="11-3.분양전환"/>
      <sheetName val="11-4.상가"/>
      <sheetName val="7-1.토지공급"/>
      <sheetName val="BOX복구단위수량"/>
      <sheetName val="SR97-1"/>
      <sheetName val="건설기술표준원"/>
      <sheetName val="3국민주택채권_부동산등기"/>
      <sheetName val="전압강하"/>
      <sheetName val="상부공"/>
      <sheetName val="아스팔트 포장총괄집계표"/>
      <sheetName val="일위총괄표"/>
      <sheetName val="간지(5.04)"/>
      <sheetName val="식대장부"/>
      <sheetName val="편성절차"/>
      <sheetName val="슬리브수량"/>
      <sheetName val="인공LIST"/>
      <sheetName val="8)중점관리장비현황"/>
      <sheetName val="망미"/>
      <sheetName val="_토목_처리장도급내역서_"/>
      <sheetName val="su1"/>
      <sheetName val="6.2 제거공"/>
      <sheetName val="6.2.1"/>
      <sheetName val="6.2.2"/>
      <sheetName val="백룡교차로"/>
      <sheetName val="산정교차로"/>
      <sheetName val="신영교차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row r="1">
          <cell r="A1" t="str">
            <v>시멘트,모래,자갈 산출표</v>
          </cell>
        </row>
      </sheetData>
      <sheetData sheetId="838"/>
      <sheetData sheetId="839"/>
      <sheetData sheetId="840"/>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sheetData sheetId="909" refreshError="1"/>
      <sheetData sheetId="910"/>
      <sheetData sheetId="911"/>
      <sheetData sheetId="912"/>
      <sheetData sheetId="913"/>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sheetData sheetId="966" refreshError="1"/>
      <sheetData sheetId="967" refreshError="1"/>
      <sheetData sheetId="968" refreshError="1"/>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refreshError="1"/>
      <sheetData sheetId="1099" refreshError="1"/>
      <sheetData sheetId="1100" refreshError="1"/>
      <sheetData sheetId="1101" refreshError="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refreshError="1"/>
      <sheetData sheetId="1122" refreshError="1"/>
      <sheetData sheetId="1123" refreshError="1"/>
      <sheetData sheetId="1124"/>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sheetData sheetId="1228"/>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sheetData sheetId="1290"/>
      <sheetData sheetId="1291"/>
      <sheetData sheetId="1292"/>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sheetData sheetId="1452"/>
      <sheetData sheetId="1453"/>
      <sheetData sheetId="1454"/>
      <sheetData sheetId="1455"/>
      <sheetData sheetId="1456"/>
      <sheetData sheetId="1457"/>
      <sheetData sheetId="1458"/>
      <sheetData sheetId="1459"/>
      <sheetData sheetId="1460"/>
      <sheetData sheetId="146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sheetData sheetId="1492"/>
      <sheetData sheetId="1493"/>
      <sheetData sheetId="1494"/>
      <sheetData sheetId="1495"/>
      <sheetData sheetId="1496" refreshError="1"/>
      <sheetData sheetId="1497" refreshError="1"/>
      <sheetData sheetId="1498" refreshError="1"/>
      <sheetData sheetId="1499" refreshError="1"/>
      <sheetData sheetId="1500" refreshError="1"/>
      <sheetData sheetId="1501" refreshError="1"/>
      <sheetData sheetId="1502" refreshError="1"/>
      <sheetData sheetId="1503"/>
      <sheetData sheetId="1504"/>
      <sheetData sheetId="1505"/>
      <sheetData sheetId="1506" refreshError="1"/>
      <sheetData sheetId="1507"/>
      <sheetData sheetId="1508" refreshError="1"/>
      <sheetData sheetId="1509" refreshError="1"/>
      <sheetData sheetId="1510"/>
      <sheetData sheetId="1511"/>
      <sheetData sheetId="1512"/>
      <sheetData sheetId="1513"/>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sheetData sheetId="1830"/>
      <sheetData sheetId="1831"/>
      <sheetData sheetId="1832"/>
      <sheetData sheetId="1833"/>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sheetData sheetId="1862"/>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sheetData sheetId="1939"/>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refreshError="1"/>
      <sheetData sheetId="2122"/>
      <sheetData sheetId="2123"/>
      <sheetData sheetId="2124"/>
      <sheetData sheetId="2125"/>
      <sheetData sheetId="2126"/>
      <sheetData sheetId="2127"/>
      <sheetData sheetId="2128"/>
      <sheetData sheetId="2129"/>
      <sheetData sheetId="2130"/>
      <sheetData sheetId="2131" refreshError="1"/>
      <sheetData sheetId="2132"/>
      <sheetData sheetId="2133"/>
      <sheetData sheetId="2134"/>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sheetData sheetId="2148"/>
      <sheetData sheetId="2149"/>
      <sheetData sheetId="2150"/>
      <sheetData sheetId="2151"/>
      <sheetData sheetId="2152"/>
      <sheetData sheetId="2153" refreshError="1"/>
      <sheetData sheetId="2154" refreshError="1"/>
      <sheetData sheetId="2155" refreshError="1"/>
      <sheetData sheetId="2156" refreshError="1"/>
      <sheetData sheetId="2157"/>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refreshError="1"/>
      <sheetData sheetId="2264"/>
      <sheetData sheetId="2265"/>
      <sheetData sheetId="2266"/>
      <sheetData sheetId="2267"/>
      <sheetData sheetId="2268">
        <row r="1">
          <cell r="A1" t="str">
            <v>시멘트,모래,자갈 산출표</v>
          </cell>
        </row>
      </sheetData>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row r="1">
          <cell r="A1" t="str">
            <v>시멘트,모래,자갈 산출표</v>
          </cell>
        </row>
      </sheetData>
      <sheetData sheetId="2286"/>
      <sheetData sheetId="2287"/>
      <sheetData sheetId="2288">
        <row r="1">
          <cell r="A1" t="str">
            <v>시멘트,모래,자갈 산출표</v>
          </cell>
        </row>
      </sheetData>
      <sheetData sheetId="2289">
        <row r="1">
          <cell r="A1" t="str">
            <v>시멘트,모래,자갈 산출표</v>
          </cell>
        </row>
      </sheetData>
      <sheetData sheetId="2290"/>
      <sheetData sheetId="2291"/>
      <sheetData sheetId="2292"/>
      <sheetData sheetId="2293"/>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row r="1">
          <cell r="A1" t="str">
            <v>시멘트,모래,자갈 산출표</v>
          </cell>
        </row>
      </sheetData>
      <sheetData sheetId="2486"/>
      <sheetData sheetId="2487"/>
      <sheetData sheetId="2488"/>
      <sheetData sheetId="2489"/>
      <sheetData sheetId="2490"/>
      <sheetData sheetId="2491"/>
      <sheetData sheetId="2492"/>
      <sheetData sheetId="2493">
        <row r="1">
          <cell r="A1" t="str">
            <v>시멘트,모래,자갈 산출표</v>
          </cell>
        </row>
      </sheetData>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row r="1">
          <cell r="A1" t="str">
            <v>시멘트,모래,자갈 산출표</v>
          </cell>
        </row>
      </sheetData>
      <sheetData sheetId="2518">
        <row r="1">
          <cell r="A1" t="str">
            <v>시멘트,모래,자갈 산출표</v>
          </cell>
        </row>
      </sheetData>
      <sheetData sheetId="2519"/>
      <sheetData sheetId="2520"/>
      <sheetData sheetId="2521">
        <row r="1">
          <cell r="A1" t="str">
            <v>시멘트,모래,자갈 산출표</v>
          </cell>
        </row>
      </sheetData>
      <sheetData sheetId="2522"/>
      <sheetData sheetId="2523"/>
      <sheetData sheetId="2524"/>
      <sheetData sheetId="2525"/>
      <sheetData sheetId="2526"/>
      <sheetData sheetId="2527"/>
      <sheetData sheetId="2528">
        <row r="1">
          <cell r="A1" t="str">
            <v>시멘트,모래,자갈 산출표</v>
          </cell>
        </row>
      </sheetData>
      <sheetData sheetId="2529"/>
      <sheetData sheetId="2530"/>
      <sheetData sheetId="2531"/>
      <sheetData sheetId="2532">
        <row r="1">
          <cell r="A1" t="str">
            <v>시멘트,모래,자갈 산출표</v>
          </cell>
        </row>
      </sheetData>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refreshError="1"/>
      <sheetData sheetId="2559" refreshError="1"/>
      <sheetData sheetId="2560" refreshError="1"/>
      <sheetData sheetId="2561" refreshError="1"/>
      <sheetData sheetId="2562" refreshError="1"/>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row r="1">
          <cell r="A1" t="str">
            <v>시멘트,모래,자갈 산출표</v>
          </cell>
        </row>
      </sheetData>
      <sheetData sheetId="2598"/>
      <sheetData sheetId="2599"/>
      <sheetData sheetId="2600"/>
      <sheetData sheetId="2601">
        <row r="1">
          <cell r="A1" t="str">
            <v>시멘트,모래,자갈 산출표</v>
          </cell>
        </row>
      </sheetData>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row r="1">
          <cell r="A1" t="str">
            <v>시멘트,모래,자갈 산출표</v>
          </cell>
        </row>
      </sheetData>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row r="1">
          <cell r="A1" t="str">
            <v>시멘트,모래,자갈 산출표</v>
          </cell>
        </row>
      </sheetData>
      <sheetData sheetId="2722"/>
      <sheetData sheetId="2723"/>
      <sheetData sheetId="2724"/>
      <sheetData sheetId="2725"/>
      <sheetData sheetId="2726"/>
      <sheetData sheetId="2727"/>
      <sheetData sheetId="2728"/>
      <sheetData sheetId="2729"/>
      <sheetData sheetId="2730"/>
      <sheetData sheetId="2731"/>
      <sheetData sheetId="2732">
        <row r="1">
          <cell r="A1" t="str">
            <v>시멘트,모래,자갈 산출표</v>
          </cell>
        </row>
      </sheetData>
      <sheetData sheetId="2733"/>
      <sheetData sheetId="2734"/>
      <sheetData sheetId="2735">
        <row r="1">
          <cell r="A1" t="str">
            <v>시멘트,모래,자갈 산출표</v>
          </cell>
        </row>
      </sheetData>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row r="1">
          <cell r="A1" t="str">
            <v>시멘트,모래,자갈 산출표</v>
          </cell>
        </row>
      </sheetData>
      <sheetData sheetId="2946"/>
      <sheetData sheetId="2947"/>
      <sheetData sheetId="2948">
        <row r="1">
          <cell r="A1" t="str">
            <v>시멘트,모래,자갈 산출표</v>
          </cell>
        </row>
      </sheetData>
      <sheetData sheetId="2949"/>
      <sheetData sheetId="2950"/>
      <sheetData sheetId="2951"/>
      <sheetData sheetId="2952"/>
      <sheetData sheetId="2953"/>
      <sheetData sheetId="2954"/>
      <sheetData sheetId="2955"/>
      <sheetData sheetId="2956"/>
      <sheetData sheetId="2957"/>
      <sheetData sheetId="2958"/>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sheetData sheetId="3141"/>
      <sheetData sheetId="3142"/>
      <sheetData sheetId="3143"/>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sheetData sheetId="3200"/>
      <sheetData sheetId="3201"/>
      <sheetData sheetId="3202"/>
      <sheetData sheetId="3203"/>
      <sheetData sheetId="3204"/>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sheetData sheetId="3250" refreshError="1"/>
      <sheetData sheetId="3251" refreshError="1"/>
      <sheetData sheetId="3252" refreshError="1"/>
      <sheetData sheetId="3253" refreshError="1"/>
      <sheetData sheetId="3254" refreshError="1"/>
      <sheetData sheetId="3255">
        <row r="1">
          <cell r="A1" t="str">
            <v>시멘트,모래,자갈 산출표</v>
          </cell>
        </row>
      </sheetData>
      <sheetData sheetId="3256"/>
      <sheetData sheetId="3257"/>
      <sheetData sheetId="3258"/>
      <sheetData sheetId="3259"/>
      <sheetData sheetId="3260"/>
      <sheetData sheetId="3261"/>
      <sheetData sheetId="3262"/>
      <sheetData sheetId="3263"/>
      <sheetData sheetId="3264"/>
      <sheetData sheetId="3265"/>
      <sheetData sheetId="3266">
        <row r="1">
          <cell r="A1" t="str">
            <v>시멘트,모래,자갈 산출표</v>
          </cell>
        </row>
      </sheetData>
      <sheetData sheetId="3267">
        <row r="1">
          <cell r="A1" t="str">
            <v>시멘트,모래,자갈 산출표</v>
          </cell>
        </row>
      </sheetData>
      <sheetData sheetId="3268">
        <row r="1">
          <cell r="A1" t="str">
            <v>시멘트,모래,자갈 산출표</v>
          </cell>
        </row>
      </sheetData>
      <sheetData sheetId="3269">
        <row r="1">
          <cell r="A1" t="str">
            <v>시멘트,모래,자갈 산출표</v>
          </cell>
        </row>
      </sheetData>
      <sheetData sheetId="3270"/>
      <sheetData sheetId="3271"/>
      <sheetData sheetId="3272">
        <row r="1">
          <cell r="A1" t="str">
            <v>시멘트,모래,자갈 산출표</v>
          </cell>
        </row>
      </sheetData>
      <sheetData sheetId="3273"/>
      <sheetData sheetId="3274"/>
      <sheetData sheetId="3275"/>
      <sheetData sheetId="3276"/>
      <sheetData sheetId="3277">
        <row r="1">
          <cell r="A1" t="str">
            <v>시멘트,모래,자갈 산출표</v>
          </cell>
        </row>
      </sheetData>
      <sheetData sheetId="3278">
        <row r="1">
          <cell r="A1" t="str">
            <v>시멘트,모래,자갈 산출표</v>
          </cell>
        </row>
      </sheetData>
      <sheetData sheetId="3279">
        <row r="1">
          <cell r="A1" t="str">
            <v>시멘트,모래,자갈 산출표</v>
          </cell>
        </row>
      </sheetData>
      <sheetData sheetId="3280">
        <row r="1">
          <cell r="A1" t="str">
            <v>시멘트,모래,자갈 산출표</v>
          </cell>
        </row>
      </sheetData>
      <sheetData sheetId="3281">
        <row r="1">
          <cell r="A1" t="str">
            <v>시멘트,모래,자갈 산출표</v>
          </cell>
        </row>
      </sheetData>
      <sheetData sheetId="3282">
        <row r="1">
          <cell r="A1" t="str">
            <v>시멘트,모래,자갈 산출표</v>
          </cell>
        </row>
      </sheetData>
      <sheetData sheetId="3283">
        <row r="1">
          <cell r="A1" t="str">
            <v>시멘트,모래,자갈 산출표</v>
          </cell>
        </row>
      </sheetData>
      <sheetData sheetId="3284">
        <row r="1">
          <cell r="A1" t="str">
            <v>시멘트,모래,자갈 산출표</v>
          </cell>
        </row>
      </sheetData>
      <sheetData sheetId="3285">
        <row r="1">
          <cell r="A1" t="str">
            <v>시멘트,모래,자갈 산출표</v>
          </cell>
        </row>
      </sheetData>
      <sheetData sheetId="3286"/>
      <sheetData sheetId="3287">
        <row r="1">
          <cell r="A1" t="str">
            <v>시멘트,모래,자갈 산출표</v>
          </cell>
        </row>
      </sheetData>
      <sheetData sheetId="3288">
        <row r="1">
          <cell r="A1" t="str">
            <v>시멘트,모래,자갈 산출표</v>
          </cell>
        </row>
      </sheetData>
      <sheetData sheetId="3289">
        <row r="1">
          <cell r="A1" t="str">
            <v>시멘트,모래,자갈 산출표</v>
          </cell>
        </row>
      </sheetData>
      <sheetData sheetId="3290">
        <row r="1">
          <cell r="A1" t="str">
            <v>시멘트,모래,자갈 산출표</v>
          </cell>
        </row>
      </sheetData>
      <sheetData sheetId="3291">
        <row r="1">
          <cell r="A1" t="str">
            <v>시멘트,모래,자갈 산출표</v>
          </cell>
        </row>
      </sheetData>
      <sheetData sheetId="3292">
        <row r="1">
          <cell r="A1" t="str">
            <v>시멘트,모래,자갈 산출표</v>
          </cell>
        </row>
      </sheetData>
      <sheetData sheetId="3293">
        <row r="1">
          <cell r="A1" t="str">
            <v>시멘트,모래,자갈 산출표</v>
          </cell>
        </row>
      </sheetData>
      <sheetData sheetId="3294">
        <row r="1">
          <cell r="A1" t="str">
            <v>시멘트,모래,자갈 산출표</v>
          </cell>
        </row>
      </sheetData>
      <sheetData sheetId="3295">
        <row r="1">
          <cell r="A1" t="str">
            <v>시멘트,모래,자갈 산출표</v>
          </cell>
        </row>
      </sheetData>
      <sheetData sheetId="3296"/>
      <sheetData sheetId="3297"/>
      <sheetData sheetId="3298">
        <row r="1">
          <cell r="A1" t="str">
            <v>시멘트,모래,자갈 산출표</v>
          </cell>
        </row>
      </sheetData>
      <sheetData sheetId="3299"/>
      <sheetData sheetId="3300"/>
      <sheetData sheetId="3301">
        <row r="1">
          <cell r="A1" t="str">
            <v>시멘트,모래,자갈 산출표</v>
          </cell>
        </row>
      </sheetData>
      <sheetData sheetId="3302"/>
      <sheetData sheetId="3303">
        <row r="1">
          <cell r="A1" t="str">
            <v>시멘트,모래,자갈 산출표</v>
          </cell>
        </row>
      </sheetData>
      <sheetData sheetId="3304"/>
      <sheetData sheetId="3305">
        <row r="1">
          <cell r="A1" t="str">
            <v>시멘트,모래,자갈 산출표</v>
          </cell>
        </row>
      </sheetData>
      <sheetData sheetId="3306"/>
      <sheetData sheetId="3307">
        <row r="1">
          <cell r="A1" t="str">
            <v>시멘트,모래,자갈 산출표</v>
          </cell>
        </row>
      </sheetData>
      <sheetData sheetId="3308">
        <row r="1">
          <cell r="A1" t="str">
            <v>시멘트,모래,자갈 산출표</v>
          </cell>
        </row>
      </sheetData>
      <sheetData sheetId="3309"/>
      <sheetData sheetId="3310"/>
      <sheetData sheetId="3311">
        <row r="1">
          <cell r="A1" t="str">
            <v>시멘트,모래,자갈 산출표</v>
          </cell>
        </row>
      </sheetData>
      <sheetData sheetId="3312"/>
      <sheetData sheetId="3313">
        <row r="1">
          <cell r="A1" t="str">
            <v>시멘트,모래,자갈 산출표</v>
          </cell>
        </row>
      </sheetData>
      <sheetData sheetId="3314">
        <row r="1">
          <cell r="A1" t="str">
            <v>시멘트,모래,자갈 산출표</v>
          </cell>
        </row>
      </sheetData>
      <sheetData sheetId="3315">
        <row r="1">
          <cell r="A1" t="str">
            <v>시멘트,모래,자갈 산출표</v>
          </cell>
        </row>
      </sheetData>
      <sheetData sheetId="3316">
        <row r="1">
          <cell r="A1" t="str">
            <v>시멘트,모래,자갈 산출표</v>
          </cell>
        </row>
      </sheetData>
      <sheetData sheetId="3317">
        <row r="1">
          <cell r="A1" t="str">
            <v>시멘트,모래,자갈 산출표</v>
          </cell>
        </row>
      </sheetData>
      <sheetData sheetId="3318">
        <row r="1">
          <cell r="A1" t="str">
            <v>시멘트,모래,자갈 산출표</v>
          </cell>
        </row>
      </sheetData>
      <sheetData sheetId="3319"/>
      <sheetData sheetId="3320">
        <row r="1">
          <cell r="A1" t="str">
            <v>시멘트,모래,자갈 산출표</v>
          </cell>
        </row>
      </sheetData>
      <sheetData sheetId="3321">
        <row r="1">
          <cell r="A1" t="str">
            <v>시멘트,모래,자갈 산출표</v>
          </cell>
        </row>
      </sheetData>
      <sheetData sheetId="3322"/>
      <sheetData sheetId="3323"/>
      <sheetData sheetId="3324">
        <row r="1">
          <cell r="A1" t="str">
            <v>시멘트,모래,자갈 산출표</v>
          </cell>
        </row>
      </sheetData>
      <sheetData sheetId="3325"/>
      <sheetData sheetId="3326">
        <row r="1">
          <cell r="A1" t="str">
            <v>시멘트,모래,자갈 산출표</v>
          </cell>
        </row>
      </sheetData>
      <sheetData sheetId="3327"/>
      <sheetData sheetId="3328">
        <row r="1">
          <cell r="A1" t="str">
            <v>시멘트,모래,자갈 산출표</v>
          </cell>
        </row>
      </sheetData>
      <sheetData sheetId="3329"/>
      <sheetData sheetId="3330">
        <row r="1">
          <cell r="A1" t="str">
            <v>시멘트,모래,자갈 산출표</v>
          </cell>
        </row>
      </sheetData>
      <sheetData sheetId="3331">
        <row r="1">
          <cell r="A1" t="str">
            <v>시멘트,모래,자갈 산출표</v>
          </cell>
        </row>
      </sheetData>
      <sheetData sheetId="3332"/>
      <sheetData sheetId="3333"/>
      <sheetData sheetId="3334">
        <row r="1">
          <cell r="A1" t="str">
            <v>시멘트,모래,자갈 산출표</v>
          </cell>
        </row>
      </sheetData>
      <sheetData sheetId="3335">
        <row r="1">
          <cell r="A1" t="str">
            <v>시멘트,모래,자갈 산출표</v>
          </cell>
        </row>
      </sheetData>
      <sheetData sheetId="3336"/>
      <sheetData sheetId="3337"/>
      <sheetData sheetId="3338"/>
      <sheetData sheetId="3339">
        <row r="1">
          <cell r="A1" t="str">
            <v>시멘트,모래,자갈 산출표</v>
          </cell>
        </row>
      </sheetData>
      <sheetData sheetId="3340"/>
      <sheetData sheetId="3341">
        <row r="1">
          <cell r="A1" t="str">
            <v>시멘트,모래,자갈 산출표</v>
          </cell>
        </row>
      </sheetData>
      <sheetData sheetId="3342"/>
      <sheetData sheetId="3343"/>
      <sheetData sheetId="3344">
        <row r="1">
          <cell r="A1" t="str">
            <v>시멘트,모래,자갈 산출표</v>
          </cell>
        </row>
      </sheetData>
      <sheetData sheetId="3345"/>
      <sheetData sheetId="3346"/>
      <sheetData sheetId="3347"/>
      <sheetData sheetId="3348"/>
      <sheetData sheetId="3349"/>
      <sheetData sheetId="3350"/>
      <sheetData sheetId="3351"/>
      <sheetData sheetId="3352"/>
      <sheetData sheetId="3353"/>
      <sheetData sheetId="3354">
        <row r="1">
          <cell r="A1" t="str">
            <v>시멘트,모래,자갈 산출표</v>
          </cell>
        </row>
      </sheetData>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sheetData sheetId="3400">
        <row r="1">
          <cell r="A1" t="str">
            <v>시멘트,모래,자갈 산출표</v>
          </cell>
        </row>
      </sheetData>
      <sheetData sheetId="3401"/>
      <sheetData sheetId="3402">
        <row r="1">
          <cell r="A1" t="str">
            <v>시멘트,모래,자갈 산출표</v>
          </cell>
        </row>
      </sheetData>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sheetData sheetId="3677"/>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sheetData sheetId="3789"/>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sheetData sheetId="3991"/>
      <sheetData sheetId="3992"/>
      <sheetData sheetId="3993"/>
      <sheetData sheetId="3994"/>
      <sheetData sheetId="3995"/>
      <sheetData sheetId="3996"/>
      <sheetData sheetId="3997"/>
      <sheetData sheetId="3998"/>
      <sheetData sheetId="3999" refreshError="1"/>
      <sheetData sheetId="4000"/>
      <sheetData sheetId="4001"/>
      <sheetData sheetId="4002"/>
      <sheetData sheetId="4003"/>
      <sheetData sheetId="4004"/>
      <sheetData sheetId="4005"/>
      <sheetData sheetId="4006"/>
      <sheetData sheetId="4007"/>
      <sheetData sheetId="4008"/>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sheetData sheetId="4022"/>
      <sheetData sheetId="4023"/>
      <sheetData sheetId="4024"/>
      <sheetData sheetId="4025"/>
      <sheetData sheetId="4026"/>
      <sheetData sheetId="4027"/>
      <sheetData sheetId="4028"/>
      <sheetData sheetId="4029"/>
      <sheetData sheetId="4030" refreshError="1"/>
      <sheetData sheetId="4031"/>
      <sheetData sheetId="4032"/>
      <sheetData sheetId="4033"/>
      <sheetData sheetId="4034"/>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sheetData sheetId="4125"/>
      <sheetData sheetId="4126"/>
      <sheetData sheetId="4127"/>
      <sheetData sheetId="4128"/>
      <sheetData sheetId="4129"/>
      <sheetData sheetId="4130"/>
      <sheetData sheetId="4131"/>
      <sheetData sheetId="4132"/>
      <sheetData sheetId="4133"/>
      <sheetData sheetId="4134"/>
      <sheetData sheetId="4135" refreshError="1"/>
      <sheetData sheetId="4136" refreshError="1"/>
      <sheetData sheetId="4137" refreshError="1"/>
      <sheetData sheetId="4138" refreshError="1"/>
      <sheetData sheetId="4139" refreshError="1"/>
      <sheetData sheetId="4140"/>
      <sheetData sheetId="4141"/>
      <sheetData sheetId="4142"/>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sheetData sheetId="4758" refreshError="1"/>
      <sheetData sheetId="4759" refreshError="1"/>
      <sheetData sheetId="4760" refreshError="1"/>
      <sheetData sheetId="4761" refreshError="1"/>
      <sheetData sheetId="4762" refreshError="1"/>
      <sheetData sheetId="4763" refreshError="1"/>
      <sheetData sheetId="4764" refreshError="1"/>
      <sheetData sheetId="4765"/>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sheetData sheetId="5036"/>
      <sheetData sheetId="5037"/>
      <sheetData sheetId="5038"/>
      <sheetData sheetId="5039"/>
      <sheetData sheetId="5040"/>
      <sheetData sheetId="5041"/>
      <sheetData sheetId="5042"/>
      <sheetData sheetId="5043"/>
      <sheetData sheetId="5044"/>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sheetData sheetId="5057"/>
      <sheetData sheetId="5058"/>
      <sheetData sheetId="5059"/>
      <sheetData sheetId="5060"/>
      <sheetData sheetId="5061"/>
      <sheetData sheetId="5062" refreshError="1"/>
      <sheetData sheetId="5063" refreshError="1"/>
      <sheetData sheetId="5064" refreshError="1"/>
      <sheetData sheetId="5065" refreshError="1"/>
      <sheetData sheetId="5066" refreshError="1"/>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sheetData sheetId="5109"/>
      <sheetData sheetId="5110"/>
      <sheetData sheetId="5111"/>
      <sheetData sheetId="5112"/>
      <sheetData sheetId="5113"/>
      <sheetData sheetId="5114"/>
      <sheetData sheetId="5115"/>
      <sheetData sheetId="5116"/>
      <sheetData sheetId="5117"/>
      <sheetData sheetId="5118"/>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sheetData sheetId="5144"/>
      <sheetData sheetId="5145"/>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sheetData sheetId="5298"/>
      <sheetData sheetId="5299"/>
      <sheetData sheetId="5300"/>
      <sheetData sheetId="5301" refreshError="1"/>
      <sheetData sheetId="5302" refreshError="1"/>
      <sheetData sheetId="5303" refreshError="1"/>
      <sheetData sheetId="5304" refreshError="1"/>
      <sheetData sheetId="5305" refreshError="1"/>
      <sheetData sheetId="5306"/>
      <sheetData sheetId="5307"/>
      <sheetData sheetId="5308"/>
      <sheetData sheetId="5309"/>
      <sheetData sheetId="5310" refreshError="1"/>
      <sheetData sheetId="5311" refreshError="1"/>
      <sheetData sheetId="5312"/>
      <sheetData sheetId="5313" refreshError="1"/>
      <sheetData sheetId="5314" refreshError="1"/>
      <sheetData sheetId="5315"/>
      <sheetData sheetId="5316" refreshError="1"/>
      <sheetData sheetId="5317"/>
      <sheetData sheetId="5318"/>
      <sheetData sheetId="5319"/>
      <sheetData sheetId="5320"/>
      <sheetData sheetId="5321"/>
      <sheetData sheetId="5322"/>
      <sheetData sheetId="5323"/>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sheetData sheetId="5355"/>
      <sheetData sheetId="5356"/>
      <sheetData sheetId="5357"/>
      <sheetData sheetId="5358" refreshError="1"/>
      <sheetData sheetId="5359" refreshError="1"/>
      <sheetData sheetId="5360" refreshError="1"/>
      <sheetData sheetId="5361" refreshError="1"/>
      <sheetData sheetId="5362"/>
      <sheetData sheetId="5363"/>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sheetData sheetId="5550"/>
      <sheetData sheetId="555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sheetData sheetId="5696" refreshError="1"/>
      <sheetData sheetId="5697" refreshError="1"/>
      <sheetData sheetId="5698"/>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sheetData sheetId="6144"/>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sheetData sheetId="6256"/>
      <sheetData sheetId="6257"/>
      <sheetData sheetId="6258"/>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sheetData sheetId="7162"/>
      <sheetData sheetId="7163"/>
      <sheetData sheetId="7164" refreshError="1"/>
      <sheetData sheetId="7165" refreshError="1"/>
      <sheetData sheetId="7166" refreshError="1"/>
      <sheetData sheetId="7167"/>
      <sheetData sheetId="7168"/>
      <sheetData sheetId="7169"/>
      <sheetData sheetId="7170"/>
      <sheetData sheetId="7171" refreshError="1"/>
      <sheetData sheetId="7172" refreshError="1"/>
      <sheetData sheetId="7173" refreshError="1"/>
      <sheetData sheetId="7174" refreshError="1"/>
      <sheetData sheetId="7175"/>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sheetData sheetId="735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sheetData sheetId="7560"/>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sheetData sheetId="7727"/>
      <sheetData sheetId="7728" refreshError="1"/>
      <sheetData sheetId="7729" refreshError="1"/>
      <sheetData sheetId="7730" refreshError="1"/>
      <sheetData sheetId="7731"/>
      <sheetData sheetId="7732"/>
      <sheetData sheetId="7733"/>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sheetData sheetId="7795"/>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sheetData sheetId="7908" refreshError="1"/>
      <sheetData sheetId="7909" refreshError="1"/>
      <sheetData sheetId="7910" refreshError="1"/>
      <sheetData sheetId="7911" refreshError="1"/>
      <sheetData sheetId="7912" refreshError="1"/>
      <sheetData sheetId="7913" refreshError="1"/>
      <sheetData sheetId="7914"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급,도급물가자료"/>
      <sheetName val="일위대가"/>
      <sheetName val="기별종합분"/>
      <sheetName val="분할도"/>
      <sheetName val="셀분할코아내역"/>
      <sheetName val="15기별"/>
      <sheetName val="기별명세"/>
      <sheetName val="표지"/>
      <sheetName val="목차"/>
      <sheetName val="관로공사"/>
      <sheetName val="PEDE"/>
      <sheetName val="사무소"/>
      <sheetName val="경비"/>
      <sheetName val="운반비"/>
      <sheetName val="간접및경비요율적용"/>
      <sheetName val="4차설계"/>
      <sheetName val="산출내역"/>
      <sheetName val="공계"/>
      <sheetName val="자계"/>
      <sheetName val="공총"/>
      <sheetName val="공예"/>
      <sheetName val="예공"/>
      <sheetName val="Modu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설명서"/>
      <sheetName val="선정사유"/>
      <sheetName val="예정공정표"/>
      <sheetName val="기별표지"/>
      <sheetName val="공사계획서"/>
      <sheetName val="소요자재"/>
      <sheetName val="노무산출서"/>
      <sheetName val="공사비예산서"/>
      <sheetName val="설계명세서(종합)"/>
      <sheetName val="Sheet1"/>
      <sheetName val="Sheet2"/>
      <sheetName val="Sheet3"/>
      <sheetName val="5차설계"/>
      <sheetName val="설계명세서"/>
      <sheetName val="설계명세(선로분)"/>
      <sheetName val="Total"/>
      <sheetName val="예산내역서"/>
      <sheetName val="아파트기별"/>
      <sheetName val="공리일"/>
      <sheetName val="기초자료입력"/>
      <sheetName val="준공정산"/>
      <sheetName val="A 견적"/>
      <sheetName val="성단물량"/>
      <sheetName val="환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설계"/>
      <sheetName val="수량"/>
      <sheetName val="부표단가,총괄표"/>
      <sheetName val="내역서"/>
      <sheetName val="진고설계"/>
      <sheetName val="면간거리&amp;사거리"/>
      <sheetName val="플랜트 설치"/>
      <sheetName val="주관사업"/>
      <sheetName val="증감대비"/>
      <sheetName val="갑지"/>
      <sheetName val="총괄표"/>
      <sheetName val="기초분물량표"/>
      <sheetName val="설치물량표"/>
      <sheetName val="철거분물량표"/>
      <sheetName val="설계명세서"/>
      <sheetName val="#REF"/>
      <sheetName val="견적대비표"/>
      <sheetName val="00하노임"/>
      <sheetName val="정산입력"/>
      <sheetName val="공종단가"/>
      <sheetName val="공사설계서"/>
      <sheetName val="Sheet6"/>
      <sheetName val="MS"/>
      <sheetName val="설계명세"/>
      <sheetName val="교대시점"/>
      <sheetName val="자료"/>
      <sheetName val="준공정산 (2)"/>
      <sheetName val="표지(가)"/>
      <sheetName val="품셈표('04.03)"/>
      <sheetName val="일위대가"/>
      <sheetName val="밀양1호신설기초"/>
      <sheetName val="우수공,맨홀,집수정"/>
      <sheetName val="신고조서"/>
      <sheetName val="1.설계기준"/>
      <sheetName val="전기일위대가"/>
      <sheetName val="노임단가"/>
      <sheetName val="경비_원본"/>
      <sheetName val="말뚝물량"/>
      <sheetName val="기별수량산출서"/>
      <sheetName val="부표총괄표"/>
      <sheetName val="자재단가"/>
      <sheetName val="공통비총괄표"/>
      <sheetName val="Sheet2"/>
      <sheetName val="공사비집계"/>
      <sheetName val="단면치수"/>
      <sheetName val="찍기"/>
      <sheetName val="DATE"/>
      <sheetName val="6호기"/>
      <sheetName val="대운산출"/>
      <sheetName val="준공정산"/>
      <sheetName val="기초자료입력"/>
      <sheetName val="운반비정산"/>
      <sheetName val="정산"/>
      <sheetName val="토공"/>
      <sheetName val="1.설계조건"/>
      <sheetName val="rate"/>
      <sheetName val="5차설계"/>
      <sheetName val="본체"/>
      <sheetName val="11품셈표"/>
      <sheetName val="10설계명세서"/>
      <sheetName val="대치판정"/>
      <sheetName val="A"/>
      <sheetName val="설계서"/>
      <sheetName val="사방수량"/>
      <sheetName val="실행철강하도"/>
      <sheetName val="옹벽"/>
      <sheetName val="CAL"/>
      <sheetName val="기초물량상세"/>
      <sheetName val="수량총괄"/>
      <sheetName val="공예을"/>
      <sheetName val="비탈면보호공수량산출"/>
      <sheetName val="6PILE  (돌출)"/>
      <sheetName val="조명시설"/>
      <sheetName val="3련 BOX"/>
      <sheetName val="별표 "/>
      <sheetName val="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기초공"/>
      <sheetName val="기둥(원형)"/>
      <sheetName val="BID"/>
      <sheetName val="내역서"/>
      <sheetName val="공사내역"/>
      <sheetName val="TEL"/>
      <sheetName val="type-F"/>
      <sheetName val="조명시설"/>
      <sheetName val="입출재고현황 (2)"/>
      <sheetName val="공사개요"/>
      <sheetName val="공사비집계"/>
      <sheetName val="대비"/>
      <sheetName val="견적서"/>
      <sheetName val="을"/>
      <sheetName val="MOTOR"/>
      <sheetName val="구미4단2"/>
      <sheetName val="#REF"/>
      <sheetName val="일위목록"/>
      <sheetName val="데이타"/>
      <sheetName val="DATA"/>
      <sheetName val="RAHMEN"/>
      <sheetName val="98지급계획"/>
      <sheetName val="부대대비"/>
      <sheetName val="냉연집계"/>
      <sheetName val="design criteria"/>
      <sheetName val="working load at the btm ft."/>
      <sheetName val="plan&amp;section of foundation"/>
      <sheetName val="member design"/>
      <sheetName val="일위대가"/>
      <sheetName val="8공구투찰내역서"/>
      <sheetName val="Sheet2"/>
      <sheetName val="총괄"/>
      <sheetName val="EKOG10건축"/>
      <sheetName val="말뚝지지력산정"/>
      <sheetName val="Customer Databas"/>
      <sheetName val="전체"/>
      <sheetName val="노원열병합  건축공사기성내역서"/>
      <sheetName val="Total"/>
      <sheetName val="영업.일"/>
      <sheetName val="일위대가목차"/>
      <sheetName val="내역"/>
      <sheetName val="말뚝물량"/>
      <sheetName val="협조전"/>
      <sheetName val="1.우편집중내역서"/>
      <sheetName val="터파기및재료"/>
      <sheetName val="공사비예산서(토목분)"/>
      <sheetName val="단가조건"/>
      <sheetName val="설 계"/>
      <sheetName val="BSD (2)"/>
      <sheetName val="정보매체A동"/>
      <sheetName val="ITB COST"/>
      <sheetName val="인사자료총집계"/>
      <sheetName val="Macro1"/>
      <sheetName val="수량산출"/>
      <sheetName val="시멘트"/>
      <sheetName val="조명율표"/>
      <sheetName val="경비2내역"/>
      <sheetName val="hvac내역서(제어동)"/>
      <sheetName val="예산변경사항"/>
      <sheetName val="산출기준(파견전산실)"/>
      <sheetName val="본부소개"/>
      <sheetName val="지급자재"/>
      <sheetName val="DATE"/>
      <sheetName val="청천내"/>
      <sheetName val="2000.05"/>
      <sheetName val="단위중기"/>
      <sheetName val="2.대외공문"/>
      <sheetName val="BSD _2_"/>
      <sheetName val="M1"/>
      <sheetName val="실행철강하도"/>
      <sheetName val="BOQ건축"/>
      <sheetName val="Sheet3"/>
      <sheetName val="토목주소"/>
      <sheetName val="프랜트면허"/>
      <sheetName val="Sheet1"/>
      <sheetName val="품종별-이름"/>
      <sheetName val="설계조건"/>
      <sheetName val="단면검토"/>
      <sheetName val="soil bearing check"/>
      <sheetName val="기계내역"/>
      <sheetName val="TB-내역서"/>
      <sheetName val="교각1"/>
      <sheetName val="Y-WORK"/>
      <sheetName val="포장공"/>
      <sheetName val="토공"/>
      <sheetName val="기계"/>
      <sheetName val="토공(완충)"/>
      <sheetName val="물가"/>
      <sheetName val="EACT10"/>
      <sheetName val="설계명세서"/>
      <sheetName val="UNIT"/>
      <sheetName val="정부노임단가"/>
      <sheetName val="PUMP"/>
      <sheetName val="출력표"/>
      <sheetName val="집계표"/>
      <sheetName val="첨부파일"/>
      <sheetName val="수량산출서"/>
      <sheetName val="가격조사서"/>
      <sheetName val="코드표"/>
      <sheetName val="ABUT수량-A1"/>
      <sheetName val="공통가설"/>
      <sheetName val="1단계"/>
      <sheetName val="전기일위대가"/>
      <sheetName val="계약내역서"/>
      <sheetName val="1.설계조건"/>
      <sheetName val="6.OUTPUT"/>
      <sheetName val="표지"/>
      <sheetName val="예산M12A"/>
      <sheetName val="보도경계블럭"/>
      <sheetName val="자재단가비교표"/>
      <sheetName val="보온자재단가표"/>
      <sheetName val="조경"/>
      <sheetName val="Front"/>
      <sheetName val="wall"/>
      <sheetName val="단면가정"/>
      <sheetName val="날개벽(좌,우=45도,75도)"/>
      <sheetName val="DESCRIPTION"/>
      <sheetName val="6호기"/>
      <sheetName val="결과조달"/>
      <sheetName val="2002상반기노임기준"/>
      <sheetName val="견적조건"/>
      <sheetName val="공사개요설명서"/>
      <sheetName val="예산M5A"/>
      <sheetName val="내역서(총)"/>
      <sheetName val="Budget 2004(DW)"/>
      <sheetName val="첨"/>
      <sheetName val="9-1차이내역"/>
      <sheetName val="VENDOR LIST"/>
      <sheetName val="공통비"/>
      <sheetName val="현장"/>
      <sheetName val="Piping(Methanol)"/>
      <sheetName val="견적가 검토"/>
      <sheetName val="FUND"/>
      <sheetName val="날개벽"/>
      <sheetName val="FRT_O"/>
      <sheetName val="FAB_I"/>
      <sheetName val="6PILE  (돌출)"/>
      <sheetName val="Proposal"/>
      <sheetName val="건축내역"/>
      <sheetName val="J"/>
      <sheetName val="진행 DATA (2)"/>
      <sheetName val="MAT_N048"/>
      <sheetName val="소업1교"/>
      <sheetName val="건축원가계산서"/>
      <sheetName val="I.설계조건"/>
      <sheetName val="CAPVC"/>
      <sheetName val="골조시행"/>
      <sheetName val="세부내역"/>
      <sheetName val="1련박스"/>
      <sheetName val="전기"/>
      <sheetName val="대로근거"/>
      <sheetName val="중로근거"/>
      <sheetName val="현금"/>
      <sheetName val="단가조사"/>
      <sheetName val=" 견적서"/>
      <sheetName val="부대내역"/>
      <sheetName val="사용성검토"/>
      <sheetName val="안정검토"/>
      <sheetName val="토목내역"/>
      <sheetName val="2000년1차"/>
      <sheetName val="노임단가"/>
      <sheetName val="6-2차"/>
      <sheetName val="노임이"/>
      <sheetName val="첨부1"/>
      <sheetName val="공틀공사"/>
      <sheetName val="공통(20-91)"/>
      <sheetName val="설비내역서"/>
      <sheetName val="건축내역서"/>
      <sheetName val="전기내역서"/>
      <sheetName val="깨기"/>
      <sheetName val="도"/>
      <sheetName val="재집"/>
      <sheetName val="직재"/>
      <sheetName val="퇴비산출근거"/>
      <sheetName val="99노임기준"/>
      <sheetName val="분석"/>
      <sheetName val="일위대가표"/>
      <sheetName val="BREAKDOWN(철거설치)"/>
      <sheetName val="분류작업"/>
      <sheetName val="1.설계기준"/>
      <sheetName val="토공계산서(부체도로)"/>
      <sheetName val="설계예산"/>
      <sheetName val="설계"/>
      <sheetName val="대대터널 설계서"/>
      <sheetName val="내역표지"/>
      <sheetName val="재무가정"/>
      <sheetName val="PROJECT BRIEF(EX.NEW)"/>
      <sheetName val="음료실행"/>
      <sheetName val="가정급수관"/>
      <sheetName val="Sheet4"/>
      <sheetName val="hvac(제어동)"/>
      <sheetName val="보일러"/>
      <sheetName val="COVER"/>
      <sheetName val="연결임시"/>
      <sheetName val="담장산출"/>
      <sheetName val="접속 SLAB,BRACKET 설계"/>
      <sheetName val="교량전기"/>
      <sheetName val="FB25JN"/>
      <sheetName val="한강운반비"/>
      <sheetName val="옹벽"/>
      <sheetName val="eq_data"/>
      <sheetName val="5사남"/>
      <sheetName val="danga"/>
      <sheetName val="ilch"/>
      <sheetName val="내역(입찰)"/>
      <sheetName val="1-1"/>
      <sheetName val="전체도급"/>
      <sheetName val="AP1"/>
      <sheetName val="96수출"/>
      <sheetName val="FAB별"/>
      <sheetName val="경비_원본"/>
      <sheetName val="하도급기성_(2)"/>
      <sheetName val="하도급단가산출_(2)"/>
      <sheetName val="설_계"/>
      <sheetName val="입출재고현황_(2)"/>
      <sheetName val="design_criteria"/>
      <sheetName val="working_load_at_the_btm_ft_"/>
      <sheetName val="plan&amp;section_of_foundation"/>
      <sheetName val="member_design"/>
      <sheetName val="3차토목내역"/>
      <sheetName val="인건비"/>
      <sheetName val="갑지1"/>
      <sheetName val="갑지(추정)"/>
      <sheetName val="기초일위"/>
      <sheetName val="시설일위"/>
      <sheetName val="조명일위"/>
      <sheetName val="단면 (2)"/>
      <sheetName val="combi(wall)"/>
      <sheetName val="맨홀수량산출"/>
      <sheetName val="가감수량"/>
      <sheetName val="가로등기초"/>
      <sheetName val="재1"/>
      <sheetName val="소운반"/>
      <sheetName val="CAL"/>
      <sheetName val="공내역"/>
      <sheetName val="INPUT"/>
      <sheetName val="설비원가"/>
      <sheetName val="소비자가"/>
      <sheetName val="직노"/>
      <sheetName val="전신환매도율"/>
      <sheetName val="바닥판"/>
      <sheetName val="입력DATA"/>
      <sheetName val="CODE"/>
      <sheetName val="기성내역서표지"/>
      <sheetName val="1호맨홀토공"/>
      <sheetName val="11"/>
      <sheetName val="변경내역대비표(2)"/>
      <sheetName val="CTEMCOST"/>
      <sheetName val="영업소실적"/>
      <sheetName val="가시설단위수량"/>
      <sheetName val="1. 설계조건 2.단면가정 3. 하중계산"/>
      <sheetName val="DATA 입력란"/>
      <sheetName val="관리비"/>
      <sheetName val="포장복구집계"/>
      <sheetName val="일집"/>
      <sheetName val="일위"/>
      <sheetName val="환률"/>
      <sheetName val="안정계산"/>
      <sheetName val="FOB발"/>
      <sheetName val="품종코드"/>
      <sheetName val="기초자료"/>
      <sheetName val="견적집계표"/>
      <sheetName val="손익(10월)"/>
      <sheetName val="항목"/>
      <sheetName val="정렬"/>
      <sheetName val="투찰금액"/>
      <sheetName val="산출근거"/>
      <sheetName val="기본입력표"/>
      <sheetName val="ERECTION"/>
      <sheetName val="POL설치공정"/>
      <sheetName val="Main"/>
      <sheetName val="공정양식"/>
      <sheetName val="개요"/>
      <sheetName val="부재예실"/>
      <sheetName val="SUMMARY(S)"/>
      <sheetName val="배수통관(좌)"/>
      <sheetName val="적용환율"/>
      <sheetName val="갑지"/>
      <sheetName val="건축공사"/>
      <sheetName val="실행"/>
      <sheetName val="1_설계조건"/>
      <sheetName val="6_OUTPUT"/>
      <sheetName val="영업_일"/>
      <sheetName val="1_우편집중내역서"/>
      <sheetName val="BSD_(2)"/>
      <sheetName val="ITB_COST"/>
      <sheetName val="Customer_Databas"/>
      <sheetName val="2000_05"/>
      <sheetName val="2_대외공문"/>
      <sheetName val="BSD__2_"/>
      <sheetName val="간접경상비"/>
      <sheetName val="건축"/>
      <sheetName val="공문"/>
      <sheetName val="토적1"/>
      <sheetName val="Sheet5"/>
      <sheetName val="기본"/>
      <sheetName val="통합"/>
      <sheetName val="물가자료"/>
      <sheetName val="Material Specification"/>
      <sheetName val="#34 CIVL_Original"/>
      <sheetName val="TOEC"/>
      <sheetName val="INDIRECT"/>
      <sheetName val="calculation-1"/>
      <sheetName val="WORK"/>
      <sheetName val="토목"/>
      <sheetName val="8.PILE  (돌출)"/>
      <sheetName val="입력값"/>
      <sheetName val="간선계산"/>
      <sheetName val="진주방향"/>
      <sheetName val="도대하도변경최종정산조경"/>
      <sheetName val="원가계산서구조조정"/>
      <sheetName val="J直材4"/>
      <sheetName val="입력"/>
      <sheetName val="일위대가(계측기설치)"/>
      <sheetName val="주식"/>
      <sheetName val="Discount Group"/>
      <sheetName val="요율"/>
      <sheetName val="소방"/>
      <sheetName val="산출"/>
      <sheetName val="Macro(전선)"/>
      <sheetName val="계약내력"/>
      <sheetName val="Sheet1 (2)"/>
      <sheetName val="삼성전기"/>
      <sheetName val="45,46"/>
      <sheetName val="A"/>
      <sheetName val="단가표"/>
      <sheetName val="부표총괄"/>
      <sheetName val="1근거"/>
      <sheetName val="유출부"/>
      <sheetName val="금액내역서"/>
      <sheetName val="노임"/>
      <sheetName val="배수공 시멘트 및 골재량 산출"/>
      <sheetName val="NS"/>
      <sheetName val="DATA1"/>
      <sheetName val="토사(PE)"/>
      <sheetName val="단면치수"/>
      <sheetName val="설계내역서"/>
      <sheetName val="오억미만"/>
      <sheetName val="woo(mac)"/>
      <sheetName val="수량산출서 갑지"/>
      <sheetName val="OD"/>
      <sheetName val="A-4"/>
      <sheetName val="노무비단가"/>
      <sheetName val="TYPE-A"/>
      <sheetName val="96까지"/>
      <sheetName val="97년"/>
      <sheetName val="98이후"/>
      <sheetName val="PO-BOQ"/>
      <sheetName val="12용지"/>
      <sheetName val="토적"/>
      <sheetName val="인건비 "/>
      <sheetName val="123"/>
      <sheetName val="TEST1"/>
      <sheetName val="기기리스트"/>
      <sheetName val="Budget 2005(DW)"/>
      <sheetName val="숙소"/>
      <sheetName val="마산월령동골조물량변경"/>
      <sheetName val="근고 블록 유형별 수량"/>
      <sheetName val="당진생산팀"/>
      <sheetName val="대차대조표"/>
      <sheetName val="내역서 "/>
      <sheetName val="crude.SLAB RE-bar"/>
      <sheetName val="000000"/>
      <sheetName val="방식총괄"/>
      <sheetName val="Ⅴ-2.공종별내역"/>
      <sheetName val="기본DATA"/>
      <sheetName val="ITEM"/>
      <sheetName val="공종별 집계"/>
      <sheetName val="날개벽수량표"/>
      <sheetName val="총집계표"/>
      <sheetName val="UR2-Calculation"/>
      <sheetName val="간접재료비산출표-27-30"/>
      <sheetName val="3본사"/>
      <sheetName val="총괄표"/>
      <sheetName val="상가지급현황"/>
      <sheetName val="유림골조"/>
      <sheetName val="4)유동표"/>
      <sheetName val="Ext. Stone-P"/>
      <sheetName val="수목데이타 "/>
      <sheetName val="SIL98"/>
      <sheetName val="물량표"/>
      <sheetName val="투자양식"/>
      <sheetName val="과거교육훈련비"/>
      <sheetName val="총 원가계산"/>
      <sheetName val="케이블및전선관규격표"/>
      <sheetName val="보통예금"/>
      <sheetName val="원형1호맨홀토공수량"/>
      <sheetName val="예가표"/>
      <sheetName val="바.한일양산"/>
      <sheetName val="SG"/>
      <sheetName val="가공비"/>
      <sheetName val="Sheet14"/>
      <sheetName val="Sheet13"/>
      <sheetName val="T13(P68~72,78)"/>
      <sheetName val="산출내역서집계표"/>
      <sheetName val="방송(체육관)"/>
      <sheetName val="내역(전체)"/>
      <sheetName val="전기공사"/>
      <sheetName val="F4-F7"/>
      <sheetName val="SLAB근거-1"/>
      <sheetName val="SLAB&quot;1&quot;"/>
      <sheetName val="COPING"/>
      <sheetName val="단가조사서"/>
      <sheetName val="노무단가"/>
      <sheetName val="조도계산서 (도서)"/>
      <sheetName val="3BL공동구 수량"/>
      <sheetName val="건축(충일분)"/>
      <sheetName val="dtxl"/>
      <sheetName val="예산내역서"/>
      <sheetName val="설계예산서"/>
      <sheetName val="총계"/>
      <sheetName val="수문일1"/>
      <sheetName val="하중계산"/>
      <sheetName val="통계연보"/>
      <sheetName val="직접기초설계"/>
      <sheetName val="모델링"/>
      <sheetName val="자재단가"/>
      <sheetName val="변화치수"/>
      <sheetName val="2000전체분"/>
      <sheetName val="본장"/>
      <sheetName val="냉천부속동"/>
      <sheetName val="약품설비"/>
      <sheetName val="98수문일위"/>
      <sheetName val="차수"/>
      <sheetName val="회사기본자료"/>
      <sheetName val="예정공정표(도급)"/>
      <sheetName val="좌측"/>
      <sheetName val="원가계산서"/>
      <sheetName val="계수시트"/>
      <sheetName val="sheets"/>
      <sheetName val="품셈1-17"/>
      <sheetName val="대전21토목내역서"/>
      <sheetName val="신우"/>
      <sheetName val="설계개요"/>
      <sheetName val="교각계산"/>
      <sheetName val="36+45-113-18+19+20I"/>
      <sheetName val="수로교총재료집계"/>
      <sheetName val="중기(목록)"/>
      <sheetName val="일위대가(목록)"/>
      <sheetName val="산근(목록)"/>
      <sheetName val="노무비"/>
      <sheetName val="재료비"/>
      <sheetName val="경비"/>
      <sheetName val="내역서2안"/>
      <sheetName val="횡날개수집"/>
      <sheetName val="MCC제원"/>
      <sheetName val="c_balju"/>
      <sheetName val="6공구(당초)"/>
      <sheetName val="중기사용료"/>
      <sheetName val="3.공통공사대비"/>
      <sheetName val="예산서"/>
      <sheetName val="AABS내역"/>
      <sheetName val="CAT_5"/>
      <sheetName val="내역서(당초변경)"/>
      <sheetName val="3차준공"/>
      <sheetName val="토 적 표"/>
      <sheetName val="투찰"/>
      <sheetName val="참조"/>
      <sheetName val="P&amp;L01-02GR"/>
      <sheetName val="자재표"/>
      <sheetName val="건축집계표"/>
      <sheetName val="시설물"/>
      <sheetName val="1"/>
      <sheetName val="부대공자재집계표"/>
      <sheetName val="설산1.나"/>
      <sheetName val="본사S"/>
      <sheetName val="흄관기초"/>
      <sheetName val="당진1,2호기전선관설치및접지4차공사내역서-을지"/>
      <sheetName val="1.관로"/>
      <sheetName val="재료집계"/>
      <sheetName val="2F 회의실견적(5_14 일대)"/>
      <sheetName val="일위(설)"/>
      <sheetName val="건축공사 집계표"/>
      <sheetName val="골조"/>
      <sheetName val="실행견적"/>
      <sheetName val="신규일위대가"/>
      <sheetName val="수량명세서"/>
      <sheetName val="설계서"/>
      <sheetName val="guard(mac)"/>
      <sheetName val="AILC004"/>
      <sheetName val="자판실행"/>
      <sheetName val="물량표S"/>
      <sheetName val="3련 BOX"/>
      <sheetName val="자료"/>
      <sheetName val="대림경상68억"/>
      <sheetName val="계산근거"/>
      <sheetName val="간접비"/>
      <sheetName val="REINF."/>
      <sheetName val="LOADS"/>
      <sheetName val="토공정보"/>
      <sheetName val="기성내역서"/>
      <sheetName val="수량 산출서(당초)"/>
      <sheetName val="손익분석"/>
      <sheetName val="TABLE"/>
      <sheetName val="soil_bearing_check"/>
      <sheetName val="노원열병합__건축공사기성내역서"/>
      <sheetName val="빈"/>
      <sheetName val="기초목"/>
      <sheetName val="비용"/>
      <sheetName val="1월"/>
      <sheetName val="VXXXXXXX"/>
      <sheetName val="#3E1_GCR"/>
      <sheetName val="KMT물량"/>
      <sheetName val="일위대가표(DEEP)"/>
      <sheetName val="페이징 배관배선"/>
      <sheetName val="견적내역서"/>
      <sheetName val="일위_파일"/>
      <sheetName val="여과지동"/>
      <sheetName val="전기BOX내역서"/>
      <sheetName val="산출내역서"/>
      <sheetName val="플랜트 설치"/>
      <sheetName val="수목표준대가"/>
      <sheetName val="정읍농소"/>
      <sheetName val="지주목시비량산출서"/>
      <sheetName val="실행내역"/>
      <sheetName val="역T형"/>
      <sheetName val="준검 내역서"/>
      <sheetName val="직접비"/>
      <sheetName val="하조서"/>
      <sheetName val="토공(우물통,기타) "/>
      <sheetName val="960318-1"/>
      <sheetName val="실정보고내역서"/>
      <sheetName val="GAEYO"/>
      <sheetName val="별표집계"/>
      <sheetName val="Breakdown"/>
      <sheetName val="변경비교-을"/>
      <sheetName val="일위대가표 (2)"/>
      <sheetName val="9811"/>
      <sheetName val="9509"/>
      <sheetName val="견적3"/>
      <sheetName val="주관사업"/>
      <sheetName val="가로등내역서"/>
      <sheetName val="보고서"/>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깨기집계"/>
      <sheetName val="설계예시"/>
      <sheetName val="저판(버림100)"/>
      <sheetName val="CHECK1"/>
      <sheetName val="적용기준"/>
      <sheetName val="3.하중산정4.지지력"/>
      <sheetName val="APT내역"/>
      <sheetName val="일위대가목록"/>
      <sheetName val="금액집계"/>
      <sheetName val="INPUT(덕도방향-시점)"/>
      <sheetName val="초기화면"/>
      <sheetName val="이름정의"/>
      <sheetName val="원가계산서(건축)"/>
      <sheetName val="VOR"/>
      <sheetName val="노임,재료비"/>
      <sheetName val="교통시설 표지판"/>
      <sheetName val="DI1"/>
      <sheetName val="직접재료비"/>
      <sheetName val="2.하자처리현황(CS)"/>
      <sheetName val="과천MAIN"/>
      <sheetName val="unit 4"/>
      <sheetName val="TAIHAN"/>
      <sheetName val="2000년 임금추정"/>
      <sheetName val="unitpric"/>
      <sheetName val="구분자"/>
      <sheetName val="외자배분"/>
      <sheetName val="횡배수관토공수량"/>
      <sheetName val="자단"/>
      <sheetName val="인공산출"/>
      <sheetName val="11.자재단가"/>
      <sheetName val="표  지"/>
      <sheetName val="날개벽(시점좌측)"/>
      <sheetName val="CLAUSE"/>
      <sheetName val="목차"/>
      <sheetName val="내역을"/>
      <sheetName val="LinerWt"/>
      <sheetName val="일위대가(1)"/>
      <sheetName val="서울산업대(토)"/>
      <sheetName val="갑지(비계타입)"/>
      <sheetName val="TYPE별집계"/>
      <sheetName val="내역(2000년)"/>
      <sheetName val="단가"/>
      <sheetName val="o현장경비"/>
      <sheetName val="증감대비"/>
      <sheetName val="정산입력"/>
      <sheetName val="기별수량산출서"/>
      <sheetName val="설계서(7)"/>
      <sheetName val="기성2"/>
      <sheetName val="대전(세창동)"/>
      <sheetName val="측구터파기공수량집계"/>
      <sheetName val="구조물터파기수량집계"/>
      <sheetName val="단가비교"/>
      <sheetName val="h-013211-2"/>
      <sheetName val="추가예산"/>
      <sheetName val="Pengalaman Per"/>
      <sheetName val="도급정산"/>
      <sheetName val="CRUDE RE-bar"/>
      <sheetName val="날개벽(TYPE3)"/>
      <sheetName val="사통"/>
      <sheetName val="구성비"/>
      <sheetName val="2.단면가정"/>
      <sheetName val="4.말뚝설계"/>
      <sheetName val="1.설계설명서"/>
      <sheetName val="20관리비율"/>
      <sheetName val="F-Assump"/>
      <sheetName val="산출근거1"/>
      <sheetName val="N賃率-職"/>
      <sheetName val="9GNG운반"/>
      <sheetName val="원형맨홀수량"/>
      <sheetName val="외주비"/>
      <sheetName val="토량1-1"/>
      <sheetName val="설비"/>
      <sheetName val="CAUDIT"/>
      <sheetName val="품의"/>
      <sheetName val="2003.4.1."/>
      <sheetName val="토적계산"/>
      <sheetName val="신규품셈목차"/>
      <sheetName val="시중노임단가"/>
      <sheetName val="JUCKEYK"/>
      <sheetName val="전체현황"/>
      <sheetName val="Basic Input"/>
      <sheetName val="Notes "/>
      <sheetName val="Bank charge"/>
      <sheetName val="Notes_"/>
      <sheetName val="Bank_charge"/>
      <sheetName val="전 기"/>
      <sheetName val="Sheet15"/>
      <sheetName val="유화"/>
      <sheetName val="NEYOK"/>
      <sheetName val="물량"/>
      <sheetName val="MM"/>
      <sheetName val="견적시담(송포2공구)"/>
      <sheetName val="FIRE FIGHTING"/>
      <sheetName val="단중표"/>
      <sheetName val="BEND LOSS"/>
      <sheetName val="기계내역서"/>
      <sheetName val="Load Total"/>
      <sheetName val="base"/>
      <sheetName val="빙설"/>
      <sheetName val="기안"/>
      <sheetName val="경산"/>
      <sheetName val="국내총괄"/>
      <sheetName val="주소(한문)"/>
      <sheetName val="견적대비표"/>
      <sheetName val="기둥(하중)"/>
      <sheetName val="서울대규장각(가시설흙막이)"/>
      <sheetName val="중동공구"/>
      <sheetName val="토공총괄표"/>
      <sheetName val="평가데이터"/>
      <sheetName val="Galaxy 소비자가격표"/>
      <sheetName val="준공조서갑지"/>
      <sheetName val="시설물일위"/>
      <sheetName val="총괄내역서"/>
      <sheetName val="간접"/>
      <sheetName val="우수"/>
      <sheetName val="운반"/>
      <sheetName val="품셈TABLE"/>
      <sheetName val="성남여성복지내역"/>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6PILE__(돌출)"/>
      <sheetName val="Budget_2004(DW)"/>
      <sheetName val="I_설계조건"/>
      <sheetName val="단면_(2)"/>
      <sheetName val="대대터널_설계서"/>
      <sheetName val="VENDOR_LIST"/>
      <sheetName val="견적가_검토"/>
      <sheetName val="PROJECT_BRIEF(EX_NEW)"/>
      <sheetName val="접속_SLAB,BRACKET_설계"/>
      <sheetName val="_견적서"/>
      <sheetName val="업무분장"/>
      <sheetName val="2-3.V.D일위"/>
      <sheetName val="1차 내역서"/>
      <sheetName val="준공평가"/>
      <sheetName val="중간부"/>
      <sheetName val="교통대책내역"/>
      <sheetName val="간지"/>
      <sheetName val="SKETCH"/>
      <sheetName val="부하계산서"/>
      <sheetName val="현황산출서"/>
      <sheetName val="단가목록"/>
      <sheetName val="토공사"/>
      <sheetName val="6.일위대가"/>
      <sheetName val="시행후면적"/>
      <sheetName val="설계내역(2001)"/>
      <sheetName val="내역서(기성청구)"/>
      <sheetName val="3.현장배치"/>
      <sheetName val="현장배치"/>
      <sheetName val="매크로"/>
      <sheetName val="외주가공"/>
      <sheetName val="잡재료비"/>
      <sheetName val="수량집계표"/>
      <sheetName val="사급분 설계내역서"/>
      <sheetName val="단관비계수량"/>
      <sheetName val="FD"/>
      <sheetName val="LD"/>
      <sheetName val="감가상각"/>
      <sheetName val="수로BOX(시점부)"/>
      <sheetName val="PIPE"/>
      <sheetName val="Sheet10"/>
      <sheetName val="취수탑"/>
      <sheetName val="ins"/>
      <sheetName val="라멘수량"/>
      <sheetName val="개소별수량산출"/>
      <sheetName val="작성"/>
      <sheetName val="수원공공사비"/>
      <sheetName val="견적총괄표"/>
      <sheetName val="사방수량"/>
      <sheetName val="약품공급2"/>
      <sheetName val="가시설(TYPE-A)"/>
      <sheetName val="1호맨홀가감수량"/>
      <sheetName val="1-1평균터파기고(1)"/>
      <sheetName val="1호맨홀수량산출"/>
      <sheetName val="SLAB"/>
      <sheetName val="옹벽1"/>
      <sheetName val="토공집계"/>
      <sheetName val="inter"/>
      <sheetName val="콤보박스와 리스트박스의 연결"/>
      <sheetName val="터널조도"/>
      <sheetName val="실행내역서 "/>
      <sheetName val="화전내"/>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단위중량"/>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료입력"/>
      <sheetName val="기자재비"/>
      <sheetName val="별표 "/>
      <sheetName val="단가조정"/>
      <sheetName val="돈암사업"/>
      <sheetName val="일위대가(출입)"/>
      <sheetName val="단가산출서"/>
      <sheetName val="장비사양"/>
      <sheetName val="식재일위대가"/>
      <sheetName val="가도공"/>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기종별"/>
      <sheetName val="외형규모"/>
      <sheetName val="과거실적"/>
      <sheetName val="보고계획"/>
      <sheetName val="보고실적"/>
      <sheetName val="손익"/>
      <sheetName val="Sheet7"/>
      <sheetName val="Sheet8"/>
      <sheetName val="Sheet9"/>
      <sheetName val="Sheet11"/>
      <sheetName val="Sheet12"/>
      <sheetName val="Sheet16"/>
      <sheetName val="설비2차"/>
      <sheetName val="SILICATE"/>
      <sheetName val="SORCE1"/>
      <sheetName val="옥내아파트(전기)"/>
      <sheetName val="조도"/>
      <sheetName val="배수내역 (2)"/>
      <sheetName val="단가일람표"/>
      <sheetName val="static.cal"/>
      <sheetName val="수입"/>
      <sheetName val="공조기휀"/>
      <sheetName val="AHU집계"/>
      <sheetName val="공조기"/>
      <sheetName val="원가서"/>
      <sheetName val="견적의뢰"/>
      <sheetName val="역T형교대-2수량"/>
      <sheetName val="인천제철"/>
      <sheetName val="FAX"/>
      <sheetName val="연습"/>
      <sheetName val="보험료"/>
      <sheetName val="부전지"/>
      <sheetName val="규격"/>
      <sheetName val="UNSTEADY"/>
      <sheetName val="대운산출"/>
      <sheetName val="Regenerator  Concrete Structure"/>
      <sheetName val="예산M2"/>
      <sheetName val="기초대가"/>
      <sheetName val="예산"/>
      <sheetName val="2.고용보험료산출근거"/>
      <sheetName val="단위세대"/>
      <sheetName val="원가"/>
      <sheetName val="crude_SLAB_RE-bar"/>
      <sheetName val="설직재-1"/>
      <sheetName val="제-노임"/>
      <sheetName val="I一般比"/>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제품별단가"/>
      <sheetName val="제품별절단길이-0628"/>
      <sheetName val="토목공종세부"/>
      <sheetName val="200"/>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공정코드"/>
      <sheetName val="DATA 입력부"/>
      <sheetName val="기초일위대가"/>
      <sheetName val="부지현황"/>
      <sheetName val="목록"/>
      <sheetName val="파스콘"/>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공통단가"/>
      <sheetName val="운반비"/>
      <sheetName val="2000양배"/>
      <sheetName val="설변물량"/>
      <sheetName val="기계설비-물가변동"/>
      <sheetName val="보할공정"/>
      <sheetName val="남양주댠가표"/>
      <sheetName val="굴화내역"/>
      <sheetName val="전선 및 전선관"/>
      <sheetName val="기계설비"/>
      <sheetName val="EQUIP-H"/>
      <sheetName val="건축-물가변동"/>
      <sheetName val="PROCESS"/>
      <sheetName val="반중력식옹벽3.5"/>
      <sheetName val="물량내역서"/>
      <sheetName val="PI"/>
      <sheetName val="database"/>
      <sheetName val="현장경비"/>
      <sheetName val=" 자재물류센터 증축공사 중 철근콘크리트 공사.xlsx"/>
      <sheetName val="부서별(배부후)_계획"/>
      <sheetName val="정산내역서"/>
      <sheetName val="소요자재"/>
      <sheetName val="Setting"/>
      <sheetName val="시행예산"/>
      <sheetName val="장외반출및폐기물 "/>
      <sheetName val="집수정수량총집계"/>
      <sheetName val="단면 Ȩ_x0000_栀"/>
      <sheetName val="공용정보"/>
      <sheetName val="EE-PROP"/>
      <sheetName val="cost9702"/>
      <sheetName val="접속슬래브"/>
      <sheetName val="찍기"/>
      <sheetName val="SANBAISU"/>
      <sheetName val="수지예산"/>
      <sheetName val="견적대비"/>
      <sheetName val="ENE-CAL 1"/>
      <sheetName val="변수2"/>
      <sheetName val="저항"/>
      <sheetName val="_산근2_"/>
      <sheetName val="_산근4_"/>
      <sheetName val="_산근5_"/>
      <sheetName val="품셈"/>
      <sheetName val="가설공사"/>
      <sheetName val="단가조건(02년)"/>
      <sheetName val="BQ"/>
      <sheetName val="예산대비표(현장작성)"/>
      <sheetName val="산근목록"/>
      <sheetName val="기초설계"/>
      <sheetName val="라멘"/>
      <sheetName val="CON포장수량"/>
      <sheetName val="ACUNIT"/>
      <sheetName val="CONUNIT"/>
      <sheetName val="TCA"/>
      <sheetName val="하도급기성_(2)2"/>
      <sheetName val="하도급단가산출_(2)2"/>
      <sheetName val="노원열병합__건축공사기성내역서1"/>
      <sheetName val="입출재고현황_(2)2"/>
      <sheetName val="Customer_Databas1"/>
      <sheetName val="design_criteria2"/>
      <sheetName val="working_load_at_the_btm_ft_2"/>
      <sheetName val="plan&amp;section_of_foundation2"/>
      <sheetName val="member_design2"/>
      <sheetName val="1_우편집중내역서1"/>
      <sheetName val="설_계2"/>
      <sheetName val="1_설계조건1"/>
      <sheetName val="영업_일1"/>
      <sheetName val="2_대외공문1"/>
      <sheetName val="2000_051"/>
      <sheetName val="BSD_(2)1"/>
      <sheetName val="BSD__2_1"/>
      <sheetName val="soil_bearing_check1"/>
      <sheetName val="Budget_2004(DW)1"/>
      <sheetName val="PROJECT_BRIEF(EX_NEW)1"/>
      <sheetName val="ITB_COST1"/>
      <sheetName val="6_OUTPUT1"/>
      <sheetName val="I_설계조건1"/>
      <sheetName val="단면_(2)1"/>
      <sheetName val="6PILE__(돌출)1"/>
      <sheetName val="8_PILE__(돌출)"/>
      <sheetName val="대대터널_설계서1"/>
      <sheetName val="접속_SLAB,BRACKET_설계1"/>
      <sheetName val="인건비_"/>
      <sheetName val="Budget_2005(DW)"/>
      <sheetName val="근고_블록_유형별_수량"/>
      <sheetName val="VENDOR_LIST1"/>
      <sheetName val="crude_SLAB_RE-bar1"/>
      <sheetName val="내역서_"/>
      <sheetName val="1_설계기준"/>
      <sheetName val="Discount_Group"/>
      <sheetName val="_견적서1"/>
      <sheetName val="바_한일양산"/>
      <sheetName val="진행_DATA_(2)"/>
      <sheetName val="견적가_검토1"/>
      <sheetName val="Sheet1_(2)"/>
      <sheetName val="3BL공동구_수량"/>
      <sheetName val="1__설계조건_2_단면가정_3__하중계산"/>
      <sheetName val="DATA_입력란"/>
      <sheetName val="배수공_시멘트_및_골재량_산출"/>
      <sheetName val="공종별_집계"/>
      <sheetName val="수량_산출서(당초)"/>
      <sheetName val="설산1_나"/>
      <sheetName val="건축공사_집계표"/>
      <sheetName val="수량산출서_갑지"/>
      <sheetName val="Ⅴ-2_공종별내역"/>
      <sheetName val="Material_Specification"/>
      <sheetName val="Ext__Stone-P"/>
      <sheetName val="수목데이타_"/>
      <sheetName val="2F_회의실견적(5_14_일대)"/>
      <sheetName val="페이징_배관배선"/>
      <sheetName val="3_공통공사대비"/>
      <sheetName val="조도계산서_(도서)"/>
      <sheetName val="일위대가표_(2)"/>
      <sheetName val="#34_CIVL_Original"/>
      <sheetName val="2000년_임금추정"/>
      <sheetName val="플랜트_설치"/>
      <sheetName val="REINF_"/>
      <sheetName val="토_적_표"/>
      <sheetName val="교통시설_표지판"/>
      <sheetName val="Pengalaman_Per"/>
      <sheetName val="FIRE_FIGHTING"/>
      <sheetName val="BEND_LOSS"/>
      <sheetName val="1_설계설명서"/>
      <sheetName val="Load_Total"/>
      <sheetName val="2_하자처리현황(CS)"/>
      <sheetName val="총_원가계산"/>
      <sheetName val="2003_4_1_"/>
      <sheetName val="11_자재단가"/>
      <sheetName val="표__지"/>
      <sheetName val="3_하중산정4_지지력"/>
      <sheetName val="3련_BOX"/>
      <sheetName val="토공(우물통,기타)_"/>
      <sheetName val="실행내역서_"/>
      <sheetName val="1_관로"/>
      <sheetName val="준검_내역서"/>
      <sheetName val="2_단면가정"/>
      <sheetName val="4_말뚝설계"/>
      <sheetName val="unit_4"/>
      <sheetName val="전_기"/>
      <sheetName val="2-3_V_D일위"/>
      <sheetName val="1차_내역서"/>
      <sheetName val="Basic_Input"/>
      <sheetName val="Notes_1"/>
      <sheetName val="Bank_charge1"/>
      <sheetName val="5호광장_(만점)"/>
      <sheetName val="인천국제_(만점)_(2)"/>
      <sheetName val="6_일위대가"/>
      <sheetName val="static_cal"/>
      <sheetName val="Galaxy_소비자가격표"/>
      <sheetName val="CRUDE_RE-bar"/>
      <sheetName val="콤보박스와_리스트박스의_연결"/>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배수내역_(2)"/>
      <sheetName val="3_현장배치"/>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POL6차-PIPING"/>
      <sheetName val="DS-최종"/>
      <sheetName val="Co-ef"/>
      <sheetName val="신기1-LINE별연장"/>
      <sheetName val="2000년 임금_x0000__x0000_"/>
      <sheetName val="공사비내역서"/>
      <sheetName val="원가계산"/>
      <sheetName val="CRU"/>
      <sheetName val="PRO"/>
      <sheetName val="수영4,5,6,7,8,9"/>
      <sheetName val="6동"/>
      <sheetName val="총괄내역서 (2)"/>
      <sheetName val="국공유지및사유지"/>
      <sheetName val="Macro(발전기)"/>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골재산출"/>
      <sheetName val="gvl"/>
      <sheetName val="BOX규격및 설계조건입력"/>
      <sheetName val="교대(A1)"/>
      <sheetName val="DATE2001"/>
      <sheetName val="평택고렴산업단지(토목견적).xlsx"/>
      <sheetName val="시선유도표지집계표"/>
      <sheetName val="강교(Sub)"/>
      <sheetName val="일반토공견적"/>
      <sheetName val="예산대비"/>
      <sheetName val="기본단가"/>
      <sheetName val="주안3차A-A"/>
      <sheetName val="데리네이타현황"/>
      <sheetName val="DHEQSUPT"/>
      <sheetName val="진천방향"/>
      <sheetName val="_REF"/>
      <sheetName val="소방사항"/>
      <sheetName val="중기경유지급대장"/>
      <sheetName val="BQ(실행)"/>
      <sheetName val="장외반출및폐기물_"/>
      <sheetName val="단면_Ȩ栀"/>
      <sheetName val="노무산출서"/>
      <sheetName val="설계명세서(종합)"/>
      <sheetName val="견적대비 견적서"/>
      <sheetName val="1-9 피뢰 및 접지공사"/>
      <sheetName val="COVER-P"/>
      <sheetName val="인원현황"/>
      <sheetName val="PRO_A"/>
      <sheetName val="자재목록"/>
      <sheetName val="TYPE䢬㐵倀"/>
      <sheetName val="자탐수량산출서"/>
      <sheetName val="당초"/>
      <sheetName val="슬래브수량"/>
      <sheetName val="7.PILE  (돌출)"/>
      <sheetName val="예산내역_x0000_"/>
      <sheetName val="증감내역서"/>
      <sheetName val="주_x0000_"/>
      <sheetName val="주萹"/>
      <sheetName val="금_x0000__x0000__x0005_"/>
      <sheetName val="FORM-0"/>
      <sheetName val="하怅⇡"/>
      <sheetName val="생산매출 (4)"/>
      <sheetName val="평3"/>
      <sheetName val="교수설계"/>
      <sheetName val="내역서변경성원"/>
      <sheetName val="일위산출"/>
      <sheetName val="우수공"/>
      <sheetName val="단가조사-2"/>
      <sheetName val="원내역"/>
      <sheetName val="가설배관"/>
      <sheetName val="laroux"/>
      <sheetName val="발파암계약서"/>
      <sheetName val="도급액대비"/>
      <sheetName val="계약내역"/>
      <sheetName val="계약변경"/>
      <sheetName val="예산변경사항 (2)"/>
      <sheetName val="ENE-CAL_1"/>
      <sheetName val="Regenerator__Concrete_Structure"/>
      <sheetName val="2_고용보험료산출근거"/>
      <sheetName val="EQT-ESTN"/>
      <sheetName val="pile bearing capa &amp; arrenge"/>
      <sheetName val="design load"/>
      <sheetName val="stability check"/>
      <sheetName val="기성내역_x0000_"/>
      <sheetName val="기성내역Æ"/>
      <sheetName val="Macro(전기)"/>
      <sheetName val="설계예산서(토목,전기)"/>
      <sheetName val="정산내역"/>
      <sheetName val="명일작업계획 (3)"/>
      <sheetName val="업무계획1"/>
      <sheetName val="Eq. Mobilization"/>
      <sheetName val="견적갑지"/>
      <sheetName val="을지 "/>
      <sheetName val="횡배수관"/>
      <sheetName val="열린교실"/>
      <sheetName val="수금-자금수지"/>
      <sheetName val="dike도수로"/>
      <sheetName val="3_x0000__x0000__x0005_"/>
      <sheetName val="b_balju_cho"/>
      <sheetName val="4-10"/>
      <sheetName val="확약서"/>
      <sheetName val="하부철근수량"/>
      <sheetName val="흥양2교토공집계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집행현황"/>
      <sheetName val="예총"/>
      <sheetName val="토공촕괄"/>
      <sheetName val="유통망계획"/>
      <sheetName val="한수원"/>
      <sheetName val="J형측구단위수량"/>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EJ"/>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금융비용"/>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기계경비일람"/>
      <sheetName val="5호광장(낙찰_x0000_"/>
      <sheetName val="제수"/>
      <sheetName val="공기"/>
      <sheetName val=""/>
      <sheetName val="케이블 규격"/>
      <sheetName val="COA-17"/>
      <sheetName val="C-18"/>
      <sheetName val="sk(4)"/>
      <sheetName val="기초물량상세"/>
      <sheetName val="보_x0000__x0000__x0005_"/>
      <sheetName val="2000전체횸"/>
      <sheetName val="VS P-Q"/>
      <sheetName val="하項疀"/>
      <sheetName val="매출DATA"/>
      <sheetName val="대외공문"/>
      <sheetName val="첨부.VA실적 (2)"/>
      <sheetName val="수h"/>
      <sheetName val="VM"/>
      <sheetName val="서울판관-공통부문"/>
      <sheetName val="판매가비교"/>
      <sheetName val="유효성"/>
      <sheetName val="주소(한문_x0000_"/>
      <sheetName val="BUS제원1"/>
      <sheetName val="She׃⽯_x0000__x0000_"/>
      <sheetName val="She嘉°_x0000__x0000_"/>
      <sheetName val="산근"/>
      <sheetName val="가. 2006년 사업계획서"/>
      <sheetName val="대차(설명자료)"/>
      <sheetName val="시화점실행"/>
      <sheetName val="G.R300경비"/>
      <sheetName val="관로공표지"/>
      <sheetName val="영동(D)"/>
      <sheetName val="실행(1)"/>
      <sheetName val="7 (2)"/>
      <sheetName val="s"/>
      <sheetName val="입찰"/>
      <sheetName val="현경"/>
      <sheetName val="대치판정"/>
      <sheetName val="품목납기"/>
      <sheetName val="제잡비"/>
      <sheetName val="건축내역서 (경제상무실)"/>
      <sheetName val="MIJIBI"/>
      <sheetName val="(A)내역서"/>
      <sheetName val="현장경상비"/>
      <sheetName val="통합보할공정표"/>
      <sheetName val="내역서적용"/>
      <sheetName val="XL4Poppy"/>
      <sheetName val="전기단가조사서"/>
      <sheetName val="유림총괄"/>
      <sheetName val="시운전연료"/>
      <sheetName val="편입용지조서"/>
      <sheetName val="토목(대안)"/>
      <sheetName val="부대tu"/>
      <sheetName val="inputdata"/>
      <sheetName val="공사"/>
      <sheetName val="목포전화국"/>
      <sheetName val="배관배선 단가조사"/>
      <sheetName val="일위대가집계"/>
      <sheetName val="기본자료"/>
      <sheetName val="내역_FILE"/>
      <sheetName val="Sheet6"/>
      <sheetName val="Salary(해외)"/>
      <sheetName val="면적"/>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Module1"/>
      <sheetName val="내역서(ebs)"/>
      <sheetName val="사토(신천경유)"/>
      <sheetName val="공정율"/>
      <sheetName val="자금청구"/>
      <sheetName val="해평견적"/>
      <sheetName val="제조원가(확인)"/>
      <sheetName val="US$ I (SEG.)"/>
      <sheetName val="받check"/>
      <sheetName val="하도급단가산출ꆾᶩ萀ᘲ"/>
      <sheetName val="단면 Ȩ"/>
      <sheetName val="기계경비"/>
      <sheetName val="법면수집"/>
      <sheetName val="석축설면"/>
      <sheetName val="법면단"/>
      <sheetName val="원-울"/>
      <sheetName val="내-울"/>
      <sheetName val="5지구단위"/>
      <sheetName val="Macro(차단기)"/>
      <sheetName val="도급예산내역서봉투"/>
      <sheetName val="공사원가계산서"/>
      <sheetName val="도급예산내역서총괄표"/>
      <sheetName val="분전함신설"/>
      <sheetName val="설계산출표지"/>
      <sheetName val="을부담운반비"/>
      <sheetName val="설계산출기초"/>
      <sheetName val="운반비산출"/>
      <sheetName val="접지1종"/>
      <sheetName val="표준건축비"/>
      <sheetName val="공주-교대(A1)"/>
      <sheetName val="실행내역 "/>
      <sheetName val="Æo°¡±aAØ"/>
      <sheetName val="Coding"/>
      <sheetName val="Tree"/>
      <sheetName val="Reference"/>
      <sheetName val="화산경계"/>
      <sheetName val="unitpri "/>
      <sheetName val="교육계획"/>
      <sheetName val="VIC"/>
      <sheetName val="입력창"/>
      <sheetName val="용량계산"/>
      <sheetName val="냉각탑자료"/>
      <sheetName val="CR Graph"/>
      <sheetName val="960_x0000_꧚ƭ_x0000__x0000_"/>
      <sheetName val="냉천부勅_x0010_"/>
      <sheetName val="하도급기성_(2)3"/>
      <sheetName val="하도급단가산출_(2)3"/>
      <sheetName val="입출재고현황_(2)3"/>
      <sheetName val="I_설계조건2"/>
      <sheetName val="설_계3"/>
      <sheetName val="1_설계조건2"/>
      <sheetName val="6_OUTPUT2"/>
      <sheetName val="단면_(2)2"/>
      <sheetName val="design_criteria3"/>
      <sheetName val="working_load_at_the_btm_ft_3"/>
      <sheetName val="plan&amp;section_of_foundation3"/>
      <sheetName val="member_design3"/>
      <sheetName val="영업_일2"/>
      <sheetName val="Customer_Databas2"/>
      <sheetName val="노원열병합__건축공사기성내역서2"/>
      <sheetName val="BSD_(2)2"/>
      <sheetName val="6PILE__(돌출)2"/>
      <sheetName val="대대터널_설계서2"/>
      <sheetName val="1_우편집중내역서2"/>
      <sheetName val="ITB_COST2"/>
      <sheetName val="2000_052"/>
      <sheetName val="2_대외공문2"/>
      <sheetName val="BSD__2_2"/>
      <sheetName val="soil_bearing_check2"/>
      <sheetName val="접속_SLAB,BRACKET_설계2"/>
      <sheetName val="1_설계기준1"/>
      <sheetName val="_견적서2"/>
      <sheetName val="Budget_2004(DW)2"/>
      <sheetName val="PROJECT_BRIEF(EX_NEW)2"/>
      <sheetName val="VENDOR_LIST2"/>
      <sheetName val="수량산출서_갑지1"/>
      <sheetName val="내역서_1"/>
      <sheetName val="Discount_Group1"/>
      <sheetName val="REINF_1"/>
      <sheetName val="근고_블록_유형별_수량1"/>
      <sheetName val="공종별_집계1"/>
      <sheetName val="Budget_2005(DW)1"/>
      <sheetName val="인건비_1"/>
      <sheetName val="1__설계조건_2_단면가정_3__하중계산1"/>
      <sheetName val="DATA_입력란1"/>
      <sheetName val="crude_SLAB_RE-bar2"/>
      <sheetName val="8_PILE__(돌출)1"/>
      <sheetName val="Sheet1_(2)1"/>
      <sheetName val="Ⅴ-2_공종별내역1"/>
      <sheetName val="바_한일양산1"/>
      <sheetName val="견적가_검토2"/>
      <sheetName val="Ext__Stone-P1"/>
      <sheetName val="수목데이타_1"/>
      <sheetName val="3_공통공사대비1"/>
      <sheetName val="Material_Specification1"/>
      <sheetName val="조도계산서_(도서)1"/>
      <sheetName val="진행_DATA_(2)1"/>
      <sheetName val="3BL공동구_수량1"/>
      <sheetName val="플랜트_설치1"/>
      <sheetName val="unit_41"/>
      <sheetName val="배수공_시멘트_및_골재량_산출1"/>
      <sheetName val="건축공사_집계표1"/>
      <sheetName val="2_하자처리현황(CS)1"/>
      <sheetName val="총_원가계산1"/>
      <sheetName val="일위대가표_(2)1"/>
      <sheetName val="2003_4_1_1"/>
      <sheetName val="준검_내역서1"/>
      <sheetName val="2F_회의실견적(5_14_일대)1"/>
      <sheetName val="토공(우물통,기타)_1"/>
      <sheetName val="#34_CIVL_Original1"/>
      <sheetName val="토_적_표1"/>
      <sheetName val="페이징_배관배선1"/>
      <sheetName val="2000년_임금추정1"/>
      <sheetName val="수량_산출서(당초)1"/>
      <sheetName val="설산1_나1"/>
      <sheetName val="1_관로1"/>
      <sheetName val="교통시설_표지판1"/>
      <sheetName val="CRUDE_RE-bar1"/>
      <sheetName val="3_하중산정4_지지력1"/>
      <sheetName val="3련_BOX1"/>
      <sheetName val="Basic_Input1"/>
      <sheetName val="Notes_2"/>
      <sheetName val="Bank_charge2"/>
      <sheetName val="Pengalaman_Per1"/>
      <sheetName val="FIRE_FIGHTING1"/>
      <sheetName val="BEND_LOSS1"/>
      <sheetName val="1_설계설명서1"/>
      <sheetName val="Load_Total1"/>
      <sheetName val="11_자재단가1"/>
      <sheetName val="표__지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Galaxy_소비자가격표1"/>
      <sheetName val="2_단면가정1"/>
      <sheetName val="4_말뚝설계1"/>
      <sheetName val="5호광장_(만점)1"/>
      <sheetName val="인천국제_(만점)_(2)1"/>
      <sheetName val="전_기1"/>
      <sheetName val="콤보박스와_리스트박스의_연결1"/>
      <sheetName val="2-3_V_D일위1"/>
      <sheetName val="별표_1"/>
      <sheetName val="완성차_미수금1"/>
      <sheetName val="CR_CODE1"/>
      <sheetName val="THEME_CODE1"/>
      <sheetName val="목차_및_표지1"/>
      <sheetName val="단가표_(2)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3_현장배치1"/>
      <sheetName val="배수내역_(2)1"/>
      <sheetName val="6_일위대가1"/>
      <sheetName val="static_cal1"/>
      <sheetName val="장외반출및폐기물_1"/>
      <sheetName val="사급분_설계내역서"/>
      <sheetName val="7_PILE__(돌출)"/>
      <sheetName val="반중력식옹벽3_5"/>
      <sheetName val="_자재물류센터_증축공사_중_철근콘크리트_공사_xlsx"/>
      <sheetName val="BOX규격및_설계조건입력"/>
      <sheetName val="상여_(2)"/>
      <sheetName val="keyword"/>
      <sheetName val="관로토공"/>
      <sheetName val="factors"/>
      <sheetName val="FANDBS"/>
      <sheetName val="GRDATA"/>
      <sheetName val="SHAFTDBSE"/>
      <sheetName val="MATRLDATA"/>
      <sheetName val="환율change"/>
      <sheetName val="4 LINE"/>
      <sheetName val="7 th"/>
      <sheetName val="FCU (2)"/>
      <sheetName val="중기사용료산출근거"/>
      <sheetName val="단가 및 재료비"/>
      <sheetName val="Quantity"/>
      <sheetName val="투입실적"/>
      <sheetName val="#REF!"/>
      <sheetName val="Re-bar"/>
      <sheetName val="tuong"/>
      <sheetName val="배수공 주요자재 집계표"/>
      <sheetName val="구미4단2.XLS"/>
      <sheetName val="%EA%B5%AC%EB%AF%B84%EB%8B%A82.X"/>
      <sheetName val="ahs"/>
      <sheetName val="metode"/>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도급양식"/>
      <sheetName val="건설성적"/>
      <sheetName val="PumpSpec"/>
      <sheetName val="Tender Summary"/>
      <sheetName val="공사내역서(을)실행"/>
      <sheetName val=" 냉각수펌프"/>
      <sheetName val="서식"/>
      <sheetName val="장비비"/>
      <sheetName val="일위대가표_x0000__x0000__x0005__x0000_"/>
      <sheetName val="3.하중산怸ς੶⾿_x0000__x0000_"/>
      <sheetName val="3.하중산뼘ʃ੶⿙_x0000__x0000_"/>
      <sheetName val="3.하중산倀ˊ੶⿙_x0000__x0000_"/>
      <sheetName val="Cost Reduction"/>
      <sheetName val="11.자재단_x0000_"/>
      <sheetName val="Regenerator__Concrete_Structur1"/>
      <sheetName val="2_고용보험료산출근거1"/>
      <sheetName val="ENE-CAL_11"/>
      <sheetName val="생산매출_(4)"/>
      <sheetName val="평택고렴산업단지(토목견적)_xlsx"/>
      <sheetName val="년도별실"/>
      <sheetName val="당진1,2호기전선관설치및접지4차삱eᮛ_x0000_"/>
      <sheetName val="당진1,2호기전선관설치및접지4차_x0000__x0000_אּɱ삱"/>
      <sheetName val="당진1,2호기전선관설치및접지4차_x0000_˦웠"/>
      <sheetName val="당진1,2호기전선관설치및접지4차_x0000_웠"/>
      <sheetName val="BLOCK(1)"/>
      <sheetName val="토공2"/>
      <sheetName val="토공1"/>
      <sheetName val="구조물토공1"/>
      <sheetName val="토공3"/>
      <sheetName val="direct"/>
      <sheetName val="wage"/>
      <sheetName val="입찰보고"/>
      <sheetName val="기준"/>
      <sheetName val="harsat"/>
      <sheetName val="upah_borong"/>
      <sheetName val="적용"/>
      <sheetName val="정읍_x0000__x0000_"/>
      <sheetName val="EQUIP LIST"/>
      <sheetName val="2000_x0000__x0000__x0005__x0000_또ঘ"/>
      <sheetName val="교대일반수량"/>
      <sheetName val="FORM_0"/>
      <sheetName val="부대시설"/>
      <sheetName val="가설건물"/>
      <sheetName val="저"/>
      <sheetName val="1F"/>
      <sheetName val="총체보활공정표"/>
      <sheetName val="점수계산1-2"/>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특허출원 현황"/>
      <sheetName val=" 斑利辑"/>
      <sheetName val="중기비"/>
      <sheetName val="중기"/>
      <sheetName val="하수급견적대비"/>
      <sheetName val="매출"/>
      <sheetName val="2000제조1"/>
      <sheetName val="3"/>
      <sheetName val="제원"/>
      <sheetName val="Calculator Rates"/>
      <sheetName val="AILC00_x0000_"/>
      <sheetName val="소유주(원)"/>
      <sheetName val="Financial impact"/>
      <sheetName val="환율"/>
      <sheetName val="반송"/>
      <sheetName val="양수장(기계)"/>
      <sheetName val="금액"/>
      <sheetName val="CIVIL"/>
      <sheetName val="8. 내진해석"/>
      <sheetName val="★도급내역"/>
      <sheetName val="현장별"/>
      <sheetName val="주beam"/>
      <sheetName val="NEWDRAW"/>
      <sheetName val="00000"/>
      <sheetName val="사급자재"/>
      <sheetName val="낙찰표"/>
      <sheetName val="현장관리비 산출내역"/>
      <sheetName val="인수공규격"/>
      <sheetName val="편입토지조서"/>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출력은_금물"/>
      <sheetName val="토목내역서_(도급단가)"/>
      <sheetName val="3_내역서"/>
      <sheetName val="빌딩_안내"/>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교사기준면적(초등)"/>
      <sheetName val="적격점수&lt;300억미만&gt;"/>
      <sheetName val="PROG"/>
      <sheetName val="TOTAL_BOQ"/>
      <sheetName val="종현황"/>
      <sheetName val="98태백"/>
      <sheetName val="효성CB 1P기초"/>
      <sheetName val="시장성초안camera"/>
      <sheetName val="침하계"/>
      <sheetName val="tra-vat-lieu"/>
      <sheetName val="일위대가_1_"/>
      <sheetName val="구미4단2_XLS"/>
      <sheetName val="%EA%B5%AC%EB%AF%B84%EB%8B%A82_X"/>
      <sheetName val="단가_및_재료비"/>
      <sheetName val="Const_Staff"/>
      <sheetName val="FREU_Engineering"/>
      <sheetName val="Startup_Staff"/>
      <sheetName val="FCU_(2)"/>
      <sheetName val="kimre_scrubber"/>
      <sheetName val="예산_세부사항"/>
      <sheetName val="4_LINE"/>
      <sheetName val="7_th"/>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_냉각수펌프"/>
      <sheetName val="Tender_Summary"/>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월별생산"/>
      <sheetName val="실행-토"/>
      <sheetName val="안산기계장치"/>
      <sheetName val="G_R300경비1"/>
      <sheetName val="건축내역서_(경제상무실)1"/>
      <sheetName val="가__2006년_사업계획서1"/>
      <sheetName val="배관배선_단가조사1"/>
      <sheetName val="s_v"/>
      <sheetName val="배수공_주요자재_집계표"/>
      <sheetName val="단양_00_아파트-세부내역"/>
      <sheetName val="97년_추정"/>
      <sheetName val="7_(2)"/>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Eq__Mobilization"/>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물량표(신)"/>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총차분(토목)"/>
      <sheetName val="BOQ(전체)"/>
      <sheetName val="고유코드_설계"/>
      <sheetName val="입상내역"/>
      <sheetName val="제출내역"/>
      <sheetName val="단위수량DATA"/>
      <sheetName val="간이연락"/>
      <sheetName val="공정별"/>
      <sheetName val="하중"/>
      <sheetName val="STAND20"/>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EQUIPMENT_-2"/>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수로교계산"/>
      <sheetName val="수로교비계"/>
      <sheetName val="구역화물"/>
      <sheetName val="1~9 하중계산"/>
      <sheetName val="NOMUBI"/>
      <sheetName val="sw1"/>
      <sheetName val="Thickener"/>
      <sheetName val="5공사비"/>
      <sheetName val="원가분석"/>
      <sheetName val="unit cost Bauteil 1"/>
      <sheetName val="unit cost Bauteil 2"/>
      <sheetName val="unit cost Bauteil 3"/>
      <sheetName val="unit cost Bauteil 4"/>
      <sheetName val="unit cost Bauteil 5"/>
      <sheetName val="일위대가-02"/>
      <sheetName val="간嫨"/>
      <sheetName val="변경명신물량 (2)"/>
      <sheetName val="2공종별예산조서"/>
      <sheetName val="운반비(시흥)"/>
      <sheetName val="CPM챠트 "/>
      <sheetName val="금광1터널"/>
      <sheetName val="INPUT(덕도방향-시점_x0000_"/>
      <sheetName val="TYPE¬_x0000_Ԁ"/>
      <sheetName val="98_x0000__x0000_"/>
      <sheetName val="2000전체_x0000_"/>
      <sheetName val="보"/>
      <sheetName val="금"/>
      <sheetName val="1공구 배수통관 산출근거"/>
      <sheetName val="단면 Ȩ_x005f_x0000_栀"/>
      <sheetName val="예산내역_x005f_x0000_"/>
      <sheetName val="R&amp;D"/>
      <sheetName val="본실행경비"/>
      <sheetName val="2-다.요율"/>
      <sheetName val="정산명세서"/>
      <sheetName val="조명율데이타"/>
      <sheetName val="조도계산(가로등NEW)"/>
      <sheetName val="ITB__x0000__x0000_Ԁ_x0000_"/>
      <sheetName val="양식"/>
      <sheetName val="평교-내역"/>
      <sheetName val="규준틀"/>
      <sheetName val="BM"/>
      <sheetName val="건축일위"/>
      <sheetName val="그라우팅일위"/>
      <sheetName val="Site Expenses"/>
      <sheetName val="626TD(COLOR)"/>
      <sheetName val="우석문틀"/>
      <sheetName val="하도금액분계"/>
      <sheetName val="두께변경"/>
      <sheetName val="범례"/>
      <sheetName val="사업개요"/>
      <sheetName val="시뮬레이션"/>
      <sheetName val="구분표"/>
      <sheetName val="청구"/>
      <sheetName val="관급자재(입력)"/>
      <sheetName val="12호기내역서(건축분)"/>
      <sheetName val="감액총괄표"/>
      <sheetName val="TOWER 12TON"/>
      <sheetName val="TOWER 10TON"/>
      <sheetName val="sub"/>
      <sheetName val="하자접수리스트"/>
      <sheetName val="제조부문배부"/>
      <sheetName val="ITB_"/>
      <sheetName val="7_(2)1"/>
      <sheetName val="단양_00_아파트-세부내역1"/>
      <sheetName val="s_v1"/>
      <sheetName val="배수공_주요자재_집계표1"/>
      <sheetName val="97년_추정1"/>
      <sheetName val="1_수인터널1"/>
      <sheetName val="_1"/>
      <sheetName val="빌딩_안내1"/>
      <sheetName val="신상기록(지우지_말것)"/>
      <sheetName val="효성CB_1P기초"/>
      <sheetName val="DESCR㙸￀ʐ槜⾳"/>
      <sheetName val="차체부품_INS_REPORT(갑)"/>
      <sheetName val="단계별_Check_list"/>
      <sheetName val="작업입회_Check_list"/>
      <sheetName val="밴딩시험_원본스캔"/>
      <sheetName val="1팀_선번장"/>
      <sheetName val="2팀_선번장"/>
      <sheetName val="3팀_선번장"/>
      <sheetName val="4팀_선번장"/>
      <sheetName val="날개수량1_5"/>
      <sheetName val="수리결과"/>
      <sheetName val="보차도경계석"/>
      <sheetName val="DESCR㕸*⨐ɥ槜『"/>
      <sheetName val="데이터"/>
      <sheetName val="단가(마감)"/>
      <sheetName val="재정비직인"/>
      <sheetName val="재정비내역"/>
      <sheetName val="지적고시내역"/>
      <sheetName val="3BL공동구_수량2"/>
      <sheetName val="부1"/>
      <sheetName val="수장"/>
      <sheetName val="모"/>
      <sheetName val="장"/>
      <sheetName val="부2~3"/>
      <sheetName val="8__내진해석"/>
      <sheetName val="현장관리비_산출내역"/>
      <sheetName val="내역서(4_16제출용)"/>
      <sheetName val="내역서(4_18제출용기준내역)"/>
      <sheetName val="FRP내역서"/>
      <sheetName val="직접공사비 집계표"/>
      <sheetName val="工程量计算书"/>
      <sheetName val="REI_x0000__x0000__x0000_"/>
      <sheetName val="Quality"/>
      <sheetName val="People"/>
      <sheetName val="Risk"/>
      <sheetName val="Training"/>
      <sheetName val="General"/>
      <sheetName val="Instructions"/>
      <sheetName val="____2_________________________2"/>
      <sheetName val="지수"/>
      <sheetName val="Assumptions"/>
      <sheetName val="신규단가"/>
      <sheetName val="0130 FINAL BOQ "/>
      <sheetName val="전기자료"/>
      <sheetName val="심사계산"/>
      <sheetName val="심사물량"/>
      <sheetName val="국산화"/>
      <sheetName val="내역서-전기"/>
      <sheetName val="S12"/>
      <sheetName val="부하(성남)"/>
      <sheetName val="(2)"/>
      <sheetName val="SE-611"/>
      <sheetName val="INPUT DATA"/>
      <sheetName val="토적집계표"/>
      <sheetName val="회사기초자료"/>
      <sheetName val="960"/>
      <sheetName val="당진1,2호기전선관설치및접지4차"/>
      <sheetName val="2000"/>
      <sheetName val="FIRE FIGHTIN遠"/>
      <sheetName val="실행趠锏"/>
      <sheetName val="노임,재료呀"/>
      <sheetName val="ASP포장"/>
      <sheetName val="내역입력"/>
      <sheetName val="내역(20_x0000_瀀窗_x0002_"/>
      <sheetName val="내역서(당초변경贰"/>
      <sheetName val="내역서(당초변경斨"/>
      <sheetName val="INPUT(덕㇤ʞ矸ᚢ瞸ᚢ_x0000_"/>
      <sheetName val="6.구조물공(2)S-00100"/>
      <sheetName val="AABS_"/>
      <sheetName val="AABS³"/>
      <sheetName val="AABSK"/>
      <sheetName val="AABS¬_x0000_"/>
      <sheetName val="HSA"/>
      <sheetName val="A-100전제"/>
      <sheetName val="분기별데이타"/>
      <sheetName val="월별데이타"/>
      <sheetName val="PRO_DCI"/>
      <sheetName val="첨부_VA실적_(2)"/>
      <sheetName val="2004CJ"/>
      <sheetName val="??2"/>
      <sheetName val="??"/>
      <sheetName val="Plan Info"/>
      <sheetName val="Data Input"/>
      <sheetName val="Flow sheet"/>
      <sheetName val="Configuration"/>
      <sheetName val="CVT산정"/>
      <sheetName val="CASE ASM"/>
      <sheetName val="CR_Graph"/>
      <sheetName val="특허출원_현황"/>
      <sheetName val="_斑利辑"/>
      <sheetName val="CR_Graph1"/>
      <sheetName val="특허출원_현황1"/>
      <sheetName val="_斑利辑1"/>
      <sheetName val="Results"/>
      <sheetName val="Cockpit"/>
      <sheetName val="Hilfstabelle_Sprachen"/>
      <sheetName val="전력변경내역"/>
      <sheetName val="카메라"/>
      <sheetName val="측구터파기공수량집"/>
      <sheetName val="승하"/>
      <sheetName val="단가(자재)"/>
      <sheetName val="단가(노임)"/>
      <sheetName val="기초목록"/>
      <sheetName val="Rate Analysis"/>
      <sheetName val="SKN34(M1)"/>
      <sheetName val="A01-직영비"/>
      <sheetName val="A14-금속공사"/>
      <sheetName val="A11-도장공사"/>
      <sheetName val="A08-방수공사"/>
      <sheetName val="A05-보일러철골설치공사"/>
      <sheetName val="A15-석공사"/>
      <sheetName val="A12-수장공사"/>
      <sheetName val="A10-습식공사"/>
      <sheetName val="A06-연돌공사"/>
      <sheetName val="A02-자재비"/>
      <sheetName val="A13-창호공사"/>
      <sheetName val="A04-철골공사"/>
      <sheetName val="A07-지붕 및 외벽 판넬공사"/>
      <sheetName val="A16-휀스공사"/>
      <sheetName val="A00-직영비"/>
      <sheetName val="A02-골조공사"/>
      <sheetName val="A00-자재비"/>
      <sheetName val="A03-철골공사"/>
      <sheetName val="A09-코킹공사"/>
      <sheetName val="A01-토공사"/>
      <sheetName val="A17-잡공사"/>
      <sheetName val="A03-토공 및 구조물공사"/>
      <sheetName val="A01-지급자재비"/>
      <sheetName val="A13-1-AL창호공사"/>
      <sheetName val="4. 전체 내역서"/>
      <sheetName val="BOQ-Bill1-8"/>
      <sheetName val="자재기성 집계표"/>
      <sheetName val="내역(20"/>
      <sheetName val="TYPE¬"/>
      <sheetName val="Ship Advice"/>
      <sheetName val="예정공정표(갑지)"/>
      <sheetName val="측구터파기공수량집㣂"/>
      <sheetName val="측구터파기공수량집Â"/>
      <sheetName val="노원열병합__건축공_x0000__x0000_½_x0000__x0000__x0000_"/>
      <sheetName val="노원열병합__건축ၒ_x0000__x0000__x0000_Ā_x0000__x0000_"/>
      <sheetName val="단위중량자료"/>
      <sheetName val="창호크기"/>
      <sheetName val="배관내역"/>
      <sheetName val="토목내역서"/>
      <sheetName val="ALL"/>
      <sheetName val="LIDE"/>
      <sheetName val="철콘공사"/>
      <sheetName val="1안"/>
      <sheetName val="옥외 전력간선공사"/>
      <sheetName val="국사봉7,8블록"/>
      <sheetName val="L형옹벽단위수량(35)"/>
      <sheetName val="#3_일위대가목록"/>
      <sheetName val="중기집계"/>
      <sheetName val="7.산출집계"/>
      <sheetName val="4.일위산출"/>
      <sheetName val="9.자재단가"/>
      <sheetName val="길어깨(현황)"/>
      <sheetName val="문학간쏁"/>
      <sheetName val="문학간ু"/>
      <sheetName val="ITEM_QTY"/>
      <sheetName val="산출근거#2-3"/>
      <sheetName val="수량이동"/>
      <sheetName val="경사수로"/>
      <sheetName val="01AC"/>
      <sheetName val="사각맨홀"/>
      <sheetName val="100만평"/>
      <sheetName val="수자재단위당"/>
      <sheetName val="1.인건비"/>
      <sheetName val="Consumables"/>
      <sheetName val="9703"/>
      <sheetName val="2"/>
      <sheetName val="4"/>
      <sheetName val="6"/>
      <sheetName val="예적금"/>
      <sheetName val="__D951652_d________GUMI4B2____3"/>
      <sheetName val="단가최종"/>
      <sheetName val="대가목록"/>
      <sheetName val="단 box"/>
      <sheetName val="지불내역2"/>
      <sheetName val="금융"/>
      <sheetName val="총괄내역단가"/>
      <sheetName val="4.2.1 마루높이 검ᇇ"/>
      <sheetName val="남대문빌딩"/>
      <sheetName val="계양가시설"/>
      <sheetName val="단가산출내역(노임부분수정)"/>
      <sheetName val="요약&amp;결과"/>
      <sheetName val="범한일위"/>
      <sheetName val="판정1교토공"/>
      <sheetName val="TANK견적대지"/>
      <sheetName val="공정표"/>
      <sheetName val="Sheet2 (2)"/>
      <sheetName val="BOJUNGGM"/>
      <sheetName val="sheeet2"/>
      <sheetName val="Fittting"/>
      <sheetName val="Pipe SCH"/>
      <sheetName val="대전-교대(A1-A2)"/>
      <sheetName val="교원연구비"/>
      <sheetName val="studio"/>
      <sheetName val="Cost Summary"/>
      <sheetName val="DATA(03_20)"/>
      <sheetName val="본사_보고"/>
      <sheetName val="TOSHIBA-Structure"/>
      <sheetName val="SP"/>
      <sheetName val="SiteWorks"/>
      <sheetName val="Bang gia NC "/>
      <sheetName val="HS_957"/>
      <sheetName val="IMF Code"/>
      <sheetName val="Master"/>
      <sheetName val="PL-F&amp;B"/>
      <sheetName val="escon"/>
      <sheetName val="BSD_(2)6"/>
      <sheetName val="_견적서6"/>
      <sheetName val="2_고용보험료산출근거6"/>
      <sheetName val="구미4단2_XLS5"/>
      <sheetName val="%EA%B5%AC%EB%AF%B84%EB%8B%A82_5"/>
      <sheetName val="Customer_Databas3"/>
      <sheetName val="4_LINE3"/>
      <sheetName val="7_th3"/>
      <sheetName val="FCU_(2)3"/>
      <sheetName val="노원열병합__건축공사기성내역서3"/>
      <sheetName val="design_criteria6"/>
      <sheetName val="working_load_at_the_btm_ft_6"/>
      <sheetName val="plan&amp;section_of_foundation6"/>
      <sheetName val="member_design6"/>
      <sheetName val="soil_bearing_check6"/>
      <sheetName val="kimre_scrubber3"/>
      <sheetName val="2-3_V_D일위3"/>
      <sheetName val="예산_세부사항3"/>
      <sheetName val="단가_및_재료비3"/>
      <sheetName val="하도급기성_(2)6"/>
      <sheetName val="하도급단가산출_(2)6"/>
      <sheetName val="1_우편집중내역서3"/>
      <sheetName val="영업_일3"/>
      <sheetName val="ITB_COST3"/>
      <sheetName val="2000_053"/>
      <sheetName val="2_대외공문3"/>
      <sheetName val="BSD__2_3"/>
      <sheetName val="1_설계조건3"/>
      <sheetName val="6_OUTPUT3"/>
      <sheetName val="Budget_2004(DW)3"/>
      <sheetName val="VENDOR_LIST3"/>
      <sheetName val="Const_Staff3"/>
      <sheetName val="FREU_Engineering3"/>
      <sheetName val="Startup_Staff3"/>
      <sheetName val="Galaxy_소비자가격표3"/>
      <sheetName val="3련_BOX3"/>
      <sheetName val="준검_내역서6"/>
      <sheetName val="3_공통공사대비6"/>
      <sheetName val="인건비_6"/>
      <sheetName val="배관배선_단가조사5"/>
      <sheetName val="#1_PLANT2"/>
      <sheetName val="Tender_Summary2"/>
      <sheetName val="_냉각수펌프2"/>
      <sheetName val="chi_tiet1"/>
      <sheetName val="Div26_-_Elect6"/>
      <sheetName val="ESTI_2"/>
      <sheetName val="gia_vt,nc,may1"/>
      <sheetName val="G_R300경비6"/>
      <sheetName val="건축내역서_(경제상무실)5"/>
      <sheetName val="가__2006년_사업계획서5"/>
      <sheetName val="실행내역서_5"/>
      <sheetName val="EQUIPMENT_-21"/>
      <sheetName val="valeurs_de_base6"/>
      <sheetName val="Dầm_15"/>
      <sheetName val="StructEarth_36"/>
      <sheetName val="Tro_giup5"/>
      <sheetName val="Lcau_-_Lxuc5"/>
      <sheetName val="MTO_REV_05"/>
      <sheetName val="Goc_CC5"/>
      <sheetName val="Elec_LG5"/>
      <sheetName val="Elec_MG5"/>
      <sheetName val="day_dien5"/>
      <sheetName val="BEND_LOSS5"/>
      <sheetName val="96보완계획7_125"/>
      <sheetName val="Sheet1_(2)5"/>
      <sheetName val="수목데이타_5"/>
      <sheetName val="tabulation_(comparison)2"/>
      <sheetName val="GFA_12"/>
      <sheetName val="NSA_fr_Revit2"/>
      <sheetName val="07_HT_PODIUM2"/>
      <sheetName val="04_KC_HAM2"/>
      <sheetName val="05_KC_THAN_OK2"/>
      <sheetName val="08_HT_CANHO_OK2"/>
      <sheetName val="DATA_KC2"/>
      <sheetName val="04_-_XUONG_DET_B2"/>
      <sheetName val="DATA_H2"/>
      <sheetName val="5호광장_(만점)2"/>
      <sheetName val="인천국제_(만점)_(2)2"/>
      <sheetName val="Slab_Post-Tension_2"/>
      <sheetName val="Analisa_Upah_&amp;_Bahan_Plum2"/>
      <sheetName val="HRG_BHN2"/>
      <sheetName val="Chenh_lech_vat_tu2"/>
      <sheetName val="NET_ALL_(M)1"/>
      <sheetName val="Eq__Mobilization1"/>
      <sheetName val="Bill_of_Qty_MEP1"/>
      <sheetName val="MAIN_GATE_HOUSE1"/>
      <sheetName val="Doi_so1"/>
      <sheetName val="CF_-Update_31Jul061"/>
      <sheetName val="rekap_c1"/>
      <sheetName val="Daf_1"/>
      <sheetName val="Bill_2_2_Villa_2_beds"/>
      <sheetName val="Don_gia"/>
      <sheetName val="BAOCHE_A"/>
      <sheetName val="U_P_Breakdown"/>
      <sheetName val="Final_Summary_(To_check)1"/>
      <sheetName val="cataloge_moi"/>
      <sheetName val="phân_tích_hiệu_quả"/>
      <sheetName val="DO_AM_DT"/>
      <sheetName val="Tong_du_toan"/>
      <sheetName val="Bang_gia_NC_"/>
      <sheetName val="IMF_Code"/>
      <sheetName val="소상_&quot;1&quot;"/>
      <sheetName val="6MONTHS"/>
      <sheetName val="dg-VTu"/>
      <sheetName val="Planning"/>
      <sheetName val="chitimc"/>
      <sheetName val="Parem"/>
      <sheetName val="M 67"/>
      <sheetName val="TH-Dien"/>
      <sheetName val="BOQ-1"/>
      <sheetName val="Comb"/>
      <sheetName val="Analisa &amp; Upah"/>
      <sheetName val="NOTE"/>
      <sheetName val="Dulieu"/>
      <sheetName val="RAB AR&amp;STR"/>
      <sheetName val="Tongke"/>
      <sheetName val="단면A-A(TR)"/>
      <sheetName val="du lieu du toan"/>
      <sheetName val="ctdz35"/>
      <sheetName val="Đơn Giá "/>
      <sheetName val="Vat tu XD"/>
      <sheetName val="A-1"/>
      <sheetName val="Para"/>
      <sheetName val="TH kinh phi"/>
      <sheetName val="KLDT DIEN"/>
      <sheetName val="Dinh muc CP KTCB khac"/>
      <sheetName val="Silicom"/>
      <sheetName val="01.C.NHOI"/>
      <sheetName val="02.T.VAY"/>
      <sheetName val="CHITIET VL-NC-TT1p"/>
      <sheetName val="THCT"/>
      <sheetName val="THDZ0,4"/>
      <sheetName val="TH DZ35"/>
      <sheetName val="DMVT"/>
      <sheetName val="Profit Loss Statement"/>
      <sheetName val="Analisa_&amp;_Upah"/>
      <sheetName val="M_67"/>
      <sheetName val="du_lieu_du_toan"/>
      <sheetName val="Subsidiary Calculation"/>
      <sheetName val="VINYL"/>
      <sheetName val="Div10"/>
      <sheetName val="Div11"/>
      <sheetName val="Div13"/>
      <sheetName val="Div2"/>
      <sheetName val="Div4"/>
      <sheetName val="Div5"/>
      <sheetName val="Div6"/>
      <sheetName val="Div7"/>
      <sheetName val="Div8"/>
      <sheetName val="Div9"/>
      <sheetName val="EARTH WORKS"/>
      <sheetName val="DOOR_villa A"/>
      <sheetName val="CE(E)"/>
      <sheetName val="CE(M)"/>
      <sheetName val="Project Data"/>
      <sheetName val="Budget Code"/>
      <sheetName val="3. CNT"/>
      <sheetName val="unit price list(M)"/>
      <sheetName val="FEVA"/>
      <sheetName val="HO Costs"/>
      <sheetName val="NKC6"/>
      <sheetName val="TT35"/>
      <sheetName val="마감사양"/>
      <sheetName val="Project_Data"/>
      <sheetName val="Budget_Code"/>
      <sheetName val="3__CNT"/>
      <sheetName val="unit_price_list(M)"/>
      <sheetName val="Cash Flow"/>
      <sheetName val="Yield"/>
      <sheetName val="QS_PT chi phi"/>
      <sheetName val="Area Cal"/>
      <sheetName val="TinhGiaNC"/>
      <sheetName val="Phan tich"/>
      <sheetName val="TH Vat tu"/>
      <sheetName val="TinhGiaMTC"/>
      <sheetName val="DMCP"/>
      <sheetName val="Phu Bai Bridge"/>
      <sheetName val="SGC RATE"/>
      <sheetName val="E_PriceList"/>
      <sheetName val="tra_vat_lieu"/>
      <sheetName val="dtct cong"/>
      <sheetName val="Comps"/>
      <sheetName val="학생내역"/>
      <sheetName val="TONGKE-HT"/>
      <sheetName val="dongia (2)"/>
      <sheetName val="gtrinh"/>
      <sheetName val="phuluc1"/>
      <sheetName val="lam-moi"/>
      <sheetName val="DONGIA"/>
      <sheetName val="thao-go"/>
      <sheetName val="t-h HA THE"/>
      <sheetName val="CHITIET VL-NC-TT -1p"/>
      <sheetName val="TONG HOP VL-NC TT"/>
      <sheetName val="TH XL"/>
      <sheetName val="VC"/>
      <sheetName val="chitiet"/>
      <sheetName val="CHITIET VL-NC-TT-3p"/>
      <sheetName val="TDTKP1"/>
      <sheetName val="KPVC-BD "/>
      <sheetName val="Summary - Budget"/>
      <sheetName val="DM_BBNT"/>
      <sheetName val="TCVN"/>
      <sheetName val="CM 22.10"/>
      <sheetName val="B8_MEP"/>
      <sheetName val="자재총정리"/>
      <sheetName val="여과_x0000_⋱"/>
      <sheetName val="집수정"/>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sheetData sheetId="606"/>
      <sheetData sheetId="607" refreshError="1"/>
      <sheetData sheetId="608" refreshError="1"/>
      <sheetData sheetId="609" refreshError="1"/>
      <sheetData sheetId="610" refreshError="1"/>
      <sheetData sheetId="611" refreshError="1"/>
      <sheetData sheetId="612" refreshError="1"/>
      <sheetData sheetId="613"/>
      <sheetData sheetId="614" refreshError="1"/>
      <sheetData sheetId="615" refreshError="1"/>
      <sheetData sheetId="616" refreshError="1"/>
      <sheetData sheetId="617" refreshError="1"/>
      <sheetData sheetId="618" refreshError="1"/>
      <sheetData sheetId="619"/>
      <sheetData sheetId="620" refreshError="1"/>
      <sheetData sheetId="621" refreshError="1"/>
      <sheetData sheetId="622" refreshError="1"/>
      <sheetData sheetId="623" refreshError="1"/>
      <sheetData sheetId="624" refreshError="1"/>
      <sheetData sheetId="625" refreshError="1"/>
      <sheetData sheetId="626" refreshError="1"/>
      <sheetData sheetId="627"/>
      <sheetData sheetId="628" refreshError="1"/>
      <sheetData sheetId="629" refreshError="1"/>
      <sheetData sheetId="630" refreshError="1"/>
      <sheetData sheetId="631" refreshError="1"/>
      <sheetData sheetId="632"/>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sheetData sheetId="654"/>
      <sheetData sheetId="655" refreshError="1"/>
      <sheetData sheetId="656" refreshError="1"/>
      <sheetData sheetId="657"/>
      <sheetData sheetId="658"/>
      <sheetData sheetId="659"/>
      <sheetData sheetId="660"/>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sheetData sheetId="670" refreshError="1"/>
      <sheetData sheetId="671" refreshError="1"/>
      <sheetData sheetId="672" refreshError="1"/>
      <sheetData sheetId="673" refreshError="1"/>
      <sheetData sheetId="674"/>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sheetData sheetId="717"/>
      <sheetData sheetId="718"/>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sheetData sheetId="853"/>
      <sheetData sheetId="854"/>
      <sheetData sheetId="855"/>
      <sheetData sheetId="856"/>
      <sheetData sheetId="857"/>
      <sheetData sheetId="858"/>
      <sheetData sheetId="859"/>
      <sheetData sheetId="860"/>
      <sheetData sheetId="861"/>
      <sheetData sheetId="862"/>
      <sheetData sheetId="863" refreshError="1"/>
      <sheetData sheetId="864"/>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sheetData sheetId="960"/>
      <sheetData sheetId="961"/>
      <sheetData sheetId="962" refreshError="1"/>
      <sheetData sheetId="963"/>
      <sheetData sheetId="964"/>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sheetData sheetId="1022"/>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sheetData sheetId="1218"/>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sheetData sheetId="1255"/>
      <sheetData sheetId="1256"/>
      <sheetData sheetId="1257"/>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sheetData sheetId="1483" refreshError="1"/>
      <sheetData sheetId="1484" refreshError="1"/>
      <sheetData sheetId="1485" refreshError="1"/>
      <sheetData sheetId="1486" refreshError="1"/>
      <sheetData sheetId="1487" refreshError="1"/>
      <sheetData sheetId="1488" refreshError="1"/>
      <sheetData sheetId="1489" refreshError="1"/>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refreshError="1"/>
      <sheetData sheetId="1620" refreshError="1"/>
      <sheetData sheetId="1621" refreshError="1"/>
      <sheetData sheetId="1622"/>
      <sheetData sheetId="1623"/>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sheetData sheetId="1676"/>
      <sheetData sheetId="1677"/>
      <sheetData sheetId="1678"/>
      <sheetData sheetId="1679"/>
      <sheetData sheetId="1680" refreshError="1"/>
      <sheetData sheetId="1681" refreshError="1"/>
      <sheetData sheetId="1682" refreshError="1"/>
      <sheetData sheetId="1683" refreshError="1"/>
      <sheetData sheetId="1684" refreshError="1"/>
      <sheetData sheetId="1685" refreshError="1"/>
      <sheetData sheetId="1686"/>
      <sheetData sheetId="1687"/>
      <sheetData sheetId="1688"/>
      <sheetData sheetId="1689"/>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sheetData sheetId="2115"/>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refreshError="1"/>
      <sheetData sheetId="2217" refreshError="1"/>
      <sheetData sheetId="2218" refreshError="1"/>
      <sheetData sheetId="2219" refreshError="1"/>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sheetData sheetId="2345"/>
      <sheetData sheetId="2346"/>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refreshError="1"/>
      <sheetData sheetId="2511" refreshError="1"/>
      <sheetData sheetId="2512" refreshError="1"/>
      <sheetData sheetId="2513" refreshError="1"/>
      <sheetData sheetId="2514"/>
      <sheetData sheetId="2515"/>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sheetData sheetId="2572" refreshError="1"/>
      <sheetData sheetId="2573" refreshError="1"/>
      <sheetData sheetId="2574"/>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sheetData sheetId="2591"/>
      <sheetData sheetId="2592" refreshError="1"/>
      <sheetData sheetId="2593" refreshError="1"/>
      <sheetData sheetId="2594" refreshError="1"/>
      <sheetData sheetId="2595" refreshError="1"/>
      <sheetData sheetId="2596"/>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sheetData sheetId="2649"/>
      <sheetData sheetId="2650"/>
      <sheetData sheetId="265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통합배선"/>
      <sheetName val="DATA"/>
    </sheetNames>
    <sheetDataSet>
      <sheetData sheetId="0" refreshError="1"/>
      <sheetData sheetId="1">
        <row r="4">
          <cell r="A4">
            <v>1</v>
          </cell>
          <cell r="D4" t="str">
            <v>2SQ</v>
          </cell>
        </row>
        <row r="5">
          <cell r="A5">
            <v>2</v>
          </cell>
          <cell r="D5" t="str">
            <v>4SQ</v>
          </cell>
        </row>
        <row r="6">
          <cell r="A6">
            <v>3</v>
          </cell>
          <cell r="D6" t="str">
            <v>6SQ</v>
          </cell>
        </row>
        <row r="7">
          <cell r="A7">
            <v>4</v>
          </cell>
          <cell r="D7" t="str">
            <v>10SQ</v>
          </cell>
        </row>
        <row r="8">
          <cell r="A8">
            <v>5</v>
          </cell>
          <cell r="D8" t="str">
            <v>16SQ</v>
          </cell>
        </row>
        <row r="9">
          <cell r="A9">
            <v>6</v>
          </cell>
          <cell r="D9" t="str">
            <v>25SQ</v>
          </cell>
        </row>
        <row r="10">
          <cell r="A10">
            <v>7</v>
          </cell>
          <cell r="D10" t="str">
            <v>35SQ</v>
          </cell>
        </row>
        <row r="11">
          <cell r="A11">
            <v>8</v>
          </cell>
          <cell r="D11" t="str">
            <v>50SQ</v>
          </cell>
        </row>
        <row r="12">
          <cell r="A12">
            <v>9</v>
          </cell>
        </row>
        <row r="13">
          <cell r="A13">
            <v>10</v>
          </cell>
        </row>
        <row r="14">
          <cell r="A14">
            <v>11</v>
          </cell>
        </row>
        <row r="15">
          <cell r="A15">
            <v>12</v>
          </cell>
        </row>
        <row r="16">
          <cell r="A16">
            <v>13</v>
          </cell>
        </row>
        <row r="17">
          <cell r="A17">
            <v>14</v>
          </cell>
        </row>
        <row r="18">
          <cell r="A18">
            <v>15</v>
          </cell>
        </row>
        <row r="19">
          <cell r="A19">
            <v>16</v>
          </cell>
        </row>
        <row r="20">
          <cell r="A20">
            <v>17</v>
          </cell>
        </row>
        <row r="21">
          <cell r="A21">
            <v>18</v>
          </cell>
        </row>
        <row r="22">
          <cell r="A22">
            <v>19</v>
          </cell>
        </row>
        <row r="23">
          <cell r="A23">
            <v>20</v>
          </cell>
        </row>
        <row r="24">
          <cell r="A24">
            <v>21</v>
          </cell>
        </row>
        <row r="25">
          <cell r="A25">
            <v>22</v>
          </cell>
        </row>
        <row r="26">
          <cell r="A26">
            <v>23</v>
          </cell>
        </row>
        <row r="27">
          <cell r="A27">
            <v>24</v>
          </cell>
        </row>
        <row r="28">
          <cell r="A28">
            <v>25</v>
          </cell>
        </row>
        <row r="29">
          <cell r="A29">
            <v>26</v>
          </cell>
        </row>
        <row r="30">
          <cell r="A30">
            <v>27</v>
          </cell>
        </row>
        <row r="31">
          <cell r="A31">
            <v>28</v>
          </cell>
        </row>
        <row r="32">
          <cell r="A32">
            <v>29</v>
          </cell>
        </row>
        <row r="33">
          <cell r="A33">
            <v>30</v>
          </cell>
        </row>
        <row r="34">
          <cell r="A34">
            <v>31</v>
          </cell>
        </row>
        <row r="35">
          <cell r="A35">
            <v>32</v>
          </cell>
        </row>
        <row r="36">
          <cell r="A36">
            <v>33</v>
          </cell>
        </row>
        <row r="37">
          <cell r="A37">
            <v>34</v>
          </cell>
        </row>
        <row r="38">
          <cell r="A38">
            <v>35</v>
          </cell>
        </row>
        <row r="39">
          <cell r="A39">
            <v>36</v>
          </cell>
        </row>
        <row r="40">
          <cell r="A40">
            <v>37</v>
          </cell>
        </row>
        <row r="41">
          <cell r="A41">
            <v>38</v>
          </cell>
        </row>
        <row r="42">
          <cell r="A42">
            <v>39</v>
          </cell>
        </row>
        <row r="43">
          <cell r="A43">
            <v>40</v>
          </cell>
        </row>
        <row r="44">
          <cell r="A44">
            <v>41</v>
          </cell>
        </row>
        <row r="45">
          <cell r="A45">
            <v>42</v>
          </cell>
        </row>
      </sheetData>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V"/>
      <sheetName val="DATA"/>
    </sheetNames>
    <sheetDataSet>
      <sheetData sheetId="0"/>
      <sheetData sheetId="1">
        <row r="3">
          <cell r="B3" t="str">
            <v>FIBER</v>
          </cell>
          <cell r="E3" t="str">
            <v>GV</v>
          </cell>
        </row>
        <row r="4">
          <cell r="E4" t="str">
            <v>1.5SQ</v>
          </cell>
        </row>
        <row r="5">
          <cell r="E5" t="str">
            <v>2.5SQ</v>
          </cell>
        </row>
        <row r="6">
          <cell r="E6" t="str">
            <v>4SQ</v>
          </cell>
        </row>
        <row r="7">
          <cell r="E7" t="str">
            <v>6SQ</v>
          </cell>
        </row>
      </sheetData>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산출서"/>
      <sheetName val="수목일위"/>
      <sheetName val="원가"/>
      <sheetName val="시설물일위"/>
      <sheetName val="단가"/>
    </sheetNames>
    <sheetDataSet>
      <sheetData sheetId="0" refreshError="1"/>
      <sheetData sheetId="1" refreshError="1"/>
      <sheetData sheetId="2" refreshError="1"/>
      <sheetData sheetId="3" refreshError="1"/>
      <sheetData sheetId="4" refreshError="1">
        <row r="5">
          <cell r="A5">
            <v>11500</v>
          </cell>
        </row>
        <row r="9">
          <cell r="A9">
            <v>4830</v>
          </cell>
        </row>
        <row r="10">
          <cell r="A10">
            <v>245454</v>
          </cell>
        </row>
        <row r="12">
          <cell r="A12">
            <v>616</v>
          </cell>
        </row>
        <row r="13">
          <cell r="A13">
            <v>160.79</v>
          </cell>
        </row>
        <row r="16">
          <cell r="A16">
            <v>327272</v>
          </cell>
        </row>
        <row r="17">
          <cell r="A17">
            <v>1314.8</v>
          </cell>
        </row>
        <row r="29">
          <cell r="A29">
            <v>9000</v>
          </cell>
        </row>
        <row r="33">
          <cell r="A33">
            <v>3758.2</v>
          </cell>
        </row>
        <row r="34">
          <cell r="A34">
            <v>4021.8</v>
          </cell>
        </row>
        <row r="35">
          <cell r="A35">
            <v>6216.3</v>
          </cell>
        </row>
        <row r="36">
          <cell r="A36">
            <v>5821.8</v>
          </cell>
        </row>
        <row r="40">
          <cell r="A40">
            <v>2057843</v>
          </cell>
        </row>
        <row r="41">
          <cell r="A41">
            <v>31435</v>
          </cell>
        </row>
        <row r="42">
          <cell r="A42">
            <v>13000</v>
          </cell>
        </row>
        <row r="48">
          <cell r="A48">
            <v>61.35</v>
          </cell>
        </row>
        <row r="49">
          <cell r="A49">
            <v>32872</v>
          </cell>
        </row>
        <row r="50">
          <cell r="A50">
            <v>30081</v>
          </cell>
        </row>
        <row r="51">
          <cell r="A51">
            <v>34909</v>
          </cell>
        </row>
        <row r="52">
          <cell r="A52">
            <v>38109</v>
          </cell>
        </row>
        <row r="54">
          <cell r="A54">
            <v>2700</v>
          </cell>
        </row>
        <row r="55">
          <cell r="A55">
            <v>160.79</v>
          </cell>
        </row>
        <row r="56">
          <cell r="A56">
            <v>666.6</v>
          </cell>
        </row>
        <row r="57">
          <cell r="A57">
            <v>870</v>
          </cell>
        </row>
        <row r="58">
          <cell r="A58">
            <v>0.57999999999999996</v>
          </cell>
        </row>
        <row r="59">
          <cell r="A59">
            <v>5500</v>
          </cell>
        </row>
        <row r="60">
          <cell r="A60">
            <v>450</v>
          </cell>
        </row>
        <row r="61">
          <cell r="A61">
            <v>75</v>
          </cell>
        </row>
        <row r="62">
          <cell r="A62">
            <v>24492</v>
          </cell>
        </row>
        <row r="63">
          <cell r="A63">
            <v>85300</v>
          </cell>
        </row>
        <row r="64">
          <cell r="A64">
            <v>150000</v>
          </cell>
        </row>
        <row r="65">
          <cell r="A65">
            <v>360</v>
          </cell>
        </row>
        <row r="66">
          <cell r="A66">
            <v>63500</v>
          </cell>
        </row>
        <row r="67">
          <cell r="A67">
            <v>23418</v>
          </cell>
        </row>
        <row r="69">
          <cell r="A69">
            <v>2100</v>
          </cell>
        </row>
        <row r="70">
          <cell r="A70">
            <v>450</v>
          </cell>
        </row>
        <row r="71">
          <cell r="A71">
            <v>1211.0999999999999</v>
          </cell>
        </row>
        <row r="72">
          <cell r="A72">
            <v>100</v>
          </cell>
        </row>
        <row r="94">
          <cell r="A94">
            <v>57570</v>
          </cell>
        </row>
        <row r="95">
          <cell r="A95">
            <v>61800</v>
          </cell>
        </row>
        <row r="99">
          <cell r="A99">
            <v>27000</v>
          </cell>
        </row>
        <row r="102">
          <cell r="A102">
            <v>49800</v>
          </cell>
        </row>
        <row r="103">
          <cell r="A103">
            <v>74100</v>
          </cell>
        </row>
        <row r="104">
          <cell r="A104">
            <v>694000</v>
          </cell>
        </row>
        <row r="105">
          <cell r="A105">
            <v>373000</v>
          </cell>
        </row>
        <row r="106">
          <cell r="A106">
            <v>116000</v>
          </cell>
        </row>
        <row r="107">
          <cell r="A107">
            <v>64300</v>
          </cell>
        </row>
        <row r="108">
          <cell r="A108">
            <v>29200</v>
          </cell>
        </row>
        <row r="109">
          <cell r="A109">
            <v>77000</v>
          </cell>
        </row>
        <row r="110">
          <cell r="A110">
            <v>33000</v>
          </cell>
        </row>
        <row r="111">
          <cell r="A111">
            <v>20900</v>
          </cell>
        </row>
        <row r="112">
          <cell r="A112">
            <v>36300</v>
          </cell>
        </row>
        <row r="113">
          <cell r="A113">
            <v>30500</v>
          </cell>
        </row>
        <row r="114">
          <cell r="A114">
            <v>56700</v>
          </cell>
        </row>
        <row r="115">
          <cell r="A115">
            <v>37900</v>
          </cell>
        </row>
        <row r="117">
          <cell r="A117">
            <v>248000</v>
          </cell>
        </row>
        <row r="118">
          <cell r="A118">
            <v>171000</v>
          </cell>
        </row>
        <row r="119">
          <cell r="A119">
            <v>65200</v>
          </cell>
        </row>
        <row r="120">
          <cell r="A120">
            <v>25200</v>
          </cell>
        </row>
        <row r="121">
          <cell r="A121">
            <v>20800</v>
          </cell>
        </row>
        <row r="122">
          <cell r="A122">
            <v>34700</v>
          </cell>
        </row>
        <row r="123">
          <cell r="A123">
            <v>16000</v>
          </cell>
        </row>
        <row r="124">
          <cell r="A124">
            <v>88000</v>
          </cell>
        </row>
        <row r="125">
          <cell r="A125">
            <v>66000</v>
          </cell>
        </row>
        <row r="126">
          <cell r="A126">
            <v>53600</v>
          </cell>
        </row>
        <row r="127">
          <cell r="A127">
            <v>53800</v>
          </cell>
        </row>
        <row r="128">
          <cell r="A128">
            <v>290000</v>
          </cell>
        </row>
        <row r="129">
          <cell r="A129">
            <v>101000</v>
          </cell>
        </row>
        <row r="130">
          <cell r="A130">
            <v>49900</v>
          </cell>
        </row>
        <row r="131">
          <cell r="A131">
            <v>20000</v>
          </cell>
        </row>
        <row r="132">
          <cell r="A132">
            <v>153400</v>
          </cell>
        </row>
        <row r="133">
          <cell r="A133">
            <v>50900</v>
          </cell>
        </row>
        <row r="134">
          <cell r="A134">
            <v>15100</v>
          </cell>
        </row>
        <row r="138">
          <cell r="A138">
            <v>710</v>
          </cell>
        </row>
        <row r="139">
          <cell r="A139">
            <v>1100</v>
          </cell>
        </row>
        <row r="142">
          <cell r="A142">
            <v>2000</v>
          </cell>
        </row>
        <row r="143">
          <cell r="A143">
            <v>5000</v>
          </cell>
        </row>
        <row r="145">
          <cell r="A145">
            <v>2300</v>
          </cell>
        </row>
        <row r="146">
          <cell r="A146">
            <v>60</v>
          </cell>
        </row>
        <row r="147">
          <cell r="A147">
            <v>2100</v>
          </cell>
        </row>
        <row r="149">
          <cell r="A149">
            <v>1200</v>
          </cell>
        </row>
        <row r="152">
          <cell r="A152">
            <v>4500</v>
          </cell>
        </row>
        <row r="153">
          <cell r="A153">
            <v>10000</v>
          </cell>
        </row>
        <row r="154">
          <cell r="A154">
            <v>251</v>
          </cell>
        </row>
        <row r="155">
          <cell r="A155">
            <v>4000</v>
          </cell>
        </row>
        <row r="157">
          <cell r="A157">
            <v>30900</v>
          </cell>
        </row>
        <row r="158">
          <cell r="A158">
            <v>2000</v>
          </cell>
        </row>
        <row r="161">
          <cell r="A161">
            <v>1800</v>
          </cell>
        </row>
        <row r="162">
          <cell r="A162">
            <v>250000</v>
          </cell>
        </row>
        <row r="163">
          <cell r="A163">
            <v>450000</v>
          </cell>
        </row>
        <row r="164">
          <cell r="A164">
            <v>900000</v>
          </cell>
        </row>
      </sheetData>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초자료입력"/>
      <sheetName val="표 지"/>
      <sheetName val="계획서"/>
      <sheetName val="설명서"/>
      <sheetName val="예산서"/>
      <sheetName val="공정표"/>
      <sheetName val="설계명세서"/>
      <sheetName val="공량설계표"/>
      <sheetName val="출력창"/>
      <sheetName val="준공정산"/>
      <sheetName val="준공보고"/>
      <sheetName val="산출명세"/>
      <sheetName val="간이공사"/>
      <sheetName val="간이예산"/>
      <sheetName val="간이준공보고"/>
      <sheetName val="일반시방서"/>
      <sheetName val="표준공종"/>
      <sheetName val="특기시방서"/>
      <sheetName val="사용방법"/>
      <sheetName val="Module1"/>
      <sheetName val="Module2"/>
      <sheetName val="Module3"/>
      <sheetName val="Module4"/>
      <sheetName val="Module5"/>
      <sheetName val="예산내역서"/>
      <sheetName val="일위대가"/>
      <sheetName val="11설계명세서"/>
      <sheetName val="교환노무"/>
      <sheetName val="Studio"/>
    </sheetNames>
    <sheetDataSet>
      <sheetData sheetId="0" refreshError="1">
        <row r="5">
          <cell r="B5" t="str">
            <v xml:space="preserve"> Excel 설계서 작성공사</v>
          </cell>
        </row>
        <row r="16">
          <cell r="B16">
            <v>36039</v>
          </cell>
        </row>
        <row r="17">
          <cell r="B17">
            <v>36068</v>
          </cell>
        </row>
        <row r="19">
          <cell r="B19" t="str">
            <v>박 수 복</v>
          </cell>
        </row>
      </sheetData>
      <sheetData sheetId="1"/>
      <sheetData sheetId="2"/>
      <sheetData sheetId="3"/>
      <sheetData sheetId="4"/>
      <sheetData sheetId="5"/>
      <sheetData sheetId="6" refreshError="1">
        <row r="7">
          <cell r="H7">
            <v>0</v>
          </cell>
        </row>
        <row r="9">
          <cell r="H9">
            <v>0</v>
          </cell>
        </row>
        <row r="11">
          <cell r="H11">
            <v>0</v>
          </cell>
        </row>
        <row r="212">
          <cell r="H212">
            <v>0</v>
          </cell>
        </row>
        <row r="214">
          <cell r="H214">
            <v>0</v>
          </cell>
        </row>
        <row r="344">
          <cell r="H344">
            <v>0</v>
          </cell>
        </row>
        <row r="362">
          <cell r="H362">
            <v>0</v>
          </cell>
        </row>
      </sheetData>
      <sheetData sheetId="7"/>
      <sheetData sheetId="8"/>
      <sheetData sheetId="9" refreshError="1">
        <row r="9">
          <cell r="H9">
            <v>0</v>
          </cell>
          <cell r="L9">
            <v>0</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약서(1공구)"/>
      <sheetName val="계약서(2공구)"/>
      <sheetName val="공사비대비표(대방1공구)"/>
      <sheetName val="변경계약서"/>
      <sheetName val="공사비대비표(송포2공구)"/>
      <sheetName val="시담지침"/>
      <sheetName val="견적시담총괄"/>
      <sheetName val="견적(1공구)"/>
      <sheetName val="견적(2공구)"/>
      <sheetName val="견적시담(송포2공구)"/>
      <sheetName val="견적시담(대방1공구)"/>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3년도연간휴전계획최종분(345)"/>
      <sheetName val="설계명세서"/>
      <sheetName val="#REF"/>
      <sheetName val="노임단가"/>
      <sheetName val="소운반"/>
      <sheetName val="공사비예산서"/>
      <sheetName val="제경비 산출"/>
      <sheetName val="자재집결소"/>
      <sheetName val="가선장비"/>
      <sheetName val="측정기"/>
      <sheetName val="발전기"/>
      <sheetName val="운반비"/>
      <sheetName val="기타경비"/>
      <sheetName val="공구손료"/>
      <sheetName val="사업소명"/>
    </sheetNames>
    <definedNames>
      <definedName name="KYNGSAYL"/>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
      <sheetName val="Sheet2"/>
      <sheetName val="Sheet1"/>
      <sheetName val="단순공사"/>
      <sheetName val="단가표"/>
      <sheetName val="키폰주장치(설계서#1)"/>
      <sheetName val="AL DUCT(설계서#2)"/>
      <sheetName val="국내케이블(설계서#3)"/>
      <sheetName val="전원케이블(설계서#4)"/>
      <sheetName val="후렉시블(설계서#5)"/>
      <sheetName val="스피커선(설계서#6)"/>
      <sheetName val="AMP(설계서#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STYPE"/>
      <sheetName val="DATA"/>
    </sheetNames>
    <sheetDataSet>
      <sheetData sheetId="0"/>
      <sheetData sheetId="1">
        <row r="5">
          <cell r="C5" t="str">
            <v>HFIX 1.5SQ</v>
          </cell>
          <cell r="G5">
            <v>1</v>
          </cell>
        </row>
        <row r="6">
          <cell r="G6">
            <v>2</v>
          </cell>
        </row>
        <row r="7">
          <cell r="G7">
            <v>3</v>
          </cell>
        </row>
        <row r="8">
          <cell r="G8">
            <v>4</v>
          </cell>
        </row>
        <row r="9">
          <cell r="G9">
            <v>5</v>
          </cell>
        </row>
        <row r="10">
          <cell r="G10">
            <v>6</v>
          </cell>
        </row>
        <row r="11">
          <cell r="G11">
            <v>7</v>
          </cell>
        </row>
        <row r="12">
          <cell r="G12">
            <v>8</v>
          </cell>
        </row>
        <row r="13">
          <cell r="G13">
            <v>9</v>
          </cell>
        </row>
        <row r="14">
          <cell r="G14">
            <v>10</v>
          </cell>
        </row>
        <row r="15">
          <cell r="G15">
            <v>11</v>
          </cell>
        </row>
        <row r="16">
          <cell r="G16">
            <v>12</v>
          </cell>
        </row>
        <row r="17">
          <cell r="G17">
            <v>13</v>
          </cell>
        </row>
        <row r="18">
          <cell r="G18">
            <v>14</v>
          </cell>
        </row>
        <row r="19">
          <cell r="G19">
            <v>15</v>
          </cell>
        </row>
        <row r="20">
          <cell r="G20">
            <v>16</v>
          </cell>
        </row>
        <row r="21">
          <cell r="G21">
            <v>17</v>
          </cell>
        </row>
        <row r="22">
          <cell r="G22">
            <v>18</v>
          </cell>
        </row>
        <row r="23">
          <cell r="G23">
            <v>19</v>
          </cell>
        </row>
        <row r="24">
          <cell r="G24">
            <v>20</v>
          </cell>
        </row>
        <row r="25">
          <cell r="G25">
            <v>21</v>
          </cell>
        </row>
        <row r="26">
          <cell r="G26">
            <v>22</v>
          </cell>
        </row>
        <row r="27">
          <cell r="G27">
            <v>23</v>
          </cell>
        </row>
        <row r="28">
          <cell r="G28">
            <v>24</v>
          </cell>
        </row>
        <row r="29">
          <cell r="G29">
            <v>25</v>
          </cell>
        </row>
        <row r="30">
          <cell r="G30">
            <v>26</v>
          </cell>
        </row>
        <row r="31">
          <cell r="G31">
            <v>27</v>
          </cell>
        </row>
        <row r="32">
          <cell r="G32">
            <v>28</v>
          </cell>
        </row>
        <row r="33">
          <cell r="G33">
            <v>29</v>
          </cell>
        </row>
        <row r="34">
          <cell r="G34">
            <v>30</v>
          </cell>
        </row>
      </sheetData>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1"/>
      <sheetName val="#REF"/>
      <sheetName val="설계서"/>
      <sheetName val="준공정산"/>
      <sheetName val="노임단가"/>
      <sheetName val="OPGW기별"/>
      <sheetName val="설계명세서"/>
      <sheetName val="소운반"/>
      <sheetName val="품셈표"/>
      <sheetName val="노임단가(2000하반기)"/>
      <sheetName val="설계명세CR"/>
      <sheetName val="수량총괄"/>
      <sheetName val="9.설치품셈"/>
      <sheetName val="품셈총괄"/>
      <sheetName val="기본DATA Sheet"/>
      <sheetName val="설계명세서(선로)"/>
      <sheetName val="공사비예산서"/>
      <sheetName val="5. 설계명세서"/>
      <sheetName val="통신부문노무임"/>
      <sheetName val="Studio"/>
      <sheetName val="8.설치품셈"/>
      <sheetName val="기초자료입력"/>
      <sheetName val="품"/>
      <sheetName val="설계"/>
      <sheetName val="성단물량"/>
      <sheetName val="소요자재"/>
      <sheetName val="노무산출서"/>
      <sheetName val="설계서SC"/>
      <sheetName val="총공사비"/>
      <sheetName val="설계서(8)"/>
      <sheetName val="예산서(7)"/>
      <sheetName val="설계서(7)"/>
      <sheetName val="품셈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남"/>
      <sheetName val="감곡"/>
      <sheetName val="곤지암"/>
      <sheetName val="성남"/>
      <sheetName val="분당"/>
      <sheetName val="성현"/>
      <sheetName val="야탑"/>
      <sheetName val="여주"/>
      <sheetName val="이천"/>
      <sheetName val="초월"/>
      <sheetName val="중원"/>
      <sheetName val="정자"/>
      <sheetName val="경기지사 인계변전소"/>
    </sheetNames>
    <definedNames>
      <definedName name="MUX" refersTo="#REF!"/>
      <definedName name="교환설비" refersTo="#REF!"/>
      <definedName name="남서울2" refersTo="#REF!"/>
      <definedName name="사옥건설처"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별명세"/>
      <sheetName val="인입설계"/>
      <sheetName val="예산서"/>
      <sheetName val="운반비내역"/>
      <sheetName val="공리일공제"/>
      <sheetName val="인입요청"/>
      <sheetName val="Sheet7"/>
      <sheetName val="Studio"/>
      <sheetName val="기준자료"/>
      <sheetName val="정산내임"/>
      <sheetName val="TNHCHINH"/>
      <sheetName val="설계명세서"/>
      <sheetName val="97인입설"/>
      <sheetName val="아파트기별"/>
      <sheetName val="공리일"/>
      <sheetName val="Sheet1"/>
      <sheetName val="노무산출서"/>
      <sheetName val="설계서"/>
      <sheetName val="기초자료입력"/>
      <sheetName val="단가표"/>
      <sheetName val="자재물량(문산선유)"/>
      <sheetName val="MOTOR"/>
      <sheetName val="장비내역서"/>
      <sheetName val="인건-측정"/>
      <sheetName val="cost9702"/>
      <sheetName val="설계명세서(선로)"/>
      <sheetName val="보고"/>
      <sheetName val="품셈"/>
      <sheetName val="노임단가표"/>
      <sheetName val="(참고)재무코드"/>
      <sheetName val="국사현황"/>
      <sheetName val="예산내역서(총괄)"/>
      <sheetName val="2F 회의실견적(5_14 일대)"/>
      <sheetName val="기별"/>
      <sheetName val="단가산출1"/>
      <sheetName val="단가산출2"/>
      <sheetName val="Macro2"/>
      <sheetName val="품셈기준"/>
      <sheetName val="근무일지"/>
      <sheetName val="투자효율분석"/>
      <sheetName val="순천#1cell"/>
      <sheetName val="위탁계약내역서"/>
      <sheetName val="설계명세"/>
      <sheetName val="첨)시중노임단가"/>
      <sheetName val="예산내역서"/>
      <sheetName val="(참고)지역"/>
      <sheetName val="단순공사비단가표"/>
      <sheetName val="피스표"/>
      <sheetName val="정보매체A동"/>
      <sheetName val="우각부보강"/>
      <sheetName val="DATE"/>
      <sheetName val="자재물량"/>
      <sheetName val="품량산출"/>
      <sheetName val="소요자재"/>
      <sheetName val="코드집"/>
      <sheetName val="9GNG운반"/>
      <sheetName val="일위대가목록"/>
      <sheetName val="#REF"/>
      <sheetName val="소운반"/>
      <sheetName val="노임단가"/>
      <sheetName val="포설list원본"/>
      <sheetName val="257A1"/>
      <sheetName val="지시서"/>
      <sheetName val="설계기별"/>
      <sheetName val="Macro(차단기)"/>
      <sheetName val="일위대가"/>
      <sheetName val="산출명세서"/>
      <sheetName val="준공서류"/>
      <sheetName val="내역서"/>
      <sheetName val="와동25-3(변경)"/>
      <sheetName val="4차설계"/>
      <sheetName val="실행철강하도"/>
      <sheetName val="동축분 종합설계서"/>
      <sheetName val="10년 예산산출기준식"/>
      <sheetName val="CA지입"/>
      <sheetName val="BLOCK(1)"/>
      <sheetName val="ERL_TBL"/>
      <sheetName val="기술자료 (광화문)"/>
      <sheetName val="공사설명서외"/>
      <sheetName val="소상 &quot;1&quot;"/>
      <sheetName val="통신부문노무임"/>
      <sheetName val="5. 설계명세서"/>
      <sheetName val="소요자재명세서"/>
      <sheetName val="각종data"/>
      <sheetName val="9612서울"/>
      <sheetName val="공사설명서"/>
      <sheetName val="7월가격"/>
      <sheetName val="설계서(1)"/>
      <sheetName val="2F_회의실견적(5_14_일대)"/>
      <sheetName val="기술자료_(광화문)"/>
      <sheetName val="동축분_종합설계서"/>
      <sheetName val="10년_예산산출기준식"/>
      <sheetName val="ITEM"/>
      <sheetName val="기별(종합)"/>
      <sheetName val="정산내역서"/>
      <sheetName val="공정data"/>
      <sheetName val="인수공규격"/>
      <sheetName val="COPING"/>
      <sheetName val="결선list"/>
      <sheetName val="설계명세서(종합)"/>
      <sheetName val="성단물량"/>
      <sheetName val="시도호"/>
      <sheetName val="재료"/>
      <sheetName val="품목단가"/>
      <sheetName val="INPUT(1)"/>
      <sheetName val="9-1차이내역"/>
      <sheetName val="물량기준표"/>
    </sheetNames>
    <sheetDataSet>
      <sheetData sheetId="0" refreshError="1"/>
      <sheetData sheetId="1" refreshError="1"/>
      <sheetData sheetId="2" refreshError="1"/>
      <sheetData sheetId="3" refreshError="1"/>
      <sheetData sheetId="4" refreshError="1"/>
      <sheetData sheetId="5" refreshError="1"/>
      <sheetData sheetId="6" refreshError="1">
        <row r="5">
          <cell r="F5">
            <v>23090</v>
          </cell>
        </row>
        <row r="6">
          <cell r="F6">
            <v>24663</v>
          </cell>
        </row>
        <row r="7">
          <cell r="F7">
            <v>26236</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표지"/>
      <sheetName val="작업부산물"/>
      <sheetName val="물량집계표"/>
      <sheetName val="옥외관로집계"/>
      <sheetName val="터파기(보도)"/>
      <sheetName val="터파기(차도)"/>
      <sheetName val="핸드홀맨홀부표"/>
      <sheetName val="터파기량집계"/>
      <sheetName val="노임"/>
      <sheetName val="노임 (2)"/>
      <sheetName val="품산출서"/>
      <sheetName val="설계명세서"/>
      <sheetName val="공사비예산서"/>
      <sheetName val="예정공정표"/>
      <sheetName val="공사설명서"/>
      <sheetName val="공사계획서"/>
      <sheetName val="물가비교표"/>
      <sheetName val="Sheet11"/>
      <sheetName val="Sheet12"/>
      <sheetName val="Sheet13"/>
      <sheetName val="Sheet14"/>
      <sheetName val="Sheet15"/>
      <sheetName val="Sheet16"/>
      <sheetName val="Module1"/>
      <sheetName val="Module3"/>
      <sheetName val="Module4"/>
      <sheetName val="Module2"/>
      <sheetName val="01하반기노임"/>
      <sheetName val="노임단가"/>
      <sheetName val="#REF"/>
      <sheetName val="상승노임"/>
      <sheetName val="설계서(설치)"/>
      <sheetName val="Sheet7"/>
      <sheetName val="노임단가(2000하반기)"/>
      <sheetName val="10월요금선로출력"/>
      <sheetName val="8-3기계경비"/>
      <sheetName val="결선list"/>
      <sheetName val="rate"/>
      <sheetName val="정산입력"/>
      <sheetName val="고령설계"/>
      <sheetName val="2.대외공문"/>
      <sheetName val="VV보온LINK"/>
      <sheetName val="FIT보온LINK"/>
      <sheetName val="단면치수"/>
      <sheetName val="조명율"/>
      <sheetName val="기초자료입력"/>
      <sheetName val="설계서(7)"/>
      <sheetName val="전력구구조물산근"/>
    </sheetNames>
    <sheetDataSet>
      <sheetData sheetId="0"/>
      <sheetData sheetId="1"/>
      <sheetData sheetId="2"/>
      <sheetData sheetId="3"/>
      <sheetData sheetId="4"/>
      <sheetData sheetId="5"/>
      <sheetData sheetId="6"/>
      <sheetData sheetId="7"/>
      <sheetData sheetId="8" refreshError="1">
        <row r="11">
          <cell r="B11" t="str">
            <v>A</v>
          </cell>
          <cell r="C11" t="str">
            <v>B</v>
          </cell>
          <cell r="D11" t="str">
            <v>C</v>
          </cell>
          <cell r="E11" t="str">
            <v>D</v>
          </cell>
          <cell r="F11" t="str">
            <v>A*(1+변동율)</v>
          </cell>
        </row>
        <row r="12">
          <cell r="A12" t="str">
            <v>CPU시험기사</v>
          </cell>
          <cell r="B12">
            <v>59768</v>
          </cell>
          <cell r="C12">
            <v>77149</v>
          </cell>
          <cell r="D12">
            <v>80163</v>
          </cell>
          <cell r="E12">
            <v>3.9100000000000003E-2</v>
          </cell>
          <cell r="F12">
            <v>62104</v>
          </cell>
        </row>
        <row r="13">
          <cell r="A13" t="str">
            <v>H/W설치기사</v>
          </cell>
          <cell r="B13">
            <v>62475</v>
          </cell>
          <cell r="C13">
            <v>80297</v>
          </cell>
          <cell r="D13">
            <v>82913</v>
          </cell>
          <cell r="E13">
            <v>3.2599999999999997E-2</v>
          </cell>
          <cell r="F13">
            <v>64511</v>
          </cell>
        </row>
        <row r="14">
          <cell r="A14" t="str">
            <v>H/W시험기사</v>
          </cell>
          <cell r="B14">
            <v>62461</v>
          </cell>
          <cell r="C14">
            <v>80594</v>
          </cell>
          <cell r="D14">
            <v>84088</v>
          </cell>
          <cell r="E14">
            <v>4.3400000000000001E-2</v>
          </cell>
          <cell r="F14">
            <v>65171</v>
          </cell>
        </row>
        <row r="15">
          <cell r="A15" t="str">
            <v>S/W시험기사</v>
          </cell>
          <cell r="B15">
            <v>63623</v>
          </cell>
          <cell r="C15">
            <v>81691</v>
          </cell>
          <cell r="D15">
            <v>85238</v>
          </cell>
          <cell r="E15">
            <v>4.3400000000000001E-2</v>
          </cell>
          <cell r="F15">
            <v>66384</v>
          </cell>
        </row>
        <row r="16">
          <cell r="A16" t="str">
            <v>건축목공</v>
          </cell>
          <cell r="B16">
            <v>57295</v>
          </cell>
          <cell r="C16">
            <v>69710</v>
          </cell>
          <cell r="D16">
            <v>71803</v>
          </cell>
          <cell r="E16">
            <v>0.03</v>
          </cell>
          <cell r="F16">
            <v>59013</v>
          </cell>
        </row>
        <row r="17">
          <cell r="A17" t="str">
            <v>고급기술자</v>
          </cell>
          <cell r="B17">
            <v>128709</v>
          </cell>
          <cell r="C17">
            <v>111484</v>
          </cell>
          <cell r="D17">
            <v>117140</v>
          </cell>
          <cell r="E17">
            <v>5.0700000000000002E-2</v>
          </cell>
          <cell r="F17">
            <v>135234</v>
          </cell>
        </row>
        <row r="18">
          <cell r="A18" t="str">
            <v>고압케이블전공</v>
          </cell>
          <cell r="B18">
            <v>64097</v>
          </cell>
          <cell r="C18">
            <v>70173</v>
          </cell>
          <cell r="D18">
            <v>74584</v>
          </cell>
          <cell r="E18">
            <v>6.2899999999999998E-2</v>
          </cell>
          <cell r="F18">
            <v>68128</v>
          </cell>
        </row>
        <row r="19">
          <cell r="A19" t="str">
            <v>광케이블기사</v>
          </cell>
          <cell r="B19">
            <v>95267</v>
          </cell>
          <cell r="C19">
            <v>136647</v>
          </cell>
          <cell r="D19">
            <v>120493</v>
          </cell>
          <cell r="E19">
            <v>-0.1182</v>
          </cell>
          <cell r="F19">
            <v>84006</v>
          </cell>
        </row>
        <row r="20">
          <cell r="A20" t="str">
            <v>광통신기사</v>
          </cell>
          <cell r="B20">
            <v>90888</v>
          </cell>
          <cell r="C20">
            <v>151365</v>
          </cell>
          <cell r="D20">
            <v>149857</v>
          </cell>
          <cell r="E20">
            <v>-0.01</v>
          </cell>
          <cell r="F20">
            <v>89979</v>
          </cell>
        </row>
        <row r="21">
          <cell r="A21" t="str">
            <v>궤도공</v>
          </cell>
          <cell r="B21">
            <v>58493</v>
          </cell>
          <cell r="C21">
            <v>76255</v>
          </cell>
          <cell r="D21">
            <v>60000</v>
          </cell>
          <cell r="E21">
            <v>-0.2132</v>
          </cell>
          <cell r="F21">
            <v>46022</v>
          </cell>
        </row>
        <row r="22">
          <cell r="A22" t="str">
            <v>기계공</v>
          </cell>
          <cell r="B22">
            <v>38762</v>
          </cell>
          <cell r="C22">
            <v>56508</v>
          </cell>
          <cell r="D22">
            <v>58906</v>
          </cell>
          <cell r="E22">
            <v>4.24E-2</v>
          </cell>
          <cell r="F22">
            <v>40405</v>
          </cell>
        </row>
        <row r="23">
          <cell r="A23" t="str">
            <v>기계설치공</v>
          </cell>
          <cell r="B23">
            <v>49117</v>
          </cell>
          <cell r="C23">
            <v>62084</v>
          </cell>
          <cell r="D23">
            <v>67415</v>
          </cell>
          <cell r="E23">
            <v>8.5900000000000004E-2</v>
          </cell>
          <cell r="F23">
            <v>53336</v>
          </cell>
        </row>
        <row r="24">
          <cell r="A24" t="str">
            <v>기와공</v>
          </cell>
          <cell r="B24">
            <v>58370</v>
          </cell>
          <cell r="C24">
            <v>78724</v>
          </cell>
          <cell r="D24">
            <v>69476</v>
          </cell>
          <cell r="E24">
            <v>-0.11749999999999999</v>
          </cell>
          <cell r="F24">
            <v>51511</v>
          </cell>
        </row>
        <row r="25">
          <cell r="A25" t="str">
            <v>내선전공</v>
          </cell>
          <cell r="B25">
            <v>50221</v>
          </cell>
          <cell r="C25">
            <v>54556</v>
          </cell>
          <cell r="D25">
            <v>57286</v>
          </cell>
          <cell r="E25">
            <v>0.05</v>
          </cell>
          <cell r="F25">
            <v>52732</v>
          </cell>
        </row>
        <row r="26">
          <cell r="A26" t="str">
            <v>내장공</v>
          </cell>
          <cell r="B26">
            <v>56944</v>
          </cell>
          <cell r="C26">
            <v>69893</v>
          </cell>
          <cell r="D26">
            <v>72244</v>
          </cell>
          <cell r="E26">
            <v>3.3599999999999998E-2</v>
          </cell>
          <cell r="F26">
            <v>58857</v>
          </cell>
        </row>
        <row r="27">
          <cell r="A27" t="str">
            <v>도장공</v>
          </cell>
          <cell r="B27">
            <v>52816</v>
          </cell>
          <cell r="C27">
            <v>60299</v>
          </cell>
          <cell r="D27">
            <v>63083</v>
          </cell>
          <cell r="E27">
            <v>4.6199999999999998E-2</v>
          </cell>
          <cell r="F27">
            <v>55256</v>
          </cell>
        </row>
        <row r="28">
          <cell r="A28" t="str">
            <v>루피공</v>
          </cell>
          <cell r="B28">
            <v>73311</v>
          </cell>
          <cell r="C28">
            <v>61818</v>
          </cell>
          <cell r="D28">
            <v>61818</v>
          </cell>
          <cell r="E28">
            <v>0</v>
          </cell>
          <cell r="F28">
            <v>73311</v>
          </cell>
        </row>
        <row r="29">
          <cell r="A29" t="str">
            <v>무선안테나공</v>
          </cell>
          <cell r="B29">
            <v>53066</v>
          </cell>
          <cell r="C29">
            <v>108946</v>
          </cell>
          <cell r="D29">
            <v>110956</v>
          </cell>
          <cell r="E29">
            <v>1.84E-2</v>
          </cell>
          <cell r="F29">
            <v>54042</v>
          </cell>
        </row>
        <row r="30">
          <cell r="A30" t="str">
            <v>미장공</v>
          </cell>
          <cell r="B30">
            <v>55128</v>
          </cell>
          <cell r="C30">
            <v>69194</v>
          </cell>
          <cell r="D30">
            <v>71283</v>
          </cell>
          <cell r="E30">
            <v>3.0200000000000001E-2</v>
          </cell>
          <cell r="F30">
            <v>56792</v>
          </cell>
        </row>
        <row r="31">
          <cell r="A31" t="str">
            <v>방수공</v>
          </cell>
          <cell r="B31">
            <v>50209</v>
          </cell>
          <cell r="C31">
            <v>57209</v>
          </cell>
          <cell r="D31">
            <v>57701</v>
          </cell>
          <cell r="E31">
            <v>8.6E-3</v>
          </cell>
          <cell r="F31">
            <v>50640</v>
          </cell>
        </row>
        <row r="32">
          <cell r="A32" t="str">
            <v>배관공</v>
          </cell>
          <cell r="B32">
            <v>48835</v>
          </cell>
          <cell r="C32">
            <v>56402</v>
          </cell>
          <cell r="D32">
            <v>58907</v>
          </cell>
          <cell r="E32">
            <v>4.4400000000000002E-2</v>
          </cell>
          <cell r="F32">
            <v>51003</v>
          </cell>
        </row>
        <row r="33">
          <cell r="A33" t="str">
            <v>배전전공</v>
          </cell>
          <cell r="B33">
            <v>76885</v>
          </cell>
          <cell r="C33">
            <v>177197</v>
          </cell>
          <cell r="D33">
            <v>192602</v>
          </cell>
          <cell r="E33">
            <v>8.6900000000000005E-2</v>
          </cell>
          <cell r="F33">
            <v>83566</v>
          </cell>
        </row>
        <row r="34">
          <cell r="A34" t="str">
            <v>보통인부</v>
          </cell>
          <cell r="B34">
            <v>30383</v>
          </cell>
          <cell r="C34">
            <v>35932</v>
          </cell>
          <cell r="D34">
            <v>37736</v>
          </cell>
          <cell r="E34">
            <v>5.0200000000000002E-2</v>
          </cell>
          <cell r="F34">
            <v>31908</v>
          </cell>
        </row>
        <row r="35">
          <cell r="A35" t="str">
            <v>비계공</v>
          </cell>
          <cell r="B35">
            <v>58800</v>
          </cell>
          <cell r="C35">
            <v>77373</v>
          </cell>
          <cell r="D35">
            <v>79467</v>
          </cell>
          <cell r="E35">
            <v>2.7099999999999999E-2</v>
          </cell>
          <cell r="F35">
            <v>60393</v>
          </cell>
        </row>
        <row r="36">
          <cell r="A36" t="str">
            <v>샤시공</v>
          </cell>
          <cell r="B36">
            <v>49959</v>
          </cell>
          <cell r="C36">
            <v>62029</v>
          </cell>
          <cell r="D36">
            <v>65647</v>
          </cell>
          <cell r="E36">
            <v>5.8299999999999998E-2</v>
          </cell>
          <cell r="F36">
            <v>52871</v>
          </cell>
        </row>
        <row r="37">
          <cell r="A37" t="str">
            <v>선반공</v>
          </cell>
          <cell r="B37">
            <v>55685</v>
          </cell>
          <cell r="C37">
            <v>70175</v>
          </cell>
          <cell r="D37">
            <v>78752</v>
          </cell>
          <cell r="E37">
            <v>0.1222</v>
          </cell>
          <cell r="F37">
            <v>62489</v>
          </cell>
        </row>
        <row r="38">
          <cell r="A38" t="str">
            <v>셔터공</v>
          </cell>
          <cell r="B38">
            <v>56506</v>
          </cell>
          <cell r="C38">
            <v>69166</v>
          </cell>
          <cell r="D38">
            <v>64659</v>
          </cell>
          <cell r="E38">
            <v>-6.5199999999999994E-2</v>
          </cell>
          <cell r="F38">
            <v>52821</v>
          </cell>
        </row>
        <row r="39">
          <cell r="A39" t="str">
            <v>송전전공</v>
          </cell>
          <cell r="B39">
            <v>95468</v>
          </cell>
          <cell r="C39">
            <v>213626</v>
          </cell>
          <cell r="D39">
            <v>234733</v>
          </cell>
          <cell r="E39">
            <v>9.8799999999999999E-2</v>
          </cell>
          <cell r="F39">
            <v>104900</v>
          </cell>
        </row>
        <row r="40">
          <cell r="A40" t="str">
            <v>슬레이트공</v>
          </cell>
          <cell r="B40">
            <v>52762</v>
          </cell>
          <cell r="C40">
            <v>74212</v>
          </cell>
          <cell r="D40">
            <v>72727</v>
          </cell>
          <cell r="E40">
            <v>-0.02</v>
          </cell>
          <cell r="F40">
            <v>51706</v>
          </cell>
        </row>
        <row r="41">
          <cell r="A41" t="str">
            <v>시공측량사</v>
          </cell>
          <cell r="B41">
            <v>35377</v>
          </cell>
          <cell r="C41">
            <v>50559</v>
          </cell>
          <cell r="D41">
            <v>58506</v>
          </cell>
          <cell r="E41">
            <v>0.15720000000000001</v>
          </cell>
          <cell r="F41">
            <v>40938</v>
          </cell>
        </row>
        <row r="42">
          <cell r="A42" t="str">
            <v>아스타일공</v>
          </cell>
          <cell r="B42">
            <v>53875</v>
          </cell>
          <cell r="C42">
            <v>67874</v>
          </cell>
          <cell r="D42">
            <v>71686</v>
          </cell>
          <cell r="E42">
            <v>5.62E-2</v>
          </cell>
          <cell r="F42">
            <v>56902</v>
          </cell>
        </row>
        <row r="43">
          <cell r="A43" t="str">
            <v>양생공</v>
          </cell>
          <cell r="B43">
            <v>35955</v>
          </cell>
          <cell r="C43">
            <v>45929</v>
          </cell>
          <cell r="D43">
            <v>42244</v>
          </cell>
          <cell r="E43">
            <v>-8.0199999999999994E-2</v>
          </cell>
          <cell r="F43">
            <v>33071</v>
          </cell>
        </row>
        <row r="44">
          <cell r="A44" t="str">
            <v>용접공(일반)</v>
          </cell>
          <cell r="B44">
            <v>60465</v>
          </cell>
          <cell r="C44">
            <v>70228</v>
          </cell>
          <cell r="D44">
            <v>74061</v>
          </cell>
          <cell r="E44">
            <v>5.4600000000000003E-2</v>
          </cell>
          <cell r="F44">
            <v>63766</v>
          </cell>
        </row>
        <row r="45">
          <cell r="A45" t="str">
            <v>운전사</v>
          </cell>
          <cell r="B45">
            <v>48198</v>
          </cell>
          <cell r="C45">
            <v>51708</v>
          </cell>
          <cell r="D45">
            <v>51077</v>
          </cell>
          <cell r="E45">
            <v>-1.2200000000000001E-2</v>
          </cell>
          <cell r="F45">
            <v>47609</v>
          </cell>
        </row>
        <row r="46">
          <cell r="A46" t="str">
            <v>유리공</v>
          </cell>
          <cell r="B46">
            <v>48520</v>
          </cell>
          <cell r="C46">
            <v>65935</v>
          </cell>
          <cell r="D46">
            <v>63783</v>
          </cell>
          <cell r="E46">
            <v>-3.2599999999999997E-2</v>
          </cell>
          <cell r="F46">
            <v>46938</v>
          </cell>
        </row>
        <row r="47">
          <cell r="A47" t="str">
            <v>잠수부</v>
          </cell>
          <cell r="B47">
            <v>74613</v>
          </cell>
          <cell r="C47">
            <v>92040</v>
          </cell>
          <cell r="D47">
            <v>81832</v>
          </cell>
          <cell r="E47">
            <v>-0.1109</v>
          </cell>
          <cell r="F47">
            <v>66338</v>
          </cell>
        </row>
        <row r="48">
          <cell r="A48" t="str">
            <v>저압케이블전공</v>
          </cell>
          <cell r="B48">
            <v>59916</v>
          </cell>
          <cell r="C48">
            <v>61980</v>
          </cell>
          <cell r="D48">
            <v>61877</v>
          </cell>
          <cell r="E48">
            <v>-1.6999999999999999E-3</v>
          </cell>
          <cell r="F48">
            <v>59814</v>
          </cell>
        </row>
        <row r="49">
          <cell r="A49" t="str">
            <v>전기기사1급</v>
          </cell>
          <cell r="B49">
            <v>59198</v>
          </cell>
          <cell r="C49">
            <v>64723</v>
          </cell>
          <cell r="D49">
            <v>64241</v>
          </cell>
          <cell r="E49">
            <v>-7.4000000000000003E-3</v>
          </cell>
          <cell r="F49">
            <v>58759</v>
          </cell>
        </row>
        <row r="50">
          <cell r="A50" t="str">
            <v>전기기사2급</v>
          </cell>
          <cell r="B50">
            <v>37161</v>
          </cell>
          <cell r="C50">
            <v>55027</v>
          </cell>
          <cell r="D50">
            <v>55069</v>
          </cell>
          <cell r="E50">
            <v>8.0000000000000004E-4</v>
          </cell>
          <cell r="F50">
            <v>37190</v>
          </cell>
        </row>
        <row r="51">
          <cell r="A51" t="str">
            <v>절단공</v>
          </cell>
          <cell r="B51">
            <v>43210</v>
          </cell>
          <cell r="C51">
            <v>59851</v>
          </cell>
          <cell r="D51">
            <v>65881</v>
          </cell>
          <cell r="E51">
            <v>0.1008</v>
          </cell>
          <cell r="F51">
            <v>47565</v>
          </cell>
        </row>
        <row r="52">
          <cell r="A52" t="str">
            <v>정비공</v>
          </cell>
          <cell r="B52">
            <v>45315</v>
          </cell>
          <cell r="C52">
            <v>54258</v>
          </cell>
          <cell r="D52">
            <v>52502</v>
          </cell>
          <cell r="E52">
            <v>-3.2399999999999998E-2</v>
          </cell>
          <cell r="F52">
            <v>43846</v>
          </cell>
        </row>
        <row r="53">
          <cell r="A53" t="str">
            <v>중급기술자</v>
          </cell>
          <cell r="B53">
            <v>90130</v>
          </cell>
          <cell r="C53">
            <v>90147</v>
          </cell>
          <cell r="D53">
            <v>97488</v>
          </cell>
          <cell r="E53">
            <v>8.14E-2</v>
          </cell>
          <cell r="F53">
            <v>97466</v>
          </cell>
        </row>
        <row r="54">
          <cell r="A54" t="str">
            <v>지적기사1급</v>
          </cell>
          <cell r="B54">
            <v>60575</v>
          </cell>
          <cell r="C54">
            <v>92878</v>
          </cell>
          <cell r="D54">
            <v>93540</v>
          </cell>
          <cell r="E54">
            <v>7.1000000000000004E-3</v>
          </cell>
          <cell r="F54">
            <v>61005</v>
          </cell>
        </row>
        <row r="55">
          <cell r="A55" t="str">
            <v>지적기사2급</v>
          </cell>
          <cell r="B55">
            <v>48761</v>
          </cell>
          <cell r="C55">
            <v>72206</v>
          </cell>
          <cell r="D55">
            <v>72183</v>
          </cell>
          <cell r="E55">
            <v>-2.9999999999999997E-4</v>
          </cell>
          <cell r="F55">
            <v>48746</v>
          </cell>
        </row>
        <row r="56">
          <cell r="A56" t="str">
            <v>창호목공</v>
          </cell>
          <cell r="B56">
            <v>51281</v>
          </cell>
          <cell r="C56">
            <v>65138</v>
          </cell>
          <cell r="D56">
            <v>66162</v>
          </cell>
          <cell r="E56">
            <v>1.5699999999999999E-2</v>
          </cell>
          <cell r="F56">
            <v>52086</v>
          </cell>
        </row>
        <row r="57">
          <cell r="A57" t="str">
            <v>철골공</v>
          </cell>
          <cell r="B57">
            <v>58132</v>
          </cell>
          <cell r="C57">
            <v>72992</v>
          </cell>
          <cell r="D57">
            <v>73514</v>
          </cell>
          <cell r="E57">
            <v>7.1999999999999998E-3</v>
          </cell>
          <cell r="F57">
            <v>58550</v>
          </cell>
        </row>
        <row r="58">
          <cell r="A58" t="str">
            <v>철공</v>
          </cell>
          <cell r="B58">
            <v>49996</v>
          </cell>
          <cell r="C58">
            <v>73156</v>
          </cell>
          <cell r="D58">
            <v>72430</v>
          </cell>
          <cell r="E58">
            <v>-9.9000000000000008E-3</v>
          </cell>
          <cell r="F58">
            <v>49501</v>
          </cell>
        </row>
        <row r="59">
          <cell r="A59" t="str">
            <v>철근공</v>
          </cell>
          <cell r="B59">
            <v>56978</v>
          </cell>
          <cell r="C59">
            <v>75509</v>
          </cell>
          <cell r="D59">
            <v>77839</v>
          </cell>
          <cell r="E59">
            <v>3.09E-2</v>
          </cell>
          <cell r="F59">
            <v>58738</v>
          </cell>
        </row>
        <row r="60">
          <cell r="A60" t="str">
            <v>철판공</v>
          </cell>
          <cell r="B60">
            <v>47261</v>
          </cell>
          <cell r="C60">
            <v>70072</v>
          </cell>
          <cell r="D60">
            <v>73217</v>
          </cell>
          <cell r="E60">
            <v>4.4900000000000002E-2</v>
          </cell>
          <cell r="F60">
            <v>49383</v>
          </cell>
        </row>
        <row r="61">
          <cell r="A61" t="str">
            <v>초급기술자</v>
          </cell>
          <cell r="B61">
            <v>67770</v>
          </cell>
          <cell r="C61">
            <v>63872</v>
          </cell>
          <cell r="D61">
            <v>69405</v>
          </cell>
          <cell r="E61">
            <v>8.6599999999999996E-2</v>
          </cell>
          <cell r="F61">
            <v>73638</v>
          </cell>
        </row>
        <row r="62">
          <cell r="A62" t="str">
            <v>측부</v>
          </cell>
          <cell r="B62">
            <v>34500</v>
          </cell>
          <cell r="C62">
            <v>31106</v>
          </cell>
          <cell r="D62">
            <v>32725</v>
          </cell>
          <cell r="E62">
            <v>5.1999999999999998E-2</v>
          </cell>
          <cell r="F62">
            <v>36294</v>
          </cell>
        </row>
        <row r="63">
          <cell r="A63" t="str">
            <v>측지기사1급</v>
          </cell>
          <cell r="B63">
            <v>61696</v>
          </cell>
          <cell r="C63">
            <v>59857</v>
          </cell>
          <cell r="D63">
            <v>63987</v>
          </cell>
          <cell r="E63">
            <v>6.9000000000000006E-2</v>
          </cell>
          <cell r="F63">
            <v>65953</v>
          </cell>
        </row>
        <row r="64">
          <cell r="A64" t="str">
            <v>측지기사2급</v>
          </cell>
          <cell r="B64">
            <v>49226</v>
          </cell>
          <cell r="C64">
            <v>49900</v>
          </cell>
          <cell r="D64">
            <v>53343</v>
          </cell>
          <cell r="E64">
            <v>6.9000000000000006E-2</v>
          </cell>
          <cell r="F64">
            <v>52622</v>
          </cell>
        </row>
        <row r="65">
          <cell r="A65" t="str">
            <v>콘크리트공</v>
          </cell>
          <cell r="B65">
            <v>51835</v>
          </cell>
          <cell r="C65">
            <v>67783</v>
          </cell>
          <cell r="D65">
            <v>71184</v>
          </cell>
          <cell r="E65">
            <v>5.0200000000000002E-2</v>
          </cell>
          <cell r="F65">
            <v>54437</v>
          </cell>
        </row>
        <row r="66">
          <cell r="A66" t="str">
            <v>타일공</v>
          </cell>
          <cell r="B66">
            <v>53888</v>
          </cell>
          <cell r="C66">
            <v>66528</v>
          </cell>
          <cell r="D66">
            <v>68147</v>
          </cell>
          <cell r="E66">
            <v>2.4299999999999999E-2</v>
          </cell>
          <cell r="F66">
            <v>55197</v>
          </cell>
        </row>
        <row r="67">
          <cell r="A67" t="str">
            <v>통신기사1급</v>
          </cell>
          <cell r="B67">
            <v>70797</v>
          </cell>
          <cell r="C67">
            <v>96544</v>
          </cell>
          <cell r="D67">
            <v>92723</v>
          </cell>
          <cell r="E67">
            <v>-3.9600000000000003E-2</v>
          </cell>
          <cell r="F67">
            <v>67993</v>
          </cell>
        </row>
        <row r="68">
          <cell r="A68" t="str">
            <v>통신기사2급</v>
          </cell>
          <cell r="B68">
            <v>53768</v>
          </cell>
          <cell r="C68">
            <v>81131</v>
          </cell>
          <cell r="D68">
            <v>82395</v>
          </cell>
          <cell r="E68">
            <v>1.5599999999999999E-2</v>
          </cell>
          <cell r="F68">
            <v>54606</v>
          </cell>
        </row>
        <row r="69">
          <cell r="A69" t="str">
            <v>통신내선공</v>
          </cell>
          <cell r="B69">
            <v>50775</v>
          </cell>
          <cell r="C69">
            <v>72860</v>
          </cell>
          <cell r="D69">
            <v>72591</v>
          </cell>
          <cell r="E69">
            <v>-3.7000000000000002E-3</v>
          </cell>
          <cell r="F69">
            <v>50587</v>
          </cell>
        </row>
        <row r="70">
          <cell r="A70" t="str">
            <v>통신설비공</v>
          </cell>
          <cell r="B70">
            <v>50405</v>
          </cell>
          <cell r="C70">
            <v>77056</v>
          </cell>
          <cell r="D70">
            <v>76852</v>
          </cell>
          <cell r="E70">
            <v>-2.5999999999999999E-3</v>
          </cell>
          <cell r="F70">
            <v>50273</v>
          </cell>
        </row>
        <row r="71">
          <cell r="A71" t="str">
            <v>통신외선공</v>
          </cell>
          <cell r="B71">
            <v>61923</v>
          </cell>
          <cell r="C71">
            <v>88577</v>
          </cell>
          <cell r="D71">
            <v>89013</v>
          </cell>
          <cell r="E71">
            <v>4.8999999999999998E-3</v>
          </cell>
          <cell r="F71">
            <v>62226</v>
          </cell>
        </row>
        <row r="72">
          <cell r="A72" t="str">
            <v>통신케이블공</v>
          </cell>
          <cell r="B72">
            <v>68123</v>
          </cell>
          <cell r="C72">
            <v>89854</v>
          </cell>
          <cell r="D72">
            <v>90455</v>
          </cell>
          <cell r="E72">
            <v>6.7000000000000002E-3</v>
          </cell>
          <cell r="F72">
            <v>68579</v>
          </cell>
        </row>
        <row r="73">
          <cell r="A73" t="str">
            <v>특별인부</v>
          </cell>
          <cell r="B73">
            <v>42378</v>
          </cell>
          <cell r="C73">
            <v>52048</v>
          </cell>
          <cell r="D73">
            <v>57379</v>
          </cell>
          <cell r="E73">
            <v>0.1024</v>
          </cell>
          <cell r="F73">
            <v>46717</v>
          </cell>
        </row>
        <row r="74">
          <cell r="A74" t="str">
            <v>특수비계공</v>
          </cell>
          <cell r="B74">
            <v>63266</v>
          </cell>
          <cell r="C74">
            <v>83352</v>
          </cell>
          <cell r="D74">
            <v>85884</v>
          </cell>
          <cell r="E74">
            <v>3.04E-2</v>
          </cell>
          <cell r="F74">
            <v>65189</v>
          </cell>
        </row>
        <row r="75">
          <cell r="A75" t="str">
            <v>포설공</v>
          </cell>
          <cell r="B75">
            <v>42831</v>
          </cell>
          <cell r="C75">
            <v>65376</v>
          </cell>
          <cell r="D75">
            <v>65082</v>
          </cell>
          <cell r="E75">
            <v>-4.4999999999999997E-3</v>
          </cell>
          <cell r="F75">
            <v>42638</v>
          </cell>
        </row>
        <row r="76">
          <cell r="A76" t="str">
            <v>포장공</v>
          </cell>
          <cell r="B76">
            <v>52101</v>
          </cell>
          <cell r="C76">
            <v>64084</v>
          </cell>
          <cell r="D76">
            <v>65494</v>
          </cell>
          <cell r="E76">
            <v>2.1999999999999999E-2</v>
          </cell>
          <cell r="F76">
            <v>53247</v>
          </cell>
        </row>
        <row r="77">
          <cell r="A77" t="str">
            <v>플랜트전공</v>
          </cell>
          <cell r="B77">
            <v>57270</v>
          </cell>
          <cell r="C77">
            <v>63743</v>
          </cell>
          <cell r="D77">
            <v>64285</v>
          </cell>
          <cell r="E77">
            <v>8.5000000000000006E-3</v>
          </cell>
          <cell r="F77">
            <v>57756</v>
          </cell>
        </row>
        <row r="78">
          <cell r="A78" t="str">
            <v>할석공</v>
          </cell>
          <cell r="B78">
            <v>62048</v>
          </cell>
          <cell r="C78">
            <v>75231</v>
          </cell>
          <cell r="D78">
            <v>77728</v>
          </cell>
          <cell r="E78">
            <v>3.32E-2</v>
          </cell>
          <cell r="F78">
            <v>64107</v>
          </cell>
        </row>
        <row r="79">
          <cell r="A79" t="str">
            <v>함석공</v>
          </cell>
          <cell r="B79">
            <v>52360</v>
          </cell>
          <cell r="C79">
            <v>64474</v>
          </cell>
          <cell r="D79">
            <v>68943</v>
          </cell>
          <cell r="E79">
            <v>6.93E-2</v>
          </cell>
          <cell r="F79">
            <v>55988</v>
          </cell>
        </row>
        <row r="80">
          <cell r="A80" t="str">
            <v>형틀목공</v>
          </cell>
          <cell r="B80">
            <v>56960</v>
          </cell>
          <cell r="C80">
            <v>72515</v>
          </cell>
          <cell r="D80">
            <v>75306</v>
          </cell>
          <cell r="E80">
            <v>3.85E-2</v>
          </cell>
          <cell r="F80">
            <v>59152</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s>
    <sheetDataSet>
      <sheetData sheetId="0"/>
      <sheetData sheetId="1"/>
      <sheetData sheetId="2"/>
      <sheetData sheetId="3" refreshError="1">
        <row r="14">
          <cell r="B14">
            <v>75</v>
          </cell>
          <cell r="E14">
            <v>0</v>
          </cell>
        </row>
        <row r="15">
          <cell r="B15">
            <v>100</v>
          </cell>
          <cell r="E15">
            <v>0</v>
          </cell>
        </row>
        <row r="16">
          <cell r="B16">
            <v>5000</v>
          </cell>
          <cell r="E16">
            <v>0</v>
          </cell>
        </row>
        <row r="17">
          <cell r="B17">
            <v>100</v>
          </cell>
          <cell r="E17">
            <v>0</v>
          </cell>
        </row>
        <row r="18">
          <cell r="B18">
            <v>0</v>
          </cell>
          <cell r="E18">
            <v>0</v>
          </cell>
        </row>
        <row r="19">
          <cell r="B19">
            <v>5000</v>
          </cell>
          <cell r="E19">
            <v>0</v>
          </cell>
        </row>
        <row r="20">
          <cell r="B20">
            <v>338</v>
          </cell>
          <cell r="E20">
            <v>0</v>
          </cell>
        </row>
        <row r="21">
          <cell r="B21">
            <v>500</v>
          </cell>
          <cell r="E21">
            <v>0</v>
          </cell>
        </row>
        <row r="22">
          <cell r="B22">
            <v>0</v>
          </cell>
          <cell r="E22">
            <v>0</v>
          </cell>
        </row>
      </sheetData>
      <sheetData sheetId="4"/>
      <sheetData sheetId="5"/>
      <sheetData sheetId="6"/>
      <sheetData sheetId="7"/>
      <sheetData sheetId="8"/>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s>
    <sheetDataSet>
      <sheetData sheetId="0"/>
      <sheetData sheetId="1"/>
      <sheetData sheetId="2"/>
      <sheetData sheetId="3">
        <row r="14">
          <cell r="B14">
            <v>75</v>
          </cell>
          <cell r="E14">
            <v>0</v>
          </cell>
        </row>
        <row r="15">
          <cell r="B15">
            <v>100</v>
          </cell>
          <cell r="E15">
            <v>0</v>
          </cell>
        </row>
        <row r="16">
          <cell r="B16">
            <v>5000</v>
          </cell>
          <cell r="E16">
            <v>0</v>
          </cell>
        </row>
        <row r="17">
          <cell r="B17">
            <v>100</v>
          </cell>
          <cell r="E17">
            <v>0</v>
          </cell>
        </row>
        <row r="18">
          <cell r="B18">
            <v>0</v>
          </cell>
          <cell r="E18">
            <v>0</v>
          </cell>
        </row>
        <row r="19">
          <cell r="B19">
            <v>5000</v>
          </cell>
          <cell r="E19">
            <v>0</v>
          </cell>
        </row>
        <row r="20">
          <cell r="B20">
            <v>338</v>
          </cell>
          <cell r="E20">
            <v>0</v>
          </cell>
        </row>
        <row r="21">
          <cell r="B21">
            <v>500</v>
          </cell>
          <cell r="E21">
            <v>0</v>
          </cell>
        </row>
        <row r="22">
          <cell r="B22">
            <v>0</v>
          </cell>
          <cell r="E22">
            <v>0</v>
          </cell>
        </row>
      </sheetData>
      <sheetData sheetId="4"/>
      <sheetData sheetId="5"/>
      <sheetData sheetId="6"/>
      <sheetData sheetId="7"/>
      <sheetData sheetId="8"/>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주차관제"/>
      <sheetName val="DATA"/>
    </sheetNames>
    <sheetDataSet>
      <sheetData sheetId="0"/>
      <sheetData sheetId="1">
        <row r="2">
          <cell r="B2" t="str">
            <v>CABLE</v>
          </cell>
          <cell r="C2" t="str">
            <v>PIPING</v>
          </cell>
        </row>
        <row r="3">
          <cell r="C3" t="str">
            <v>CD.16C</v>
          </cell>
        </row>
        <row r="4">
          <cell r="C4" t="str">
            <v>CD.22C</v>
          </cell>
        </row>
        <row r="5">
          <cell r="C5" t="str">
            <v>CD.28C</v>
          </cell>
        </row>
        <row r="6">
          <cell r="C6" t="str">
            <v>CD.36C</v>
          </cell>
        </row>
        <row r="7">
          <cell r="C7" t="str">
            <v>HI.PVC.16C</v>
          </cell>
        </row>
        <row r="8">
          <cell r="C8" t="str">
            <v>HI.PVC.22C</v>
          </cell>
        </row>
        <row r="9">
          <cell r="C9" t="str">
            <v>HI.PVC.28C</v>
          </cell>
        </row>
        <row r="10">
          <cell r="C10" t="str">
            <v>HI.PVC.36C</v>
          </cell>
        </row>
        <row r="11">
          <cell r="C11" t="str">
            <v>HI.PVC.42C</v>
          </cell>
        </row>
        <row r="12">
          <cell r="C12" t="str">
            <v>HI.PVC.54C</v>
          </cell>
        </row>
        <row r="13">
          <cell r="C13" t="str">
            <v>HI.PVC.70C</v>
          </cell>
        </row>
        <row r="14">
          <cell r="C14" t="str">
            <v>CD.16C*2L</v>
          </cell>
        </row>
        <row r="15">
          <cell r="C15" t="str">
            <v>ST.22C</v>
          </cell>
        </row>
        <row r="16">
          <cell r="C16" t="str">
            <v>ST.28C</v>
          </cell>
        </row>
        <row r="17">
          <cell r="C17" t="str">
            <v>ST.36C</v>
          </cell>
        </row>
        <row r="18">
          <cell r="C18" t="str">
            <v>ST.42C</v>
          </cell>
        </row>
        <row r="19">
          <cell r="C19" t="str">
            <v>ST.54C</v>
          </cell>
        </row>
        <row r="20">
          <cell r="C20" t="str">
            <v>IN TRAY</v>
          </cell>
        </row>
      </sheetData>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
      <sheetName val="개요"/>
      <sheetName val="종합표"/>
      <sheetName val="투자계획"/>
      <sheetName val="고리집계표"/>
      <sheetName val="설계개선(1)"/>
      <sheetName val="설계개선(2)"/>
      <sheetName val="계약사전준비(1)"/>
      <sheetName val="계약사전준비(2)"/>
      <sheetName val="설계개선(2-1)"/>
      <sheetName val="신고리골재원(1)"/>
      <sheetName val="신고리골재원(2)"/>
      <sheetName val="고리공업용수(1)"/>
      <sheetName val="신고리공업용수(2)"/>
      <sheetName val="신고리방파제(1)"/>
      <sheetName val="고리부지방파제(2)"/>
      <sheetName val="건설사무소신축공사(1,2)"/>
      <sheetName val="사택보수공사(1)"/>
      <sheetName val="사택보수공사(2)"/>
      <sheetName val="고리국도이설(1)"/>
      <sheetName val="고리국도이설(2)"/>
      <sheetName val="신고리용지(1)"/>
      <sheetName val="신고리용지(2)"/>
      <sheetName val="신고리용지(2-1)"/>
      <sheetName val="신고리용지(2-2)"/>
      <sheetName val="신고리용지(2-3)"/>
      <sheetName val="특별홍보(1)"/>
      <sheetName val="특별홍보(2)"/>
      <sheetName val="추가요구집계"/>
      <sheetName val="요구서(통신비)"/>
      <sheetName val="전화료산출"/>
      <sheetName val="회선사용료산출"/>
      <sheetName val="회선내역(현재)"/>
      <sheetName val="회선내역(추가)"/>
      <sheetName val="정보통신료산출"/>
      <sheetName val="요구서(세금)"/>
      <sheetName val="CATV시청료"/>
      <sheetName val="요구서(지급수수료)"/>
      <sheetName val="요구서(광고선전비)"/>
      <sheetName val="XXXXXX"/>
      <sheetName val="VXXX"/>
      <sheetName val="대가기준"/>
      <sheetName val="예산종합"/>
      <sheetName val="위탁비종합"/>
      <sheetName val="위탁보수비(본사)"/>
      <sheetName val="위탁보수비(제주)"/>
      <sheetName val="표지"/>
      <sheetName val="목차"/>
      <sheetName val="1. 기본설계서"/>
      <sheetName val="1-1. 공사계획서"/>
      <sheetName val="1-2. 공사비 총괄표"/>
      <sheetName val="1-3. 자금계획서"/>
      <sheetName val="1-4. 예정공정표"/>
      <sheetName val="1-5. 주자재내역서"/>
      <sheetName val="1-6. 자재산출내역"/>
      <sheetName val="1-7. 사업소별산출내역"/>
      <sheetName val="2. 설계명세서"/>
      <sheetName val="3. 품셈표"/>
      <sheetName val="3-1. 통신노임표"/>
      <sheetName val="요약전"/>
      <sheetName val="Sheet1"/>
      <sheetName val="Sheet2"/>
      <sheetName val="Sheet3"/>
      <sheetName val="최초"/>
      <sheetName val="최종"/>
      <sheetName val="월별"/>
      <sheetName val="수리부분품"/>
      <sheetName val="영흥TP"/>
      <sheetName val="당초"/>
      <sheetName val="공사비"/>
      <sheetName val="인허가비"/>
      <sheetName val="회사분경비"/>
      <sheetName val="신가평변전"/>
      <sheetName val="설계비"/>
      <sheetName val="감리비"/>
      <sheetName val="용지비"/>
      <sheetName val="민원대책비"/>
      <sheetName val="사급자재비"/>
      <sheetName val="도급공사비"/>
      <sheetName val="기타공사비"/>
      <sheetName val="북경남변전"/>
      <sheetName val="신태백변전"/>
      <sheetName val="신안성변전증설"/>
      <sheetName val="사용자재(사급,지입)"/>
      <sheetName val="최민영집계25"/>
      <sheetName val="SUN 2000. 10 가격"/>
      <sheetName val="POOM_MOTO"/>
      <sheetName val="POOM_MOTO2"/>
      <sheetName val="사업종합"/>
      <sheetName val="환율"/>
      <sheetName val="설계서"/>
      <sheetName val="기초재재료조서"/>
      <sheetName val="PART_DISCOUNT"/>
      <sheetName val="EVO WS Units"/>
      <sheetName val="내역서"/>
      <sheetName val="설계명세서"/>
      <sheetName val="간공설계서"/>
      <sheetName val="257A1"/>
      <sheetName val="노임단가표"/>
      <sheetName val="품셈표"/>
      <sheetName val="백암비스타내역"/>
      <sheetName val="#REF"/>
      <sheetName val="증감대비"/>
      <sheetName val="첨)시중노임단가"/>
      <sheetName val="IBASE"/>
      <sheetName val="품셈"/>
      <sheetName val="공종단가"/>
      <sheetName val="환"/>
      <sheetName val="예산서"/>
      <sheetName val="총공사비"/>
      <sheetName val="설계명세"/>
      <sheetName val="부서코드"/>
      <sheetName val="대보~세기"/>
      <sheetName val="부총"/>
      <sheetName val="품셈(기초)"/>
      <sheetName val="ABUT수량-A1"/>
      <sheetName val="단면치수"/>
      <sheetName val="8-3기계경비"/>
      <sheetName val="상승노임"/>
      <sheetName val="터널조도"/>
      <sheetName val="설계서(설치)"/>
      <sheetName val="화재 탐지 설비"/>
      <sheetName val="기둥"/>
      <sheetName val="경비"/>
      <sheetName val="교각계산"/>
      <sheetName val="가공2원도"/>
      <sheetName val="맨홀방수수량(변경)"/>
      <sheetName val="기별(종합)"/>
      <sheetName val="1.설계조건"/>
      <sheetName val="입출재고현황 (2)"/>
      <sheetName val="친척"/>
      <sheetName val="출력X"/>
      <sheetName val="별표집계"/>
      <sheetName val="자재단가"/>
      <sheetName val="투자효율분석"/>
      <sheetName val="노임단가"/>
      <sheetName val="재료비"/>
      <sheetName val="정산입력"/>
      <sheetName val="기초자료입력"/>
      <sheetName val="1"/>
      <sheetName val="Sheet7"/>
      <sheetName val="차트 이름표"/>
      <sheetName val="데이터 액세스"/>
      <sheetName val="작업 반복"/>
      <sheetName val="1련,2련"/>
      <sheetName val="변품8-37"/>
      <sheetName val="충주"/>
      <sheetName val="년도별시공"/>
      <sheetName val="원가계산서"/>
      <sheetName val="Macro(차단기)"/>
      <sheetName val="포장공"/>
      <sheetName val="tggwan(mac)"/>
      <sheetName val="토목수량(공정)"/>
      <sheetName val="합천내역"/>
      <sheetName val="MOTOR"/>
      <sheetName val="실행철강하도"/>
      <sheetName val="TIE-IN"/>
      <sheetName val="PL5"/>
      <sheetName val="남양시작동자105노65기1.3화1.2"/>
      <sheetName val="설계명세서(선로)"/>
      <sheetName val="품셈기준"/>
      <sheetName val="기준자료"/>
      <sheetName val="횡배위치"/>
      <sheetName val="신규품셈목차"/>
      <sheetName val="시중노임단가"/>
      <sheetName val="노임"/>
      <sheetName val=""/>
      <sheetName val="COVER"/>
      <sheetName val="노임단가(2000하반기)"/>
      <sheetName val="수익성리포트"/>
      <sheetName val="설계서(7)"/>
      <sheetName val="내역"/>
      <sheetName val="일위목록"/>
      <sheetName val="품셈총괄표"/>
      <sheetName val="사리도"/>
      <sheetName val="참고"/>
      <sheetName val="별첨1-4"/>
      <sheetName val="토공(우물통,기타) "/>
      <sheetName val="Sheet5"/>
      <sheetName val="Studio"/>
      <sheetName val="기준가"/>
      <sheetName val="직노"/>
      <sheetName val="실행내역"/>
      <sheetName val="단가최종"/>
      <sheetName val="배수공"/>
      <sheetName val="수량산출서"/>
      <sheetName val="건설산출"/>
      <sheetName val="투입내역"/>
      <sheetName val="과천MAIN"/>
      <sheetName val="수압집계"/>
      <sheetName val="LNG 1호선 운임"/>
      <sheetName val="CV9_ACT (2)"/>
      <sheetName val="표준LN_PSAR"/>
      <sheetName val="44분기FAX집계표"/>
      <sheetName val="44분기PRT집계표"/>
      <sheetName val="기력고압전동기"/>
      <sheetName val="소요자재"/>
      <sheetName val="총종합표"/>
      <sheetName val="단가"/>
      <sheetName val="5억증가검토"/>
      <sheetName val="준공정산"/>
      <sheetName val="000000"/>
      <sheetName val="기기점검대상"/>
      <sheetName val="정산내역서"/>
      <sheetName val="노무산출서"/>
      <sheetName val="foxz"/>
      <sheetName val="Upgrades pricing"/>
      <sheetName val="공사내역(총괄)"/>
      <sheetName val="기계"/>
      <sheetName val="터파기및재료"/>
      <sheetName val="상 부"/>
      <sheetName val="토목품셈"/>
      <sheetName val="공사설명서 "/>
      <sheetName val="부대내역"/>
      <sheetName val="절대지우지말것"/>
      <sheetName val="개양 CABLE LIST"/>
      <sheetName val="용산1(해보)"/>
      <sheetName val="차액보증"/>
      <sheetName val="기본입력표"/>
      <sheetName val="말뚝물량"/>
      <sheetName val="경비_원본"/>
      <sheetName val="기별수량산출서"/>
      <sheetName val="SIZING"/>
      <sheetName val="Summary of plant values-I"/>
      <sheetName val="품산출서"/>
      <sheetName val="N01원가현황"/>
      <sheetName val="2000년1차"/>
      <sheetName val="2000전체분"/>
      <sheetName val="세입세출표"/>
      <sheetName val="세입세출표(예산종료)"/>
      <sheetName val="2013세입세출표"/>
      <sheetName val="단가일람"/>
      <sheetName val="단위량당중기"/>
      <sheetName val="발전사업단"/>
      <sheetName val="M+1"/>
      <sheetName val="output_sch"/>
      <sheetName val="계측"/>
      <sheetName val="COPING"/>
      <sheetName val="5.전사투자계획종함안"/>
      <sheetName val="단위단가"/>
      <sheetName val="설계명세기초자료입력"/>
      <sheetName val="맨홀조서"/>
      <sheetName val="노무비"/>
      <sheetName val="항목"/>
      <sheetName val="단가산출"/>
      <sheetName val="(참고)오더유형 분류방법"/>
      <sheetName val="일위대가"/>
      <sheetName val="가도공"/>
      <sheetName val="지입자재"/>
      <sheetName val="운동장 (2)"/>
      <sheetName val="(참고)WBS유형 분류방법"/>
      <sheetName val="2002.1~2003.10월(1)"/>
      <sheetName val="6월세입세출표"/>
      <sheetName val="2월세입세출표"/>
      <sheetName val="재료산출"/>
      <sheetName val="표층포설및다짐"/>
      <sheetName val="단가산출서"/>
      <sheetName val="단가표"/>
      <sheetName val="31N0210119002"/>
      <sheetName val="조경일람"/>
      <sheetName val="수입목록"/>
      <sheetName val="설계조건"/>
      <sheetName val="안정계산"/>
      <sheetName val="단면검토"/>
      <sheetName val="장비부표(지)"/>
      <sheetName val="공사설계서"/>
      <sheetName val="1.설계기준"/>
      <sheetName val="1__기본설계서"/>
      <sheetName val="1-1__공사계획서"/>
      <sheetName val="1-2__공사비_총괄표"/>
      <sheetName val="1-3__자금계획서"/>
      <sheetName val="1-4__예정공정표"/>
      <sheetName val="1-5__주자재내역서"/>
      <sheetName val="1-6__자재산출내역"/>
      <sheetName val="1-7__사업소별산출내역"/>
      <sheetName val="2__설계명세서"/>
      <sheetName val="3__품셈표"/>
      <sheetName val="3-1__통신노임표"/>
      <sheetName val="1__기본설계서2"/>
      <sheetName val="1-1__공사계획서2"/>
      <sheetName val="1-2__공사비_총괄표2"/>
      <sheetName val="1-3__자금계획서2"/>
      <sheetName val="1-4__예정공정표2"/>
      <sheetName val="1-5__주자재내역서2"/>
      <sheetName val="1-6__자재산출내역2"/>
      <sheetName val="1-7__사업소별산출내역2"/>
      <sheetName val="2__설계명세서2"/>
      <sheetName val="3__품셈표2"/>
      <sheetName val="3-1__통신노임표2"/>
      <sheetName val="1__기본설계서1"/>
      <sheetName val="1-1__공사계획서1"/>
      <sheetName val="1-2__공사비_총괄표1"/>
      <sheetName val="1-3__자금계획서1"/>
      <sheetName val="1-4__예정공정표1"/>
      <sheetName val="1-5__주자재내역서1"/>
      <sheetName val="1-6__자재산출내역1"/>
      <sheetName val="1-7__사업소별산출내역1"/>
      <sheetName val="2__설계명세서1"/>
      <sheetName val="3__품셈표1"/>
      <sheetName val="3-1__통신노임표1"/>
      <sheetName val="List"/>
      <sheetName val="BID"/>
      <sheetName val="소요자재명세서"/>
      <sheetName val="소요자재명세서2"/>
      <sheetName val="단가품셈"/>
      <sheetName val="수량산출1"/>
      <sheetName val="자재단가표"/>
      <sheetName val="신흑2"/>
      <sheetName val="괴산"/>
      <sheetName val="단월"/>
      <sheetName val="산척"/>
      <sheetName val="2.장애관리현황"/>
      <sheetName val="현장실사표"/>
      <sheetName val="조정율"/>
      <sheetName val="98지급계획"/>
      <sheetName val="8.석축단위(H=1.5M)"/>
      <sheetName val="집계표"/>
      <sheetName val="VC"/>
      <sheetName val="CHITIET"/>
      <sheetName val="BOQ"/>
      <sheetName val="직종단가 (2)"/>
      <sheetName val="CEV3x10+6 (2)"/>
      <sheetName val="PS-8EMB"/>
      <sheetName val="PS-2HAW"/>
      <sheetName val="PS-5HID"/>
      <sheetName val="PS-7ITN"/>
      <sheetName val="PS-4JAS"/>
      <sheetName val="PS-1MH"/>
      <sheetName val="PS-12PsGisExtn"/>
      <sheetName val="PS-11NSps"/>
      <sheetName val="PS-9TCOM"/>
      <sheetName val="PS-10Tools"/>
      <sheetName val="PS-6UAH"/>
      <sheetName val="PS-3WF"/>
      <sheetName val="우수"/>
      <sheetName val="DATE"/>
      <sheetName val="969910( R)"/>
      <sheetName val="DATA"/>
      <sheetName val="단가대비"/>
      <sheetName val="깨기"/>
      <sheetName val="1__기본설계서3"/>
      <sheetName val="1-1__공사계획서3"/>
      <sheetName val="1-2__공사비_총괄표3"/>
      <sheetName val="1-3__자금계획서3"/>
      <sheetName val="1-4__예정공정표3"/>
      <sheetName val="1-5__주자재내역서3"/>
      <sheetName val="1-6__자재산출내역3"/>
      <sheetName val="1-7__사업소별산출내역3"/>
      <sheetName val="2__설계명세서3"/>
      <sheetName val="3__품셈표3"/>
      <sheetName val="3-1__통신노임표3"/>
      <sheetName val="SUN_2000__10_가격"/>
      <sheetName val="EVO_WS_Units"/>
      <sheetName val="화재_탐지_설비"/>
      <sheetName val="1_설계조건"/>
      <sheetName val="입출재고현황_(2)"/>
      <sheetName val="차트_이름표"/>
      <sheetName val="데이터_액세스"/>
      <sheetName val="작업_반복"/>
      <sheetName val="남양시작동자105노65기1_3화1_2"/>
      <sheetName val="토공(우물통,기타)_"/>
      <sheetName val="LNG_1호선_운임"/>
      <sheetName val="CV9_ACT_(2)"/>
      <sheetName val="Upgrades_pricing"/>
      <sheetName val="상_부"/>
      <sheetName val="공사설명서_"/>
      <sheetName val="개양_CABLE_LIST"/>
      <sheetName val="Summary_of_plant_values-I"/>
      <sheetName val="5_전사투자계획종함안"/>
      <sheetName val="(참고)오더유형_분류방법"/>
      <sheetName val="운동장_(2)"/>
      <sheetName val="(참고)WBS유형_분류방법"/>
      <sheetName val="2002_1~2003_10월(1)"/>
      <sheetName val="1_설계기준"/>
      <sheetName val="2_장애관리현황"/>
      <sheetName val="8_석축단위(H=1_5M)"/>
      <sheetName val="직종단가_(2)"/>
      <sheetName val="CEV3x10+6_(2)"/>
      <sheetName val="969910(_R)"/>
      <sheetName val="보도경계블럭"/>
      <sheetName val="합손"/>
      <sheetName val="성단물량"/>
      <sheetName val="운영규모"/>
      <sheetName val="시간외근무"/>
      <sheetName val="판"/>
      <sheetName val="공사설명서외"/>
      <sheetName val="TOEC"/>
      <sheetName val="주형"/>
      <sheetName val="[사업종합.XLS][사업종합.XLS]______XLS_2"/>
      <sheetName val="[사업종합.XLS][사업종합.XLS]______XLS_3"/>
      <sheetName val="자료입력"/>
      <sheetName val="계약원가"/>
      <sheetName val="8.석축단위(H=1.5E)"/>
      <sheetName val="8_석축단위(H=1_5E)"/>
      <sheetName val="실행예산서"/>
      <sheetName val="PI"/>
      <sheetName val="CHITIET VL-NC"/>
      <sheetName val="DON GIA"/>
      <sheetName val="evap_thick"/>
      <sheetName val="자재집게표 "/>
    </sheetNames>
    <definedNames>
      <definedName name="print_net"/>
      <definedName name="select_bg"/>
      <definedName name="select_gg"/>
      <definedName name="select_gi"/>
      <definedName name="select_gjj3"/>
      <definedName name="select_gjp"/>
    </definedNames>
    <sheetDataSet>
      <sheetData sheetId="0" refreshError="1">
        <row r="1">
          <cell r="A1">
            <v>790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sheetData sheetId="390" refreshError="1"/>
      <sheetData sheetId="391" refreshError="1"/>
      <sheetData sheetId="392" refreshError="1"/>
      <sheetData sheetId="393"/>
      <sheetData sheetId="394" refreshError="1"/>
      <sheetData sheetId="395" refreshError="1"/>
      <sheetData sheetId="396" refreshError="1"/>
      <sheetData sheetId="397" refreshError="1"/>
      <sheetData sheetId="398" refreshError="1"/>
      <sheetData sheetId="39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정보고"/>
      <sheetName val="XXXXXX"/>
      <sheetName val="laroux"/>
      <sheetName val="Sheet1"/>
      <sheetName val="광케이블총괄"/>
      <sheetName val="기별총괄"/>
      <sheetName val="남동~동부천전화국앞 "/>
      <sheetName val="신천~시흥(광피스)(1)"/>
      <sheetName val="KT접속점"/>
      <sheetName val="신천접속점~시흥연성 간(2)"/>
      <sheetName val="접속~만수(광피스)(1)"/>
      <sheetName val="만수간기별"/>
      <sheetName val="접속점~만수(1,2)"/>
      <sheetName val="남동소방~풍림(3)"/>
      <sheetName val="접속~동양기전(4)"/>
      <sheetName val="하나로~산업유통(5)"/>
      <sheetName val="신세계(6)"/>
      <sheetName val="연수링"/>
      <sheetName val="부천간"/>
      <sheetName val="시흥연성간"/>
      <sheetName val="만수동간"/>
      <sheetName val="풍림간"/>
      <sheetName val="산업유통간"/>
      <sheetName val="신세계A"/>
      <sheetName val="하나로연수링"/>
      <sheetName val="연수(광피스) (1)"/>
      <sheetName val="연수링망구성) (2)"/>
      <sheetName val="효성상아"/>
      <sheetName val="접속점~신동아"/>
      <sheetName val="현대MDF"/>
      <sheetName val="접속점~쌍용MDF"/>
      <sheetName val="타이틀"/>
      <sheetName val="목차"/>
      <sheetName val="공사설명서 "/>
      <sheetName val="예산총괄"/>
      <sheetName val="예산내역서"/>
      <sheetName val="공정량산출"/>
      <sheetName val="공구"/>
      <sheetName val="공구총괄"/>
      <sheetName val="일위대가"/>
      <sheetName val="운반비"/>
      <sheetName val="지입자재"/>
      <sheetName val="자재총괄"/>
      <sheetName val="지입자재단가"/>
      <sheetName val="광피스표(세부)"/>
      <sheetName val="광피스표(총괄)"/>
      <sheetName val="지입자재조서"/>
      <sheetName val="사급자재조서"/>
      <sheetName val="광접속산출"/>
      <sheetName val="기계손료산출"/>
      <sheetName val="기계손료산출근거"/>
      <sheetName val="기별"/>
      <sheetName val="광피스표"/>
      <sheetName val="자재내역"/>
      <sheetName val="Sheet2"/>
      <sheetName val="Sheet3"/>
      <sheetName val="기별-철거"/>
      <sheetName val="foxz"/>
      <sheetName val="준공기별"/>
      <sheetName val="노무비"/>
      <sheetName val="cost9809"/>
      <sheetName val="자재산출내역"/>
      <sheetName val="노무산출내역서"/>
      <sheetName val="광케이블 피스표"/>
      <sheetName val="광케이블접속물량"/>
      <sheetName val="케이블바인딩"/>
      <sheetName val="OFD,접속함체선번장"/>
      <sheetName val="평면도"/>
      <sheetName val="인입도1"/>
      <sheetName val="인입도"/>
      <sheetName val="시험성적서"/>
      <sheetName val="데이타양식"/>
      <sheetName val="광계통도"/>
      <sheetName val="루트도"/>
      <sheetName val="현장사진첩"/>
      <sheetName val="준공검사보고서"/>
      <sheetName val="정산내역서"/>
      <sheetName val="자재,노무비 산출내역"/>
      <sheetName val="주요설비내역"/>
      <sheetName val="망계통도(위치)"/>
      <sheetName val="장비결선도"/>
      <sheetName val="망구성도"/>
      <sheetName val="사진대장"/>
      <sheetName val="내역서"/>
      <sheetName val="소요자재"/>
      <sheetName val="노무산출"/>
      <sheetName val="코아접속"/>
      <sheetName val="바인드"/>
      <sheetName val="피스표"/>
      <sheetName val="종합분"/>
      <sheetName val="하판분기-용수리분기"/>
      <sheetName val="성주분기-왜관분기"/>
      <sheetName val="왜관분기-북삼삼거리"/>
      <sheetName val="북삼삼거리-남면분기"/>
      <sheetName val="남면분기-성주분기"/>
      <sheetName val="성주분기-벽진분기"/>
      <sheetName val="벽진분기-벽진3"/>
      <sheetName val="벽진분기-금수초교"/>
      <sheetName val="금수초교-금수분기"/>
      <sheetName val="금수분기-조마분기"/>
      <sheetName val="금수분기-증산분기"/>
      <sheetName val="증산분기-지례분기"/>
      <sheetName val="대덕-부항분기"/>
      <sheetName val="부항분기-영동분기"/>
      <sheetName val="영동분기-조마분기"/>
      <sheetName val="화원분기-고령분기"/>
      <sheetName val="공성분기-상주대분기"/>
      <sheetName val="임대국사-낙동분기"/>
      <sheetName val="낙동분기-일선교분기"/>
      <sheetName val="금수분기-신평리분기"/>
      <sheetName val="지례분기-STI지례"/>
      <sheetName val="무을분기-공성분기"/>
      <sheetName val="상주분기-임대국사"/>
      <sheetName val="공성분기~모서분기"/>
      <sheetName val="검사보고서"/>
      <sheetName val="사급자재시설현황"/>
      <sheetName val="집계표"/>
      <sheetName val="정산비교"/>
      <sheetName val="소요자재(신설)"/>
      <sheetName val="소요자재(철거)"/>
      <sheetName val="노무산출서(신설)"/>
      <sheetName val="노무산출서(철거)"/>
      <sheetName val="바인드 물량"/>
      <sheetName val="코아접속 물량"/>
      <sheetName val="종합자재"/>
      <sheetName val="광케이블 내역"/>
      <sheetName val="자재사용(송죽회관)"/>
      <sheetName val="자재사용(죽정리)"/>
      <sheetName val="자재사용(반암리)"/>
      <sheetName val="자재사용(동호리)"/>
      <sheetName val="자재사용(양양공항)"/>
      <sheetName val="자재사용(주문진)"/>
      <sheetName val="자재사용(부연지)"/>
      <sheetName val="자재사용(송신소)"/>
      <sheetName val="자재사용(법수한전)"/>
      <sheetName val="자재사용(법수도로)"/>
      <sheetName val="자재사용(인구)"/>
      <sheetName val="자재사용(양양12)"/>
      <sheetName val="자재사용(양양24)"/>
      <sheetName val="자재사용(조양동)"/>
      <sheetName val="자재사용(장사동)"/>
      <sheetName val="자재사용(삽교지)"/>
      <sheetName val="자재사용(홍제동)"/>
      <sheetName val="자재사용(태백)"/>
      <sheetName val="자재사용(야촌리)"/>
      <sheetName val="자재사용(평창운교)"/>
      <sheetName val="자재사용(평창재산)"/>
      <sheetName val="자재사용(수하리)"/>
      <sheetName val="자재사용(횡계109)"/>
      <sheetName val="자재사용(이목정)"/>
      <sheetName val="자재사용(속사리)"/>
      <sheetName val="자재사용(주암교)"/>
      <sheetName val="자재사용(횡계SKT)"/>
      <sheetName val="자재사용(화일지)"/>
      <sheetName val="자재사용(속초지중)"/>
      <sheetName val="자재사용(동우대)"/>
      <sheetName val="자재사용(속초부영)"/>
      <sheetName val="자재사용(개수지)"/>
      <sheetName val="종합기별 (철거)"/>
      <sheetName val="종합기별(신설)"/>
      <sheetName val="철거(강릉국도송죽회관)"/>
      <sheetName val="신설(강릉국도송죽회관)"/>
      <sheetName val="철거(강릉국도죽정)"/>
      <sheetName val="신설(강릉국도죽정)"/>
      <sheetName val="철거(강릉국도반암)"/>
      <sheetName val="신설(강릉국도반암)"/>
      <sheetName val="철거(양양동호리)"/>
      <sheetName val="신설(양양동호리)"/>
      <sheetName val="철거(양양공항)"/>
      <sheetName val="신설(양양공항)"/>
      <sheetName val="철거(주문진)"/>
      <sheetName val="신설(주문진)"/>
      <sheetName val="철거(부연지)"/>
      <sheetName val="신설(부연지)"/>
      <sheetName val="철거(수산지)"/>
      <sheetName val="신설(수산지)"/>
      <sheetName val="철거(법수치)"/>
      <sheetName val="신설(법수치)"/>
      <sheetName val="철거(법수치2)"/>
      <sheetName val="신설(법수치2)"/>
      <sheetName val="철거(인구지장)"/>
      <sheetName val="신설(인구지장)"/>
      <sheetName val="철거(양수발전소12)"/>
      <sheetName val="신설(양수발전소12)"/>
      <sheetName val="철거(양수발전소24C)"/>
      <sheetName val="신설(양수발전소24C) "/>
      <sheetName val="철거(대포간)"/>
      <sheetName val="신설(대포간)"/>
      <sheetName val="철거(교동)"/>
      <sheetName val="신설(교동)"/>
      <sheetName val="철거(삽교지)"/>
      <sheetName val="신설(삽교지)"/>
      <sheetName val="철거(인구간)"/>
      <sheetName val="신설(인구간)"/>
      <sheetName val="철거(화전지)"/>
      <sheetName val="신설(화전지)"/>
      <sheetName val="철거(야촌리)"/>
      <sheetName val="신설(야촌리)"/>
      <sheetName val="철거(평창)"/>
      <sheetName val="신설(평창)"/>
      <sheetName val="철거(재산리)"/>
      <sheetName val="신설(재산리)"/>
      <sheetName val="철거(수화리)"/>
      <sheetName val="신설(수화리)"/>
      <sheetName val="철거(109연대)"/>
      <sheetName val="신설(109연대)"/>
      <sheetName val="철거(이목정)"/>
      <sheetName val="신설(이목정)"/>
      <sheetName val="철거(속사)"/>
      <sheetName val="신설(속사)"/>
      <sheetName val="철거(주암교)"/>
      <sheetName val="신설(주암교)"/>
      <sheetName val="철거(SKT앞)"/>
      <sheetName val="신설(SKT앞)"/>
      <sheetName val="철거(화일지)"/>
      <sheetName val="신설(화일지)"/>
      <sheetName val="철거(지중화24)"/>
      <sheetName val="신설(지중화24)"/>
      <sheetName val="철거(지중화동우대6)"/>
      <sheetName val="신설(지중화동우대12)"/>
      <sheetName val="철거(지중화부영)"/>
      <sheetName val="신설(지중화부영)"/>
      <sheetName val="철거(개수지)"/>
      <sheetName val="신설(개수지)"/>
      <sheetName val="철거(SKT앞©"/>
      <sheetName val="신설(SKT앞)_x0007_ꀁ烌⢬吀糖샇⧉܀Ā신설(화일지)_x0009_ꀁ烌⢬쀀ᇉ"/>
      <sheetName val="신설(SKT앞)_x0007_ꀁ烌⢬吀糖샇⧉܀Ā신설(화일지) ꀁ烌⢬쀀ᇉ"/>
      <sheetName val="증감대비"/>
      <sheetName val="노무산출서"/>
      <sheetName val="설계명세서(종합)"/>
      <sheetName val=""/>
      <sheetName val="상승노임"/>
      <sheetName val="노임"/>
      <sheetName val="설계명세서(선로)"/>
      <sheetName val="노임변동률"/>
      <sheetName val="Upgrades pricing"/>
    </sheetNames>
    <definedNames>
      <definedName name="print_net"/>
      <definedName name="select_bg"/>
      <definedName name="select_gg"/>
      <definedName name="select_gi"/>
      <definedName name="select_gjj3"/>
      <definedName name="select_gjp"/>
    </defined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sheetData sheetId="227" refreshError="1"/>
      <sheetData sheetId="228" refreshError="1"/>
      <sheetData sheetId="229" refreshError="1"/>
      <sheetData sheetId="230"/>
      <sheetData sheetId="231" refreshError="1"/>
      <sheetData sheetId="232" refreshError="1"/>
      <sheetData sheetId="233" refreshError="1"/>
      <sheetData sheetId="234" refreshError="1"/>
      <sheetData sheetId="235"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e1"/>
      <sheetName val="설명서"/>
      <sheetName val="감독자"/>
      <sheetName val="전송망구성도"/>
      <sheetName val="실사자료"/>
      <sheetName val="투자효율분석"/>
      <sheetName val="공사계획서"/>
      <sheetName val="공사비예산서"/>
      <sheetName val="장비분"/>
      <sheetName val="선로분"/>
      <sheetName val="기본요율"/>
      <sheetName val="cost9801"/>
      <sheetName val="현장실사표"/>
      <sheetName val="사용자재(사급,지입)"/>
      <sheetName val="rate"/>
      <sheetName val="설계명세서(2-1차)"/>
      <sheetName val="LANGUAGE"/>
      <sheetName val="총괄집계표"/>
      <sheetName val="성단물량"/>
      <sheetName val="Page 1A - Proposal Strategy "/>
      <sheetName val="단가표"/>
      <sheetName val="PART_DISCOUNT"/>
      <sheetName val="품셈"/>
      <sheetName val="노임단가표"/>
      <sheetName val="설계명세서"/>
      <sheetName val="9.설치품셈"/>
      <sheetName val="기별(종합)"/>
      <sheetName va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E2 (품셈표)"/>
      <sheetName val="PULLING SUPT등"/>
      <sheetName val="#REF"/>
      <sheetName val="단가산"/>
      <sheetName val="품셈"/>
      <sheetName val="cable품셈표(한전)"/>
      <sheetName val="노임단가"/>
      <sheetName val="BID"/>
      <sheetName val="남양시작동자105노65기1.3화1.2"/>
      <sheetName val="ABUT수량-A1"/>
      <sheetName val="내역"/>
      <sheetName val="예산서"/>
      <sheetName val="tggwan(mac)"/>
      <sheetName val="2000년1차"/>
      <sheetName val="2000전체분"/>
      <sheetName val="총괄"/>
      <sheetName val="내역(한신APT)"/>
      <sheetName val="내역서"/>
      <sheetName val="본체"/>
      <sheetName val="개략"/>
      <sheetName val="실행철강하도"/>
      <sheetName val="집계표"/>
      <sheetName val="견적시담(송포2공구)"/>
      <sheetName val="개양 CABLE LIST"/>
      <sheetName val="물가변동3"/>
      <sheetName val="1.설계기준"/>
      <sheetName val="수량산출"/>
      <sheetName val="차액보증"/>
      <sheetName val="목표세부명세"/>
      <sheetName val="0001new"/>
      <sheetName val="갑지(추정)"/>
      <sheetName val=""/>
      <sheetName val="화재 탐지 설비"/>
      <sheetName val="static.cal"/>
      <sheetName val="기준"/>
      <sheetName val="PRC-SUM"/>
      <sheetName val="UBC(WIND)"/>
      <sheetName val="조명시설"/>
      <sheetName val="표건"/>
      <sheetName val="통합"/>
      <sheetName val="터파기및재료"/>
      <sheetName val="단가비교표"/>
      <sheetName val="6PILE  (돌출)"/>
      <sheetName val="특수선일위대가"/>
      <sheetName val="연결임시"/>
      <sheetName val="점수계산1-2"/>
      <sheetName val="입찰안"/>
      <sheetName val="영동(D)"/>
      <sheetName val="설계산출표지"/>
      <sheetName val="정부노임단가"/>
      <sheetName val="CTEMCOST"/>
      <sheetName val="플랜트 설치"/>
      <sheetName val="울산시산표"/>
      <sheetName val="Subcontractors"/>
      <sheetName val="Macro(차단기)"/>
      <sheetName val="노무비단가"/>
      <sheetName val="실행내역서 "/>
      <sheetName val="Y-WORK"/>
      <sheetName val="MAT_N048"/>
      <sheetName val="말뚝지지력산정"/>
      <sheetName val="98수문일위"/>
      <sheetName val="횡배수관"/>
      <sheetName val="최민영집계25"/>
      <sheetName val="EQ"/>
      <sheetName val="ORIGN"/>
      <sheetName val="입력"/>
      <sheetName val="96.12"/>
      <sheetName val="CONCRETE"/>
      <sheetName val="Contr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전력구단위수량"/>
      <sheetName val="단위수량"/>
      <sheetName val="건물터파기"/>
      <sheetName val="토공집계"/>
      <sheetName val="부지정지토적"/>
      <sheetName val="주요자재"/>
      <sheetName val="옹벽집계"/>
      <sheetName val="배수로집계"/>
      <sheetName val="전력구집"/>
      <sheetName val="도로포장"/>
      <sheetName val="부지정지"/>
      <sheetName val="주요자재집계"/>
      <sheetName val="수량집계"/>
      <sheetName val="노임단가"/>
      <sheetName val="부표9705"/>
      <sheetName val="별표"/>
      <sheetName val="부표"/>
      <sheetName val="품셈총괄"/>
      <sheetName val="품셈"/>
      <sheetName val="공예을"/>
      <sheetName val="공예갑"/>
      <sheetName val="표지"/>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운반비산출"/>
      <sheetName val="운반중량"/>
      <sheetName val="LRH인공"/>
      <sheetName val="강관주"/>
      <sheetName val="CCTV철거"/>
      <sheetName val="CCTV"/>
      <sheetName val="스피커"/>
      <sheetName val="배관배선"/>
      <sheetName val="옥외배선함"/>
      <sheetName val="연선전화"/>
      <sheetName val="토크백,터파기"/>
      <sheetName val="5공종별예산조서"/>
      <sheetName val="철거발생품"/>
      <sheetName val="관급자재"/>
      <sheetName val="원가계산"/>
      <sheetName val="도급예산서"/>
      <sheetName val="일위기초"/>
      <sheetName val="일위대가"/>
      <sheetName val="수량조서"/>
      <sheetName val="수량집계"/>
      <sheetName val="수량산출"/>
      <sheetName val="지중도체"/>
      <sheetName val="케이블100P"/>
      <sheetName val="케이블74P "/>
      <sheetName val="케이블54P"/>
      <sheetName val="케이블28P"/>
      <sheetName val="케이블14P"/>
      <sheetName val="철거54P"/>
      <sheetName val="도관전선"/>
      <sheetName val="사정조서"/>
      <sheetName val="사정표지"/>
      <sheetName val="공사개요"/>
      <sheetName val="총괄집계표"/>
      <sheetName val="Sheet1"/>
      <sheetName val="Sheet2"/>
      <sheetName val="Sheet3"/>
      <sheetName val="수량산출1"/>
      <sheetName val="자재단가표"/>
      <sheetName val="노임단가표"/>
      <sheetName val="지시서"/>
      <sheetName val="적용기준표(98년상반기)"/>
      <sheetName val="LANGUAGE"/>
      <sheetName val="기별"/>
      <sheetName val="성단물량"/>
      <sheetName val="Price List"/>
      <sheetName val="OPGW기별"/>
      <sheetName val="정산"/>
      <sheetName val="주요공정"/>
      <sheetName val="소요자재"/>
      <sheetName val="rate"/>
      <sheetName val="선로분"/>
      <sheetName val="모래기초"/>
      <sheetName val="신휴중계기"/>
      <sheetName val="월랑중계기"/>
      <sheetName val="동화2중계기"/>
      <sheetName val="터보테크"/>
      <sheetName val="철거"/>
      <sheetName val="현대1차"/>
      <sheetName val="현대2차사원"/>
      <sheetName val="승언"/>
      <sheetName val="고남"/>
      <sheetName val="종합"/>
      <sheetName val="2차종합"/>
      <sheetName val="Page 1A - Proposal Strategy "/>
      <sheetName val="자동폐색설계"/>
      <sheetName val="일위대가표"/>
      <sheetName val="9.설치품셈"/>
      <sheetName val="설계명세서(선로)"/>
      <sheetName val="N賃率-職"/>
      <sheetName val="첨2. 공사계획서"/>
      <sheetName val="대보~세기"/>
      <sheetName val="자동계산용 구성조건"/>
      <sheetName val="직노"/>
      <sheetName val="노무비"/>
      <sheetName val="재료"/>
      <sheetName val="설치자재"/>
      <sheetName val="한강운반비"/>
      <sheetName val="단위단가"/>
      <sheetName val="저"/>
      <sheetName val="품셈"/>
      <sheetName val="일위"/>
      <sheetName val="12.재료비입력"/>
      <sheetName val="기별명세"/>
      <sheetName val="Macro2"/>
      <sheetName val="자재단가"/>
      <sheetName val="Upgrades pricing"/>
      <sheetName val="원가계산서"/>
      <sheetName val="J直材4"/>
      <sheetName val="기본일위"/>
      <sheetName val="CT "/>
      <sheetName val="총괄분 설계서용지"/>
      <sheetName val="하조서"/>
      <sheetName val="추가 품셈표"/>
      <sheetName val="문산"/>
      <sheetName val="EP0618"/>
      <sheetName val="일위대가(가설)"/>
      <sheetName val="내역서"/>
      <sheetName val="다곡2교"/>
      <sheetName val="노무비명세서"/>
      <sheetName val="SQA - PHIL (GPP) v1.4"/>
      <sheetName val="1"/>
      <sheetName val="노무산출서"/>
      <sheetName val="갑지"/>
      <sheetName val="일일 자재입출고리스트"/>
      <sheetName val="구포여상설계"/>
      <sheetName val="만년달력"/>
      <sheetName val="달력"/>
      <sheetName val="설계명세서"/>
      <sheetName val="Sheet7"/>
      <sheetName val="아파트기별"/>
      <sheetName val="공리일"/>
      <sheetName val="정산내역"/>
      <sheetName val="Baby일위대가"/>
      <sheetName val="9GNG운반"/>
      <sheetName val="인부임"/>
      <sheetName val="인입기본설계"/>
      <sheetName val="소요자재명세서"/>
      <sheetName val="설직재-1"/>
      <sheetName val="모델명"/>
      <sheetName val="사용자재(사급,지입)"/>
      <sheetName val="정산내역서"/>
      <sheetName val="목록"/>
      <sheetName val="케이블74P_"/>
      <sheetName val="Price_List"/>
      <sheetName val="Page_1A_-_Proposal_Strategy_"/>
      <sheetName val="9_설치품셈"/>
      <sheetName val="일일_자재입출고리스트"/>
      <sheetName val="12_재료비입력"/>
      <sheetName val="자동계산용_구성조건"/>
      <sheetName val="첨2__공사계획서"/>
      <sheetName val="CT_"/>
      <sheetName val="예산내역서"/>
      <sheetName val="설계명세"/>
      <sheetName val="공사설명서외"/>
      <sheetName val="댁내기별"/>
      <sheetName val="품셈표"/>
      <sheetName val="정산설계"/>
      <sheetName val="공사계획"/>
      <sheetName val="교환노무"/>
      <sheetName val="예산내역서(총괄)"/>
      <sheetName val="공제대산출"/>
      <sheetName val="CA지입"/>
      <sheetName val="일위대가목록"/>
      <sheetName val="인수공규격"/>
      <sheetName val="2000전체분"/>
      <sheetName val="2000년1차"/>
      <sheetName val="기초자료입력"/>
      <sheetName val="Summary of plant values-I"/>
      <sheetName val="현장실사표"/>
      <sheetName val="2.장애관리현황"/>
      <sheetName val="준검 내역서"/>
      <sheetName val="SG"/>
      <sheetName val="내역"/>
      <sheetName val="구의33고"/>
      <sheetName val="기준자료"/>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공사표지"/>
      <sheetName val="품산출서"/>
      <sheetName val="공사계획서"/>
      <sheetName val="설계명세서"/>
      <sheetName val="물량집계표"/>
      <sheetName val="작업부산물"/>
      <sheetName val="공사설명서"/>
      <sheetName val="공사비예산"/>
      <sheetName val="예정공정표"/>
      <sheetName val="터파기량집계"/>
      <sheetName val="터파기(보도)"/>
      <sheetName val="옥외관로집계"/>
      <sheetName val="터파기(차도)"/>
      <sheetName val="신노임"/>
      <sheetName val="핸드홀맨홀부표"/>
      <sheetName val="도급내역서"/>
      <sheetName val="검수요청서"/>
      <sheetName val="물가비교표"/>
      <sheetName val="Module1"/>
      <sheetName val="Module4"/>
      <sheetName val="선로분"/>
      <sheetName val="총괄집계표"/>
    </sheetNames>
    <sheetDataSet>
      <sheetData sheetId="0">
        <row r="11">
          <cell r="A11" t="str">
            <v>CPU시험기사</v>
          </cell>
          <cell r="B11">
            <v>75460</v>
          </cell>
          <cell r="C11">
            <v>58455</v>
          </cell>
          <cell r="D11">
            <v>76241</v>
          </cell>
          <cell r="E11">
            <v>1.03E-2</v>
          </cell>
          <cell r="F11">
            <v>59057</v>
          </cell>
        </row>
        <row r="12">
          <cell r="A12" t="str">
            <v>H/W설치기사</v>
          </cell>
          <cell r="B12">
            <v>78858</v>
          </cell>
          <cell r="C12">
            <v>61352</v>
          </cell>
          <cell r="D12">
            <v>79720</v>
          </cell>
          <cell r="E12">
            <v>1.09E-2</v>
          </cell>
          <cell r="F12">
            <v>62020</v>
          </cell>
        </row>
        <row r="13">
          <cell r="A13" t="str">
            <v>H/W시험기사</v>
          </cell>
          <cell r="B13">
            <v>74583</v>
          </cell>
          <cell r="C13">
            <v>57796</v>
          </cell>
          <cell r="D13">
            <v>75373</v>
          </cell>
          <cell r="E13">
            <v>1.0500000000000001E-2</v>
          </cell>
          <cell r="F13">
            <v>58402</v>
          </cell>
        </row>
        <row r="14">
          <cell r="A14" t="str">
            <v>S/W시험기사</v>
          </cell>
          <cell r="B14">
            <v>74316</v>
          </cell>
          <cell r="C14">
            <v>57880</v>
          </cell>
          <cell r="D14">
            <v>75292</v>
          </cell>
          <cell r="E14">
            <v>1.3100000000000001E-2</v>
          </cell>
          <cell r="F14">
            <v>58638</v>
          </cell>
        </row>
        <row r="15">
          <cell r="A15" t="str">
            <v>건축목공</v>
          </cell>
          <cell r="B15">
            <v>63220</v>
          </cell>
          <cell r="C15">
            <v>51969</v>
          </cell>
          <cell r="D15">
            <v>67285</v>
          </cell>
          <cell r="E15">
            <v>6.4199999999999993E-2</v>
          </cell>
          <cell r="F15">
            <v>55305</v>
          </cell>
        </row>
        <row r="16">
          <cell r="A16" t="str">
            <v>고급기술자</v>
          </cell>
          <cell r="B16">
            <v>94007</v>
          </cell>
          <cell r="C16">
            <v>108533</v>
          </cell>
          <cell r="D16">
            <v>111484</v>
          </cell>
          <cell r="E16">
            <v>0.18590000000000001</v>
          </cell>
          <cell r="F16">
            <v>128709</v>
          </cell>
        </row>
        <row r="17">
          <cell r="A17" t="str">
            <v>고압케이블전공</v>
          </cell>
          <cell r="B17">
            <v>72597</v>
          </cell>
          <cell r="C17">
            <v>66303</v>
          </cell>
          <cell r="D17">
            <v>68516</v>
          </cell>
          <cell r="E17">
            <v>-5.62E-2</v>
          </cell>
          <cell r="F17">
            <v>62576</v>
          </cell>
        </row>
        <row r="18">
          <cell r="A18" t="str">
            <v>광케이블기사</v>
          </cell>
          <cell r="B18">
            <v>127122</v>
          </cell>
          <cell r="C18">
            <v>88614</v>
          </cell>
          <cell r="D18">
            <v>130983</v>
          </cell>
          <cell r="E18">
            <v>3.0300000000000001E-2</v>
          </cell>
          <cell r="F18">
            <v>91299</v>
          </cell>
        </row>
        <row r="19">
          <cell r="A19" t="str">
            <v>광통신기사</v>
          </cell>
          <cell r="B19">
            <v>144388</v>
          </cell>
          <cell r="C19">
            <v>86687</v>
          </cell>
          <cell r="D19">
            <v>149536</v>
          </cell>
          <cell r="E19">
            <v>3.56E-2</v>
          </cell>
          <cell r="F19">
            <v>89773</v>
          </cell>
        </row>
        <row r="20">
          <cell r="A20" t="str">
            <v>궤도공</v>
          </cell>
          <cell r="B20">
            <v>47906</v>
          </cell>
          <cell r="C20">
            <v>36749</v>
          </cell>
          <cell r="D20">
            <v>47906</v>
          </cell>
          <cell r="E20">
            <v>0</v>
          </cell>
          <cell r="F20">
            <v>36749</v>
          </cell>
        </row>
        <row r="21">
          <cell r="A21" t="str">
            <v>기계공</v>
          </cell>
          <cell r="B21">
            <v>58644</v>
          </cell>
          <cell r="C21">
            <v>40224</v>
          </cell>
          <cell r="D21">
            <v>58509</v>
          </cell>
          <cell r="E21">
            <v>-2.3E-3</v>
          </cell>
          <cell r="F21">
            <v>40131</v>
          </cell>
        </row>
        <row r="22">
          <cell r="A22" t="str">
            <v>기계설치공</v>
          </cell>
          <cell r="B22">
            <v>58636</v>
          </cell>
          <cell r="C22">
            <v>46386</v>
          </cell>
          <cell r="D22">
            <v>52520</v>
          </cell>
          <cell r="E22">
            <v>-0.1043</v>
          </cell>
          <cell r="F22">
            <v>41547</v>
          </cell>
        </row>
        <row r="23">
          <cell r="A23" t="str">
            <v>기와공</v>
          </cell>
          <cell r="B23">
            <v>68801</v>
          </cell>
          <cell r="C23">
            <v>51020</v>
          </cell>
          <cell r="D23">
            <v>72101</v>
          </cell>
          <cell r="E23">
            <v>4.7899999999999998E-2</v>
          </cell>
          <cell r="F23">
            <v>53463</v>
          </cell>
        </row>
        <row r="24">
          <cell r="A24" t="str">
            <v>내선전공</v>
          </cell>
          <cell r="B24">
            <v>50851</v>
          </cell>
          <cell r="C24">
            <v>46805</v>
          </cell>
          <cell r="D24">
            <v>53181</v>
          </cell>
          <cell r="E24">
            <v>4.58E-2</v>
          </cell>
          <cell r="F24">
            <v>48948</v>
          </cell>
        </row>
        <row r="25">
          <cell r="A25" t="str">
            <v>내장공</v>
          </cell>
          <cell r="B25">
            <v>64540</v>
          </cell>
          <cell r="C25">
            <v>52584</v>
          </cell>
          <cell r="D25">
            <v>66457</v>
          </cell>
          <cell r="E25">
            <v>2.9700000000000001E-2</v>
          </cell>
          <cell r="F25">
            <v>54145</v>
          </cell>
        </row>
        <row r="26">
          <cell r="A26" t="str">
            <v>도장공</v>
          </cell>
          <cell r="B26">
            <v>60159</v>
          </cell>
          <cell r="C26">
            <v>52697</v>
          </cell>
          <cell r="D26">
            <v>59569</v>
          </cell>
          <cell r="E26">
            <v>-9.7999999999999997E-3</v>
          </cell>
          <cell r="F26">
            <v>52180</v>
          </cell>
        </row>
        <row r="27">
          <cell r="A27" t="str">
            <v>루피공</v>
          </cell>
          <cell r="B27">
            <v>51003</v>
          </cell>
          <cell r="C27">
            <v>60491</v>
          </cell>
          <cell r="D27">
            <v>54737</v>
          </cell>
          <cell r="E27">
            <v>7.3200000000000001E-2</v>
          </cell>
          <cell r="F27">
            <v>64918</v>
          </cell>
        </row>
        <row r="28">
          <cell r="A28" t="str">
            <v>무선안테나공</v>
          </cell>
          <cell r="B28">
            <v>104700</v>
          </cell>
          <cell r="C28">
            <v>51000</v>
          </cell>
          <cell r="D28">
            <v>103707</v>
          </cell>
          <cell r="E28">
            <v>-9.4000000000000004E-3</v>
          </cell>
          <cell r="F28">
            <v>50520</v>
          </cell>
        </row>
        <row r="29">
          <cell r="A29" t="str">
            <v>미장공</v>
          </cell>
          <cell r="B29">
            <v>65740</v>
          </cell>
          <cell r="C29">
            <v>52380</v>
          </cell>
          <cell r="D29">
            <v>67466</v>
          </cell>
          <cell r="E29">
            <v>2.6200000000000001E-2</v>
          </cell>
          <cell r="F29">
            <v>53752</v>
          </cell>
        </row>
        <row r="30">
          <cell r="A30" t="str">
            <v>방수공</v>
          </cell>
          <cell r="B30">
            <v>54225</v>
          </cell>
          <cell r="C30">
            <v>47595</v>
          </cell>
          <cell r="D30">
            <v>55579</v>
          </cell>
          <cell r="E30">
            <v>2.4899999999999999E-2</v>
          </cell>
          <cell r="F30">
            <v>48780</v>
          </cell>
        </row>
        <row r="31">
          <cell r="A31" t="str">
            <v>배관공</v>
          </cell>
          <cell r="B31">
            <v>51160</v>
          </cell>
          <cell r="C31">
            <v>44289</v>
          </cell>
          <cell r="D31">
            <v>53408</v>
          </cell>
          <cell r="E31">
            <v>4.3900000000000002E-2</v>
          </cell>
          <cell r="F31">
            <v>46233</v>
          </cell>
        </row>
        <row r="32">
          <cell r="A32" t="str">
            <v>배전전공</v>
          </cell>
          <cell r="B32">
            <v>152246</v>
          </cell>
          <cell r="C32">
            <v>66048</v>
          </cell>
          <cell r="D32">
            <v>176675</v>
          </cell>
          <cell r="E32">
            <v>0.16039999999999999</v>
          </cell>
          <cell r="F32">
            <v>76642</v>
          </cell>
        </row>
        <row r="33">
          <cell r="A33" t="str">
            <v>보통인부</v>
          </cell>
          <cell r="B33">
            <v>34005</v>
          </cell>
          <cell r="C33">
            <v>28750</v>
          </cell>
          <cell r="D33">
            <v>34947</v>
          </cell>
          <cell r="E33">
            <v>2.7699999999999999E-2</v>
          </cell>
          <cell r="F33">
            <v>29546</v>
          </cell>
        </row>
        <row r="34">
          <cell r="A34" t="str">
            <v>비계공</v>
          </cell>
          <cell r="B34">
            <v>74682</v>
          </cell>
          <cell r="C34">
            <v>56745</v>
          </cell>
          <cell r="D34">
            <v>78568</v>
          </cell>
          <cell r="E34">
            <v>5.1999999999999998E-2</v>
          </cell>
          <cell r="F34">
            <v>59695</v>
          </cell>
        </row>
        <row r="35">
          <cell r="A35" t="str">
            <v>샤시공</v>
          </cell>
          <cell r="B35">
            <v>57719</v>
          </cell>
          <cell r="C35">
            <v>46488</v>
          </cell>
          <cell r="D35">
            <v>63505</v>
          </cell>
          <cell r="E35">
            <v>0.1002</v>
          </cell>
          <cell r="F35">
            <v>51146</v>
          </cell>
        </row>
        <row r="36">
          <cell r="A36" t="str">
            <v>선반공</v>
          </cell>
          <cell r="B36">
            <v>70591</v>
          </cell>
          <cell r="C36">
            <v>56010</v>
          </cell>
          <cell r="D36">
            <v>70175</v>
          </cell>
          <cell r="E36">
            <v>-5.7999999999999996E-3</v>
          </cell>
          <cell r="F36">
            <v>55685</v>
          </cell>
        </row>
        <row r="37">
          <cell r="A37" t="str">
            <v>셔터공</v>
          </cell>
          <cell r="B37">
            <v>58987</v>
          </cell>
          <cell r="C37">
            <v>48193</v>
          </cell>
          <cell r="D37">
            <v>62226</v>
          </cell>
          <cell r="E37">
            <v>5.4899999999999997E-2</v>
          </cell>
          <cell r="F37">
            <v>50838</v>
          </cell>
        </row>
        <row r="38">
          <cell r="A38" t="str">
            <v>송전전공</v>
          </cell>
          <cell r="B38">
            <v>220908</v>
          </cell>
          <cell r="C38">
            <v>98717</v>
          </cell>
          <cell r="D38">
            <v>213858</v>
          </cell>
          <cell r="E38">
            <v>-3.1899999999999998E-2</v>
          </cell>
          <cell r="F38">
            <v>95567</v>
          </cell>
        </row>
        <row r="39">
          <cell r="A39" t="str">
            <v>슬레이트공</v>
          </cell>
          <cell r="B39">
            <v>73049</v>
          </cell>
          <cell r="C39">
            <v>51935</v>
          </cell>
          <cell r="D39">
            <v>75895</v>
          </cell>
          <cell r="E39">
            <v>3.8899999999999997E-2</v>
          </cell>
          <cell r="F39">
            <v>53955</v>
          </cell>
        </row>
        <row r="40">
          <cell r="A40" t="str">
            <v>시공측량사</v>
          </cell>
          <cell r="B40">
            <v>56005</v>
          </cell>
          <cell r="C40">
            <v>39183</v>
          </cell>
          <cell r="D40">
            <v>55504</v>
          </cell>
          <cell r="E40">
            <v>-8.8999999999999999E-3</v>
          </cell>
          <cell r="F40">
            <v>38834</v>
          </cell>
        </row>
        <row r="41">
          <cell r="A41" t="str">
            <v>아스타일공</v>
          </cell>
          <cell r="B41">
            <v>60592</v>
          </cell>
          <cell r="C41">
            <v>48099</v>
          </cell>
          <cell r="D41">
            <v>62199</v>
          </cell>
          <cell r="E41">
            <v>2.6499999999999999E-2</v>
          </cell>
          <cell r="F41">
            <v>49373</v>
          </cell>
        </row>
        <row r="42">
          <cell r="A42" t="str">
            <v>양생공</v>
          </cell>
          <cell r="B42">
            <v>41336</v>
          </cell>
          <cell r="C42">
            <v>32362</v>
          </cell>
          <cell r="D42">
            <v>44843</v>
          </cell>
          <cell r="E42">
            <v>8.48E-2</v>
          </cell>
          <cell r="F42">
            <v>35106</v>
          </cell>
        </row>
        <row r="43">
          <cell r="A43" t="str">
            <v>용접공(일반)</v>
          </cell>
          <cell r="B43">
            <v>60956</v>
          </cell>
          <cell r="C43">
            <v>52484</v>
          </cell>
          <cell r="D43">
            <v>65529</v>
          </cell>
          <cell r="E43">
            <v>7.4999999999999997E-2</v>
          </cell>
          <cell r="F43">
            <v>56420</v>
          </cell>
        </row>
        <row r="44">
          <cell r="A44" t="str">
            <v>운전사</v>
          </cell>
          <cell r="B44">
            <v>47888</v>
          </cell>
          <cell r="C44">
            <v>44639</v>
          </cell>
          <cell r="D44">
            <v>44779</v>
          </cell>
          <cell r="E44">
            <v>-6.4899999999999999E-2</v>
          </cell>
          <cell r="F44">
            <v>41741</v>
          </cell>
        </row>
        <row r="45">
          <cell r="A45" t="str">
            <v>유리공</v>
          </cell>
          <cell r="B45">
            <v>59324</v>
          </cell>
          <cell r="C45">
            <v>43662</v>
          </cell>
          <cell r="D45">
            <v>62176</v>
          </cell>
          <cell r="E45">
            <v>4.8000000000000001E-2</v>
          </cell>
          <cell r="F45">
            <v>45757</v>
          </cell>
        </row>
        <row r="46">
          <cell r="A46" t="str">
            <v>잠수부</v>
          </cell>
          <cell r="B46">
            <v>82746</v>
          </cell>
          <cell r="C46">
            <v>67079</v>
          </cell>
          <cell r="D46">
            <v>75164</v>
          </cell>
          <cell r="E46">
            <v>-9.1600000000000001E-2</v>
          </cell>
          <cell r="F46">
            <v>60934</v>
          </cell>
        </row>
        <row r="47">
          <cell r="A47" t="str">
            <v>저압케이블전공</v>
          </cell>
          <cell r="B47">
            <v>61271</v>
          </cell>
          <cell r="C47">
            <v>59227</v>
          </cell>
          <cell r="D47">
            <v>63007</v>
          </cell>
          <cell r="E47">
            <v>2.8299999999999999E-2</v>
          </cell>
          <cell r="F47">
            <v>60903</v>
          </cell>
        </row>
        <row r="48">
          <cell r="A48" t="str">
            <v>전기기사1급</v>
          </cell>
          <cell r="B48">
            <v>85975</v>
          </cell>
          <cell r="C48">
            <v>56067</v>
          </cell>
          <cell r="D48">
            <v>65241</v>
          </cell>
          <cell r="E48">
            <v>-0.24110000000000001</v>
          </cell>
          <cell r="F48">
            <v>42549</v>
          </cell>
        </row>
        <row r="49">
          <cell r="A49" t="str">
            <v>전기기사2급</v>
          </cell>
          <cell r="B49">
            <v>68243</v>
          </cell>
          <cell r="C49">
            <v>46083</v>
          </cell>
          <cell r="D49">
            <v>57636</v>
          </cell>
          <cell r="E49">
            <v>-0.15540000000000001</v>
          </cell>
          <cell r="F49">
            <v>38921</v>
          </cell>
        </row>
        <row r="50">
          <cell r="A50" t="str">
            <v>절단공</v>
          </cell>
          <cell r="B50">
            <v>65939</v>
          </cell>
          <cell r="C50">
            <v>47599</v>
          </cell>
          <cell r="D50">
            <v>64162</v>
          </cell>
          <cell r="E50">
            <v>-2.69E-2</v>
          </cell>
          <cell r="F50">
            <v>46318</v>
          </cell>
        </row>
        <row r="51">
          <cell r="A51" t="str">
            <v>정비공</v>
          </cell>
          <cell r="B51">
            <v>48947</v>
          </cell>
          <cell r="C51">
            <v>40883</v>
          </cell>
          <cell r="D51">
            <v>49414</v>
          </cell>
          <cell r="E51">
            <v>9.4999999999999998E-3</v>
          </cell>
          <cell r="F51">
            <v>41271</v>
          </cell>
        </row>
        <row r="52">
          <cell r="A52" t="str">
            <v>중급기술자</v>
          </cell>
          <cell r="B52">
            <v>76463</v>
          </cell>
          <cell r="C52">
            <v>76453</v>
          </cell>
          <cell r="D52">
            <v>90147</v>
          </cell>
          <cell r="E52">
            <v>0.1789</v>
          </cell>
          <cell r="F52">
            <v>90130</v>
          </cell>
        </row>
        <row r="53">
          <cell r="A53" t="str">
            <v>지적기사1급</v>
          </cell>
          <cell r="B53">
            <v>85975</v>
          </cell>
          <cell r="C53">
            <v>56067</v>
          </cell>
          <cell r="D53">
            <v>88314</v>
          </cell>
          <cell r="E53">
            <v>2.7199999999999998E-2</v>
          </cell>
          <cell r="F53">
            <v>57592</v>
          </cell>
        </row>
        <row r="54">
          <cell r="A54" t="str">
            <v>지적기사2급</v>
          </cell>
          <cell r="B54">
            <v>68243</v>
          </cell>
          <cell r="C54">
            <v>46083</v>
          </cell>
          <cell r="D54">
            <v>69598</v>
          </cell>
          <cell r="E54">
            <v>1.9800000000000002E-2</v>
          </cell>
          <cell r="F54">
            <v>46995</v>
          </cell>
        </row>
        <row r="55">
          <cell r="A55" t="str">
            <v>창호목공</v>
          </cell>
          <cell r="B55">
            <v>64868</v>
          </cell>
          <cell r="C55">
            <v>51073</v>
          </cell>
          <cell r="D55">
            <v>64829</v>
          </cell>
          <cell r="E55">
            <v>-5.9999999999999995E-4</v>
          </cell>
          <cell r="F55">
            <v>51042</v>
          </cell>
        </row>
        <row r="56">
          <cell r="A56" t="str">
            <v>철골공</v>
          </cell>
          <cell r="B56">
            <v>65054</v>
          </cell>
          <cell r="C56">
            <v>51817</v>
          </cell>
          <cell r="D56">
            <v>66046</v>
          </cell>
          <cell r="E56">
            <v>1.52E-2</v>
          </cell>
          <cell r="F56">
            <v>52604</v>
          </cell>
        </row>
        <row r="57">
          <cell r="A57" t="str">
            <v>철공</v>
          </cell>
          <cell r="B57">
            <v>66194</v>
          </cell>
          <cell r="C57">
            <v>45243</v>
          </cell>
          <cell r="D57">
            <v>67900</v>
          </cell>
          <cell r="E57">
            <v>2.5700000000000001E-2</v>
          </cell>
          <cell r="F57">
            <v>46405</v>
          </cell>
        </row>
        <row r="58">
          <cell r="A58" t="str">
            <v>철근공</v>
          </cell>
          <cell r="B58">
            <v>69452</v>
          </cell>
          <cell r="C58">
            <v>52414</v>
          </cell>
          <cell r="D58">
            <v>70979</v>
          </cell>
          <cell r="E58">
            <v>2.1899999999999999E-2</v>
          </cell>
          <cell r="F58">
            <v>53561</v>
          </cell>
        </row>
        <row r="59">
          <cell r="A59" t="str">
            <v>철판공</v>
          </cell>
          <cell r="B59">
            <v>66869</v>
          </cell>
          <cell r="C59">
            <v>45102</v>
          </cell>
          <cell r="D59">
            <v>69932</v>
          </cell>
          <cell r="E59">
            <v>4.58E-2</v>
          </cell>
          <cell r="F59">
            <v>47167</v>
          </cell>
        </row>
        <row r="60">
          <cell r="A60" t="str">
            <v>초급기술자</v>
          </cell>
          <cell r="B60">
            <v>55983</v>
          </cell>
          <cell r="C60">
            <v>59401</v>
          </cell>
          <cell r="D60">
            <v>63872</v>
          </cell>
          <cell r="E60">
            <v>0.1409</v>
          </cell>
          <cell r="F60">
            <v>67770</v>
          </cell>
        </row>
        <row r="61">
          <cell r="A61" t="str">
            <v>측부</v>
          </cell>
          <cell r="B61">
            <v>32570</v>
          </cell>
          <cell r="C61">
            <v>29434</v>
          </cell>
          <cell r="D61">
            <v>33929</v>
          </cell>
          <cell r="E61">
            <v>4.1700000000000001E-2</v>
          </cell>
          <cell r="F61">
            <v>30661</v>
          </cell>
        </row>
        <row r="62">
          <cell r="A62" t="str">
            <v>측지기사1급</v>
          </cell>
          <cell r="B62">
            <v>57007</v>
          </cell>
          <cell r="C62">
            <v>58764</v>
          </cell>
          <cell r="D62">
            <v>57007</v>
          </cell>
          <cell r="E62">
            <v>0</v>
          </cell>
          <cell r="F62">
            <v>58764</v>
          </cell>
        </row>
        <row r="63">
          <cell r="A63" t="str">
            <v>측지기사2급</v>
          </cell>
          <cell r="B63">
            <v>47524</v>
          </cell>
          <cell r="C63">
            <v>46887</v>
          </cell>
          <cell r="D63">
            <v>47524</v>
          </cell>
          <cell r="E63">
            <v>0</v>
          </cell>
          <cell r="F63">
            <v>46887</v>
          </cell>
        </row>
        <row r="64">
          <cell r="A64" t="str">
            <v>콘크리트공</v>
          </cell>
          <cell r="B64">
            <v>61538</v>
          </cell>
          <cell r="C64">
            <v>47061</v>
          </cell>
          <cell r="D64">
            <v>64591</v>
          </cell>
          <cell r="E64">
            <v>4.9599999999999998E-2</v>
          </cell>
          <cell r="F64">
            <v>49395</v>
          </cell>
        </row>
        <row r="65">
          <cell r="A65" t="str">
            <v>타일공</v>
          </cell>
          <cell r="B65">
            <v>66101</v>
          </cell>
          <cell r="C65">
            <v>53541</v>
          </cell>
          <cell r="D65">
            <v>65646</v>
          </cell>
          <cell r="E65">
            <v>-6.7999999999999996E-3</v>
          </cell>
          <cell r="F65">
            <v>53176</v>
          </cell>
        </row>
        <row r="66">
          <cell r="A66" t="str">
            <v>통신기사1급</v>
          </cell>
          <cell r="B66">
            <v>92125</v>
          </cell>
          <cell r="C66">
            <v>67550</v>
          </cell>
          <cell r="D66">
            <v>89527</v>
          </cell>
          <cell r="E66">
            <v>-2.8199999999999999E-2</v>
          </cell>
          <cell r="F66">
            <v>65645</v>
          </cell>
        </row>
        <row r="67">
          <cell r="A67" t="str">
            <v>통신기사2급</v>
          </cell>
          <cell r="B67">
            <v>79144</v>
          </cell>
          <cell r="C67">
            <v>52445</v>
          </cell>
          <cell r="D67">
            <v>78395</v>
          </cell>
          <cell r="E67">
            <v>-9.4000000000000004E-3</v>
          </cell>
          <cell r="F67">
            <v>51952</v>
          </cell>
        </row>
        <row r="68">
          <cell r="A68" t="str">
            <v>통신내선공</v>
          </cell>
          <cell r="B68">
            <v>63196</v>
          </cell>
          <cell r="C68">
            <v>44035</v>
          </cell>
          <cell r="D68">
            <v>70804</v>
          </cell>
          <cell r="E68">
            <v>0.1203</v>
          </cell>
          <cell r="F68">
            <v>49332</v>
          </cell>
        </row>
        <row r="69">
          <cell r="A69" t="str">
            <v>통신설비공</v>
          </cell>
          <cell r="B69">
            <v>66382</v>
          </cell>
          <cell r="C69">
            <v>43420</v>
          </cell>
          <cell r="D69">
            <v>73709</v>
          </cell>
          <cell r="E69">
            <v>0.1103</v>
          </cell>
          <cell r="F69">
            <v>48209</v>
          </cell>
        </row>
        <row r="70">
          <cell r="A70" t="str">
            <v>통신외선공</v>
          </cell>
          <cell r="B70">
            <v>76579</v>
          </cell>
          <cell r="C70">
            <v>53530</v>
          </cell>
          <cell r="D70">
            <v>84302</v>
          </cell>
          <cell r="E70">
            <v>0.1008</v>
          </cell>
          <cell r="F70">
            <v>58925</v>
          </cell>
        </row>
        <row r="71">
          <cell r="A71" t="str">
            <v>통신케이블공</v>
          </cell>
          <cell r="B71">
            <v>78241</v>
          </cell>
          <cell r="C71">
            <v>59311</v>
          </cell>
          <cell r="D71">
            <v>87823</v>
          </cell>
          <cell r="E71">
            <v>0.12239999999999999</v>
          </cell>
          <cell r="F71">
            <v>66570</v>
          </cell>
        </row>
        <row r="72">
          <cell r="A72" t="str">
            <v>특별인부</v>
          </cell>
          <cell r="B72">
            <v>53828</v>
          </cell>
          <cell r="C72">
            <v>43825</v>
          </cell>
          <cell r="D72">
            <v>55074</v>
          </cell>
          <cell r="E72">
            <v>2.3099999999999999E-2</v>
          </cell>
          <cell r="F72">
            <v>44837</v>
          </cell>
        </row>
        <row r="73">
          <cell r="A73" t="str">
            <v>특수비계공</v>
          </cell>
          <cell r="B73">
            <v>86144</v>
          </cell>
          <cell r="C73">
            <v>65384</v>
          </cell>
          <cell r="D73">
            <v>91943</v>
          </cell>
          <cell r="E73">
            <v>6.7299999999999999E-2</v>
          </cell>
          <cell r="F73">
            <v>69784</v>
          </cell>
        </row>
        <row r="74">
          <cell r="A74" t="str">
            <v>포설공</v>
          </cell>
          <cell r="B74">
            <v>69371</v>
          </cell>
          <cell r="C74">
            <v>45444</v>
          </cell>
          <cell r="D74">
            <v>66328</v>
          </cell>
          <cell r="E74">
            <v>-4.3799999999999999E-2</v>
          </cell>
          <cell r="F74">
            <v>43453</v>
          </cell>
        </row>
        <row r="75">
          <cell r="A75" t="str">
            <v>포장공</v>
          </cell>
          <cell r="B75">
            <v>70037</v>
          </cell>
          <cell r="C75">
            <v>56938</v>
          </cell>
          <cell r="D75">
            <v>68240</v>
          </cell>
          <cell r="E75">
            <v>-2.5600000000000001E-2</v>
          </cell>
          <cell r="F75">
            <v>55480</v>
          </cell>
        </row>
        <row r="76">
          <cell r="A76" t="str">
            <v>플랜트전공</v>
          </cell>
          <cell r="B76">
            <v>60807</v>
          </cell>
          <cell r="C76">
            <v>54624</v>
          </cell>
          <cell r="D76">
            <v>62877</v>
          </cell>
          <cell r="E76">
            <v>3.4000000000000002E-2</v>
          </cell>
          <cell r="F76">
            <v>56481</v>
          </cell>
        </row>
        <row r="77">
          <cell r="A77" t="str">
            <v>할석공</v>
          </cell>
          <cell r="B77">
            <v>68864</v>
          </cell>
          <cell r="C77">
            <v>56797</v>
          </cell>
          <cell r="D77">
            <v>65748</v>
          </cell>
          <cell r="E77">
            <v>-4.5199999999999997E-2</v>
          </cell>
          <cell r="F77">
            <v>54229</v>
          </cell>
        </row>
        <row r="78">
          <cell r="A78" t="str">
            <v>함석공</v>
          </cell>
          <cell r="B78">
            <v>54346</v>
          </cell>
          <cell r="C78">
            <v>44137</v>
          </cell>
          <cell r="D78">
            <v>66277</v>
          </cell>
          <cell r="E78">
            <v>0.2195</v>
          </cell>
          <cell r="F78">
            <v>53825</v>
          </cell>
        </row>
        <row r="79">
          <cell r="A79" t="str">
            <v>형틀목공</v>
          </cell>
          <cell r="B79">
            <v>65580</v>
          </cell>
          <cell r="C79">
            <v>51523</v>
          </cell>
          <cell r="D79">
            <v>70616</v>
          </cell>
          <cell r="E79">
            <v>7.6700000000000004E-2</v>
          </cell>
          <cell r="F79">
            <v>55474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하니랜드"/>
      <sheetName val="종합분"/>
      <sheetName val="광피스표"/>
      <sheetName val="성단물량"/>
      <sheetName val="바인딩물량"/>
      <sheetName val="노무산출"/>
      <sheetName val="정산내역서"/>
      <sheetName val="정산설계"/>
      <sheetName val="설계명세서"/>
      <sheetName val="기초자료입력"/>
      <sheetName val="예산내역서"/>
      <sheetName val="rate"/>
      <sheetName val="물가변동3"/>
      <sheetName val="선로분"/>
      <sheetName val="설계명세,97품셈"/>
      <sheetName val="추가 품셈표"/>
      <sheetName val="4차설계"/>
      <sheetName val="소요자재"/>
      <sheetName val="노무산출서"/>
      <sheetName val="고내분기~한림"/>
      <sheetName val="광령~경마장"/>
      <sheetName val="세기~광령"/>
      <sheetName val="PART_DISCOUNT"/>
      <sheetName val="자재내역"/>
      <sheetName val="9.설치품셈"/>
      <sheetName val="자재단가"/>
      <sheetName val="Upgrades pricing"/>
      <sheetName val="#REF"/>
      <sheetName val="일위(PN)"/>
      <sheetName val="참고"/>
      <sheetName val="소운반"/>
      <sheetName val="고덕"/>
      <sheetName val="결성"/>
      <sheetName val="석문"/>
      <sheetName val="인지"/>
      <sheetName val="신흑2"/>
      <sheetName val="도안"/>
      <sheetName val="괴산"/>
      <sheetName val="단월"/>
      <sheetName val="산척"/>
      <sheetName val="투자효율분석"/>
      <sheetName val="의정부CK-A0차기별명세서"/>
      <sheetName val="노무비명세서"/>
      <sheetName val="종합기별"/>
      <sheetName val="소요자재명세서"/>
      <sheetName val="품셈"/>
      <sheetName val="노임단가표"/>
      <sheetName val="간이설계(4-15)"/>
      <sheetName val="LIST"/>
      <sheetName val="2.장애관리현황"/>
      <sheetName val="부총"/>
      <sheetName val="기별(종합)"/>
      <sheetName val="중기터파기"/>
      <sheetName val="변수값"/>
      <sheetName val="중기상차"/>
      <sheetName val="내역서"/>
      <sheetName val="손익분석"/>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TRAY"/>
      <sheetName val="data"/>
    </sheetNames>
    <sheetDataSet>
      <sheetData sheetId="0" refreshError="1"/>
      <sheetData sheetId="1">
        <row r="5">
          <cell r="D5" t="str">
            <v>W:75 * H:50</v>
          </cell>
        </row>
        <row r="6">
          <cell r="D6" t="str">
            <v>W:100 * H:100</v>
          </cell>
        </row>
        <row r="7">
          <cell r="D7" t="str">
            <v>W:150 * H:100</v>
          </cell>
        </row>
        <row r="8">
          <cell r="D8" t="str">
            <v>W:200 * H:100</v>
          </cell>
        </row>
        <row r="9">
          <cell r="D9" t="str">
            <v>W:250 * H:100</v>
          </cell>
        </row>
        <row r="10">
          <cell r="D10" t="str">
            <v>W:300 * H:100</v>
          </cell>
        </row>
        <row r="11">
          <cell r="D11" t="str">
            <v>W:400 * H:100</v>
          </cell>
        </row>
        <row r="12">
          <cell r="D12" t="str">
            <v>W:450 * H:100</v>
          </cell>
        </row>
        <row r="13">
          <cell r="D13" t="str">
            <v>W:500 * H:100</v>
          </cell>
        </row>
        <row r="14">
          <cell r="D14" t="str">
            <v>W:600 * H:100</v>
          </cell>
        </row>
        <row r="15">
          <cell r="D15" t="str">
            <v>W:700 * H:100</v>
          </cell>
        </row>
        <row r="16">
          <cell r="D16" t="str">
            <v>W:750 * H:100</v>
          </cell>
        </row>
        <row r="17">
          <cell r="D17" t="str">
            <v>W:900 * H:100</v>
          </cell>
        </row>
        <row r="18">
          <cell r="D18" t="str">
            <v>W:1000 * H:100</v>
          </cell>
        </row>
        <row r="19">
          <cell r="D19" t="str">
            <v>W:750 * H:100*2단</v>
          </cell>
        </row>
        <row r="20">
          <cell r="D20" t="str">
            <v>W:750 * H:100*3단</v>
          </cell>
        </row>
        <row r="21">
          <cell r="D21" t="str">
            <v>W:750 * H:100*4단</v>
          </cell>
        </row>
        <row r="22">
          <cell r="D22" t="str">
            <v>W:900 * H:100*2단</v>
          </cell>
        </row>
        <row r="23">
          <cell r="D23" t="str">
            <v>W:900 * H:100*3단</v>
          </cell>
        </row>
        <row r="24">
          <cell r="D24" t="str">
            <v>W:900 * H:100*4단</v>
          </cell>
        </row>
        <row r="25">
          <cell r="D25" t="str">
            <v>W:75 * D:50</v>
          </cell>
        </row>
        <row r="26">
          <cell r="D26" t="str">
            <v>W:100 * D:100</v>
          </cell>
        </row>
        <row r="27">
          <cell r="D27" t="str">
            <v>W:150 * D:100</v>
          </cell>
        </row>
        <row r="28">
          <cell r="D28" t="str">
            <v>W:200 * D:100</v>
          </cell>
        </row>
        <row r="29">
          <cell r="D29" t="str">
            <v>W:250 * D:100</v>
          </cell>
        </row>
        <row r="30">
          <cell r="D30" t="str">
            <v>W:300 * D:100</v>
          </cell>
        </row>
        <row r="31">
          <cell r="D31" t="str">
            <v>W:400 * D:100</v>
          </cell>
        </row>
        <row r="32">
          <cell r="D32" t="str">
            <v>W:450 * D:100</v>
          </cell>
        </row>
        <row r="33">
          <cell r="D33" t="str">
            <v>W:500 * D:100</v>
          </cell>
        </row>
        <row r="34">
          <cell r="D34" t="str">
            <v>W:600 * D:100</v>
          </cell>
        </row>
        <row r="35">
          <cell r="D35" t="str">
            <v>W:700 * D:100</v>
          </cell>
        </row>
        <row r="36">
          <cell r="D36" t="str">
            <v>W:750 * D:100</v>
          </cell>
        </row>
        <row r="37">
          <cell r="D37" t="str">
            <v>W:900 * D:100</v>
          </cell>
        </row>
        <row r="38">
          <cell r="D38" t="str">
            <v>W:1000 * D:100</v>
          </cell>
        </row>
      </sheetData>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수시트"/>
      <sheetName val="수목집계"/>
      <sheetName val="녹지잔디면적"/>
      <sheetName val="산출내역서"/>
      <sheetName val="원가계산서"/>
    </sheetNames>
    <sheetDataSet>
      <sheetData sheetId="0">
        <row r="1">
          <cell r="B1">
            <v>0.22600000000000001</v>
          </cell>
        </row>
        <row r="2">
          <cell r="B2">
            <v>0.127</v>
          </cell>
        </row>
        <row r="4">
          <cell r="B4">
            <v>5.6000000000000001E-2</v>
          </cell>
        </row>
        <row r="5">
          <cell r="B5">
            <v>3.5999999999999997E-2</v>
          </cell>
        </row>
        <row r="6">
          <cell r="B6">
            <v>2.7E-2</v>
          </cell>
        </row>
        <row r="7">
          <cell r="B7">
            <v>0.02</v>
          </cell>
        </row>
        <row r="8">
          <cell r="B8">
            <v>1.4E-2</v>
          </cell>
        </row>
        <row r="9">
          <cell r="B9">
            <v>6.0000000000000001E-3</v>
          </cell>
        </row>
        <row r="10">
          <cell r="B10">
            <v>1.0999999999999999E-2</v>
          </cell>
        </row>
        <row r="11">
          <cell r="B11">
            <v>1.7000000000000001E-2</v>
          </cell>
        </row>
        <row r="12">
          <cell r="B12">
            <v>2.5000000000000001E-2</v>
          </cell>
        </row>
        <row r="13">
          <cell r="B13">
            <v>0.04</v>
          </cell>
        </row>
        <row r="14">
          <cell r="B14">
            <v>0.06</v>
          </cell>
        </row>
        <row r="15">
          <cell r="B15">
            <v>0.1</v>
          </cell>
        </row>
        <row r="16">
          <cell r="B16">
            <v>1.24</v>
          </cell>
        </row>
        <row r="17">
          <cell r="B17">
            <v>0.69</v>
          </cell>
        </row>
        <row r="19">
          <cell r="B19">
            <v>0.3</v>
          </cell>
        </row>
        <row r="20">
          <cell r="B20">
            <v>0.19</v>
          </cell>
        </row>
        <row r="21">
          <cell r="B21">
            <v>0.14000000000000001</v>
          </cell>
        </row>
        <row r="22">
          <cell r="B22">
            <v>0.11</v>
          </cell>
        </row>
        <row r="23">
          <cell r="B23">
            <v>7.0000000000000007E-2</v>
          </cell>
        </row>
        <row r="24">
          <cell r="B24">
            <v>0.06</v>
          </cell>
        </row>
        <row r="25">
          <cell r="B25">
            <v>0.11</v>
          </cell>
        </row>
        <row r="26">
          <cell r="B26">
            <v>0.16</v>
          </cell>
        </row>
        <row r="27">
          <cell r="B27">
            <v>0.25</v>
          </cell>
        </row>
        <row r="28">
          <cell r="B28">
            <v>0.4</v>
          </cell>
        </row>
        <row r="29">
          <cell r="B29">
            <v>0.66</v>
          </cell>
        </row>
        <row r="30">
          <cell r="B30">
            <v>1</v>
          </cell>
        </row>
      </sheetData>
      <sheetData sheetId="1" refreshError="1"/>
      <sheetData sheetId="2"/>
      <sheetData sheetId="3" refreshError="1"/>
      <sheetData sheetId="4"/>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목차"/>
      <sheetName val="1.공사계획서"/>
      <sheetName val="2.설명서(통합보안)"/>
      <sheetName val="2-1.계통도"/>
      <sheetName val="3.총괄표"/>
      <sheetName val="4.자금계획서"/>
      <sheetName val="5.예정공정표"/>
      <sheetName val="6.공사비예산서(통합보안)"/>
      <sheetName val="집계표"/>
      <sheetName val="7.설계명세서(통합보안)"/>
      <sheetName val="8.공사비산출자료"/>
      <sheetName val="8-1.물량집계표"/>
      <sheetName val="노드별 감지기 수용현황"/>
      <sheetName val="8-2.자재산출표"/>
      <sheetName val="8-3.노무임적용물량"/>
      <sheetName val="8-4.동시포설품산출물량"/>
      <sheetName val="8-5.자재단가비교표"/>
      <sheetName val="견적서"/>
      <sheetName val="8-6.일위대가표"/>
      <sheetName val="8-7.노임단가"/>
      <sheetName val="8-8.적용근거"/>
      <sheetName val="9.시방서표지"/>
      <sheetName val="10.시설도면"/>
      <sheetName val="층별 시설수량"/>
      <sheetName val="RT 수용내역"/>
      <sheetName val="시설 배치도"/>
      <sheetName val="수량집계"/>
      <sheetName val="목록별산출서"/>
      <sheetName val="화재입력선번"/>
    </sheetNames>
    <sheetDataSet>
      <sheetData sheetId="0"/>
      <sheetData sheetId="1" refreshError="1"/>
      <sheetData sheetId="2">
        <row r="3">
          <cell r="B3" t="str">
            <v xml:space="preserve"> 345kV 시흥장현CT 무인보안시스템</v>
          </cell>
        </row>
      </sheetData>
      <sheetData sheetId="3" refreshError="1"/>
      <sheetData sheetId="4" refreshError="1"/>
      <sheetData sheetId="5" refreshError="1"/>
      <sheetData sheetId="6" refreshError="1"/>
      <sheetData sheetId="7" refreshError="1"/>
      <sheetData sheetId="8" refreshError="1"/>
      <sheetData sheetId="9" refreshError="1"/>
      <sheetData sheetId="10">
        <row r="5">
          <cell r="G5">
            <v>183035328</v>
          </cell>
        </row>
        <row r="6">
          <cell r="G6">
            <v>161110000</v>
          </cell>
        </row>
        <row r="57">
          <cell r="G57">
            <v>21925328</v>
          </cell>
        </row>
        <row r="123">
          <cell r="G123">
            <v>73053910</v>
          </cell>
        </row>
        <row r="124">
          <cell r="G124">
            <v>64936809</v>
          </cell>
        </row>
        <row r="215">
          <cell r="G215">
            <v>8117101</v>
          </cell>
        </row>
        <row r="218">
          <cell r="G218">
            <v>23166976</v>
          </cell>
        </row>
        <row r="219">
          <cell r="G219">
            <v>2951244</v>
          </cell>
        </row>
        <row r="222">
          <cell r="G222">
            <v>20215732</v>
          </cell>
        </row>
        <row r="223">
          <cell r="G223">
            <v>1948104</v>
          </cell>
        </row>
        <row r="224">
          <cell r="G224">
            <v>2749018</v>
          </cell>
        </row>
        <row r="225">
          <cell r="G225">
            <v>737844</v>
          </cell>
        </row>
        <row r="226">
          <cell r="G226">
            <v>2269541</v>
          </cell>
        </row>
        <row r="227">
          <cell r="G227">
            <v>2922156</v>
          </cell>
        </row>
        <row r="228">
          <cell r="G228">
            <v>278472</v>
          </cell>
        </row>
        <row r="229">
          <cell r="G229">
            <v>1493546</v>
          </cell>
        </row>
        <row r="230">
          <cell r="G230">
            <v>1928339</v>
          </cell>
        </row>
        <row r="233">
          <cell r="G233">
            <v>5888712</v>
          </cell>
        </row>
        <row r="235">
          <cell r="G235">
            <v>6335723</v>
          </cell>
        </row>
        <row r="238">
          <cell r="G238">
            <v>14940804</v>
          </cell>
        </row>
        <row r="242">
          <cell r="G242">
            <v>300532741</v>
          </cell>
        </row>
        <row r="257">
          <cell r="G257">
            <v>330586015</v>
          </cell>
        </row>
        <row r="258">
          <cell r="G258">
            <v>164061244</v>
          </cell>
        </row>
        <row r="259">
          <cell r="G259">
            <v>136471497</v>
          </cell>
        </row>
        <row r="260">
          <cell r="G260">
            <v>13647150</v>
          </cell>
        </row>
      </sheetData>
      <sheetData sheetId="11" refreshError="1"/>
      <sheetData sheetId="12"/>
      <sheetData sheetId="13" refreshError="1"/>
      <sheetData sheetId="14"/>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목차"/>
      <sheetName val="2.설명서"/>
      <sheetName val="1.공사계획서"/>
      <sheetName val="2-1.계통도"/>
      <sheetName val="2-2. 광코아 계통도"/>
      <sheetName val="2-3. OPGW 시설방안"/>
      <sheetName val="3.공사비총괄표"/>
      <sheetName val="4.자금계획서"/>
      <sheetName val="5.예정공정표"/>
      <sheetName val="6.공사비예산서"/>
      <sheetName val="7.설계명세서"/>
      <sheetName val="8.공사비산출자료"/>
      <sheetName val="8-1.설비자재산출"/>
      <sheetName val="8-2.조장명세서"/>
      <sheetName val="8-3.시설기별(광케이블)"/>
      <sheetName val="8-4.시설기별(OPGW)"/>
      <sheetName val="8-4.시설기별(OPGW 이설)"/>
      <sheetName val="8-5.노무산출"/>
      <sheetName val="8-6.일위대가표"/>
      <sheetName val="8-7.2018상노임"/>
      <sheetName val="8-8.자재단가비교표"/>
      <sheetName val="견적서"/>
      <sheetName val="8-9.적용근거"/>
      <sheetName val="9.시방서표지"/>
      <sheetName val="10.설계도면"/>
      <sheetName val="10-1. 경과지도(지중)"/>
      <sheetName val="10-2경과지도(OPGW)"/>
      <sheetName val="10-3.광케이블시설위치도"/>
      <sheetName val="부표1. 가설비산출서"/>
      <sheetName val="10-4.터파기"/>
      <sheetName val="장비부표(2018상)"/>
      <sheetName val="12.내촌포천TL"/>
    </sheetNames>
    <sheetDataSet>
      <sheetData sheetId="0" refreshError="1"/>
      <sheetData sheetId="1" refreshError="1"/>
      <sheetData sheetId="2" refreshError="1"/>
      <sheetData sheetId="3" refreshError="1">
        <row r="4">
          <cell r="B4" t="str">
            <v xml:space="preserve">  154kV 용정분기T/L OPGW 시설공사</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row r="6">
          <cell r="G6">
            <v>12056445</v>
          </cell>
        </row>
        <row r="70">
          <cell r="G70">
            <v>117018692</v>
          </cell>
        </row>
        <row r="135">
          <cell r="G135">
            <v>24633376</v>
          </cell>
        </row>
        <row r="155">
          <cell r="G155">
            <v>22870043</v>
          </cell>
        </row>
        <row r="160">
          <cell r="G160">
            <v>226094445</v>
          </cell>
        </row>
        <row r="175">
          <cell r="G175">
            <v>247498245</v>
          </cell>
        </row>
        <row r="177">
          <cell r="G177">
            <v>214038000</v>
          </cell>
        </row>
        <row r="178">
          <cell r="G178">
            <v>21403800</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공설"/>
      <sheetName val="예공"/>
      <sheetName val="공계"/>
      <sheetName val="공총"/>
      <sheetName val="원가계산서"/>
      <sheetName val="예산내역서"/>
      <sheetName val="단가표"/>
      <sheetName val="일위대가"/>
      <sheetName val="기별총괄표"/>
      <sheetName val="요율"/>
      <sheetName val="가설사무소비"/>
      <sheetName val="작업설"/>
      <sheetName val="VXXXXXX"/>
      <sheetName val="선로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7"/>
      <sheetName val="000000"/>
      <sheetName val="표지"/>
      <sheetName val="목차"/>
      <sheetName val="계획서"/>
      <sheetName val="설명서"/>
      <sheetName val="계통도"/>
      <sheetName val="기기배치"/>
      <sheetName val="공사비총괄표"/>
      <sheetName val="자금계획서"/>
      <sheetName val="공정표"/>
      <sheetName val="공사비예산서"/>
      <sheetName val="사용자재"/>
      <sheetName val="준공정산"/>
      <sheetName val="품셈표"/>
      <sheetName val="지세별"/>
      <sheetName val="기별명세"/>
      <sheetName val="공급물량명세"/>
      <sheetName val="변경내역"/>
      <sheetName val="설계명세1"/>
      <sheetName val="선로분"/>
      <sheetName val="노임"/>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sheetData sheetId="16"/>
      <sheetData sheetId="17"/>
      <sheetData sheetId="18" refreshError="1"/>
      <sheetData sheetId="19"/>
      <sheetData sheetId="20" refreshError="1"/>
      <sheetData sheetId="21"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
      <sheetName val="단가결정"/>
      <sheetName val="단가조사"/>
      <sheetName val="단가조사서작성"/>
      <sheetName val="수목일위"/>
      <sheetName val="수목집계"/>
      <sheetName val="내역장군"/>
      <sheetName val="수량장군"/>
      <sheetName val="내역대령"/>
      <sheetName val="수량대령"/>
      <sheetName val="내역공원"/>
      <sheetName val="수량공원"/>
      <sheetName val="내역아"/>
      <sheetName val="수량아"/>
      <sheetName val="울타리"/>
      <sheetName val="시설물일위"/>
      <sheetName val="운반비"/>
      <sheetName val="단가1"/>
      <sheetName val="공사비조정"/>
      <sheetName val="공사비"/>
      <sheetName val="수목운반"/>
      <sheetName val="가설공사"/>
    </sheetNames>
    <sheetDataSet>
      <sheetData sheetId="0" refreshError="1"/>
      <sheetData sheetId="1">
        <row r="393">
          <cell r="B393">
            <v>120</v>
          </cell>
        </row>
        <row r="394">
          <cell r="B394">
            <v>94</v>
          </cell>
        </row>
        <row r="395">
          <cell r="B395">
            <v>70</v>
          </cell>
        </row>
        <row r="396">
          <cell r="B396">
            <v>49</v>
          </cell>
        </row>
        <row r="398">
          <cell r="B398">
            <v>32</v>
          </cell>
        </row>
        <row r="405">
          <cell r="B405">
            <v>513</v>
          </cell>
        </row>
        <row r="406">
          <cell r="B406">
            <v>345</v>
          </cell>
        </row>
        <row r="407">
          <cell r="B407">
            <v>256</v>
          </cell>
        </row>
        <row r="408">
          <cell r="B408">
            <v>183</v>
          </cell>
        </row>
        <row r="410">
          <cell r="B410">
            <v>125</v>
          </cell>
        </row>
        <row r="411">
          <cell r="B411">
            <v>101</v>
          </cell>
        </row>
        <row r="412">
          <cell r="B412">
            <v>80</v>
          </cell>
        </row>
        <row r="417">
          <cell r="B417">
            <v>2149</v>
          </cell>
        </row>
        <row r="419">
          <cell r="B419">
            <v>727</v>
          </cell>
        </row>
        <row r="420">
          <cell r="B420">
            <v>513</v>
          </cell>
        </row>
        <row r="421">
          <cell r="B421">
            <v>345</v>
          </cell>
        </row>
        <row r="423">
          <cell r="B423">
            <v>217</v>
          </cell>
        </row>
        <row r="429">
          <cell r="B429">
            <v>30</v>
          </cell>
        </row>
        <row r="431">
          <cell r="B431">
            <v>15</v>
          </cell>
        </row>
        <row r="433">
          <cell r="B433">
            <v>15</v>
          </cell>
        </row>
        <row r="434">
          <cell r="B434">
            <v>12</v>
          </cell>
        </row>
        <row r="436">
          <cell r="B436">
            <v>5</v>
          </cell>
        </row>
        <row r="437">
          <cell r="B437">
            <v>5</v>
          </cell>
        </row>
        <row r="438">
          <cell r="B438">
            <v>5</v>
          </cell>
        </row>
        <row r="441">
          <cell r="B441">
            <v>100</v>
          </cell>
        </row>
        <row r="445">
          <cell r="B445">
            <v>2</v>
          </cell>
        </row>
        <row r="446">
          <cell r="B446">
            <v>2</v>
          </cell>
        </row>
        <row r="447">
          <cell r="B447">
            <v>1</v>
          </cell>
        </row>
        <row r="448">
          <cell r="B448">
            <v>1</v>
          </cell>
        </row>
        <row r="450">
          <cell r="B450">
            <v>1</v>
          </cell>
        </row>
        <row r="457">
          <cell r="B457">
            <v>16</v>
          </cell>
        </row>
        <row r="458">
          <cell r="B458">
            <v>16</v>
          </cell>
        </row>
        <row r="459">
          <cell r="B459">
            <v>5</v>
          </cell>
        </row>
        <row r="460">
          <cell r="B460">
            <v>5</v>
          </cell>
        </row>
        <row r="462">
          <cell r="B462">
            <v>5</v>
          </cell>
        </row>
        <row r="463">
          <cell r="B463">
            <v>5</v>
          </cell>
        </row>
        <row r="464">
          <cell r="B464">
            <v>5</v>
          </cell>
        </row>
        <row r="469">
          <cell r="B469">
            <v>56</v>
          </cell>
        </row>
        <row r="471">
          <cell r="B471">
            <v>33</v>
          </cell>
        </row>
        <row r="472">
          <cell r="B472">
            <v>16</v>
          </cell>
        </row>
        <row r="473">
          <cell r="B473">
            <v>16</v>
          </cell>
        </row>
        <row r="475">
          <cell r="B475">
            <v>5</v>
          </cell>
        </row>
        <row r="481">
          <cell r="B481">
            <v>3</v>
          </cell>
        </row>
        <row r="483">
          <cell r="B483">
            <v>2</v>
          </cell>
        </row>
        <row r="485">
          <cell r="B485">
            <v>2</v>
          </cell>
        </row>
        <row r="486">
          <cell r="B486">
            <v>1</v>
          </cell>
        </row>
        <row r="488">
          <cell r="B488">
            <v>0.5</v>
          </cell>
        </row>
        <row r="489">
          <cell r="B489">
            <v>0.5</v>
          </cell>
        </row>
        <row r="490">
          <cell r="B490">
            <v>0.5</v>
          </cell>
        </row>
        <row r="493">
          <cell r="B493">
            <v>2</v>
          </cell>
        </row>
      </sheetData>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sheetData sheetId="15"/>
      <sheetData sheetId="16" refreshError="1"/>
      <sheetData sheetId="17" refreshError="1"/>
      <sheetData sheetId="18" refreshError="1"/>
      <sheetData sheetId="19" refreshError="1"/>
      <sheetData sheetId="20" refreshError="1"/>
      <sheetData sheetId="2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7"/>
      <sheetName val="000000"/>
      <sheetName val="표지"/>
      <sheetName val="목차"/>
      <sheetName val="계획서"/>
      <sheetName val="설명서"/>
      <sheetName val="계통도"/>
      <sheetName val="기기배치"/>
      <sheetName val="공사비총괄표"/>
      <sheetName val="자금계획서"/>
      <sheetName val="공정표"/>
      <sheetName val="공사비예산서"/>
      <sheetName val="사용자재"/>
      <sheetName val="준공정산"/>
      <sheetName val="품셈표"/>
      <sheetName val="지세별"/>
      <sheetName val="기별명세"/>
      <sheetName val="공급물량명세"/>
      <sheetName val="변경내역"/>
      <sheetName val="설계명세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별1"/>
      <sheetName val="기별2"/>
      <sheetName val="설계명세서"/>
      <sheetName val="공사비예산서"/>
      <sheetName val="공사계획서"/>
      <sheetName val="사급자재"/>
      <sheetName val="예정표"/>
      <sheetName val="준공검사"/>
      <sheetName val="공리일"/>
      <sheetName val="운반비"/>
      <sheetName val="본사배분"/>
      <sheetName val="출고인수내역"/>
      <sheetName val="Sheet12"/>
      <sheetName val="Sheet13"/>
      <sheetName val="비닐바인드"/>
      <sheetName val="현장점검"/>
      <sheetName val="보고서"/>
      <sheetName val="자산취득총괄표"/>
      <sheetName val="품셈"/>
      <sheetName val="노임단가표"/>
      <sheetName val="인입설계"/>
      <sheetName val="기별"/>
      <sheetName val="소요자재"/>
      <sheetName val="노무산출서"/>
      <sheetName val="정산내역서"/>
      <sheetName val="소요자재명세서"/>
      <sheetName val="노무비명세서"/>
      <sheetName val="내역서"/>
      <sheetName val="준공정산"/>
      <sheetName val="AS포장복구 "/>
      <sheetName val="97_4"/>
      <sheetName val="LANGUAGE"/>
      <sheetName val="총괄집계표"/>
      <sheetName val="Price List"/>
      <sheetName val="붙임5-7-1"/>
      <sheetName val="11,12"/>
      <sheetName val="15,16"/>
      <sheetName val="5,6"/>
      <sheetName val="7,8"/>
      <sheetName val="적용기준표(98년상반기)"/>
      <sheetName val="인부임"/>
      <sheetName val="일위대가"/>
      <sheetName val="자료사전"/>
      <sheetName val="2-2.&quot;전송망&quot;설비(예비품포함)"/>
      <sheetName val="공리공제"/>
      <sheetName val="설계서"/>
      <sheetName val="노임단가"/>
      <sheetName val="공사비요율산출내역서"/>
      <sheetName val="동축분 종합설계서"/>
      <sheetName val="데이타"/>
      <sheetName val="식재인부"/>
      <sheetName val="ABUT수량-A1"/>
      <sheetName val="대치판정"/>
      <sheetName val="9-라.품셈표"/>
      <sheetName val="9-다.무할증노무비"/>
      <sheetName val="5.설계명세서"/>
      <sheetName val="9-마.노임단가표"/>
      <sheetName val="대림경상68억"/>
      <sheetName val="별표집계"/>
      <sheetName val="해상"/>
      <sheetName val="Sheet7"/>
      <sheetName val="간성~마차진"/>
      <sheetName val="Total"/>
      <sheetName val="명세서"/>
      <sheetName val="G.R300경비"/>
      <sheetName val="수량산출"/>
      <sheetName val="종합기별"/>
      <sheetName val="설계명세"/>
      <sheetName val="아파트기별"/>
      <sheetName val="9GNG운반"/>
      <sheetName val="9-마.거푸집,기초 산출내역서"/>
      <sheetName val="3.공사비총괄표"/>
      <sheetName val="9-다.노무임"/>
      <sheetName val="1.공사계획서"/>
      <sheetName val="9-나.품셈표"/>
      <sheetName val="성단물량"/>
      <sheetName val="광령~경마장"/>
      <sheetName val="노임"/>
      <sheetName val="첨)시중노임단가"/>
      <sheetName val="가설"/>
      <sheetName val="구조포설"/>
      <sheetName val="복구"/>
      <sheetName val="부대"/>
      <sheetName val="부호표"/>
      <sheetName val="토공"/>
      <sheetName val="원본데이타"/>
      <sheetName val="예산내역서"/>
      <sheetName val="9.설치품셈"/>
      <sheetName val="일일 자재입출고리스트"/>
      <sheetName val="댁내기별"/>
      <sheetName val="품셈표"/>
      <sheetName val="기존지역"/>
      <sheetName val="4.ADSL"/>
      <sheetName val="BWLL(VDSL)"/>
      <sheetName val="BWLL(광랜)"/>
      <sheetName val="BWLL(홈랜)"/>
      <sheetName val="HFC(NFP)"/>
      <sheetName val="HFC(VDSL)"/>
      <sheetName val="HFC(일반)"/>
      <sheetName val="HFC(홈랜)"/>
      <sheetName val="FTTx(VDSL13)"/>
      <sheetName val="FTTx(VDSL20)"/>
      <sheetName val="FTTx(VDSL50)"/>
      <sheetName val="FTTX(광랜E)"/>
      <sheetName val="FTTX(광랜F)"/>
      <sheetName val="FTTX(광랜H)"/>
      <sheetName val="FTTX(광랜R)"/>
      <sheetName val="FTTX(광랜V)"/>
      <sheetName val="FTTX(멀티랜)"/>
      <sheetName val="FTTX(하이랜)"/>
      <sheetName val="FTTX(하이랜2)"/>
      <sheetName val="ADSL"/>
      <sheetName val="ALAN"/>
      <sheetName val="BWLL"/>
      <sheetName val="HFC_NFP"/>
      <sheetName val="HFC_VDSL"/>
      <sheetName val="HFC일반"/>
      <sheetName val="HFC홈랜"/>
      <sheetName val="VDSL"/>
      <sheetName val="광랜E"/>
      <sheetName val="광랜F"/>
      <sheetName val="광랜H"/>
      <sheetName val="광랜R"/>
      <sheetName val="광랜V"/>
      <sheetName val="멀티랜"/>
      <sheetName val="하이랜"/>
      <sheetName val="하이랜2"/>
      <sheetName val="투자효율분석"/>
      <sheetName val="Price_List"/>
      <sheetName val="2-2_&quot;전송망&quot;설비(예비품포함)"/>
      <sheetName val="동축분_종합설계서"/>
      <sheetName val="G_R300경비"/>
      <sheetName val="AS포장복구_"/>
      <sheetName val="9-라_품셈표"/>
      <sheetName val="9-다_무할증노무비"/>
      <sheetName val="5_설계명세서"/>
      <sheetName val="9-마_노임단가표"/>
      <sheetName val="HFC(예산내역서)"/>
      <sheetName val="구포여상설계"/>
      <sheetName val="DISTANCE"/>
      <sheetName val="지입재료비"/>
      <sheetName val="세부"/>
      <sheetName val="0000"/>
      <sheetName val="06년 운용지표(1안)"/>
      <sheetName val="원가계산서구조조정"/>
      <sheetName val="품셈표(CB)"/>
      <sheetName val="노무비변경"/>
      <sheetName val="(13)노무비"/>
      <sheetName val="경비변경"/>
      <sheetName val="기초자료"/>
      <sheetName val="(14)경비"/>
      <sheetName val="(12)자재비"/>
      <sheetName val="일반,이윤변경"/>
      <sheetName val="자재비변경"/>
      <sheetName val="인입기본설계"/>
      <sheetName val="매출예산96"/>
      <sheetName val="정산내역"/>
      <sheetName val="&quot;전송망&quot;운용설비"/>
      <sheetName val="&quot;분배센터&quot;운용설비"/>
      <sheetName val="설계명세서(선로)"/>
      <sheetName val="DB.목록"/>
      <sheetName val="수량계산서 집계표(가설 신설 및 철거-을지로3가 3호선)"/>
      <sheetName val="수량계산서 집계표(신설-을지로3가 3호선)"/>
      <sheetName val="수량계산서 집계표(철거-을지로3가 3호선)"/>
      <sheetName val="Sheet1"/>
      <sheetName val="정산"/>
      <sheetName val="운반공사,공구손료"/>
      <sheetName val="예산내역서(총괄)"/>
      <sheetName val="257A1"/>
      <sheetName val="계통도"/>
      <sheetName val="각주"/>
      <sheetName val="기초자료입력"/>
      <sheetName val="고덕"/>
      <sheetName val="결성"/>
      <sheetName val="석문"/>
      <sheetName val="인지"/>
      <sheetName val="신흑2"/>
      <sheetName val="도안"/>
      <sheetName val="괴산"/>
      <sheetName val="단월"/>
      <sheetName val="산척"/>
      <sheetName val="공제대산출"/>
      <sheetName val="7.명세서"/>
      <sheetName val="1.계획서"/>
      <sheetName val="6.예산서"/>
      <sheetName val="명세서(센타)"/>
      <sheetName val="단가산출"/>
      <sheetName val="토목수량(공정)"/>
      <sheetName val="인공LIST"/>
      <sheetName val="물량기준표"/>
    </sheetNames>
    <sheetDataSet>
      <sheetData sheetId="0"/>
      <sheetData sheetId="1"/>
      <sheetData sheetId="2" refreshError="1">
        <row r="72">
          <cell r="G72">
            <v>60961324</v>
          </cell>
        </row>
        <row r="92">
          <cell r="G92">
            <v>1212790</v>
          </cell>
        </row>
        <row r="176">
          <cell r="G176">
            <v>24107351</v>
          </cell>
        </row>
        <row r="177">
          <cell r="G177">
            <v>3375029</v>
          </cell>
        </row>
        <row r="179">
          <cell r="G179">
            <v>27482380</v>
          </cell>
        </row>
        <row r="183">
          <cell r="G183">
            <v>500000</v>
          </cell>
        </row>
        <row r="194">
          <cell r="G194">
            <v>3164539</v>
          </cell>
        </row>
        <row r="199">
          <cell r="G199">
            <v>1911582</v>
          </cell>
        </row>
        <row r="201">
          <cell r="G201">
            <v>428709</v>
          </cell>
        </row>
        <row r="206">
          <cell r="G206">
            <v>34200000</v>
          </cell>
          <cell r="J206">
            <v>32243118.229000002</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목데이타"/>
    </sheetNames>
    <sheetDataSet>
      <sheetData sheetId="0"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목(가-마)"/>
      <sheetName val="수목(바-주목)"/>
      <sheetName val="수목(중국단풍-)"/>
      <sheetName val="식재인부"/>
      <sheetName val="지주목수"/>
      <sheetName val="데이타"/>
      <sheetName val="炷舅?XLS]데이타'!$E$124"/>
      <sheetName val="ls]노임"/>
      <sheetName val="갑지"/>
      <sheetName val="목차"/>
      <sheetName val="1표지-공사시방서"/>
      <sheetName val="2표지-설계내역서"/>
      <sheetName val="원가계산서"/>
      <sheetName val="관급내역서"/>
      <sheetName val="내역서"/>
      <sheetName val="일위대가표"/>
      <sheetName val="aiming(일위대가표)"/>
      <sheetName val="산출서"/>
      <sheetName val="F단가비교표"/>
      <sheetName val="3표지-설계도면"/>
      <sheetName val="노임"/>
      <sheetName val="____"/>
      <sheetName val="___"/>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炷舅?XLS"/>
      <sheetName val="ls"/>
      <sheetName val="토공사"/>
      <sheetName val="소일위대가코드표"/>
      <sheetName val="품셈집계표"/>
      <sheetName val="자재조사표(참고용)"/>
      <sheetName val="일반부표집계표"/>
      <sheetName val="수목일위"/>
      <sheetName val=""/>
      <sheetName val="수목표준대가"/>
      <sheetName val="수목데이타"/>
      <sheetName val="간접"/>
      <sheetName val="원가계산"/>
      <sheetName val="설명"/>
      <sheetName val="노임단가"/>
      <sheetName val="단가조사"/>
      <sheetName val="건축2"/>
      <sheetName val="기타 정보통신공사"/>
      <sheetName val="단가대비표"/>
      <sheetName val="2000.11월설계내역"/>
      <sheetName val="품셈TABLE"/>
      <sheetName val="AS포장복구 "/>
      <sheetName val="표지 (2)"/>
      <sheetName val="6호기"/>
      <sheetName val="Sheet1"/>
      <sheetName val="Customer Databas"/>
      <sheetName val="데리네이타현황"/>
      <sheetName val="단가 및 재료비"/>
      <sheetName val="단가산출2"/>
      <sheetName val="참고"/>
      <sheetName val="공사개요"/>
      <sheetName val="횡배수관재료-"/>
      <sheetName val="계산서(직선부)"/>
      <sheetName val="포장재료집계표"/>
      <sheetName val="콘크리트측구연장"/>
      <sheetName val="포장공"/>
      <sheetName val="-몰탈콘크리트"/>
      <sheetName val="-배수구조물공토공"/>
      <sheetName val="공종단가"/>
      <sheetName val="시설물일위"/>
      <sheetName val="가설공사"/>
      <sheetName val="단가결정"/>
      <sheetName val="내역아"/>
      <sheetName val="울타리"/>
      <sheetName val="문학간접"/>
      <sheetName val="1"/>
      <sheetName val="2"/>
      <sheetName val="3"/>
      <sheetName val="4"/>
      <sheetName val="5"/>
      <sheetName val="자재단가조사표-수목"/>
      <sheetName val="장비별표(오거보링)(Ø400)(12M)"/>
      <sheetName val="䈘목(중국단풍-)"/>
      <sheetName val="갑  지"/>
      <sheetName val="접속도로1"/>
      <sheetName val="평가데이터"/>
      <sheetName val="unit 4"/>
      <sheetName val="화재 탐지 설비"/>
      <sheetName val="Total"/>
      <sheetName val="원내역"/>
      <sheetName val="전익자재"/>
      <sheetName val="이름표지정"/>
      <sheetName val="금액"/>
      <sheetName val="9811"/>
      <sheetName val="일위대가(가설)"/>
      <sheetName val="1차증가원가계산"/>
      <sheetName val="가설공사비"/>
      <sheetName val="도로구조공사비"/>
      <sheetName val="도로토공공사비"/>
      <sheetName val="여수토공사비"/>
      <sheetName val="49"/>
      <sheetName val="수량산출서"/>
      <sheetName val="간선계산"/>
      <sheetName val="기초일위"/>
      <sheetName val="시설일위"/>
      <sheetName val="조명일위"/>
      <sheetName val="직재"/>
      <sheetName val="재집"/>
      <sheetName val="골조시행"/>
      <sheetName val="준검 내역서"/>
      <sheetName val="금융비용"/>
      <sheetName val="일위대가"/>
      <sheetName val="2000년1차"/>
      <sheetName val="2000전체분"/>
      <sheetName val="내역"/>
      <sheetName val="Sheet2"/>
      <sheetName val="철근총괄집계표"/>
      <sheetName val="#REF"/>
      <sheetName val="집수정(600-700)"/>
      <sheetName val="토사(PE)"/>
      <sheetName val="DATE"/>
      <sheetName val="Sheet3"/>
      <sheetName val="터파기및재료"/>
      <sheetName val="빗물받이(910-510-410)"/>
      <sheetName val="우수"/>
      <sheetName val="금액내역서"/>
      <sheetName val="data"/>
      <sheetName val="직접경비"/>
      <sheetName val="직접인건비"/>
      <sheetName val="총괄내역"/>
      <sheetName val="Sheet1 (2)"/>
      <sheetName val="교사기준면적(초등)"/>
      <sheetName val="건축-물가변동"/>
      <sheetName val="현장관리비"/>
      <sheetName val="기본단가표"/>
      <sheetName val="INPUT"/>
      <sheetName val="노무,재료"/>
      <sheetName val="노임이"/>
      <sheetName val="공종목록표"/>
      <sheetName val="토공산출(주차장)"/>
      <sheetName val="현장관리"/>
      <sheetName val="공통가설"/>
      <sheetName val="매입"/>
      <sheetName val="토공산출 (아파트)"/>
      <sheetName val="DANGA"/>
      <sheetName val="전주2本1"/>
      <sheetName val="조명시설"/>
      <sheetName val="1.설계조건"/>
      <sheetName val="공종별원가계산"/>
      <sheetName val="가감수량"/>
      <sheetName val="맨홀수량산출"/>
      <sheetName val="총괄내역서"/>
      <sheetName val="남양내역"/>
      <sheetName val="Sheet4"/>
      <sheetName val="파일의이용"/>
      <sheetName val="9509"/>
      <sheetName val="EACT10"/>
      <sheetName val="단가"/>
      <sheetName val="단가산출1"/>
      <sheetName val="별표집계"/>
      <sheetName val="자재단가"/>
      <sheetName val="123"/>
      <sheetName val="개인"/>
      <sheetName val="수안보-MBR1"/>
      <sheetName val="철콘"/>
      <sheetName val="횡배수관토공수량"/>
      <sheetName val="년도별시공"/>
      <sheetName val="일위"/>
      <sheetName val="전체"/>
      <sheetName val="A"/>
      <sheetName val="견적시담(송포2공구)"/>
      <sheetName val="2공구산출내역"/>
      <sheetName val="단가산출"/>
      <sheetName val="입찰"/>
      <sheetName val="현경"/>
      <sheetName val="부하계산"/>
      <sheetName val="수목단가"/>
      <sheetName val="식재수량표"/>
      <sheetName val="식재일위"/>
      <sheetName val="기초자료입력"/>
      <sheetName val="동해title"/>
      <sheetName val="10공구일위"/>
      <sheetName val="시멘트"/>
      <sheetName val="Mc1"/>
      <sheetName val="품셈"/>
      <sheetName val="기계경비적용기준"/>
      <sheetName val="전기혼잡제경비(45)"/>
      <sheetName val="현장"/>
      <sheetName val="Ⅶ-2.현장경비산출"/>
      <sheetName val="일위대가목차"/>
      <sheetName val="산출내역서집계표"/>
      <sheetName val="DC-O-4-S(설명서)"/>
      <sheetName val="간접비"/>
      <sheetName val="비목군분류일위"/>
      <sheetName val="연습"/>
      <sheetName val="전기"/>
      <sheetName val="일위대가-1"/>
      <sheetName val="시설수량표"/>
      <sheetName val="노임(1차)"/>
      <sheetName val="자재 집계표"/>
      <sheetName val="말고개터널조명전압강하"/>
      <sheetName val="물가자료"/>
      <sheetName val="예산명세서"/>
      <sheetName val="설계명세서"/>
      <sheetName val="자료입력"/>
      <sheetName val="BID"/>
      <sheetName val="5 일위목록"/>
      <sheetName val="7 단가조사"/>
      <sheetName val="6 일위대가"/>
      <sheetName val="정렬"/>
      <sheetName val="E.P.T수량산출서"/>
      <sheetName val="일위목록"/>
      <sheetName val="세부내역"/>
      <sheetName val="내역(APT)"/>
      <sheetName val="기계설비-물가변동"/>
      <sheetName val="참조"/>
      <sheetName val="평가내역"/>
      <sheetName val="실행간접비용"/>
      <sheetName val="合成単価作成表-BLDG"/>
      <sheetName val="카렌스센터계량기설치공사"/>
      <sheetName val="골조대비내역"/>
      <sheetName val="수량산출"/>
      <sheetName val="삭제금지단가"/>
      <sheetName val="설계서"/>
      <sheetName val="공사기본내용입력"/>
      <sheetName val="공통"/>
      <sheetName val="부대공Ⅱ"/>
      <sheetName val="교육종류"/>
      <sheetName val="ABUT수량-A1"/>
      <sheetName val="조건"/>
      <sheetName val="참조M"/>
      <sheetName val="배수내역"/>
      <sheetName val="DT"/>
      <sheetName val="롤러"/>
      <sheetName val="펌프차타설"/>
      <sheetName val="공내역"/>
      <sheetName val="준공정산"/>
      <sheetName val="개소별수량산출"/>
      <sheetName val="토목주소"/>
      <sheetName val="공사비예산서(토목분)"/>
      <sheetName val="경산"/>
      <sheetName val="시설물기초"/>
      <sheetName val="계수시트"/>
      <sheetName val="2.대외공문"/>
      <sheetName val="공사요율산출표"/>
      <sheetName val="부하계산서"/>
      <sheetName val="에너지동"/>
      <sheetName val="중기사용료산출근거"/>
      <sheetName val="공구원가계산"/>
      <sheetName val="총괄표"/>
      <sheetName val="대가표(품셈)"/>
      <sheetName val="공사별 가중치 산출근거(토목)"/>
      <sheetName val="가중치근거(조경)"/>
      <sheetName val="예가표"/>
      <sheetName val="설계내역일위"/>
      <sheetName val="식재"/>
      <sheetName val="시설물"/>
      <sheetName val="식재출력용"/>
      <sheetName val="유지관리"/>
      <sheetName val="가도공"/>
      <sheetName val="상 부"/>
      <sheetName val="현관"/>
      <sheetName val="인원"/>
      <sheetName val="전선 및 전선관"/>
      <sheetName val="금융"/>
      <sheetName val="노무비단가"/>
      <sheetName val="JUCK"/>
      <sheetName val="정부노임단가"/>
      <sheetName val="GAS"/>
      <sheetName val="기초자료"/>
      <sheetName val="1차 내역서"/>
      <sheetName val="산출근거"/>
      <sheetName val="간지"/>
      <sheetName val="배수공"/>
      <sheetName val="단가표 (2)"/>
      <sheetName val="귀래 설계 공내역서"/>
      <sheetName val="입력자료"/>
      <sheetName val="예산갑지"/>
      <sheetName val="관공일위대가"/>
      <sheetName val="충주"/>
      <sheetName val="내역서2안"/>
      <sheetName val="기성청구"/>
      <sheetName val="토공집계"/>
      <sheetName val="DB@Acess"/>
      <sheetName val="Civil"/>
      <sheetName val="견적"/>
      <sheetName val="일반부표"/>
      <sheetName val="운동장 (2)"/>
      <sheetName val="약품설비"/>
      <sheetName val="기기리스트"/>
      <sheetName val="설계내역"/>
      <sheetName val="설계예산서"/>
      <sheetName val="토공수량"/>
      <sheetName val="설계내"/>
      <sheetName val="SG"/>
      <sheetName val="견적율"/>
      <sheetName val="총괄표1"/>
      <sheetName val="퇴직금(울산천상)"/>
      <sheetName val="밸브설치"/>
      <sheetName val="제수"/>
      <sheetName val="공기"/>
      <sheetName val="지주목시비량산출서"/>
      <sheetName val="일위집계표"/>
      <sheetName val="잡비"/>
      <sheetName val=" 견적서"/>
      <sheetName val="조명율표"/>
      <sheetName val="BH"/>
      <sheetName val="2000_11월설계내역"/>
      <sheetName val="Customer_Databas"/>
      <sheetName val="AS포장복구_"/>
      <sheetName val="표지_(2)"/>
      <sheetName val="기타_정보통신공사"/>
      <sheetName val="갑__지"/>
      <sheetName val="unit_4"/>
      <sheetName val="화재_탐지_설비"/>
      <sheetName val="단가_및_재료비"/>
      <sheetName val="준검_내역서"/>
      <sheetName val="Sheet1_(2)"/>
      <sheetName val="토공산출_(아파트)"/>
      <sheetName val="1_설계조건"/>
      <sheetName val="Ⅶ-2_현장경비산출"/>
      <sheetName val="귀래_설계_공내역서"/>
      <sheetName val="자재_집계표"/>
      <sheetName val="5_일위목록"/>
      <sheetName val="7_단가조사"/>
      <sheetName val="6_일위대가"/>
      <sheetName val="E_P_T수량산출서"/>
      <sheetName val="전선_및_전선관"/>
      <sheetName val="설계내역서"/>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노무비"/>
      <sheetName val="투찰금액"/>
      <sheetName val="3.바닥판  "/>
      <sheetName val="지수"/>
      <sheetName val="대치판정"/>
      <sheetName val="EQT-ESTN"/>
      <sheetName val="JUCKEYK"/>
      <sheetName val="단위단가"/>
      <sheetName val="퍼스트"/>
      <sheetName val="주요항목별"/>
      <sheetName val="평교-내역"/>
      <sheetName val="사급자재"/>
      <sheetName val="내역서01"/>
      <sheetName val="지급자재"/>
      <sheetName val="제잡비"/>
      <sheetName val="토집"/>
      <sheetName val="약품공급2"/>
      <sheetName val="자단"/>
      <sheetName val="인공산출"/>
      <sheetName val="공종집계"/>
      <sheetName val="입찰안"/>
      <sheetName val="자료"/>
      <sheetName val="간선"/>
      <sheetName val="전압"/>
      <sheetName val="조도"/>
      <sheetName val="동력"/>
      <sheetName val="D&amp;P특기사항"/>
      <sheetName val="1호인버트수량"/>
      <sheetName val="석축설면"/>
      <sheetName val="법면단"/>
      <sheetName val="설계조건"/>
      <sheetName val="안정계산"/>
      <sheetName val="단면검토"/>
      <sheetName val="WORK"/>
      <sheetName val="날개벽(좌,우=60도-4개)"/>
      <sheetName val="코드"/>
      <sheetName val="MOTOR"/>
      <sheetName val="소야공정계획표"/>
      <sheetName val="bearing"/>
      <sheetName val="정화조방수미장"/>
      <sheetName val="중기일위대가"/>
      <sheetName val="4-10"/>
      <sheetName val="단가표_(2)"/>
      <sheetName val="건축내역서"/>
      <sheetName val="설비내역서"/>
      <sheetName val="전기내역서"/>
      <sheetName val="공작물조직표(용배수)"/>
      <sheetName val="부하(성남)"/>
      <sheetName val="담장산출"/>
      <sheetName val="근거(기밀댐퍼)"/>
      <sheetName val="1안"/>
      <sheetName val="공통비총괄표"/>
      <sheetName val="인건비"/>
      <sheetName val="03하반기내역서"/>
      <sheetName val="04상반기"/>
      <sheetName val="단가비교"/>
      <sheetName val="COVER"/>
      <sheetName val="참조(2)"/>
      <sheetName val="11월"/>
      <sheetName val="총괄"/>
      <sheetName val="부대공1(65-77,93-95)"/>
      <sheetName val="부대공2(78-"/>
      <sheetName val="배수및구조물공1"/>
      <sheetName val="구조물토공"/>
      <sheetName val="토공2(11~19)"/>
      <sheetName val="배수및구조물공2"/>
      <sheetName val="토공1(1~10,92)"/>
      <sheetName val="토공3(20~31)"/>
      <sheetName val="설계"/>
      <sheetName val="시공"/>
      <sheetName val="구조물공1(51~56)"/>
      <sheetName val="Sheet6"/>
      <sheetName val="전기공사"/>
      <sheetName val="실행철강하도"/>
      <sheetName val="9GNG운반"/>
      <sheetName val="수량계산서 집계표(가설 신설 및 철거-을지로3가 3호선)"/>
      <sheetName val="수량계산서 집계표(신설-을지로3가 3호선)"/>
      <sheetName val="수량계산서 집계표(철거-을지로3가 3호선)"/>
      <sheetName val="SCHE"/>
      <sheetName val="날개벽수량표"/>
      <sheetName val="자판실행"/>
      <sheetName val="기초1"/>
      <sheetName val="1차_내역서"/>
      <sheetName val="가로등"/>
      <sheetName val="와동25-3(변경)"/>
      <sheetName val="FB25JN"/>
      <sheetName val="을"/>
      <sheetName val="가설"/>
      <sheetName val="구조포설"/>
      <sheetName val="복구"/>
      <sheetName val="부대"/>
      <sheetName val="부호표"/>
      <sheetName val="토공"/>
      <sheetName val="3차준공"/>
      <sheetName val="MAIN"/>
      <sheetName val="날개벽"/>
      <sheetName val="가격비"/>
      <sheetName val="炷舅_XLS_데이타'!$E$124"/>
      <sheetName val="ls_노임"/>
      <sheetName val="炷舅_XLS"/>
      <sheetName val="기타공사"/>
      <sheetName val="단청(제외)"/>
      <sheetName val="목공집계"/>
      <sheetName val="미장(2)"/>
      <sheetName val="운반"/>
      <sheetName val="지붕(기와)"/>
      <sheetName val="창호"/>
      <sheetName val="동력부하계산"/>
      <sheetName val="EJ"/>
      <sheetName val="7단가"/>
      <sheetName val="타견적(을)"/>
      <sheetName val="부시수량"/>
      <sheetName val="200"/>
      <sheetName val="코드표"/>
      <sheetName val="1.설계기준"/>
      <sheetName val="말뚝지지력산정"/>
      <sheetName val="건축(을)"/>
      <sheetName val="당초내역서"/>
      <sheetName val="천방교접속"/>
      <sheetName val="인사자료총집계"/>
      <sheetName val="1.가설"/>
      <sheetName val="4.목공사"/>
      <sheetName val="덕소내역"/>
      <sheetName val="전기일위대가"/>
      <sheetName val="왕십리방향"/>
      <sheetName val="절감계산"/>
      <sheetName val="주관사업"/>
      <sheetName val="시추주상도"/>
      <sheetName val="참고자료"/>
      <sheetName val="기성내역"/>
      <sheetName val="토공집계표"/>
      <sheetName val="설계예시"/>
      <sheetName val="단면가정"/>
      <sheetName val="적용기준"/>
      <sheetName val="구조물철거타공정이월"/>
      <sheetName val="부안일위"/>
      <sheetName val="암거단위"/>
      <sheetName val="횡 연장"/>
      <sheetName val="설계가"/>
      <sheetName val="각종단가"/>
      <sheetName val="노 무 비"/>
      <sheetName val="중기사용료"/>
      <sheetName val="진주방향"/>
      <sheetName val="원가"/>
      <sheetName val="소요자재"/>
      <sheetName val="노무산출서"/>
      <sheetName val="횡배수관수량집계"/>
      <sheetName val="횡배수관기초"/>
      <sheetName val="Code"/>
      <sheetName val="계정"/>
      <sheetName val="남양시작동자105노65기1.3화1.2"/>
      <sheetName val="남양시작동010313100%"/>
      <sheetName val="조명율"/>
      <sheetName val="항목등록"/>
      <sheetName val="남양구조시험동"/>
      <sheetName val="품셈표"/>
      <sheetName val="공사원가"/>
      <sheetName val="sub"/>
      <sheetName val="N賃率-職"/>
      <sheetName val="기초공"/>
      <sheetName val="기둥(원형)"/>
      <sheetName val="수로단위수량"/>
      <sheetName val="EQUIP-H"/>
      <sheetName val="2.가로등(영구)"/>
      <sheetName val="cable-data"/>
      <sheetName val="계산내역(설비)"/>
      <sheetName val="우수공"/>
      <sheetName val="교대시점"/>
      <sheetName val="연돌일위집계"/>
      <sheetName val="토공실행"/>
      <sheetName val="평형별수량표"/>
      <sheetName val="가설개략"/>
      <sheetName val="을지"/>
      <sheetName val="평당"/>
      <sheetName val="매입세"/>
      <sheetName val="woo(mac)"/>
      <sheetName val="PW3"/>
      <sheetName val="PW4"/>
      <sheetName val="SC1"/>
      <sheetName val="PE"/>
      <sheetName val="PM"/>
      <sheetName val="TR"/>
      <sheetName val="단목"/>
      <sheetName val="토목수량"/>
      <sheetName val="부대내역"/>
      <sheetName val="제잡비집계"/>
      <sheetName val="가설건물"/>
      <sheetName val="70%"/>
      <sheetName val="ITEM"/>
      <sheetName val="터널조도"/>
      <sheetName val="6PILE  (돌출)"/>
      <sheetName val="기성내역서표지"/>
      <sheetName val="Y-WORK"/>
      <sheetName val="자재"/>
      <sheetName val="신표지1"/>
      <sheetName val="PAINT"/>
      <sheetName val="수목데이타 "/>
      <sheetName val="22인공"/>
      <sheetName val="JOIN(2span)"/>
      <sheetName val="바닥판"/>
      <sheetName val="주빔의 설계"/>
      <sheetName val="철근량산정및사용성검토"/>
      <sheetName val="입력DATA"/>
      <sheetName val="계약내역서(을지)"/>
      <sheetName val="사전공사"/>
      <sheetName val="위치조서"/>
      <sheetName val="과세내역(세부)"/>
      <sheetName val="가스내역"/>
      <sheetName val="가격조사서"/>
      <sheetName val="공정코드"/>
      <sheetName val="GAS저장소"/>
      <sheetName val="라인마킹"/>
      <sheetName val="위험물저장소"/>
      <sheetName val="일반창고동"/>
      <sheetName val="영업.일1"/>
      <sheetName val="가스(내역)"/>
      <sheetName val="청천내"/>
      <sheetName val="cal"/>
      <sheetName val="배수판"/>
      <sheetName val="98지급계획"/>
      <sheetName val="실행(표지,갑,을)"/>
      <sheetName val="-배수구조물⳵토공"/>
      <sheetName val="경상비"/>
      <sheetName val="전계가"/>
      <sheetName val="TEL"/>
      <sheetName val="원형1호맨홀토공수량"/>
      <sheetName val="List"/>
      <sheetName val="10"/>
      <sheetName val="11"/>
      <sheetName val="6"/>
      <sheetName val="7"/>
      <sheetName val="8"/>
      <sheetName val="9"/>
      <sheetName val="개요"/>
      <sheetName val="수량"/>
      <sheetName val="발생토"/>
      <sheetName val="일위대가목록"/>
      <sheetName val="邅☳"/>
      <sheetName val="수량집계표"/>
      <sheetName val="공종별수량집계"/>
      <sheetName val="실행"/>
      <sheetName val="공사발의서"/>
      <sheetName val="S0"/>
      <sheetName val="3.공통공사대비"/>
      <sheetName val="전차선로 물량표"/>
      <sheetName val="한강운반비"/>
      <sheetName val="공통(20-91)"/>
      <sheetName val="현장조사"/>
      <sheetName val="요약&amp;결과"/>
      <sheetName val="3.하중산정4.지지력"/>
      <sheetName val="1공구내역서(1)"/>
      <sheetName val="재료단가"/>
      <sheetName val="이름정의"/>
      <sheetName val="초기화면"/>
      <sheetName val="기계실 D200"/>
      <sheetName val="01"/>
      <sheetName val="토목"/>
      <sheetName val="간선토공재집"/>
      <sheetName val="지선토공재집"/>
      <sheetName val="b_balju_cho"/>
      <sheetName val="하수급견적대비"/>
      <sheetName val="DATA1"/>
      <sheetName val="표  지"/>
      <sheetName val="H-pile(298x299)"/>
      <sheetName val="내역서(기성청구)"/>
      <sheetName val="내역표지"/>
      <sheetName val="대림경상68억"/>
      <sheetName val="공사비집계표"/>
      <sheetName val="대공종"/>
      <sheetName val="수량집계"/>
      <sheetName val="A-4"/>
      <sheetName val="설계기준"/>
      <sheetName val="2.2.10.샤시등"/>
      <sheetName val="내역1"/>
      <sheetName val="투자효율분석"/>
      <sheetName val="오억미만"/>
      <sheetName val="관리,공감"/>
      <sheetName val="현장관리비 산출내역"/>
      <sheetName val="일위_파일"/>
      <sheetName val="결재판(삭제하지말아주세요)"/>
      <sheetName val="O＆P"/>
      <sheetName val="영창26"/>
      <sheetName val="Front"/>
      <sheetName val="wall"/>
      <sheetName val="현장관리비 "/>
      <sheetName val="철거산출근거"/>
      <sheetName val="인부신상자료"/>
      <sheetName val="관내역"/>
      <sheetName val="내역(토목)"/>
      <sheetName val="시화점실행"/>
      <sheetName val="단면 (2)"/>
      <sheetName val="안정검토(온1)"/>
      <sheetName val="자"/>
      <sheetName val="노"/>
      <sheetName val="환경기계공정표 (3)"/>
      <sheetName val="2호맨홀공제수량"/>
      <sheetName val="신우"/>
      <sheetName val="내역서-전체낙찰율"/>
      <sheetName val="tggwan(mac)"/>
      <sheetName val="ENTRY"/>
      <sheetName val="TB-내역서"/>
      <sheetName val="성곽내역서"/>
      <sheetName val="Sheet13"/>
      <sheetName val="발전기"/>
      <sheetName val="Sheet14"/>
      <sheetName val="전등설비"/>
      <sheetName val="통합내역"/>
      <sheetName val="재정비직인"/>
      <sheetName val="설계변경조서"/>
      <sheetName val="견적서"/>
      <sheetName val="GAEYO"/>
      <sheetName val="G.R300경비"/>
      <sheetName val="P-산#1-1(WOWA1)"/>
      <sheetName val="증감내역서"/>
      <sheetName val="현장지지물물량"/>
      <sheetName val="신규품셈목차"/>
      <sheetName val="시중노임단가"/>
      <sheetName val="보건노"/>
      <sheetName val="※참고자료※"/>
      <sheetName val="재정비내역"/>
      <sheetName val="지적고시내역"/>
      <sheetName val="인건비 "/>
      <sheetName val="table"/>
      <sheetName val="TRE TABLE"/>
      <sheetName val="월별입차량"/>
      <sheetName val="X17-TOTAL"/>
      <sheetName val="도급예산내역서봉투"/>
      <sheetName val="공사원가계산서"/>
      <sheetName val="설계산출표지"/>
      <sheetName val="도급예산내역서총괄표"/>
      <sheetName val="을부담운반비"/>
      <sheetName val="운반비산출"/>
      <sheetName val="우배수"/>
      <sheetName val="원형맨홀수량"/>
      <sheetName val="고창방향"/>
      <sheetName val="설비2차"/>
      <sheetName val="설명서"/>
      <sheetName val="예정공정표"/>
      <sheetName val="표지1"/>
      <sheetName val="수입"/>
      <sheetName val="기성2"/>
      <sheetName val="예정(3)"/>
      <sheetName val="Ȁ_x0004_夁瓅"/>
      <sheetName val="테이블"/>
      <sheetName val="b_balju"/>
      <sheetName val="결재갑지"/>
      <sheetName val="전선관"/>
      <sheetName val="공사비산출내역"/>
      <sheetName val="월별"/>
      <sheetName val="가감수량(2호)"/>
      <sheetName val="맨홀수량산출(2호)"/>
      <sheetName val="투찰내역"/>
      <sheetName val="3BL공동구 수량"/>
      <sheetName val="목차 "/>
      <sheetName val="계획서"/>
      <sheetName val="연장"/>
      <sheetName val="위치도(점용허가용)"/>
      <sheetName val="신청서"/>
      <sheetName val="샘플표지"/>
      <sheetName val="설계내역서 "/>
      <sheetName val="1단계"/>
      <sheetName val="소비자가"/>
      <sheetName val="Cost bd-&quot;A&quot;"/>
      <sheetName val="XXXXXX"/>
      <sheetName val="인제내역"/>
      <sheetName val="설계서(본관)"/>
      <sheetName val="부표총괄표"/>
      <sheetName val="경비"/>
      <sheetName val="단위수량산출"/>
      <sheetName val="기준액"/>
      <sheetName val="직접공사비집계표_7"/>
      <sheetName val="공통가설_8"/>
      <sheetName val="기타시설"/>
      <sheetName val="아파트_9"/>
      <sheetName val="주민복지관"/>
      <sheetName val="지하주차장"/>
      <sheetName val="XL4Poppy"/>
      <sheetName val="I一般比"/>
      <sheetName val="CC16-내역서"/>
      <sheetName val="단위수량"/>
      <sheetName val="Factor"/>
      <sheetName val="General Data"/>
      <sheetName val="일위대가(건축)"/>
      <sheetName val="내2"/>
      <sheetName val="암거단위-1련"/>
      <sheetName val="프랜트면허"/>
      <sheetName val="5.전사투자계획종함안"/>
      <sheetName val="도급원가"/>
      <sheetName val="XREF"/>
      <sheetName val="감가상각누계액"/>
      <sheetName val="자재_집계표1"/>
      <sheetName val="귀래_설계_공내역서1"/>
      <sheetName val="전선_및_전선관1"/>
      <sheetName val="2_대외공문"/>
      <sheetName val="공사별_가중치_산출근거(토목)"/>
      <sheetName val="상_부"/>
      <sheetName val="운동장_(2)"/>
      <sheetName val="1차_내역서1"/>
      <sheetName val="_견적서"/>
      <sheetName val="수량계산서_집계표(가설_신설_및_철거-을지로3가_3호선)"/>
      <sheetName val="수량계산서_집계표(신설-을지로3가_3호선)"/>
      <sheetName val="기계경비일람"/>
      <sheetName val="기타경비"/>
      <sheetName val="잔토처리"/>
      <sheetName val="터파기,되메우기,램머,코아"/>
      <sheetName val="절단,포장깨기"/>
      <sheetName val="8.PILE  (돌출)"/>
      <sheetName val="교대"/>
      <sheetName val="우각부보강"/>
      <sheetName val="H-pile(250x250)"/>
      <sheetName val="노임 단가"/>
      <sheetName val="일반전기"/>
      <sheetName val="증감대비"/>
      <sheetName val="고개가설"/>
      <sheetName val="HVAC"/>
      <sheetName val="AS복구"/>
      <sheetName val="중기터파기"/>
      <sheetName val="변수값"/>
      <sheetName val="중기상차"/>
      <sheetName val="집계"/>
      <sheetName val="EQUIP LIST"/>
      <sheetName val="3연box"/>
      <sheetName val="단 box"/>
      <sheetName val="건축공사수량"/>
      <sheetName val="기구조직"/>
      <sheetName val="환율표"/>
      <sheetName val="실행대비"/>
      <sheetName val="식재일위대가"/>
      <sheetName val="단가입력창"/>
      <sheetName val="공종단가표 "/>
      <sheetName val="산출2-기기동력"/>
      <sheetName val="환율 및 노임"/>
      <sheetName val="속 일위대가"/>
      <sheetName val="자재단가대비표"/>
      <sheetName val="자재단가집계"/>
      <sheetName val="가격"/>
      <sheetName val="변경일위"/>
      <sheetName val="Book1"/>
      <sheetName val="용산1(해보)"/>
      <sheetName val="내역서(전기)"/>
      <sheetName val="D16"/>
      <sheetName val="D25"/>
      <sheetName val="D22"/>
      <sheetName val="자재표"/>
      <sheetName val="선급금신청서"/>
      <sheetName val="공량산출서"/>
      <sheetName val="포장자재집계표"/>
      <sheetName val="INPUTDATA"/>
      <sheetName val="2000,9월 일위"/>
      <sheetName val="품의서(0217)"/>
      <sheetName val="단"/>
      <sheetName val="J直材4"/>
      <sheetName val="단가 산출서(산근#1~#102)"/>
      <sheetName val="도급FORM"/>
      <sheetName val="일반문틀 설치"/>
      <sheetName val="샌딩 에폭시 도장"/>
      <sheetName val="스텐문틀설치"/>
      <sheetName val="항목(1)"/>
      <sheetName val="BOOK4"/>
      <sheetName val="역T형교대(말뚝기초)"/>
      <sheetName val="일목"/>
      <sheetName val="토목-물가"/>
      <sheetName val="F4-F7"/>
      <sheetName val="1안내역"/>
      <sheetName val="공사대장"/>
      <sheetName val="토적계산"/>
      <sheetName val="공사비총괄표"/>
      <sheetName val="차수"/>
      <sheetName val="관기성공.내"/>
      <sheetName val="FAB별"/>
      <sheetName val="재료집계표"/>
      <sheetName val="대비"/>
      <sheetName val="경율산정.XLS"/>
      <sheetName val="내역서1"/>
      <sheetName val="단가산출서 (2)"/>
      <sheetName val="단가산출서"/>
      <sheetName val="개산공사비"/>
      <sheetName val="투입비"/>
      <sheetName val="철근량"/>
      <sheetName val="총괄집계표"/>
      <sheetName val="잡철물"/>
      <sheetName val="영동(D)"/>
      <sheetName val="견"/>
      <sheetName val="도시가스현황"/>
      <sheetName val="산출기준(파견전산실)"/>
      <sheetName val="빙장비사양"/>
      <sheetName val="장비사양"/>
      <sheetName val="LF자재단가"/>
      <sheetName val="3.바닥판설계"/>
      <sheetName val="직원투입계획"/>
      <sheetName val="부속동"/>
      <sheetName val="36+45-113-18+19+20I"/>
      <sheetName val="관계주식"/>
      <sheetName val="토공정보"/>
      <sheetName val="소방"/>
      <sheetName val="예산M12A"/>
      <sheetName val="copy"/>
      <sheetName val="서식"/>
      <sheetName val="설직재-1"/>
      <sheetName val="제직재"/>
      <sheetName val="수량계산서_집계표(철거-을지로3가_3호선)"/>
      <sheetName val="3_바닥판__"/>
      <sheetName val="날개벽(좌,우=45도,75도)"/>
      <sheetName val="분류"/>
      <sheetName val="RAW DATA"/>
      <sheetName val="무시"/>
      <sheetName val="SCHEDULE"/>
      <sheetName val="ELECTRIC"/>
      <sheetName val="SUMMARY(S)"/>
      <sheetName val="물가대비표"/>
      <sheetName val="물량표"/>
      <sheetName val="도급"/>
      <sheetName val="#3_일위대가목록"/>
      <sheetName val="신.분"/>
      <sheetName val="대비표"/>
      <sheetName val="장비가동"/>
      <sheetName val="대비표(토공1안)"/>
      <sheetName val="방호시설검토"/>
      <sheetName val="아파트"/>
      <sheetName val="부대시설"/>
      <sheetName val="사통"/>
      <sheetName val="교각1"/>
      <sheetName val="공종별자재"/>
      <sheetName val="건축공사"/>
      <sheetName val="관람석제출"/>
      <sheetName val="Sheet7(ㅅ)"/>
      <sheetName val="카메라"/>
      <sheetName val="전익정산집계"/>
      <sheetName val="별표 "/>
      <sheetName val="안내"/>
      <sheetName val="입력"/>
      <sheetName val="덕전리"/>
      <sheetName val="산출내역(K2)"/>
      <sheetName val="구조물공"/>
      <sheetName val="제출내역 (2)"/>
      <sheetName val="6공구(당초)"/>
      <sheetName val="부대공"/>
      <sheetName val="공사비집계"/>
      <sheetName val="투찰"/>
      <sheetName val="1,2공구원가계산서"/>
      <sheetName val="Macro2"/>
      <sheetName val="1공구산출내역서"/>
      <sheetName val="Macro1"/>
      <sheetName val="전체제잡비"/>
      <sheetName val="세골재  T2 변경 현황"/>
      <sheetName val="단가비교표"/>
      <sheetName val="3차설계"/>
      <sheetName val="날개벽(시점좌측)"/>
      <sheetName val="우수받이"/>
      <sheetName val="기성내역서"/>
      <sheetName val="교대철근집계"/>
      <sheetName val="마포토정"/>
      <sheetName val="MAT"/>
      <sheetName val="자금청구"/>
      <sheetName val="기성고조서 "/>
      <sheetName val="봉급(직영)"/>
      <sheetName val="경비산출"/>
      <sheetName val="일위대가(계측기설치)"/>
      <sheetName val="재료산출"/>
      <sheetName val="표준내역"/>
      <sheetName val="직노"/>
      <sheetName val="기별"/>
      <sheetName val="연결관암거"/>
      <sheetName val="도로"/>
      <sheetName val="8.석축단위(H=1.5M)"/>
      <sheetName val="가시설수량"/>
      <sheetName val="대로근거"/>
      <sheetName val="중로근거"/>
      <sheetName val="실행내역 "/>
      <sheetName val="청-교대(A1-A2)"/>
      <sheetName val="종배수관(신)"/>
      <sheetName val="설계기준 및 하중계산"/>
      <sheetName val="도장재료산출"/>
      <sheetName val="설비"/>
      <sheetName val="접속도로"/>
      <sheetName val="입출재고현황 (2)"/>
      <sheetName val="기본일위"/>
      <sheetName val="장비경비"/>
      <sheetName val="48일위"/>
      <sheetName val="48수량"/>
      <sheetName val="22수량"/>
      <sheetName val="49일위"/>
      <sheetName val="대,유,램"/>
      <sheetName val="22일위"/>
      <sheetName val="49수량"/>
      <sheetName val="(A)내역서"/>
      <sheetName val="VXXXXX"/>
      <sheetName val="unitpric"/>
      <sheetName val="견적대비"/>
      <sheetName val="연결임시"/>
      <sheetName val="한일양산"/>
      <sheetName val="심사물량"/>
      <sheetName val="심사계산"/>
      <sheetName val="중갑지"/>
      <sheetName val="6.가격조사서 "/>
      <sheetName val="DATA_Garak"/>
      <sheetName val="DATA_Total"/>
      <sheetName val="DATA_Kwangju"/>
      <sheetName val="DATA_Daejeon"/>
      <sheetName val="DATA_Sadang"/>
      <sheetName val="DATA_Yangjae"/>
      <sheetName val="DATA_Yoido"/>
      <sheetName val="DATA_Ulsan"/>
      <sheetName val="DATA_Incheon"/>
      <sheetName val="DATA_Jeonju"/>
      <sheetName val="견적대비표"/>
      <sheetName val="세부내역서"/>
      <sheetName val="보차도경계석"/>
      <sheetName val="일위집계(기존)"/>
      <sheetName val="ETC"/>
      <sheetName val="토목내역서"/>
      <sheetName val="냉천부속동"/>
      <sheetName val="ilch"/>
      <sheetName val="건축(APT,부대동)"/>
      <sheetName val="POOM_MOTO"/>
      <sheetName val="POOM_MOTO2"/>
      <sheetName val="000000"/>
      <sheetName val="배수관토공"/>
      <sheetName val="99.12"/>
      <sheetName val="예가비교표"/>
      <sheetName val="일위(PN)"/>
      <sheetName val="전문품의"/>
      <sheetName val="유기공정"/>
      <sheetName val="DATA 입력란"/>
    </sheetNames>
    <sheetDataSet>
      <sheetData sheetId="0">
        <row r="5">
          <cell r="B5">
            <v>0.09</v>
          </cell>
        </row>
      </sheetData>
      <sheetData sheetId="1">
        <row r="2">
          <cell r="E2">
            <v>23200</v>
          </cell>
        </row>
      </sheetData>
      <sheetData sheetId="2"/>
      <sheetData sheetId="3" refreshError="1">
        <row r="5">
          <cell r="B5">
            <v>0.09</v>
          </cell>
        </row>
        <row r="18">
          <cell r="B18">
            <v>0.14000000000000001</v>
          </cell>
          <cell r="C18">
            <v>0.09</v>
          </cell>
        </row>
        <row r="19">
          <cell r="B19">
            <v>0.23</v>
          </cell>
          <cell r="C19">
            <v>0.14000000000000001</v>
          </cell>
        </row>
        <row r="20">
          <cell r="B20">
            <v>0.32</v>
          </cell>
          <cell r="C20">
            <v>0.19</v>
          </cell>
        </row>
        <row r="22">
          <cell r="B22">
            <v>0.5</v>
          </cell>
          <cell r="C22">
            <v>0.28999999999999998</v>
          </cell>
        </row>
        <row r="24">
          <cell r="B24">
            <v>0.68</v>
          </cell>
          <cell r="C24">
            <v>0.39</v>
          </cell>
        </row>
        <row r="50">
          <cell r="B50">
            <v>0.23</v>
          </cell>
          <cell r="C50">
            <v>0.14000000000000001</v>
          </cell>
        </row>
        <row r="51">
          <cell r="B51">
            <v>0.3</v>
          </cell>
          <cell r="C51">
            <v>0.18</v>
          </cell>
        </row>
        <row r="52">
          <cell r="B52">
            <v>0.37</v>
          </cell>
          <cell r="C52">
            <v>0.22</v>
          </cell>
        </row>
        <row r="54">
          <cell r="B54">
            <v>0.51</v>
          </cell>
          <cell r="C54">
            <v>0.3</v>
          </cell>
        </row>
        <row r="56">
          <cell r="B56">
            <v>0.65</v>
          </cell>
          <cell r="C56">
            <v>0.39</v>
          </cell>
        </row>
        <row r="59">
          <cell r="B59">
            <v>0.87</v>
          </cell>
          <cell r="C59">
            <v>0.52</v>
          </cell>
        </row>
      </sheetData>
      <sheetData sheetId="4"/>
      <sheetData sheetId="5" refreshError="1">
        <row r="2">
          <cell r="E2">
            <v>23200</v>
          </cell>
        </row>
        <row r="4">
          <cell r="E4">
            <v>66500</v>
          </cell>
        </row>
        <row r="5">
          <cell r="E5">
            <v>123000</v>
          </cell>
        </row>
        <row r="6">
          <cell r="E6">
            <v>3600</v>
          </cell>
        </row>
        <row r="7">
          <cell r="E7">
            <v>6400</v>
          </cell>
        </row>
        <row r="8">
          <cell r="E8">
            <v>13000</v>
          </cell>
        </row>
        <row r="9">
          <cell r="E9">
            <v>22300</v>
          </cell>
        </row>
        <row r="10">
          <cell r="E10">
            <v>47700</v>
          </cell>
        </row>
        <row r="11">
          <cell r="E11">
            <v>203800</v>
          </cell>
        </row>
        <row r="12">
          <cell r="E12">
            <v>407710</v>
          </cell>
        </row>
        <row r="13">
          <cell r="E13">
            <v>815430</v>
          </cell>
        </row>
        <row r="14">
          <cell r="E14">
            <v>1630860</v>
          </cell>
        </row>
        <row r="15">
          <cell r="E15">
            <v>6100</v>
          </cell>
        </row>
        <row r="16">
          <cell r="E16">
            <v>9700</v>
          </cell>
        </row>
        <row r="17">
          <cell r="E17">
            <v>13500</v>
          </cell>
        </row>
        <row r="18">
          <cell r="E18">
            <v>20800</v>
          </cell>
        </row>
        <row r="19">
          <cell r="E19">
            <v>37500</v>
          </cell>
        </row>
        <row r="20">
          <cell r="E20">
            <v>18600</v>
          </cell>
        </row>
        <row r="21">
          <cell r="E21">
            <v>42000</v>
          </cell>
        </row>
        <row r="22">
          <cell r="E22">
            <v>41500</v>
          </cell>
        </row>
        <row r="23">
          <cell r="E23">
            <v>68250</v>
          </cell>
        </row>
        <row r="24">
          <cell r="E24">
            <v>76100</v>
          </cell>
        </row>
        <row r="25">
          <cell r="E25">
            <v>157500</v>
          </cell>
        </row>
        <row r="26">
          <cell r="E26">
            <v>127000</v>
          </cell>
        </row>
        <row r="27">
          <cell r="E27">
            <v>380</v>
          </cell>
        </row>
        <row r="28">
          <cell r="E28">
            <v>910</v>
          </cell>
        </row>
        <row r="29">
          <cell r="E29">
            <v>1400</v>
          </cell>
        </row>
        <row r="30">
          <cell r="E30">
            <v>3460</v>
          </cell>
        </row>
        <row r="31">
          <cell r="E31">
            <v>3100</v>
          </cell>
        </row>
        <row r="32">
          <cell r="E32">
            <v>5300</v>
          </cell>
        </row>
        <row r="33">
          <cell r="E33">
            <v>8500</v>
          </cell>
        </row>
        <row r="34">
          <cell r="E34">
            <v>23700</v>
          </cell>
        </row>
        <row r="35">
          <cell r="E35">
            <v>71170</v>
          </cell>
        </row>
        <row r="36">
          <cell r="E36">
            <v>4070</v>
          </cell>
        </row>
        <row r="37">
          <cell r="E37">
            <v>5100</v>
          </cell>
        </row>
        <row r="38">
          <cell r="E38">
            <v>10000</v>
          </cell>
        </row>
        <row r="39">
          <cell r="E39">
            <v>23500</v>
          </cell>
        </row>
        <row r="40">
          <cell r="E40">
            <v>45600</v>
          </cell>
        </row>
        <row r="42">
          <cell r="E42">
            <v>27000</v>
          </cell>
        </row>
        <row r="44">
          <cell r="E44">
            <v>2200</v>
          </cell>
        </row>
        <row r="45">
          <cell r="E45">
            <v>3200</v>
          </cell>
        </row>
        <row r="47">
          <cell r="E47">
            <v>22400</v>
          </cell>
        </row>
        <row r="552">
          <cell r="E552">
            <v>48300</v>
          </cell>
        </row>
      </sheetData>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sheetData sheetId="315"/>
      <sheetData sheetId="316"/>
      <sheetData sheetId="317"/>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창"/>
      <sheetName val="기초자료"/>
      <sheetName val="계획서"/>
      <sheetName val="검토서"/>
      <sheetName val="(1)설계서표지"/>
      <sheetName val="(2)공사계획서"/>
      <sheetName val="(3)공사설명"/>
      <sheetName val="(4)공정표"/>
      <sheetName val="(9)공사예산"/>
      <sheetName val="(10)예산내역"/>
      <sheetName val="(11)도급내역"/>
      <sheetName val="(12)자재비"/>
      <sheetName val="(13)노무비"/>
      <sheetName val="(17)품셈"/>
      <sheetName val="(14)경비"/>
      <sheetName val="(15)일반 이윤"/>
      <sheetName val="(18)운반비"/>
      <sheetName val="운반비변경"/>
      <sheetName val="기성내역서"/>
      <sheetName val="기성자재비"/>
      <sheetName val="기성노무비"/>
      <sheetName val="기성검사보고서(3부)"/>
      <sheetName val="정산변경표지"/>
      <sheetName val="정산변경내역"/>
      <sheetName val="검사보고서(3부)"/>
      <sheetName val="준공검사점검표"/>
      <sheetName val="자재비변경"/>
      <sheetName val="노무비변경"/>
      <sheetName val="경비변경"/>
      <sheetName val="일반,이윤변경"/>
      <sheetName val="간이준공검사보고"/>
      <sheetName val="간이공사산출"/>
      <sheetName val="간이공사통보서"/>
      <sheetName val="계약지불의뢰"/>
      <sheetName val="품질검토의뢰"/>
      <sheetName val="공사통보(보관)"/>
      <sheetName val="시험및검사계획"/>
      <sheetName val="자재지입"/>
      <sheetName val="작업전안전회의"/>
      <sheetName val="물량집계표"/>
      <sheetName val="노임단가"/>
      <sheetName val="(16)부표(목차)"/>
      <sheetName val="(변,업)참고자료"/>
      <sheetName val="자산단위"/>
      <sheetName val="설계명세서"/>
      <sheetName val="준공정산"/>
    </sheetNames>
    <sheetDataSet>
      <sheetData sheetId="0"/>
      <sheetData sheetId="1">
        <row r="65">
          <cell r="Q65">
            <v>0</v>
          </cell>
        </row>
        <row r="66">
          <cell r="Q66">
            <v>0</v>
          </cell>
        </row>
      </sheetData>
      <sheetData sheetId="2"/>
      <sheetData sheetId="3"/>
      <sheetData sheetId="4"/>
      <sheetData sheetId="5"/>
      <sheetData sheetId="6"/>
      <sheetData sheetId="7"/>
      <sheetData sheetId="8"/>
      <sheetData sheetId="9"/>
      <sheetData sheetId="10"/>
      <sheetData sheetId="11">
        <row r="11">
          <cell r="H11">
            <v>0</v>
          </cell>
        </row>
      </sheetData>
      <sheetData sheetId="12">
        <row r="12">
          <cell r="H12">
            <v>0</v>
          </cell>
        </row>
      </sheetData>
      <sheetData sheetId="13"/>
      <sheetData sheetId="14">
        <row r="10">
          <cell r="H10">
            <v>0</v>
          </cell>
        </row>
        <row r="19">
          <cell r="H19">
            <v>0</v>
          </cell>
        </row>
        <row r="36">
          <cell r="H36">
            <v>0</v>
          </cell>
        </row>
      </sheetData>
      <sheetData sheetId="15"/>
      <sheetData sheetId="16"/>
      <sheetData sheetId="17"/>
      <sheetData sheetId="18"/>
      <sheetData sheetId="19"/>
      <sheetData sheetId="20"/>
      <sheetData sheetId="21"/>
      <sheetData sheetId="22"/>
      <sheetData sheetId="23"/>
      <sheetData sheetId="24"/>
      <sheetData sheetId="25"/>
      <sheetData sheetId="26">
        <row r="6">
          <cell r="J6">
            <v>0</v>
          </cell>
        </row>
      </sheetData>
      <sheetData sheetId="27">
        <row r="6">
          <cell r="J6">
            <v>0</v>
          </cell>
        </row>
        <row r="8">
          <cell r="J8">
            <v>0</v>
          </cell>
        </row>
        <row r="23">
          <cell r="J23">
            <v>0</v>
          </cell>
        </row>
      </sheetData>
      <sheetData sheetId="28">
        <row r="6">
          <cell r="J6">
            <v>0</v>
          </cell>
        </row>
        <row r="9">
          <cell r="J9">
            <v>0</v>
          </cell>
        </row>
        <row r="10">
          <cell r="J10">
            <v>0</v>
          </cell>
        </row>
        <row r="11">
          <cell r="J11">
            <v>0</v>
          </cell>
        </row>
        <row r="12">
          <cell r="J12">
            <v>0</v>
          </cell>
        </row>
        <row r="13">
          <cell r="J13">
            <v>0</v>
          </cell>
        </row>
        <row r="14">
          <cell r="J14">
            <v>0</v>
          </cell>
        </row>
        <row r="15">
          <cell r="J15">
            <v>0</v>
          </cell>
        </row>
        <row r="16">
          <cell r="J16">
            <v>0</v>
          </cell>
        </row>
        <row r="17">
          <cell r="J17">
            <v>0</v>
          </cell>
        </row>
      </sheetData>
      <sheetData sheetId="29">
        <row r="6">
          <cell r="J6">
            <v>0</v>
          </cell>
        </row>
        <row r="18">
          <cell r="J18">
            <v>0</v>
          </cell>
        </row>
      </sheetData>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목차,공사설명서"/>
      <sheetName val="예정공정표"/>
      <sheetName val="동원인원계획표"/>
      <sheetName val="총공사비"/>
      <sheetName val="공사원가계산서"/>
      <sheetName val="예산내역서(총괄)"/>
      <sheetName val="예산내역서(목록)"/>
      <sheetName val="예산내역서"/>
      <sheetName val="호표리스트"/>
      <sheetName val="일위대가표"/>
      <sheetName val="공종리스트"/>
      <sheetName val="사급자재조서"/>
      <sheetName val="공종 합 계산"/>
      <sheetName val="지입자재내역"/>
      <sheetName val="가.라다"/>
      <sheetName val="나. hp,트로프"/>
      <sheetName val="다.pe,후강"/>
      <sheetName val="라.c형찬넬"/>
      <sheetName val="마.스파이랄"/>
      <sheetName val="바.케이블총괄"/>
      <sheetName val="바.광케이블산출"/>
      <sheetName val="운반공사,공구손료"/>
      <sheetName val="공제대산출"/>
      <sheetName val="pe내관피스표"/>
      <sheetName val="H피스총괄"/>
      <sheetName val="D피스총괄"/>
      <sheetName val="HS피스총괄"/>
      <sheetName val="H피스"/>
      <sheetName val="D피스"/>
      <sheetName val="HS피스"/>
      <sheetName val="동원인원산출"/>
      <sheetName val="공구손료산출"/>
      <sheetName val="설계서Mac"/>
      <sheetName val="Module1"/>
      <sheetName val="Module2"/>
      <sheetName val="노무비변경"/>
      <sheetName val="(13)노무비"/>
      <sheetName val="경비변경"/>
      <sheetName val="기초자료"/>
      <sheetName val="(14)경비"/>
      <sheetName val="(12)자재비"/>
      <sheetName val="일반,이윤변경"/>
      <sheetName val="자재비변경"/>
      <sheetName val="설계"/>
      <sheetName val="설계명세서"/>
    </sheetNames>
    <sheetDataSet>
      <sheetData sheetId="0"/>
      <sheetData sheetId="1"/>
      <sheetData sheetId="2"/>
      <sheetData sheetId="3"/>
      <sheetData sheetId="4"/>
      <sheetData sheetId="5"/>
      <sheetData sheetId="6">
        <row r="10">
          <cell r="G10">
            <v>5195869</v>
          </cell>
          <cell r="I10">
            <v>322119</v>
          </cell>
          <cell r="K10">
            <v>7261229</v>
          </cell>
          <cell r="M10">
            <v>30248</v>
          </cell>
        </row>
        <row r="11">
          <cell r="G11">
            <v>27663152</v>
          </cell>
          <cell r="I11">
            <v>10933247</v>
          </cell>
          <cell r="K11">
            <v>88429879</v>
          </cell>
          <cell r="M11">
            <v>6353754</v>
          </cell>
        </row>
        <row r="21">
          <cell r="G21">
            <v>7654428</v>
          </cell>
          <cell r="I21">
            <v>79215</v>
          </cell>
          <cell r="K21">
            <v>124263425</v>
          </cell>
        </row>
      </sheetData>
      <sheetData sheetId="7"/>
      <sheetData sheetId="8">
        <row r="75">
          <cell r="O75">
            <v>2328322</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33">
          <cell r="L33">
            <v>2328322</v>
          </cell>
        </row>
      </sheetData>
      <sheetData sheetId="23">
        <row r="12">
          <cell r="O12">
            <v>470085.05</v>
          </cell>
        </row>
      </sheetData>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표지"/>
      <sheetName val="목차"/>
      <sheetName val="계획"/>
      <sheetName val="설명"/>
      <sheetName val="설명 (2)"/>
      <sheetName val="설명첨부"/>
      <sheetName val="총괄"/>
      <sheetName val="공정"/>
      <sheetName val="자금"/>
      <sheetName val="일반"/>
      <sheetName val="특기"/>
      <sheetName val="안전"/>
      <sheetName val="품질"/>
      <sheetName val="시공"/>
      <sheetName val="시공 (2)"/>
      <sheetName val="구매"/>
      <sheetName val="예산"/>
      <sheetName val="설계"/>
      <sheetName val="품셈"/>
      <sheetName val="노임"/>
      <sheetName val="수량명세"/>
      <sheetName val="전원설비구성도"/>
      <sheetName val="기기배치도"/>
      <sheetName val="수량명세 (2)"/>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70">
          <cell r="G170">
            <v>3850165.9000000004</v>
          </cell>
        </row>
        <row r="172">
          <cell r="G172">
            <v>31351350.899999999</v>
          </cell>
        </row>
        <row r="176">
          <cell r="G176">
            <v>1000000</v>
          </cell>
        </row>
        <row r="180">
          <cell r="G180">
            <v>639847</v>
          </cell>
        </row>
        <row r="191">
          <cell r="G191">
            <v>503707</v>
          </cell>
        </row>
        <row r="193">
          <cell r="G193">
            <v>44274</v>
          </cell>
        </row>
        <row r="194">
          <cell r="G194">
            <v>4540886</v>
          </cell>
        </row>
        <row r="196">
          <cell r="G196">
            <v>5540886</v>
          </cell>
        </row>
        <row r="208">
          <cell r="G208">
            <v>47863999.899999999</v>
          </cell>
        </row>
      </sheetData>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교환기"/>
      <sheetName val="교환예산"/>
      <sheetName val="예산총괄"/>
      <sheetName val="통신예산"/>
      <sheetName val="공사계획서"/>
      <sheetName val="자금계획서"/>
      <sheetName val="노임"/>
      <sheetName val="교환노무"/>
      <sheetName val="목차"/>
      <sheetName val="계산"/>
      <sheetName val="1"/>
      <sheetName val="10"/>
      <sheetName val="11"/>
      <sheetName val="12"/>
      <sheetName val="13"/>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31"/>
      <sheetName val="32"/>
      <sheetName val="33"/>
      <sheetName val="34"/>
      <sheetName val="35"/>
      <sheetName val="36"/>
      <sheetName val="37"/>
      <sheetName val="4"/>
      <sheetName val="5"/>
      <sheetName val="6"/>
      <sheetName val="7"/>
      <sheetName val="8"/>
      <sheetName val="9"/>
      <sheetName val="예산내역서(총괄)"/>
      <sheetName val="예산내역서"/>
      <sheetName val="공제대산출"/>
      <sheetName val="운반공사,공구손료"/>
      <sheetName val="노무산출서"/>
      <sheetName val="소요자재"/>
      <sheetName val="9.설치품셈"/>
      <sheetName val="품셈총괄"/>
      <sheetName val="기본DATA Sheet"/>
      <sheetName val="수량총괄"/>
      <sheetName val="노무비명세서"/>
      <sheetName val="소요자재명세서"/>
      <sheetName val="내역서"/>
      <sheetName val="설치품셈"/>
      <sheetName val="정산내역서"/>
      <sheetName val="공리일"/>
      <sheetName val="노무비변경"/>
      <sheetName val="경비변경"/>
      <sheetName val="기초자료"/>
      <sheetName val="(14)경비"/>
      <sheetName val="(12)자재비"/>
      <sheetName val="일반,이윤변경"/>
      <sheetName val="자재비변경"/>
      <sheetName val="집계표"/>
      <sheetName val="공사계획"/>
      <sheetName val="댁내기별"/>
      <sheetName val="설계명세"/>
      <sheetName val="기계경비(시간당)"/>
      <sheetName val="일위대가표"/>
      <sheetName val="램머"/>
      <sheetName val="설계명세서"/>
      <sheetName val="노임단가표 "/>
      <sheetName val="인입기본설계"/>
      <sheetName val="정산내역"/>
      <sheetName val="소요자재명세서2"/>
      <sheetName val="일위대가"/>
      <sheetName val="정산"/>
      <sheetName val="설명서"/>
      <sheetName val="기초자료입력"/>
      <sheetName val="준공정산"/>
      <sheetName val="동축_정산서"/>
      <sheetName val="257A1"/>
      <sheetName val="G.R300경비"/>
      <sheetName val="기본DATA_Sheet"/>
      <sheetName val="9_설치품셈"/>
      <sheetName val="노임단가표_"/>
      <sheetName val="인부임"/>
      <sheetName val="품셈"/>
      <sheetName val="노임단가표"/>
      <sheetName val="품셈표"/>
      <sheetName val="공사설명서외"/>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일위대가"/>
      <sheetName val="조명시설"/>
      <sheetName val="설계예시"/>
      <sheetName val="실행철강하도"/>
      <sheetName val="노임이"/>
      <sheetName val="데리네이타현황"/>
      <sheetName val="#REF"/>
      <sheetName val="마산방향"/>
      <sheetName val="진주방향"/>
      <sheetName val="수량산출"/>
      <sheetName val="터파기및재료"/>
      <sheetName val="방음벽기초(H=4m)"/>
      <sheetName val="코드표"/>
      <sheetName val="기구조직"/>
      <sheetName val="내역서"/>
      <sheetName val="일위대가(가설)"/>
      <sheetName val="단위단가"/>
      <sheetName val="N賃率-職"/>
      <sheetName val="TOTAL1"/>
      <sheetName val="일반수량총괄집계"/>
      <sheetName val="총괄내역서"/>
      <sheetName val="DATE"/>
      <sheetName val="화설내"/>
      <sheetName val="수목데이타"/>
      <sheetName val="데이타"/>
      <sheetName val="식재인부"/>
      <sheetName val=" 토목 처리장도급내역서 "/>
      <sheetName val="수목보호틀연장조서"/>
      <sheetName val="98수문일위"/>
      <sheetName val="구분표"/>
      <sheetName val="제원입력"/>
      <sheetName val="대로근거"/>
      <sheetName val="중로근거"/>
      <sheetName val="단위수량"/>
      <sheetName val="수로BOX"/>
      <sheetName val="Sheet1 (2)"/>
      <sheetName val="집계표"/>
      <sheetName val="일위대가9803"/>
      <sheetName val="사유서제출현황-2"/>
      <sheetName val="맨홀수량"/>
      <sheetName val="bid"/>
      <sheetName val="콘크리트포장철거"/>
      <sheetName val="현장관리비"/>
      <sheetName val="예총"/>
      <sheetName val="차액보증"/>
      <sheetName val="내역서 (2)"/>
      <sheetName val="노임단가"/>
      <sheetName val="기계경비(시간당)"/>
      <sheetName val="램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조사"/>
      <sheetName val="원가서"/>
    </sheetNames>
    <sheetDataSet>
      <sheetData sheetId="0"/>
      <sheetData sheetId="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반월시설물집계"/>
      <sheetName val="학습수목"/>
      <sheetName val="학습원내역"/>
      <sheetName val="반월관수"/>
      <sheetName val="반월수목집계"/>
      <sheetName val="총괄내역"/>
      <sheetName val="진입관수"/>
      <sheetName val="진입수목"/>
      <sheetName val="진입로내역"/>
      <sheetName val="시설물"/>
      <sheetName val="단가"/>
      <sheetName val="제방수목"/>
      <sheetName val="제방내역"/>
      <sheetName val="학습원관수"/>
      <sheetName val="유지관리"/>
      <sheetName val="식재출력용"/>
      <sheetName val="식재"/>
      <sheetName val="동화시설물집계"/>
      <sheetName val="동화천내역"/>
      <sheetName val="동화천수량집계"/>
      <sheetName val="단가조사"/>
      <sheetName val="수량산출서"/>
      <sheetName val="장비산출근거"/>
      <sheetName val="laroux"/>
    </sheetNames>
    <sheetDataSet>
      <sheetData sheetId="0"/>
      <sheetData sheetId="1"/>
      <sheetData sheetId="2"/>
      <sheetData sheetId="3"/>
      <sheetData sheetId="4"/>
      <sheetData sheetId="5"/>
      <sheetData sheetId="6"/>
      <sheetData sheetId="7"/>
      <sheetData sheetId="8"/>
      <sheetData sheetId="9">
        <row r="294">
          <cell r="F294">
            <v>0</v>
          </cell>
          <cell r="H294">
            <v>943</v>
          </cell>
        </row>
        <row r="305">
          <cell r="F305">
            <v>179.2</v>
          </cell>
          <cell r="H305">
            <v>24787.200000000001</v>
          </cell>
          <cell r="J305">
            <v>192.89999999999998</v>
          </cell>
        </row>
        <row r="357">
          <cell r="F357">
            <v>22925745</v>
          </cell>
          <cell r="H357">
            <v>4028327</v>
          </cell>
          <cell r="J357">
            <v>241852</v>
          </cell>
        </row>
        <row r="370">
          <cell r="F370">
            <v>585259</v>
          </cell>
          <cell r="H370">
            <v>114763</v>
          </cell>
          <cell r="J370">
            <v>9244</v>
          </cell>
        </row>
        <row r="383">
          <cell r="F383">
            <v>562550</v>
          </cell>
          <cell r="H383">
            <v>105358</v>
          </cell>
        </row>
      </sheetData>
      <sheetData sheetId="10">
        <row r="3">
          <cell r="A3">
            <v>6517</v>
          </cell>
        </row>
        <row r="4">
          <cell r="A4">
            <v>1782</v>
          </cell>
        </row>
        <row r="5">
          <cell r="A5">
            <v>2037</v>
          </cell>
        </row>
      </sheetData>
      <sheetData sheetId="11" refreshError="1"/>
      <sheetData sheetId="12" refreshError="1"/>
      <sheetData sheetId="13" refreshError="1"/>
      <sheetData sheetId="14">
        <row r="82">
          <cell r="F82">
            <v>47386</v>
          </cell>
          <cell r="H82">
            <v>18817.599999999999</v>
          </cell>
        </row>
        <row r="100">
          <cell r="F100">
            <v>1000</v>
          </cell>
          <cell r="H100">
            <v>1147</v>
          </cell>
        </row>
        <row r="105">
          <cell r="F105">
            <v>1000</v>
          </cell>
          <cell r="H105">
            <v>448</v>
          </cell>
        </row>
      </sheetData>
      <sheetData sheetId="15">
        <row r="249">
          <cell r="H249">
            <v>174</v>
          </cell>
        </row>
      </sheetData>
      <sheetData sheetId="16">
        <row r="49">
          <cell r="F49">
            <v>10700</v>
          </cell>
          <cell r="H49">
            <v>8666</v>
          </cell>
        </row>
        <row r="83">
          <cell r="F83">
            <v>0</v>
          </cell>
          <cell r="H83">
            <v>8666</v>
          </cell>
        </row>
        <row r="146">
          <cell r="F146">
            <v>1100</v>
          </cell>
          <cell r="H146">
            <v>452</v>
          </cell>
        </row>
        <row r="151">
          <cell r="F151">
            <v>880</v>
          </cell>
          <cell r="H151">
            <v>158</v>
          </cell>
        </row>
        <row r="156">
          <cell r="F156">
            <v>2200</v>
          </cell>
          <cell r="H156">
            <v>322</v>
          </cell>
        </row>
        <row r="180">
          <cell r="F180">
            <v>1980</v>
          </cell>
          <cell r="H180">
            <v>158</v>
          </cell>
        </row>
        <row r="185">
          <cell r="F185">
            <v>1650</v>
          </cell>
          <cell r="H185">
            <v>158</v>
          </cell>
        </row>
        <row r="190">
          <cell r="F190">
            <v>4400</v>
          </cell>
          <cell r="H190">
            <v>158</v>
          </cell>
        </row>
        <row r="209">
          <cell r="F209">
            <v>242</v>
          </cell>
          <cell r="H209">
            <v>282</v>
          </cell>
        </row>
      </sheetData>
      <sheetData sheetId="17"/>
      <sheetData sheetId="18" refreshError="1"/>
      <sheetData sheetId="19"/>
      <sheetData sheetId="20" refreshError="1"/>
      <sheetData sheetId="21" refreshError="1"/>
      <sheetData sheetId="22" refreshError="1"/>
      <sheetData sheetId="23"/>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획"/>
      <sheetName val="설명"/>
      <sheetName val="기기배치도"/>
      <sheetName val="총괄"/>
      <sheetName val="자금"/>
      <sheetName val="예산"/>
      <sheetName val="설계"/>
      <sheetName val="품셈"/>
      <sheetName val="수량"/>
      <sheetName val="기별"/>
      <sheetName val="노임"/>
      <sheetName val="자재검수"/>
      <sheetName val="변경도면"/>
      <sheetName val="변경내역"/>
      <sheetName val="산출내역"/>
      <sheetName val="추가지입"/>
      <sheetName val="내역서"/>
      <sheetName val="품셈 (2)"/>
      <sheetName val="설계 (2)"/>
      <sheetName val="교환노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산출서"/>
      <sheetName val="수목일위"/>
      <sheetName val="원가"/>
      <sheetName val="시설물일위"/>
      <sheetName val="단가"/>
    </sheetNames>
    <sheetDataSet>
      <sheetData sheetId="0" refreshError="1"/>
      <sheetData sheetId="1" refreshError="1"/>
      <sheetData sheetId="2" refreshError="1"/>
      <sheetData sheetId="3" refreshError="1"/>
      <sheetData sheetId="4" refreshError="1">
        <row r="4">
          <cell r="A4">
            <v>13000</v>
          </cell>
        </row>
        <row r="11">
          <cell r="A11">
            <v>490</v>
          </cell>
        </row>
        <row r="18">
          <cell r="A18">
            <v>560</v>
          </cell>
        </row>
        <row r="53">
          <cell r="A53">
            <v>980</v>
          </cell>
        </row>
        <row r="68">
          <cell r="A68">
            <v>11791</v>
          </cell>
        </row>
        <row r="73">
          <cell r="A73">
            <v>800</v>
          </cell>
        </row>
        <row r="96">
          <cell r="A96">
            <v>419000</v>
          </cell>
        </row>
        <row r="97">
          <cell r="A97">
            <v>283000</v>
          </cell>
        </row>
        <row r="98">
          <cell r="A98">
            <v>179000</v>
          </cell>
        </row>
        <row r="135">
          <cell r="A135">
            <v>7200</v>
          </cell>
        </row>
        <row r="136">
          <cell r="A136">
            <v>11800</v>
          </cell>
        </row>
        <row r="137">
          <cell r="A137">
            <v>5900</v>
          </cell>
        </row>
        <row r="140">
          <cell r="A140">
            <v>1000</v>
          </cell>
        </row>
        <row r="141">
          <cell r="A141">
            <v>1900</v>
          </cell>
        </row>
        <row r="144">
          <cell r="A144">
            <v>13600</v>
          </cell>
        </row>
        <row r="148">
          <cell r="A148">
            <v>4300</v>
          </cell>
        </row>
        <row r="150">
          <cell r="A150">
            <v>2900</v>
          </cell>
        </row>
        <row r="151">
          <cell r="A151">
            <v>350</v>
          </cell>
        </row>
        <row r="156">
          <cell r="A156">
            <v>6100</v>
          </cell>
        </row>
      </sheetData>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초자료입력"/>
      <sheetName val="표 지"/>
      <sheetName val="계획서"/>
      <sheetName val="설명서"/>
      <sheetName val="예산서"/>
      <sheetName val="공정표"/>
      <sheetName val="설계명세서"/>
      <sheetName val="공량설계표"/>
      <sheetName val="출력창"/>
      <sheetName val="준공정산"/>
      <sheetName val="준공보고"/>
      <sheetName val="산출명세"/>
      <sheetName val="간이공사"/>
      <sheetName val="간이예산"/>
      <sheetName val="간이준공보고"/>
      <sheetName val="일반시방서"/>
      <sheetName val="표준공종"/>
      <sheetName val="특기시방서"/>
      <sheetName val="사용방법"/>
      <sheetName val="Module1"/>
      <sheetName val="Module2"/>
      <sheetName val="Module3"/>
      <sheetName val="Module4"/>
    </sheetNames>
    <sheetDataSet>
      <sheetData sheetId="0" refreshError="1">
        <row r="16">
          <cell r="B16">
            <v>35949</v>
          </cell>
        </row>
        <row r="19">
          <cell r="B19" t="str">
            <v>김 상 온</v>
          </cell>
        </row>
        <row r="20">
          <cell r="B20" t="str">
            <v>윤 병 일</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9">
          <cell r="H9">
            <v>5300000</v>
          </cell>
          <cell r="L9">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초자료입력"/>
      <sheetName val="출력창"/>
      <sheetName val="표 지"/>
      <sheetName val="계획서"/>
      <sheetName val="설명서"/>
      <sheetName val="간이공사"/>
      <sheetName val="간이예산"/>
      <sheetName val="예산서"/>
      <sheetName val="공정표"/>
      <sheetName val="설계명세서"/>
      <sheetName val="공량설계표"/>
      <sheetName val="산출명세"/>
      <sheetName val="일반시방서"/>
      <sheetName val="준공보고"/>
      <sheetName val="간이준공보고"/>
      <sheetName val="표준공종"/>
      <sheetName val="특기시방서"/>
      <sheetName val="사용방법"/>
      <sheetName val="Module1"/>
    </sheetNames>
    <sheetDataSet>
      <sheetData sheetId="0" refreshError="1">
        <row r="20">
          <cell r="B20" t="str">
            <v>최 영 재</v>
          </cell>
        </row>
      </sheetData>
      <sheetData sheetId="1"/>
      <sheetData sheetId="2"/>
      <sheetData sheetId="3"/>
      <sheetData sheetId="4" refreshError="1"/>
      <sheetData sheetId="5"/>
      <sheetData sheetId="6"/>
      <sheetData sheetId="7" refreshError="1"/>
      <sheetData sheetId="8"/>
      <sheetData sheetId="9" refreshError="1">
        <row r="9">
          <cell r="H9">
            <v>0</v>
          </cell>
        </row>
      </sheetData>
      <sheetData sheetId="10"/>
      <sheetData sheetId="11"/>
      <sheetData sheetId="12"/>
      <sheetData sheetId="13"/>
      <sheetData sheetId="14"/>
      <sheetData sheetId="15"/>
      <sheetData sheetId="16"/>
      <sheetData sheetId="17"/>
      <sheetData sheetId="18"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
    </sheetNames>
    <sheetDataSet>
      <sheetData sheetId="0" refreshError="1">
        <row r="35">
          <cell r="B35">
            <v>16270</v>
          </cell>
        </row>
        <row r="36">
          <cell r="B36">
            <v>1067</v>
          </cell>
        </row>
      </sheetData>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목차"/>
      <sheetName val="설계조건"/>
      <sheetName val="열관류율"/>
      <sheetName val="First"/>
      <sheetName val="Front"/>
      <sheetName val="wall"/>
      <sheetName val="집계표"/>
      <sheetName val="부하계산서"/>
      <sheetName val="F.C.U ZONE집계"/>
      <sheetName val="A.H.U ZONE별집계"/>
      <sheetName val="PAC 집계"/>
      <sheetName val="난방부하집계(청소년수련관)"/>
      <sheetName val="냉온수기"/>
      <sheetName val="보일러&amp;응축수탱크"/>
      <sheetName val="열교환기"/>
      <sheetName val="공조기선정"/>
      <sheetName val="공조기리턴휀"/>
      <sheetName val="FAN"/>
      <sheetName val="저수조(교육,사이버)"/>
      <sheetName val="저수조(청소년)"/>
      <sheetName val="급탕탱크"/>
      <sheetName val="급수펌프"/>
      <sheetName val="펌프"/>
      <sheetName val="1.가스소비량"/>
      <sheetName val="환산길이"/>
      <sheetName val="1-3.가스관경계산-1"/>
      <sheetName val="1-4.가스관경계산-2"/>
      <sheetName val="1-5.가스관경계산-3"/>
      <sheetName val="1-6.가스관경계산-4 "/>
      <sheetName val="1-7.가스관경계산-5"/>
      <sheetName val="1-7.가스차압산출"/>
      <sheetName val="form"/>
      <sheetName val="ZONE"/>
      <sheetName val="DATA"/>
      <sheetName val="유림골조"/>
      <sheetName val="NEW비교"/>
      <sheetName val="의뢰"/>
      <sheetName val="견적조건"/>
      <sheetName val="품의서"/>
      <sheetName val="새공통(97년3월)"/>
      <sheetName val="건축"/>
      <sheetName val="24평(계단식-TOWER)"/>
      <sheetName val="24평(계단식)"/>
      <sheetName val="32평"/>
      <sheetName val="43평"/>
      <sheetName val="48평"/>
      <sheetName val="동DATA"/>
      <sheetName val="파일본수"/>
      <sheetName val="파일공사"/>
      <sheetName val="SERVICE"/>
      <sheetName val="부대건축"/>
      <sheetName val="전기"/>
      <sheetName val="설비"/>
      <sheetName val="토공사및 흙막이공사"/>
      <sheetName val="옥외"/>
      <sheetName val="물가상승1"/>
      <sheetName val="써100 (A4)"/>
      <sheetName val="제출표지"/>
      <sheetName val="1.견적서목록"/>
      <sheetName val="SF적재계산"/>
      <sheetName val="FAX1"/>
      <sheetName val="주소록"/>
      <sheetName val="Module1"/>
      <sheetName val="Module2"/>
      <sheetName val="MM"/>
      <sheetName val="견적표지"/>
      <sheetName val="견적서"/>
      <sheetName val="부하계산서 (영문)"/>
      <sheetName val="PEND-ITEM"/>
      <sheetName val="PEND-ITEM (2)"/>
      <sheetName val="PEND-99"/>
      <sheetName val="0000"/>
      <sheetName val="설계자료"/>
      <sheetName val="Sheet1"/>
      <sheetName val="Sheet3"/>
      <sheetName val="Sheet7"/>
      <sheetName val="Sheet8"/>
      <sheetName val="Sheet9"/>
      <sheetName val="Sheet10"/>
      <sheetName val="Sheet11"/>
      <sheetName val="Sheet12"/>
      <sheetName val="Sheet13"/>
      <sheetName val="Sheet14"/>
      <sheetName val="Sheet15"/>
      <sheetName val="Sheet6"/>
      <sheetName val="Sheet16"/>
      <sheetName val="VXXXXXX"/>
      <sheetName val="목록"/>
      <sheetName val="파일정리"/>
      <sheetName val="견적표지(종)"/>
      <sheetName val="견적표지 (횡)"/>
      <sheetName val="1"/>
      <sheetName val="화물선취"/>
      <sheetName val="부하집계표 (2안)"/>
      <sheetName val="부하계산서 "/>
      <sheetName val="동결부하계산서"/>
      <sheetName val="UNIT COOLER 선정표"/>
      <sheetName val="ACCUMULALOR (2안)"/>
      <sheetName val="동력집계표 (2안)"/>
      <sheetName val="cooling tower (2)"/>
      <sheetName val="cooling water pump"/>
      <sheetName val="DEFROEST PUMP"/>
      <sheetName val="기기선정표 (2안)"/>
      <sheetName val="부하집계표"/>
      <sheetName val="동력집계표"/>
      <sheetName val="ACCUMULALOR"/>
      <sheetName val="cooling tower"/>
      <sheetName val="기기선정표"/>
      <sheetName val="부하집계표 (2)"/>
      <sheetName val="주차장환기량"/>
      <sheetName val="송풍기272대형(지하2층)"/>
      <sheetName val="송풍기272대형(지하1층)"/>
      <sheetName val="송풍기268대형(지하1층)"/>
      <sheetName val="덕트 및 배기그릴선정"/>
      <sheetName val="공조기"/>
      <sheetName val="공조기휀"/>
      <sheetName val="AHU집계"/>
      <sheetName val="OCT.FDN"/>
      <sheetName val="WIND"/>
      <sheetName val="SEISMIC"/>
      <sheetName val="SIZE"/>
      <sheetName val="EXT.CHECK"/>
      <sheetName val="DESIGN"/>
      <sheetName val="Demolition(Total)"/>
      <sheetName val="D-147E"/>
      <sheetName val="D-126E"/>
      <sheetName val="V-128E"/>
      <sheetName val="FL-123E1"/>
      <sheetName val="D-120E"/>
      <sheetName val="D-131E"/>
      <sheetName val="T-127E1"/>
      <sheetName val="Trench1"/>
      <sheetName val="Trench2"/>
      <sheetName val="Trench3"/>
      <sheetName val="P-147E1"/>
      <sheetName val="P-124E"/>
      <sheetName val="P-127E1,E2 "/>
      <sheetName val="P-121E"/>
      <sheetName val="P-122E"/>
      <sheetName val="P-120E1,E2"/>
      <sheetName val="P-123E1,E2 "/>
      <sheetName val="P-128E "/>
      <sheetName val="PAC"/>
      <sheetName val="Sheet2"/>
      <sheetName val="Sheet3-1"/>
      <sheetName val="Sheet4"/>
      <sheetName val="물가자료비교"/>
      <sheetName val="3사단가비교"/>
      <sheetName val="대동"/>
      <sheetName val="성림"/>
      <sheetName val="금강"/>
      <sheetName val="bid"/>
      <sheetName val="#REF"/>
      <sheetName val="xxxxxx"/>
      <sheetName val="（２）"/>
      <sheetName val="（３） "/>
      <sheetName val="97년-98년"/>
      <sheetName val="Sheet5"/>
      <sheetName val="주간업무보고"/>
      <sheetName val="주간업무보고4월첫째"/>
      <sheetName val="부재중업무보고"/>
      <sheetName val="주간업무보고4월네째"/>
      <sheetName val="3"/>
      <sheetName val="aola"/>
      <sheetName val="aola_2"/>
      <sheetName val="aola_3"/>
      <sheetName val="aola_4"/>
      <sheetName val="aola_5"/>
      <sheetName val="aola_6"/>
      <sheetName val="aola_7"/>
      <sheetName val="aola_8"/>
      <sheetName val="aola_9"/>
      <sheetName val="aola_10"/>
      <sheetName val="aola_11"/>
      <sheetName val="aola_12"/>
      <sheetName val="aola_13"/>
      <sheetName val="aola_14"/>
      <sheetName val="aola_15"/>
      <sheetName val="aola_16"/>
      <sheetName val="aola_17"/>
      <sheetName val="aola_18"/>
      <sheetName val="aola_19"/>
      <sheetName val="aola_20"/>
      <sheetName val="aola_21"/>
      <sheetName val="aola_22"/>
      <sheetName val="목차 (2)"/>
      <sheetName val="목차(1)"/>
      <sheetName val="1-1"/>
      <sheetName val="1-2"/>
      <sheetName val="1-3"/>
      <sheetName val="1-4"/>
      <sheetName val="1-5"/>
      <sheetName val="1-6"/>
      <sheetName val="1-7"/>
      <sheetName val="1-8"/>
      <sheetName val="1-9"/>
      <sheetName val="1-10"/>
      <sheetName val="1-11"/>
      <sheetName val="지침"/>
      <sheetName val="일정"/>
      <sheetName val="단위"/>
      <sheetName val="갱비산출근거"/>
      <sheetName val="양식목차"/>
      <sheetName val="1-1.손익(부문별)"/>
      <sheetName val="1-2.손익(월별)"/>
      <sheetName val="2-1.판관비(부문)"/>
      <sheetName val="2-2.판관비(월별)"/>
      <sheetName val="3-1.수익비용(부문별)"/>
      <sheetName val="3-2.수익비용(월별)"/>
      <sheetName val="4-1.투자(부문)"/>
      <sheetName val="4-2.투자(월별)"/>
      <sheetName val="5-1.인원(부문)"/>
      <sheetName val="5-2.인원(월별)"/>
      <sheetName val="6.산출근거"/>
      <sheetName val="7.현금흐름"/>
      <sheetName val="마케팅1"/>
      <sheetName val="마케팅1 (2)"/>
      <sheetName val="마케팅1 (3)"/>
      <sheetName val="마케팅1 (4)"/>
      <sheetName val="구판관비"/>
      <sheetName val="01 1담당매출계획27.8$"/>
      <sheetName val="01매출계획식자재"/>
      <sheetName val="01매출계획 선용품"/>
      <sheetName val="증감내역"/>
      <sheetName val="99~01년승선현황"/>
      <sheetName val="1월"/>
      <sheetName val="2월"/>
      <sheetName val="3월"/>
      <sheetName val="4월"/>
      <sheetName val="5월"/>
      <sheetName val="6월"/>
      <sheetName val="상반기"/>
      <sheetName val="7월"/>
      <sheetName val="9월"/>
      <sheetName val="8월"/>
      <sheetName val="10월"/>
      <sheetName val="11월"/>
      <sheetName val="12월"/>
      <sheetName val="하반기"/>
      <sheetName val="총계"/>
      <sheetName val="울산총계"/>
      <sheetName val="울산1월"/>
      <sheetName val="울산2월"/>
      <sheetName val="울산3월"/>
      <sheetName val="울산4월"/>
      <sheetName val="울산5월"/>
      <sheetName val="울산6월"/>
      <sheetName val="울산7월"/>
      <sheetName val="울산8월"/>
      <sheetName val="울산9월"/>
      <sheetName val="울산10월"/>
      <sheetName val="울산11월"/>
      <sheetName val="울산12월"/>
      <sheetName val="성남총계"/>
      <sheetName val="성남1월"/>
      <sheetName val="성남2월"/>
      <sheetName val="성남3월"/>
      <sheetName val="성남4월"/>
      <sheetName val="성남5월"/>
      <sheetName val="성남6월"/>
      <sheetName val="성남7월"/>
      <sheetName val="성남8월"/>
      <sheetName val="성남9월"/>
      <sheetName val="성남10월"/>
      <sheetName val="성남11월"/>
      <sheetName val="성남12월"/>
      <sheetName val="요약장"/>
      <sheetName val="부도어음수표"/>
      <sheetName val="악성채권"/>
      <sheetName val="작업전원본"/>
      <sheetName val="작업악성채권직원판매제외(거래선별종합)"/>
      <sheetName val="작업악성채권직원판매제외(거래선별) "/>
      <sheetName val="작업악성채권직원판매제외 (담당별종합)"/>
      <sheetName val="작업악성채권직원판매제외 (담당별)"/>
      <sheetName val="별첨1"/>
      <sheetName val="별첨2"/>
      <sheetName val="별첨3"/>
      <sheetName val="별첨4"/>
      <sheetName val="백1"/>
      <sheetName val="백2"/>
      <sheetName val="백3"/>
      <sheetName val="월별매출01"/>
      <sheetName val="식품"/>
      <sheetName val="포함"/>
      <sheetName val="울산점"/>
      <sheetName val="일반관리비"/>
      <sheetName val="카메라"/>
      <sheetName val="판촉비예산 "/>
      <sheetName val="전산투자예산"/>
      <sheetName val="인테리어.시설"/>
      <sheetName val="파 3층 특설 장치장식비"/>
      <sheetName val="갑"/>
      <sheetName val="2"/>
      <sheetName val="4"/>
      <sheetName val="5"/>
      <sheetName val="6"/>
      <sheetName val="7"/>
      <sheetName val="채권총괄표(H&amp;S집계)"/>
      <sheetName val="표지(03년11월)"/>
      <sheetName val="총괄 (03년11월)h&amp;s"/>
      <sheetName val="총괄 (03년11월)여행"/>
      <sheetName val="세부내용 (03년11월)여행"/>
      <sheetName val="개인 세부내용 (03년11월)여행"/>
      <sheetName val="서울일반상품"/>
      <sheetName val="서울상품권"/>
      <sheetName val="동구일반상품 "/>
      <sheetName val="동구미수금"/>
      <sheetName val="금강산"/>
      <sheetName val="임대"/>
      <sheetName val="본사"/>
      <sheetName val="ꀀ"/>
      <sheetName val="영업2파트"/>
      <sheetName val="영업활동현황"/>
      <sheetName val="성과보고표지"/>
      <sheetName val="성과보고양식"/>
      <sheetName val="건축(주상복합)"/>
      <sheetName val="옥외및기타"/>
      <sheetName val="파일공사(APT)"/>
      <sheetName val="파일공사(부대동)"/>
      <sheetName val="의뢰서"/>
      <sheetName val="공통비"/>
      <sheetName val="총괄"/>
      <sheetName val="남양시작동자105노65기1.3화1.2"/>
      <sheetName val="일위대가(가설)"/>
      <sheetName val="물가자료"/>
      <sheetName val="Y-WORK"/>
      <sheetName val="97 사업추정(WEKI)"/>
      <sheetName val="단중표"/>
      <sheetName val="터파기및재료"/>
      <sheetName val="1차설계변경내역"/>
      <sheetName val="직노"/>
      <sheetName val="기계설비"/>
      <sheetName val="단가비교표"/>
      <sheetName val="내역"/>
      <sheetName val="내역서"/>
      <sheetName val="관람석제출"/>
      <sheetName val="base"/>
      <sheetName val="빙설"/>
      <sheetName val="첨부1-1"/>
      <sheetName val="TRE TABLE"/>
      <sheetName val="압력시험보고서"/>
      <sheetName val="배관설치최종점검기록서"/>
      <sheetName val="PUNCH LIST"/>
      <sheetName val="WELDING JOINT INSPECTION STATUS"/>
      <sheetName val="명판"/>
      <sheetName val="업무"/>
      <sheetName val="동영견적(갑지)"/>
      <sheetName val="입력"/>
      <sheetName val="설계개요"/>
      <sheetName val="기초입력"/>
      <sheetName val="추정공사비계산"/>
      <sheetName val="추정공사비 산출결과"/>
      <sheetName val="데이터"/>
      <sheetName val="급수공과금양식"/>
      <sheetName val="을지"/>
      <sheetName val="충주내역"/>
      <sheetName val="PE거푸집(1.2)"/>
      <sheetName val="일위대가"/>
      <sheetName val="고분전시관"/>
      <sheetName val="금융비용"/>
      <sheetName val="8"/>
      <sheetName val="9"/>
      <sheetName val="10"/>
      <sheetName val="11"/>
      <sheetName val="12"/>
      <sheetName val="13"/>
      <sheetName val="14"/>
      <sheetName val="15"/>
      <sheetName val="16"/>
      <sheetName val="17"/>
      <sheetName val="18"/>
      <sheetName val="19"/>
      <sheetName val="20"/>
      <sheetName val="중방향비율"/>
      <sheetName val="골격"/>
      <sheetName val="가로교통량"/>
      <sheetName val="현황(무신호)"/>
      <sheetName val="미시(휴일-무신호)"/>
      <sheetName val="시행(휴일-무신호)"/>
      <sheetName val="현황-2차로분석)"/>
      <sheetName val="미시(휴일-2차로분석)"/>
      <sheetName val="시행(휴일-2차로분석)"/>
      <sheetName val="위생-sa"/>
      <sheetName val="돈암사업"/>
      <sheetName val="일반사항(1,2면)"/>
      <sheetName val="의무사항(3면)"/>
      <sheetName val="에너지성능지표검토서(건축)"/>
      <sheetName val="에너지성능지표검토서(기계, 전기, 신재생)"/>
      <sheetName val="APT"/>
      <sheetName val="부속동"/>
      <sheetName val="현관"/>
      <sheetName val="건물개요"/>
      <sheetName val="내역서 (3)"/>
      <sheetName val="내역서2"/>
      <sheetName val="내역서 (4)"/>
      <sheetName val="단가입력"/>
      <sheetName val="잡자재비"/>
      <sheetName val="공구손료"/>
      <sheetName val="인건비산출"/>
      <sheetName val="정릉견산출"/>
      <sheetName val="상도동견산출"/>
      <sheetName val="상도갑지"/>
      <sheetName val="관류율"/>
      <sheetName val="g"/>
      <sheetName val="h"/>
      <sheetName val="c"/>
      <sheetName val="d"/>
      <sheetName val="e"/>
      <sheetName val="f"/>
      <sheetName val="난방집계"/>
      <sheetName val="난방입상"/>
      <sheetName val="난방횡주"/>
      <sheetName val="급수입상"/>
      <sheetName val="급수횡주"/>
      <sheetName val="급탕입상"/>
      <sheetName val="급탕횡주"/>
      <sheetName val="배수입상 "/>
      <sheetName val="배수횡주"/>
      <sheetName val="오수횡주"/>
      <sheetName val="소방"/>
      <sheetName val="전계가"/>
      <sheetName val="공통가설"/>
      <sheetName val="단가조사"/>
      <sheetName val="토목공사"/>
      <sheetName val="단가표"/>
      <sheetName val="N賃率-職"/>
      <sheetName val="자재단가"/>
      <sheetName val="자단"/>
      <sheetName val="인공산출"/>
      <sheetName val="단락전류-A"/>
      <sheetName val="21"/>
      <sheetName val="22"/>
      <sheetName val="손익(총괄)"/>
      <sheetName val="월별손익(총괄)"/>
      <sheetName val="월별손익(아케이드)"/>
      <sheetName val="월별손익(온정각)"/>
      <sheetName val="월별손익(용역) "/>
      <sheetName val="판관(총괄)"/>
      <sheetName val="월별판관(총괄)"/>
      <sheetName val="판관(아케이드)"/>
      <sheetName val="월별판관(아케이드)"/>
      <sheetName val="판관(온정각)"/>
      <sheetName val="월별판관(온정각)"/>
      <sheetName val="판관(용역)"/>
      <sheetName val="월별판관(용역)"/>
      <sheetName val="26"/>
      <sheetName val="1-1.손익(온정각)"/>
      <sheetName val="1-1.손익(관광식당)"/>
      <sheetName val="1-1.손익(직원식당)"/>
      <sheetName val="1-2.월별손익(온정각)"/>
      <sheetName val="1-2.월별손익(관광식당)"/>
      <sheetName val="1-2.월별손익(직원식당)"/>
      <sheetName val="2-1.판관비(지원)"/>
      <sheetName val="2-1.판관비(관광)"/>
      <sheetName val="2-1.판관비(직원) "/>
      <sheetName val="소모품내역"/>
      <sheetName val="직원사급품"/>
      <sheetName val="합산손익"/>
      <sheetName val="인원,매출기준"/>
      <sheetName val="2-1.판관비(온정각)"/>
      <sheetName val="2-2.월별판관비(온정각)"/>
      <sheetName val="2-2.월별판관비(지원)"/>
      <sheetName val="2-2.월별판관비(직원)"/>
      <sheetName val="2-2.월별판관비(휴게소)"/>
      <sheetName val="2-2.월별판관비(스넥코너)"/>
      <sheetName val="2-2.월별판관비(음료코너)"/>
      <sheetName val="2-2.월별판관비(온천장)"/>
      <sheetName val="5-1.인원(온정각)"/>
      <sheetName val="23"/>
      <sheetName val="24"/>
      <sheetName val="25"/>
      <sheetName val="27"/>
      <sheetName val="28"/>
      <sheetName val="29"/>
      <sheetName val="30"/>
      <sheetName val="인원계획"/>
      <sheetName val="99년누계 (월별)"/>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참조1"/>
      <sheetName val="참조2"/>
      <sheetName val="2월15일"/>
      <sheetName val="아산공문"/>
      <sheetName val="매출현황"/>
      <sheetName val="총괄현황"/>
      <sheetName val="골프스포츠"/>
      <sheetName val="cover"/>
      <sheetName val="1장 "/>
      <sheetName val="1.개요 "/>
      <sheetName val="2.조건 "/>
      <sheetName val="3.공식붙임"/>
      <sheetName val="2장"/>
      <sheetName val="냉난방"/>
      <sheetName val="3장"/>
      <sheetName val="열원장비"/>
      <sheetName val="4장 "/>
      <sheetName val="1.AHU "/>
      <sheetName val="2.AHU-1"/>
      <sheetName val="2.FAN"/>
      <sheetName val="환기량"/>
      <sheetName val="5장"/>
      <sheetName val="1.급탕"/>
      <sheetName val="6장 별첨"/>
      <sheetName val="외기조건"/>
      <sheetName val="면적&amp;재실인원"/>
      <sheetName val="냉방부하"/>
      <sheetName val="AHU-1"/>
      <sheetName val="AHU-2"/>
      <sheetName val="AHU-3"/>
      <sheetName val="AHU-4"/>
      <sheetName val="AHU-5"/>
      <sheetName val="AHU-6"/>
      <sheetName val="효율비교"/>
      <sheetName val="갑지"/>
      <sheetName val="ITEM"/>
      <sheetName val="참조"/>
      <sheetName val="Mech CIF"/>
      <sheetName val="간접"/>
      <sheetName val="잡비"/>
      <sheetName val="45,46"/>
      <sheetName val="6호기"/>
      <sheetName val="소요자재"/>
      <sheetName val="SUMMARY"/>
      <sheetName val="PAINT"/>
      <sheetName val="_x0000_"/>
      <sheetName val="노임단가"/>
      <sheetName val="갑지(추정)"/>
      <sheetName val="세원견적서"/>
      <sheetName val="남대문빌딩"/>
      <sheetName val="냉천부속동"/>
      <sheetName val="수목표준대가"/>
      <sheetName val="hvac(제어동)"/>
      <sheetName val="겉표지"/>
      <sheetName val="원가"/>
      <sheetName val="총괄표"/>
      <sheetName val="노임근거"/>
      <sheetName val="일대목차"/>
      <sheetName val="합산자재"/>
      <sheetName val="옵션"/>
      <sheetName val="사용설명"/>
      <sheetName val="_x000f__x0000_"/>
      <sheetName val="시운전연료"/>
      <sheetName val="유동표"/>
      <sheetName val="인건비"/>
      <sheetName val="간접비"/>
      <sheetName val="확약서"/>
      <sheetName val="기본DATA"/>
      <sheetName val="입찰안"/>
      <sheetName val="설직재-1"/>
      <sheetName val="산출내역서"/>
      <sheetName val="（３）_"/>
      <sheetName val="목차_(2)"/>
      <sheetName val="1-1_손익(부문별)"/>
      <sheetName val="1-2_손익(월별)"/>
      <sheetName val="2-1_판관비(부문)"/>
      <sheetName val="2-2_판관비(월별)"/>
      <sheetName val="3-1_수익비용(부문별)"/>
      <sheetName val="3-2_수익비용(월별)"/>
      <sheetName val="4-1_투자(부문)"/>
      <sheetName val="4-2_투자(월별)"/>
      <sheetName val="5-1_인원(부문)"/>
      <sheetName val="5-2_인원(월별)"/>
      <sheetName val="6_산출근거"/>
      <sheetName val="7_현금흐름"/>
      <sheetName val="마케팅1_(2)"/>
      <sheetName val="마케팅1_(3)"/>
      <sheetName val="마케팅1_(4)"/>
      <sheetName val="01_1담당매출계획27_8$"/>
      <sheetName val="01매출계획_선용품"/>
      <sheetName val="작업악성채권직원판매제외(거래선별)_"/>
      <sheetName val="작업악성채권직원판매제외_(담당별종합)"/>
      <sheetName val="작업악성채권직원판매제외_(담당별)"/>
      <sheetName val="판촉비예산_"/>
      <sheetName val="인테리어_시설"/>
      <sheetName val="파_3층_특설_장치장식비"/>
      <sheetName val="총괄_(03년11월)h&amp;s"/>
      <sheetName val="총괄_(03년11월)여행"/>
      <sheetName val="세부내용_(03년11월)여행"/>
      <sheetName val="개인_세부내용_(03년11월)여행"/>
      <sheetName val="동구일반상품_"/>
      <sheetName val="F_C_U_ZONE집계"/>
      <sheetName val="소요자재명세서"/>
      <sheetName val="건축실행  (5)"/>
      <sheetName val="메서,변+증"/>
      <sheetName val="광혁기성"/>
      <sheetName val="40총괄"/>
      <sheetName val="40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sheetData sheetId="338"/>
      <sheetData sheetId="339"/>
      <sheetData sheetId="340"/>
      <sheetData sheetId="341"/>
      <sheetData sheetId="342"/>
      <sheetData sheetId="343"/>
      <sheetData sheetId="344"/>
      <sheetData sheetId="345"/>
      <sheetData sheetId="346"/>
      <sheetData sheetId="347" refreshError="1"/>
      <sheetData sheetId="348" refreshError="1"/>
      <sheetData sheetId="349" refreshError="1"/>
      <sheetData sheetId="350"/>
      <sheetData sheetId="351" refreshError="1"/>
      <sheetData sheetId="352"/>
      <sheetData sheetId="353"/>
      <sheetData sheetId="354"/>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sheetData sheetId="424"/>
      <sheetData sheetId="425"/>
      <sheetData sheetId="426" refreshError="1"/>
      <sheetData sheetId="427" refreshError="1"/>
      <sheetData sheetId="428" refreshError="1"/>
      <sheetData sheetId="429" refreshError="1"/>
      <sheetData sheetId="430" refreshError="1"/>
      <sheetData sheetId="431" refreshError="1"/>
      <sheetData sheetId="432"/>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refreshError="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refreshError="1"/>
      <sheetData sheetId="572" refreshError="1"/>
      <sheetData sheetId="573" refreshError="1"/>
      <sheetData sheetId="574" refreshError="1"/>
      <sheetData sheetId="575" refreshError="1"/>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refreshError="1"/>
      <sheetData sheetId="608" refreshError="1"/>
      <sheetData sheetId="609" refreshError="1"/>
      <sheetData sheetId="610" refreshError="1"/>
      <sheetData sheetId="611" refreshError="1"/>
      <sheetData sheetId="61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일위대가"/>
      <sheetName val="조명시설"/>
      <sheetName val="실행대비"/>
      <sheetName val="돌담교 상부수량"/>
      <sheetName val="SLAB&quot;1&quot;"/>
      <sheetName val="H-PILE수량집계"/>
      <sheetName val="수량-가로등"/>
      <sheetName val="단가"/>
      <sheetName val="총괄"/>
      <sheetName val="기초단가"/>
      <sheetName val="중기손료"/>
      <sheetName val="말뚝지지력산정"/>
      <sheetName val="산출근거"/>
      <sheetName val="토적표"/>
      <sheetName val="노임이"/>
      <sheetName val="실행철강하도"/>
      <sheetName val="수량산출"/>
      <sheetName val="공사개요"/>
      <sheetName val="산근"/>
      <sheetName val="설계예시"/>
      <sheetName val="일위대가9803"/>
      <sheetName val="설계명세서"/>
      <sheetName val="입력자료"/>
      <sheetName val="내역서1999.8최종"/>
      <sheetName val="내역서 제출"/>
      <sheetName val="1단계"/>
      <sheetName val="우수받이"/>
      <sheetName val="역T형교대(말뚝기초)"/>
      <sheetName val="건축"/>
      <sheetName val="기안"/>
      <sheetName val="용수량(생활용수)"/>
      <sheetName val="해평견적"/>
      <sheetName val="#REF"/>
      <sheetName val="DATE"/>
      <sheetName val="원가계산"/>
      <sheetName val="FILE1"/>
      <sheetName val="입찰안"/>
      <sheetName val="ABUT수량-A1"/>
      <sheetName val="단위수량"/>
      <sheetName val="전기"/>
      <sheetName val="개산공사비"/>
      <sheetName val="제원및배치"/>
      <sheetName val="돌담교_상부수량"/>
      <sheetName val="CON기초"/>
      <sheetName val="SAP_INPUT"/>
      <sheetName val="토목주소"/>
      <sheetName val="가시설수량"/>
      <sheetName val="3BL공동구 수량"/>
      <sheetName val="8.석축단위(H=1.5M)"/>
      <sheetName val="견적단가"/>
      <sheetName val="테이블"/>
      <sheetName val="6PILE  (돌출)"/>
      <sheetName val="6호기"/>
      <sheetName val="CON'C"/>
      <sheetName val="철거산출근거"/>
      <sheetName val="소비자가"/>
      <sheetName val="건축내역"/>
      <sheetName val="자재단가"/>
      <sheetName val="노임단가"/>
      <sheetName val="I一般比"/>
      <sheetName val="건축명"/>
      <sheetName val="기계명"/>
      <sheetName val="전기명"/>
      <sheetName val="토목명"/>
      <sheetName val="Sheet5"/>
      <sheetName val="BID"/>
      <sheetName val="내역"/>
      <sheetName val="8.PILE  (돌출)"/>
      <sheetName val="원가계산서"/>
      <sheetName val="날개벽수량표"/>
      <sheetName val="덕전리"/>
      <sheetName val="설계기준"/>
      <sheetName val="내역1"/>
      <sheetName val="데이타"/>
      <sheetName val="식재인부"/>
      <sheetName val="단중표"/>
      <sheetName val="구체"/>
      <sheetName val="좌측날개벽"/>
      <sheetName val="우측날개벽"/>
      <sheetName val="Sheet3"/>
      <sheetName val="setup"/>
      <sheetName val="연결관암거"/>
      <sheetName val="2공구산출내역"/>
      <sheetName val="식재가격"/>
      <sheetName val="식재총괄"/>
      <sheetName val="일위목록"/>
      <sheetName val="Sheet1"/>
      <sheetName val="교각1"/>
      <sheetName val="단가산출서1"/>
      <sheetName val="바닥판"/>
      <sheetName val="입력DATA"/>
      <sheetName val="총괄내역서"/>
      <sheetName val="신천3호용수로"/>
      <sheetName val="터파기및재료"/>
      <sheetName val="3련 BOX"/>
      <sheetName val="총괄표"/>
      <sheetName val="내역서"/>
      <sheetName val="CC16-내역서"/>
      <sheetName val="4.2유효폭의 계산"/>
      <sheetName val="이토변실"/>
      <sheetName val="단위단가"/>
      <sheetName val="교대(A1)"/>
      <sheetName val="건축공사실행"/>
      <sheetName val="예산명세서"/>
      <sheetName val="자료입력"/>
      <sheetName val="도로"/>
      <sheetName val="방음벽기초"/>
      <sheetName val="INPUT"/>
      <sheetName val="POL6차-PIPING"/>
      <sheetName val="b_balju_cho"/>
      <sheetName val="2호맨홀공제수량"/>
      <sheetName val="2.가정단면"/>
      <sheetName val="사급자재"/>
      <sheetName val="BOX-1510"/>
      <sheetName val="건물철거"/>
      <sheetName val="기타배수구조물깨기-단위수량"/>
      <sheetName val="단가대비표"/>
      <sheetName val="갑지(추정)"/>
      <sheetName val="노무비단가"/>
      <sheetName val="2.토목공사"/>
      <sheetName val="정부노임단가"/>
      <sheetName val="2000전체분"/>
      <sheetName val="2000년1차"/>
      <sheetName val="관급자재대"/>
      <sheetName val="기계경비(시간당)"/>
      <sheetName val="램머"/>
      <sheetName val="청주(철골발주의뢰서)"/>
      <sheetName val="일위대가표"/>
      <sheetName val="실행"/>
      <sheetName val="수목단가"/>
      <sheetName val="시설수량표"/>
      <sheetName val="식재수량표"/>
      <sheetName val="내역표지"/>
      <sheetName val="99노임기준"/>
      <sheetName val="신규보류입력"/>
      <sheetName val="이름정의"/>
      <sheetName val="1.설계조건"/>
      <sheetName val="Macro2"/>
      <sheetName val="설명서 "/>
      <sheetName val="토목"/>
      <sheetName val="년도별노임표"/>
      <sheetName val="중기목록표"/>
      <sheetName val="대림경상68억"/>
      <sheetName val="구조물철거타공정이월"/>
      <sheetName val="골조시행"/>
      <sheetName val="건축계약내역"/>
      <sheetName val="수량산출서"/>
      <sheetName val="대전가오_견출_집계표"/>
      <sheetName val="공사"/>
      <sheetName val="안전장치"/>
      <sheetName val="데리네이타현황"/>
      <sheetName val="맨홀수량"/>
      <sheetName val="수로BOX"/>
      <sheetName val="초"/>
      <sheetName val="가도공"/>
      <sheetName val="토공개요C"/>
      <sheetName val="정공공사"/>
      <sheetName val="공사비 증감 내역서"/>
      <sheetName val="관경별내역서"/>
      <sheetName val="작업입력"/>
      <sheetName val="Macro1"/>
      <sheetName val="노임"/>
      <sheetName val="2003상반기노임기준"/>
      <sheetName val="중기단가LIST"/>
      <sheetName val="산출기준"/>
      <sheetName val="개별직종노임"/>
      <sheetName val="엔지니어링노임"/>
      <sheetName val="중동공구"/>
      <sheetName val="집수정(600-700)"/>
      <sheetName val="DATA"/>
      <sheetName val="교각계산"/>
      <sheetName val="문산방향-교대(A2)"/>
      <sheetName val="건축내역서"/>
      <sheetName val="설비내역서"/>
      <sheetName val="전기내역서"/>
      <sheetName val="집계표"/>
      <sheetName val="간지"/>
      <sheetName val="철거현황"/>
      <sheetName val="종형증설공"/>
      <sheetName val="노임단가 (2)"/>
      <sheetName val="견적서"/>
      <sheetName val="원가&amp;하도급원가"/>
      <sheetName val="설계설명서"/>
      <sheetName val="실행(ALT1)"/>
      <sheetName val="양식3"/>
      <sheetName val="일위대가목차"/>
      <sheetName val="을지"/>
      <sheetName val="단가비교표"/>
      <sheetName val="차액보증"/>
      <sheetName val="갑지"/>
      <sheetName val="Sheet2"/>
      <sheetName val="노임,재료비"/>
      <sheetName val="수량"/>
      <sheetName val="개별직종노임단가(2003.9)"/>
      <sheetName val="위생"/>
      <sheetName val="대비"/>
      <sheetName val="표지"/>
      <sheetName val="내역을"/>
      <sheetName val="COPING"/>
      <sheetName val="입력"/>
      <sheetName val="초기화면"/>
      <sheetName val="7.PILE  (돌출)"/>
      <sheetName val="단면치수"/>
      <sheetName val="T13(P68~72,78)"/>
      <sheetName val="단가조사서"/>
      <sheetName val="L_RPTB02_01"/>
      <sheetName val="A2"/>
      <sheetName val="계단"/>
      <sheetName val=" 상부공통집계(총괄)"/>
      <sheetName val="대창(함평)"/>
      <sheetName val="대창(장성)"/>
      <sheetName val="대창(함평)-창열"/>
      <sheetName val="Total"/>
      <sheetName val="2-1. 경관조명 내역총괄표"/>
      <sheetName val="각형맨홀"/>
      <sheetName val="pier-1"/>
      <sheetName val="BOX(1.5X1.5)"/>
      <sheetName val="일반수량"/>
      <sheetName val="토공"/>
      <sheetName val="일위"/>
      <sheetName val="경비_원본"/>
      <sheetName val="산출내역서집계표"/>
      <sheetName val="증감내역서"/>
      <sheetName val="날개벽(TYPE2)"/>
      <sheetName val="적용기준"/>
      <sheetName val="전등수량산출"/>
      <sheetName val="노무자도장2"/>
      <sheetName val="AS포장복구 "/>
      <sheetName val="HVAC"/>
      <sheetName val="건축일위"/>
      <sheetName val="그라우팅일위"/>
      <sheetName val="조작대(1연)"/>
      <sheetName val="Sheet1 (2)"/>
      <sheetName val="설계변경총괄표(계산식)"/>
      <sheetName val="가감수량"/>
      <sheetName val="맨홀수량산출"/>
      <sheetName val="격점수량"/>
      <sheetName val="II손익관리"/>
      <sheetName val="대로근거"/>
      <sheetName val="중로근거"/>
      <sheetName val="기본일위"/>
      <sheetName val="터파기단면도(보도)"/>
      <sheetName val="시설일위"/>
      <sheetName val="식재일위"/>
      <sheetName val="토공개요"/>
      <sheetName val="토공(1)"/>
      <sheetName val="도급"/>
      <sheetName val="캔개발배경"/>
      <sheetName val="캔판매목표"/>
      <sheetName val="시장"/>
      <sheetName val="손익"/>
      <sheetName val="일정표"/>
      <sheetName val="개요"/>
      <sheetName val="마케팅"/>
      <sheetName val="목차"/>
      <sheetName val="추정손익"/>
      <sheetName val="할당"/>
      <sheetName val="실적"/>
      <sheetName val="원가"/>
      <sheetName val="제목"/>
      <sheetName val="원가,목표"/>
      <sheetName val="판매"/>
      <sheetName val="판촉"/>
      <sheetName val="협조"/>
      <sheetName val="집계"/>
      <sheetName val="우수공"/>
      <sheetName val="tggwan(mac)"/>
      <sheetName val="참여현황 (직원)"/>
      <sheetName val="총 원가계산"/>
      <sheetName val="산정표"/>
      <sheetName val="FAB별"/>
      <sheetName val="단가 및 재료비"/>
      <sheetName val="중기사용료산출근거"/>
      <sheetName val="물가시세"/>
      <sheetName val="N賃率-職"/>
      <sheetName val="공사원가계산서"/>
      <sheetName val="도급예산내역서총괄표"/>
      <sheetName val="부대내역"/>
      <sheetName val="준공조서"/>
      <sheetName val="공사준공계"/>
      <sheetName val="준공검사보고서"/>
      <sheetName val="투찰"/>
      <sheetName val="실행내역(10.13)"/>
      <sheetName val="밸브설치"/>
      <sheetName val="기존건물 깨기원단위"/>
      <sheetName val="DATE2001"/>
      <sheetName val="평가데이터"/>
      <sheetName val="공구"/>
      <sheetName val="관로토공"/>
      <sheetName val="기본데이타입력"/>
      <sheetName val="단가산출2"/>
      <sheetName val="보도교산출근거"/>
      <sheetName val="부속동"/>
      <sheetName val="대공종"/>
      <sheetName val="EQUIP LIST"/>
      <sheetName val="역T형"/>
      <sheetName val="재료비"/>
      <sheetName val="1구간FRP수량산출"/>
      <sheetName val="2"/>
      <sheetName val="시장성초안camera"/>
      <sheetName val="장비종합부표"/>
      <sheetName val="집계표_식재"/>
      <sheetName val="부표"/>
      <sheetName val="sw1"/>
      <sheetName val="목포방향"/>
      <sheetName val="Front"/>
      <sheetName val="wall"/>
      <sheetName val="unitpric"/>
      <sheetName val="noyim"/>
      <sheetName val="99노임단가"/>
      <sheetName val="설계내역서"/>
      <sheetName val="준비공"/>
      <sheetName val="목교수량산출"/>
      <sheetName val="터널굴착단산"/>
      <sheetName val="터널구조물산근"/>
      <sheetName val="COVER"/>
      <sheetName val="철근량 산정"/>
      <sheetName val="구분표"/>
      <sheetName val="원형맨홀수량"/>
      <sheetName val="개거산출내역"/>
      <sheetName val="사  업  비  수  지  예  산  서"/>
      <sheetName val="기본단가표"/>
      <sheetName val="공종별자재"/>
      <sheetName val="환경기계공정표 (3)"/>
      <sheetName val="방수"/>
      <sheetName val="포장자재집계표"/>
      <sheetName val="종배수단위_CON기초"/>
      <sheetName val="Macro(차단기)"/>
      <sheetName val="프랜트면허"/>
      <sheetName val="JUCKEYK"/>
      <sheetName val="기계경비"/>
      <sheetName val="우수"/>
      <sheetName val="산출3-동력"/>
      <sheetName val="산출4-전등"/>
      <sheetName val="슬래브 -연속(3경간)"/>
      <sheetName val="type-F"/>
      <sheetName val="시노501"/>
      <sheetName val="물가단가"/>
      <sheetName val="제표일위대가"/>
      <sheetName val="208-238"/>
      <sheetName val="노무비"/>
      <sheetName val="노.표-조"/>
      <sheetName val="단관데이터"/>
      <sheetName val="이형관데이터"/>
      <sheetName val="D"/>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입력란"/>
      <sheetName val="97노임단가"/>
      <sheetName val="내역- CCTV"/>
      <sheetName val="운임료"/>
      <sheetName val="각사별공사비분개 "/>
      <sheetName val="배수공수집"/>
      <sheetName val="설비공사(4)"/>
      <sheetName val="가설공사비"/>
      <sheetName val="도로구조공사비"/>
      <sheetName val="도로토공공사비"/>
      <sheetName val="여수토공사비"/>
      <sheetName val="견적갑지"/>
      <sheetName val="물량내역"/>
      <sheetName val="CONCRETE"/>
      <sheetName val="고창방향"/>
      <sheetName val="기초자료입력"/>
      <sheetName val="준공정산"/>
      <sheetName val="토목공사일반"/>
      <sheetName val="공사비산출내역"/>
      <sheetName val="정의"/>
      <sheetName val="대구은행"/>
      <sheetName val="포장집계"/>
      <sheetName val="포장연장"/>
      <sheetName val="설계개요"/>
      <sheetName val="2000노임기준"/>
      <sheetName val="DHEQSUPT"/>
      <sheetName val="(X)품셈집계"/>
      <sheetName val="단가산출1"/>
      <sheetName val="원형1호맨홀토공수량"/>
      <sheetName val="빗물받이(910-510-410)"/>
      <sheetName val="아파트"/>
      <sheetName val="부대시설"/>
      <sheetName val="산출2-전력"/>
      <sheetName val="산출9-TRAY"/>
      <sheetName val="인부신상자료"/>
      <sheetName val="거래처등록"/>
      <sheetName val="참고자료"/>
      <sheetName val="대3류 "/>
      <sheetName val="토공분배표"/>
      <sheetName val="배수관산출"/>
      <sheetName val="장비집계"/>
      <sheetName val="돌담교_상부수량1"/>
      <sheetName val="3BL공동구_수량"/>
      <sheetName val="내역서1999_8최종"/>
      <sheetName val="8_석축단위(H=1_5M)"/>
      <sheetName val="2_가정단면"/>
      <sheetName val="6PILE__(돌출)"/>
      <sheetName val="2_토목공사"/>
      <sheetName val="_상부공통집계(총괄)"/>
      <sheetName val="내역서적용수량"/>
      <sheetName val="지급자재"/>
      <sheetName val="인제내역"/>
      <sheetName val="제경비"/>
      <sheetName val="입력(K0)"/>
      <sheetName val="장비"/>
      <sheetName val="견적1"/>
      <sheetName val="0226"/>
      <sheetName val="터널조도"/>
      <sheetName val="001"/>
      <sheetName val="ITEM"/>
      <sheetName val="ilch"/>
      <sheetName val="Sheet4"/>
      <sheetName val="2F 회의실견적(5_14 일대)"/>
      <sheetName val="을"/>
      <sheetName val="토공(우물통,기타) "/>
      <sheetName val="Y-WORK"/>
      <sheetName val="공통가설"/>
      <sheetName val="1-1"/>
      <sheetName val="총_구조물공"/>
      <sheetName val="3-구교-오리지날"/>
      <sheetName val="공사비예산서(토목분)"/>
      <sheetName val="변화치수"/>
      <sheetName val="코드표"/>
      <sheetName val="건축집계"/>
      <sheetName val="연동내역"/>
      <sheetName val="건설성적"/>
      <sheetName val="설계"/>
      <sheetName val="내역서(도급)"/>
      <sheetName val="계수시트"/>
      <sheetName val="제잡비"/>
      <sheetName val="식재"/>
      <sheetName val="시설물"/>
      <sheetName val="식재출력용"/>
      <sheetName val="유지관리"/>
      <sheetName val="단가조사"/>
      <sheetName val="BS2"/>
      <sheetName val="1.견적보고서"/>
      <sheetName val="날개벽"/>
      <sheetName val="지점별강우량"/>
      <sheetName val="노임자재단가"/>
      <sheetName val="현장경비"/>
      <sheetName val="세목전체"/>
      <sheetName val="총정리"/>
      <sheetName val="INPUTDATA"/>
      <sheetName val="GT 1050x650"/>
      <sheetName val="분전반계산서(석관)"/>
      <sheetName val="주공 갑지"/>
      <sheetName val="잡비계산"/>
      <sheetName val="기초수량자료"/>
      <sheetName val="우각부보강"/>
      <sheetName val="본문"/>
      <sheetName val="참조"/>
      <sheetName val="2.대외공문"/>
      <sheetName val="노임DB"/>
      <sheetName val="간접"/>
      <sheetName val="woo(mac)"/>
      <sheetName val="설치조서"/>
      <sheetName val="배수공집계표"/>
      <sheetName val="예정공정표"/>
      <sheetName val="지수"/>
      <sheetName val="건축공사"/>
      <sheetName val="1~9 하중계산"/>
      <sheetName val="학습율"/>
      <sheetName val="PL단가산정"/>
      <sheetName val="그림"/>
      <sheetName val="그림2"/>
      <sheetName val="교대철근집계"/>
      <sheetName val="1.토공"/>
      <sheetName val="검사원"/>
      <sheetName val="준공조서갑지"/>
      <sheetName val="시설국장자료"/>
      <sheetName val="식생블럭단위수량"/>
      <sheetName val="설계서(동안동)"/>
      <sheetName val="간이(갑)"/>
      <sheetName val="예총"/>
      <sheetName val="Bldg Brkdown"/>
      <sheetName val="과거자료"/>
      <sheetName val="교대"/>
      <sheetName val="진주방향"/>
      <sheetName val="일위대가(가설)"/>
      <sheetName val="노임단가표"/>
      <sheetName val="기초자료"/>
      <sheetName val="산출3-유도등"/>
      <sheetName val="산출2-동력"/>
      <sheetName val="산출2-피뢰침"/>
      <sheetName val="공량산출서"/>
      <sheetName val="단가(자재)"/>
      <sheetName val="단가(노임)"/>
      <sheetName val="기초목록"/>
      <sheetName val="단위중량"/>
      <sheetName val="3.하중산정4.지지력"/>
      <sheetName val="플랜트 설치"/>
      <sheetName val="건설사업관리 공제요율"/>
      <sheetName val="건설공사 감리원 배치기준"/>
      <sheetName val="책임감리 공제요율"/>
      <sheetName val="검측감리공제요율"/>
      <sheetName val="시공감리공제요율"/>
      <sheetName val="책임감리공제요율"/>
      <sheetName val="소방"/>
      <sheetName val="가로등"/>
      <sheetName val="재료집계표"/>
      <sheetName val="수목표준대가"/>
      <sheetName val="준검 내역서"/>
      <sheetName val="자재단가_사급"/>
      <sheetName val="중기적산목록"/>
      <sheetName val="금액"/>
      <sheetName val="공사일위대가"/>
      <sheetName val="98수문일위"/>
      <sheetName val="5사남"/>
      <sheetName val="단가목록"/>
      <sheetName val="01노임적용기준"/>
      <sheetName val="15)VE제안서(유형1)"/>
      <sheetName val="12)아이디어 목록 및 개략평가"/>
      <sheetName val="11)VE 예비검토서"/>
      <sheetName val="15-3)VE제안서(가치향상 등)"/>
      <sheetName val="15-2)VE제안서(유형3)"/>
      <sheetName val="단위집계표"/>
      <sheetName val="직재"/>
      <sheetName val="재집"/>
      <sheetName val="1호맨홀토공"/>
      <sheetName val="소요자재명세서"/>
      <sheetName val="설계예산서"/>
      <sheetName val="TOTAL_BOQ"/>
      <sheetName val="설계내역"/>
      <sheetName val="경율산정.XLS"/>
      <sheetName val="상부수량"/>
      <sheetName val="산출집계표"/>
      <sheetName val="참조자료"/>
      <sheetName val="단위량당중기"/>
      <sheetName val="BSD (2)"/>
      <sheetName val="자단"/>
      <sheetName val="48일위"/>
      <sheetName val="48수량"/>
      <sheetName val="22수량"/>
      <sheetName val="49일위"/>
      <sheetName val="22일위"/>
      <sheetName val="49수량"/>
      <sheetName val="산업"/>
      <sheetName val="내역서_제출"/>
      <sheetName val="8_PILE__(돌출)"/>
      <sheetName val="EQUIP_LIST"/>
      <sheetName val="BOX(1_5X1_5)"/>
      <sheetName val="7_PILE__(돌출)"/>
      <sheetName val="공사비_증감_내역서"/>
      <sheetName val="실행내역(10_13)"/>
      <sheetName val="토사(PE)"/>
      <sheetName val="수량산출서-2"/>
      <sheetName val="대창토공"/>
      <sheetName val="출력"/>
      <sheetName val="근로자명단"/>
      <sheetName val="노임단가(직종번호 순)"/>
      <sheetName val="산출서-1"/>
      <sheetName val="산출서-수식"/>
      <sheetName val="매원개착터널총괄"/>
      <sheetName val="가시설단위수량"/>
      <sheetName val="기초수량산출서"/>
      <sheetName val="단가산출서 (2)"/>
      <sheetName val="단가산출서"/>
      <sheetName val="포장공집계"/>
      <sheetName val="주요자재집계"/>
      <sheetName val=""/>
      <sheetName val="기계경비산출기준"/>
      <sheetName val="기계경비목록"/>
      <sheetName val="건설기계가격1"/>
      <sheetName val="회사기초자료"/>
      <sheetName val="01 Summary"/>
      <sheetName val="BOQ"/>
      <sheetName val="CW,HW,NW"/>
      <sheetName val="SAN"/>
      <sheetName val="03 Rev.Log"/>
      <sheetName val="설비(제출)"/>
      <sheetName val="노무비계"/>
      <sheetName val="설계내역2"/>
      <sheetName val="토목검측서"/>
      <sheetName val="Sheet17"/>
      <sheetName val="내역(포장)"/>
      <sheetName val="가시설(TYPE-A)"/>
      <sheetName val="천방교접속"/>
      <sheetName val="동일대내"/>
      <sheetName val="포장수량"/>
      <sheetName val="구역화물"/>
      <sheetName val="건설기계가격"/>
      <sheetName val="공사요율"/>
      <sheetName val="수지예산"/>
      <sheetName val="설명서_"/>
      <sheetName val="CTEMCOST"/>
      <sheetName val="횡배수관수량집계"/>
      <sheetName val="횡배수관기초"/>
      <sheetName val="식재(예송)"/>
      <sheetName val="4)유동표"/>
      <sheetName val="4.2.1 마루높이 검토"/>
      <sheetName val="설직재-1"/>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매인"/>
      <sheetName val="약품공급2"/>
      <sheetName val="궤도연장(종합)"/>
      <sheetName val="궤도연장(2단계)"/>
      <sheetName val="궤도연장(1단계)"/>
      <sheetName val="궤도부설연장1단계"/>
      <sheetName val="슬래브일반(포항방향 B=12.3m)"/>
      <sheetName val="보고서"/>
      <sheetName val="7월천안현장 집계표"/>
      <sheetName val="장비.자재"/>
      <sheetName val="장비명세서"/>
      <sheetName val=" 노무집계"/>
      <sheetName val="일용노무비"/>
      <sheetName val="자재목록"/>
      <sheetName val="노임목록"/>
      <sheetName val="결재란"/>
      <sheetName val="2.견적조건 정보"/>
      <sheetName val="공간분류체계"/>
      <sheetName val="부위별항목"/>
      <sheetName val="영향요인"/>
      <sheetName val="NN"/>
      <sheetName val="공사비"/>
      <sheetName val="수량산출(음암)"/>
      <sheetName val="자재 집계표"/>
      <sheetName val="용산1(해보)"/>
      <sheetName val="2.재료비"/>
      <sheetName val="12.보오링"/>
      <sheetName val="18.공내수압탄성자연"/>
      <sheetName val="음료실행"/>
      <sheetName val="1_설계조건"/>
      <sheetName val="3련_BOX"/>
      <sheetName val="2-1__경관조명_내역총괄표"/>
      <sheetName val="단가_및_재료비"/>
      <sheetName val="4_2유효폭의_계산"/>
      <sheetName val="AS포장복구_"/>
      <sheetName val="개별직종노임단가(2003_9)"/>
      <sheetName val="총_원가계산"/>
      <sheetName val="Sheet1_(2)"/>
      <sheetName val="기존건물_깨기원단위"/>
      <sheetName val="철근량_산정"/>
      <sheetName val="사__업__비__수__지__예__산__서"/>
      <sheetName val="환경기계공정표_(3)"/>
      <sheetName val="각사별공사비분개_"/>
      <sheetName val="슬래브_-연속(3경간)"/>
      <sheetName val="노임단가_(2)"/>
      <sheetName val="참여현황_(직원)"/>
      <sheetName val="노_표-조"/>
      <sheetName val="2F_회의실견적(5_14_일대)"/>
      <sheetName val="토공(우물통,기타)_"/>
      <sheetName val="대3류_"/>
      <sheetName val="내역-_CCTV"/>
      <sheetName val="건설사업관리_공제요율"/>
      <sheetName val="건설공사_감리원_배치기준"/>
      <sheetName val="책임감리_공제요율"/>
      <sheetName val="1~9_하중계산"/>
      <sheetName val="단가산출서_(2)"/>
      <sheetName val="1호맨홀수량산출"/>
      <sheetName val="신고분기설정참고"/>
      <sheetName val="거래처자료등록"/>
      <sheetName val="순공사비"/>
      <sheetName val="설명"/>
      <sheetName val="결재갑지"/>
      <sheetName val="직접비"/>
      <sheetName val="c_balju"/>
      <sheetName val="일반수량산출"/>
      <sheetName val="부대공수량산출"/>
      <sheetName val="산근cad용"/>
      <sheetName val="산근(계단)"/>
      <sheetName val="주차구획선수량"/>
      <sheetName val="설계조건"/>
      <sheetName val="6.7현장운영"/>
      <sheetName val="수량집계"/>
      <sheetName val="중기목록"/>
      <sheetName val="중기가격"/>
      <sheetName val="친환경주택"/>
      <sheetName val="b_balju"/>
      <sheetName val="단가표"/>
      <sheetName val="도급예산내역서봉투"/>
      <sheetName val="설계산출표지"/>
      <sheetName val="을부담운반비"/>
      <sheetName val="설계산출기초"/>
      <sheetName val="운반비산출"/>
      <sheetName val="공문"/>
      <sheetName val="신공항A-9(원가수정)"/>
      <sheetName val="대치판정"/>
      <sheetName val="산출근거(9)"/>
      <sheetName val="현장관리비 산출내역"/>
      <sheetName val="5정거장"/>
      <sheetName val="1-3길내기"/>
      <sheetName val="시행후면적"/>
      <sheetName val="준검_내역서"/>
      <sheetName val="12)아이디어_목록_및_개략평가"/>
      <sheetName val="11)VE_예비검토서"/>
      <sheetName val="15-3)VE제안서(가치향상_등)"/>
      <sheetName val="식재일위대가"/>
      <sheetName val="97(US,EP,PCT,KR)"/>
      <sheetName val="블록(들고리8개)"/>
      <sheetName val="부가세별도"/>
      <sheetName val="업체자료"/>
      <sheetName val="Lr"/>
      <sheetName val="FAB计算式"/>
      <sheetName val="CUB结算式"/>
      <sheetName val="FAB B01计算式"/>
      <sheetName val="室外计算式"/>
      <sheetName val="PROCURE"/>
      <sheetName val="5.물량산출서"/>
      <sheetName val="절단표"/>
      <sheetName val="기둥(원형)"/>
      <sheetName val="PIER토수량"/>
      <sheetName val="판매시설"/>
      <sheetName val="산출금액내역"/>
      <sheetName val="EQT-ESTN"/>
      <sheetName val="결재"/>
      <sheetName val="중기비"/>
      <sheetName val="신당동집계표"/>
      <sheetName val="입력용"/>
      <sheetName val="입력용집계"/>
      <sheetName val="건설기계"/>
      <sheetName val="단가산출"/>
      <sheetName val="산림조사비"/>
      <sheetName val="요율표"/>
      <sheetName val="1.일위대가"/>
      <sheetName val="RDP2"/>
      <sheetName val="cal"/>
      <sheetName val="물량표"/>
      <sheetName val="UNIT"/>
      <sheetName val="폐기물발생(처리)내역-1"/>
      <sheetName val="빙축열"/>
      <sheetName val="C1.공사개요"/>
      <sheetName val="A1.스케쥴"/>
      <sheetName val="부안일위"/>
      <sheetName val="junggi"/>
      <sheetName val="코드"/>
      <sheetName val="지장물조서"/>
      <sheetName val="수목조서 "/>
      <sheetName val="제수,우수,통신,소화전물건조서"/>
      <sheetName val="한전주물건조서"/>
      <sheetName val="지장물적용유무"/>
      <sheetName val="base"/>
      <sheetName val="계획금액"/>
      <sheetName val="분석대장"/>
      <sheetName val="단가조사표(노무비)"/>
      <sheetName val="공사비집계"/>
      <sheetName val="돌담교_상부수량2"/>
      <sheetName val="내역서1999_8최종1"/>
      <sheetName val="2_토목공사1"/>
      <sheetName val="3BL공동구_수량1"/>
      <sheetName val="8_석축단위(H=1_5M)1"/>
      <sheetName val="2_가정단면1"/>
      <sheetName val="6PILE__(돌출)1"/>
      <sheetName val="_상부공통집계(총괄)1"/>
      <sheetName val="주공_갑지"/>
      <sheetName val="경율산정_XLS"/>
      <sheetName val="2_대외공문"/>
      <sheetName val="1_토공"/>
      <sheetName val="GT_1050x650"/>
      <sheetName val="Bldg_Brkdown"/>
      <sheetName val="기초코드"/>
      <sheetName val="현장관리비"/>
      <sheetName val="단위목록"/>
      <sheetName val="일위대가목록"/>
      <sheetName val="00임금"/>
      <sheetName val="개인토지"/>
      <sheetName val="수안보-MBR1"/>
      <sheetName val="중기조종사 단위단가"/>
      <sheetName val="00000"/>
      <sheetName val="SP-B1"/>
      <sheetName val="자재단가비교표"/>
      <sheetName val="nys"/>
      <sheetName val="판매.DAT"/>
      <sheetName val="C3"/>
      <sheetName val="인건비"/>
      <sheetName val="코스모공장 (어음)"/>
      <sheetName val="스케즐"/>
      <sheetName val="구체단위"/>
      <sheetName val="전도금정산집계"/>
      <sheetName val="은행코드"/>
      <sheetName val="15-3)VE제안서(가치향_x0000_隒_x0000__x0000_"/>
      <sheetName val="15-3)VE제안서(가치향_x0000_庘ɝ_x0000_"/>
      <sheetName val="총괄내역서(도급)"/>
      <sheetName val="L형집계"/>
      <sheetName val="SG"/>
      <sheetName val="기준비용"/>
      <sheetName val="J直材4"/>
      <sheetName val="4.고용보험"/>
      <sheetName val="시중노임"/>
      <sheetName val="노임단가(직종번호_순)"/>
      <sheetName val="1차 내역서"/>
      <sheetName val="지수적용공사비내역서"/>
      <sheetName val="암센터"/>
      <sheetName val="수정계획3"/>
      <sheetName val="12CGOU"/>
      <sheetName val="인부노임"/>
      <sheetName val="견적(02.07)"/>
      <sheetName val="TYPE-A"/>
      <sheetName val="단면 (2)"/>
      <sheetName val="토지조서"/>
      <sheetName val="침하계"/>
      <sheetName val="IMF Code"/>
      <sheetName val="Gia VLNCMTC"/>
      <sheetName val="Cst Pkg-Eden"/>
      <sheetName val="WT-LIST"/>
      <sheetName val="간접비"/>
      <sheetName val="특수선일위대가"/>
      <sheetName val="산출3-전등"/>
      <sheetName val="산출4-조명제어"/>
      <sheetName val="산출5-전열"/>
      <sheetName val="산출7-유도등"/>
      <sheetName val="VALUATESheet13"/>
      <sheetName val="STEEL BOX 단면설계(SEC.8)"/>
      <sheetName val="주관사업"/>
      <sheetName val="b"/>
      <sheetName val="노면표시1"/>
      <sheetName val="게비온"/>
      <sheetName val="관정"/>
      <sheetName val="배수관 날개벽"/>
      <sheetName val="box"/>
      <sheetName val="box날개"/>
      <sheetName val="방호벽"/>
      <sheetName val="절단"/>
      <sheetName val="아스팔트포장"/>
      <sheetName val="U형측구"/>
      <sheetName val="J형측구"/>
      <sheetName val="진입로"/>
      <sheetName val="G2설비도급"/>
      <sheetName val="월별수입"/>
      <sheetName val="부재별산출서"/>
      <sheetName val="4.04건축(건축-주계약내역서)"/>
      <sheetName val="예정공정표 "/>
      <sheetName val="Module1"/>
      <sheetName val="Module2"/>
      <sheetName val="Module3"/>
      <sheetName val="Module4"/>
      <sheetName val="Module5"/>
      <sheetName val="Module6"/>
      <sheetName val="Module8"/>
      <sheetName val="Module9"/>
      <sheetName val="Module7"/>
      <sheetName val="Module11"/>
      <sheetName val="방음벽 기초 일반수량"/>
      <sheetName val="I.설계조건"/>
      <sheetName val="BQ"/>
      <sheetName val="WORK"/>
      <sheetName val="기계내역"/>
      <sheetName val="단면(RW1)"/>
      <sheetName val="전기일위대가"/>
      <sheetName val="시설물일위"/>
      <sheetName val="날개벽(TYPE3)"/>
      <sheetName val="비교표"/>
      <sheetName val="YES"/>
      <sheetName val="A-4"/>
      <sheetName val="맨홀수량집계"/>
      <sheetName val="경비2내역"/>
      <sheetName val="토공계산서(부체도로)"/>
      <sheetName val="DATA1"/>
      <sheetName val="IMP(MAIN)"/>
      <sheetName val="IMP (REACTOR)"/>
      <sheetName val="현장관리비내역서"/>
      <sheetName val="오산갈곳"/>
      <sheetName val="안정계산"/>
      <sheetName val="단면검토"/>
      <sheetName val="보차도경계석"/>
      <sheetName val="단가산출집계"/>
      <sheetName val="BLOCK(1)"/>
      <sheetName val="포장복구집계"/>
      <sheetName val="SORCE1"/>
      <sheetName val="XXXXXX"/>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점수계산1-2"/>
      <sheetName val="STORAGE"/>
      <sheetName val="가로등내역서"/>
      <sheetName val="2000.11월설계내역"/>
      <sheetName val="조명율표"/>
      <sheetName val="전선 및 전선관"/>
      <sheetName val="내역서2안"/>
      <sheetName val="소야공정계획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복구량산정 및 전용회선 사용"/>
      <sheetName val="호계"/>
      <sheetName val="제암"/>
      <sheetName val="월마트"/>
      <sheetName val="월드컵"/>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봉양~조차장간고하개명(신설)"/>
      <sheetName val="주상도"/>
      <sheetName val="하조서"/>
      <sheetName val="보증수수료산출"/>
      <sheetName val="1.수인터널"/>
      <sheetName val="수목데이타 "/>
      <sheetName val="변압기 및 발전기 용량"/>
      <sheetName val="JUCK"/>
      <sheetName val="본선차로수량집계표"/>
      <sheetName val="일반공사"/>
      <sheetName val="일위대가(목록)"/>
      <sheetName val="참고"/>
      <sheetName val="- INFORMATION -"/>
      <sheetName val="예산변경사항"/>
      <sheetName val="총내역서"/>
      <sheetName val="관급내역서"/>
      <sheetName val="이전비내역서"/>
      <sheetName val="물량"/>
      <sheetName val="배선설계"/>
      <sheetName val="부하계산"/>
      <sheetName val="기초산출서"/>
      <sheetName val="장비단가산출"/>
      <sheetName val="t형"/>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 계"/>
      <sheetName val="ASP포장"/>
      <sheetName val="내역서(전기)"/>
      <sheetName val="단가산출서(기계)"/>
      <sheetName val="표지 (2)"/>
      <sheetName val="에너지동"/>
      <sheetName val="연습"/>
      <sheetName val="MOTOR"/>
      <sheetName val="부하계산서"/>
      <sheetName val="견적조건"/>
      <sheetName val="견적조건(을지)"/>
      <sheetName val="예정(3)"/>
      <sheetName val="동원(3)"/>
      <sheetName val="1.설계기준"/>
      <sheetName val="현황CODE"/>
      <sheetName val="손익현황"/>
      <sheetName val="3차설계"/>
      <sheetName val="주형"/>
      <sheetName val="옹벽"/>
      <sheetName val="3.바닥판설계"/>
      <sheetName val="REACTION(USD지진시)"/>
      <sheetName val="안정검토"/>
      <sheetName val="REACTION(USE평시)"/>
      <sheetName val="일위대가표 (2)"/>
      <sheetName val="Testing"/>
      <sheetName val="IP좌표"/>
      <sheetName val="단면가정"/>
      <sheetName val="토목내역"/>
      <sheetName val="D-3503"/>
      <sheetName val="계화배수"/>
      <sheetName val="물량산출근거"/>
      <sheetName val="부재력정리"/>
      <sheetName val="노원열병합  건축공사기성내역서"/>
      <sheetName val="NEYOK"/>
      <sheetName val="Macro(전선)"/>
      <sheetName val="NOMUBI"/>
      <sheetName val="계산근거"/>
      <sheetName val="품의서"/>
      <sheetName val="물가자료"/>
      <sheetName val="전신환매도율"/>
      <sheetName val="EACT10"/>
      <sheetName val="원가계산서 (총괄)"/>
      <sheetName val="원가계산서 (건축)"/>
      <sheetName val="(총괄집계)"/>
      <sheetName val="방음벽기초(H=4m)"/>
      <sheetName val="단위세대"/>
      <sheetName val="일용노임단가"/>
      <sheetName val="가설공사내역"/>
      <sheetName val="401"/>
      <sheetName val="지장물C"/>
      <sheetName val="General Data"/>
      <sheetName val="전압강하계산"/>
      <sheetName val="차도조도계산"/>
      <sheetName val="월선수금"/>
      <sheetName val="TABLE"/>
      <sheetName val="전체"/>
      <sheetName val="설산1.나"/>
      <sheetName val="본사S"/>
      <sheetName val="연령현황"/>
      <sheetName val="Site Expenses"/>
      <sheetName val="자재단가표"/>
      <sheetName val="간선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대구실행"/>
      <sheetName val="Baby일위대가"/>
      <sheetName val="0.집계"/>
      <sheetName val="가로등부표"/>
      <sheetName val="총계"/>
      <sheetName val="매립"/>
      <sheetName val="조도계산서 (도서)"/>
      <sheetName val="LOPCALC"/>
      <sheetName val="재료"/>
      <sheetName val="제경비율"/>
      <sheetName val="MAIN_TABLE"/>
      <sheetName val="입찰보고"/>
      <sheetName val="1차설계변경내역"/>
      <sheetName val="수주현황2월"/>
      <sheetName val="토공유동표"/>
      <sheetName val="XL4Poppy"/>
      <sheetName val="요율"/>
      <sheetName val="아산추가1220"/>
      <sheetName val="당초"/>
      <sheetName val="3-1.CB"/>
      <sheetName val="98지급계획"/>
      <sheetName val="본공사"/>
      <sheetName val="DANGA"/>
      <sheetName val="실행내역서"/>
      <sheetName val="BID-도로"/>
      <sheetName val="내력서"/>
      <sheetName val="90.03실행 "/>
      <sheetName val="3.공통공사대비"/>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Áö"/>
      <sheetName val="°ßÀû¼­"/>
      <sheetName val="³»¿ª¼­"/>
      <sheetName val="Ç¥Áö"/>
      <sheetName val="º¯°æ»çÀ¯"/>
      <sheetName val="°¡¿ÁÁ¶¸í¿ø°¡°è"/>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ÀÏÀ§´ë°¡"/>
      <sheetName val="소요자재"/>
      <sheetName val="노무산출서"/>
      <sheetName val="ETC"/>
      <sheetName val="¼³°è¿¹»ê¼­"/>
      <sheetName val="¼ö·®Áý°è"/>
      <sheetName val="ÃÑ°ý"/>
      <sheetName val="Åä¸ñ"/>
      <sheetName val="°¡·Îµî³»¿ª¼­"/>
      <sheetName val="¼ö·®»êÃâ¼­"/>
      <sheetName val="2000.11¿ù¼³°è³»¿ª"/>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손료목록"/>
      <sheetName val="동력부하(도산)"/>
      <sheetName val="신우"/>
      <sheetName val="돌망태단위수량"/>
      <sheetName val="말뚝물량"/>
      <sheetName val="우수맨홀공제단위수량"/>
      <sheetName val="스톱로그내역"/>
      <sheetName val="공사원가계산서)"/>
      <sheetName val="내역집계표"/>
      <sheetName val="전기내역"/>
      <sheetName val="대가집계표"/>
      <sheetName val="대가전기"/>
      <sheetName val="자료"/>
      <sheetName val="집계표(관급)"/>
      <sheetName val="전기내역관급"/>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공구원가계산"/>
      <sheetName val="입찰결과(DATA)"/>
      <sheetName val="일위대가표(유단가)"/>
      <sheetName val="CABLE SIZE-3"/>
      <sheetName val="EQUIP-H"/>
      <sheetName val="하수급견적대비"/>
      <sheetName val="발주설계서(당초)"/>
      <sheetName val="일위대가 집계표"/>
      <sheetName val="9GNG운반"/>
      <sheetName val="횡배수관토공수량"/>
      <sheetName val="수문일1"/>
      <sheetName val="품셈TABLE"/>
      <sheetName val="제원.설계조건"/>
      <sheetName val="SLAB"/>
      <sheetName val="관람석제출"/>
      <sheetName val="소업1교"/>
      <sheetName val="가공비"/>
      <sheetName val="가설공사"/>
      <sheetName val="기초공"/>
      <sheetName val="96수출"/>
      <sheetName val="기자재비"/>
      <sheetName val="투자효율분석"/>
      <sheetName val="sum1 (2)"/>
      <sheetName val="DATA(BAC)"/>
      <sheetName val="단락전류-A"/>
      <sheetName val="DPRKMHDT"/>
      <sheetName val="공통부대비"/>
      <sheetName val="출력-내역서"/>
      <sheetName val="공통(20-91)"/>
      <sheetName val="SE-611"/>
      <sheetName val="단가표 "/>
      <sheetName val="분전함신설"/>
      <sheetName val="날개벽(TYPE1)"/>
      <sheetName val="견적서세부내용"/>
      <sheetName val="견적내용입력"/>
      <sheetName val="발신정보"/>
      <sheetName val="집1"/>
      <sheetName val="설계내역(2001)"/>
      <sheetName val="일반맨홀수량집계"/>
      <sheetName val="EUPDAT2"/>
      <sheetName val="주경기-오배수"/>
      <sheetName val="건축원가계산서"/>
      <sheetName val="공사비내역서"/>
      <sheetName val="공사비 내역 (가)"/>
      <sheetName val="내역서(총)"/>
      <sheetName val="토공(완충)"/>
      <sheetName val="횡배수관"/>
      <sheetName val="IMPEADENCE MAP 취수장"/>
      <sheetName val="TEL"/>
      <sheetName val="Top PO"/>
      <sheetName val="공종"/>
      <sheetName val="맨홀토공수량"/>
      <sheetName val="방송노임"/>
      <sheetName val="날개벽(좌,우=45도,75도)"/>
      <sheetName val="입찰견적보고서"/>
      <sheetName val="hvac내역서(제어동)"/>
      <sheetName val="모델링"/>
      <sheetName val="하중계산"/>
      <sheetName val="견적접수"/>
      <sheetName val="견적내역서"/>
      <sheetName val="mcc일위대가"/>
      <sheetName val="ITB COST"/>
      <sheetName val="원본"/>
      <sheetName val="2006기계경비산출표"/>
      <sheetName val="48전력선로일위"/>
      <sheetName val="총괄집계표"/>
      <sheetName val="고창터널(고창방향)"/>
      <sheetName val="제-노임"/>
      <sheetName val="제직재"/>
      <sheetName val="아파트기별"/>
      <sheetName val="공리일"/>
      <sheetName val="AILC004"/>
      <sheetName val="점검총괄"/>
      <sheetName val="20관리비율"/>
      <sheetName val="예산갑지"/>
      <sheetName val="토목원가계산서"/>
      <sheetName val="토목원가"/>
      <sheetName val="집계장"/>
      <sheetName val="제외공종"/>
      <sheetName val="기계원가계산서"/>
      <sheetName val="기계원가"/>
      <sheetName val="가설내역"/>
      <sheetName val="갑지(가로)"/>
      <sheetName val="표지목차간지"/>
      <sheetName val="예산조서-총괄"/>
      <sheetName val="예산조서-신공항1"/>
      <sheetName val="가설물"/>
      <sheetName val="K"/>
      <sheetName val="내역구성"/>
      <sheetName val="4원가"/>
      <sheetName val="임시급식"/>
      <sheetName val="옥외가스"/>
      <sheetName val="임시급식 (2)"/>
      <sheetName val="단가일람"/>
      <sheetName val="unit 4"/>
      <sheetName val="Summary Sheets"/>
      <sheetName val="일위목록-기"/>
      <sheetName val="6동"/>
      <sheetName val="부대공Ⅱ"/>
      <sheetName val="Chart1"/>
      <sheetName val="단위내역목록"/>
      <sheetName val="단위내역서"/>
      <sheetName val="원가(1)"/>
      <sheetName val="원가(2)"/>
      <sheetName val="간접1"/>
      <sheetName val="5.정산서"/>
      <sheetName val="1차증가원가계산"/>
      <sheetName val="통장출금액"/>
      <sheetName val="VA_code"/>
      <sheetName val="공종별원가계산"/>
      <sheetName val="말고개터널조명전압강하"/>
      <sheetName val="연결관산출조서"/>
      <sheetName val="외주"/>
      <sheetName val="BOX전기내역"/>
      <sheetName val="BASIC (2)"/>
      <sheetName val="토량1-1"/>
      <sheetName val="참조-(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노무비 근거"/>
      <sheetName val="일집"/>
      <sheetName val="노무"/>
      <sheetName val="Proposal"/>
      <sheetName val="Tot-sum"/>
      <sheetName val="ATS단가"/>
      <sheetName val="내역(전체)"/>
      <sheetName val="design criteria"/>
      <sheetName val="plan&amp;section of foundation"/>
      <sheetName val="협조전"/>
      <sheetName val="노원열병합  건축렀こ렀䡟ԯ_x0000_缀"/>
      <sheetName val="노원열병합  건축렀䡟ԯ_x0000_缀_x0000__x0000_"/>
      <sheetName val="노원열병합  건축︀ᇕ԰_x0000_缀_x0000__x0000_"/>
      <sheetName val="노원열병합  건축ﻕᇕ԰_x0000_缀_x0000__x0000_"/>
      <sheetName val="차수"/>
      <sheetName val="2.노무비명세서(난간대)"/>
      <sheetName val="2.사진대지"/>
      <sheetName val=" 견적서"/>
      <sheetName val="(2)"/>
      <sheetName val="예산서"/>
      <sheetName val="3.사진대지"/>
      <sheetName val="설계기준 및 하중계산"/>
      <sheetName val="입력값"/>
      <sheetName val="22단가(철거)"/>
      <sheetName val="49단가"/>
      <sheetName val="49단가(철거)"/>
      <sheetName val="부표총괄"/>
      <sheetName val="8. 내진해석"/>
      <sheetName val="22단가"/>
      <sheetName val="9-1차이내역"/>
      <sheetName val="금액내역서"/>
      <sheetName val="AIR SHOWER(3인용)"/>
      <sheetName val="손익분석"/>
      <sheetName val="포장공"/>
      <sheetName val="가설건물"/>
      <sheetName val="품셈"/>
      <sheetName val="인건-측정"/>
      <sheetName val="적용공정"/>
      <sheetName val="금리계산"/>
      <sheetName val="우배수"/>
      <sheetName val="맨홀"/>
      <sheetName val="금호"/>
      <sheetName val="부하(성남)"/>
      <sheetName val="96보완계획7.12"/>
      <sheetName val="연부97-1"/>
      <sheetName val="갑지1"/>
      <sheetName val="49-119"/>
      <sheetName val="적용(기계)"/>
      <sheetName val="옹벽수량집계"/>
      <sheetName val="관로"/>
      <sheetName val="제수변수량"/>
      <sheetName val="공기변수량"/>
      <sheetName val="상수도토공집계표"/>
      <sheetName val="PO-BOQ"/>
      <sheetName val="일반수량총괄"/>
      <sheetName val="의왕내역"/>
      <sheetName val="입출재고현황 (2)"/>
      <sheetName val="변경비교-을"/>
      <sheetName val="인건비 "/>
      <sheetName val="공종별내역서"/>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검사조서"/>
      <sheetName val="집계(총괄)"/>
      <sheetName val="구성비"/>
      <sheetName val="실적보고"/>
      <sheetName val="표준안전집계"/>
      <sheetName val="표준안전내역"/>
      <sheetName val="A갑지"/>
      <sheetName val="공정"/>
      <sheetName val="견"/>
      <sheetName val="보도경계블럭"/>
      <sheetName val="L형옹벽"/>
      <sheetName val="내부부하"/>
      <sheetName val="Mc1"/>
      <sheetName val="2000,9월 일위"/>
      <sheetName val="guard(mac)"/>
      <sheetName val="과천MAIN"/>
      <sheetName val="조건"/>
      <sheetName val="여흥"/>
      <sheetName val="설계가"/>
      <sheetName val="관급총괄"/>
      <sheetName val="2007일위 "/>
      <sheetName val="토목일위 (83~)"/>
      <sheetName val="표지판일위(105~"/>
      <sheetName val="장비일위"/>
      <sheetName val="재료1월호"/>
      <sheetName val="노무비 "/>
      <sheetName val="00000000"/>
      <sheetName val="율촌법률사무소2내역"/>
      <sheetName val="지주목시비량산출서"/>
      <sheetName val="99총공사내역서"/>
      <sheetName val="고등학교"/>
      <sheetName val="제1장"/>
      <sheetName val="제2장"/>
      <sheetName val="제3장"/>
      <sheetName val="경산"/>
      <sheetName val="견적내역"/>
      <sheetName val="직공비"/>
      <sheetName val="진우+대광"/>
      <sheetName val="견적대비"/>
      <sheetName val="옥외"/>
      <sheetName val="가드레일산근"/>
      <sheetName val="수량집계표"/>
      <sheetName val="단가비교"/>
      <sheetName val="적용2002"/>
      <sheetName val="중기"/>
      <sheetName val="45,46"/>
      <sheetName val="교대(A1-A2)"/>
      <sheetName val="구조물공"/>
      <sheetName val="부대공"/>
      <sheetName val="배수공"/>
      <sheetName val="본선토량운반계산서(1)0"/>
      <sheetName val="1SPAN"/>
      <sheetName val="조경일람"/>
      <sheetName val="°ø»çºñ¿¹»ê¼­(Åä¸ñºÐ)"/>
      <sheetName val="°¢Çü¸ÇÈ¦"/>
      <sheetName val="¼ö¸ñ´Ü°¡"/>
      <sheetName val="½Ã¼³¼ö·®Ç¥"/>
      <sheetName val="½ÄÀç¼ö·®Ç¥"/>
      <sheetName val="ÀÏÀ§¸ñ·Ï"/>
      <sheetName val="ÀÚÀç´Ü°¡"/>
      <sheetName val="°¡·Îµî"/>
      <sheetName val="정화조동내역"/>
      <sheetName val="P.M 별"/>
      <sheetName val="설계변경내역서"/>
      <sheetName val="배"/>
      <sheetName val="단위별 일위대가표"/>
      <sheetName val="IMP_(REACTOR)"/>
      <sheetName val="제4장"/>
      <sheetName val="5장공내역서"/>
      <sheetName val="제6장"/>
      <sheetName val="직불동의서"/>
      <sheetName val="확약서"/>
      <sheetName val="전자입찰"/>
      <sheetName val="7작업장인수인계서"/>
      <sheetName val="3특기시방서"/>
      <sheetName val="일위대가목록(1)"/>
      <sheetName val="단가대비표(1)"/>
      <sheetName val="수질정화시설"/>
      <sheetName val="LEGEND"/>
      <sheetName val="일위집계표"/>
      <sheetName val="금액결정"/>
      <sheetName val="견적의뢰서"/>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8. 안정검토"/>
      <sheetName val="지진시"/>
      <sheetName val="98NS-N"/>
      <sheetName val="일위_파일"/>
      <sheetName val="다이꾸"/>
      <sheetName val="SKETCH"/>
      <sheetName val="배수문수량산출(3)"/>
      <sheetName val="MFAB"/>
      <sheetName val="MFRT"/>
      <sheetName val="MPKG"/>
      <sheetName val="MPRD"/>
      <sheetName val="할증 "/>
      <sheetName val="제수"/>
      <sheetName val="공기"/>
      <sheetName val="기본단가"/>
      <sheetName val="약품설비"/>
      <sheetName val="LP-S"/>
      <sheetName val="전기혼잡제경비(45)"/>
      <sheetName val="MEXICO-C"/>
      <sheetName val="보합"/>
      <sheetName val="내역서 (2)"/>
      <sheetName val="토량산출서"/>
      <sheetName val="L_RPTA05_목록"/>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철거집계"/>
      <sheetName val="전차선로 물량표"/>
      <sheetName val="한강운반비"/>
      <sheetName val="자재"/>
      <sheetName val="12월31일"/>
      <sheetName val="Apt내역"/>
      <sheetName val="EQUIPMENT -2"/>
      <sheetName val="고분전시관"/>
      <sheetName val="설비"/>
      <sheetName val="빌딩 안내"/>
      <sheetName val="MBR9"/>
      <sheetName val="공비대비"/>
      <sheetName val="전기2005"/>
      <sheetName val="통신2005"/>
      <sheetName val="연결임시"/>
      <sheetName val="계산식"/>
      <sheetName val="1._x0018_변전설비"/>
      <sheetName val="현장예산"/>
      <sheetName val="Macro3"/>
      <sheetName val="대구-교대(A1-A2)"/>
      <sheetName val="3.자재비(총괄)"/>
      <sheetName val="실행예산"/>
      <sheetName val="마산방향"/>
      <sheetName val="실행갑지"/>
      <sheetName val="견적990322"/>
      <sheetName val="LD일"/>
      <sheetName val="FA설치명세"/>
      <sheetName val="FD"/>
      <sheetName val="증감대비"/>
      <sheetName val="공종단가"/>
      <sheetName val="중기일위대가"/>
      <sheetName val="관접합및부설"/>
      <sheetName val="U-TYPE(1)"/>
      <sheetName val="SULKEA"/>
      <sheetName val="아파트건축"/>
      <sheetName val="잔수량(작성)"/>
      <sheetName val="BOQ(전체)"/>
      <sheetName val="48평단가"/>
      <sheetName val="57단가"/>
      <sheetName val="54평단가"/>
      <sheetName val="66평단가"/>
      <sheetName val="61단가"/>
      <sheetName val="89평단가"/>
      <sheetName val="84평단가"/>
      <sheetName val="1공구(을)"/>
      <sheetName val="적상기초자료"/>
      <sheetName val="화재 탐지 설비"/>
      <sheetName val="주사무실종합"/>
      <sheetName val="효동"/>
      <sheetName val="여과지동"/>
      <sheetName val="전체철근집계"/>
      <sheetName val="토목공사"/>
      <sheetName val="토공산출(주차장)"/>
      <sheetName val="CIVIL"/>
      <sheetName val="자  재"/>
      <sheetName val="관리사무소"/>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재정비직인"/>
      <sheetName val="재정비내역"/>
      <sheetName val="지적고시내역"/>
      <sheetName val="BJJIN"/>
      <sheetName val="시공계획"/>
      <sheetName val="현장설명서"/>
      <sheetName val="견적조건서"/>
      <sheetName val="시공일반사항"/>
      <sheetName val="현장설명서갑지"/>
      <sheetName val="하도급선정의뢰서(습식공사)"/>
      <sheetName val="36신설수량"/>
      <sheetName val="cost"/>
      <sheetName val="제품별"/>
      <sheetName val="사전공사"/>
      <sheetName val="소포내역 (2)"/>
      <sheetName val="암거단위"/>
      <sheetName val="DATA 입력란"/>
      <sheetName val="적용단위길이"/>
      <sheetName val="피벗테이블데이터분석"/>
      <sheetName val="특수기호강도거푸집"/>
      <sheetName val="종배수관면벽신"/>
      <sheetName val="종배수관(신)"/>
      <sheetName val="유림골조"/>
      <sheetName val="성서방향-교대(A2)"/>
      <sheetName val="상행-교대(A1)"/>
      <sheetName val="매매"/>
      <sheetName val="전신"/>
      <sheetName val="기간등록"/>
      <sheetName val="신공"/>
      <sheetName val="저리조양"/>
      <sheetName val="기자재대비표"/>
      <sheetName val="몰탈재료산출"/>
      <sheetName val="관급"/>
      <sheetName val="백호우계수"/>
      <sheetName val="경산(을)"/>
      <sheetName val="선정요령"/>
      <sheetName val="정화조방수미장"/>
      <sheetName val="15"/>
      <sheetName val="부하LOAD"/>
      <sheetName val="접속슬라브"/>
      <sheetName val="수로교총재료집계"/>
      <sheetName val="공사별 가중치 산출근거(토목)"/>
      <sheetName val="가중치근거(조경)"/>
      <sheetName val="내역서비교"/>
      <sheetName val="세부내역"/>
      <sheetName val="LAB"/>
      <sheetName val="Inquiry"/>
      <sheetName val="1. 설계조건 2.단면가정 3. 하중계산"/>
      <sheetName val="제진기"/>
      <sheetName val="1"/>
      <sheetName val="목록"/>
      <sheetName val="1.범위"/>
      <sheetName val="2.편성"/>
      <sheetName val="3개요"/>
      <sheetName val="5내역"/>
      <sheetName val="6.GAS"/>
      <sheetName val="7임급실"/>
      <sheetName val="미제출"/>
      <sheetName val="소방1"/>
      <sheetName val="소방2"/>
      <sheetName val="왜UP"/>
      <sheetName val="샤워실위생"/>
      <sheetName val="적현로"/>
      <sheetName val="산출(전주P7)"/>
      <sheetName val="H PILE수량"/>
      <sheetName val="철근량 검토"/>
      <sheetName val="통합"/>
      <sheetName val="TC표지"/>
      <sheetName val="현금"/>
      <sheetName val="현장"/>
      <sheetName val="유기공정"/>
      <sheetName val="변경서식"/>
      <sheetName val="영업소실적"/>
      <sheetName val="STBOX"/>
      <sheetName val="공사진행"/>
      <sheetName val="70%"/>
      <sheetName val="본체"/>
      <sheetName val="Piping Design Data"/>
      <sheetName val="종배수관"/>
      <sheetName val="工완성공사율"/>
      <sheetName val="현장지지물물량"/>
      <sheetName val="품셈표"/>
      <sheetName val="부대대비"/>
      <sheetName val="냉연집계"/>
      <sheetName val="산출내역서"/>
      <sheetName val="저"/>
      <sheetName val="경상비"/>
      <sheetName val="연습장소"/>
      <sheetName val="MACRO(전선관)"/>
      <sheetName val="기준액"/>
      <sheetName val="상세내역,전력산출서"/>
      <sheetName val="7.1유효폭"/>
      <sheetName val="Ampecity Data"/>
      <sheetName val="MCC제원"/>
      <sheetName val="공사기본자료"/>
      <sheetName val="날개벽(시점좌측)"/>
      <sheetName val="3_바닥판설계"/>
      <sheetName val="TYPE-B 평균H"/>
      <sheetName val="교통량조사"/>
      <sheetName val="효성CB 1P기초"/>
      <sheetName val="EQ-R1"/>
      <sheetName val="품목"/>
      <sheetName val="기성"/>
      <sheetName val="기성내역 진짜"/>
      <sheetName val="기성갑지"/>
      <sheetName val="2회기성사정"/>
      <sheetName val="3회기성갑지"/>
      <sheetName val="3회총괄"/>
      <sheetName val="3회기성"/>
      <sheetName val="일위대가(계측기설치)"/>
      <sheetName val="MACRO(MCC)"/>
      <sheetName val="Á¡°ËÃÑ°ý"/>
      <sheetName val="»ó¼öµµÅä°øÁý°èÇ¥"/>
      <sheetName val="°ßÀû´ëºñ"/>
      <sheetName val="ÀÏÀ§´ë°¡Ç¥(À¯´Ü°¡)"/>
      <sheetName val="ÀÚÀç¸ñ·Ï"/>
      <sheetName val="20°ü¸®ºñÀ²"/>
      <sheetName val="담장산출"/>
      <sheetName val="Data&amp;Result"/>
      <sheetName val="일위대가(출입)"/>
      <sheetName val="현장관리비 "/>
      <sheetName val="구리토평1전기"/>
      <sheetName val="aa"/>
      <sheetName val="현금흐름"/>
      <sheetName val="시멘트"/>
      <sheetName val="Customer Databas"/>
      <sheetName val="사각맨홀"/>
      <sheetName val="출력X"/>
      <sheetName val="★도급내역"/>
      <sheetName val="가격조사서"/>
      <sheetName val="과세표준율-2"/>
      <sheetName val="면적분양가"/>
      <sheetName val="분양면적(1123)"/>
      <sheetName val="출력소스"/>
      <sheetName val="평교-내역"/>
      <sheetName val="단면설계"/>
      <sheetName val="신표지1"/>
      <sheetName val="노임(1차)"/>
      <sheetName val="준공평가"/>
      <sheetName val="실행간접비용"/>
      <sheetName val="관리,부대비"/>
      <sheetName val="공내역"/>
      <sheetName val="접속도로1"/>
      <sheetName val="실행(표지,갑,을)"/>
      <sheetName val="basic"/>
      <sheetName val="메서,변+증"/>
      <sheetName val="공사별 가중치 산출근거(건축)"/>
      <sheetName val="집수A"/>
      <sheetName val="기계경비일람"/>
      <sheetName val="FAX"/>
      <sheetName val="건축개요"/>
      <sheetName val="버스운행안내"/>
      <sheetName val="예방접종계획"/>
      <sheetName val="근태계획서"/>
      <sheetName val="MIJIBI"/>
      <sheetName val="건축직"/>
      <sheetName val="과세내역(세부)"/>
      <sheetName val="기타시설"/>
      <sheetName val="주민복지관"/>
      <sheetName val="지하주차장"/>
      <sheetName val="SCHEDULE"/>
      <sheetName val="2000_11월설계내역"/>
      <sheetName val="AS복구"/>
      <sheetName val="중기터파기"/>
      <sheetName val="변수값"/>
      <sheetName val="중기상차"/>
      <sheetName val="중간부"/>
      <sheetName val="대,유,램"/>
      <sheetName val="목동1절주.bh01"/>
      <sheetName val="송우내역서"/>
      <sheetName val="증감분석"/>
      <sheetName val="인사자료총집계"/>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산재 안전"/>
      <sheetName val="노무비 경비"/>
      <sheetName val="공사비총괄표"/>
      <sheetName val="BQ(실행)"/>
      <sheetName val="교량하부공"/>
      <sheetName val="와동25-3(변경)"/>
      <sheetName val="기계"/>
      <sheetName val="T6-6(2)"/>
      <sheetName val="Upgrades pricing"/>
      <sheetName val="내역(가지)"/>
      <sheetName val="GI-LIST"/>
      <sheetName val="주방환기"/>
      <sheetName val="내역서(토목)"/>
      <sheetName val="경상직원"/>
      <sheetName val="전력구구조물산근"/>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1_수인터널"/>
      <sheetName val="수목데이타_"/>
      <sheetName val="변압기_및_발전기_용량"/>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표지_(2)"/>
      <sheetName val="사원등록"/>
      <sheetName val="호봉 (2)"/>
      <sheetName val="하도급변경대비표"/>
      <sheetName val="2000용수잠관-수량집계"/>
      <sheetName val="공사내역"/>
      <sheetName val="WEON"/>
      <sheetName val="경상"/>
      <sheetName val="가설"/>
      <sheetName val="3.내역서"/>
      <sheetName val="총수량집계표"/>
      <sheetName val="통신물량"/>
      <sheetName val="전체내역서"/>
      <sheetName val="별표 "/>
      <sheetName val="기본DATA"/>
      <sheetName val="청천내"/>
      <sheetName val="문학간접"/>
      <sheetName val="매입세"/>
      <sheetName val="표층포설및다짐"/>
      <sheetName val="CODE"/>
      <sheetName val="별표"/>
      <sheetName val="균열"/>
      <sheetName val="암거날개벽재료집계"/>
      <sheetName val="단가및재료비"/>
      <sheetName val="노᠀⁷"/>
      <sheetName val="1공구(입찰내역)"/>
      <sheetName val="유첨#2"/>
      <sheetName val="교각별수량"/>
      <sheetName val="원가산출서"/>
      <sheetName val="Dae_Jiju"/>
      <sheetName val="Sikje_ingun"/>
      <sheetName val="TREE_D"/>
      <sheetName val="자동 철거"/>
      <sheetName val="자동 설치"/>
      <sheetName val="토목 철주"/>
      <sheetName val="철거 일위대가(1-19)"/>
      <sheetName val="철거 일위대가(20-22)"/>
      <sheetName val="설치 일위대가(23-45호)"/>
      <sheetName val="설치 일위대가(46~78호)"/>
      <sheetName val="96정변2"/>
      <sheetName val="CB"/>
      <sheetName val="CS2"/>
      <sheetName val="1,2공구원가계산서"/>
      <sheetName val="1공구산출내역서"/>
      <sheetName val="오동"/>
      <sheetName val="대조"/>
      <sheetName val="나한"/>
      <sheetName val="INPUT(덕도방향-시점)"/>
      <sheetName val="실행예산서"/>
      <sheetName val="유동표(변경)"/>
      <sheetName val="급명"/>
      <sheetName val="단  가  대  비  표"/>
      <sheetName val="일  위  대  가  목  록"/>
      <sheetName val="2000년 공정표"/>
      <sheetName val="교각별철근수량집계표"/>
      <sheetName val="L형옹벽측구"/>
      <sheetName val="const."/>
      <sheetName val="동해title"/>
      <sheetName val="변경내역을"/>
      <sheetName val="펌프장수량산출(토)"/>
      <sheetName val="남양구조시험동"/>
      <sheetName val="본부소개"/>
      <sheetName val="현관"/>
      <sheetName val="기기리스트"/>
      <sheetName val="통합내역"/>
      <sheetName val="HRSG SMALL07220"/>
      <sheetName val="CHITIET VL-NC-TT -1p"/>
      <sheetName val="TDTKP1"/>
      <sheetName val="bearing"/>
      <sheetName val="CA지입"/>
      <sheetName val="대외공문"/>
      <sheetName val="DWPM"/>
      <sheetName val="백암비스타내역"/>
      <sheetName val="DB"/>
      <sheetName val="1공구 건정토건 토공"/>
      <sheetName val=" 총괄표"/>
      <sheetName val="자재집계"/>
      <sheetName val="LIST"/>
      <sheetName val="투입(관수_건축)"/>
      <sheetName val="투입(APT500)"/>
      <sheetName val="투입(분당)"/>
      <sheetName val="작성지침서2)"/>
      <sheetName val="투입스케쥴양식"/>
      <sheetName val="투입(APT1200)"/>
      <sheetName val="투입(평촌)"/>
      <sheetName val="투입(APT1000)"/>
      <sheetName val="계약내역서(을지)"/>
      <sheetName val="TOT"/>
      <sheetName val="가시설흙막이"/>
      <sheetName val="전선"/>
      <sheetName val="CABLE"/>
      <sheetName val="강북라우터"/>
      <sheetName val="노무비산출"/>
      <sheetName val="합천내역"/>
      <sheetName val="단"/>
      <sheetName val="교통대책내역"/>
      <sheetName val="보할공정"/>
      <sheetName val="220 (2)"/>
      <sheetName val="총인원"/>
      <sheetName val="직급인원"/>
      <sheetName val="차종별"/>
      <sheetName val="OPGW기별"/>
      <sheetName val="관기성공.내"/>
      <sheetName val="중동상가"/>
      <sheetName val="FOOTING단면력"/>
      <sheetName val="01AC"/>
      <sheetName val="조명율데이타"/>
      <sheetName val="평균높이산출근거"/>
      <sheetName val="횡배수관위치조서"/>
      <sheetName val="1.우편집중내역서"/>
      <sheetName val="기본설계도급항목"/>
      <sheetName val="8.현장관리비"/>
      <sheetName val="7.안전관리비"/>
      <sheetName val="01"/>
      <sheetName val="연돌일위집계"/>
      <sheetName val="BEND LOSS"/>
      <sheetName val="견적율"/>
      <sheetName val="물가"/>
      <sheetName val="소방사항"/>
      <sheetName val="TRE TABLE"/>
      <sheetName val="총집계표"/>
      <sheetName val="명세서"/>
      <sheetName val="공사내역서(을)실행"/>
      <sheetName val="견적"/>
      <sheetName val="화설내"/>
      <sheetName val="기초일위"/>
      <sheetName val="조명일위"/>
      <sheetName val="DATA 입력부"/>
      <sheetName val="승용"/>
      <sheetName val="Recovered_Sheet1"/>
      <sheetName val="원가상세내역"/>
      <sheetName val="2004경영(비목별)"/>
      <sheetName val="2004경영"/>
      <sheetName val="s"/>
      <sheetName val="입적표"/>
      <sheetName val="ELECTRIC"/>
      <sheetName val="직원동원SCH"/>
      <sheetName val="단가조사-1"/>
      <sheetName val="단가조사-2"/>
      <sheetName val="Man Power &amp; Comp"/>
      <sheetName val="변경후-SHEET"/>
      <sheetName val="도급양식"/>
      <sheetName val="손익집계(공장별)"/>
      <sheetName val="설계명세서(선로)"/>
      <sheetName val="접지수량"/>
      <sheetName val="현장별계약현황('98.10.31)"/>
      <sheetName val="현장관리비데이타"/>
      <sheetName val="1)fs"/>
      <sheetName val="구조     ."/>
      <sheetName val="2002하반기노임기준"/>
      <sheetName val="본부장"/>
      <sheetName val="구동"/>
      <sheetName val="공조기"/>
      <sheetName val="대림산업"/>
      <sheetName val="EKOG10건축"/>
      <sheetName val="경비"/>
      <sheetName val="TYPE-1"/>
      <sheetName val="내역서(전체)"/>
      <sheetName val="내역(토목)"/>
      <sheetName val="위치조서"/>
      <sheetName val="5.공종별예산내역서"/>
      <sheetName val="PROJECT BRIEF"/>
      <sheetName val="토공정보"/>
      <sheetName val="두앙"/>
      <sheetName val="깨기수량"/>
      <sheetName val="하중산정"/>
      <sheetName val="세부견적서(DAS Call Back)"/>
      <sheetName val="단중표-ST"/>
      <sheetName val="COMPRESSOR"/>
      <sheetName val="PIPE"/>
      <sheetName val="VALVE"/>
      <sheetName val="9811"/>
      <sheetName val="투찰내역"/>
      <sheetName val="COVER-P"/>
      <sheetName val="Piping(Methanol)"/>
      <sheetName val="도로경계블럭단위수량"/>
      <sheetName val="도로경계블럭단위토공"/>
      <sheetName val="L형측구단위수량"/>
      <sheetName val="L형측구연장조서"/>
      <sheetName val="충주"/>
      <sheetName val="재료집계"/>
      <sheetName val="인수공총괄"/>
      <sheetName val="내역서01"/>
      <sheetName val="덕소내역"/>
      <sheetName val="종합기별"/>
      <sheetName val="노무비명세서"/>
      <sheetName val="개보수공사BM"/>
      <sheetName val="장문교(대전)"/>
      <sheetName val="내역(중앙)"/>
      <sheetName val="내역(창신)"/>
      <sheetName val="CLAUSE"/>
      <sheetName val="약품설︀"/>
      <sheetName val="결과조달"/>
      <sheetName val="1공구 건정토건 철콘"/>
      <sheetName val="2공구하도급내역서"/>
      <sheetName val="도급내역"/>
      <sheetName val="투찰추정"/>
      <sheetName val="건축내역(진해석동)"/>
      <sheetName val="KMT물량"/>
      <sheetName val="Working(wo WTs)"/>
      <sheetName val="주조정실"/>
      <sheetName val="Requirements"/>
      <sheetName val="loading"/>
      <sheetName val="단가보완"/>
      <sheetName val="단위가격"/>
      <sheetName val="Rates"/>
      <sheetName val="P-산#1-1(WOWA1)"/>
      <sheetName val="웅진교-S2"/>
      <sheetName val="배수관토공"/>
      <sheetName val="차수공개요"/>
      <sheetName val="인공(100P,배선반)"/>
      <sheetName val="설내역서 "/>
      <sheetName val="전기공사"/>
      <sheetName val="납부서"/>
      <sheetName val="기흥하도용"/>
      <sheetName val="일위대가(여기까지)"/>
      <sheetName val="J"/>
      <sheetName val="단위_xdc00_ὗ␀"/>
      <sheetName val="인상효1"/>
      <sheetName val="수성페인트도장 내역서"/>
      <sheetName val="도급내역5+800"/>
      <sheetName val="도급금액"/>
      <sheetName val="재노경"/>
      <sheetName val="변경내역서"/>
      <sheetName val="일위대가(1)"/>
      <sheetName val="관급자재"/>
      <sheetName val="총공사내역서"/>
      <sheetName val="토공사"/>
      <sheetName val="정렬"/>
      <sheetName val="계약내역서"/>
      <sheetName val="전체도급"/>
      <sheetName val="본선 토공 분배표"/>
      <sheetName val="제출내역 (2)"/>
      <sheetName val="6공구(당초)"/>
      <sheetName val="산근1"/>
      <sheetName val="관리,공감"/>
      <sheetName val="입찰"/>
      <sheetName val="현경"/>
      <sheetName val="전화번호DATA (2001)"/>
      <sheetName val="자압"/>
      <sheetName val="106C0300"/>
      <sheetName val="건축내역서 (경제상무실)"/>
      <sheetName val="통로box전기"/>
      <sheetName val="밧데리"/>
      <sheetName val="진접"/>
      <sheetName val="사급자재(1단계)"/>
      <sheetName val="조명투자및환수계획"/>
      <sheetName val="제조중간결과"/>
      <sheetName val="시중노임단가"/>
      <sheetName val="구조물터파기수량집계"/>
      <sheetName val="배수공 시멘트 및 골재량 산출"/>
      <sheetName val="J01"/>
      <sheetName val="집수정"/>
      <sheetName val="공내ᰖ"/>
      <sheetName val="수량이동"/>
      <sheetName val="단면"/>
      <sheetName val="탑(을지)"/>
      <sheetName val="열린교실"/>
      <sheetName val="경산锼_x0013_閄"/>
      <sheetName val="합의경상"/>
      <sheetName val="단면瑌)"/>
      <sheetName val="22단"/>
      <sheetName val="22단锼"/>
      <sheetName val="기초자료입력및 K치 확인"/>
      <sheetName val="AS_x0005__x0000_"/>
      <sheetName val="진주䈀ᅪ"/>
      <sheetName val="2공구수량"/>
      <sheetName val="화해(함평)"/>
      <sheetName val="화해(장성)"/>
      <sheetName val="2BOX본체"/>
      <sheetName val="도장수량(하1)"/>
      <sheetName val="사업수지"/>
      <sheetName val="기계경비단가"/>
      <sheetName val="지주설치제원"/>
      <sheetName val="경영상태"/>
      <sheetName val="토공A"/>
      <sheetName val="전체공내역서"/>
      <sheetName val="퍼스트"/>
      <sheetName val="역집계1"/>
      <sheetName val="명단원자료(이전)"/>
      <sheetName val="영동(D)"/>
      <sheetName val="원가서"/>
      <sheetName val="용소리교"/>
      <sheetName val="단가(반정1교-원주)"/>
      <sheetName val="삼보지질"/>
      <sheetName val="7.전산해석결과"/>
      <sheetName val="4.하중"/>
      <sheetName val="우각부검토"/>
      <sheetName val="기초입력"/>
      <sheetName val="기성내역서표지"/>
      <sheetName val="공주-교대(A1)"/>
      <sheetName val="중기사용료"/>
      <sheetName val="단가 "/>
      <sheetName val="design load"/>
      <sheetName val="working load at the btm ft."/>
      <sheetName val="stability check"/>
      <sheetName val="보호"/>
      <sheetName val="개소별수량산출"/>
      <sheetName val="성남여성복지내역"/>
      <sheetName val="(A)내역서"/>
      <sheetName val="안양1공구_건축"/>
      <sheetName val="북방3터널"/>
      <sheetName val="기술자료 (연수)"/>
      <sheetName val="등록업체"/>
      <sheetName val="esc"/>
      <sheetName val="영흥TL(UP,DOWN) "/>
      <sheetName val="96작생능"/>
      <sheetName val="sheets"/>
      <sheetName val="단가결정"/>
      <sheetName val="내역아"/>
      <sheetName val="울타리"/>
      <sheetName val="3CHBDC"/>
      <sheetName val="2002계약현황"/>
      <sheetName val="내역기준"/>
      <sheetName val="설-원가"/>
      <sheetName val="전체_1설계"/>
      <sheetName val="자재일람"/>
      <sheetName val="Factor"/>
      <sheetName val="w't table"/>
      <sheetName val="UR2-Calculation"/>
      <sheetName val="Main"/>
      <sheetName val="노임변동률"/>
      <sheetName val="4차원가계산서"/>
      <sheetName val="예산M12A"/>
      <sheetName val="환율-LIBOR"/>
      <sheetName val="품종별-이름"/>
      <sheetName val=" 갑  지 "/>
      <sheetName val="Y_WORK"/>
      <sheetName val="부서현황"/>
      <sheetName val="1안"/>
      <sheetName val="총괄서"/>
      <sheetName val="Option"/>
      <sheetName val="판"/>
      <sheetName val="실행내역서 "/>
      <sheetName val="사업계획1안"/>
      <sheetName val="VENDOR LIST"/>
      <sheetName val="공통비"/>
      <sheetName val="도장 및 용접 수량"/>
      <sheetName val="경율산정"/>
      <sheetName val="위성"/>
      <sheetName val="GAEYO"/>
      <sheetName val="Vari by Vendor"/>
      <sheetName val="공용시설내역"/>
      <sheetName val="97 사업추정(WEKI)"/>
      <sheetName val="기계경비및산출근거서"/>
      <sheetName val="Languages"/>
      <sheetName val="원내역서3"/>
      <sheetName val="101동"/>
      <sheetName val="3도로"/>
      <sheetName val="세동별비상"/>
      <sheetName val="세부내역서(전기)"/>
      <sheetName val="대비내역"/>
      <sheetName val="기존단가 (2)"/>
      <sheetName val="9."/>
      <sheetName val="견적서1"/>
      <sheetName val="자재테이블"/>
      <sheetName val="EP0618"/>
      <sheetName val="기본사항"/>
      <sheetName val="토목내역서 (도급단가)"/>
      <sheetName val="현황산출서"/>
      <sheetName val="내역서단가산출용"/>
      <sheetName val="가CP"/>
      <sheetName val="청구내역(9807)"/>
      <sheetName val="기초및구체공"/>
      <sheetName val="금긋기 및 절단"/>
      <sheetName val="감액총괄표"/>
      <sheetName val="변경품셈총괄"/>
      <sheetName val="내역."/>
      <sheetName val="부대"/>
      <sheetName val="실행(1)"/>
      <sheetName val="기계설비"/>
      <sheetName val="2.1  노무비 평균단가산출"/>
      <sheetName val="콘_재료분리(1)"/>
      <sheetName val="음성방향"/>
      <sheetName val="설계변경내역 98"/>
      <sheetName val="공제구간조서"/>
      <sheetName val="견적대비표"/>
      <sheetName val="설계일반"/>
      <sheetName val="수압집계"/>
      <sheetName val="결합부검토"/>
      <sheetName val="유림총괄"/>
      <sheetName val="신규 품"/>
      <sheetName val="단산"/>
      <sheetName val="변수데이타"/>
      <sheetName val="INDEX"/>
      <sheetName val="15100"/>
      <sheetName val="MAT"/>
      <sheetName val="예산M6-B"/>
      <sheetName val="동원인원산출"/>
      <sheetName val="품셈기준"/>
      <sheetName val="총(신설)"/>
      <sheetName val="대,怀፵"/>
      <sheetName val="산근(목록)"/>
      <sheetName val="이형관중량"/>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PAINT"/>
      <sheetName val="NAMES"/>
      <sheetName val="시운전연료"/>
      <sheetName val="22단헾"/>
      <sheetName val="상 부"/>
      <sheetName val="차선도색현황"/>
      <sheetName val="단가적용(터널)"/>
      <sheetName val="단위가격_할증"/>
      <sheetName val="전선_및_전선ࠝ"/>
      <sheetName val="연동내역서"/>
      <sheetName val="일위대가 "/>
      <sheetName val="제"/>
      <sheetName val="총괄집䠄ᡏ"/>
      <sheetName val="산출2-기기동력"/>
      <sheetName val="통신단가조사"/>
      <sheetName val="105,106,107동"/>
      <sheetName val="수로교총재료齘_x0013_"/>
      <sheetName val="산출및내역"/>
      <sheetName val="내역전기"/>
      <sheetName val="적용(기尜_x0013_"/>
      <sheetName val="1-11조직표"/>
      <sheetName val="96.12"/>
      <sheetName val="22단丵"/>
      <sheetName val="SLIDES"/>
      <sheetName val="광혁기성"/>
      <sheetName val="정산입력"/>
      <sheetName val="전력"/>
      <sheetName val="eq_data"/>
      <sheetName val="품셈집계표"/>
      <sheetName val="자재조사표"/>
      <sheetName val="일반부표집계표"/>
      <sheetName val="매출단가"/>
      <sheetName val="M-EQPT-Z"/>
      <sheetName val="현장대리인계"/>
      <sheetName val="2000,_x0010__x0000_退˘踇"/>
      <sheetName val="조경"/>
      <sheetName val="2000,_x0010__x0000_蒘Ȭ踇"/>
      <sheetName val="2000,_x0000__x0000_ᓐ_x0000__x0000_"/>
      <sheetName val="2000,_x0000__x0000_︸_x0000__x0000_"/>
      <sheetName val="2000,_x0000__x0000_Ẩ_x0000__x0000_"/>
      <sheetName val="2000,到_x0016_剼_x0016_徸"/>
      <sheetName val="2000,徸⽝_x0005__x0000_"/>
      <sheetName val="1호인버트수량"/>
      <sheetName val="석축설면"/>
      <sheetName val="법면단"/>
      <sheetName val="copy"/>
      <sheetName val="서식"/>
      <sheetName val="2000,咘೿踇⽟_x0000_"/>
      <sheetName val="2000,ﳨǬ踇⾣_x0000_"/>
      <sheetName val="실행변경(1차)"/>
      <sheetName val="2000,缈,罌,헾"/>
      <sheetName val="2000,薸!藼!헾"/>
      <sheetName val="2000,螨_x0013_蟬_x0013_헾"/>
      <sheetName val="E.P.T수량산출서"/>
      <sheetName val="2000,午_x0013_꾈ૂ䡲"/>
      <sheetName val="2000,午_x0013_ॢ䡲"/>
      <sheetName val="동원인원"/>
      <sheetName val="SANBAISU"/>
      <sheetName val="전체내저፺"/>
      <sheetName val="인건비堀"/>
      <sheetName val="전체내堀᎟"/>
      <sheetName val="전체내︀ᇕ"/>
      <sheetName val="전체내怀፵"/>
      <sheetName val="변경비鰀፰"/>
      <sheetName val="㰀"/>
      <sheetName val="전체내ᓈባ"/>
      <sheetName val="전체내죃፺"/>
      <sheetName val="주관锼_x0013_"/>
      <sheetName val="전체내쀀ፐ"/>
      <sheetName val="堀"/>
      <sheetName val="주관사堀"/>
      <sheetName val="전체내壈᎟"/>
      <sheetName val="전체내惇፵"/>
      <sheetName val="주관사저"/>
      <sheetName val="견적ꀀፐ"/>
      <sheetName val="전체내惈፵"/>
      <sheetName val="일위대가(계측ꀀፐቇ"/>
      <sheetName val="경ꀀፐ"/>
      <sheetName val="전체내죈፺"/>
      <sheetName val="교육종류"/>
      <sheetName val="견적堀᎟"/>
      <sheetName val="4렀቟԰"/>
      <sheetName val="4︀ᇕ԰"/>
      <sheetName val="자재조사표(참고용)"/>
      <sheetName val="접지1종"/>
      <sheetName val="제품"/>
      <sheetName val="참조M"/>
      <sheetName val="BOX 본체"/>
      <sheetName val="포장공자재집계표"/>
      <sheetName val="3련 B姨#"/>
      <sheetName val="경로,구간현황"/>
      <sheetName val="시가지우회도로공내역서"/>
      <sheetName val="1_설계기준"/>
      <sheetName val="Pier 3"/>
      <sheetName val="NAI"/>
      <sheetName val="자탐수량산출서"/>
      <sheetName val="예산"/>
      <sheetName val="회사99"/>
      <sheetName val="CAPVC"/>
      <sheetName val="방배동내역(리라)"/>
      <sheetName val="건축공사집계표"/>
      <sheetName val="방배동내역 (총괄)"/>
      <sheetName val="부대공사총괄"/>
      <sheetName val="변수2"/>
      <sheetName val="저항"/>
      <sheetName val="일반수량집계"/>
      <sheetName val="OCM"/>
      <sheetName val="사용자정의"/>
      <sheetName val="제품표준규격"/>
      <sheetName val="전기설계변경"/>
      <sheetName val="AH-1 "/>
      <sheetName val="OHU"/>
      <sheetName val="형식별 개략공사비"/>
      <sheetName val="01_ 원가계산서"/>
      <sheetName val="작성"/>
      <sheetName val="CAT_5"/>
      <sheetName val="등록׃】"/>
      <sheetName val="등록_x0010__x0000_"/>
      <sheetName val="PART_DISCOUNT"/>
      <sheetName val="등록_x0000__x0000_"/>
      <sheetName val="민감도"/>
      <sheetName val="RAHMEN"/>
      <sheetName val="소상 &quot;1&quot;"/>
      <sheetName val="적점"/>
      <sheetName val="Cost bd-&quot;A&quot;"/>
      <sheetName val="Macro(AT)"/>
      <sheetName val="CALCULATION"/>
      <sheetName val="원가총괄"/>
      <sheetName val="매입세율"/>
      <sheetName val="회로내역(승인)"/>
      <sheetName val="IBASE"/>
      <sheetName val="»êÃ렀䡟ԯ_x0000_缀"/>
      <sheetName val="»êÃ︀ᇕ԰_x0000_缀"/>
      <sheetName val="갈현동"/>
      <sheetName val="예산대비"/>
      <sheetName val="4/_x0000_䠀"/>
      <sheetName val="4쌇栅/"/>
      <sheetName val="4က_x0000_က"/>
      <sheetName val="증栀ᙿ가"/>
      <sheetName val="수안보-헾】_x0005__x0000_"/>
      <sheetName val="국공유지및사유지"/>
      <sheetName val="총괄-1"/>
      <sheetName val="이토변실(A3-LINE)"/>
      <sheetName val="9509"/>
      <sheetName val="일위목차"/>
      <sheetName val="견적사양비교표"/>
      <sheetName val="시설물기초"/>
      <sheetName val="송전재료비"/>
      <sheetName val="FIN TUBE"/>
      <sheetName val="HED. &amp; PIPE"/>
      <sheetName val="PUMP SHT"/>
      <sheetName val="FEXS"/>
      <sheetName val="한전고리-을"/>
      <sheetName val=" ｹ-ﾌﾞﾙ"/>
      <sheetName val="MW-BM"/>
      <sheetName val="암거공"/>
      <sheetName val="평가내역"/>
      <sheetName val="직접인건비"/>
      <sheetName val="2.2.2입적표"/>
      <sheetName val="접속도로"/>
      <sheetName val="-15.0"/>
      <sheetName val="사리부설"/>
      <sheetName val="1월"/>
      <sheetName val="임대견적서"/>
      <sheetName val="36신丵〒_x0005_"/>
      <sheetName val="물량집계"/>
      <sheetName val="단가조사표"/>
      <sheetName val="설계내역서(기계)"/>
      <sheetName val="현장설က_x0000_蠀ᛟ"/>
      <sheetName val="학생내역"/>
      <sheetName val="기성내역"/>
      <sheetName val="환"/>
      <sheetName val="적용기준표(98년상반기)"/>
      <sheetName val="예산내역서"/>
      <sheetName val="설계명세_x0005_"/>
      <sheetName val="DATA 입᠒ᎍ"/>
      <sheetName val="가계부"/>
      <sheetName val="제품목록"/>
      <sheetName val="매입매출관리"/>
      <sheetName val="설계명세_x0000_"/>
      <sheetName val="설계명세揄"/>
      <sheetName val="설계명세䡲"/>
      <sheetName val="적용토목"/>
      <sheetName val="명세"/>
      <sheetName val="견적서(1)"/>
      <sheetName val="2234"/>
      <sheetName val="조립1부실적"/>
      <sheetName val="5월"/>
      <sheetName val="능률"/>
      <sheetName val="Despacho (c.civil)"/>
      <sheetName val="1을"/>
      <sheetName val="감가상각"/>
      <sheetName val="인원"/>
      <sheetName val="견적의ᰀ፜"/>
      <sheetName val="사각맨᠜"/>
      <sheetName val="공기԰_x0000_缀"/>
      <sheetName val="설계睮め_x0005_"/>
      <sheetName val="사각맨0"/>
      <sheetName val="오억미만"/>
      <sheetName val="사각맨퀀"/>
      <sheetName val="사각맨堀"/>
      <sheetName val="사각맨䈀"/>
      <sheetName val="CF"/>
      <sheetName val="A 견적"/>
      <sheetName val="전기일위목록"/>
      <sheetName val="RE9604"/>
      <sheetName val="거푸집물량"/>
      <sheetName val="자재비"/>
      <sheetName val="UPDATA"/>
      <sheetName val="원가계산서(남측)"/>
      <sheetName val="제조 경영"/>
      <sheetName val="금광1터널"/>
      <sheetName val="G.R300경비"/>
      <sheetName val="세부狇譈"/>
      <sheetName val="사각맨ﻇ"/>
      <sheetName val="몰탈재븧܊"/>
      <sheetName val="견적의"/>
      <sheetName val="견적의烇彰"/>
      <sheetName val="토공집계표"/>
      <sheetName val="하도급선정의뢰서(습식공_x0000__x0000_"/>
      <sheetName val="앉음벽 (2)"/>
      <sheetName val="L-type"/>
      <sheetName val="2터널시점"/>
      <sheetName val="기본"/>
      <sheetName val="짉譥"/>
      <sheetName val="ᣉᎍ"/>
      <sheetName val="일위산출"/>
      <sheetName val="Oper Amount"/>
      <sheetName val="금액내렀቟"/>
      <sheetName val="금액내԰_x0000_"/>
      <sheetName val="E총"/>
      <sheetName val="성내동"/>
      <sheetName val="공종목록표"/>
      <sheetName val="인부임"/>
      <sheetName val="인원계획"/>
      <sheetName val="시행예산"/>
      <sheetName val="자압1"/>
      <sheetName val="조경내역"/>
      <sheetName val="물墸᎟鰀"/>
      <sheetName val="화재 탐지_x0005__x0000_"/>
      <sheetName val="단가비교표_공통1"/>
      <sheetName val="전신환매도徸"/>
      <sheetName val="업체별기성내역"/>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萀⅜"/>
      <sheetName val="貭♘"/>
      <sheetName val="기계실"/>
      <sheetName val="산#2-1 (2)"/>
      <sheetName val="일위대가(건축)"/>
      <sheetName val="골재산출"/>
      <sheetName val="자재목록표"/>
      <sheetName val="2002상반기노임기준"/>
      <sheetName val="단중聀"/>
      <sheetName val="예산조서(무선)"/>
      <sheetName val="사급자재총괄"/>
      <sheetName val="당정동경상이수"/>
      <sheetName val="당정동공통이수"/>
      <sheetName val="예산M11A"/>
      <sheetName val="APT"/>
      <sheetName val="WING3"/>
      <sheetName val=" 냉각수펌프"/>
      <sheetName val="구분자"/>
      <sheetName val="구성1"/>
      <sheetName val="구성2"/>
      <sheetName val="구성3"/>
      <sheetName val="구성4"/>
      <sheetName val="69.03%"/>
      <sheetName val="변경내역100%"/>
      <sheetName val="변경내역98%"/>
      <sheetName val="변경내역96%"/>
      <sheetName val="변경내역92%"/>
      <sheetName val="변경내역88%"/>
      <sheetName val="변경내역84.52%"/>
      <sheetName val="소운반"/>
      <sheetName val="공종구간"/>
      <sheetName val="산출0"/>
      <sheetName val="5.공종별尜_x0013_層_x0013_闰"/>
      <sheetName val="평3"/>
      <sheetName val="2.펌프장(사급자재)"/>
      <sheetName val="A1_본체_수량산출서"/>
      <sheetName val="내역총괄"/>
      <sheetName val="역T형옹벽(3.0)"/>
      <sheetName val="내역서(삼호)"/>
      <sheetName val="지하1층"/>
      <sheetName val="공비대䠚"/>
      <sheetName val="금액내㔀቎"/>
      <sheetName val="옹벽기초자료"/>
      <sheetName val="본사인상전"/>
      <sheetName val="단가산출-기,교"/>
      <sheetName val="당사"/>
      <sheetName val="내역총괄2"/>
      <sheetName val="내역총괄3"/>
      <sheetName val="가중치"/>
      <sheetName val="주식"/>
      <sheetName val="0001(arch)"/>
      <sheetName val="FO"/>
      <sheetName val="Summary Sheet"/>
      <sheetName val="일위대가내역"/>
      <sheetName val="대전-교대(A1-A2)"/>
      <sheetName val="만수배관단가"/>
      <sheetName val="FRP배관단가(만수)"/>
      <sheetName val="건축토목내역"/>
      <sheetName val="금액집계"/>
      <sheetName val="단양 00 아파트-세부내역"/>
      <sheetName val="C1ㅇ"/>
      <sheetName val="STD"/>
      <sheetName val="물가대비표"/>
      <sheetName val="10월"/>
      <sheetName val="연면적"/>
      <sheetName val="991029UTP용 M.D.F"/>
      <sheetName val="현장점검 1"/>
      <sheetName val="상가을 "/>
      <sheetName val="3.사용전검사(1000KW이상)(본동-수정)"/>
      <sheetName val="계획예산입력자료"/>
      <sheetName val="3본사"/>
      <sheetName val="세부내역서"/>
      <sheetName val="간선"/>
      <sheetName val="전압"/>
      <sheetName val="조도"/>
      <sheetName val="동력"/>
      <sheetName val="가공2원도"/>
      <sheetName val="COL"/>
      <sheetName val="일(4)"/>
      <sheetName val="투입비"/>
      <sheetName val="1F"/>
      <sheetName val="11.자재단가"/>
      <sheetName val="손익계산서"/>
      <sheetName val="대차대조표"/>
      <sheetName val="폐토수익화 "/>
      <sheetName val="수량산출1"/>
      <sheetName val="수전기기DATA"/>
      <sheetName val="(전체발주,금회3차공사)내역서"/>
      <sheetName val="49"/>
      <sheetName val="정산내역서"/>
      <sheetName val="설계서"/>
      <sheetName val="98수금사업"/>
      <sheetName val="FRT_O"/>
      <sheetName val="FAB_I"/>
      <sheetName val="RING WALL"/>
      <sheetName val="공사비PK5월"/>
      <sheetName val="간접비(1)"/>
      <sheetName val="터널(토공)"/>
      <sheetName val="리터팬내장형"/>
      <sheetName val="내역총괄표"/>
      <sheetName val="5차설계"/>
      <sheetName val="경비산출"/>
      <sheetName val="FUSE_MCB"/>
      <sheetName val="full (2)"/>
      <sheetName val="BREAKDOWN"/>
      <sheetName val="REINF."/>
      <sheetName val="IPS0823"/>
      <sheetName val="공조기(삭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산출목록표"/>
      <sheetName val="수원공"/>
      <sheetName val="입고장부 (4)"/>
      <sheetName val="DATA-UPS"/>
      <sheetName val="건설장비기초단가"/>
      <sheetName val="샘플표지"/>
      <sheetName val="토공 total"/>
      <sheetName val="일반맨홀수량집계(A-7 LINE)"/>
      <sheetName val="옹벽1"/>
      <sheetName val="찍기"/>
      <sheetName val="공종별 집계"/>
      <sheetName val="일위(PN)"/>
      <sheetName val="Macro"/>
      <sheetName val="산출"/>
      <sheetName val="9-1차이내역."/>
      <sheetName val="Sheet22"/>
      <sheetName val="총괄표(1)"/>
      <sheetName val="공종별집계표"/>
      <sheetName val="부산4"/>
      <sheetName val="계약표지"/>
      <sheetName val="내역서-전체낙찰율"/>
      <sheetName val="개봉3동하수관"/>
      <sheetName val="일위대가-1"/>
      <sheetName val="장비부하"/>
      <sheetName val="조도계산(가로등NEW)"/>
      <sheetName val="내역5"/>
      <sheetName val="역간(덕_동)"/>
      <sheetName val="역간(의-덕)"/>
      <sheetName val="골조"/>
      <sheetName val="단가대비표(SYS)"/>
      <sheetName val="제조노임"/>
      <sheetName val="변품8-37"/>
      <sheetName val="참조(2)"/>
      <sheetName val="현장일보"/>
      <sheetName val="보집계표"/>
      <sheetName val="월말"/>
      <sheetName val="원본(갑지)"/>
      <sheetName val="ISBL-CIV"/>
      <sheetName val="단가대비"/>
      <sheetName val="99 조정금액"/>
      <sheetName val="전류"/>
      <sheetName val="포장절단"/>
      <sheetName val="일위단가"/>
      <sheetName val="일위(설)"/>
      <sheetName val="전기공사일위대가"/>
      <sheetName val="일위대가표_(2)"/>
      <sheetName val="General_Data"/>
      <sheetName val="5호광장_(만점)"/>
      <sheetName val="인천국제_(만점)_(2)"/>
      <sheetName val="설_계"/>
      <sheetName val="방음벽_기초_일반수량"/>
      <sheetName val="I_설계조건"/>
      <sheetName val="설산1_나"/>
      <sheetName val="sum1_(2)"/>
      <sheetName val="원가계산서_(총괄)"/>
      <sheetName val="원가계산서_(건축)"/>
      <sheetName val="Site_Expenses"/>
      <sheetName val="제원_설계조건"/>
      <sheetName val="노원열병합__건축공사기성내역서"/>
      <sheetName val="플랜트_설치"/>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단면_(2)"/>
      <sheetName val="3-1_CB"/>
      <sheetName val="90_03실행_"/>
      <sheetName val="3_공통공사대비"/>
      <sheetName val="º¹±¸·®»êÁ¤_¹×_Àü¿ëÈ¸¼±_»ç¿ë"/>
      <sheetName val="4¿ù_½ÇÀûÃßÁ¤(°ÇÃà+Åä¸ñ)"/>
      <sheetName val="4¿ù_½ÇÀûÃßÁ¤(°ÇÃà)"/>
      <sheetName val="2000_11¿ù¼³°è³»¿ª"/>
      <sheetName val="Àü¼±_¹×_Àü¼±°ü"/>
      <sheetName val="ÁØ°Ë_³»¿ª¼­"/>
      <sheetName val="¼ö¸ñµ¥ÀÌÅ¸_"/>
      <sheetName val="º¯¾Ð±â_¹×_¹ßÀü±â_¿ë·®"/>
      <sheetName val="1_¼öÀÎÅÍ³Î"/>
      <sheetName val="외주대비_-석축"/>
      <sheetName val="외주대비-구조물_(2)"/>
      <sheetName val="견적표지_(3)"/>
      <sheetName val="CABLE_SIZE-3"/>
      <sheetName val="일위대가_집계표"/>
      <sheetName val="ITB_COST"/>
      <sheetName val="노무비_근거"/>
      <sheetName val="design_criteria"/>
      <sheetName val="plan&amp;section_of_foundation"/>
      <sheetName val="단가표_"/>
      <sheetName val="공사비_내역_(가)"/>
      <sheetName val="임시급식_(2)"/>
      <sheetName val="unit_4"/>
      <sheetName val="Summary_Sheets"/>
      <sheetName val="5_정산서"/>
      <sheetName val="마산방향철근집계"/>
      <sheetName val="맨홀물량"/>
      <sheetName val="추가예산"/>
      <sheetName val="열차제어동"/>
      <sheetName val="전기성능동"/>
      <sheetName val="차량시스템인자"/>
      <sheetName val="차량부품동"/>
      <sheetName val="신.분"/>
      <sheetName val="96노임기준"/>
      <sheetName val="시중노임(공사)"/>
      <sheetName val="기성공제요청서"/>
      <sheetName val="하도기성내역 수정"/>
      <sheetName val="기성공제 동의서"/>
      <sheetName val="기성공제 합의서(쓰레기처리비)"/>
      <sheetName val="암거"/>
      <sheetName val="정보"/>
      <sheetName val="간접경상비"/>
      <sheetName val="현대물량"/>
      <sheetName val="한화 둔산 내역서"/>
      <sheetName val="적격점수&lt;300억미만&gt;"/>
      <sheetName val="간이영수증"/>
      <sheetName val="Ⅴ-2.공종별내역"/>
      <sheetName val="가로등제어반 설치공사(수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데이터북"/>
      <sheetName val="조명참고자료"/>
      <sheetName val="Cable schedule"/>
      <sheetName val="V-data"/>
      <sheetName val="L-data"/>
      <sheetName val="P-data"/>
      <sheetName val="미드수량"/>
      <sheetName val="pbs_lambda"/>
      <sheetName val="Matériel embarqué PVC"/>
      <sheetName val="내역(정지)"/>
      <sheetName val="기지국"/>
      <sheetName val="약전닥트"/>
      <sheetName val="건축부하"/>
      <sheetName val="4월"/>
      <sheetName val="8월"/>
      <sheetName val="12월"/>
      <sheetName val="2월"/>
      <sheetName val="7월"/>
      <sheetName val="6월"/>
      <sheetName val="3월"/>
      <sheetName val="11월"/>
      <sheetName val="9월"/>
      <sheetName val="교실"/>
      <sheetName val="꣈፺"/>
      <sheetName val="¼ö·®»êÃÈ"/>
      <sheetName val="저፺"/>
      <sheetName val="¼ö·®»êÃX"/>
      <sheetName val="壈᎟"/>
      <sheetName val="쀀ፐ"/>
      <sheetName val="죈፺"/>
      <sheetName val="惈፵"/>
      <sheetName val="내역서 "/>
      <sheetName val="48신설수량"/>
      <sheetName val="품셈(기초)"/>
      <sheetName val="대가단최종"/>
      <sheetName val="부丵〒"/>
      <sheetName val="부司2"/>
      <sheetName val="성원계약"/>
      <sheetName val="2000.11¿ù¼³餀㢘ԯ_x0000_缀_x0000_"/>
      <sheetName val="총괄집렇♑"/>
      <sheetName val="아산경희980422"/>
      <sheetName val="대비표"/>
      <sheetName val="총괄집桶青"/>
      <sheetName val="01상노임"/>
      <sheetName val="Instruction"/>
      <sheetName val="22단가(철完9"/>
      <sheetName val="지질조사"/>
      <sheetName val="T1"/>
      <sheetName val="총체보활공정표"/>
      <sheetName val="1차배부(JB포함)"/>
      <sheetName val="원내역서 그대로"/>
      <sheetName val="설계내역일위"/>
      <sheetName val="969910( R)"/>
      <sheetName val="전장품(관리용)"/>
      <sheetName val="박스토공"/>
      <sheetName val="남대문빌딩"/>
      <sheetName val="PUMP"/>
      <sheetName val="각종장비전압강하계산"/>
      <sheetName val="거래명세서"/>
      <sheetName val="3.설계예산내역서(예산서)"/>
      <sheetName val="2.예정공정표"/>
      <sheetName val="4.설계예산내역서"/>
      <sheetName val="6.관급자재조서"/>
      <sheetName val="사업성분석"/>
      <sheetName val="22신설수량"/>
      <sheetName val="계약원가"/>
      <sheetName val="인공산출"/>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단가견적조사표"/>
      <sheetName val="안정검토(온1)"/>
      <sheetName val="공무공A"/>
      <sheetName val="36신설수翇"/>
      <sheetName val="36신설수︀"/>
      <sheetName val="견적꓀᥻"/>
      <sheetName val="수안보-_x0005__x0000__x0000_"/>
      <sheetName val="36신설수Ç"/>
      <sheetName val="36신설수資"/>
      <sheetName val="공사비증감"/>
      <sheetName val="수안보-徸〒_x0005__x0000_"/>
      <sheetName val="비목군분류일위"/>
      <sheetName val="입출재고현⩿〚_x0005__x0000_"/>
      <sheetName val="º¯°æ»çÀ_x0000_"/>
      <sheetName val="백호헾】_x0005_"/>
      <sheetName val="수안보-娐&gt;闰⿑"/>
      <sheetName val="수안보-ꮸ⿥_x0005__x0000_"/>
      <sheetName val="백호丵〒_x0005_"/>
      <sheetName val="내역서(기성청구)"/>
      <sheetName val="위치"/>
      <sheetName val="공작물조직표(용배수)"/>
      <sheetName val="날개수량1.5"/>
      <sheetName val="투찰가"/>
      <sheetName val="구조대가"/>
      <sheetName val="포설대가1"/>
      <sheetName val="부대대가"/>
      <sheetName val="철근총괄집계표"/>
      <sheetName val="홈통받이수량"/>
      <sheetName val="공통가설공사"/>
      <sheetName val="공사수행방안"/>
      <sheetName val=" 토목 처리장도급내역서 "/>
      <sheetName val="Data2"/>
      <sheetName val="공사착공계"/>
      <sheetName val="참조 DATA"/>
      <sheetName val="spec"/>
      <sheetName val="program"/>
      <sheetName val="studbolt no."/>
      <sheetName val="studbolt size"/>
      <sheetName val="item sort no"/>
      <sheetName val="정보매체A동"/>
      <sheetName val="기준"/>
      <sheetName val="파이프"/>
      <sheetName val="8__안정검토"/>
      <sheetName val="철근량_검토"/>
      <sheetName val="기술자료_(연수)"/>
      <sheetName val="실행비교"/>
      <sheetName val="지입재료비"/>
      <sheetName val="산출명세서"/>
      <sheetName val="적요"/>
      <sheetName val="조정내역"/>
      <sheetName val="조정_x0014__x0008_"/>
      <sheetName val="_x0000__x0008__x0000__x0008__x0000__x0006__x0000__x0004_"/>
      <sheetName val="상가지급현황"/>
      <sheetName val="D-3109"/>
      <sheetName val="부하"/>
      <sheetName val="도체종-상수표"/>
      <sheetName val="SRC-B3U2"/>
      <sheetName val="초기화면1"/>
      <sheetName val="13LPMCC"/>
      <sheetName val="sub"/>
      <sheetName val="마장"/>
      <sheetName val="3_바닥판설계1"/>
      <sheetName val="Piping_Design_Data"/>
      <sheetName val="H_PILE수량"/>
      <sheetName val="BSD_(2)"/>
      <sheetName val="7_1유효폭"/>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산재_안전"/>
      <sheetName val="노무비_경비"/>
      <sheetName val="소상_&quot;1&quot;"/>
      <sheetName val="개요입력"/>
      <sheetName val="수량기준"/>
      <sheetName val="단가기준"/>
      <sheetName val="40총괄"/>
      <sheetName val="40집계"/>
      <sheetName val="결재판"/>
      <sheetName val="사다리"/>
      <sheetName val="변경총괄지(1)"/>
      <sheetName val="기계경비(旉る_x0000__x0000_"/>
      <sheetName val="기계경비(贘_x0013_짘ࣅ"/>
      <sheetName val="파형강관집계"/>
      <sheetName val="성곽내역서"/>
      <sheetName val="MANUFACTORY"/>
      <sheetName val="16-1"/>
      <sheetName val="장비당단가 (1)"/>
      <sheetName val="일위대가서식"/>
      <sheetName val="일위대가양식"/>
      <sheetName val="O＆P"/>
      <sheetName val="결재판(삭제하지말아주세요)"/>
      <sheetName val="케이블"/>
      <sheetName val="유첨䈀ᅪ"/>
      <sheetName val="토공,기초"/>
      <sheetName val="자재 단가표"/>
      <sheetName val="주간계획"/>
      <sheetName val="PIPING"/>
      <sheetName val="선택"/>
      <sheetName val="총괄원가 "/>
      <sheetName val="TG9504"/>
      <sheetName val="1995년 섹터별 매출"/>
      <sheetName val="ROOF(ALKALI)"/>
      <sheetName val="master(total)"/>
      <sheetName val="99년신청"/>
      <sheetName val="대가목록"/>
      <sheetName val="아수배전(1회)"/>
      <sheetName val="인건비_조사"/>
      <sheetName val="일위1"/>
      <sheetName val="공사설계서"/>
      <sheetName val="OZ049E"/>
      <sheetName val="층"/>
      <sheetName val="배수내역(총수량)"/>
      <sheetName val="3련 B_x0005__x0000_"/>
      <sheetName val="기성수금(단단위)"/>
      <sheetName val="원가매출(단단위)"/>
      <sheetName val="적용건축"/>
      <sheetName val="설치 일위대가(4԰_x0000_缀_x0000__x0000__x0000_"/>
      <sheetName val="프로젝트"/>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주beam"/>
      <sheetName val="음봉방향"/>
      <sheetName val="자료(통합)"/>
      <sheetName val="발주내역"/>
      <sheetName val="제3장 기술업무"/>
      <sheetName val="대포2교접속"/>
      <sheetName val="일반전기C"/>
      <sheetName val="POOM_MOTO"/>
      <sheetName val="기초코徸"/>
      <sheetName val="예산조서(︀ᇕ԰"/>
      <sheetName val="205동"/>
      <sheetName val="과세면세표"/>
      <sheetName val="PARAMETER"/>
      <sheetName val="세부내역(직접인건비)"/>
      <sheetName val="사통"/>
      <sheetName val="현장지䀀ኀ㠀ኃ"/>
      <sheetName val="건축원가"/>
      <sheetName val="집계(세부총괄)"/>
      <sheetName val="2000년하반기"/>
      <sheetName val="물가변동잔여물량세부내역서"/>
      <sheetName val="신규(방류시설)"/>
      <sheetName val="덤프트럭계수"/>
      <sheetName val="카메라"/>
      <sheetName val="미지급내역"/>
      <sheetName val="집계표(육상)"/>
      <sheetName val="102역사"/>
      <sheetName val="1.취수장"/>
      <sheetName val="상-교대(A1-A2)"/>
      <sheetName val="첨부1"/>
      <sheetName val="재료표"/>
      <sheetName val="금액결揄"/>
      <sheetName val="공사비 내역"/>
      <sheetName val="매입내역 "/>
      <sheetName val="거래처별지출내역"/>
      <sheetName val="2000_x0005__x0000__x0000_"/>
      <sheetName val="㩷"/>
      <sheetName val="렀ⵘ"/>
      <sheetName val="֭_x0000_"/>
      <sheetName val="Param"/>
      <sheetName val="입찰보Ⳡ"/>
      <sheetName val="자재표"/>
      <sheetName val="총(철거)"/>
      <sheetName val="RangeObject"/>
      <sheetName val="분뇨"/>
      <sheetName val="등록자료"/>
      <sheetName val="입력정보"/>
      <sheetName val="H-pile(250x250)"/>
      <sheetName val="H-pile(298x299)"/>
      <sheetName val="쌍송교"/>
      <sheetName val="방음벽기초(H_xd8d4_ㆂᰀㆃ"/>
      <sheetName val="일위대가(원본)"/>
      <sheetName val="입찰준비계획안(부대)"/>
      <sheetName val="입찰준비계획안(외주)"/>
      <sheetName val="입찰준비계획안(기타견적)"/>
      <sheetName val="장항선4공구직접비집계"/>
      <sheetName val="공사기본내용입력"/>
      <sheetName val="원하도급내역서(당초)"/>
      <sheetName val="용수간선"/>
      <sheetName val="노무비(첨부4-4)"/>
      <sheetName val="일반부표"/>
      <sheetName val="왕십리방향"/>
      <sheetName val="TYPE1"/>
      <sheetName val="철근량"/>
      <sheetName val="자금청구"/>
      <sheetName val="︀ᇕ"/>
      <sheetName val="怀፵"/>
      <sheetName val="주사무실︀ᇕ"/>
      <sheetName val="주사무실ꠀ፺"/>
      <sheetName val="BOX ꠀ፺"/>
      <sheetName val="㗈቎"/>
      <sheetName val="¼ö·®»êÃ¨"/>
      <sheetName val="주관사_x0000_"/>
      <sheetName val="주관사提"/>
      <sheetName val="주관사㌈"/>
      <sheetName val="주관사㧨"/>
      <sheetName val="gvl"/>
      <sheetName val="전부인쇄"/>
      <sheetName val="1.외주공사"/>
      <sheetName val="2.직영공사"/>
      <sheetName val="첨부"/>
      <sheetName val="계산DATA입력"/>
      <sheetName val="계좌번호"/>
      <sheetName val="품종별월계"/>
      <sheetName val="청하배수"/>
      <sheetName val="다곡2교"/>
      <sheetName val="정화조"/>
      <sheetName val="원가집계"/>
      <sheetName val="견적시담(송포2공구)"/>
      <sheetName val="교량전기"/>
      <sheetName val="금융비용"/>
      <sheetName val="파이프류"/>
      <sheetName val="점검내역서(data) (2)"/>
      <sheetName val="2.주요계수총괄"/>
      <sheetName val="하부철근수량"/>
      <sheetName val="입찰사유서 제4공종 (흙깎기)"/>
      <sheetName val="D16"/>
      <sheetName val="D25"/>
      <sheetName val="D22"/>
      <sheetName val="자판실행"/>
      <sheetName val="단위세대물량"/>
      <sheetName val="낙찰표"/>
      <sheetName val="변경품셈"/>
      <sheetName val="WIND-EQ"/>
      <sheetName val="OCT.FDN"/>
      <sheetName val="기성내역서"/>
      <sheetName val="PAD TR보호대기초"/>
      <sheetName val="가로등기초"/>
      <sheetName val="HANDHOLE(2)"/>
      <sheetName val="N頀ᚃ"/>
      <sheetName val="N"/>
      <sheetName val="AHU집계"/>
      <sheetName val="공조기휀"/>
      <sheetName val="계양가시설"/>
      <sheetName val="삼성전기"/>
      <sheetName val="B부대공"/>
      <sheetName val="분양가격표"/>
      <sheetName val="일목"/>
      <sheetName val="기준표"/>
      <sheetName val="보호공"/>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전체내ﰀ⁗"/>
      <sheetName val="제수변䊱ᅪ"/>
      <sheetName val="A(Rev.3)"/>
      <sheetName val="부총"/>
      <sheetName val="재료단가"/>
      <sheetName val="원가계墬ᥓ"/>
      <sheetName val="원가계Ⴌ_x0000_"/>
      <sheetName val="관로토공집계표"/>
      <sheetName val="토 적 표"/>
      <sheetName val="3회기성헾】"/>
      <sheetName val="변경비교헾】"/>
      <sheetName val="횡배위치"/>
      <sheetName val="계산중"/>
      <sheetName val="몰탈㔀቎԰_x0000_"/>
      <sheetName val="몰탈䠊ፓ倀놡"/>
      <sheetName val="몰탈䠋ፓ頀뫻"/>
      <sheetName val="몰탈䠠ፓ瀀멗"/>
      <sheetName val="몰탈䠊ፓ "/>
      <sheetName val="몰탈䠉ፓ退"/>
      <sheetName val="몰탈䠉ፓ退ꠍ"/>
      <sheetName val="몰탈䠑ፓ뀀짅"/>
      <sheetName val="TOEC"/>
      <sheetName val="몰탈䠊ፓ㠀擞"/>
      <sheetName val="bdata-출력안함"/>
      <sheetName val="공리공제"/>
      <sheetName val="자재ᰀ፜搀"/>
      <sheetName val="발전기"/>
      <sheetName val="GEN"/>
      <sheetName val="부대공집계표"/>
      <sheetName val="관일"/>
      <sheetName val="노무비(DB)_이후 출력XXXXXX"/>
      <sheetName val="3회기성䃸〒"/>
      <sheetName val="3회기성_x0005__x0000_"/>
      <sheetName val="3회기성吸("/>
      <sheetName val="3회기성ⱂ⿌"/>
      <sheetName val="3회기성埀0"/>
      <sheetName val="철거산출헾】"/>
      <sheetName val="철거산출午_x0013_"/>
      <sheetName val="공정코드"/>
      <sheetName val="평균터파기고(1-2,ASP)"/>
      <sheetName val="남양주부대"/>
      <sheetName val="단위목헾"/>
      <sheetName val="산출내역(K2)"/>
      <sheetName val="전체제잡비"/>
      <sheetName val="지입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지불내역1"/>
      <sheetName val="집수정(1)"/>
      <sheetName val="환률"/>
      <sheetName val="공사비명세서"/>
      <sheetName val="사용성검토"/>
      <sheetName val="PAC"/>
      <sheetName val="행거,슈,볼트,펌프,잡재"/>
      <sheetName val="을-ATYPE"/>
      <sheetName val="동력부하계산"/>
      <sheetName val="단가표 (2)"/>
      <sheetName val="안양동교 1안"/>
      <sheetName val="소각장스케줄"/>
      <sheetName val="단__가__대__비__표"/>
      <sheetName val="일__위__대__가__목__록"/>
      <sheetName val="페인트"/>
      <sheetName val="30신설일위대가"/>
      <sheetName val="30집계표"/>
      <sheetName val="지구단위계획"/>
      <sheetName val="00노임기준"/>
      <sheetName val="소일위대가코드표"/>
      <sheetName val="일위대가(가설԰"/>
      <sheetName val="TYPE집계표"/>
      <sheetName val="포쐀䑣"/>
      <sheetName val="포䠟⥏"/>
      <sheetName val="포䠠⥏"/>
      <sheetName val="포䈀㙪"/>
      <sheetName val="栍ᾆ"/>
      <sheetName val="Sheet16 (2)"/>
      <sheetName val="시초1교"/>
      <sheetName val="대구-교대(A1)"/>
      <sheetName val="C.배수관공"/>
      <sheetName val="ꀀ"/>
      <sheetName val="목표세부명세"/>
      <sheetName val="본사공가현황"/>
      <sheetName val="공정량산출내역서 "/>
      <sheetName val="제철"/>
      <sheetName val="조정금액결과표 (차수별)"/>
      <sheetName val="토공실행"/>
      <sheetName val="구간산출"/>
      <sheetName val="Ext. Stone-P"/>
      <sheetName val="원가계산하도"/>
      <sheetName val="단위_x0000__x0000_尀"/>
      <sheetName val="단위ࠀᎄ䰀"/>
      <sheetName val="단위倀❹缀"/>
      <sheetName val="단위耀ὡ"/>
      <sheetName val="변경실행(2차) "/>
      <sheetName val="호표"/>
      <sheetName val="B767"/>
      <sheetName val="0.갑지"/>
      <sheetName val="구의33고"/>
      <sheetName val="건축공사 집계표"/>
      <sheetName val="토공대가"/>
      <sheetName val="B.O.M"/>
      <sheetName val="화전내"/>
      <sheetName val="설변물량"/>
      <sheetName val="예비품"/>
      <sheetName val="제丵"/>
      <sheetName val="PW3"/>
      <sheetName val="PW4"/>
      <sheetName val="SC1"/>
      <sheetName val="PE"/>
      <sheetName val="PM"/>
      <sheetName val="TR"/>
      <sheetName val="금호산업"/>
      <sheetName val="총괄갑 "/>
      <sheetName val="견적정보"/>
      <sheetName val="5.동별횡주관경"/>
      <sheetName val="154TW"/>
      <sheetName val="수주실적0709"/>
      <sheetName val="제4절-1"/>
      <sheetName val="PANEL"/>
      <sheetName val="표 지"/>
      <sheetName val="일위(시설)"/>
      <sheetName val="조건입력"/>
      <sheetName val="조건입력(2)"/>
      <sheetName val="장비선정"/>
      <sheetName val="공통대가"/>
      <sheetName val="특기사항"/>
      <sheetName val="하도내역 (철콘)"/>
      <sheetName val="대가 (보완)"/>
      <sheetName val="토목원가계窨_x0013_"/>
      <sheetName val="신공항A-9헾】_x0005__x0000__x0000_"/>
      <sheetName val="기존구조물철거집계계표"/>
      <sheetName val="내역서(교량)전체"/>
      <sheetName val="장비경비"/>
      <sheetName val="건공실"/>
      <sheetName val="총괄집㸁䧾"/>
      <sheetName val="치수표"/>
      <sheetName val="허용전류-IEC DATA"/>
      <sheetName val="TYPE-U800"/>
      <sheetName val="배관내역"/>
      <sheetName val="POWER"/>
      <sheetName val="교대일반수량"/>
      <sheetName val="WO"/>
      <sheetName val="비용"/>
      <sheetName val="기둥"/>
      <sheetName val="저판(버림100)"/>
      <sheetName val="2.내역서"/>
      <sheetName val="적용환율"/>
      <sheetName val="대상공사(조달청)"/>
      <sheetName val="CRUDE RE-bar"/>
      <sheetName val="BID9697"/>
      <sheetName val="DS-최종"/>
      <sheetName val="PREFACE"/>
      <sheetName val="DATA-1"/>
      <sheetName val="간접총괄"/>
      <sheetName val="960318-1"/>
      <sheetName val="2006기계䈌ᅪ԰_x0000_缀"/>
      <sheetName val="배수관공"/>
      <sheetName val="기타공"/>
      <sheetName val="재원표"/>
      <sheetName val="FCU (2)"/>
      <sheetName val="장비분석"/>
      <sheetName val="석재장조사"/>
      <sheetName val="파일의이용"/>
      <sheetName val="유동표"/>
      <sheetName val="기성청구현황"/>
      <sheetName val="집"/>
      <sheetName val="JUCK֕_x0000_缀"/>
      <sheetName val="내역_FILE"/>
      <sheetName val="0"/>
      <sheetName val="전체실적"/>
      <sheetName val="도급FORM"/>
      <sheetName val="귀래방향"/>
      <sheetName val="운반비산정"/>
      <sheetName val="을 2"/>
      <sheetName val="을 1"/>
      <sheetName val="재1"/>
      <sheetName val="장비가동"/>
      <sheetName val="IN"/>
      <sheetName val="CT "/>
      <sheetName val="정거장"/>
      <sheetName val="길내기"/>
      <sheetName val="강관산출"/>
      <sheetName val="master(2차)"/>
      <sheetName val="내역통합"/>
      <sheetName val="성토도수로현황"/>
      <sheetName val="인수공규격"/>
      <sheetName val="구조물"/>
      <sheetName val="당사실시1"/>
      <sheetName val="하도급선정의뢰_x0000__x0000_螨_x0000__x0000__x0000_ۈ"/>
      <sheetName val="48전력선로일挔"/>
      <sheetName val="콘센트신설"/>
      <sheetName val="FWBS7000,8000"/>
      <sheetName val="ANALYSER"/>
      <sheetName val="ring wall thickness"/>
      <sheetName val="Change rate"/>
      <sheetName val="B3.PERSONEL-Ucret"/>
      <sheetName val="nomi "/>
      <sheetName val="공정표(전체)"/>
      <sheetName val="무전표"/>
      <sheetName val="NOTE ALL"/>
      <sheetName val="VXXXXXXX"/>
      <sheetName val="내역서(당초변경)"/>
      <sheetName val="2.조명기구철거(일괄철거분)"/>
      <sheetName val="대운반(철재)"/>
      <sheetName val="시점교대"/>
      <sheetName val="설계수량"/>
      <sheetName val="3.2.1 마루높이결정"/>
      <sheetName val="hvac(제어동)"/>
      <sheetName val="제품橂"/>
      <sheetName val="피스표"/>
      <sheetName val="산업개발안내서"/>
      <sheetName val="ATM기초철가"/>
      <sheetName val="작성양식"/>
      <sheetName val="품-(주)코①"/>
      <sheetName val="자재단가리스트"/>
      <sheetName val="공사내역(총괄)"/>
      <sheetName val="대보~세기"/>
      <sheetName val="8.수량산출 (2)"/>
      <sheetName val="일위대가표 (⠋ᡏ"/>
      <sheetName val="일위대가표 (䀀⅒"/>
      <sheetName val="ÀÏÀ§´ë°¡Ç¥(1@"/>
      <sheetName val="일위대가표 (ԯ_x0000_"/>
      <sheetName val="직원자료입력"/>
      <sheetName val="1,2,3,4,5단위수량"/>
      <sheetName val="배관단가조사서"/>
      <sheetName val="조견표"/>
      <sheetName val="관헾"/>
      <sheetName val="원가(1︀"/>
      <sheetName val="원가(1䠀"/>
      <sheetName val="관聈"/>
      <sheetName val="관_x0005_"/>
      <sheetName val="제수午_x0013_ὐ"/>
      <sheetName val="암거단위-1련"/>
      <sheetName val="수안보-墰5壼5"/>
      <sheetName val="5.3 단면가정"/>
      <sheetName val="시추주상도"/>
      <sheetName val="케이블트레이"/>
      <sheetName val="일위집계(기존)"/>
      <sheetName val="북제주-표지"/>
      <sheetName val="COVERSHEET"/>
      <sheetName val="[YES.XLS][YES.XLS]4/_x0000_䠀"/>
      <sheetName val="[YES.XLS][YES.XLS]4쌇栅/"/>
      <sheetName val="뚝토공"/>
      <sheetName val="05년"/>
      <sheetName val="내역서(총괄)"/>
      <sheetName val="공종별 집계표"/>
      <sheetName val="철콘집계"/>
      <sheetName val="5회기성03월"/>
      <sheetName val="공통가설_8"/>
      <sheetName val="아파트_9"/>
      <sheetName val="직접공사비집계표_7"/>
      <sheetName val="GTG TR PIT"/>
      <sheetName val="BLR-S"/>
      <sheetName val="당진1,2호기전선관설치및접지4차공사내역서-을지"/>
      <sheetName val="일위대가표(무)"/>
      <sheetName val="일위대가산출기초"/>
      <sheetName val="법면"/>
      <sheetName val="장비명"/>
      <sheetName val="cable-data"/>
      <sheetName val="keyword"/>
      <sheetName val="11"/>
      <sheetName val="1._x005f_x0018_변전설비"/>
      <sheetName val="Summary"/>
      <sheetName val="입렀"/>
      <sheetName val="입栀"/>
      <sheetName val="입ꠀ"/>
      <sheetName val="계정"/>
      <sheetName val="평균환율-USD"/>
      <sheetName val="인원동원계획"/>
      <sheetName val="BIDDING-SUM"/>
      <sheetName val="입︀"/>
      <sheetName val="품목납기"/>
      <sheetName val="시화점실행"/>
      <sheetName val=" 소방공사 산출근거"/>
      <sheetName val="YES.XLS"/>
      <sheetName val="2000.05"/>
      <sheetName val="물량증감"/>
      <sheetName val="9902"/>
      <sheetName val="환율"/>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역삼"/>
      <sheetName val="배수관연장산출서"/>
      <sheetName val="기초ա_x0000_"/>
      <sheetName val="물량尜"/>
      <sheetName val="토공,철콘"/>
      <sheetName val="변경비丵〒_x0005_"/>
      <sheetName val="물량丵"/>
      <sheetName val="AILC005"/>
      <sheetName val="AILC00_x0000_"/>
      <sheetName val="AILC00_x0010_"/>
      <sheetName val="우,오수"/>
      <sheetName val="팔당터널(1공구)"/>
      <sheetName val="card1"/>
      <sheetName val="흙쌓기도수로설치현황(1)"/>
      <sheetName val="식재-외주 (2)"/>
      <sheetName val="유효폭의 계산"/>
      <sheetName val="archi(본사)"/>
      <sheetName val="※참고자료※"/>
      <sheetName val="자(3.0m)"/>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자재노임단가"/>
      <sheetName val="크레인5ton"/>
      <sheetName val="단가산출-2"/>
      <sheetName val="기초수량-1"/>
      <sheetName val="단가산출-1"/>
      <sheetName val="단가 (2)"/>
      <sheetName val="작용하중산정"/>
      <sheetName val="6차2회변경내역서"/>
      <sheetName val="倀ᑙ"/>
      <sheetName val="1x"/>
      <sheetName val="栈᲋"/>
      <sheetName val="_xd810_᱓"/>
      <sheetName val="자재단가_x0005_"/>
      <sheetName val="물塠"/>
      <sheetName val="물徸"/>
      <sheetName val="guard(mac¸"/>
      <sheetName val="물嬼"/>
      <sheetName val="물闰"/>
      <sheetName val="guard(macð"/>
      <sheetName val="물呈"/>
      <sheetName val="guard(macH"/>
      <sheetName val="[YES.XLS][YES.XLS]신표司/"/>
      <sheetName val="변경비_x0000__x0000_Ѡ"/>
      <sheetName val="°ø»ç¿ø°¡°è牨-犬-"/>
      <sheetName val="전체내역갑지"/>
      <sheetName val="측구터파기공수량집계"/>
      <sheetName val="부대집계"/>
      <sheetName val="실행내역서 (조경)"/>
      <sheetName val="형틀공사"/>
      <sheetName val="주소록"/>
      <sheetName val="전체내ꀀፐ"/>
      <sheetName val="교대(A1挔"/>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차압계산"/>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
      <sheetName val="LKVL-CK-HT-GD1"/>
      <sheetName val="[YES.XLS][YES.XLS][YES.XLS]신표司/"/>
      <sheetName val="[YES.XLS]신표司/"/>
      <sheetName val="총괄분 설계서용지"/>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청 구"/>
      <sheetName val="Macro(부하)"/>
      <sheetName val="밀양노선별공사비명세서"/>
      <sheetName val="일위산출근거"/>
      <sheetName val="AIR_SHOWER(3인용)"/>
      <sheetName val="적격심사표"/>
      <sheetName val="선로정수계산"/>
      <sheetName val="실내건축일위대가"/>
      <sheetName val="산출근거1"/>
      <sheetName val="5.전사투자계획종함안"/>
      <sheetName val="기성신청"/>
      <sheetName val="방음벽 기초 일반헾】"/>
      <sheetName val="단가비교표 (계측제어)"/>
      <sheetName val="카렌스센터계량기설치공사"/>
      <sheetName val="EJ"/>
      <sheetName val="지입자재"/>
      <sheetName val="배전반용량계산"/>
      <sheetName val="세정탑 설계"/>
      <sheetName val="건축-물가변동"/>
      <sheetName val="기계설비-물가변동"/>
      <sheetName val="[YES.XLS][YES.XLS][YES.XLS]4/_x0000_䠀"/>
      <sheetName val="[YES.XLS][YES.XLS][YES.XLS]4쌇栅/"/>
      <sheetName val="품셈총괄표"/>
      <sheetName val="일반수량총괄집계"/>
      <sheetName val="교사기준면적(초등)"/>
      <sheetName val="토공및부대2차"/>
      <sheetName val="새공통"/>
      <sheetName val="3절_CheckList_구분"/>
      <sheetName val="적정성평가표(8번)(1순위)"/>
      <sheetName val="적정성평가표(12번)(6순위)"/>
      <sheetName val="기별(종합)"/>
      <sheetName val="비탈면보호공수량산출"/>
      <sheetName val="가옥조"/>
      <sheetName val="기계경비산출"/>
      <sheetName val="전력구구조물산근2구간"/>
      <sheetName val="1_x0005_"/>
      <sheetName val="도면자료제출일정"/>
      <sheetName val="시공계_x0005_"/>
      <sheetName val="변경비_x0005__x0000_"/>
      <sheetName val="교대시점"/>
      <sheetName val="FB25JN"/>
      <sheetName val="8. 안_x0000__x0000__x0005_"/>
      <sheetName val="경비공통"/>
      <sheetName val="동원인원계획표"/>
      <sheetName val="총괄집ᨈꥬ"/>
      <sheetName val="총괄집_x0000__x0000_"/>
      <sheetName val="VS P-Q"/>
      <sheetName val="KSHAHU-6"/>
      <sheetName val="LANGUAGE"/>
      <sheetName val="전기내역서(총계)"/>
      <sheetName val="1-최종안"/>
      <sheetName val="사업분석-분양가결정"/>
      <sheetName val="내역서1"/>
      <sheetName val="지중자재단가"/>
      <sheetName val="#3_일위대가목록"/>
      <sheetName val="#2_일위대가목록"/>
      <sheetName val="할丵〒"/>
      <sheetName val="부하집계"/>
      <sheetName val="영구峤"/>
      <sheetName val="단가_x0005__x0000_"/>
      <sheetName val="영구_x0005_"/>
      <sheetName val="영구射"/>
      <sheetName val="영구嶄"/>
      <sheetName val="설계(안)"/>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수곡내역"/>
      <sheetName val="전체내역 (2)"/>
      <sheetName val="Formulas &amp; Tables"/>
      <sheetName val="PROCESS"/>
      <sheetName val="±âÀÚÀç´ëºñÇ¥"/>
      <sheetName val="¿¬°áÀÓ½Ã"/>
      <sheetName val="°ü±Þ"/>
      <sheetName val="일위대가 (PM)"/>
      <sheetName val="임시전기공사설계서"/>
      <sheetName val="포장재료집계표"/>
      <sheetName val="포장면적산출"/>
      <sheetName val="포장수량집계"/>
      <sheetName val="PIPE(UG)내역"/>
      <sheetName val="토적계산"/>
      <sheetName val="96 능제취입"/>
      <sheetName val="M+1"/>
      <sheetName val="광,철광석 사용량(2000)"/>
      <sheetName val="포,철광석 사용량(2000)"/>
      <sheetName val="91,92황산"/>
      <sheetName val="36+45-113-18+19+20I"/>
      <sheetName val="배수공1"/>
      <sheetName val="도급단가-아파트"/>
      <sheetName val="BREAKDOWN(철거설치)"/>
      <sheetName val="변경후원본2"/>
      <sheetName val="LABTOTAL"/>
      <sheetName val="COA-17"/>
      <sheetName val="C-18"/>
      <sheetName val="경성자금"/>
      <sheetName val="SUB일위대가"/>
      <sheetName val="평자재단가"/>
      <sheetName val="95년12월말"/>
      <sheetName val="토목(용인)"/>
      <sheetName val="비교1"/>
      <sheetName val="조명율"/>
      <sheetName val="상반기손익차2총괄"/>
      <sheetName val="DRAIN DRUM PIT D-301"/>
      <sheetName val="목록1"/>
      <sheetName val="목록2"/>
      <sheetName val="구조물공집계"/>
      <sheetName val="요약"/>
      <sheetName val="전체총괄"/>
      <sheetName val="dongia (2)"/>
      <sheetName val="gtrinh"/>
      <sheetName val="lam-moi"/>
      <sheetName val="chitiet"/>
      <sheetName val="giathanh1"/>
      <sheetName val="DONGIA"/>
      <sheetName val="thao-go"/>
      <sheetName val="TH XL"/>
      <sheetName val="VC"/>
      <sheetName val="Tiepdia"/>
      <sheetName val="CHITIET VL-NC"/>
      <sheetName val="세목별"/>
      <sheetName val="소개"/>
      <sheetName val="#REF!"/>
      <sheetName val="계열사현황종합"/>
      <sheetName val="basic_info"/>
      <sheetName val="총공사비"/>
      <sheetName val="INS-SHEET"/>
      <sheetName val="shtOpr"/>
      <sheetName val="증감䈀ᅪ"/>
      <sheetName val="CAL(1)."/>
      <sheetName val="원가계산(2)"/>
      <sheetName val="/_x0000_"/>
      <sheetName val="က_x0000_"/>
      <sheetName val="포장쌅"/>
      <sheetName val="예산내역"/>
      <sheetName val="총괄수지표"/>
      <sheetName val="9GN邷㭘"/>
      <sheetName val="¹׃】_x0000_"/>
      <sheetName val="토공총괄표"/>
      <sheetName val="1.3.1절점좌표"/>
      <sheetName val="1.1설계기준"/>
      <sheetName val="전등부하"/>
      <sheetName val="_x0005__x0006__x0008__x0003_"/>
      <sheetName val="_x0000_ _x0000__x0006__x0000__x0006_"/>
      <sheetName val="날개벽(좌,우=60도-4개)"/>
      <sheetName val="건0_x0000_蠀"/>
      <sheetName val="금0_x0000_䠀"/>
      <sheetName val="금蠣㡎耀"/>
      <sheetName val="투찰금액"/>
      <sheetName val="재료집계표3"/>
      <sheetName val="범용개발순소요비용"/>
      <sheetName val="산#3-1"/>
      <sheetName val="산#3-2"/>
      <sheetName val="배관BM(일반)"/>
      <sheetName val="산#3-2-2"/>
      <sheetName val="수출가격"/>
      <sheetName val="IBL-C"/>
      <sheetName val="Architecture Work"/>
      <sheetName val="5. 차단기 용량계산"/>
      <sheetName val="배수내역 (2)"/>
      <sheetName val="가공사"/>
      <sheetName val="6.2.1 지하차도 조도계산"/>
      <sheetName val="8공구 강재 수량"/>
      <sheetName val="EVALUATE물량산출서"/>
      <sheetName val="스라브"/>
      <sheetName val="Stem Footing"/>
      <sheetName val="자재수량"/>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바이오"/>
      <sheetName val="잡철물"/>
      <sheetName val="일위대가1"/>
      <sheetName val="굴착현장"/>
      <sheetName val="新철폐복2"/>
      <sheetName val="新철폐복3"/>
      <sheetName val="남양내역"/>
      <sheetName val="도급내역서"/>
      <sheetName val="설계서(설치)"/>
      <sheetName val="지급자재대"/>
      <sheetName val="토목내역서"/>
      <sheetName val="05 BOX"/>
      <sheetName val="02 SLAB"/>
      <sheetName val="5."/>
      <sheetName val="12."/>
      <sheetName val="14."/>
      <sheetName val="13"/>
      <sheetName val="7."/>
      <sheetName val="8."/>
      <sheetName val="10."/>
      <sheetName val="전기단가조사서"/>
      <sheetName val="PI蒨9"/>
      <sheetName val="영창26"/>
      <sheetName val="변경내역"/>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L_RPTB03_01"/>
      <sheetName val="기능공인적사항"/>
      <sheetName val="5.단가대비표"/>
      <sheetName val="개별직종노임단가(2005.1)"/>
      <sheetName val="노임,자재"/>
      <sheetName val="기계경비(맨홀)"/>
      <sheetName val="4.일위대가목차"/>
      <sheetName val="가도䠀"/>
      <sheetName val="가도ԯ"/>
      <sheetName val="가도저"/>
      <sheetName val="절감계산"/>
      <sheetName val="ML"/>
      <sheetName val="기초"/>
      <sheetName val="가시설"/>
      <sheetName val="´_x0005__x0000_"/>
      <sheetName val="예가표"/>
      <sheetName val="103동"/>
      <sheetName val="D.B"/>
      <sheetName val="기계경비(시"/>
      <sheetName val="ÀÏÀ§´ë헾】_x0005__x0000__x0000__x0000_"/>
      <sheetName val="고창터널(고창방향䈀"/>
      <sheetName val="영구청af헾"/>
      <sheetName val="영구청af薸"/>
      <sheetName val="fitting"/>
      <sheetName val="Look-Up"/>
      <sheetName val="Units"/>
      <sheetName val="노임9월"/>
      <sheetName val="洊⍩"/>
      <sheetName val="_xd808_⢉"/>
      <sheetName val="砈ẋ"/>
      <sheetName val="하중재하"/>
      <sheetName val="A"/>
      <sheetName val="단목"/>
      <sheetName val="토목수량"/>
      <sheetName val="Cover Sht"/>
      <sheetName val="자재단가壠"/>
      <sheetName val="자재단가厘"/>
      <sheetName val="하남내역"/>
      <sheetName val="[YES.XLS]4/_x0000_䠀"/>
      <sheetName val="[YES.XLS]4쌇栅/"/>
      <sheetName val="단위"/>
      <sheetName val="총괄집계 "/>
      <sheetName val="기본자료"/>
      <sheetName val="교량명원본"/>
      <sheetName val="BOX제원원본"/>
      <sheetName val="국도접속 차도부수량"/>
      <sheetName val="기က_x0000_退"/>
      <sheetName val="배수내역"/>
      <sheetName val="_x0001__x0000_"/>
      <sheetName val="1-"/>
      <sheetName val="1"/>
      <sheetName val="1_x0008_"/>
      <sheetName val="1þ"/>
      <sheetName val="1¨"/>
      <sheetName val="1g"/>
      <sheetName val="㠈⎗"/>
      <sheetName val="⢔"/>
      <sheetName val="᠇Ẓ"/>
      <sheetName val="1ì"/>
      <sheetName val="1º"/>
      <sheetName val="謂ⷄ"/>
      <sheetName val="ꠀ⢄"/>
      <sheetName val="⠊⢌"/>
      <sheetName val="ꠀ฀"/>
      <sheetName val="了"/>
      <sheetName val="1"/>
      <sheetName val="1_x0018_"/>
      <sheetName val="1ð"/>
      <sheetName val="栉ᶆ"/>
      <sheetName val=" ᧡"/>
      <sheetName val="1P"/>
      <sheetName val="1("/>
      <sheetName val="1@"/>
      <sheetName val="1 "/>
      <sheetName val="10"/>
      <sheetName val="⠖㔺"/>
      <sheetName val="砖㖌"/>
      <sheetName val="1è"/>
      <sheetName val="1_x001e_"/>
      <sheetName val="1`"/>
      <sheetName val="1"/>
      <sheetName val="1°"/>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종단계산"/>
      <sheetName val="목창호"/>
      <sheetName val="포장공총괄수량집계표"/>
      <sheetName val="5.2코핑"/>
      <sheetName val="전체내԰_x0000_"/>
      <sheetName val="토공총괄집계"/>
      <sheetName val="원안"/>
      <sheetName val="암거치수표"/>
      <sheetName val="재료집계표빽업"/>
      <sheetName val="암거수리계산서"/>
      <sheetName val="◀암거위치"/>
      <sheetName val="최종단면▶"/>
      <sheetName val="◀평균높이▶"/>
      <sheetName val="전체내저ᚙ"/>
      <sheetName val="전체내ꠀ᪘"/>
      <sheetName val="주관⩿〚"/>
      <sheetName val="1¸"/>
      <sheetName val="b_balju_ch"/>
      <sheetName val="b_balju_chÈ"/>
      <sheetName val="b_balju_ch_x0005_"/>
      <sheetName val="b_balju_chÛ"/>
      <sheetName val="b_balju_ch("/>
      <sheetName val="N賃率_職"/>
      <sheetName val="기본DATԯ"/>
      <sheetName val="기본DAT頀"/>
      <sheetName val="공종별수량집계"/>
      <sheetName val="REDUCER"/>
      <sheetName val="WE'T"/>
      <sheetName val="실︀ԯ"/>
      <sheetName val="하수급견적대䧨"/>
      <sheetName val="SHUTDOWN VALVE"/>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Summar헾】_x0005__x0000__x0000__x0000__x0000_"/>
      <sheetName val="흄관기초"/>
      <sheetName val="부대공(집계)"/>
      <sheetName val="포장단면별단위수량"/>
      <sheetName val="ACUNIT"/>
      <sheetName val="공사비집_x0005_"/>
      <sheetName val="bCord공정"/>
      <sheetName val="d수량"/>
      <sheetName val="e대가"/>
      <sheetName val="g단가"/>
      <sheetName val="h집계"/>
      <sheetName val="Macro(전동기)"/>
      <sheetName val="8.일위대가표(1)"/>
      <sheetName val="8.일위대가표(2)"/>
      <sheetName val="7.청제공기계기구조서"/>
      <sheetName val="횡분배정리(DB)"/>
      <sheetName val="방음벽기초-수량"/>
      <sheetName val="수량산출기초(케블등)"/>
      <sheetName val="2.노무비명세서(수직보垰7埼"/>
      <sheetName val="토목변경"/>
      <sheetName val="수로단위수량"/>
      <sheetName val="제안서"/>
      <sheetName val="행정표준(1)"/>
      <sheetName val="행정표준(2)"/>
      <sheetName val="수량산출내역1115"/>
      <sheetName val="아파트저᝾"/>
      <sheetName val="아파트㾅"/>
      <sheetName val="관급원내역"/>
      <sheetName val="7.경제성결과"/>
      <sheetName val="환율change"/>
      <sheetName val=" 갑지"/>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자재단가徸"/>
      <sheetName val="수안보-๿〚_x0005__x0000_"/>
      <sheetName val="금액내역헾"/>
      <sheetName val="자재단가尜"/>
      <sheetName val="NAIL단가산출"/>
      <sheetName val="수안보-挔_x0012_竖め"/>
      <sheetName val="자재단가헾"/>
      <sheetName val="자재단가丵"/>
      <sheetName val="화산경계"/>
      <sheetName val="수량산출(통신선로)"/>
      <sheetName val="수량산출(여객장치)"/>
      <sheetName val="수량산출(전화)"/>
      <sheetName val="사업부배부A"/>
      <sheetName val="입력값1"/>
      <sheetName val="insulation"/>
      <sheetName val="PipWT"/>
      <sheetName val="뜃맟뭁돽띿맟?-BLDG"/>
      <sheetName val="PBS"/>
      <sheetName val="SILICATE"/>
      <sheetName val="간접비내역-1"/>
      <sheetName val="검색"/>
      <sheetName val="내역갑지"/>
      <sheetName val="INSTR"/>
      <sheetName val="수지표"/>
      <sheetName val="셀명"/>
      <sheetName val="공통단가"/>
      <sheetName val="선수금"/>
      <sheetName val="도근좌표"/>
      <sheetName val="1.동력공사"/>
      <sheetName val="청주-교대(A1)"/>
      <sheetName val="수량산출서 갑지"/>
      <sheetName val="감시제어"/>
      <sheetName val="목차임시"/>
      <sheetName val="선로의 %임피던스 "/>
      <sheetName val="동력배선"/>
      <sheetName val="본선동력배선"/>
      <sheetName val="본선조명"/>
      <sheetName val="전력간선배선"/>
      <sheetName val="전열배선"/>
      <sheetName val="배관배선 단가조사"/>
      <sheetName val="전체-원가분리내역"/>
      <sheetName val="계화배수(3대)"/>
      <sheetName val="유리"/>
      <sheetName val="익산"/>
      <sheetName val="가격표"/>
      <sheetName val="건축외주"/>
      <sheetName val="Sheet1(X)"/>
      <sheetName val="인원조직표"/>
      <sheetName val="냉천부속동"/>
      <sheetName val="원가계산서 "/>
      <sheetName val="국별인원"/>
      <sheetName val="산출기초"/>
      <sheetName val="순환펌프"/>
      <sheetName val="저수조"/>
      <sheetName val="급,배기팬"/>
      <sheetName val="급탕순환펌프"/>
      <sheetName val="DATA(광속)"/>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토목품셈"/>
      <sheetName val="관리비"/>
      <sheetName val="집수정단"/>
      <sheetName val="3-1.일위대가집계표(교통시설물1)"/>
      <sheetName val="직_x0005__x0000_"/>
      <sheetName val="임시급식ֿ_x0000_缀_x0000_"/>
      <sheetName val="직원자료"/>
      <sheetName val="업종분류"/>
      <sheetName val="장비분류"/>
      <sheetName val="단가산출목록표"/>
      <sheetName val="정문내역"/>
      <sheetName val="돈암사업"/>
      <sheetName val="단면A-A(TR)"/>
      <sheetName val="도시가스현황"/>
      <sheetName val="2차공사"/>
      <sheetName val="Imp-Data"/>
      <sheetName val="내역서 (1차)"/>
      <sheetName val="J형측구단위수량"/>
      <sheetName val="¿¹Á¤(3က"/>
      <sheetName val="SAMPLE"/>
      <sheetName val="inter"/>
      <sheetName val="건축공정"/>
      <sheetName val="방진공정"/>
      <sheetName val="조경공정"/>
      <sheetName val="단위수량산출"/>
      <sheetName val="전자"/>
      <sheetName val="환산"/>
      <sheetName val="배수관접합및부설  "/>
      <sheetName val="금강견적"/>
      <sheetName val="D-RMIL"/>
      <sheetName val="3차준공"/>
      <sheetName val="옹벽수량집계표"/>
      <sheetName val="수종별인자"/>
      <sheetName val="BH-1 (2)"/>
      <sheetName val="공종코드"/>
      <sheetName val="2공종별예산조서"/>
      <sheetName val="가시설공(광장부)"/>
      <sheetName val="슬래브"/>
      <sheetName val="ÀÏÀ§´ë°¡Ç¥(_x0005__x0000_"/>
      <sheetName val="일위藨-헾"/>
      <sheetName val="새공통(96임금인상기준)"/>
      <sheetName val="AHU-1"/>
      <sheetName val="급탕설비"/>
      <sheetName val="화장실배기팬"/>
      <sheetName val="직급별"/>
      <sheetName val="S1099기장선행WOP"/>
      <sheetName val="LD"/>
      <sheetName val="방지책개소별명세"/>
      <sheetName val="단위량"/>
      <sheetName val="재료집계표2"/>
      <sheetName val="토적집계표"/>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3_내역서"/>
      <sheetName val="96보완계획7_12"/>
      <sheetName val="전차선로_물량표"/>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1공구_건정토건_토공"/>
      <sheetName val="TRE_TABLE"/>
      <sheetName val="2000년_공정표"/>
      <sheetName val="화재_탐지_설비"/>
      <sheetName val="호봉_(2)"/>
      <sheetName val="69_03%"/>
      <sheetName val="변경내역84_52%"/>
      <sheetName val="PROJECT_BRIEF"/>
      <sheetName val="_견적서"/>
      <sheetName val="5_공종별예산내역서"/>
      <sheetName val="97_사업추정(WEKI)"/>
      <sheetName val="단가_"/>
      <sheetName val="총괄원가_"/>
      <sheetName val="_갑__지_"/>
      <sheetName val="기성내역_진짜"/>
      <sheetName val="실행내역서_"/>
      <sheetName val="working_load_at_the_btm_ft_"/>
      <sheetName val="stability_check"/>
      <sheetName val="할증_"/>
      <sheetName val="PUMP_SHT"/>
      <sheetName val="FIN_TUBE"/>
      <sheetName val="HED__&amp;_PIPE"/>
      <sheetName val="_총괄표"/>
      <sheetName val="0_Áý°è"/>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추천서"/>
      <sheetName val="설계변경내역"/>
      <sheetName val="빙장비사양"/>
      <sheetName val="월별"/>
      <sheetName val="48산출"/>
      <sheetName val="단가대조"/>
      <sheetName val="INMD1198"/>
      <sheetName val="INFG1198"/>
      <sheetName val="M5_S"/>
      <sheetName val="M6_S"/>
      <sheetName val="SRAM_CHIP"/>
      <sheetName val="SRAM_생산"/>
      <sheetName val="YLD"/>
      <sheetName val="설계내"/>
      <sheetName val="설치 일위대가(46~԰_x0000_缀_x0000_"/>
      <sheetName val="라멘교일반수량"/>
      <sheetName val="타견적(을)"/>
      <sheetName val="기성내역(건축)"/>
      <sheetName val="Á¤»ê¹°·®︀웕"/>
      <sheetName val="조도계산서1"/>
      <sheetName val="설계서(7)"/>
      <sheetName val="5.1단가조사"/>
      <sheetName val="배수설비"/>
      <sheetName val="표준ፙ렀ᑟ"/>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7.3.1 전력간선 굵기"/>
      <sheetName val="견적대비 견적서"/>
      <sheetName val="1단계_견적내역서"/>
      <sheetName val="내부수지예산"/>
      <sheetName val="15.공량산출근거서"/>
      <sheetName val="교각토공"/>
      <sheetName val="data_dci"/>
      <sheetName val="data_mci"/>
      <sheetName val="behind"/>
      <sheetName val="일위집계"/>
      <sheetName val="2.노무비명세서(수직보_x0005__x0000_"/>
      <sheetName val="2.노무비명세서(수직보丵⿰_x0005_"/>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2007일위_"/>
      <sheetName val="토목일위_(83~)"/>
      <sheetName val="노무비_"/>
      <sheetName val="2_노무비명세서(수직보丵⿰"/>
      <sheetName val="심사공종"/>
      <sheetName val="상행-교대(A1-A2)"/>
      <sheetName val="combi(wall)"/>
      <sheetName val="제잡비(주공종)"/>
      <sheetName val="(3.품질관리 시험 총괄표)"/>
      <sheetName val="합계"/>
      <sheetName val="유첨헾】"/>
      <sheetName val="Picture"/>
      <sheetName val="철탑공사"/>
      <sheetName val="가설경비"/>
      <sheetName val="시점부교대"/>
      <sheetName val="표지판현황"/>
      <sheetName val="48전력선_x0002__x0000_㣸"/>
      <sheetName val="주사무실ֳ_x0000_"/>
      <sheetName val="¼ö·®»êÃ "/>
      <sheetName val="¼ö·®»êÃ_x0005_"/>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외천교"/>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흄관수량"/>
      <sheetName val="입력변수"/>
      <sheetName val="주재료비"/>
      <sheetName val="설계요율"/>
      <sheetName val="4.전기"/>
      <sheetName val="유첨_x0005__x0000_"/>
      <sheetName val="일_x0007__x0006__x0003__x0004__x0007_"/>
      <sheetName val="_x0000__x0005__x0000__x0004__x0000__x0008__x0000__x0005__x0000__x0008_"/>
      <sheetName val="5공철탑검토표"/>
      <sheetName val="4공철탑검토"/>
      <sheetName val="간이연락"/>
      <sheetName val="견적을지"/>
      <sheetName val="불변현금흐름표"/>
      <sheetName val="기타유틸리티설비"/>
      <sheetName val="PANEL 내역"/>
      <sheetName val="CPM챠트"/>
      <sheetName val="ALINE"/>
      <sheetName val="횡배수관설치현황"/>
      <sheetName val="96월별PL"/>
      <sheetName val="양식(직판용)"/>
      <sheetName val="항목등록"/>
      <sheetName val="입상내역"/>
      <sheetName val="본사업"/>
      <sheetName val="수장"/>
      <sheetName val="1호맨홀가감수량"/>
      <sheetName val="1-1평균터파기고(1)"/>
      <sheetName val="단가표(전산)"/>
      <sheetName val="2219-SPOOL BOM"/>
      <sheetName val="설명서"/>
      <sheetName val="3.2주형지지보"/>
      <sheetName val="x주형보 설계(3차로)"/>
      <sheetName val="부대tu"/>
      <sheetName val="우수공,맨홀,집수정"/>
      <sheetName val="은평작업지시대장"/>
      <sheetName val="옥외배관기본공량"/>
      <sheetName val="선우통상(을)"/>
      <sheetName val="견적서-골조공사"/>
      <sheetName val="적정심사"/>
      <sheetName val="건축2"/>
      <sheetName val="3-4호기 내역서"/>
      <sheetName val="인원계획-미화"/>
      <sheetName val="평형공사비"/>
      <sheetName val="토공검토G"/>
      <sheetName val="미지급금"/>
      <sheetName val="지하"/>
      <sheetName val="도"/>
      <sheetName val="CABdata"/>
      <sheetName val="기별수량산출서"/>
      <sheetName val="광양방향"/>
      <sheetName val="전통건설"/>
      <sheetName val="기계공사"/>
      <sheetName val="남양시작동010313100%"/>
      <sheetName val="98비정기소모"/>
      <sheetName val="도급및 실행내역"/>
      <sheetName val="참고자료등록"/>
      <sheetName val="하자보수보증자료"/>
      <sheetName val="재료-CODE"/>
      <sheetName val="9.2단가산출서"/>
      <sheetName val="손료"/>
      <sheetName val="General DaS_x0000_"/>
      <sheetName val="설비공사"/>
      <sheetName val="원가계산서 (2)"/>
      <sheetName val="내역(설계,도급)정이준"/>
      <sheetName val="실행단가철(ems코드적용)"/>
      <sheetName val="기초대가"/>
      <sheetName val="차도부연장현황"/>
      <sheetName val="원곡IC교 내진성능보강공사 실시설계 용역.xlsx"/>
      <sheetName val="キ⩙"/>
      <sheetName val="첨부파일"/>
      <sheetName val="도장"/>
      <sheetName val="1._x005f_x005f_x005f_x0018_변전설비"/>
      <sheetName val="W-현원가"/>
      <sheetName val="부대토목"/>
      <sheetName val="토목공종세부"/>
      <sheetName val="견적회신"/>
      <sheetName val="1. 가로등 설비 공사(산출)"/>
      <sheetName val="FAB4생산"/>
      <sheetName val="일대-1"/>
      <sheetName val="종료분석"/>
      <sheetName val="중질쓰레기"/>
      <sheetName val="장비단가"/>
      <sheetName val="1.관로"/>
      <sheetName val="입찰결과(DATA_x0000_"/>
      <sheetName val="화재 颮㍓씀넖ԯ"/>
      <sheetName val="SPM(13.84)"/>
      <sheetName val="ᰀ፜"/>
      <sheetName val="N炬≹"/>
      <sheetName val="각종양식"/>
      <sheetName val="재료할증"/>
      <sheetName val="수량BOQ"/>
      <sheetName val="관세,통관수수료,운반비"/>
      <sheetName val="KS-301_WBS"/>
      <sheetName val="MixBed"/>
      <sheetName val="CondPol"/>
      <sheetName val="ꠀ᪘"/>
      <sheetName val="︀盕"/>
      <sheetName val="ᓈባ"/>
      <sheetName val="壈▞"/>
      <sheetName val="대창(장ԯ_x0000_"/>
      <sheetName val="전기일ꙭÀ_x0000_"/>
      <sheetName val="투찰(하수)"/>
      <sheetName val="암거 제원표-1단계"/>
      <sheetName val="전체내蠀ᒗ"/>
      <sheetName val="전체내︀盕"/>
      <sheetName val="일위대가(계측︩盕ԯ_x0000_"/>
      <sheetName val="전체내壈▞"/>
      <sheetName val="1호철근량"/>
      <sheetName val="산출서"/>
      <sheetName val="진행 DATA (2)"/>
      <sheetName val="외화계약"/>
      <sheetName val="J直_x0004__x0005_"/>
      <sheetName val="ༀༀ̀ఀЀ"/>
      <sheetName val="³²¾ç½ÃÀÛµ¿ÀÚ105³ë65±_x0000__x0000__x0005__x0000_慀ȡ_x0000__x0000__x0000_"/>
      <sheetName val="단  가  垨4奜4睮⿩_x0005_"/>
      <sheetName val="1._x0018_변︀ᇕ԰"/>
      <sheetName val="골재丵〒"/>
      <sheetName val="내역총渀腷"/>
      <sheetName val="현지검측내역"/>
      <sheetName val="구주,중아,CIS"/>
      <sheetName val="EL90"/>
      <sheetName val="역T형교대栄⿇_x0000__x0000_庨_x0000_"/>
      <sheetName val="역T형교대栄⿇_x0000__x0000__x0000_"/>
      <sheetName val="펌프장수량䈀嵪ԯ_x0000_缀"/>
      <sheetName val="펌프장수량㔀቎԰_x0000_缀"/>
      <sheetName val="교량현황"/>
      <sheetName val="커튼월(pfg)"/>
      <sheetName val="ࠀ᎚"/>
      <sheetName val="총괄BOQ"/>
      <sheetName val="평균물량산출서"/>
      <sheetName val="합의서"/>
      <sheetName val="좌측"/>
      <sheetName val="낙석방지책"/>
      <sheetName val="금액︀⣕"/>
      <sheetName val="상수도토공_x0005__x0000_"/>
      <sheetName val="설직재0_x0000_"/>
      <sheetName val="설직재餀㒘"/>
      <sheetName val="싱가폴(실지급+인상율)"/>
      <sheetName val="UB2"/>
      <sheetName val="sheet"/>
      <sheetName val="b_gunmul"/>
      <sheetName val="b_balju (2)"/>
      <sheetName val="갑(전기)"/>
      <sheetName val="갑(계장)"/>
      <sheetName val="010101"/>
      <sheetName val="심의대상"/>
      <sheetName val="내역금액적용"/>
      <sheetName val="비목코드"/>
      <sheetName val="철거산출徸〒"/>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배수및구조물공1"/>
      <sheetName val="계약서"/>
      <sheetName val="앨범표지"/>
      <sheetName val="목공사품의서"/>
      <sheetName val="B1(반포1차)"/>
      <sheetName val="esc(건축)"/>
      <sheetName val="옥룡잡비"/>
      <sheetName val="일위대가집계표"/>
      <sheetName val="공예을"/>
      <sheetName val="골재및자재집계표"/>
      <sheetName val="배수통관(좌)"/>
      <sheetName val="현장유지관리비"/>
      <sheetName val="A-8 PD(도로중앙)"/>
      <sheetName val="수안보-纈!헾『"/>
      <sheetName val="수안보-丵〒_x0005__x0000_"/>
      <sheetName val="수안보-橂】_x0005__x0000_"/>
      <sheetName val="철집"/>
      <sheetName val="9-1차_x0005__x0000_"/>
      <sheetName val="변경비懸_x0013_颙"/>
      <sheetName val="변경비颙〒_x0005_"/>
      <sheetName val="일위집԰_x0000_"/>
      <sheetName val="변경비窨_x0013_竬"/>
      <sheetName val="시공계ⱂ"/>
      <sheetName val="조명시헾"/>
      <sheetName val="8. 안吐呜"/>
      <sheetName val="가압장(토목)"/>
      <sheetName val="전선관"/>
      <sheetName val="5.정산ﵠ"/>
      <sheetName val="실행내역 "/>
      <sheetName val="참조 (2)"/>
      <sheetName val="교량data"/>
      <sheetName val="파일구성"/>
      <sheetName val="분전반"/>
      <sheetName val="database"/>
      <sheetName val="Priorities"/>
      <sheetName val="Paint,Fire-Proof,Insul(48)"/>
      <sheetName val="No.2LAB Unit"/>
      <sheetName val="약ྀ︁"/>
      <sheetName val="1.1 본체"/>
      <sheetName val="March"/>
      <sheetName val="토목 (2)"/>
      <sheetName val="인력터파기"/>
      <sheetName val="9G࠯_x0015__x0000__x0000_"/>
      <sheetName val="94"/>
      <sheetName val="안전시설"/>
      <sheetName val="20-25"/>
      <sheetName val="설치자재"/>
      <sheetName val="단중"/>
      <sheetName val="몰탈쐀/_x0000_"/>
      <sheetName val="실행ࠏE"/>
      <sheetName val="실행ဏ_x0000_"/>
      <sheetName val="시멘트,모래"/>
      <sheetName val="ASP"/>
      <sheetName val="CHIP_O"/>
      <sheetName val="FAB_O"/>
      <sheetName val="PKG_I"/>
      <sheetName val="FT_금액"/>
      <sheetName val="YIELD"/>
      <sheetName val="부재치수입력"/>
      <sheetName val="Key assumption"/>
      <sheetName val="토목׃⿄"/>
      <sheetName val="토목׃⽴"/>
      <sheetName val="토목嘘_x001b_"/>
      <sheetName val="토목ꮸ⽤"/>
      <sheetName val="토목垐%"/>
      <sheetName val="토목狈6"/>
      <sheetName val="토목妀6"/>
      <sheetName val="토목枵〛"/>
      <sheetName val="의왕실행"/>
      <sheetName val="LCS-SEAT"/>
      <sheetName val="집계표(건축전기)"/>
      <sheetName val="품목현황"/>
      <sheetName val="PO-BOB"/>
      <sheetName val="재료값"/>
      <sheetName val="보차도경계석수량"/>
      <sheetName val="48일위(기존)"/>
      <sheetName val="옥외외등집계표"/>
      <sheetName val="광통신 견적내역서1"/>
      <sheetName val="하도급선정의뢰_x0005__x0000__x0000__x0000__x0000_吝"/>
      <sheetName val="하도급선정의뢰唈_x001f_ᛅ⾠_x0005__x0000_"/>
      <sheetName val="하도급선정의뢰ᛅ⼝_x0005__x0000__x0000__x0000_"/>
      <sheetName val="음성(cable)"/>
      <sheetName val="PI"/>
      <sheetName val="제조부문배부"/>
      <sheetName val="XREF"/>
      <sheetName val="반포2차"/>
      <sheetName val="시공업체명부"/>
      <sheetName val="Direct (공사비대비)"/>
      <sheetName val=" 내역"/>
      <sheetName val="제출"/>
      <sheetName val="공사비예비관리공감측설산출내역"/>
      <sheetName val="TCDB"/>
      <sheetName val="1À"/>
      <sheetName val="1 "/>
      <sheetName val="ꀀ㇞"/>
      <sheetName val="1r"/>
      <sheetName val="　⮒"/>
      <sheetName val="SANTOGO"/>
      <sheetName val="산출서집계"/>
      <sheetName val="집계표(수정)"/>
      <sheetName val="잔여공사월별내역"/>
      <sheetName val="대비(최종이사회)"/>
      <sheetName val="양식"/>
      <sheetName val="표지세로"/>
      <sheetName val="5.소모재료비"/>
      <sheetName val="전계가"/>
      <sheetName val="က"/>
      <sheetName val="⠈ⱒ"/>
      <sheetName val="1Ø"/>
      <sheetName val="1_x0004_"/>
      <sheetName val="MEMBER"/>
      <sheetName val="공사별 가중치0_x0000_ꀀâ_x0000__x0000_鬀ӊ㰞"/>
      <sheetName val="자재집게표 "/>
      <sheetName val="경영혁신본부"/>
      <sheetName val="제수_x0000__x0000_"/>
      <sheetName val="제수午_x0013_뺨"/>
      <sheetName val="제수午_x0013_㸀"/>
      <sheetName val="제수午_x0013_㐨"/>
      <sheetName val="제수午_x0013_㺨"/>
      <sheetName val="제수午_x0013_绠"/>
      <sheetName val="제수午_x0013_떰"/>
      <sheetName val="제수午_x0013_"/>
      <sheetName val="옥내소화전계산서"/>
      <sheetName val="심사계산"/>
      <sheetName val="심사물량"/>
      <sheetName val="기타"/>
      <sheetName val="BID FORM"/>
      <sheetName val="Form of Bid"/>
      <sheetName val="이관문서목록표"/>
      <sheetName val="국내"/>
      <sheetName val="구천"/>
      <sheetName val="member design"/>
      <sheetName val="soil bearing check"/>
      <sheetName val="산출근거#2-3"/>
      <sheetName val="도급,하도급 예정금액"/>
      <sheetName val="산출(전기)"/>
      <sheetName val="DWG-CAB-I"/>
      <sheetName val="1공구내역서(1)"/>
      <sheetName val="설계서을"/>
      <sheetName val="공감비"/>
      <sheetName val="PROJECT BRIEF(EX.NEW)"/>
      <sheetName val="재무가정"/>
      <sheetName val="건물현황"/>
      <sheetName val="대목"/>
      <sheetName val="간접재료비산출표-27-30"/>
      <sheetName val="공사원가계산蚘_x0013_"/>
      <sheetName val="도급예정1ီ_x0000_䀀"/>
      <sheetName val="도급예정1犢呄/"/>
      <sheetName val="도급예정1犢/"/>
      <sheetName val="도급예정1Ⴂ_x0000_䀀"/>
      <sheetName val="도급예정1ﻰᇕ԰"/>
      <sheetName val="도급예정1犢ፄ/"/>
      <sheetName val="도급예정1ჰ_x0000_䀀"/>
      <sheetName val="도급예정1ၪ_x0000_　"/>
      <sheetName val="도급예정1Ⴕ_x0000_"/>
      <sheetName val="도급예정1႒_x0000_က"/>
      <sheetName val="Macr_x0010__x0000_ፈদ䑲⼚"/>
      <sheetName val="Macr枵〺_x0000__x0000_揰_x0000_"/>
      <sheetName val="Macr枵〺_x0000__x0000_丸_x0000_"/>
      <sheetName val="Macr枵〺_x0000__x0000_㦠_x0000_"/>
      <sheetName val="Macr㑘_x001b_둠੆枵⿚"/>
      <sheetName val="Macr㑘_x001b_ञ枵⿚"/>
      <sheetName val="단위ה_x0000_"/>
      <sheetName val="1호맨홀자연토공"/>
      <sheetName val="제원입력"/>
      <sheetName val="개비온집계"/>
      <sheetName val="수목일위"/>
      <sheetName val="수목데이타"/>
      <sheetName val="수리결과"/>
      <sheetName val="k2 foundation"/>
      <sheetName val="내역서_제출1"/>
      <sheetName val="공사비_증감_내역서1"/>
      <sheetName val="8_PILE__(돌출)1"/>
      <sheetName val="7_PILE__(돌출)1"/>
      <sheetName val="Sheet1_(2)1"/>
      <sheetName val="BOX(1_5X1_5)1"/>
      <sheetName val="1_설계조건1"/>
      <sheetName val="2-1__경관조명_내역총괄표1"/>
      <sheetName val="설명서_1"/>
      <sheetName val="AS포장복구_1"/>
      <sheetName val="실행내역(10_13)1"/>
      <sheetName val="단가_및_재료비1"/>
      <sheetName val="개별직종노임단가(2003_9)1"/>
      <sheetName val="3련_BOX1"/>
      <sheetName val="EQUIP_LIST1"/>
      <sheetName val="기존건물_깨기원단위1"/>
      <sheetName val="철근량_산정1"/>
      <sheetName val="환경기계공정표_(3)1"/>
      <sheetName val="사__업__비__수__지__예__산__서1"/>
      <sheetName val="노_표-조1"/>
      <sheetName val="4_2유효폭의_계산1"/>
      <sheetName val="내역-_CCTV1"/>
      <sheetName val="각사별공사비분개_1"/>
      <sheetName val="슬래브_-연속(3경간)1"/>
      <sheetName val="노임단가_(2)1"/>
      <sheetName val="총_원가계산1"/>
      <sheetName val="참여현황_(직원)1"/>
      <sheetName val="2F_회의실견적(5_14_일대)1"/>
      <sheetName val="토공(우물통,기타)_1"/>
      <sheetName val="대3류_1"/>
      <sheetName val="1~9_하중계산1"/>
      <sheetName val="1_견적보고서"/>
      <sheetName val="건설사업관리_공제요율1"/>
      <sheetName val="건설공사_감리원_배치기준1"/>
      <sheetName val="책임감리_공제요율1"/>
      <sheetName val="단가산출서_(2)1"/>
      <sheetName val="3_하중산정4_지지력"/>
      <sheetName val="01_Summary"/>
      <sheetName val="03_Rev_Log"/>
      <sheetName val="4_2_1_마루높이_검토"/>
      <sheetName val="FAB_B01计算式"/>
      <sheetName val="5_물량산출서"/>
      <sheetName val="7월천안현장_집계표"/>
      <sheetName val="장비_자재"/>
      <sheetName val="_노무집계"/>
      <sheetName val="간지03_)"/>
      <sheetName val="1_레미콘"/>
      <sheetName val="2_관집계"/>
      <sheetName val="3_제수밸브"/>
      <sheetName val="4_각종주철제"/>
      <sheetName val="5_유량계"/>
      <sheetName val="1_골재집계"/>
      <sheetName val="2_철근집계"/>
      <sheetName val="3_관세척"/>
      <sheetName val="4_분기관"/>
      <sheetName val="상수공_토공집계표"/>
      <sheetName val="2_재료비"/>
      <sheetName val="12_보오링"/>
      <sheetName val="18_공내수압탄성자연"/>
      <sheetName val="2_견적조건_정보"/>
      <sheetName val="슬래브일반(포항방향_B=12_3m)"/>
      <sheetName val="자재_집계표"/>
      <sheetName val="6_7현장운영"/>
      <sheetName val="__HAIWOOK_____hb___1__________2"/>
      <sheetName val="옥상바닥산출서"/>
      <sheetName val="외부비계산출서"/>
      <sheetName val="단열재산출서"/>
      <sheetName val="지하외부비계산출서"/>
      <sheetName val="내부강관비계산출서"/>
      <sheetName val="내부수평비계산출서"/>
      <sheetName val="내역집계(전체)"/>
      <sheetName val="데크수량산출"/>
      <sheetName val="MAT_N048"/>
      <sheetName val="수종"/>
      <sheetName val="규격"/>
      <sheetName val="아파트 기성내역서"/>
      <sheetName val="일위-1"/>
      <sheetName val="conclusion"/>
      <sheetName val="comparables"/>
      <sheetName val="Deduction"/>
      <sheetName val="other"/>
      <sheetName val="이름표"/>
      <sheetName val="기본1"/>
      <sheetName val="수정일위대가"/>
      <sheetName val="내역서form"/>
      <sheetName val="전익자재"/>
      <sheetName val="큰다리교깨기"/>
      <sheetName val="15-3)VE제안서(가치향"/>
      <sheetName val="기계경跠㴯¢_x0000_弲"/>
      <sheetName val="공통비총괄표"/>
      <sheetName val="보할최종(준공)only"/>
      <sheetName val="2.건축"/>
      <sheetName val="gyun"/>
      <sheetName val="DUT-BAT1"/>
      <sheetName val="BOJUNGGM"/>
      <sheetName val="건가"/>
      <sheetName val="노단"/>
      <sheetName val="일대"/>
      <sheetName val="중사"/>
      <sheetName val="중목"/>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êÃ렀䡟ԯ"/>
      <sheetName val="»êÃ︀ᇕ԰"/>
      <sheetName val="4/"/>
      <sheetName val="4က"/>
      <sheetName val="현장설က"/>
      <sheetName val="화재 탐지_x0005_"/>
      <sheetName val="2000.11¿ù¼³餀㢘ԯ"/>
      <sheetName val="입출재고현⩿〚_x0005_"/>
      <sheetName val="설치 일위대가(4԰"/>
      <sheetName val="신공항A-9헾】_x0005_"/>
      <sheetName val="2006기계䈌ᅪ԰"/>
      <sheetName val="JUCK֕"/>
      <sheetName val="하도급선정의뢰"/>
      <sheetName val="[YES.XLS][YES.XLS]4/"/>
      <sheetName val="방음벽 기초_x0005_"/>
      <sheetName val="실ԯ"/>
      <sheetName val="관리"/>
      <sheetName val="관리Ç"/>
      <sheetName val="변경비"/>
      <sheetName val="9-1԰"/>
      <sheetName val="[YES.XLS][YES.XLS][YES.XLS]4/"/>
      <sheetName val="변경비_x0005_"/>
      <sheetName val="8. 안"/>
      <sheetName val="단가_x0005_"/>
      <sheetName val="건0"/>
      <sheetName val="금0"/>
      <sheetName val="8. _x0005_"/>
      <sheetName val="´_x0005_"/>
      <sheetName val="ÀÏÀ§´ë헾】_x0005_"/>
      <sheetName val="[YES.XLS]4/"/>
      <sheetName val="기က"/>
      <sheetName val="2.노무비명세서頀塔攀๦0"/>
      <sheetName val="2.노무비명세서Ç"/>
      <sheetName val="Summar헾】_x0005_"/>
      <sheetName val="하도급선정의뢰_x0005_"/>
      <sheetName val="하도급선정의뢰煘_x0013_橂⿜_x0005_"/>
      <sheetName val="하도급선정의뢰聸_x0013_헾⾧_x0005_"/>
      <sheetName val="하도급선정의뢰颙〒_x0005_"/>
      <sheetName val="하도급선정의뢰_x0010_"/>
      <sheetName val="REACTION芨.헾⿁_x0005_"/>
      <sheetName val="임시급식ֿ"/>
      <sheetName val="설치 일위대가(46~԰"/>
      <sheetName val="2.노무비명세서(수직보_x0005_"/>
      <sheetName val="48전력선_x0002_"/>
      <sheetName val="펌프장수량ԯ"/>
      <sheetName val="³²¾ç½ÃÀÛµ¿ÀÚ105³ë65±"/>
      <sheetName val="역T형교대栄⿇"/>
      <sheetName val="펌프장수량䈀嵪ԯ"/>
      <sheetName val="펌프장수량㔀቎԰"/>
      <sheetName val="상수도토공_x0005_"/>
      <sheetName val="9-1차_x0005_"/>
      <sheetName val="하도급선정의뢰唈_x001f_ᛅ⾠_x0005_"/>
      <sheetName val="하도급선정의뢰ᛅ⼝_x0005_"/>
      <sheetName val="공사별 가중치0"/>
      <sheetName val="도급예정1ီ"/>
      <sheetName val="도급예정1Ⴂ"/>
      <sheetName val="도급예정1ჰ"/>
      <sheetName val="도급예정1ၪ"/>
      <sheetName val="도급예정1Ⴕ"/>
      <sheetName val="도급예정1႒"/>
      <sheetName val="Macr_x0010_"/>
      <sheetName val="Macr枵〺"/>
      <sheetName val="7내역"/>
      <sheetName val="3"/>
      <sheetName val="4"/>
      <sheetName val="5"/>
      <sheetName val="기타사항"/>
      <sheetName val="입찰품의서"/>
      <sheetName val="자동제어"/>
      <sheetName val="역사이펀평균높이"/>
      <sheetName val="3.하중계산"/>
      <sheetName val="상계견적"/>
      <sheetName val="검색결과시트"/>
      <sheetName val="신항수로관조서"/>
      <sheetName val="신항용수로집계"/>
      <sheetName val="3-DIV3"/>
      <sheetName val="villa"/>
      <sheetName val="VII-2현장경비"/>
      <sheetName val="프레스"/>
      <sheetName val="격점 이형관(분기관)"/>
      <sheetName val="[일위대가9803.xls]4/_x0000_䠀"/>
      <sheetName val="[일위대가9803.xls]4쌇栅/"/>
      <sheetName val="[일위대가9803.xls]신표司/"/>
      <sheetName val="[일위대가9803.xls][YES.XLS]신표司/"/>
      <sheetName val="[일위대가9803.xls]/_x0000_"/>
      <sheetName val="[일위대가9803.xls][YES.XLS]4/_x0000_䠀"/>
      <sheetName val="[일위대가9803.xls][YES.XLS]4쌇栅/"/>
      <sheetName val="[일위대가9803.xls]갑지(쐂饣/"/>
      <sheetName val="[일위대가9803.xls]갑지(쐃/"/>
      <sheetName val="[일위대가9803.xls]갑지(쐎/"/>
      <sheetName val="[일위대가9803.xls]하도급선정의뢰佘/ߍ恽⿹_x0000_"/>
      <sheetName val="[일위대가9803.xls]몰탈쐀/_x0000_"/>
      <sheetName val="[일위대가9803.xls]도급예정1犢呄/"/>
      <sheetName val="[일위대가9803.xls]도급예정1犢/"/>
      <sheetName val="[일위대가9803.xls]도급예정1犢ፄ/"/>
      <sheetName val="RFP002"/>
      <sheetName val="Rooms"/>
      <sheetName val="TABLE DB"/>
      <sheetName val="쌍용 data base"/>
      <sheetName val="콘크리트포장"/>
      <sheetName val="진입도로포장산출"/>
      <sheetName val="진입부포장면적위치조서"/>
      <sheetName val="진입부수량집계표"/>
      <sheetName val="콘크리트포장집계표"/>
      <sheetName val="토공분석표"/>
      <sheetName val="하도금액분계"/>
      <sheetName val="철근단면적"/>
      <sheetName val="WVAL"/>
      <sheetName val="합계금액"/>
      <sheetName val="대전21토목내역서"/>
      <sheetName val="송라터널총괄"/>
      <sheetName val="분석"/>
      <sheetName val="내역서_"/>
      <sheetName val="업무분장"/>
      <sheetName val="총집계"/>
      <sheetName val="Chiet tinh dz35"/>
      <sheetName val="상부집계표"/>
      <sheetName val="유별자산배수"/>
      <sheetName val="공사비총"/>
      <sheetName val="패널"/>
      <sheetName val="대비2"/>
      <sheetName val="물류최종8월7"/>
      <sheetName val="8.3해석단면 선정"/>
      <sheetName val="Quantity"/>
      <sheetName val="예상"/>
      <sheetName val="Rebar"/>
      <sheetName val="Bảng mã VT"/>
      <sheetName val="FitOutConfCentre"/>
      <sheetName val="2.2 S-Curve"/>
      <sheetName val="tong du toan"/>
      <sheetName val="DAF-2"/>
      <sheetName val="125x125"/>
      <sheetName val="TOSHIBA-Structure"/>
      <sheetName val="Level 2"/>
      <sheetName val="VT190111"/>
      <sheetName val="TH-XL"/>
      <sheetName val="Du toan"/>
      <sheetName val="Keothep"/>
      <sheetName val="Re-bar"/>
      <sheetName val="SEX"/>
      <sheetName val="HS"/>
      <sheetName val="p"/>
      <sheetName val="Define finishing"/>
      <sheetName val="PTĐG"/>
      <sheetName val="RATE"/>
      <sheetName val="MA"/>
      <sheetName val="Chi tiết cấu tạo giá (2)"/>
      <sheetName val="SUMMARY-HT Thô"/>
      <sheetName val="02.PHAT SINH TANG"/>
      <sheetName val="Tiến độ  Rev1 (phói hợp)"/>
      <sheetName val="TABLE_DB"/>
      <sheetName val="쌍용_data_base"/>
      <sheetName val="내역서_1"/>
      <sheetName val="kpxlc"/>
      <sheetName val="kpxld"/>
      <sheetName val="VTu"/>
      <sheetName val="D_MUC"/>
      <sheetName val="PNT-QUOT-#3"/>
      <sheetName val="Unit price"/>
      <sheetName val="DANHMUC"/>
      <sheetName val="1.R18 BF"/>
      <sheetName val="G"/>
      <sheetName val="F-B"/>
      <sheetName val="H-J"/>
      <sheetName val="6.External works-R18"/>
      <sheetName val="電気設備表"/>
      <sheetName val="BG"/>
      <sheetName val="May"/>
      <sheetName val="Profile"/>
      <sheetName val="bill 3 - D Wall"/>
      <sheetName val="Parem"/>
      <sheetName val="TONG HOP XIN GIA"/>
      <sheetName val="Bảng_mã_VT"/>
      <sheetName val="tong_du_toan"/>
      <sheetName val="VO"/>
      <sheetName val="DG"/>
      <sheetName val="Ref"/>
      <sheetName val="KHOI LUONG15-4"/>
      <sheetName val="NC"/>
      <sheetName val="Tro giup"/>
      <sheetName val="Villa A"/>
      <sheetName val="Div26 - Elect"/>
      <sheetName val="CPTNo"/>
      <sheetName val="COAT&amp;WRAP-QIOT-#3"/>
      <sheetName val="Xuly Data"/>
      <sheetName val="CSVC LD"/>
      <sheetName val="Ten_NVKD"/>
      <sheetName val="Setting"/>
      <sheetName val="MU"/>
      <sheetName val="CTG"/>
      <sheetName val="escon"/>
      <sheetName val="GIAVLIEU"/>
      <sheetName val="SAP"/>
      <sheetName val="code HTT Thap"/>
      <sheetName val="Notes"/>
      <sheetName val="Mall"/>
      <sheetName val="D&amp;W def."/>
      <sheetName val="자재집계표"/>
      <sheetName val="조경내역서"/>
      <sheetName val="범례표"/>
      <sheetName val="옹벽일반수량"/>
      <sheetName val="단열-자재"/>
      <sheetName val="공제수량총집계표"/>
      <sheetName val="임금단가"/>
      <sheetName val="총투입계"/>
      <sheetName val="수량3"/>
      <sheetName val="흥양2교토공집계표"/>
      <sheetName val="개략"/>
      <sheetName val="COMPARISON TABLE"/>
      <sheetName val="crude.SLAB RE-bar"/>
      <sheetName val="물량표S"/>
      <sheetName val="W3단면"/>
      <sheetName val="물량표(신)"/>
      <sheetName val="안산기계장치"/>
      <sheetName val="신규 수주분(사용자 정의)"/>
      <sheetName val="DATA2000"/>
      <sheetName val="설계예산"/>
      <sheetName val="1.2.1 마루높이결정"/>
      <sheetName val="토적계산서"/>
      <sheetName val="2.입력sheet"/>
      <sheetName val="UEC영화관본공사내역"/>
      <sheetName val="대운산출"/>
      <sheetName val="&lt;목록&gt;"/>
      <sheetName val="pile bearing capa &amp; arrenge"/>
      <sheetName val="산근(PE,300)"/>
      <sheetName val="특2호부관하천산근"/>
      <sheetName val="특2호하천산근"/>
      <sheetName val="RAB AR&amp;STR"/>
      <sheetName val="6MONTHS"/>
      <sheetName val="chitimc"/>
      <sheetName val="t-h HA THE"/>
      <sheetName val="THPDMoi  (2)"/>
      <sheetName val="phuluc1"/>
      <sheetName val="DON GIA"/>
      <sheetName val="TONGKE-HT"/>
      <sheetName val="dtxl"/>
      <sheetName val="TONG HOP VL-NC TT"/>
      <sheetName val="CHITIET VL-NC-TT-3p"/>
      <sheetName val="TDTKP"/>
      <sheetName val="KPVC-BD "/>
      <sheetName val="B3A - TOWER A"/>
      <sheetName val="4-Lane bridge"/>
      <sheetName val="Z"/>
      <sheetName val="Thuc thanh"/>
      <sheetName val="264"/>
      <sheetName val="설계변경원가계산총괄표"/>
      <sheetName val="소방현물"/>
      <sheetName val="인명부"/>
      <sheetName val="내역및총괄"/>
      <sheetName val="M1"/>
      <sheetName val="VE절감"/>
      <sheetName val="MAIN GATE HOUSE"/>
      <sheetName val="Buy vs. Lease Car"/>
      <sheetName val="Currency Rate"/>
      <sheetName val="dtct cong"/>
      <sheetName val="GI"/>
      <sheetName val="EE (3)"/>
      <sheetName val="PAVEMENT"/>
      <sheetName val="TRAFFIC"/>
      <sheetName val="관보호공단위수량"/>
      <sheetName val="관경결정"/>
      <sheetName val="공사원가 (3)"/>
      <sheetName val="역T형(H=6.0) (2)"/>
      <sheetName val="CON포장수량"/>
      <sheetName val="CONUNIT"/>
      <sheetName val="포장물량집계"/>
      <sheetName val="내역서-2"/>
      <sheetName val="업무처리전"/>
      <sheetName val="tra VL"/>
      <sheetName val="수정시산표"/>
      <sheetName val="Phu cap"/>
      <sheetName val="CE(E)"/>
      <sheetName val="CE(M)"/>
      <sheetName val="Project Data"/>
      <sheetName val="Civil. Sub-Station 1"/>
      <sheetName val="Coax Designer"/>
      <sheetName val="2_2_S-Curve"/>
      <sheetName val="COMPARISON_TABLE"/>
      <sheetName val="crude_SLAB_RE-bar"/>
      <sheetName val="CRUDE_RE-bar"/>
      <sheetName val="신규_수주분(사용자_정의)"/>
      <sheetName val="1_2_1_마루높이결정"/>
      <sheetName val="2_입력sheet"/>
      <sheetName val="DATA_입력란"/>
      <sheetName val="1_우편집중내역서"/>
      <sheetName val="Pier_3"/>
      <sheetName val="pile_bearing_capa_&amp;_arrenge"/>
      <sheetName val="design_load"/>
      <sheetName val="방배동내역_(총괄)"/>
      <sheetName val="PAD_TR보호대기초"/>
      <sheetName val="(3_품질관리_시험_총괄표)"/>
      <sheetName val="DI-ESTI"/>
      <sheetName val="절취및터파기"/>
      <sheetName val="통영LNG입찰현황"/>
      <sheetName val="BOILING검토"/>
      <sheetName val="간지9)"/>
      <sheetName val="Gia VL,NC,M"/>
      <sheetName val="Phan chung"/>
      <sheetName val="Tom tat gia du thau"/>
      <sheetName val="1_MV"/>
      <sheetName val="PKKK"/>
      <sheetName val="Kính"/>
      <sheetName val="Bảng Phân Tích Chi Phí"/>
      <sheetName val="MTP"/>
      <sheetName val="Tien do TV"/>
      <sheetName val="Ts"/>
      <sheetName val="QD957"/>
      <sheetName val="Config"/>
      <sheetName val="CP Du phong"/>
      <sheetName val="THCP Lap dat"/>
      <sheetName val="THCP xay dung"/>
      <sheetName val="Tong hop kinh phi"/>
      <sheetName val="MTC"/>
      <sheetName val="Bao cao hao hut VT-TR"/>
      <sheetName val="Earthwork"/>
      <sheetName val="CFS3"/>
      <sheetName val="SITE-E"/>
      <sheetName val="1062-X방향 "/>
      <sheetName val="관경별우수관집계"/>
      <sheetName val="현장일반사항"/>
      <sheetName val="1TL종점(1)"/>
      <sheetName val="도로경계블럭연장조서"/>
      <sheetName val="단가(1)"/>
      <sheetName val="은행"/>
      <sheetName val="예산작성기준(전기)"/>
      <sheetName val="물가시세표"/>
      <sheetName val="표  지"/>
      <sheetName val="시선유도표지집계표"/>
      <sheetName val="수정내역서"/>
      <sheetName val="PD-5(직선)"/>
      <sheetName val="기계시공"/>
      <sheetName val="우수관"/>
      <sheetName val="인천제철"/>
      <sheetName val="sheeet2"/>
      <sheetName val="단면 _2_"/>
      <sheetName val="별총"/>
      <sheetName val="관경"/>
      <sheetName val="o현장경비"/>
      <sheetName val="기둥(하중)"/>
      <sheetName val="ENE-CAL 1"/>
      <sheetName val="-몰탈콘크리트"/>
      <sheetName val="지급자재조서"/>
      <sheetName val="spiral"/>
      <sheetName val="하중"/>
      <sheetName val="상승요인분석"/>
      <sheetName val="2011.(4)"/>
      <sheetName val="DIAPHRAGM"/>
      <sheetName val="상수도공-간지"/>
      <sheetName val="Dike for 49T03 &amp; 49T04"/>
      <sheetName val="Dike for 49T02, 05~07, 19 (1)"/>
      <sheetName val="상시"/>
      <sheetName val="2002년12월"/>
      <sheetName val="품의"/>
      <sheetName val="주요자재집계표"/>
      <sheetName val="맨홀평균높이"/>
      <sheetName val="바닥판(1)"/>
      <sheetName val="중기집계"/>
      <sheetName val="산근목록"/>
      <sheetName val="슬래브(유곡)"/>
      <sheetName val="포장직선구간"/>
      <sheetName val="원가입력"/>
      <sheetName val="입력시트"/>
      <sheetName val="공사현황"/>
      <sheetName val="수량산출근거"/>
      <sheetName val="P3"/>
      <sheetName val="6PILE__(돌출)2"/>
      <sheetName val="내역서_2"/>
      <sheetName val="1_설계조건2"/>
      <sheetName val="3BL공동구_수량2"/>
      <sheetName val="준검_내역서1"/>
      <sheetName val="3_공통공사대비1"/>
      <sheetName val="방배동내역_(총괄)1"/>
      <sheetName val="플랜트_설치1"/>
      <sheetName val="COMPARISON_TABLE1"/>
      <sheetName val="crude_SLAB_RE-bar1"/>
      <sheetName val="CRUDE_RE-bar1"/>
      <sheetName val="1_설계기준1"/>
      <sheetName val="신규_수주분(사용자_정의)1"/>
      <sheetName val="단면_(2)1"/>
      <sheetName val="1_2_1_마루높이결정1"/>
      <sheetName val="3_하중산정4_지지력1"/>
      <sheetName val="2_입력sheet1"/>
      <sheetName val="DATA_입력란1"/>
      <sheetName val="1_우편집중내역서1"/>
      <sheetName val="Pier_31"/>
      <sheetName val="plan&amp;section_of_foundation1"/>
      <sheetName val="pile_bearing_capa_&amp;_arrenge1"/>
      <sheetName val="design_load1"/>
      <sheetName val="working_load_at_the_btm_ft_1"/>
      <sheetName val="stability_check1"/>
      <sheetName val="design_criteria1"/>
      <sheetName val="2_2_S-Curve1"/>
      <sheetName val="PAD_TR보호대기초1"/>
      <sheetName val="(3_품질관리_시험_총괄표)1"/>
      <sheetName val="별표_"/>
      <sheetName val="Chiet_tinh_dz35"/>
      <sheetName val="code_HTT_Thap"/>
      <sheetName val="dongia_(2)"/>
      <sheetName val="RAB_AR&amp;STR"/>
      <sheetName val="Civil__Sub-Station_1"/>
      <sheetName val="Thuc_thanh"/>
      <sheetName val="D&amp;W_def_"/>
      <sheetName val="4-Lane_bridge"/>
      <sheetName val="Bìa"/>
      <sheetName val="Bảng KLHT"/>
      <sheetName val="RC WORK"/>
      <sheetName val="dnc4"/>
      <sheetName val="tifico"/>
      <sheetName val="DTCT"/>
      <sheetName val="2.1 受電設備棟"/>
      <sheetName val="2.2 受・防火水槽"/>
      <sheetName val="2.3 排水処理設備棟"/>
      <sheetName val="2.4 倉庫棟"/>
      <sheetName val="2.5 守衛棟"/>
      <sheetName val="Costmaster"/>
      <sheetName val="Items"/>
      <sheetName val="Detail"/>
      <sheetName val="¥ "/>
      <sheetName val="KLall"/>
      <sheetName val="DTTC CHI TIET"/>
      <sheetName val="조직"/>
      <sheetName val="MTO REV.2(ARMOR)"/>
      <sheetName val="SP10"/>
      <sheetName val="Gia"/>
      <sheetName val="HRG BHN"/>
      <sheetName val="Bang gia"/>
      <sheetName val="조선용암면"/>
      <sheetName val="TABLE_DB1"/>
      <sheetName val="쌍용_data_base1"/>
      <sheetName val="tong_du_toan1"/>
      <sheetName val="Level_2"/>
      <sheetName val="Bảng_mã_VT1"/>
      <sheetName val="Du_toan"/>
      <sheetName val="Cst_Pkg-Eden"/>
      <sheetName val="Define_finishing"/>
      <sheetName val="Tiến_độ__Rev1_(phói_hợp)"/>
      <sheetName val="Chi_tiết_cấu_tạo_giá_(2)"/>
      <sheetName val="SUMMARY-HT_Thô"/>
      <sheetName val="02_PHAT_SINH_TANG"/>
      <sheetName val="Unit_price"/>
      <sheetName val="TONG_HOP_XIN_GIA"/>
      <sheetName val="1_R18_BF"/>
      <sheetName val="6_External_works-R18"/>
      <sheetName val="bill_3_-_D_Wall"/>
      <sheetName val="KHOI_LUONG15-4"/>
      <sheetName val="Tro_giup"/>
      <sheetName val="Villa_A"/>
      <sheetName val="Div26_-_Elect"/>
      <sheetName val="Xuly_Data"/>
      <sheetName val="CSVC_LD"/>
      <sheetName val="dtct_cong"/>
      <sheetName val="MAIN_GATE_HOUSE"/>
      <sheetName val="Currency_Rate"/>
      <sheetName val="t-h_HA_THE"/>
      <sheetName val="THPDMoi__(2)"/>
      <sheetName val="DON_GIA"/>
      <sheetName val="CHITIET_VL-NC-TT_-1p"/>
      <sheetName val="TONG_HOP_VL-NC_TT"/>
      <sheetName val="TH_XL"/>
      <sheetName val="CHITIET_VL-NC-TT-3p"/>
      <sheetName val="KPVC-BD_"/>
      <sheetName val="CHITIET_VL-NC"/>
      <sheetName val="B3A_-_TOWER_A"/>
      <sheetName val="Buy_vs__Lease_Car"/>
      <sheetName val="tra_VL"/>
      <sheetName val="8_3해석단면_선정"/>
      <sheetName val="Ⅴ-2_공종별내역"/>
      <sheetName val="현장별"/>
      <sheetName val="Cash Flow bulanan"/>
      <sheetName val="석축"/>
      <sheetName val="TEN CONG TRINH"/>
      <sheetName val="12호기내역서(건축분)"/>
      <sheetName val="시설물단가표"/>
      <sheetName val="노무비단가표"/>
      <sheetName val="원가+내역"/>
      <sheetName val="일위대가집계"/>
      <sheetName val="9.정착구 보강"/>
      <sheetName val="절대삭제금지"/>
      <sheetName val="수량증감표"/>
      <sheetName val="터파기운반비산출"/>
      <sheetName val="산적토운반비산출"/>
      <sheetName val="연장및면적(좌측)"/>
      <sheetName val="공량(1월22일)"/>
      <sheetName val="slurrywall설계가"/>
      <sheetName val="수산(당)"/>
      <sheetName val="신호등일위대가"/>
      <sheetName val="현장경상비"/>
      <sheetName val="몰탈"/>
      <sheetName val="오수주요자재"/>
      <sheetName val="할증"/>
      <sheetName val="Sheet2 (2)"/>
      <sheetName val="마산월령동골조물량변경"/>
      <sheetName val="VXXXXXX"/>
      <sheetName val="연도별cash"/>
      <sheetName val="배수철근"/>
      <sheetName val="일위단위"/>
      <sheetName val="고유코드_설계"/>
      <sheetName val="실행견적"/>
      <sheetName val="현장관리비참조"/>
      <sheetName val="1000 DB구축 부표"/>
      <sheetName val="D+W"/>
      <sheetName val="INFOR-ST"/>
      <sheetName val="BechLab"/>
      <sheetName val="HE SO DIEU CHINH"/>
      <sheetName val="6PILE__(돌출)3"/>
      <sheetName val="내역서_3"/>
      <sheetName val="1_설계조건3"/>
      <sheetName val="2_2_S-Curve2"/>
      <sheetName val="RAB_AR&amp;STR1"/>
      <sheetName val="8_PILE__(돌출)2"/>
      <sheetName val="Chiet_tinh_dz351"/>
      <sheetName val="플랜트_설치2"/>
      <sheetName val="단면_(2)2"/>
      <sheetName val="code_HTT_Thap1"/>
      <sheetName val="4-Lane_bridge1"/>
      <sheetName val="dongia_(2)1"/>
      <sheetName val="D&amp;W_def_1"/>
      <sheetName val="돌담교_상부수량3"/>
      <sheetName val="8_석축단위(H=1_5M)2"/>
      <sheetName val="3BL공동구_수량3"/>
      <sheetName val="준검_내역서2"/>
      <sheetName val="3_공통공사대비2"/>
      <sheetName val="방배동내역_(총괄)2"/>
      <sheetName val="설명서_2"/>
      <sheetName val="COMPARISON_TABLE2"/>
      <sheetName val="crude_SLAB_RE-bar2"/>
      <sheetName val="CRUDE_RE-bar2"/>
      <sheetName val="1_설계기준2"/>
      <sheetName val="신규_수주분(사용자_정의)2"/>
      <sheetName val="1_2_1_마루높이결정2"/>
      <sheetName val="3_하중산정4_지지력2"/>
      <sheetName val="표지_(2)2"/>
      <sheetName val="2_입력sheet2"/>
      <sheetName val="DATA_입력란2"/>
      <sheetName val="1_우편집중내역서2"/>
      <sheetName val="Pier_32"/>
      <sheetName val="2_가정단면2"/>
      <sheetName val="7_PILE__(돌출)2"/>
      <sheetName val="plan&amp;section_of_foundation2"/>
      <sheetName val="pile_bearing_capa_&amp;_arrenge2"/>
      <sheetName val="design_load2"/>
      <sheetName val="working_load_at_the_btm_ft_2"/>
      <sheetName val="stability_check2"/>
      <sheetName val="design_criteria2"/>
      <sheetName val="Thuc_thanh1"/>
      <sheetName val="(3_품질관리_시험_총괄표)2"/>
      <sheetName val="별표_1"/>
      <sheetName val="PAD_TR보호대기초2"/>
      <sheetName val="Civil__Sub-Station_11"/>
      <sheetName val="Coax_Designer"/>
      <sheetName val="Gia_VL,NC,M"/>
      <sheetName val="Phan_chung"/>
      <sheetName val="Tom_tat_gia_du_thau"/>
      <sheetName val="Bảng_Phân_Tích_Chi_Phí"/>
      <sheetName val="실행내역서_1"/>
      <sheetName val="Tien_do_TV"/>
      <sheetName val="CP_Du_phong"/>
      <sheetName val="THCP_Lap_dat"/>
      <sheetName val="THCP_xay_dung"/>
      <sheetName val="Tong_hop_kinh_phi"/>
      <sheetName val="Bảng_KLHT"/>
      <sheetName val="RC_WORK"/>
      <sheetName val="_냉각수펌프"/>
      <sheetName val="1062-X방향_"/>
      <sheetName val="표__지"/>
      <sheetName val="단면__2_"/>
      <sheetName val="ENE-CAL_1"/>
      <sheetName val="2011_(4)"/>
      <sheetName val="11_자재단가"/>
      <sheetName val="Dike_for_49T03_&amp;_49T04"/>
      <sheetName val="Dike_for_49T02,_05~07,_19_(1)"/>
      <sheetName val="역T형(H=6_0)_(2)"/>
      <sheetName val="1__설계조건_2_단면가정_3__하중계산"/>
      <sheetName val="배수내역_(2)"/>
      <sheetName val="Bao_cao_hao_hut_VT-TR"/>
      <sheetName val="¥_"/>
      <sheetName val="DTTC_CHI_TIET"/>
      <sheetName val="MTO_REV_2(ARMOR)"/>
      <sheetName val="TEN_CONG_TRINH"/>
      <sheetName val="배관배선_단가조사"/>
      <sheetName val="9_정착구_보강"/>
      <sheetName val="단가_(2)"/>
      <sheetName val="배수공_시멘트_및_골재량_산출"/>
      <sheetName val="Sheet2_(2)"/>
      <sheetName val="건축내역서_(경제상무실)"/>
      <sheetName val="PROJECT_BRIEF(EX_NEW)"/>
      <sheetName val="1000_DB구축_부표"/>
      <sheetName val="상_부"/>
      <sheetName val="Cash_Flow_bulanan"/>
      <sheetName val="SH-F"/>
      <sheetName val="SUMDO"/>
      <sheetName val="ENDDO"/>
      <sheetName val="PLDB"/>
      <sheetName val="AAA"/>
      <sheetName val="M-HOUR"/>
      <sheetName val="252K444"/>
      <sheetName val="Isolasi Luar Dalam"/>
      <sheetName val="Isolasi Luar"/>
      <sheetName val="EARTH WORKS"/>
      <sheetName val="Breakdown (B)"/>
      <sheetName val="THVT"/>
      <sheetName val="NKC6"/>
      <sheetName val="DeluxeVilla 4"/>
      <sheetName val="Bill No.01"/>
      <sheetName val="Summary - Budget"/>
      <sheetName val="Khoi luong"/>
      <sheetName val="Matls"/>
      <sheetName val="Labor"/>
      <sheetName val="public area"/>
      <sheetName val="02"/>
      <sheetName val=" 03"/>
      <sheetName val="04"/>
      <sheetName val="05"/>
      <sheetName val="06"/>
      <sheetName val="07"/>
      <sheetName val="08"/>
      <sheetName val="09"/>
      <sheetName val="負荷集計（断熱不燃）"/>
      <sheetName val="계산서(곡선부)"/>
      <sheetName val="-치수표(곡선부)"/>
      <sheetName val="설정"/>
      <sheetName val="화단 철거"/>
      <sheetName val="DESCRIPTION"/>
      <sheetName val="공정별 수량산출서"/>
      <sheetName val="일반시방서"/>
      <sheetName val="일위대가(조경)"/>
      <sheetName val="자재 및 폐기물견적(2008)"/>
      <sheetName val="대정2공구"/>
      <sheetName val="추정공사비_산출내역1.xlsx"/>
      <sheetName val="BOX-1515"/>
      <sheetName val="cable data1"/>
      <sheetName val="측구공"/>
      <sheetName val="COPING-1"/>
      <sheetName val="역T형교대-2수량"/>
      <sheetName val="옥내아파트(전기)"/>
      <sheetName val="Model"/>
      <sheetName val="CONSTRUCTION COMPONENT"/>
      <sheetName val="M_DB"/>
      <sheetName val="TYPE"/>
      <sheetName val="1호-아(오)0.4"/>
      <sheetName val="기초(중마오수)"/>
      <sheetName val="평균터파기"/>
      <sheetName val="공종집계"/>
      <sheetName val="최적단면"/>
      <sheetName val="항목"/>
      <sheetName val="DNW"/>
      <sheetName val="아스콘단위"/>
      <sheetName val="EQ"/>
      <sheetName val="접속 SLAB,BRACKET 설계"/>
      <sheetName val="가정급수관"/>
      <sheetName val="일위대가_호표"/>
      <sheetName val="일위대가_호표 (계약)"/>
      <sheetName val="運転条件一覧"/>
      <sheetName val="daf-3(OK)"/>
      <sheetName val="daf-7(OK)"/>
      <sheetName val="Cash Flow"/>
      <sheetName val="8521"/>
      <sheetName val="Xunit (단위환산)"/>
      <sheetName val="고객사 관리 코드"/>
      <sheetName val="울산자동제어"/>
      <sheetName val="Xunit_(단위환산)"/>
      <sheetName val="고객사_관리_코드"/>
      <sheetName val="간접비계산"/>
      <sheetName val="Contents"/>
      <sheetName val="pvc연결관"/>
      <sheetName val="wk prgs"/>
      <sheetName val="Berm"/>
      <sheetName val="2. 공원조도"/>
      <sheetName val="장비사양"/>
      <sheetName val="Tables"/>
      <sheetName val="개방1"/>
      <sheetName val="Cover (x)"/>
      <sheetName val="SORT"/>
      <sheetName val="Cor Apt"/>
      <sheetName val="S0"/>
      <sheetName val="N10(미지급) "/>
      <sheetName val="(평균)"/>
      <sheetName val="AC포장수량"/>
      <sheetName val="구조물공위치조서"/>
      <sheetName val="깨기"/>
      <sheetName val="단지조성공(가포)"/>
      <sheetName val="공동구수량"/>
      <sheetName val="BOX수량"/>
      <sheetName val="신고조서"/>
      <sheetName val="총괄내역"/>
      <sheetName val="97년 추정"/>
      <sheetName val="직접공사비"/>
      <sheetName val="0506생활권구적"/>
      <sheetName val="우수내용"/>
      <sheetName val="내역_ver1.0"/>
      <sheetName val="RAMP 단면(R2)"/>
      <sheetName val="목차 "/>
      <sheetName val="도로경계단위"/>
      <sheetName val="세골재  T2 변경 현황"/>
      <sheetName val="0.단가"/>
      <sheetName val="PSCbeam설계"/>
      <sheetName val="내역서중"/>
      <sheetName val="4. 주형설계"/>
      <sheetName val="수량집"/>
      <sheetName val="수우미양가(Vlookup)"/>
      <sheetName val="집계표(OPTION)"/>
      <sheetName val="개인"/>
      <sheetName val="지장물_data"/>
      <sheetName val="CIVIL4"/>
      <sheetName val="도수로수량산출"/>
      <sheetName val="대부예산서"/>
      <sheetName val="표준차도부연장집계-ASP"/>
      <sheetName val="종배수관면벽구"/>
      <sheetName val="종배수관위치조서"/>
      <sheetName val="1련박스"/>
      <sheetName val="일위(수원)"/>
      <sheetName val="바닥판의 설계"/>
      <sheetName val="보도단위"/>
      <sheetName val="배수장토목공사비"/>
      <sheetName val="편입용지조서"/>
      <sheetName val="대우단가(풍산)"/>
      <sheetName val="설직재_1"/>
      <sheetName val="배수개거"/>
      <sheetName val="변실"/>
      <sheetName val="이음부"/>
      <sheetName val="업무"/>
      <sheetName val="汇总表"/>
      <sheetName val="수량명세서"/>
      <sheetName val="계약ITEM"/>
      <sheetName val="수문보고"/>
      <sheetName val="주소록2000(전화번호부)"/>
      <sheetName val="정읍농소"/>
      <sheetName val="-배수구조물공토공"/>
      <sheetName val="횡배수관재료-"/>
      <sheetName val="계산서(직선부)"/>
      <sheetName val="CPBTXM-THUONG"/>
      <sheetName val="VCV-BE-TONG"/>
      <sheetName val="KLDT DIEN"/>
      <sheetName val="PTVT DIEN"/>
      <sheetName val="Multi-dims"/>
      <sheetName val="중간간지 (2)"/>
      <sheetName val="6.단면검토"/>
      <sheetName val="암거 제원표"/>
      <sheetName val="단가산출총괄표"/>
      <sheetName val="상세"/>
      <sheetName val="2.단면가정 "/>
      <sheetName val="D-철근총괄"/>
      <sheetName val="노임단가기준"/>
      <sheetName val="터파기_x0000__x0000_료"/>
      <sheetName val="출력표-본사"/>
      <sheetName val="우수맨홀 수량 및 높이 집계"/>
      <sheetName val="우수맨홀(차도측2호)"/>
      <sheetName val="특2호각형맨홀(차도측)"/>
      <sheetName val="특3호각형맨홀(차도측)"/>
      <sheetName val="특4호각형맨홀(차도측)"/>
      <sheetName val="우수맨홀(보도측2호)"/>
      <sheetName val="특2호각형맨홀(보도측)"/>
      <sheetName val="암거맨홀(차도측)"/>
      <sheetName val="강관 및 부속"/>
      <sheetName val="근로자자료입력"/>
      <sheetName val="2월 노임대장"/>
      <sheetName val="현관비DATA"/>
      <sheetName val="기타 정보통신공사"/>
      <sheetName val="배수관토공산출"/>
      <sheetName val="TOTAL3"/>
      <sheetName val="울산자금"/>
      <sheetName val="설비비3"/>
      <sheetName val="기계경비집계"/>
      <sheetName val="산출기준자료"/>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소분류목록"/>
      <sheetName val="Output"/>
      <sheetName val="기자재수량"/>
      <sheetName val="옥외등신설"/>
      <sheetName val="저케CV22신설"/>
      <sheetName val="저케CV38신설"/>
      <sheetName val="저케CV8신설"/>
      <sheetName val="접지3종"/>
      <sheetName val="DB구축"/>
      <sheetName val="건축일"/>
      <sheetName val="수납장배치도"/>
      <sheetName val="본실행경비"/>
      <sheetName val="2@ BOX"/>
      <sheetName val="맨홀접합조서"/>
      <sheetName val="L_RPTB~1"/>
      <sheetName val="5-3.지급자재수불현황"/>
      <sheetName val="단가산출 (2)"/>
      <sheetName val="타공종포장공제집계표"/>
      <sheetName val="선금급신청서"/>
      <sheetName val="설비비4"/>
      <sheetName val="사유서제출현황-2"/>
      <sheetName val="STAND20"/>
      <sheetName val="토공(본관-토사)"/>
      <sheetName val="토공(분기관-토사)"/>
      <sheetName val="토공(분기관-암)"/>
      <sheetName val="토공(본관-암)"/>
      <sheetName val="준공정산보고서"/>
      <sheetName val="계획집계"/>
      <sheetName val="도로구조물산근"/>
      <sheetName val="터파기"/>
      <sheetName val="관로수량총괄집계표"/>
      <sheetName val="L집(수평부)"/>
      <sheetName val="L집(성토부)"/>
      <sheetName val="공틀공사"/>
      <sheetName val="공통"/>
      <sheetName val="건축(을)"/>
      <sheetName val="산거각호표"/>
      <sheetName val="기성부분액내역서(국고)"/>
      <sheetName val="견적기준"/>
      <sheetName val="FPA"/>
      <sheetName val="순수개발"/>
      <sheetName val="A1"/>
      <sheetName val="포장공수량집계표"/>
      <sheetName val="배력철근"/>
      <sheetName val="터파기_x005f_x0000__x005f_x0000_료"/>
      <sheetName val="도로포장면적산출(1)"/>
      <sheetName val="기타_정보통신공사"/>
      <sheetName val="단가산출_(2)"/>
      <sheetName val="우수관연장및터파기고"/>
      <sheetName val="보완토적"/>
      <sheetName val="역T형옹벽단위수량"/>
      <sheetName val="CCS"/>
      <sheetName val="수로교"/>
      <sheetName val="슬래브(PF)(하류)"/>
      <sheetName val="상수구조화편집부표"/>
      <sheetName val="구조물토적"/>
      <sheetName val="심사"/>
      <sheetName val=" "/>
      <sheetName val="견적산출"/>
      <sheetName val="3.1.1 마루높이결정"/>
      <sheetName val="내역-1"/>
      <sheetName val="기성 (2)"/>
      <sheetName val="상하차비용(기계상차)"/>
      <sheetName val="수간보호"/>
      <sheetName val="노임단가자료"/>
      <sheetName val="정보요약"/>
      <sheetName val="설내역서_"/>
      <sheetName val="BEND_LOSS"/>
      <sheetName val="2월_노임대장"/>
      <sheetName val="Flaer_Area"/>
      <sheetName val="강관_및_부속"/>
      <sheetName val="2@_BOX"/>
      <sheetName val="부경대총괄내역서"/>
      <sheetName val="보도포장연장조서-표준차도부"/>
      <sheetName val="표준차도부연장조서-ASP"/>
      <sheetName val="3.바닥판  "/>
      <sheetName val="C_DATA"/>
      <sheetName val="작업내용 (종합)"/>
      <sheetName val="작업사항(추가)"/>
      <sheetName val="계좌입금의뢰서(서암)"/>
      <sheetName val="청구집계"/>
      <sheetName val="계좌입금의뢰서(장안)"/>
      <sheetName val="계좌입금의뢰서(장안) (출력용)"/>
      <sheetName val="1.노무비(직영)-서암"/>
      <sheetName val="1.노무비(직영)-장안"/>
      <sheetName val="노무대장(직영)-서암"/>
      <sheetName val="노무대장(직영)-장안"/>
      <sheetName val="노무대장(직영)-장안(직영)"/>
      <sheetName val="노무대장(직영)-장안(제초)"/>
      <sheetName val="노무대장(직영)-장안(예초)"/>
      <sheetName val="1.노무비 (대영)"/>
      <sheetName val="노무대장(대영)"/>
      <sheetName val="노무대장(직영)-장안 (직영)"/>
      <sheetName val="노무대장(직영)-장안 (제초 및 잔디)"/>
      <sheetName val="노무대장(직영)-장안 (예초)"/>
      <sheetName val="재료비(세부) "/>
      <sheetName val="3.외주비"/>
      <sheetName val="4.운반비"/>
      <sheetName val="4-1운반비기안문서"/>
      <sheetName val="4-2주간운반비"/>
      <sheetName val="5.장비비"/>
      <sheetName val="장비사용내역"/>
      <sheetName val="6.현장관리비"/>
      <sheetName val="전도금사용내역서"/>
      <sheetName val="7-1안전관리비상세"/>
      <sheetName val="8.간접노무비"/>
      <sheetName val="9.기타경비"/>
      <sheetName val="기타경비 세부"/>
      <sheetName val="CABLE SIZE-1"/>
      <sheetName val="단가입력"/>
      <sheetName val="최종전사PL"/>
      <sheetName val="접속도로집계"/>
      <sheetName val="터파기??료"/>
      <sheetName val="CAL."/>
      <sheetName val="설비비2"/>
      <sheetName val="설비비5"/>
      <sheetName val="설비비6"/>
      <sheetName val="설비비1"/>
      <sheetName val="슬래브수량"/>
      <sheetName val="가로등위치"/>
      <sheetName val="공제량"/>
      <sheetName val="지장물건일위대가"/>
      <sheetName val="현금및현금등가물1"/>
      <sheetName val="지장물총괄표"/>
      <sheetName val="1.폐기물집계표"/>
      <sheetName val="PAINT (2)"/>
      <sheetName val="STRA2"/>
      <sheetName val="자재단가대비표"/>
      <sheetName val="표__지1"/>
      <sheetName val="추정공사비_산출내역1_xlsx"/>
      <sheetName val="수량산출서_갑지"/>
      <sheetName val="견적대비_견적서"/>
      <sheetName val="1호-아(오)0_4"/>
      <sheetName val="CONSTRUCTION_COMPONENT"/>
      <sheetName val="접속_SLAB,BRACKET_설계"/>
      <sheetName val="공정별_수량산출서"/>
      <sheetName val="자재_및_폐기물견적(2008)"/>
      <sheetName val="화단_철거"/>
      <sheetName val="cable_data1"/>
      <sheetName val="wk_prgs"/>
      <sheetName val="IMPEADENCE_MAP_취수장"/>
      <sheetName val="일위대가_호표_(계약)"/>
      <sheetName val="2__공원조도"/>
      <sheetName val="현황"/>
      <sheetName val="차선도색수량집계"/>
      <sheetName val="S.중기사용료"/>
      <sheetName val="배수공BOQ"/>
      <sheetName val="공사계약현황"/>
      <sheetName val="N10(미지급)_"/>
      <sheetName val="N10(미지급)_1"/>
      <sheetName val="기준Data"/>
      <sheetName val="의왕F사"/>
      <sheetName val="참조영역"/>
      <sheetName val="신구계정대사표"/>
      <sheetName val="static.cal"/>
      <sheetName val="Total Progress (2)"/>
      <sheetName val="농로수량집계"/>
      <sheetName val="농로토공집계"/>
      <sheetName val="1.일반수량산출근거"/>
      <sheetName val="计算稿"/>
      <sheetName val="노동부"/>
      <sheetName val="Financial impact"/>
      <sheetName val="Sch7a (토요일)"/>
      <sheetName val="CAUDIT"/>
      <sheetName val="총괄설계내역서"/>
      <sheetName val="Hydrant"/>
      <sheetName val="DI_전처리 단가집(GP1 실적가)"/>
      <sheetName val="전기자료"/>
      <sheetName val="대전(세창동)"/>
      <sheetName val="본장"/>
      <sheetName val="대전노은1차_조적_집계표"/>
      <sheetName val="깨기수량집계"/>
      <sheetName val="콘크리트측구연장"/>
      <sheetName val="내역서(우)"/>
      <sheetName val="수주추정"/>
      <sheetName val="일위대가_가설_"/>
      <sheetName val="현장소운반"/>
      <sheetName val="관구보호몰탈"/>
      <sheetName val="공사설명서"/>
      <sheetName val="공용(현대건설공구)"/>
      <sheetName val="현대건설공구(UNIT)"/>
      <sheetName val="낙석방지수량"/>
      <sheetName val="전 기"/>
      <sheetName val="해외(원화)"/>
      <sheetName val="차선도색-연장,수량(1)"/>
      <sheetName val="도기류"/>
      <sheetName val="흙쌓기도수로설치현황"/>
      <sheetName val="앵커구조계산"/>
      <sheetName val="내역(신례)"/>
      <sheetName val="교사기준면적(중)"/>
      <sheetName val="옹벽공 수량집계표"/>
      <sheetName val="재료비단가"/>
      <sheetName val="콘크리트타설집계표"/>
      <sheetName val="11.1 단면hwp"/>
      <sheetName val="인원투입"/>
      <sheetName val="배수공 주요자재 집계표"/>
      <sheetName val="06 일위대가목록"/>
      <sheetName val="출장내역"/>
      <sheetName val="직접경비"/>
      <sheetName val="공사명입력"/>
      <sheetName val="호프"/>
      <sheetName val="4.내진설계"/>
      <sheetName val="원유_BANK"/>
      <sheetName val="공사분석"/>
      <sheetName val="중요"/>
      <sheetName val="하도급 검토"/>
      <sheetName val="첨"/>
      <sheetName val="1.CB"/>
      <sheetName val="변수"/>
      <sheetName val="연도손익"/>
      <sheetName val="회수금"/>
      <sheetName val="대체용지"/>
      <sheetName val="건자이자"/>
      <sheetName val="내부매출원가"/>
      <sheetName val="지구 리스트"/>
      <sheetName val="용지비"/>
      <sheetName val="시점경사로"/>
      <sheetName val="산수배수"/>
      <sheetName val="용역단가"/>
      <sheetName val="GR"/>
      <sheetName val="평내중"/>
      <sheetName val="(당평)자재"/>
      <sheetName val="당초명세(평)"/>
      <sheetName val="공비현2"/>
      <sheetName val="물집"/>
      <sheetName val="참고사항"/>
      <sheetName val="설계명세서(종합)"/>
      <sheetName val="상호참고자료"/>
      <sheetName val="발주처자료입력"/>
      <sheetName val="회사기본자료"/>
      <sheetName val="하자보증자료"/>
      <sheetName val="기술자관련자료"/>
      <sheetName val="탄성1"/>
      <sheetName val="단 box"/>
      <sheetName val="1차"/>
      <sheetName val="공사품의서"/>
      <sheetName val="단가조정표"/>
      <sheetName val="중강당 내역"/>
      <sheetName val="단가조건(02년)"/>
      <sheetName val="05-원가계산"/>
      <sheetName val="골재집계"/>
      <sheetName val="-레미콘집계"/>
      <sheetName val="자갈,시멘트,모래산출"/>
      <sheetName val="-철근집계"/>
      <sheetName val="포장재료(1)"/>
      <sheetName val="-흄관집계"/>
      <sheetName val="세금자료"/>
      <sheetName val="가열로SW"/>
      <sheetName val="청_구"/>
      <sheetName val="기존포장깨기"/>
      <sheetName val="석축헐기"/>
      <sheetName val="sst,stl창호"/>
      <sheetName val="A4"/>
      <sheetName val="연속벽현황"/>
      <sheetName val="03전반노무비"/>
      <sheetName val="산근(1)"/>
      <sheetName val="2_단면가정"/>
      <sheetName val="맨홀수량산출(A-LINE)"/>
      <sheetName val="08-공사비총괄표"/>
      <sheetName val="01-적용기준"/>
      <sheetName val="달서천-대비"/>
      <sheetName val="공통비(전체)"/>
      <sheetName val="지장물 철거 물량 산출서"/>
      <sheetName val="노면및방향"/>
      <sheetName val="A4288"/>
      <sheetName val="지급(1)"/>
      <sheetName val="포장공수량집계"/>
      <sheetName val="P4-C"/>
      <sheetName val="협력업체"/>
      <sheetName val="이음개소"/>
      <sheetName val="집행안"/>
      <sheetName val="7-2"/>
      <sheetName val="중기손료집계(1209)"/>
      <sheetName val="골막이(야매)"/>
      <sheetName val="말뚝기초(안정검토)-외측"/>
      <sheetName val="계측제어설비"/>
      <sheetName val="1차기성"/>
      <sheetName val="비품"/>
      <sheetName val="5수지"/>
      <sheetName val="쇠(1)"/>
      <sheetName val="가격(3)"/>
      <sheetName val="노임 및 중기단가"/>
      <sheetName val="보안등"/>
      <sheetName val="하도급계획"/>
      <sheetName val="어음수표추가테스트"/>
      <sheetName val="흙막이 개산견적"/>
      <sheetName val="아파트 내역"/>
      <sheetName val="pier(각형)"/>
      <sheetName val="공통가설(기준안)"/>
      <sheetName val="일람표"/>
      <sheetName val="신축(단위)"/>
      <sheetName val="6"/>
      <sheetName val="수토공단위당"/>
      <sheetName val="공정data"/>
      <sheetName val="15-1)VE제안서(유형2,4)"/>
      <sheetName val="가로등설치"/>
      <sheetName val="포집"/>
      <sheetName val="공사비_NDE"/>
      <sheetName val="(2)자금(신용)"/>
      <sheetName val="형질변경"/>
      <sheetName val="앵커설치(590)"/>
      <sheetName val="배지거총재료집계표"/>
      <sheetName val="난방방식분류"/>
      <sheetName val="공사정보입력"/>
      <sheetName val="토공사B동추가"/>
      <sheetName val="대총괄"/>
      <sheetName val="제경비최종"/>
      <sheetName val="사본 _ b_balju"/>
      <sheetName val="DATA입력"/>
      <sheetName val="급여표"/>
      <sheetName val="직원투입계획"/>
      <sheetName val="약전설비"/>
      <sheetName val="4 공통갑지"/>
      <sheetName val="ESC (공정표기준)"/>
      <sheetName val="10동"/>
      <sheetName val="1.RAMP-A"/>
      <sheetName val="공사설계"/>
      <sheetName val="견적보고"/>
      <sheetName val="중단원본"/>
      <sheetName val="업체별담당"/>
      <sheetName val="기초계산(Pmax)"/>
      <sheetName val="1_CB"/>
      <sheetName val="옹벽공_수량집계표"/>
      <sheetName val="A-8_PD(도로중앙)"/>
      <sheetName val="細目"/>
      <sheetName val="지장물헐기조서"/>
      <sheetName val="방화도료"/>
      <sheetName val="203"/>
      <sheetName val="금속및금속창호"/>
      <sheetName val="입력장소"/>
      <sheetName val="값"/>
      <sheetName val="공정추가"/>
      <sheetName val="투입비분석표"/>
      <sheetName val="금전출납"/>
      <sheetName val="직영명부"/>
      <sheetName val="공통자료"/>
      <sheetName val="수량간지코드"/>
      <sheetName val="수량목차코드"/>
      <sheetName val="2.관대집계표"/>
      <sheetName val="지수980731이후"/>
      <sheetName val="형식 - 1-2-3"/>
      <sheetName val="99노임단_x0007_"/>
      <sheetName val="99노임단쌇"/>
      <sheetName val="서울대규장각(가시설흙막이)"/>
      <sheetName val="정부노임"/>
      <sheetName val="9_정착구_보강1"/>
      <sheetName val="단가_(2)1"/>
      <sheetName val="전선_및_전선관1"/>
      <sheetName val="1차_내역서1"/>
      <sheetName val="1__설계조건_2_단면가정_3__하중계산1"/>
      <sheetName val="BSD_(2)1"/>
      <sheetName val="배관배선_단가조사1"/>
      <sheetName val="옹벽공_수량집계표1"/>
      <sheetName val="배수공_시멘트_및_골재량_산출1"/>
      <sheetName val="96보완계획7_121"/>
      <sheetName val="11_1_단면hwp"/>
      <sheetName val="Sheet2_(2)1"/>
      <sheetName val="Customer_Databas1"/>
      <sheetName val="상_부1"/>
      <sheetName val="A-8_PD(도로중앙)1"/>
      <sheetName val="단양_00_아파트-세부내역"/>
      <sheetName val="청_구1"/>
      <sheetName val="설내역서_1"/>
      <sheetName val="건축내역서_(경제상무실)1"/>
      <sheetName val="1_수인터널1"/>
      <sheetName val="배수공_주요자재_집계표"/>
      <sheetName val="06_일위대가목록"/>
      <sheetName val="PROJECT_BRIEF(EX_NEW)1"/>
      <sheetName val="Site_Expenses1"/>
      <sheetName val="전_기"/>
      <sheetName val="4_내진설계"/>
      <sheetName val="_ｹ-ﾌﾞﾙ"/>
      <sheetName val="지구_리스트"/>
      <sheetName val="1_CB1"/>
      <sheetName val="Flaer_Area1"/>
      <sheetName val="하도급_검토"/>
      <sheetName val="지장물_철거_물량_산출서"/>
      <sheetName val="3_하중계산"/>
      <sheetName val="단_box"/>
      <sheetName val="중강당_내역"/>
      <sheetName val="HRSG_SMALL07220"/>
      <sheetName val="아파트_내역"/>
      <sheetName val="노임_및_중기단가"/>
      <sheetName val="인건비_"/>
      <sheetName val="수불계획서(전체)"/>
      <sheetName val="전력간선(신설)"/>
      <sheetName val="공통갑지"/>
      <sheetName val="기성청구조서"/>
      <sheetName val="표지(예시)"/>
      <sheetName val="신푝지1"/>
      <sheetName val="Requirement(Work Crew)"/>
      <sheetName val="한일양산"/>
      <sheetName val="콘크스"/>
      <sheetName val="1. 총괄 집계표"/>
      <sheetName val="식생블럭"/>
      <sheetName val="공정자료2"/>
      <sheetName val="HC-04"/>
      <sheetName val="길어깨단위"/>
      <sheetName val="절대건들지마시오"/>
      <sheetName val="토목내역서(변경1)"/>
      <sheetName val="나.설계조건"/>
      <sheetName val="기계설비품셈"/>
      <sheetName val="5.장비(안)"/>
      <sheetName val="협력업체기성(첨부)"/>
      <sheetName val="견적가"/>
      <sheetName val="기초입력 DATA"/>
      <sheetName val="모래기초"/>
      <sheetName val="SCHE"/>
      <sheetName val="신평리 권리자명부"/>
      <sheetName val="설계총괄표"/>
      <sheetName val="공사품旼ã"/>
      <sheetName val="상수도내역서"/>
      <sheetName val="기시공토적"/>
      <sheetName val="스파이더산출근거"/>
      <sheetName val="2012노임단가"/>
      <sheetName val="공사내역서"/>
      <sheetName val="(참고)지급수수료"/>
      <sheetName val="표준내역"/>
      <sheetName val="PILE"/>
      <sheetName val="도면명"/>
      <sheetName val="전국현황"/>
      <sheetName val="현장청취복명서"/>
      <sheetName val="전산output"/>
      <sheetName val="2006계약"/>
      <sheetName val="변경당시노임단가표"/>
      <sheetName val="작업 반복"/>
      <sheetName val="100만평"/>
      <sheetName val="내역단위"/>
      <sheetName val="코드명"/>
      <sheetName val="구조물단위표"/>
      <sheetName val="관포설품"/>
      <sheetName val="동원단위"/>
      <sheetName val="구조물절단규격"/>
      <sheetName val="거리별운반단가"/>
      <sheetName val="취수탑"/>
      <sheetName val="2_단면_x0000__x0000_"/>
      <sheetName val="U형개거"/>
      <sheetName val="노임산출서"/>
      <sheetName val="單價表단가표"/>
      <sheetName val="FAB消防报警"/>
      <sheetName val="工程量计算书"/>
      <sheetName val="조은나오스빌"/>
      <sheetName val="5지구단위"/>
      <sheetName val="소보"/>
      <sheetName val="포장면적집계"/>
      <sheetName val="집기손료"/>
      <sheetName val="수요개발과판매량"/>
      <sheetName val="소도3교"/>
      <sheetName val="교량"/>
      <sheetName val="건축기계설비표선정수장"/>
      <sheetName val="절대지우지말것"/>
      <sheetName val="카니발(자105노60)"/>
      <sheetName val="H-P규격"/>
      <sheetName val="S-P규격"/>
      <sheetName val="H-P＋토류판 수량산출"/>
      <sheetName val="S-P수량산출"/>
      <sheetName val="H-P수량집계"/>
      <sheetName val="총괄H-P수량집계 "/>
      <sheetName val="S-P수량집계"/>
      <sheetName val="총괄S-P수량집계"/>
      <sheetName val="평균h"/>
      <sheetName val="지반개량"/>
      <sheetName val="재료집계(분수관)"/>
      <sheetName val="FAB"/>
      <sheetName val="t-h_HA_THE1"/>
      <sheetName val="THPDMoi__(2)1"/>
      <sheetName val="DON_GIA1"/>
      <sheetName val="CHITIET_VL-NC-TT_-1p1"/>
      <sheetName val="TONG_HOP_VL-NC_TT1"/>
      <sheetName val="TH_XL1"/>
      <sheetName val="CHITIET_VL-NC-TT-3p1"/>
      <sheetName val="KPVC-BD_1"/>
      <sheetName val="CHITIET_VL-NC1"/>
      <sheetName val="B3A_-_TOWER_A1"/>
      <sheetName val="Coax_Designer1"/>
      <sheetName val="MAIN_GATE_HOUSE1"/>
      <sheetName val="Bảng_Phân_Tích_Chi_Phí1"/>
      <sheetName val="Gia_VL,NC,M1"/>
      <sheetName val="Phan_chung1"/>
      <sheetName val="Tom_tat_gia_du_thau1"/>
      <sheetName val="Tien_do_TV1"/>
      <sheetName val="CP_Du_phong1"/>
      <sheetName val="THCP_Lap_dat1"/>
      <sheetName val="THCP_xay_dung1"/>
      <sheetName val="Tong_hop_kinh_phi1"/>
      <sheetName val="Bao_cao_hao_hut_VT-TR1"/>
      <sheetName val="Lookups"/>
      <sheetName val="Add cost08"/>
      <sheetName val="SumBricks08"/>
      <sheetName val="SCOPE OF WORK"/>
      <sheetName val="PH 5"/>
      <sheetName val="Dầm -4.7m"/>
      <sheetName val="NOTE"/>
      <sheetName val="Cấu tạo giá"/>
      <sheetName val="KUNGDEVI"/>
      <sheetName val="마감사양"/>
      <sheetName val="DFA"/>
      <sheetName val="StaffList-OLD"/>
      <sheetName val="Budget Code"/>
      <sheetName val="TinhGiaNC"/>
      <sheetName val="Thiet Bi"/>
      <sheetName val="VCBo"/>
      <sheetName val="Phan tich"/>
      <sheetName val="TH Vat tu"/>
      <sheetName val="TH Kinh phi"/>
      <sheetName val="BocXep"/>
      <sheetName val="TinhGiaMTC"/>
      <sheetName val="TH MTC"/>
      <sheetName val="TH N.Cong"/>
      <sheetName val="Bang KL"/>
      <sheetName val="VCThuy"/>
      <sheetName val="Cover page"/>
      <sheetName val="Inputs_Sens"/>
      <sheetName val="IS_Sum_CM"/>
      <sheetName val="Daf 1"/>
      <sheetName val="INTRO.(X)"/>
      <sheetName val="폐기물집계표"/>
      <sheetName val="2. 2공구"/>
      <sheetName val="TOWER 12TON"/>
      <sheetName val="JIB CRANE,HOIST"/>
      <sheetName val="TOWER 10TON"/>
      <sheetName val="도장수량"/>
      <sheetName val="안정성검토"/>
      <sheetName val="삼홍테크"/>
      <sheetName val="Alat"/>
      <sheetName val="Analisa Gabungan"/>
      <sheetName val="bar"/>
      <sheetName val="table1"/>
      <sheetName val="SGC RATE"/>
      <sheetName val="KINH PHI TONG HOP"/>
      <sheetName val="Dinh muc CP KTCB khac"/>
      <sheetName val="TEN HANG MUC "/>
      <sheetName val="Cash2"/>
      <sheetName val="지하시설물작성"/>
      <sheetName val="당초토량산출서"/>
      <sheetName val="변경토량산출서"/>
      <sheetName val="일반수량총괄집계표"/>
      <sheetName val="IW-LIST"/>
      <sheetName val="맨홀공수량집계"/>
      <sheetName val="1호맨홀수량집계"/>
      <sheetName val="2호맨홀수량집계"/>
      <sheetName val="3호맨홀수량집계"/>
      <sheetName val="맨홀뚜껑단위수량"/>
      <sheetName val="연속벽¼_x0000_"/>
      <sheetName val="주소"/>
      <sheetName val="설계공통자료입력"/>
      <sheetName val="공사개별자료입력"/>
      <sheetName val="공사비예산서"/>
      <sheetName val="조_x0000__x0000__x0005_"/>
      <sheetName val="상부"/>
      <sheetName val="5.2.6~7공사요율"/>
      <sheetName val="현황판"/>
      <sheetName val="설계예산서(2_소천우회토목)"/>
      <sheetName val="13후반노무비"/>
      <sheetName val="1袼ࣉ"/>
      <sheetName val="사본___b_balju"/>
      <sheetName val="개별직종노임단가(2005_1)"/>
      <sheetName val="개비온 단위"/>
      <sheetName val="적용단가표"/>
      <sheetName val="배수공 내역서 적용수량"/>
      <sheetName val="제잡비계산"/>
      <sheetName val="고상실행"/>
      <sheetName val="상촌2교-일반수량집계"/>
      <sheetName val="내역서 (변경단가)"/>
      <sheetName val="(당氐⿾_x0000__x0000_"/>
      <sheetName val="(당_x0000__x0000__x0005__x0000_"/>
      <sheetName val="광장"/>
      <sheetName val="일용직내역"/>
      <sheetName val="일 위 대 가 표"/>
      <sheetName val="노무비지급명세"/>
      <sheetName val="시멘,골재"/>
      <sheetName val="콘크집계"/>
      <sheetName val="낙차공"/>
      <sheetName val="자재집계1"/>
      <sheetName val="측구날개벽"/>
      <sheetName val="매출현황"/>
      <sheetName val="90.0_x0000_"/>
      <sheetName val="퇴직금(울산천상)"/>
      <sheetName val="중기근거"/>
      <sheetName val="교수설계"/>
      <sheetName val="특별땅고르기"/>
      <sheetName val="연결관수량 (2)"/>
      <sheetName val="원가계산서구조조정"/>
      <sheetName val="봉방동근생"/>
      <sheetName val="포장공사"/>
      <sheetName val="환경보전비B"/>
      <sheetName val="가옥철거(지장물조서)"/>
      <sheetName val="라멘수량"/>
      <sheetName val="Toolbox"/>
      <sheetName val="암거날개벽"/>
      <sheetName val="수습"/>
      <sheetName val="노임,기계경비"/>
      <sheetName val="면적산출근거(실측)"/>
      <sheetName val="앵커(3안)"/>
      <sheetName val="1.수량집계"/>
      <sheetName val="알맹이"/>
      <sheetName val="주차장(T4)"/>
      <sheetName val="수량산출표"/>
      <sheetName val="포장(수량)-관로부"/>
      <sheetName val="보도공제면적"/>
      <sheetName val="공기압축기실"/>
      <sheetName val="토공집계(rp)"/>
      <sheetName val="목차_"/>
      <sheetName val="97년_추정"/>
      <sheetName val="4__주형설계"/>
      <sheetName val="세골재__T2_변경_현황"/>
      <sheetName val="0_단가"/>
      <sheetName val="종배수관설치현황"/>
      <sheetName val="집계표(용역원실배기)"/>
      <sheetName val="실정보사유서"/>
      <sheetName val="원가계산서 과기원"/>
      <sheetName val="0.내역서  갑지"/>
      <sheetName val="1.내역서 "/>
      <sheetName val="2-1.수량산출근거"/>
      <sheetName val="2-2.노무비산출근거"/>
      <sheetName val="3.단가조사표"/>
      <sheetName val="3.단가대비표"/>
      <sheetName val="4.설변사유"/>
      <sheetName val="2-7.인건비산출근거"/>
      <sheetName val="3-1.설변사유"/>
      <sheetName val="3-2.공사비증감"/>
      <sheetName val="3-3.내역서"/>
      <sheetName val="3-4.단가대비표(기존)"/>
      <sheetName val="3-5.단가대비표(신규)"/>
      <sheetName val="3-6.일위대가목록"/>
      <sheetName val="3-7.일위대가"/>
      <sheetName val="3-8.물량산출근거"/>
      <sheetName val="3-9.인건비산출근거"/>
      <sheetName val="고강도 지수판 스리브업체선정"/>
      <sheetName val="업체구매견적서"/>
      <sheetName val="3.단가대비표 "/>
      <sheetName val="3.단가적용현황"/>
      <sheetName val="기성청구서"/>
      <sheetName val="1호토공"/>
      <sheetName val="증감대비표"/>
      <sheetName val="4.하중산정"/>
      <sheetName val="현장설명"/>
      <sheetName val="기초도면제작"/>
      <sheetName val="접합수량(피벗)"/>
      <sheetName val="8설7발"/>
      <sheetName val="제수변 수량집계표(보통)"/>
      <sheetName val="수량분배표"/>
      <sheetName val="7급줄떼공"/>
      <sheetName val="사유서"/>
      <sheetName val="6월 출고 일일보고"/>
      <sheetName val="하도급원가계산총괄표(식재)"/>
      <sheetName val="노면표시단위수량(안전지대및노상장애물)"/>
      <sheetName val="노면표시단위수량(방향및방면지시)"/>
      <sheetName val="노면표시단위수량(문자및기타기호)"/>
      <sheetName val="노면표시단위수량(차선)"/>
      <sheetName val="노면표시단위수량(횡단보도)"/>
      <sheetName val="신림자금"/>
      <sheetName val="양수장(기계)"/>
      <sheetName val="중간"/>
      <sheetName val="전동기"/>
      <sheetName val="조직표"/>
      <sheetName val="1Month+Sheet2!"/>
      <sheetName val="내역서(중수)"/>
      <sheetName val="기성부분 내역집계표-기계공사"/>
      <sheetName val="지역"/>
      <sheetName val="기본파일"/>
      <sheetName val="자재집계 (2)"/>
      <sheetName val="(1)본선수량집계"/>
      <sheetName val="정거장 설계조건"/>
      <sheetName val="건축공사집계"/>
      <sheetName val="단가파주4"/>
      <sheetName val="7-1.인건비"/>
      <sheetName val="일위총괄"/>
      <sheetName val="오수공수량집계표"/>
      <sheetName val="물푸기"/>
      <sheetName val="제경비산출서"/>
      <sheetName val="1단계 (2)"/>
      <sheetName val="Eq. Mobilization"/>
      <sheetName val="노면표지 수량"/>
      <sheetName val="토목내역서_(도급단가)"/>
      <sheetName val="내역_ver1_0"/>
      <sheetName val="RAMP_단면(R2)"/>
      <sheetName val="바닥판의_설계"/>
      <sheetName val="토공_total"/>
      <sheetName val="C_배수관공"/>
      <sheetName val="암거_제원표"/>
      <sheetName val="암거_제원표-1단계"/>
      <sheetName val="시간당중기사용료"/>
      <sheetName val="asd"/>
      <sheetName val="유림콘도"/>
      <sheetName val="직접노무"/>
      <sheetName val="직접재료"/>
      <sheetName val="직종표"/>
      <sheetName val="FORM-0"/>
      <sheetName val="교통안전시설집계표"/>
      <sheetName val="인원배치"/>
      <sheetName val="환경평가"/>
      <sheetName val="인구"/>
      <sheetName val="load"/>
      <sheetName val="원"/>
      <sheetName val="#4 PSV"/>
      <sheetName val="직접경비호표"/>
      <sheetName val="1공구원가계산서"/>
      <sheetName val="인입관수량총괄"/>
      <sheetName val="진입로 지세할증산출(다사분기)"/>
      <sheetName val=" FURNACE현설"/>
      <sheetName val="지역별수출"/>
      <sheetName val="효동종합건설(주)"/>
      <sheetName val="공사비예"/>
      <sheetName val="6.간접공사비 外"/>
      <sheetName val="부하자료"/>
      <sheetName val="집 계 표"/>
      <sheetName val="기본가정"/>
      <sheetName val="조경수목"/>
      <sheetName val="퇴직공제부금"/>
      <sheetName val="평균노임"/>
      <sheetName val="일용노무비지급명세서(7)"/>
      <sheetName val="중기가동(7)"/>
      <sheetName val="발주참고#"/>
      <sheetName val="토목-물가"/>
      <sheetName val="Manmonth(입력)"/>
      <sheetName val="간접비 총괄표"/>
      <sheetName val="산출근거(수정)"/>
      <sheetName val="산출서양식01"/>
      <sheetName val="관로조서"/>
      <sheetName val="제조원가"/>
      <sheetName val="설비원가"/>
      <sheetName val="유입량"/>
      <sheetName val="99년하반기"/>
      <sheetName val="4.1DNR기계(공법)"/>
      <sheetName val="F4-F7"/>
      <sheetName val="A5"/>
      <sheetName val="주안3차A-A"/>
      <sheetName val="국도접속_차도부수량"/>
      <sheetName val="연결관수량_(2)"/>
      <sheetName val="2004일위대가"/>
      <sheetName val="기준단가현황"/>
      <sheetName val="공사개요(입력)"/>
      <sheetName val="마스터"/>
      <sheetName val="출자한도"/>
      <sheetName val="ELEC"/>
      <sheetName val="직접재료비데이타"/>
      <sheetName val="______PROJECT_hb___1__________2"/>
      <sheetName val="집행내역(190403)"/>
      <sheetName val="환율및유가"/>
      <sheetName val="일반전기(가설, 접지)"/>
      <sheetName val="총괄철근집계표"/>
      <sheetName val="현장관리"/>
      <sheetName val="가동보내역"/>
      <sheetName val="M"/>
      <sheetName val="가동보수량"/>
      <sheetName val="밴딩"/>
      <sheetName val="건설산출"/>
      <sheetName val="4_䠀"/>
      <sheetName val="4쌇栅_"/>
      <sheetName val="_YES.XLS__YES.XLS_4_䠀"/>
      <sheetName val="_YES.XLS__YES.XLS_4쌇栅_"/>
      <sheetName val="신표司_"/>
      <sheetName val="_YES.XLS__YES.XLS_신표司_"/>
      <sheetName val="______"/>
      <sheetName val="_YES.XLS__YES.XLS__YES.XLS_신표司_"/>
      <sheetName val="_YES.XLS_신표司_"/>
      <sheetName val="_YES.XLS__YES.XLS__YES.XLS_4_䠀"/>
      <sheetName val="_YES.XLS__YES.XLS__YES.XLS_4쌇栅_"/>
      <sheetName val="_"/>
      <sheetName val="_YES.XLS_4_䠀"/>
      <sheetName val="_YES.XLS_4쌇栅_"/>
      <sheetName val="갑지(쐂饣_"/>
      <sheetName val="갑지(쐃_"/>
      <sheetName val="갑지(쐎_"/>
      <sheetName val="하도급선정의뢰佘_ߍ恽⿹"/>
      <sheetName val="뜃맟뭁돽띿맟_-BLDG"/>
      <sheetName val="몰탈쐀_"/>
      <sheetName val="도급예정1犢呄_"/>
      <sheetName val="도급예정1犢_"/>
      <sheetName val="도급예정1犢ፄ_"/>
      <sheetName val="사기도장"/>
      <sheetName val="내역서1999_8최종2"/>
      <sheetName val="2_토목공사2"/>
      <sheetName val="_상부공통집계(총괄)2"/>
      <sheetName val="경율산정_XLS1"/>
      <sheetName val="2_대외공문1"/>
      <sheetName val="1_토공1"/>
      <sheetName val="GT_1050x6501"/>
      <sheetName val="주공_갑지1"/>
      <sheetName val="Bldg_Brkdown1"/>
      <sheetName val="12)아이디어_목록_및_개략평가1"/>
      <sheetName val="11)VE_예비검토서1"/>
      <sheetName val="15-3)VE제안서(가치향상_등)1"/>
      <sheetName val="IMF_Code"/>
      <sheetName val="Gia_VLNCMTC"/>
      <sheetName val="현장관리비_산출내역"/>
      <sheetName val="1_일위대가"/>
      <sheetName val="C1_공사개요"/>
      <sheetName val="A1_스케쥴"/>
      <sheetName val="코스모공장_(어음)"/>
      <sheetName val="수목조서_"/>
      <sheetName val="중량"/>
      <sheetName val="공내역서"/>
      <sheetName val="타동명"/>
      <sheetName val="타진명-갑지"/>
      <sheetName val="타진명-2"/>
      <sheetName val="타영시스템"/>
      <sheetName val="실적공사비"/>
      <sheetName val="장비기준"/>
      <sheetName val="최종내역"/>
      <sheetName val="산출1"/>
      <sheetName val="노임자재"/>
      <sheetName val="회사명참고"/>
      <sheetName val="2.2.10.샤시등"/>
      <sheetName val="그림모음"/>
      <sheetName val="13.접속슬래브"/>
      <sheetName val="라"/>
      <sheetName val="마)"/>
      <sheetName val="삭제금지단가"/>
      <sheetName val="슬래브일반"/>
      <sheetName val="견적(02_07)"/>
      <sheetName val="4_고용보험"/>
      <sheetName val="맨홀-오수"/>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ow r="1">
          <cell r="A1" t="str">
            <v>시멘트,모래,자갈 산출표</v>
          </cell>
        </row>
      </sheetData>
      <sheetData sheetId="572" refreshError="1"/>
      <sheetData sheetId="573">
        <row r="1">
          <cell r="A1" t="str">
            <v>시멘트,모래,자갈 산출표</v>
          </cell>
        </row>
      </sheetData>
      <sheetData sheetId="574">
        <row r="1">
          <cell r="A1" t="str">
            <v>시멘트,모래,자갈 산출표</v>
          </cell>
        </row>
      </sheetData>
      <sheetData sheetId="575">
        <row r="1">
          <cell r="A1" t="str">
            <v>시멘트,모래,자갈 산출표</v>
          </cell>
        </row>
      </sheetData>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ow r="1">
          <cell r="A1" t="str">
            <v>시멘트,모래,자갈 산출표</v>
          </cell>
        </row>
      </sheetData>
      <sheetData sheetId="591" refreshError="1"/>
      <sheetData sheetId="592" refreshError="1"/>
      <sheetData sheetId="593" refreshError="1"/>
      <sheetData sheetId="594" refreshError="1"/>
      <sheetData sheetId="595" refreshError="1"/>
      <sheetData sheetId="596" refreshError="1"/>
      <sheetData sheetId="597" refreshError="1"/>
      <sheetData sheetId="598">
        <row r="1">
          <cell r="A1" t="str">
            <v>시멘트,모래,자갈 산출표</v>
          </cell>
        </row>
      </sheetData>
      <sheetData sheetId="599">
        <row r="1">
          <cell r="A1" t="str">
            <v>시멘트,모래,자갈 산출표</v>
          </cell>
        </row>
      </sheetData>
      <sheetData sheetId="600">
        <row r="1">
          <cell r="A1" t="str">
            <v>시멘트,모래,자갈 산출표</v>
          </cell>
        </row>
      </sheetData>
      <sheetData sheetId="601">
        <row r="1">
          <cell r="A1" t="str">
            <v>시멘트,모래,자갈 산출표</v>
          </cell>
        </row>
      </sheetData>
      <sheetData sheetId="602">
        <row r="1">
          <cell r="A1" t="str">
            <v>시멘트,모래,자갈 산출표</v>
          </cell>
        </row>
      </sheetData>
      <sheetData sheetId="603">
        <row r="1">
          <cell r="A1" t="str">
            <v>시멘트,모래,자갈 산출표</v>
          </cell>
        </row>
      </sheetData>
      <sheetData sheetId="604">
        <row r="1">
          <cell r="A1" t="str">
            <v>시멘트,모래,자갈 산출표</v>
          </cell>
        </row>
      </sheetData>
      <sheetData sheetId="605">
        <row r="1">
          <cell r="A1" t="str">
            <v>시멘트,모래,자갈 산출표</v>
          </cell>
        </row>
      </sheetData>
      <sheetData sheetId="606">
        <row r="1">
          <cell r="A1" t="str">
            <v>시멘트,모래,자갈 산출표</v>
          </cell>
        </row>
      </sheetData>
      <sheetData sheetId="607">
        <row r="1">
          <cell r="A1" t="str">
            <v>시멘트,모래,자갈 산출표</v>
          </cell>
        </row>
      </sheetData>
      <sheetData sheetId="608">
        <row r="1">
          <cell r="A1" t="str">
            <v>시멘트,모래,자갈 산출표</v>
          </cell>
        </row>
      </sheetData>
      <sheetData sheetId="609">
        <row r="1">
          <cell r="A1" t="str">
            <v>시멘트,모래,자갈 산출표</v>
          </cell>
        </row>
      </sheetData>
      <sheetData sheetId="610">
        <row r="1">
          <cell r="A1" t="str">
            <v>시멘트,모래,자갈 산출표</v>
          </cell>
        </row>
      </sheetData>
      <sheetData sheetId="611">
        <row r="1">
          <cell r="A1" t="str">
            <v>시멘트,모래,자갈 산출표</v>
          </cell>
        </row>
      </sheetData>
      <sheetData sheetId="612">
        <row r="1">
          <cell r="A1" t="str">
            <v>시멘트,모래,자갈 산출표</v>
          </cell>
        </row>
      </sheetData>
      <sheetData sheetId="613">
        <row r="1">
          <cell r="A1" t="str">
            <v>시멘트,모래,자갈 산출표</v>
          </cell>
        </row>
      </sheetData>
      <sheetData sheetId="614">
        <row r="1">
          <cell r="A1" t="str">
            <v>시멘트,모래,자갈 산출표</v>
          </cell>
        </row>
      </sheetData>
      <sheetData sheetId="615">
        <row r="1">
          <cell r="A1" t="str">
            <v>시멘트,모래,자갈 산출표</v>
          </cell>
        </row>
      </sheetData>
      <sheetData sheetId="616">
        <row r="1">
          <cell r="A1" t="str">
            <v>시멘트,모래,자갈 산출표</v>
          </cell>
        </row>
      </sheetData>
      <sheetData sheetId="617">
        <row r="1">
          <cell r="A1" t="str">
            <v>시멘트,모래,자갈 산출표</v>
          </cell>
        </row>
      </sheetData>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ow r="1">
          <cell r="A1" t="str">
            <v>시멘트,모래,자갈 산출표</v>
          </cell>
        </row>
      </sheetData>
      <sheetData sheetId="627">
        <row r="1">
          <cell r="A1" t="str">
            <v>시멘트,모래,자갈 산출표</v>
          </cell>
        </row>
      </sheetData>
      <sheetData sheetId="628">
        <row r="1">
          <cell r="A1" t="str">
            <v>시멘트,모래,자갈 산출표</v>
          </cell>
        </row>
      </sheetData>
      <sheetData sheetId="629">
        <row r="1">
          <cell r="A1" t="str">
            <v>시멘트,모래,자갈 산출표</v>
          </cell>
        </row>
      </sheetData>
      <sheetData sheetId="630">
        <row r="1">
          <cell r="A1" t="str">
            <v>시멘트,모래,자갈 산출표</v>
          </cell>
        </row>
      </sheetData>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ow r="1">
          <cell r="A1" t="str">
            <v>시멘트,모래,자갈 산출표</v>
          </cell>
        </row>
      </sheetData>
      <sheetData sheetId="709">
        <row r="1">
          <cell r="A1" t="str">
            <v>시멘트,모래,자갈 산출표</v>
          </cell>
        </row>
      </sheetData>
      <sheetData sheetId="710">
        <row r="1">
          <cell r="A1" t="str">
            <v>시멘트,모래,자갈 산출표</v>
          </cell>
        </row>
      </sheetData>
      <sheetData sheetId="711">
        <row r="1">
          <cell r="A1" t="str">
            <v>시멘트,모래,자갈 산출표</v>
          </cell>
        </row>
      </sheetData>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ow r="1">
          <cell r="A1" t="str">
            <v>시멘트,모래,자갈 산출표</v>
          </cell>
        </row>
      </sheetData>
      <sheetData sheetId="762">
        <row r="1">
          <cell r="A1" t="str">
            <v>시멘트,모래,자갈 산출표</v>
          </cell>
        </row>
      </sheetData>
      <sheetData sheetId="763">
        <row r="1">
          <cell r="A1" t="str">
            <v>시멘트,모래,자갈 산출표</v>
          </cell>
        </row>
      </sheetData>
      <sheetData sheetId="764">
        <row r="1">
          <cell r="A1" t="str">
            <v>시멘트,모래,자갈 산출표</v>
          </cell>
        </row>
      </sheetData>
      <sheetData sheetId="765">
        <row r="1">
          <cell r="A1" t="str">
            <v>시멘트,모래,자갈 산출표</v>
          </cell>
        </row>
      </sheetData>
      <sheetData sheetId="766">
        <row r="1">
          <cell r="A1" t="str">
            <v>시멘트,모래,자갈 산출표</v>
          </cell>
        </row>
      </sheetData>
      <sheetData sheetId="767">
        <row r="1">
          <cell r="A1" t="str">
            <v>시멘트,모래,자갈 산출표</v>
          </cell>
        </row>
      </sheetData>
      <sheetData sheetId="768">
        <row r="1">
          <cell r="A1" t="str">
            <v>시멘트,모래,자갈 산출표</v>
          </cell>
        </row>
      </sheetData>
      <sheetData sheetId="769">
        <row r="1">
          <cell r="A1" t="str">
            <v>시멘트,모래,자갈 산출표</v>
          </cell>
        </row>
      </sheetData>
      <sheetData sheetId="770">
        <row r="1">
          <cell r="A1" t="str">
            <v>시멘트,모래,자갈 산출표</v>
          </cell>
        </row>
      </sheetData>
      <sheetData sheetId="771">
        <row r="1">
          <cell r="A1" t="str">
            <v>시멘트,모래,자갈 산출표</v>
          </cell>
        </row>
      </sheetData>
      <sheetData sheetId="772">
        <row r="1">
          <cell r="A1" t="str">
            <v>시멘트,모래,자갈 산출표</v>
          </cell>
        </row>
      </sheetData>
      <sheetData sheetId="773">
        <row r="1">
          <cell r="A1" t="str">
            <v>시멘트,모래,자갈 산출표</v>
          </cell>
        </row>
      </sheetData>
      <sheetData sheetId="774">
        <row r="1">
          <cell r="A1" t="str">
            <v>시멘트,모래,자갈 산출표</v>
          </cell>
        </row>
      </sheetData>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ow r="1">
          <cell r="A1" t="str">
            <v>시멘트,모래,자갈 산출표</v>
          </cell>
        </row>
      </sheetData>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ow r="1">
          <cell r="A1" t="str">
            <v>시멘트,모래,자갈 산출표</v>
          </cell>
        </row>
      </sheetData>
      <sheetData sheetId="886">
        <row r="1">
          <cell r="A1" t="str">
            <v>시멘트,모래,자갈 산출표</v>
          </cell>
        </row>
      </sheetData>
      <sheetData sheetId="887">
        <row r="1">
          <cell r="A1" t="str">
            <v>시멘트,모래,자갈 산출표</v>
          </cell>
        </row>
      </sheetData>
      <sheetData sheetId="888">
        <row r="1">
          <cell r="A1" t="str">
            <v>시멘트,모래,자갈 산출표</v>
          </cell>
        </row>
      </sheetData>
      <sheetData sheetId="889">
        <row r="1">
          <cell r="A1" t="str">
            <v>시멘트,모래,자갈 산출표</v>
          </cell>
        </row>
      </sheetData>
      <sheetData sheetId="890">
        <row r="1">
          <cell r="A1" t="str">
            <v>시멘트,모래,자갈 산출표</v>
          </cell>
        </row>
      </sheetData>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ow r="1">
          <cell r="A1" t="str">
            <v>시멘트,모래,자갈 산출표</v>
          </cell>
        </row>
      </sheetData>
      <sheetData sheetId="903">
        <row r="1">
          <cell r="A1" t="str">
            <v>시멘트,모래,자갈 산출표</v>
          </cell>
        </row>
      </sheetData>
      <sheetData sheetId="904">
        <row r="1">
          <cell r="A1" t="str">
            <v>시멘트,모래,자갈 산출표</v>
          </cell>
        </row>
      </sheetData>
      <sheetData sheetId="905">
        <row r="1">
          <cell r="A1" t="str">
            <v>시멘트,모래,자갈 산출표</v>
          </cell>
        </row>
      </sheetData>
      <sheetData sheetId="906">
        <row r="1">
          <cell r="A1" t="str">
            <v>시멘트,모래,자갈 산출표</v>
          </cell>
        </row>
      </sheetData>
      <sheetData sheetId="907">
        <row r="1">
          <cell r="A1" t="str">
            <v>시멘트,모래,자갈 산출표</v>
          </cell>
        </row>
      </sheetData>
      <sheetData sheetId="908">
        <row r="1">
          <cell r="A1" t="str">
            <v>시멘트,모래,자갈 산출표</v>
          </cell>
        </row>
      </sheetData>
      <sheetData sheetId="909">
        <row r="1">
          <cell r="A1" t="str">
            <v>시멘트,모래,자갈 산출표</v>
          </cell>
        </row>
      </sheetData>
      <sheetData sheetId="910">
        <row r="1">
          <cell r="A1" t="str">
            <v>시멘트,모래,자갈 산출표</v>
          </cell>
        </row>
      </sheetData>
      <sheetData sheetId="911">
        <row r="1">
          <cell r="A1" t="str">
            <v>시멘트,모래,자갈 산출표</v>
          </cell>
        </row>
      </sheetData>
      <sheetData sheetId="912">
        <row r="1">
          <cell r="A1" t="str">
            <v>시멘트,모래,자갈 산출표</v>
          </cell>
        </row>
      </sheetData>
      <sheetData sheetId="913">
        <row r="1">
          <cell r="A1" t="str">
            <v>시멘트,모래,자갈 산출표</v>
          </cell>
        </row>
      </sheetData>
      <sheetData sheetId="914">
        <row r="1">
          <cell r="A1" t="str">
            <v>시멘트,모래,자갈 산출표</v>
          </cell>
        </row>
      </sheetData>
      <sheetData sheetId="915">
        <row r="1">
          <cell r="A1" t="str">
            <v>시멘트,모래,자갈 산출표</v>
          </cell>
        </row>
      </sheetData>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ow r="1">
          <cell r="A1" t="str">
            <v>시멘트,모래,자갈 산출표</v>
          </cell>
        </row>
      </sheetData>
      <sheetData sheetId="945">
        <row r="1">
          <cell r="A1" t="str">
            <v>시멘트,모래,자갈 산출표</v>
          </cell>
        </row>
      </sheetData>
      <sheetData sheetId="946">
        <row r="1">
          <cell r="A1" t="str">
            <v>시멘트,모래,자갈 산출표</v>
          </cell>
        </row>
      </sheetData>
      <sheetData sheetId="947">
        <row r="1">
          <cell r="A1" t="str">
            <v>시멘트,모래,자갈 산출표</v>
          </cell>
        </row>
      </sheetData>
      <sheetData sheetId="948">
        <row r="1">
          <cell r="A1" t="str">
            <v>시멘트,모래,자갈 산출표</v>
          </cell>
        </row>
      </sheetData>
      <sheetData sheetId="949">
        <row r="1">
          <cell r="A1" t="str">
            <v>시멘트,모래,자갈 산출표</v>
          </cell>
        </row>
      </sheetData>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ow r="1">
          <cell r="A1" t="str">
            <v>시멘트,모래,자갈 산출표</v>
          </cell>
        </row>
      </sheetData>
      <sheetData sheetId="968">
        <row r="1">
          <cell r="A1" t="str">
            <v>시멘트,모래,자갈 산출표</v>
          </cell>
        </row>
      </sheetData>
      <sheetData sheetId="969">
        <row r="1">
          <cell r="A1" t="str">
            <v>시멘트,모래,자갈 산출표</v>
          </cell>
        </row>
      </sheetData>
      <sheetData sheetId="970">
        <row r="1">
          <cell r="A1" t="str">
            <v>시멘트,모래,자갈 산출표</v>
          </cell>
        </row>
      </sheetData>
      <sheetData sheetId="971">
        <row r="1">
          <cell r="A1" t="str">
            <v>시멘트,모래,자갈 산출표</v>
          </cell>
        </row>
      </sheetData>
      <sheetData sheetId="972">
        <row r="1">
          <cell r="A1" t="str">
            <v>시멘트,모래,자갈 산출표</v>
          </cell>
        </row>
      </sheetData>
      <sheetData sheetId="973">
        <row r="1">
          <cell r="A1" t="str">
            <v>시멘트,모래,자갈 산출표</v>
          </cell>
        </row>
      </sheetData>
      <sheetData sheetId="974">
        <row r="1">
          <cell r="A1" t="str">
            <v>시멘트,모래,자갈 산출표</v>
          </cell>
        </row>
      </sheetData>
      <sheetData sheetId="975">
        <row r="1">
          <cell r="A1" t="str">
            <v>시멘트,모래,자갈 산출표</v>
          </cell>
        </row>
      </sheetData>
      <sheetData sheetId="976">
        <row r="1">
          <cell r="A1" t="str">
            <v>시멘트,모래,자갈 산출표</v>
          </cell>
        </row>
      </sheetData>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sheetData sheetId="1041"/>
      <sheetData sheetId="1042"/>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sheetData sheetId="1274" refreshError="1"/>
      <sheetData sheetId="1275" refreshError="1"/>
      <sheetData sheetId="1276" refreshError="1"/>
      <sheetData sheetId="1277" refreshError="1"/>
      <sheetData sheetId="1278"/>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sheetData sheetId="1297"/>
      <sheetData sheetId="1298"/>
      <sheetData sheetId="1299"/>
      <sheetData sheetId="1300"/>
      <sheetData sheetId="1301" refreshError="1"/>
      <sheetData sheetId="1302" refreshError="1"/>
      <sheetData sheetId="1303" refreshError="1"/>
      <sheetData sheetId="1304" refreshError="1"/>
      <sheetData sheetId="1305" refreshError="1"/>
      <sheetData sheetId="1306" refreshError="1"/>
      <sheetData sheetId="1307" refreshError="1"/>
      <sheetData sheetId="1308"/>
      <sheetData sheetId="1309"/>
      <sheetData sheetId="1310"/>
      <sheetData sheetId="1311"/>
      <sheetData sheetId="1312"/>
      <sheetData sheetId="1313" refreshError="1"/>
      <sheetData sheetId="1314" refreshError="1"/>
      <sheetData sheetId="1315" refreshError="1"/>
      <sheetData sheetId="1316" refreshError="1"/>
      <sheetData sheetId="1317" refreshError="1"/>
      <sheetData sheetId="1318"/>
      <sheetData sheetId="1319" refreshError="1"/>
      <sheetData sheetId="1320" refreshError="1"/>
      <sheetData sheetId="1321" refreshError="1"/>
      <sheetData sheetId="1322" refreshError="1"/>
      <sheetData sheetId="1323"/>
      <sheetData sheetId="1324" refreshError="1"/>
      <sheetData sheetId="1325" refreshError="1"/>
      <sheetData sheetId="1326"/>
      <sheetData sheetId="1327"/>
      <sheetData sheetId="1328"/>
      <sheetData sheetId="1329"/>
      <sheetData sheetId="1330"/>
      <sheetData sheetId="1331"/>
      <sheetData sheetId="1332"/>
      <sheetData sheetId="1333" refreshError="1"/>
      <sheetData sheetId="1334" refreshError="1"/>
      <sheetData sheetId="1335" refreshError="1"/>
      <sheetData sheetId="1336"/>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sheetData sheetId="1377" refreshError="1"/>
      <sheetData sheetId="1378" refreshError="1"/>
      <sheetData sheetId="1379" refreshError="1"/>
      <sheetData sheetId="1380"/>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sheetData sheetId="1401"/>
      <sheetData sheetId="1402"/>
      <sheetData sheetId="1403"/>
      <sheetData sheetId="1404"/>
      <sheetData sheetId="1405" refreshError="1"/>
      <sheetData sheetId="1406" refreshError="1"/>
      <sheetData sheetId="1407" refreshError="1"/>
      <sheetData sheetId="1408" refreshError="1"/>
      <sheetData sheetId="1409"/>
      <sheetData sheetId="1410"/>
      <sheetData sheetId="141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sheetData sheetId="1432" refreshError="1"/>
      <sheetData sheetId="1433" refreshError="1"/>
      <sheetData sheetId="1434" refreshError="1"/>
      <sheetData sheetId="1435" refreshError="1"/>
      <sheetData sheetId="1436"/>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sheetData sheetId="1593" refreshError="1"/>
      <sheetData sheetId="1594"/>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sheetData sheetId="1663"/>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sheetData sheetId="1720"/>
      <sheetData sheetId="1721"/>
      <sheetData sheetId="1722"/>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sheetData sheetId="2665"/>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sheetData sheetId="2820"/>
      <sheetData sheetId="2821"/>
      <sheetData sheetId="2822"/>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sheetData sheetId="3336" refreshError="1"/>
      <sheetData sheetId="3337" refreshError="1"/>
      <sheetData sheetId="3338" refreshError="1"/>
      <sheetData sheetId="3339"/>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sheetData sheetId="3987"/>
      <sheetData sheetId="3988"/>
      <sheetData sheetId="3989" refreshError="1"/>
      <sheetData sheetId="3990" refreshError="1"/>
      <sheetData sheetId="3991" refreshError="1"/>
      <sheetData sheetId="3992"/>
      <sheetData sheetId="3993"/>
      <sheetData sheetId="3994"/>
      <sheetData sheetId="3995"/>
      <sheetData sheetId="3996" refreshError="1"/>
      <sheetData sheetId="3997" refreshError="1"/>
      <sheetData sheetId="3998" refreshError="1"/>
      <sheetData sheetId="3999" refreshError="1"/>
      <sheetData sheetId="4000"/>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sheetData sheetId="4212"/>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sheetData sheetId="4554"/>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sheetData sheetId="4760"/>
      <sheetData sheetId="4761" refreshError="1"/>
      <sheetData sheetId="4762" refreshError="1"/>
      <sheetData sheetId="4763" refreshError="1"/>
      <sheetData sheetId="4764"/>
      <sheetData sheetId="4765"/>
      <sheetData sheetId="4766"/>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sheetData sheetId="478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ow r="1">
          <cell r="A1" t="str">
            <v>시멘트,모래,자갈 산출표</v>
          </cell>
        </row>
      </sheetData>
      <sheetData sheetId="4845">
        <row r="1">
          <cell r="A1" t="str">
            <v>시멘트,모래,자갈 산출표</v>
          </cell>
        </row>
      </sheetData>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ow r="1">
          <cell r="A1" t="str">
            <v>시멘트,모래,자갈 산출표</v>
          </cell>
        </row>
      </sheetData>
      <sheetData sheetId="4870">
        <row r="1">
          <cell r="A1" t="str">
            <v>시멘트,모래,자갈 산출표</v>
          </cell>
        </row>
      </sheetData>
      <sheetData sheetId="4871">
        <row r="1">
          <cell r="A1" t="str">
            <v>시멘트,모래,자갈 산출표</v>
          </cell>
        </row>
      </sheetData>
      <sheetData sheetId="4872">
        <row r="1">
          <cell r="A1" t="str">
            <v>시멘트,모래,자갈 산출표</v>
          </cell>
        </row>
      </sheetData>
      <sheetData sheetId="4873">
        <row r="1">
          <cell r="A1" t="str">
            <v>시멘트,모래,자갈 산출표</v>
          </cell>
        </row>
      </sheetData>
      <sheetData sheetId="4874">
        <row r="1">
          <cell r="A1" t="str">
            <v>시멘트,모래,자갈 산출표</v>
          </cell>
        </row>
      </sheetData>
      <sheetData sheetId="4875">
        <row r="1">
          <cell r="A1" t="str">
            <v>시멘트,모래,자갈 산출표</v>
          </cell>
        </row>
      </sheetData>
      <sheetData sheetId="4876">
        <row r="1">
          <cell r="A1" t="str">
            <v>시멘트,모래,자갈 산출표</v>
          </cell>
        </row>
      </sheetData>
      <sheetData sheetId="4877">
        <row r="1">
          <cell r="A1" t="str">
            <v>시멘트,모래,자갈 산출표</v>
          </cell>
        </row>
      </sheetData>
      <sheetData sheetId="4878">
        <row r="1">
          <cell r="A1" t="str">
            <v>시멘트,모래,자갈 산출표</v>
          </cell>
        </row>
      </sheetData>
      <sheetData sheetId="4879">
        <row r="1">
          <cell r="A1" t="str">
            <v>시멘트,모래,자갈 산출표</v>
          </cell>
        </row>
      </sheetData>
      <sheetData sheetId="4880">
        <row r="1">
          <cell r="A1" t="str">
            <v>시멘트,모래,자갈 산출표</v>
          </cell>
        </row>
      </sheetData>
      <sheetData sheetId="4881">
        <row r="1">
          <cell r="A1" t="str">
            <v>시멘트,모래,자갈 산출표</v>
          </cell>
        </row>
      </sheetData>
      <sheetData sheetId="4882">
        <row r="1">
          <cell r="A1" t="str">
            <v>시멘트,모래,자갈 산출표</v>
          </cell>
        </row>
      </sheetData>
      <sheetData sheetId="4883">
        <row r="1">
          <cell r="A1" t="str">
            <v>시멘트,모래,자갈 산출표</v>
          </cell>
        </row>
      </sheetData>
      <sheetData sheetId="4884"/>
      <sheetData sheetId="4885">
        <row r="1">
          <cell r="A1" t="str">
            <v>시멘트,모래,자갈 산출표</v>
          </cell>
        </row>
      </sheetData>
      <sheetData sheetId="4886">
        <row r="1">
          <cell r="A1" t="str">
            <v>시멘트,모래,자갈 산출표</v>
          </cell>
        </row>
      </sheetData>
      <sheetData sheetId="4887">
        <row r="1">
          <cell r="A1" t="str">
            <v>시멘트,모래,자갈 산출표</v>
          </cell>
        </row>
      </sheetData>
      <sheetData sheetId="4888">
        <row r="1">
          <cell r="A1" t="str">
            <v>시멘트,모래,자갈 산출표</v>
          </cell>
        </row>
      </sheetData>
      <sheetData sheetId="4889">
        <row r="1">
          <cell r="A1" t="str">
            <v>시멘트,모래,자갈 산출표</v>
          </cell>
        </row>
      </sheetData>
      <sheetData sheetId="4890">
        <row r="1">
          <cell r="A1" t="str">
            <v>시멘트,모래,자갈 산출표</v>
          </cell>
        </row>
      </sheetData>
      <sheetData sheetId="4891">
        <row r="1">
          <cell r="A1" t="str">
            <v>시멘트,모래,자갈 산출표</v>
          </cell>
        </row>
      </sheetData>
      <sheetData sheetId="4892">
        <row r="1">
          <cell r="A1" t="str">
            <v>시멘트,모래,자갈 산출표</v>
          </cell>
        </row>
      </sheetData>
      <sheetData sheetId="4893">
        <row r="1">
          <cell r="A1" t="str">
            <v>시멘트,모래,자갈 산출표</v>
          </cell>
        </row>
      </sheetData>
      <sheetData sheetId="4894">
        <row r="1">
          <cell r="A1" t="str">
            <v>시멘트,모래,자갈 산출표</v>
          </cell>
        </row>
      </sheetData>
      <sheetData sheetId="4895">
        <row r="1">
          <cell r="A1" t="str">
            <v>시멘트,모래,자갈 산출표</v>
          </cell>
        </row>
      </sheetData>
      <sheetData sheetId="4896">
        <row r="1">
          <cell r="A1" t="str">
            <v>시멘트,모래,자갈 산출표</v>
          </cell>
        </row>
      </sheetData>
      <sheetData sheetId="4897">
        <row r="1">
          <cell r="A1" t="str">
            <v>시멘트,모래,자갈 산출표</v>
          </cell>
        </row>
      </sheetData>
      <sheetData sheetId="4898">
        <row r="1">
          <cell r="A1" t="str">
            <v>시멘트,모래,자갈 산출표</v>
          </cell>
        </row>
      </sheetData>
      <sheetData sheetId="4899">
        <row r="1">
          <cell r="A1" t="str">
            <v>시멘트,모래,자갈 산출표</v>
          </cell>
        </row>
      </sheetData>
      <sheetData sheetId="4900">
        <row r="1">
          <cell r="A1" t="str">
            <v>시멘트,모래,자갈 산출표</v>
          </cell>
        </row>
      </sheetData>
      <sheetData sheetId="4901">
        <row r="1">
          <cell r="A1" t="str">
            <v>시멘트,모래,자갈 산출표</v>
          </cell>
        </row>
      </sheetData>
      <sheetData sheetId="4902">
        <row r="1">
          <cell r="A1" t="str">
            <v>시멘트,모래,자갈 산출표</v>
          </cell>
        </row>
      </sheetData>
      <sheetData sheetId="4903">
        <row r="1">
          <cell r="A1" t="str">
            <v>시멘트,모래,자갈 산출표</v>
          </cell>
        </row>
      </sheetData>
      <sheetData sheetId="4904">
        <row r="1">
          <cell r="A1" t="str">
            <v>시멘트,모래,자갈 산출표</v>
          </cell>
        </row>
      </sheetData>
      <sheetData sheetId="4905">
        <row r="1">
          <cell r="A1" t="str">
            <v>시멘트,모래,자갈 산출표</v>
          </cell>
        </row>
      </sheetData>
      <sheetData sheetId="4906">
        <row r="1">
          <cell r="A1" t="str">
            <v>시멘트,모래,자갈 산출표</v>
          </cell>
        </row>
      </sheetData>
      <sheetData sheetId="4907">
        <row r="1">
          <cell r="A1" t="str">
            <v>시멘트,모래,자갈 산출표</v>
          </cell>
        </row>
      </sheetData>
      <sheetData sheetId="4908">
        <row r="1">
          <cell r="A1" t="str">
            <v>시멘트,모래,자갈 산출표</v>
          </cell>
        </row>
      </sheetData>
      <sheetData sheetId="4909">
        <row r="1">
          <cell r="A1" t="str">
            <v>시멘트,모래,자갈 산출표</v>
          </cell>
        </row>
      </sheetData>
      <sheetData sheetId="4910">
        <row r="1">
          <cell r="A1" t="str">
            <v>시멘트,모래,자갈 산출표</v>
          </cell>
        </row>
      </sheetData>
      <sheetData sheetId="4911">
        <row r="1">
          <cell r="A1" t="str">
            <v>시멘트,모래,자갈 산출표</v>
          </cell>
        </row>
      </sheetData>
      <sheetData sheetId="4912">
        <row r="1">
          <cell r="A1" t="str">
            <v>시멘트,모래,자갈 산출표</v>
          </cell>
        </row>
      </sheetData>
      <sheetData sheetId="4913">
        <row r="1">
          <cell r="A1" t="str">
            <v>시멘트,모래,자갈 산출표</v>
          </cell>
        </row>
      </sheetData>
      <sheetData sheetId="4914">
        <row r="1">
          <cell r="A1" t="str">
            <v>시멘트,모래,자갈 산출표</v>
          </cell>
        </row>
      </sheetData>
      <sheetData sheetId="4915">
        <row r="1">
          <cell r="A1" t="str">
            <v>시멘트,모래,자갈 산출표</v>
          </cell>
        </row>
      </sheetData>
      <sheetData sheetId="4916">
        <row r="1">
          <cell r="A1" t="str">
            <v>시멘트,모래,자갈 산출표</v>
          </cell>
        </row>
      </sheetData>
      <sheetData sheetId="4917">
        <row r="1">
          <cell r="A1" t="str">
            <v>시멘트,모래,자갈 산출표</v>
          </cell>
        </row>
      </sheetData>
      <sheetData sheetId="4918">
        <row r="1">
          <cell r="A1" t="str">
            <v>시멘트,모래,자갈 산출표</v>
          </cell>
        </row>
      </sheetData>
      <sheetData sheetId="4919">
        <row r="1">
          <cell r="A1" t="str">
            <v>시멘트,모래,자갈 산출표</v>
          </cell>
        </row>
      </sheetData>
      <sheetData sheetId="4920">
        <row r="1">
          <cell r="A1" t="str">
            <v>시멘트,모래,자갈 산출표</v>
          </cell>
        </row>
      </sheetData>
      <sheetData sheetId="4921">
        <row r="1">
          <cell r="A1" t="str">
            <v>시멘트,모래,자갈 산출표</v>
          </cell>
        </row>
      </sheetData>
      <sheetData sheetId="4922">
        <row r="1">
          <cell r="A1" t="str">
            <v>시멘트,모래,자갈 산출표</v>
          </cell>
        </row>
      </sheetData>
      <sheetData sheetId="4923">
        <row r="1">
          <cell r="A1" t="str">
            <v>시멘트,모래,자갈 산출표</v>
          </cell>
        </row>
      </sheetData>
      <sheetData sheetId="4924">
        <row r="1">
          <cell r="A1" t="str">
            <v>시멘트,모래,자갈 산출표</v>
          </cell>
        </row>
      </sheetData>
      <sheetData sheetId="4925">
        <row r="1">
          <cell r="A1" t="str">
            <v>시멘트,모래,자갈 산출표</v>
          </cell>
        </row>
      </sheetData>
      <sheetData sheetId="4926">
        <row r="1">
          <cell r="A1" t="str">
            <v>시멘트,모래,자갈 산출표</v>
          </cell>
        </row>
      </sheetData>
      <sheetData sheetId="4927">
        <row r="1">
          <cell r="A1" t="str">
            <v>시멘트,모래,자갈 산출표</v>
          </cell>
        </row>
      </sheetData>
      <sheetData sheetId="4928">
        <row r="1">
          <cell r="A1" t="str">
            <v>시멘트,모래,자갈 산출표</v>
          </cell>
        </row>
      </sheetData>
      <sheetData sheetId="4929">
        <row r="1">
          <cell r="A1" t="str">
            <v>시멘트,모래,자갈 산출표</v>
          </cell>
        </row>
      </sheetData>
      <sheetData sheetId="4930">
        <row r="1">
          <cell r="A1" t="str">
            <v>시멘트,모래,자갈 산출표</v>
          </cell>
        </row>
      </sheetData>
      <sheetData sheetId="4931">
        <row r="1">
          <cell r="A1" t="str">
            <v>시멘트,모래,자갈 산출표</v>
          </cell>
        </row>
      </sheetData>
      <sheetData sheetId="4932">
        <row r="1">
          <cell r="A1" t="str">
            <v>시멘트,모래,자갈 산출표</v>
          </cell>
        </row>
      </sheetData>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sheetData sheetId="6590"/>
      <sheetData sheetId="6591"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획"/>
      <sheetName val="설명"/>
      <sheetName val="기기배치도"/>
      <sheetName val="총괄"/>
      <sheetName val="자금"/>
      <sheetName val="예산"/>
      <sheetName val="설계"/>
      <sheetName val="품셈"/>
      <sheetName val="수량"/>
      <sheetName val="기별"/>
      <sheetName val="노임"/>
      <sheetName val="자재검수"/>
      <sheetName val="변경도면"/>
      <sheetName val="변경내역"/>
      <sheetName val="산출내역"/>
      <sheetName val="추가지입"/>
      <sheetName val="내역서"/>
      <sheetName val="품셈 (2)"/>
      <sheetName val="설계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서"/>
      <sheetName val="기별"/>
      <sheetName val="광주"/>
      <sheetName val="송탄"/>
      <sheetName val="평택"/>
      <sheetName val="이천"/>
      <sheetName val="화성"/>
      <sheetName val="용인"/>
      <sheetName val="성남"/>
      <sheetName val="광명"/>
      <sheetName val="안양"/>
      <sheetName val="설계"/>
      <sheetName val="정산"/>
      <sheetName val="기초자료입력"/>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초자료입력"/>
      <sheetName val="표 지"/>
      <sheetName val="계획서"/>
      <sheetName val="설명서"/>
      <sheetName val="예산서"/>
      <sheetName val="공정표"/>
      <sheetName val="설계명세서"/>
      <sheetName val="공량설계표"/>
      <sheetName val="출력창"/>
      <sheetName val="준공정산"/>
      <sheetName val="준공보고"/>
      <sheetName val="산출명세"/>
      <sheetName val="정산표지"/>
      <sheetName val="취득조서(취득)"/>
      <sheetName val="취득정산"/>
      <sheetName val="배분내역"/>
      <sheetName val="제각표지"/>
      <sheetName val="취득조서(제각)"/>
      <sheetName val="제각정산"/>
      <sheetName val="제각보고(을)"/>
      <sheetName val="간이공사"/>
      <sheetName val="간이예산"/>
      <sheetName val="간이준공보고"/>
      <sheetName val="일반시방서"/>
      <sheetName val="공종단가"/>
      <sheetName val="표준공종"/>
      <sheetName val="특기시방서"/>
      <sheetName val="사용방법"/>
      <sheetName val="Module1"/>
    </sheetNames>
    <sheetDataSet>
      <sheetData sheetId="0"/>
      <sheetData sheetId="1" refreshError="1"/>
      <sheetData sheetId="2"/>
      <sheetData sheetId="3">
        <row r="49">
          <cell r="D49">
            <v>1</v>
          </cell>
        </row>
      </sheetData>
      <sheetData sheetId="4"/>
      <sheetData sheetId="5" refreshError="1"/>
      <sheetData sheetId="6">
        <row r="7">
          <cell r="H7">
            <v>0</v>
          </cell>
        </row>
      </sheetData>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목차"/>
      <sheetName val="1.공사계획서"/>
      <sheetName val="2.설명서(통합보안)"/>
      <sheetName val="2-1.계통도"/>
      <sheetName val="3.총괄표"/>
      <sheetName val="4.자금계획서"/>
      <sheetName val="5.예정공정표"/>
      <sheetName val="6.공사비예산서(통합보안)"/>
      <sheetName val="집계표"/>
      <sheetName val="7.설계명세서(통합보안)"/>
      <sheetName val="8.공사비산출자료"/>
      <sheetName val="8-1.물량집계표"/>
      <sheetName val="8-2.자재산출표"/>
      <sheetName val="노드별 감지기 수용현황"/>
      <sheetName val="8-3.노무임적용물량"/>
      <sheetName val="8-4.동시포설품산출물량"/>
      <sheetName val="8-5.자재단가비교표"/>
      <sheetName val="견적서"/>
      <sheetName val="8-6.일위대가표"/>
      <sheetName val="8-7.노임단가"/>
      <sheetName val="8-8.적용근거"/>
      <sheetName val="9.시방서표지"/>
      <sheetName val="10.시설도면"/>
      <sheetName val="층별 시설수량"/>
      <sheetName val="RT 수용내역"/>
      <sheetName val="시설 배치도"/>
      <sheetName val="부표2_이동식비계(일위대가)"/>
      <sheetName val="말비계 단가표"/>
      <sheetName val="Map Table"/>
      <sheetName val="RTU선번"/>
      <sheetName val="화재입력선번"/>
      <sheetName val="카메라맵핑"/>
      <sheetName val="광통신망"/>
    </sheetNames>
    <sheetDataSet>
      <sheetData sheetId="0"/>
      <sheetData sheetId="1"/>
      <sheetData sheetId="2">
        <row r="3">
          <cell r="B3" t="str">
            <v xml:space="preserve"> 154kV 율북S/S 통합보안시스템</v>
          </cell>
        </row>
      </sheetData>
      <sheetData sheetId="3"/>
      <sheetData sheetId="4"/>
      <sheetData sheetId="5"/>
      <sheetData sheetId="6"/>
      <sheetData sheetId="7"/>
      <sheetData sheetId="8">
        <row r="13">
          <cell r="E13">
            <v>0</v>
          </cell>
        </row>
      </sheetData>
      <sheetData sheetId="9"/>
      <sheetData sheetId="10">
        <row r="5">
          <cell r="G5">
            <v>172292324</v>
          </cell>
        </row>
        <row r="6">
          <cell r="G6">
            <v>158307000</v>
          </cell>
        </row>
        <row r="57">
          <cell r="G57">
            <v>13985324</v>
          </cell>
        </row>
        <row r="225">
          <cell r="G225">
            <v>575761</v>
          </cell>
        </row>
        <row r="226">
          <cell r="G226">
            <v>1763153</v>
          </cell>
        </row>
        <row r="227">
          <cell r="G227">
            <v>2270154</v>
          </cell>
        </row>
        <row r="228">
          <cell r="G228">
            <v>216338</v>
          </cell>
        </row>
        <row r="229">
          <cell r="G229">
            <v>1160301</v>
          </cell>
        </row>
      </sheetData>
      <sheetData sheetId="11"/>
      <sheetData sheetId="12"/>
      <sheetData sheetId="13">
        <row r="12">
          <cell r="D12" t="str">
            <v>감시단말</v>
          </cell>
        </row>
      </sheetData>
      <sheetData sheetId="14"/>
      <sheetData sheetId="15"/>
      <sheetData sheetId="16"/>
      <sheetData sheetId="17"/>
      <sheetData sheetId="18"/>
      <sheetData sheetId="19">
        <row r="6">
          <cell r="N6">
            <v>89138</v>
          </cell>
        </row>
      </sheetData>
      <sheetData sheetId="20"/>
      <sheetData sheetId="21">
        <row r="51">
          <cell r="G51">
            <v>64433208</v>
          </cell>
        </row>
      </sheetData>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전문"/>
      <sheetName val="예산서"/>
      <sheetName val="사급분"/>
      <sheetName val="도급총괄"/>
      <sheetName val="설계예시"/>
      <sheetName val="세부내역"/>
      <sheetName val="단가목록"/>
      <sheetName val="자재집계"/>
      <sheetName val="평가데이터"/>
      <sheetName val="자재대"/>
      <sheetName val="건설산출"/>
      <sheetName val="기계경비(시간당)"/>
      <sheetName val="램머"/>
      <sheetName val="공종단가"/>
      <sheetName val="증감대비"/>
      <sheetName val="SG"/>
      <sheetName val="내역서01"/>
      <sheetName val="조명시설"/>
      <sheetName val="기초자료입력"/>
      <sheetName val="설계명세서"/>
      <sheetName val="찍기"/>
      <sheetName val="데이타"/>
      <sheetName val="효성CB 1P기초"/>
      <sheetName val="수량집계"/>
      <sheetName val="파일의이용"/>
      <sheetName val="단면가정"/>
      <sheetName val="내역서"/>
      <sheetName val="공사개요"/>
      <sheetName val="원가"/>
      <sheetName val="일위대가 "/>
      <sheetName val="단가 (2)"/>
      <sheetName val="계양가시설"/>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인입기별명세"/>
      <sheetName val="인입요청"/>
      <sheetName val="설계명세서"/>
      <sheetName val="광종합기별 "/>
      <sheetName val="동축종합기별"/>
      <sheetName val="준공수량비교"/>
      <sheetName val="정산설명서"/>
      <sheetName val="준공검사보고서"/>
      <sheetName val="기준단가산출표"/>
      <sheetName val="#7일위대가"/>
      <sheetName val="정산설명서 1차미정산"/>
      <sheetName val="준공수량비교1차미정산"/>
      <sheetName val="예산내역서"/>
      <sheetName val="파일클럽"/>
      <sheetName val="공사통보서"/>
      <sheetName val="Sheet7"/>
      <sheetName val="고내분기~한림"/>
      <sheetName val="광령~경마장"/>
      <sheetName val="세기~광령"/>
      <sheetName val="설명서"/>
      <sheetName val="설계서(설치)"/>
      <sheetName val="정산내역서"/>
      <sheetName val="노임단가표"/>
      <sheetName val="변수값"/>
      <sheetName val="중기상차"/>
      <sheetName val="중기터파기"/>
      <sheetName val="기술자료 (광화문)"/>
      <sheetName val="8.설치품셈"/>
      <sheetName val="경동~상록"/>
      <sheetName val="우주~로베로"/>
      <sheetName val="설계명세서 (장비)"/>
      <sheetName val="설계명세서(선로)"/>
      <sheetName val="소요자재명세서"/>
      <sheetName val="아파트기별"/>
      <sheetName val="공사비요율산출내역서"/>
      <sheetName val="품셈"/>
      <sheetName val="자료사전"/>
      <sheetName val="기준자료"/>
      <sheetName val="단순공사비단가표"/>
      <sheetName val="교환노무"/>
      <sheetName val="예산내역서(총괄)"/>
      <sheetName val="공제대산출"/>
      <sheetName val="운반공사,공구손료"/>
      <sheetName val="현황관리필요사항.xlsx"/>
      <sheetName val="공리일"/>
      <sheetName val="인입기본설계"/>
      <sheetName val="5-1신설물량"/>
      <sheetName val="가. 노임단가"/>
      <sheetName val="96-2"/>
      <sheetName val="결선list"/>
      <sheetName val="정산내역"/>
      <sheetName val="구포여상설계"/>
      <sheetName val="데이타"/>
      <sheetName val="일위대가"/>
      <sheetName val="DATE"/>
      <sheetName val="#REF"/>
      <sheetName val="소운반"/>
      <sheetName val="일위대가 "/>
      <sheetName val="계장 품셈표"/>
      <sheetName val="실행철강하도"/>
      <sheetName val="BACK(출력불필요)"/>
      <sheetName val="세금계산서"/>
      <sheetName val="설계서(7)"/>
      <sheetName val="1203"/>
      <sheetName val="(참고)지역"/>
      <sheetName val="(참고)재무코드"/>
      <sheetName val="설비현황(예비품제외)"/>
      <sheetName val="내역"/>
      <sheetName val="기계경비(시간당)"/>
      <sheetName val="램머"/>
      <sheetName val="참조"/>
      <sheetName val="G.R300경비"/>
      <sheetName val="정산설계"/>
      <sheetName val="일위대가표"/>
      <sheetName val="상향레벨"/>
      <sheetName val="상향SNR "/>
      <sheetName val="하향레벨"/>
      <sheetName val="하향SNR "/>
      <sheetName val="공사설명서외"/>
      <sheetName val="공사설명서"/>
      <sheetName val="단가검토(예산)"/>
      <sheetName val="준공정산"/>
      <sheetName val="기초자료입력"/>
      <sheetName val="12품셈표"/>
      <sheetName val="Summary of plant values-I"/>
      <sheetName val="수량산출1"/>
      <sheetName val="자재단가표"/>
      <sheetName val="9GNG운반"/>
      <sheetName val="일일 자재입출고리스트"/>
      <sheetName val=" 기별명세서_종합"/>
      <sheetName val="뚜드리기"/>
      <sheetName val="광종합기별_"/>
      <sheetName val="정산설명서_1차미정산"/>
      <sheetName val="기술자료_(광화문)"/>
      <sheetName val="8_설치품셈"/>
      <sheetName val="현황관리필요사항_xlsx"/>
      <sheetName val="설계명세서_(장비)"/>
      <sheetName val="G_R300경비"/>
      <sheetName val="일위대가_"/>
      <sheetName val="계장_품셈표"/>
      <sheetName val="상향SNR_"/>
      <sheetName val="하향SNR_"/>
      <sheetName val="정산"/>
      <sheetName val="DISTANCE"/>
      <sheetName val="적용기준표(98년상반기)"/>
      <sheetName val="소요자재"/>
      <sheetName val="세부"/>
      <sheetName val="종합기별"/>
      <sheetName val="총괄집계표"/>
      <sheetName val="9.설치품셈"/>
      <sheetName val="사용자재(사급,지입)"/>
      <sheetName val="설치품셈"/>
      <sheetName val="댁내기별"/>
      <sheetName val="품셈표"/>
      <sheetName val="덕천사고설계"/>
      <sheetName val="ATM기초철가"/>
      <sheetName val="수지내역(자재)"/>
      <sheetName val="임차비용"/>
      <sheetName val="1월"/>
      <sheetName val="산출명세서"/>
      <sheetName val="257A1"/>
      <sheetName val="계통도"/>
      <sheetName val="Sheet1"/>
      <sheetName val="인부임"/>
      <sheetName val="정부노임단가"/>
      <sheetName val="경비변경"/>
      <sheetName val="자재비변경"/>
      <sheetName val="(14)경비"/>
      <sheetName val="인입요첤"/>
      <sheetName val="3.고객센터명 입력(정리)"/>
      <sheetName val="고객부문피벗"/>
      <sheetName val="노무산출서"/>
      <sheetName val="설계명세서(종합)"/>
      <sheetName val="총괄내역서"/>
      <sheetName val="기별(종합)"/>
      <sheetName val="설계"/>
      <sheetName val="기별명세"/>
      <sheetName val="지시서"/>
      <sheetName val="내역종합"/>
      <sheetName val="정산내임"/>
    </sheetNames>
    <sheetDataSet>
      <sheetData sheetId="0" refreshError="1"/>
      <sheetData sheetId="1" refreshError="1"/>
      <sheetData sheetId="2" refreshError="1">
        <row r="12">
          <cell r="L12">
            <v>1731468</v>
          </cell>
        </row>
        <row r="39">
          <cell r="L39">
            <v>4027291</v>
          </cell>
        </row>
        <row r="53">
          <cell r="L53">
            <v>466638</v>
          </cell>
        </row>
        <row r="62">
          <cell r="L62">
            <v>7164296</v>
          </cell>
        </row>
        <row r="66">
          <cell r="L66">
            <v>5432828</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초자료입력"/>
      <sheetName val="표 지"/>
      <sheetName val="계획서"/>
      <sheetName val="설명서"/>
      <sheetName val="예산서"/>
      <sheetName val="공정표"/>
      <sheetName val="설계명세서"/>
      <sheetName val="공량설계표"/>
      <sheetName val="출력창"/>
      <sheetName val="준공정산"/>
      <sheetName val="준공보고"/>
      <sheetName val="산출명세"/>
      <sheetName val="간이공사"/>
      <sheetName val="간이예산"/>
      <sheetName val="간이준공보고"/>
      <sheetName val="일반시방서"/>
      <sheetName val="표준공종"/>
      <sheetName val="특기시방서"/>
      <sheetName val="사용방법"/>
      <sheetName val="Module1"/>
      <sheetName val="Module2"/>
      <sheetName val="Module3"/>
      <sheetName val="Module4"/>
    </sheetNames>
    <sheetDataSet>
      <sheetData sheetId="0" refreshError="1"/>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7"/>
      <sheetName val="000000"/>
      <sheetName val="표지"/>
      <sheetName val="목차"/>
      <sheetName val="계획서"/>
      <sheetName val="설명서"/>
      <sheetName val="계통도"/>
      <sheetName val="기기배치"/>
      <sheetName val="공사비총괄표"/>
      <sheetName val="자금계획서"/>
      <sheetName val="공정표"/>
      <sheetName val="공사비예산서"/>
      <sheetName val="사용자재"/>
      <sheetName val="준공정산"/>
      <sheetName val="품셈표"/>
      <sheetName val="지세별"/>
      <sheetName val="기별명세"/>
      <sheetName val="공급물량명세"/>
      <sheetName val="변경내역"/>
      <sheetName val="설계명세1"/>
      <sheetName val="설계명세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ow r="64">
          <cell r="G64">
            <v>-4400</v>
          </cell>
        </row>
      </sheetData>
      <sheetData sheetId="14"/>
      <sheetData sheetId="15"/>
      <sheetData sheetId="16"/>
      <sheetData sheetId="17"/>
      <sheetData sheetId="18" refreshError="1"/>
      <sheetData sheetId="19"/>
      <sheetData sheetId="20"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첨부"/>
      <sheetName val="공사계획서"/>
      <sheetName val="공사설명서"/>
      <sheetName val="공사비총괄표"/>
      <sheetName val="공사비예산서"/>
      <sheetName val="설계계획"/>
      <sheetName val="설계명세서"/>
      <sheetName val="인증"/>
      <sheetName val="기초자료입력"/>
      <sheetName val="공사철표지"/>
      <sheetName val="설계임명"/>
      <sheetName val="표 지"/>
      <sheetName val="계획서"/>
      <sheetName val="설명서"/>
      <sheetName val="예산서"/>
      <sheetName val="공정표"/>
      <sheetName val="공종산출내역서"/>
      <sheetName val="준공정산"/>
      <sheetName val="준공보고"/>
      <sheetName val="산출명세서"/>
      <sheetName val="간이공사"/>
      <sheetName val="간이예산"/>
      <sheetName val="예가조견표"/>
      <sheetName val="일반시방서"/>
      <sheetName val="특기시방서"/>
      <sheetName val="품질구매시방서"/>
      <sheetName val="설계검토"/>
      <sheetName val="설계검토착안사항"/>
      <sheetName val="계약의뢰"/>
      <sheetName val="청렴계약이행각서"/>
      <sheetName val="청렴계약특수조건"/>
      <sheetName val="특수조건"/>
      <sheetName val="부조리방지"/>
      <sheetName val="감독임명"/>
      <sheetName val="품질안전회의록"/>
      <sheetName val="청렴계약"/>
      <sheetName val="작업전안전회의록"/>
      <sheetName val="작업통보서(앞)"/>
      <sheetName val="작업통보서(뒤)"/>
      <sheetName val="휴전회의록"/>
      <sheetName val="야간출입"/>
      <sheetName val="자재수불부"/>
      <sheetName val="반출증"/>
      <sheetName val="중지통보"/>
      <sheetName val="중지알림"/>
      <sheetName val="추가통보"/>
      <sheetName val="추가알림"/>
      <sheetName val="재착공통보"/>
      <sheetName val="재착공알림"/>
      <sheetName val="환입보관의뢰서"/>
      <sheetName val="준공검사원임명"/>
      <sheetName val="시공품질평가서"/>
      <sheetName val="준공점검표"/>
      <sheetName val="시공품질점검보고"/>
      <sheetName val="부조리예방확인서"/>
      <sheetName val="공사결과보고"/>
      <sheetName val="도급비지불"/>
      <sheetName val="구입품의서"/>
      <sheetName val="소요물자명세서"/>
      <sheetName val="자재수배조서"/>
      <sheetName val="취득정산"/>
      <sheetName val="사용자목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초자료입력"/>
      <sheetName val="표 지"/>
      <sheetName val="계획서"/>
      <sheetName val="설명서"/>
      <sheetName val="예산서"/>
      <sheetName val="공정표"/>
      <sheetName val="설계명세서"/>
      <sheetName val="공량설계표"/>
      <sheetName val="출력창"/>
      <sheetName val="준공정산"/>
      <sheetName val="준공보고"/>
      <sheetName val="산출명세"/>
      <sheetName val="간이공사"/>
      <sheetName val="간이예산"/>
      <sheetName val="간이준공보고"/>
      <sheetName val="일반시방서"/>
      <sheetName val="표준공종"/>
      <sheetName val="특기시방서"/>
      <sheetName val="사용방법"/>
      <sheetName val="Module1"/>
      <sheetName val="Module2"/>
      <sheetName val="Module3"/>
      <sheetName val="Module4"/>
      <sheetName val="Module5"/>
      <sheetName val="교환노무"/>
    </sheetNames>
    <sheetDataSet>
      <sheetData sheetId="0" refreshError="1">
        <row r="5">
          <cell r="B5" t="str">
            <v xml:space="preserve"> Excel 설계서 작성공사</v>
          </cell>
        </row>
        <row r="18">
          <cell r="B18" t="str">
            <v>도 급 공 사</v>
          </cell>
        </row>
      </sheetData>
      <sheetData sheetId="1" refreshError="1"/>
      <sheetData sheetId="2" refreshError="1"/>
      <sheetData sheetId="3" refreshError="1"/>
      <sheetData sheetId="4" refreshError="1"/>
      <sheetData sheetId="5" refreshError="1"/>
      <sheetData sheetId="6" refreshError="1">
        <row r="7">
          <cell r="H7">
            <v>0</v>
          </cell>
        </row>
        <row r="9">
          <cell r="H9">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아파트기별"/>
      <sheetName val="정산명세"/>
      <sheetName val="바인딩"/>
      <sheetName val="공리일"/>
      <sheetName val="예산내역서"/>
      <sheetName val="설계명세서"/>
      <sheetName val="기계경비(시간당)"/>
      <sheetName val="램머"/>
      <sheetName val="일위단위"/>
      <sheetName val="기안(갑)"/>
      <sheetName val="기별"/>
      <sheetName val="기초자료입력"/>
      <sheetName val="설계명세서(종합)"/>
      <sheetName val="소요자재"/>
      <sheetName val="노무산출서"/>
      <sheetName val="Price List"/>
      <sheetName val="9GNG운반"/>
      <sheetName val="고내분기~한림"/>
      <sheetName val="광령~경마장"/>
      <sheetName val="세기~광령"/>
      <sheetName val="일위대가표"/>
      <sheetName val="Sheet1"/>
      <sheetName val="공사계획"/>
      <sheetName val="설계명세"/>
      <sheetName val="정산내역"/>
      <sheetName val="구포여상설계"/>
      <sheetName val="(참고)지역"/>
      <sheetName val="(참고)재무코드"/>
      <sheetName val="준공정산"/>
      <sheetName val="자료사전"/>
      <sheetName val="단순공사비단가표"/>
      <sheetName val="교환노무"/>
      <sheetName val="예산내역서(총괄)"/>
      <sheetName val="공제대산출"/>
      <sheetName val="운반공사,공구손료"/>
      <sheetName val="현황관리필요사항.xlsx"/>
      <sheetName val="설계서(7)"/>
      <sheetName val="내역서"/>
      <sheetName val="현장소운반"/>
      <sheetName val="관구보호몰탈"/>
      <sheetName val="蠰촐자료입력"/>
      <sheetName val="설계"/>
      <sheetName val="조명율표"/>
      <sheetName val="설계내역서"/>
      <sheetName val="만년달력"/>
      <sheetName val="달력"/>
      <sheetName val="dongia (2)"/>
      <sheetName val="댁내기별"/>
      <sheetName val="공사설명서외"/>
      <sheetName val="품셈표"/>
      <sheetName val="9.설치품셈"/>
      <sheetName val="단가표"/>
      <sheetName val="내역"/>
      <sheetName val="APT젖산"/>
      <sheetName val="Sheet7"/>
      <sheetName val="Page 1A - Proposal Strategy "/>
      <sheetName val="수리단가표"/>
      <sheetName val="공사설명서"/>
      <sheetName val="보도계산금액"/>
      <sheetName val="인부임"/>
      <sheetName val="정산설계"/>
      <sheetName val="종합기별"/>
      <sheetName val="소요자재명세서"/>
      <sheetName val="월래"/>
      <sheetName val="공정data"/>
      <sheetName val="공통"/>
      <sheetName val="공용"/>
      <sheetName val="노임단가표"/>
      <sheetName val="1.계획서"/>
      <sheetName val="7.명세서"/>
      <sheetName val="6.예산서"/>
      <sheetName val="기계경비_시간당_"/>
      <sheetName val="1차 내역서"/>
      <sheetName val="8.설치품셈"/>
      <sheetName val="노임"/>
      <sheetName val="입찰서"/>
      <sheetName val="예정가격표"/>
      <sheetName val="정산내역서"/>
      <sheetName val="대신총괄"/>
      <sheetName val="UNIT"/>
      <sheetName val="G.R300경비"/>
      <sheetName val="선로분"/>
      <sheetName val="총괄집계표"/>
      <sheetName val="수량집계"/>
      <sheetName val="현장실사표"/>
      <sheetName val="자재단가표"/>
      <sheetName val="기별(종합)"/>
      <sheetName val="기계설비-물가변동"/>
      <sheetName val="건축-물가변동"/>
      <sheetName val="표지"/>
      <sheetName val="품셈"/>
      <sheetName val="노무비명세서"/>
      <sheetName val="과천MAIN"/>
      <sheetName val="동원인원계획표"/>
      <sheetName val="공통(20-91)"/>
      <sheetName val="전차선로 물량표"/>
      <sheetName val="준공서류"/>
      <sheetName val="cost"/>
      <sheetName val="MOTOR"/>
      <sheetName val="정부노임단가"/>
      <sheetName val="ITEM"/>
      <sheetName val="소운반"/>
      <sheetName val="공정코드"/>
      <sheetName val="케이블사용량"/>
    </sheetNames>
    <sheetDataSet>
      <sheetData sheetId="0"/>
      <sheetData sheetId="1"/>
      <sheetData sheetId="2"/>
      <sheetData sheetId="3" refreshError="1">
        <row r="7">
          <cell r="J7">
            <v>47000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정산설계"/>
      <sheetName val="공리일"/>
      <sheetName val="기초자료입력"/>
    </sheetNames>
    <sheetDataSet>
      <sheetData sheetId="0"/>
      <sheetData sheetId="1" refreshError="1"/>
      <sheetData sheetId="2"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집계"/>
      <sheetName val="주요자재"/>
      <sheetName val="A1"/>
      <sheetName val="A2"/>
      <sheetName val="Sheet1"/>
      <sheetName val="효성CB 1P기초"/>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수시트"/>
      <sheetName val="도급내역"/>
    </sheetNames>
    <sheetDataSet>
      <sheetData sheetId="0" refreshError="1"/>
      <sheetData sheetId="1"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유림골조"/>
      <sheetName val="유림총괄"/>
      <sheetName val="비교1"/>
      <sheetName val="공기"/>
      <sheetName val="새공통(97년3월)"/>
      <sheetName val="협력업체"/>
      <sheetName val="외주업체list (3)"/>
      <sheetName val="FAX양식"/>
      <sheetName val="FAX양식 (2)"/>
      <sheetName val="Sheet1"/>
      <sheetName val="Sheet2"/>
      <sheetName val="Sheet21"/>
      <sheetName val="Sheet20"/>
      <sheetName val="Sheet19"/>
      <sheetName val="Sheet18"/>
      <sheetName val="Sheet17"/>
      <sheetName val="Sheet16"/>
      <sheetName val="Sheet15"/>
      <sheetName val="Sheet14"/>
      <sheetName val="Sheet13"/>
      <sheetName val="Sheet12"/>
      <sheetName val="Sheet11"/>
      <sheetName val="Sheet10"/>
      <sheetName val="Sheet9"/>
      <sheetName val="Sheet8"/>
      <sheetName val="Sheet7"/>
      <sheetName val="Sheet6"/>
      <sheetName val="Sheet5"/>
      <sheetName val="Sheet4"/>
      <sheetName val="Sheet3"/>
      <sheetName val="새공통(96임금인상기준)"/>
      <sheetName val="공사개요"/>
      <sheetName val="분당코아"/>
      <sheetName val="물가"/>
      <sheetName val="물가 (2)"/>
      <sheetName val="옥외공사"/>
      <sheetName val="내역표지"/>
      <sheetName val="견적조건"/>
      <sheetName val="공사총괄-2"/>
      <sheetName val="변경연면적"/>
      <sheetName val="품의서"/>
      <sheetName val="건축대비"/>
      <sheetName val="부대골조"/>
      <sheetName val="아파트파일공사"/>
      <sheetName val="부대파일공사"/>
      <sheetName val="공제분"/>
      <sheetName val="상승요인분석"/>
      <sheetName val="토목공사"/>
      <sheetName val="옥외"/>
      <sheetName val="물가상승변경(960827)"/>
      <sheetName val="건축부대공사대비"/>
      <sheetName val="제출표지"/>
      <sheetName val="특수조건"/>
      <sheetName val="분책"/>
      <sheetName val="실행대비"/>
      <sheetName val="평단가비교"/>
      <sheetName val="OPTION비교"/>
      <sheetName val="실행원안對현장통보실행안"/>
      <sheetName val="의뢰"/>
      <sheetName val="의뢰서"/>
      <sheetName val="품의서(A3-3장)"/>
      <sheetName val="NEW비교"/>
      <sheetName val="계단실,로비"/>
      <sheetName val="주방가구外"/>
      <sheetName val="빌라트대비"/>
      <sheetName val="공통비대비"/>
      <sheetName val="공통비대비분석"/>
      <sheetName val="새공통(97년1월)"/>
      <sheetName val="직원투입계획"/>
      <sheetName val="현채투입계획"/>
      <sheetName val="전체총괄표"/>
      <sheetName val="산출내역서"/>
      <sheetName val="항목별총괄표"/>
      <sheetName val="공사현황"/>
      <sheetName val="건축실행대비"/>
      <sheetName val="가설공사"/>
      <sheetName val="철근콘크리트공사"/>
      <sheetName val="타일공사"/>
      <sheetName val="창호공사"/>
      <sheetName val="AL창호"/>
      <sheetName val="수장공사"/>
      <sheetName val="철골공사"/>
      <sheetName val="증가요인"/>
      <sheetName val="감사실"/>
      <sheetName val="물량증가"/>
      <sheetName val="9604000"/>
      <sheetName val="960503"/>
      <sheetName val="새공통(96년12월) "/>
      <sheetName val="협조문"/>
      <sheetName val="안양코아"/>
      <sheetName val="COLUMN"/>
      <sheetName val="공통비비교"/>
      <sheetName val="부지조성"/>
      <sheetName val="투입인원대비"/>
      <sheetName val="형틀분개"/>
      <sheetName val="시행대비"/>
      <sheetName val="마감범위"/>
      <sheetName val="추가예산"/>
      <sheetName val="TEMP철골"/>
      <sheetName val="기계기초"/>
      <sheetName val="안양코아최종대비"/>
      <sheetName val="최종건축대비"/>
      <sheetName val="A급현장"/>
      <sheetName val="A급현장 (2)"/>
      <sheetName val="B급현장"/>
      <sheetName val="B급현장 (2)"/>
      <sheetName val="C급현장"/>
      <sheetName val="C급현장 (2)"/>
      <sheetName val="D급현장"/>
      <sheetName val="D급현장 (2)"/>
      <sheetName val="공통비산출근거"/>
      <sheetName val="여과지동"/>
      <sheetName val="기초자료"/>
      <sheetName val="공통비(전체)"/>
      <sheetName val="대운산출"/>
      <sheetName val="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예산서"/>
      <sheetName val="설계 내역서"/>
      <sheetName val="품셈총괄표"/>
      <sheetName val=" 품셈"/>
      <sheetName val="장비부표총괄표"/>
      <sheetName val="부표총괄표"/>
      <sheetName val="일반부표"/>
      <sheetName val="별표총괄표"/>
      <sheetName val="별표 "/>
      <sheetName val="자료"/>
      <sheetName val="단가"/>
      <sheetName val="Sheet13"/>
      <sheetName val="Sheet14"/>
      <sheetName val="Sheet15"/>
      <sheetName val="Sheet16"/>
      <sheetName val="품셈"/>
      <sheetName val="설계예시"/>
      <sheetName val="일위대가"/>
      <sheetName val="데이타"/>
      <sheetName val="인건비 "/>
      <sheetName val="기별종합"/>
      <sheetName val="AS포장복구 "/>
      <sheetName val="도급내역"/>
      <sheetName val="내역"/>
      <sheetName val="DATE"/>
      <sheetName val="터파기및재료"/>
      <sheetName val="국산화"/>
      <sheetName val="수량집계(1)"/>
      <sheetName val="토사(PE)"/>
      <sheetName val="모래기초"/>
      <sheetName val="연결임시"/>
      <sheetName val="견적을지"/>
      <sheetName val="신당동집계표"/>
      <sheetName val="G.R300경비"/>
      <sheetName val="공사비예산서 (2)"/>
      <sheetName val="설계 내역서 (2)"/>
      <sheetName val="별표 (2)"/>
      <sheetName val="사급자재"/>
      <sheetName val="지입자재"/>
      <sheetName val="자재수량"/>
      <sheetName val="토량총괄"/>
      <sheetName val="토적계산"/>
      <sheetName val="구조물토량"/>
      <sheetName val="우수평균깊이"/>
      <sheetName val="구조물수량산출"/>
      <sheetName val="Sheet11"/>
      <sheetName val="Sheet12"/>
      <sheetName val="일반부표총괄"/>
      <sheetName val="별 표"/>
      <sheetName val="별표총괄"/>
      <sheetName val="품셈TABLE"/>
      <sheetName val="견적 조건 변경사항"/>
      <sheetName val="단지내-공내역"/>
      <sheetName val="Sheet2"/>
      <sheetName val="Sheet3"/>
      <sheetName val="JOIN(2span)"/>
      <sheetName val="내역표지"/>
      <sheetName val="원가계산서(총괄)"/>
      <sheetName val="산출내역집계"/>
      <sheetName val="건축집계"/>
      <sheetName val="건축내역"/>
      <sheetName val="토목집계"/>
      <sheetName val="토목내역"/>
      <sheetName val="설비집계"/>
      <sheetName val="설비내역"/>
      <sheetName val="별표내역"/>
      <sheetName val="노임단가"/>
      <sheetName val="품셈표"/>
      <sheetName val="품 셈"/>
      <sheetName val="부표"/>
      <sheetName val="부표 TABLE"/>
      <sheetName val="Sheet4"/>
      <sheetName val="Sheet5"/>
      <sheetName val="Sheet6"/>
      <sheetName val="종단계산"/>
      <sheetName val="포장(수량)-관로부"/>
      <sheetName val="금액내역서"/>
      <sheetName val="원가계산서(남측)"/>
      <sheetName val="공통가설(현장검토안)"/>
      <sheetName val="토목"/>
      <sheetName val="TB-내역서"/>
      <sheetName val="3BL공동구 수량"/>
      <sheetName val="자재집계표"/>
      <sheetName val="실행내역"/>
      <sheetName val="우,오수"/>
      <sheetName val="자료입력"/>
      <sheetName val="견적서"/>
      <sheetName val="도급"/>
      <sheetName val="총괄-1"/>
      <sheetName val="일위대가표"/>
      <sheetName val="PIPE(UG)내역"/>
      <sheetName val="보차도경계석"/>
      <sheetName val="시설물기초"/>
      <sheetName val="부표총괄"/>
      <sheetName val="품셈1-"/>
      <sheetName val="AABS내역"/>
      <sheetName val="공사내역"/>
      <sheetName val="별총"/>
      <sheetName val="원가계산"/>
      <sheetName val="2000년1차"/>
      <sheetName val="단가표"/>
      <sheetName val="EJ"/>
      <sheetName val="간접경상비"/>
      <sheetName val="시멘트"/>
      <sheetName val="6-1. 관개량조서"/>
      <sheetName val="오억미만"/>
      <sheetName val="단중"/>
      <sheetName val="을지"/>
      <sheetName val="경비_원본"/>
      <sheetName val="총물량"/>
      <sheetName val="LIST"/>
      <sheetName val="접속도로"/>
      <sheetName val="인건비"/>
      <sheetName val="중기"/>
      <sheetName val="정렬"/>
      <sheetName val="플랜트 설치"/>
      <sheetName val="건축"/>
      <sheetName val="투찰(하수)"/>
      <sheetName val="접속도로1"/>
      <sheetName val="Ⅴ-2.공종별내역"/>
      <sheetName val="갑지"/>
      <sheetName val="토목내역서"/>
      <sheetName val="일위대가목록"/>
      <sheetName val="PUMP"/>
      <sheetName val="VENDOR LIST"/>
      <sheetName val="공통비"/>
      <sheetName val="6동"/>
      <sheetName val="노임"/>
      <sheetName val="sw1"/>
      <sheetName val="NOMUBI"/>
      <sheetName val="접속도로집계"/>
      <sheetName val="실행"/>
      <sheetName val="단중표"/>
      <sheetName val="자재단가조사표-수목"/>
      <sheetName val="기성내역서표지"/>
      <sheetName val="00상노임"/>
      <sheetName val="부대내역"/>
      <sheetName val="값"/>
      <sheetName val="일위"/>
      <sheetName val="참조-(1)"/>
      <sheetName val="내역서"/>
      <sheetName val="NYS"/>
      <sheetName val="#REF"/>
      <sheetName val="표준단면수량(출력안함)"/>
      <sheetName val="구조물"/>
      <sheetName val="예산M2"/>
      <sheetName val="원가계산서"/>
      <sheetName val="전기"/>
      <sheetName val="공정코드"/>
      <sheetName val="data"/>
      <sheetName val="2.품제O호표"/>
      <sheetName val="프랜트면허"/>
      <sheetName val="소방"/>
      <sheetName val="마감"/>
      <sheetName val="부대공(집계)"/>
      <sheetName val="외주비"/>
      <sheetName val="별표집계"/>
      <sheetName val="일위대가표집계표"/>
      <sheetName val="교통대책내역"/>
      <sheetName val="가시설(TYPE-A)"/>
      <sheetName val="1-1평균터파기고(1)"/>
      <sheetName val="에너지요금"/>
      <sheetName val="공사개요"/>
      <sheetName val="수량산출서"/>
      <sheetName val="제품별절단길이-0628"/>
      <sheetName val="절단길이-CODE4"/>
      <sheetName val="색상코드-CODE5,6,7,8"/>
      <sheetName val="직노"/>
      <sheetName val="견적의뢰"/>
      <sheetName val="잡설비내역"/>
      <sheetName val="토공사"/>
      <sheetName val="빙장비사양"/>
      <sheetName val="장비사양"/>
      <sheetName val="대구칠곡5전기"/>
      <sheetName val="장비별표(오거보링)(Ø400)(12M)"/>
      <sheetName val="Sheet1"/>
      <sheetName val="1월"/>
      <sheetName val="지질조사"/>
      <sheetName val="하수급견적대비"/>
      <sheetName val="관계주식"/>
      <sheetName val="평균터파기고(1-2,ASP)"/>
      <sheetName val="국내"/>
      <sheetName val="중소기업"/>
      <sheetName val="BID"/>
      <sheetName val="갑지(요약)"/>
      <sheetName val="사다리"/>
      <sheetName val="포장공사"/>
      <sheetName val="가시설흙막이"/>
      <sheetName val="갑지(추정)"/>
      <sheetName val="기초일위"/>
      <sheetName val="일위대가목차"/>
      <sheetName val="집계"/>
      <sheetName val="Macro1"/>
      <sheetName val="guard(mac)"/>
      <sheetName val="물량표"/>
      <sheetName val="정부노임단가"/>
      <sheetName val="밸브설치"/>
      <sheetName val="대가표(품셈)"/>
      <sheetName val="200"/>
      <sheetName val="청주(철골발주의뢰서)"/>
      <sheetName val="정공공사"/>
      <sheetName val="명단"/>
      <sheetName val="정부노임"/>
      <sheetName val="우수맨홀공제단위수량"/>
      <sheetName val="자재단가"/>
      <sheetName val="P.M 별"/>
      <sheetName val="평자재단가"/>
      <sheetName val="원본"/>
      <sheetName val="부대공Ⅱ"/>
      <sheetName val="품목"/>
      <sheetName val="I一般比"/>
      <sheetName val="직재"/>
      <sheetName val="Customer Databas"/>
      <sheetName val="총괄표"/>
      <sheetName val="공통가설"/>
      <sheetName val="laroux"/>
      <sheetName val="전기관급내역서"/>
      <sheetName val="전기관급내역총계"/>
      <sheetName val="목차"/>
      <sheetName val="전기토목총괄"/>
      <sheetName val="토목내역총계"/>
      <sheetName val="전기내역총계"/>
      <sheetName val="전기내역서"/>
      <sheetName val="일위대가표-1"/>
      <sheetName val="일위대가표-2"/>
      <sheetName val="일위대가표-3"/>
      <sheetName val="일위대가표-4"/>
      <sheetName val="일위대가표-5"/>
      <sheetName val="일위대가표-4 (2)"/>
      <sheetName val="단가산출서"/>
      <sheetName val="재료비 "/>
      <sheetName val="중기총괄"/>
      <sheetName val="중기손료"/>
      <sheetName val="중기단가"/>
      <sheetName val="계수"/>
      <sheetName val="환율"/>
      <sheetName val="유류대"/>
      <sheetName val="중시노임"/>
      <sheetName val="관급내역서"/>
      <sheetName val="관급내역총계"/>
      <sheetName val="인건-측정"/>
      <sheetName val="Y-WORK"/>
      <sheetName val="내역_ver1.0"/>
      <sheetName val="골조시행"/>
      <sheetName val="설 계"/>
      <sheetName val="토공집계표"/>
      <sheetName val="지급자재"/>
      <sheetName val="기계경비(시간당)"/>
      <sheetName val="A3.공사비 검토"/>
      <sheetName val="이자율"/>
      <sheetName val="이익영"/>
      <sheetName val="변경총괄표"/>
      <sheetName val="재공품"/>
      <sheetName val="입력자료(노무비)"/>
      <sheetName val="분수장비시설수량"/>
      <sheetName val="식재수량표"/>
      <sheetName val="입고장부 (4)"/>
      <sheetName val="inputdata"/>
      <sheetName val="남양내역"/>
      <sheetName val="설계예산서"/>
      <sheetName val="품셈목록"/>
      <sheetName val="제잡비(주공종)"/>
      <sheetName val="별표 (1)"/>
      <sheetName val="잡비"/>
      <sheetName val="6호기"/>
      <sheetName val="유림골조"/>
      <sheetName val="건축공사"/>
      <sheetName val="건축직"/>
      <sheetName val="원가"/>
      <sheetName val="단가 및 재료비"/>
      <sheetName val="9-1차이내역"/>
      <sheetName val="SIL98"/>
      <sheetName val="노임대가"/>
      <sheetName val="1062-X방향 "/>
      <sheetName val="2002상반기노임기준"/>
      <sheetName val="비탈면보호공수량산출"/>
      <sheetName val="내역조적"/>
      <sheetName val="세부내역"/>
      <sheetName val="전기일위대가"/>
      <sheetName val="산출내역서"/>
      <sheetName val="부분별수량산출(조합기초)"/>
      <sheetName val="조명시설"/>
      <sheetName val="(C)원내역"/>
      <sheetName val="견적대비"/>
      <sheetName val="총괄원가계산서"/>
      <sheetName val="SLAB&quot;1&quot;"/>
      <sheetName val="SG"/>
      <sheetName val="견"/>
      <sheetName val="공사비산출내역"/>
      <sheetName val="선수금"/>
      <sheetName val="출자한도"/>
      <sheetName val="MIJIBI"/>
      <sheetName val="MOTOR"/>
      <sheetName val="식재일위"/>
      <sheetName val="조명율표"/>
      <sheetName val="AP1"/>
      <sheetName val="몰탈재료산출"/>
      <sheetName val="집계표"/>
      <sheetName val="노무비"/>
      <sheetName val="재료"/>
      <sheetName val="자재단가비교표"/>
      <sheetName val="포장복구집계"/>
      <sheetName val="하조서"/>
      <sheetName val="3.3수량집계"/>
      <sheetName val="개요"/>
      <sheetName val="수량산출서 갑지"/>
      <sheetName val="101동"/>
      <sheetName val="DB"/>
      <sheetName val="입찰"/>
      <sheetName val="현경"/>
      <sheetName val="관리,공감"/>
      <sheetName val="#3E1_GCR"/>
      <sheetName val="기본일위"/>
      <sheetName val="TABLE"/>
      <sheetName val="제잡비"/>
      <sheetName val="06-BATCH "/>
      <sheetName val="산출(열차무선)"/>
      <sheetName val="산출(역무통신)"/>
      <sheetName val="C3.토목_옹벽"/>
      <sheetName val="A6.샤시등"/>
      <sheetName val="기계사급자재"/>
      <sheetName val="공사비투입-데이타"/>
      <sheetName val="기성부분내역(한빛-영조)"/>
      <sheetName val="세부내역(한빛-영조)"/>
      <sheetName val="토공총괄표"/>
      <sheetName val="날개벽수량표"/>
      <sheetName val="토공(우물통,기타) "/>
      <sheetName val="계수시트"/>
      <sheetName val="슬래브"/>
      <sheetName val="토적(3차분)"/>
      <sheetName val="토량운반계산"/>
      <sheetName val="A1"/>
      <sheetName val="총괄"/>
      <sheetName val="wall"/>
      <sheetName val="국민연금표"/>
      <sheetName val="조달청적격심사"/>
      <sheetName val="실행내역서 "/>
      <sheetName val="교사기준면적(초등)"/>
      <sheetName val="교량하부공"/>
      <sheetName val="투입내역"/>
      <sheetName val="자금신청서"/>
      <sheetName val="수로단위수량"/>
      <sheetName val="부대tu"/>
      <sheetName val="교육종류"/>
      <sheetName val="배수공"/>
      <sheetName val="측구공"/>
      <sheetName val="용소리교"/>
      <sheetName val="토공"/>
      <sheetName val="구조물공집계"/>
      <sheetName val="투찰금액"/>
      <sheetName val="12호기내역서(건축분)"/>
      <sheetName val="이름정의"/>
      <sheetName val="경율산정.XLS"/>
      <sheetName val="암거"/>
      <sheetName val="노임이"/>
      <sheetName val="3.3"/>
      <sheetName val="기준액"/>
      <sheetName val="창녕산출"/>
      <sheetName val="설계변경 내역서"/>
      <sheetName val="A.케이블규격"/>
      <sheetName val="시중노임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refreshError="1"/>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인부임"/>
      <sheetName val="품셈표"/>
      <sheetName val="기별명세서"/>
      <sheetName val="표지"/>
      <sheetName val="보강공사"/>
      <sheetName val="성단물량"/>
      <sheetName val="정산설계"/>
      <sheetName val="설계명세서"/>
      <sheetName val="정산"/>
      <sheetName val="소요자재"/>
      <sheetName val="노무산출서"/>
      <sheetName val="적용기준표(98년상반기)"/>
      <sheetName val="공제대산출"/>
      <sheetName val="예산내역서(총괄)"/>
      <sheetName val="운반공사,공구손료"/>
      <sheetName val="산출명세서"/>
      <sheetName val="257A1"/>
      <sheetName val="품셈"/>
      <sheetName val="노임단가표"/>
      <sheetName val="일위대가"/>
      <sheetName val="G.R300경비"/>
      <sheetName val="공리일"/>
      <sheetName val="예산내역서"/>
      <sheetName val="자료사전"/>
      <sheetName val="단순공사비단가표"/>
      <sheetName val="교환노무"/>
      <sheetName val="인입설계"/>
      <sheetName val="관급_File"/>
      <sheetName val="광주"/>
      <sheetName val="대전"/>
      <sheetName val="부산"/>
      <sheetName val="서울"/>
      <sheetName val="수원"/>
      <sheetName val="제주"/>
      <sheetName val="창원"/>
      <sheetName val="기초자료입력"/>
      <sheetName val="기별(입력창)"/>
      <sheetName val="총괄"/>
      <sheetName val="공종단가"/>
      <sheetName val="인건비 "/>
      <sheetName val="&quot;분배센터&quot;운용설비"/>
      <sheetName val="&quot;전송망&quot;운용설비"/>
      <sheetName val="계통도"/>
      <sheetName val="Sheet1"/>
      <sheetName val="인입기본설계"/>
      <sheetName val="소요자재명세서"/>
      <sheetName val="기계경비(시간당)"/>
      <sheetName val="램머"/>
      <sheetName val="준공정산"/>
      <sheetName val="공사설명서"/>
      <sheetName val="보도계산금액"/>
      <sheetName val="97-3A"/>
      <sheetName val="수량산출1"/>
      <sheetName val="자재단가표"/>
      <sheetName val="총괄집계표"/>
      <sheetName val="설계명세"/>
      <sheetName val="일위대가표"/>
      <sheetName val="정산내역"/>
      <sheetName val="만년달력"/>
      <sheetName val="달력"/>
      <sheetName val="공사설명서외"/>
      <sheetName val="댁내기별"/>
      <sheetName val="공사계획"/>
      <sheetName val="정산내역서"/>
      <sheetName val="rate"/>
      <sheetName val="추가 품셈표"/>
      <sheetName val="공사통보서"/>
      <sheetName val="기별종합"/>
      <sheetName val="조도"/>
      <sheetName val="6.관급자재조서"/>
      <sheetName val="계수시트"/>
      <sheetName val="피스표"/>
      <sheetName val="철거기별"/>
      <sheetName val="단가품셈"/>
      <sheetName val="지입재료비"/>
      <sheetName val="세부"/>
      <sheetName val="종합기별"/>
      <sheetName val="&quot;운용&quot;설비현황"/>
      <sheetName val="관로공정"/>
      <sheetName val="공종구간"/>
      <sheetName val="총괄표"/>
      <sheetName val="1차 내역서"/>
      <sheetName val="한강운반비"/>
      <sheetName val="전차선로 물량표"/>
      <sheetName val="단가표"/>
      <sheetName val="대신총괄"/>
      <sheetName val="UNIT"/>
      <sheetName val="선로분"/>
      <sheetName val="수량집계"/>
      <sheetName val="현장실사표"/>
      <sheetName val="기별(종합)"/>
      <sheetName val="기계설비-물가변동"/>
      <sheetName val="건축-물가변동"/>
      <sheetName val="노무비명세서"/>
      <sheetName val="과천MAIN"/>
      <sheetName val="Sheet7"/>
      <sheetName val="data"/>
      <sheetName val="기별"/>
      <sheetName val="산출기준"/>
      <sheetName val="Baby일위대가"/>
      <sheetName val="토사(PE)"/>
    </sheetNames>
    <sheetDataSet>
      <sheetData sheetId="0" refreshError="1">
        <row r="8">
          <cell r="F8">
            <v>60905</v>
          </cell>
        </row>
        <row r="17">
          <cell r="F17">
            <v>58936</v>
          </cell>
        </row>
        <row r="18">
          <cell r="F18">
            <v>48217</v>
          </cell>
        </row>
        <row r="19">
          <cell r="F19">
            <v>49344</v>
          </cell>
        </row>
        <row r="20">
          <cell r="F20">
            <v>66587</v>
          </cell>
        </row>
        <row r="23">
          <cell r="F23">
            <v>50512</v>
          </cell>
        </row>
        <row r="27">
          <cell r="F27">
            <v>47001</v>
          </cell>
        </row>
        <row r="36">
          <cell r="F36">
            <v>89795</v>
          </cell>
        </row>
        <row r="37">
          <cell r="F37">
            <v>91323</v>
          </cell>
        </row>
      </sheetData>
      <sheetData sheetId="1" refreshError="1"/>
      <sheetData sheetId="2"/>
      <sheetData sheetId="3"/>
      <sheetData sheetId="4">
        <row r="8">
          <cell r="F8" t="str">
            <v>조</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차"/>
      <sheetName val="공사설명서외"/>
      <sheetName val="Sheet3"/>
      <sheetName val="#REF"/>
      <sheetName val="설계명세서"/>
      <sheetName val="Book1"/>
      <sheetName val="환율"/>
      <sheetName val="인부임"/>
      <sheetName val="예산내역서"/>
      <sheetName val="성단물량"/>
      <sheetName val="정산설계"/>
      <sheetName val="환"/>
      <sheetName val="노임단가"/>
      <sheetName val="설계명세"/>
      <sheetName val="입찰서"/>
      <sheetName val="기초자료입력"/>
      <sheetName val="설계"/>
      <sheetName val="기별종합"/>
      <sheetName val="노임단가표"/>
      <sheetName val="일위대가"/>
      <sheetName val="설계명세서(광)"/>
      <sheetName val="4차설계"/>
      <sheetName val="제직재"/>
      <sheetName val="3.기본식_참조"/>
      <sheetName val="2.장애유형"/>
      <sheetName val="단가표"/>
      <sheetName val="소요자재"/>
      <sheetName val="노무산출서"/>
      <sheetName val=""/>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목차"/>
      <sheetName val="1.공사계획서"/>
      <sheetName val="2.설명서"/>
      <sheetName val="2-1.계통도"/>
      <sheetName val="3.공사비총괄표"/>
      <sheetName val="4.자금계획서"/>
      <sheetName val="5.예정공정표"/>
      <sheetName val="6.공사비예산서"/>
      <sheetName val="7.설계명세서"/>
      <sheetName val="8.공사비산출자료"/>
      <sheetName val="8-1.설비자재산출"/>
      <sheetName val="8-2.조장명세서"/>
      <sheetName val="8-3.시설기별(광케이블)"/>
      <sheetName val="8-4.시설기별(OPGW)"/>
      <sheetName val="8-4.시설기별(OPGW_이설)"/>
      <sheetName val="8-5.노무산출"/>
      <sheetName val="8-6.일위대가표"/>
      <sheetName val="8-7.2017상노임"/>
      <sheetName val="8-8.자재단가비교표"/>
      <sheetName val="견적서"/>
      <sheetName val="8-9.적용근거"/>
      <sheetName val="9.시방서표지"/>
      <sheetName val="10.설계도면"/>
      <sheetName val="10-1. 광코아 계통도"/>
      <sheetName val="10-2. 경과지도"/>
      <sheetName val="10-3.광케이블시설위치도"/>
      <sheetName val="10-4.OPGW위치도"/>
      <sheetName val="10-5. OPGW 시설방안"/>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
      <sheetName val="노무비단가"/>
      <sheetName val="별표 "/>
    </sheetNames>
    <sheetDataSet>
      <sheetData sheetId="0" refreshError="1"/>
      <sheetData sheetId="1" refreshError="1"/>
      <sheetData sheetId="2"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x0000_ÿ"/>
      <sheetName val="원가계산서"/>
      <sheetName val="총괄내역서"/>
      <sheetName val="기타경비내역서"/>
      <sheetName val="내역서"/>
      <sheetName val="일위대가총괄"/>
      <sheetName val="일위대가"/>
      <sheetName val="단가대비표"/>
      <sheetName val="단가산출"/>
      <sheetName val="99노임기준"/>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비"/>
      <sheetName val="토공"/>
      <sheetName val="집계표"/>
      <sheetName val="내역서"/>
      <sheetName val="구조물공"/>
      <sheetName val="부대공"/>
      <sheetName val="배수공"/>
      <sheetName val="포장공"/>
      <sheetName val="2000년1차"/>
      <sheetName val="소일위대가코드표"/>
      <sheetName val="간접비총괄 (2)"/>
      <sheetName val="중기조종사 단위단가"/>
      <sheetName val="기초대가"/>
      <sheetName val="기초대가(05)"/>
      <sheetName val="노임(05)"/>
      <sheetName val="조경단산"/>
      <sheetName val="조경단산(05)"/>
      <sheetName val="조경단산(04)"/>
      <sheetName val="중기(05)"/>
      <sheetName val="기초일위"/>
      <sheetName val="시설일위"/>
      <sheetName val="조명일위"/>
      <sheetName val="기준단가표"/>
      <sheetName val="곡반정지구"/>
      <sheetName val="총괄내역서"/>
      <sheetName val="교각별철근수량집계표"/>
      <sheetName val="조명시설"/>
      <sheetName val="납부서"/>
      <sheetName val="포장재료집계표"/>
      <sheetName val="포장면적산출"/>
      <sheetName val="포장수량집계"/>
      <sheetName val="접속도로1"/>
      <sheetName val="노임이"/>
      <sheetName val="유림골조"/>
      <sheetName val="노무비단가"/>
      <sheetName val="SORCE1"/>
      <sheetName val="9509"/>
      <sheetName val="BOX"/>
      <sheetName val="NYS"/>
      <sheetName val="시중노임단가"/>
      <sheetName val="별표 "/>
      <sheetName val="부표총괄"/>
      <sheetName val="본실행경비"/>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간이공사지시서"/>
      <sheetName val="기별명세"/>
      <sheetName val="품셈표재"/>
      <sheetName val="일위대가"/>
      <sheetName val="원가산출"/>
      <sheetName val="특기"/>
      <sheetName val="도면표재"/>
      <sheetName val="산출명세서 (2)"/>
      <sheetName val="예가봉투"/>
      <sheetName val="예가산출"/>
      <sheetName val="예산서"/>
      <sheetName val="환입내역"/>
      <sheetName val="준공검사보고서"/>
      <sheetName val="준공기별"/>
      <sheetName val="시험성적표재"/>
      <sheetName val="사진표재"/>
      <sheetName val="정산내역"/>
      <sheetName val="Sheet1"/>
      <sheetName val="공사설명서외"/>
      <sheetName val="강동"/>
    </sheetNames>
    <sheetDataSet>
      <sheetData sheetId="0" refreshError="1"/>
      <sheetData sheetId="1" refreshError="1">
        <row r="19">
          <cell r="A19">
            <v>98.02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
      <sheetName val="토목"/>
      <sheetName val="9811"/>
      <sheetName val="Sheet2"/>
      <sheetName val="유림골조"/>
      <sheetName val="노임변동률"/>
      <sheetName val="공사설계서"/>
      <sheetName val="증감대비"/>
      <sheetName val="자재단가"/>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영등포"/>
      <sheetName val="강동"/>
      <sheetName val="강남"/>
      <sheetName val="강서"/>
      <sheetName val="강동 (2)"/>
      <sheetName val="설계명세서"/>
      <sheetName val="기별"/>
      <sheetName val="인부임"/>
    </sheetNames>
    <sheetDataSet>
      <sheetData sheetId="0"/>
      <sheetData sheetId="1" refreshError="1">
        <row r="2">
          <cell r="D2" t="str">
            <v>관리사업소</v>
          </cell>
          <cell r="E2" t="str">
            <v>1차사업소</v>
          </cell>
          <cell r="F2" t="str">
            <v>장치분류명</v>
          </cell>
          <cell r="G2" t="str">
            <v>설치장소</v>
          </cell>
          <cell r="H2" t="str">
            <v>설치일자</v>
          </cell>
          <cell r="I2" t="str">
            <v>모델명</v>
          </cell>
          <cell r="J2" t="str">
            <v>규격</v>
          </cell>
          <cell r="K2" t="str">
            <v>기기번호</v>
          </cell>
          <cell r="L2" t="str">
            <v>제작회사</v>
          </cell>
          <cell r="M2" t="str">
            <v>제작일자</v>
          </cell>
          <cell r="N2" t="str">
            <v>용도</v>
          </cell>
          <cell r="O2" t="str">
            <v>취득단가(천원)</v>
          </cell>
          <cell r="P2" t="str">
            <v>공급업체</v>
          </cell>
          <cell r="Q2" t="str">
            <v>운용상태</v>
          </cell>
          <cell r="R2" t="str">
            <v>긍장(km) /수량(대)</v>
          </cell>
          <cell r="S2" t="str">
            <v>설비사양</v>
          </cell>
          <cell r="T2" t="str">
            <v>이력구분</v>
          </cell>
          <cell r="U2" t="str">
            <v>발생일자</v>
          </cell>
          <cell r="V2" t="str">
            <v>작업자</v>
          </cell>
          <cell r="W2" t="str">
            <v>제목</v>
          </cell>
          <cell r="X2" t="str">
            <v>이력발생내용/특기사항</v>
          </cell>
        </row>
        <row r="4">
          <cell r="D4" t="str">
            <v>남서울지점</v>
          </cell>
          <cell r="E4">
            <v>3970</v>
          </cell>
          <cell r="F4" t="str">
            <v>03</v>
          </cell>
          <cell r="G4" t="str">
            <v>통신실</v>
          </cell>
          <cell r="H4" t="str">
            <v>'95.6</v>
          </cell>
          <cell r="I4" t="str">
            <v>SSM7000</v>
          </cell>
          <cell r="K4">
            <v>501007</v>
          </cell>
          <cell r="L4" t="str">
            <v>삼성전자</v>
          </cell>
          <cell r="M4" t="str">
            <v>'95.1</v>
          </cell>
          <cell r="N4" t="str">
            <v>중간전산기</v>
          </cell>
          <cell r="P4" t="str">
            <v>KDN</v>
          </cell>
          <cell r="Q4" t="str">
            <v>운용</v>
          </cell>
          <cell r="R4">
            <v>1</v>
          </cell>
          <cell r="S4" t="str">
            <v>시스템프린터(HART-8300LP),RAID DISK 1식</v>
          </cell>
        </row>
        <row r="5">
          <cell r="D5" t="str">
            <v>남서울지점</v>
          </cell>
          <cell r="E5">
            <v>3970</v>
          </cell>
          <cell r="F5" t="str">
            <v>01</v>
          </cell>
          <cell r="G5" t="str">
            <v>전산실</v>
          </cell>
          <cell r="I5" t="str">
            <v>PROLIANT1500</v>
          </cell>
          <cell r="K5" t="str">
            <v>UI0109FS1</v>
          </cell>
          <cell r="L5" t="str">
            <v>COMPAQ</v>
          </cell>
          <cell r="N5" t="str">
            <v>FILE SERVER</v>
          </cell>
          <cell r="P5" t="str">
            <v>KDN</v>
          </cell>
          <cell r="Q5" t="str">
            <v>운용</v>
          </cell>
          <cell r="R5">
            <v>1</v>
          </cell>
        </row>
        <row r="6">
          <cell r="D6" t="str">
            <v>남서울지점</v>
          </cell>
          <cell r="E6">
            <v>3970</v>
          </cell>
          <cell r="F6" t="str">
            <v>01</v>
          </cell>
          <cell r="G6" t="str">
            <v>전산실</v>
          </cell>
          <cell r="I6" t="str">
            <v>HP9000/K220</v>
          </cell>
          <cell r="K6" t="str">
            <v>US00065895</v>
          </cell>
          <cell r="L6" t="str">
            <v>HP</v>
          </cell>
          <cell r="N6" t="str">
            <v>인트라넷서버</v>
          </cell>
          <cell r="P6" t="str">
            <v>KDN</v>
          </cell>
          <cell r="Q6" t="str">
            <v>운용</v>
          </cell>
          <cell r="R6">
            <v>1</v>
          </cell>
        </row>
        <row r="7">
          <cell r="D7" t="str">
            <v>남서울지점</v>
          </cell>
          <cell r="E7">
            <v>3970</v>
          </cell>
          <cell r="F7" t="str">
            <v>01</v>
          </cell>
          <cell r="G7" t="str">
            <v>전산실</v>
          </cell>
          <cell r="I7" t="str">
            <v>RS6000</v>
          </cell>
          <cell r="K7" t="str">
            <v>S70151063730</v>
          </cell>
          <cell r="L7" t="str">
            <v>IBM</v>
          </cell>
          <cell r="N7" t="str">
            <v>DGIS서버</v>
          </cell>
          <cell r="P7" t="str">
            <v>대경컴퓨터</v>
          </cell>
          <cell r="Q7" t="str">
            <v>운용</v>
          </cell>
          <cell r="R7">
            <v>1</v>
          </cell>
        </row>
        <row r="8">
          <cell r="D8" t="str">
            <v>남서울지점</v>
          </cell>
          <cell r="E8">
            <v>3970</v>
          </cell>
          <cell r="F8" t="str">
            <v>01</v>
          </cell>
          <cell r="G8" t="str">
            <v>배전자동화과</v>
          </cell>
          <cell r="I8" t="str">
            <v>SCANJET 6100C</v>
          </cell>
          <cell r="J8" t="str">
            <v>A0이상</v>
          </cell>
          <cell r="K8" t="str">
            <v>SG79G140S0</v>
          </cell>
          <cell r="L8" t="str">
            <v>HP</v>
          </cell>
          <cell r="M8" t="str">
            <v>'98.6.24</v>
          </cell>
          <cell r="N8" t="str">
            <v>스캐너(A0이상)</v>
          </cell>
          <cell r="P8" t="str">
            <v>KDN</v>
          </cell>
          <cell r="Q8" t="str">
            <v>운용</v>
          </cell>
          <cell r="R8">
            <v>1</v>
          </cell>
        </row>
        <row r="9">
          <cell r="D9" t="str">
            <v>남서울지점</v>
          </cell>
          <cell r="E9">
            <v>3970</v>
          </cell>
          <cell r="F9" t="str">
            <v>01</v>
          </cell>
          <cell r="G9" t="str">
            <v>배전보수과</v>
          </cell>
          <cell r="I9" t="str">
            <v>SCANJET 6100C</v>
          </cell>
          <cell r="J9" t="str">
            <v>A0이상</v>
          </cell>
          <cell r="K9" t="str">
            <v>SG7CN140CC</v>
          </cell>
          <cell r="L9" t="str">
            <v>HP</v>
          </cell>
          <cell r="M9" t="str">
            <v>'98.6.24</v>
          </cell>
          <cell r="N9" t="str">
            <v>스캐너(A0이상)</v>
          </cell>
          <cell r="P9" t="str">
            <v>KDN</v>
          </cell>
          <cell r="Q9" t="str">
            <v>운용</v>
          </cell>
          <cell r="R9">
            <v>1</v>
          </cell>
        </row>
        <row r="10">
          <cell r="D10" t="str">
            <v>남서울지점</v>
          </cell>
          <cell r="E10">
            <v>3970</v>
          </cell>
          <cell r="F10" t="str">
            <v>01</v>
          </cell>
          <cell r="G10" t="str">
            <v>총무과</v>
          </cell>
          <cell r="I10" t="str">
            <v>SCANJET 6100C</v>
          </cell>
          <cell r="J10" t="str">
            <v>A0이상</v>
          </cell>
          <cell r="K10" t="str">
            <v>SG7CNA140GW</v>
          </cell>
          <cell r="L10" t="str">
            <v>HP</v>
          </cell>
          <cell r="M10" t="str">
            <v>'98.6.24</v>
          </cell>
          <cell r="N10" t="str">
            <v>스캐너(A0미만)</v>
          </cell>
          <cell r="P10" t="str">
            <v>KDN</v>
          </cell>
          <cell r="Q10" t="str">
            <v>운용</v>
          </cell>
          <cell r="R10">
            <v>1</v>
          </cell>
        </row>
        <row r="11">
          <cell r="D11" t="str">
            <v>남서울지점</v>
          </cell>
          <cell r="E11">
            <v>3970</v>
          </cell>
          <cell r="F11" t="str">
            <v>01</v>
          </cell>
          <cell r="G11" t="str">
            <v>지중배전과</v>
          </cell>
          <cell r="I11" t="str">
            <v>JX-450</v>
          </cell>
          <cell r="J11" t="str">
            <v>A0이상</v>
          </cell>
          <cell r="K11" t="str">
            <v>6410050Y</v>
          </cell>
          <cell r="L11" t="str">
            <v>SHARP</v>
          </cell>
          <cell r="M11" t="str">
            <v>'98.3.31</v>
          </cell>
          <cell r="N11" t="str">
            <v>스캐너(A0이상)</v>
          </cell>
          <cell r="P11" t="str">
            <v>KDN</v>
          </cell>
          <cell r="Q11" t="str">
            <v>운용</v>
          </cell>
          <cell r="R11">
            <v>1</v>
          </cell>
        </row>
        <row r="12">
          <cell r="D12" t="str">
            <v>남서울지점</v>
          </cell>
          <cell r="E12">
            <v>3970</v>
          </cell>
          <cell r="F12" t="str">
            <v>01</v>
          </cell>
          <cell r="G12" t="str">
            <v>종합봉사팀</v>
          </cell>
          <cell r="I12" t="str">
            <v>M3097G</v>
          </cell>
          <cell r="J12" t="str">
            <v>A0이상</v>
          </cell>
          <cell r="K12">
            <v>833</v>
          </cell>
          <cell r="L12" t="str">
            <v>FUJITSU</v>
          </cell>
          <cell r="M12" t="str">
            <v>'97.5</v>
          </cell>
          <cell r="N12" t="str">
            <v>스캐너(A0이상)</v>
          </cell>
          <cell r="P12" t="str">
            <v>KDN</v>
          </cell>
          <cell r="Q12" t="str">
            <v>운용</v>
          </cell>
          <cell r="R12">
            <v>1</v>
          </cell>
        </row>
        <row r="13">
          <cell r="D13" t="str">
            <v>남서울지점</v>
          </cell>
          <cell r="E13">
            <v>3970</v>
          </cell>
          <cell r="F13" t="str">
            <v>01</v>
          </cell>
          <cell r="G13" t="str">
            <v>종합봉사팀</v>
          </cell>
          <cell r="I13" t="str">
            <v>M3097G</v>
          </cell>
          <cell r="J13" t="str">
            <v>A0이상</v>
          </cell>
          <cell r="K13">
            <v>507</v>
          </cell>
          <cell r="L13" t="str">
            <v>FUJITSU</v>
          </cell>
          <cell r="M13" t="str">
            <v>'96.12</v>
          </cell>
          <cell r="N13" t="str">
            <v>스캐너(A0이상)</v>
          </cell>
          <cell r="P13" t="str">
            <v>KDN</v>
          </cell>
          <cell r="Q13" t="str">
            <v>운용</v>
          </cell>
          <cell r="R13">
            <v>1</v>
          </cell>
        </row>
        <row r="14">
          <cell r="D14" t="str">
            <v>남서울지점</v>
          </cell>
          <cell r="E14">
            <v>3970</v>
          </cell>
          <cell r="F14" t="str">
            <v>01</v>
          </cell>
          <cell r="G14" t="str">
            <v>종합봉사팀</v>
          </cell>
          <cell r="I14" t="str">
            <v>M3097DG</v>
          </cell>
          <cell r="J14" t="str">
            <v>A0이상</v>
          </cell>
          <cell r="K14">
            <v>228</v>
          </cell>
          <cell r="L14" t="str">
            <v>FUJITSU</v>
          </cell>
          <cell r="M14" t="str">
            <v>'98.4</v>
          </cell>
          <cell r="N14" t="str">
            <v>스캐너(A0이상)</v>
          </cell>
          <cell r="P14" t="str">
            <v>KDN</v>
          </cell>
          <cell r="Q14" t="str">
            <v>운용</v>
          </cell>
          <cell r="R14">
            <v>1</v>
          </cell>
        </row>
        <row r="15">
          <cell r="D15" t="str">
            <v>남서울지점</v>
          </cell>
          <cell r="E15">
            <v>3970</v>
          </cell>
          <cell r="F15" t="str">
            <v>02</v>
          </cell>
          <cell r="G15" t="str">
            <v>정보통신과</v>
          </cell>
          <cell r="I15" t="str">
            <v>Scanjet 4C</v>
          </cell>
          <cell r="J15" t="str">
            <v>A0미만</v>
          </cell>
          <cell r="L15" t="str">
            <v>HP</v>
          </cell>
          <cell r="M15" t="str">
            <v>'97.8.25</v>
          </cell>
          <cell r="N15" t="str">
            <v>스캐너(A0이상)</v>
          </cell>
          <cell r="P15" t="str">
            <v>KDN</v>
          </cell>
          <cell r="Q15" t="str">
            <v>운용</v>
          </cell>
          <cell r="R15">
            <v>1</v>
          </cell>
        </row>
        <row r="16">
          <cell r="D16" t="str">
            <v>남서울지점</v>
          </cell>
          <cell r="E16">
            <v>3970</v>
          </cell>
          <cell r="F16" t="str">
            <v>02</v>
          </cell>
          <cell r="G16" t="str">
            <v>배전과</v>
          </cell>
          <cell r="I16" t="str">
            <v>Scanjet 4C</v>
          </cell>
          <cell r="J16" t="str">
            <v>A0미만</v>
          </cell>
          <cell r="K16" t="str">
            <v>SG747340V3</v>
          </cell>
          <cell r="L16" t="str">
            <v>HP</v>
          </cell>
          <cell r="M16" t="str">
            <v>'97.8.25</v>
          </cell>
          <cell r="N16" t="str">
            <v>스캐너(A0미만)</v>
          </cell>
          <cell r="P16" t="str">
            <v>KDN</v>
          </cell>
          <cell r="Q16" t="str">
            <v>운용</v>
          </cell>
          <cell r="R16">
            <v>1</v>
          </cell>
        </row>
        <row r="17">
          <cell r="D17" t="str">
            <v>남서울지점</v>
          </cell>
          <cell r="E17">
            <v>3970</v>
          </cell>
          <cell r="F17" t="str">
            <v>02</v>
          </cell>
          <cell r="G17" t="str">
            <v>지중보수과</v>
          </cell>
          <cell r="I17" t="str">
            <v>Scanjet 4C</v>
          </cell>
          <cell r="J17" t="str">
            <v>A0미만</v>
          </cell>
          <cell r="K17" t="str">
            <v>SG747340V1</v>
          </cell>
          <cell r="L17" t="str">
            <v>HP</v>
          </cell>
          <cell r="M17" t="str">
            <v>'97.8.25</v>
          </cell>
          <cell r="N17" t="str">
            <v>스캐너(A0미만)</v>
          </cell>
          <cell r="P17" t="str">
            <v>KDN</v>
          </cell>
          <cell r="Q17" t="str">
            <v>운용</v>
          </cell>
          <cell r="R17">
            <v>1</v>
          </cell>
        </row>
        <row r="18">
          <cell r="D18" t="str">
            <v>남서울지점</v>
          </cell>
          <cell r="E18">
            <v>3970</v>
          </cell>
          <cell r="F18" t="str">
            <v>02</v>
          </cell>
          <cell r="G18" t="str">
            <v>배전운영과</v>
          </cell>
          <cell r="I18" t="str">
            <v>Scanjet 4C</v>
          </cell>
          <cell r="J18" t="str">
            <v>A0미만</v>
          </cell>
          <cell r="K18">
            <v>235036</v>
          </cell>
          <cell r="L18" t="str">
            <v>HP</v>
          </cell>
          <cell r="M18" t="str">
            <v>'97.8.25</v>
          </cell>
          <cell r="N18" t="str">
            <v>스캐너(A0미만)</v>
          </cell>
          <cell r="P18" t="str">
            <v>KDN</v>
          </cell>
          <cell r="Q18" t="str">
            <v>운용</v>
          </cell>
          <cell r="R18">
            <v>1</v>
          </cell>
        </row>
        <row r="19">
          <cell r="D19" t="str">
            <v>남서울지점</v>
          </cell>
          <cell r="E19">
            <v>3970</v>
          </cell>
          <cell r="F19" t="str">
            <v>02</v>
          </cell>
          <cell r="G19" t="str">
            <v>전산과</v>
          </cell>
          <cell r="I19" t="str">
            <v>Scanjet 4C</v>
          </cell>
          <cell r="J19" t="str">
            <v>A0미만</v>
          </cell>
          <cell r="K19">
            <v>235028</v>
          </cell>
          <cell r="L19" t="str">
            <v>HP</v>
          </cell>
          <cell r="M19" t="str">
            <v>'97.8.25</v>
          </cell>
          <cell r="N19" t="str">
            <v>스캐너(A0미만)</v>
          </cell>
          <cell r="P19" t="str">
            <v>KDN</v>
          </cell>
          <cell r="Q19" t="str">
            <v>운용</v>
          </cell>
          <cell r="R19">
            <v>1</v>
          </cell>
        </row>
        <row r="20">
          <cell r="D20" t="str">
            <v>남서울지점</v>
          </cell>
          <cell r="E20">
            <v>3970</v>
          </cell>
          <cell r="F20" t="str">
            <v>01</v>
          </cell>
          <cell r="G20" t="str">
            <v>종합봉사팀</v>
          </cell>
          <cell r="I20" t="str">
            <v>JX330P</v>
          </cell>
          <cell r="J20" t="str">
            <v>A0이상</v>
          </cell>
          <cell r="L20" t="str">
            <v>SHARP</v>
          </cell>
          <cell r="N20" t="str">
            <v>스캐너(A0이상)</v>
          </cell>
          <cell r="P20" t="str">
            <v>KDN</v>
          </cell>
          <cell r="Q20" t="str">
            <v>운용</v>
          </cell>
          <cell r="R20">
            <v>1</v>
          </cell>
        </row>
        <row r="21">
          <cell r="D21" t="str">
            <v>남서울지점</v>
          </cell>
          <cell r="E21">
            <v>3970</v>
          </cell>
          <cell r="F21" t="str">
            <v>07</v>
          </cell>
          <cell r="G21" t="str">
            <v>전산과</v>
          </cell>
          <cell r="H21" t="str">
            <v>99.6.24</v>
          </cell>
          <cell r="I21" t="str">
            <v>HP-750C PLUS</v>
          </cell>
          <cell r="K21" t="str">
            <v>ESA9509725</v>
          </cell>
          <cell r="L21" t="str">
            <v>한국HP</v>
          </cell>
          <cell r="M21" t="str">
            <v>99.6</v>
          </cell>
          <cell r="N21" t="str">
            <v>플로터</v>
          </cell>
          <cell r="P21" t="str">
            <v>KDN</v>
          </cell>
          <cell r="Q21" t="str">
            <v>운용</v>
          </cell>
          <cell r="R21">
            <v>1</v>
          </cell>
        </row>
        <row r="22">
          <cell r="D22" t="str">
            <v>남서울지점</v>
          </cell>
          <cell r="E22">
            <v>3970</v>
          </cell>
          <cell r="F22" t="str">
            <v>07</v>
          </cell>
          <cell r="G22" t="str">
            <v>전산과</v>
          </cell>
          <cell r="I22">
            <v>68436</v>
          </cell>
          <cell r="K22">
            <v>9149225005</v>
          </cell>
          <cell r="L22" t="str">
            <v>Calcomp</v>
          </cell>
          <cell r="N22" t="str">
            <v>플로터</v>
          </cell>
          <cell r="Q22" t="str">
            <v>운용</v>
          </cell>
          <cell r="R22">
            <v>1</v>
          </cell>
        </row>
        <row r="23">
          <cell r="D23" t="str">
            <v>남서울지점</v>
          </cell>
          <cell r="E23">
            <v>3970</v>
          </cell>
          <cell r="F23" t="str">
            <v>01</v>
          </cell>
          <cell r="G23" t="str">
            <v>전산과</v>
          </cell>
          <cell r="I23" t="str">
            <v>NCR S40</v>
          </cell>
          <cell r="L23" t="str">
            <v>한국엔씨알</v>
          </cell>
          <cell r="N23" t="str">
            <v>전자결재시스템</v>
          </cell>
          <cell r="P23" t="str">
            <v>KDN</v>
          </cell>
          <cell r="Q23" t="str">
            <v>운용</v>
          </cell>
          <cell r="R23">
            <v>1</v>
          </cell>
        </row>
        <row r="24">
          <cell r="D24" t="str">
            <v>남서울지점</v>
          </cell>
          <cell r="E24">
            <v>3970</v>
          </cell>
          <cell r="F24" t="str">
            <v>01</v>
          </cell>
          <cell r="G24" t="str">
            <v>통신실</v>
          </cell>
          <cell r="H24" t="str">
            <v>99.10</v>
          </cell>
          <cell r="I24" t="str">
            <v>ARS 10</v>
          </cell>
          <cell r="K24" t="str">
            <v>DJ128035</v>
          </cell>
          <cell r="L24" t="str">
            <v>㈜다이알로직</v>
          </cell>
          <cell r="M24" t="str">
            <v>99.10</v>
          </cell>
          <cell r="N24" t="str">
            <v>ARS</v>
          </cell>
          <cell r="P24" t="str">
            <v>㈜다이알로직</v>
          </cell>
          <cell r="Q24" t="str">
            <v>운용</v>
          </cell>
          <cell r="R24">
            <v>1</v>
          </cell>
          <cell r="S24" t="str">
            <v>Windows NT4.01</v>
          </cell>
        </row>
        <row r="25">
          <cell r="D25" t="str">
            <v>남서울지점</v>
          </cell>
          <cell r="E25">
            <v>3970</v>
          </cell>
          <cell r="F25" t="str">
            <v>02</v>
          </cell>
          <cell r="G25" t="str">
            <v>통신실</v>
          </cell>
          <cell r="H25" t="str">
            <v>94.6</v>
          </cell>
          <cell r="I25" t="str">
            <v>STAREX-LD</v>
          </cell>
          <cell r="J25" t="str">
            <v>200회선</v>
          </cell>
          <cell r="K25">
            <v>194042</v>
          </cell>
          <cell r="L25" t="str">
            <v>금성정보통신</v>
          </cell>
          <cell r="M25" t="str">
            <v>'94.6</v>
          </cell>
          <cell r="N25" t="str">
            <v>교환기</v>
          </cell>
          <cell r="P25" t="str">
            <v>금성정보통신</v>
          </cell>
          <cell r="Q25" t="str">
            <v>운용</v>
          </cell>
          <cell r="R25">
            <v>1</v>
          </cell>
        </row>
        <row r="26">
          <cell r="D26" t="str">
            <v>남서울지점</v>
          </cell>
          <cell r="E26">
            <v>3970</v>
          </cell>
          <cell r="F26" t="str">
            <v>01</v>
          </cell>
          <cell r="G26" t="str">
            <v>통신실</v>
          </cell>
          <cell r="H26" t="str">
            <v>93.8</v>
          </cell>
          <cell r="I26" t="str">
            <v>KD-728</v>
          </cell>
          <cell r="J26" t="str">
            <v>72회선</v>
          </cell>
          <cell r="K26">
            <v>93019</v>
          </cell>
          <cell r="L26" t="str">
            <v>극동전자</v>
          </cell>
          <cell r="M26" t="str">
            <v>'93.8</v>
          </cell>
          <cell r="N26" t="str">
            <v>급전지령</v>
          </cell>
          <cell r="P26" t="str">
            <v>극동전자</v>
          </cell>
          <cell r="Q26" t="str">
            <v>운용</v>
          </cell>
          <cell r="R26">
            <v>1</v>
          </cell>
        </row>
        <row r="27">
          <cell r="D27" t="str">
            <v>남서울지점</v>
          </cell>
          <cell r="E27">
            <v>3970</v>
          </cell>
          <cell r="F27" t="str">
            <v>02</v>
          </cell>
          <cell r="G27" t="str">
            <v>통신실</v>
          </cell>
          <cell r="I27" t="str">
            <v>GDK-820A</v>
          </cell>
          <cell r="J27" t="str">
            <v>20회선</v>
          </cell>
          <cell r="L27" t="str">
            <v>LGIC</v>
          </cell>
          <cell r="N27" t="str">
            <v>키폰</v>
          </cell>
          <cell r="P27" t="str">
            <v>LGIC</v>
          </cell>
          <cell r="Q27" t="str">
            <v>운용</v>
          </cell>
          <cell r="R27">
            <v>1</v>
          </cell>
        </row>
        <row r="28">
          <cell r="D28" t="str">
            <v>남서울지점</v>
          </cell>
          <cell r="E28">
            <v>3970</v>
          </cell>
          <cell r="F28" t="str">
            <v>03</v>
          </cell>
          <cell r="G28" t="str">
            <v>배전운영과</v>
          </cell>
          <cell r="I28" t="str">
            <v>GK-1840</v>
          </cell>
          <cell r="J28" t="str">
            <v>키폰전화기</v>
          </cell>
          <cell r="L28" t="str">
            <v>금성전자</v>
          </cell>
          <cell r="M28" t="str">
            <v>'94.8</v>
          </cell>
          <cell r="N28" t="str">
            <v>키폰전화기</v>
          </cell>
          <cell r="P28" t="str">
            <v>금성전자</v>
          </cell>
          <cell r="Q28" t="str">
            <v>운용</v>
          </cell>
          <cell r="R28">
            <v>11</v>
          </cell>
        </row>
        <row r="29">
          <cell r="D29" t="str">
            <v>남서울지점</v>
          </cell>
          <cell r="E29">
            <v>3970</v>
          </cell>
          <cell r="F29" t="str">
            <v>04</v>
          </cell>
          <cell r="G29" t="str">
            <v>전산과</v>
          </cell>
          <cell r="I29" t="str">
            <v>GS-5200FM</v>
          </cell>
          <cell r="J29" t="str">
            <v>일반전화기</v>
          </cell>
          <cell r="L29" t="str">
            <v>금성전자</v>
          </cell>
          <cell r="M29" t="str">
            <v>'91.5</v>
          </cell>
          <cell r="N29" t="str">
            <v>일반전화기</v>
          </cell>
          <cell r="P29" t="str">
            <v>금성전자</v>
          </cell>
          <cell r="Q29" t="str">
            <v>운용</v>
          </cell>
          <cell r="R29">
            <v>106</v>
          </cell>
        </row>
        <row r="30">
          <cell r="D30" t="str">
            <v>남서울지점</v>
          </cell>
          <cell r="E30">
            <v>3970</v>
          </cell>
          <cell r="F30" t="str">
            <v>05</v>
          </cell>
          <cell r="G30" t="str">
            <v>배전과</v>
          </cell>
          <cell r="H30" t="str">
            <v>'97.1</v>
          </cell>
          <cell r="I30" t="str">
            <v>COFAX5200</v>
          </cell>
          <cell r="K30" t="str">
            <v>B31H106977</v>
          </cell>
          <cell r="L30" t="str">
            <v>삼성전자</v>
          </cell>
          <cell r="M30" t="str">
            <v>'96.2</v>
          </cell>
          <cell r="N30" t="str">
            <v>팩시밀리</v>
          </cell>
          <cell r="P30" t="str">
            <v>삼성전자</v>
          </cell>
          <cell r="Q30" t="str">
            <v>운용</v>
          </cell>
          <cell r="R30">
            <v>1</v>
          </cell>
        </row>
        <row r="31">
          <cell r="D31" t="str">
            <v>남서울지점</v>
          </cell>
          <cell r="E31">
            <v>3970</v>
          </cell>
          <cell r="F31" t="str">
            <v>05</v>
          </cell>
          <cell r="G31" t="str">
            <v>총무과</v>
          </cell>
          <cell r="H31" t="str">
            <v>'96.11.5</v>
          </cell>
          <cell r="I31" t="str">
            <v>COFAX5200</v>
          </cell>
          <cell r="K31" t="str">
            <v>CF60900109</v>
          </cell>
          <cell r="L31" t="str">
            <v>삼성전자</v>
          </cell>
          <cell r="M31" t="str">
            <v>'96.11.5</v>
          </cell>
          <cell r="N31" t="str">
            <v>팩시밀리</v>
          </cell>
          <cell r="P31" t="str">
            <v>삼성전자</v>
          </cell>
          <cell r="Q31" t="str">
            <v>운용</v>
          </cell>
          <cell r="R31">
            <v>1</v>
          </cell>
        </row>
        <row r="32">
          <cell r="D32" t="str">
            <v>남서울지점</v>
          </cell>
          <cell r="E32">
            <v>3970</v>
          </cell>
          <cell r="F32" t="str">
            <v>05</v>
          </cell>
          <cell r="G32" t="str">
            <v>종합봉사팀</v>
          </cell>
          <cell r="H32" t="str">
            <v>'95.3</v>
          </cell>
          <cell r="I32" t="str">
            <v>COFAX5500</v>
          </cell>
          <cell r="K32" t="str">
            <v>CF50100772</v>
          </cell>
          <cell r="L32" t="str">
            <v>삼성전자</v>
          </cell>
          <cell r="M32" t="str">
            <v>'95.3</v>
          </cell>
          <cell r="N32" t="str">
            <v>팩시밀리</v>
          </cell>
          <cell r="P32" t="str">
            <v>삼성전자</v>
          </cell>
          <cell r="Q32" t="str">
            <v>운용</v>
          </cell>
          <cell r="R32">
            <v>1</v>
          </cell>
        </row>
        <row r="33">
          <cell r="D33" t="str">
            <v>남서울지점</v>
          </cell>
          <cell r="E33">
            <v>3970</v>
          </cell>
          <cell r="F33" t="str">
            <v>05</v>
          </cell>
          <cell r="G33" t="str">
            <v>배전운영팀</v>
          </cell>
          <cell r="H33" t="str">
            <v>'97.3.19</v>
          </cell>
          <cell r="I33" t="str">
            <v>COFAX5200</v>
          </cell>
          <cell r="K33" t="str">
            <v>CF70100419</v>
          </cell>
          <cell r="L33" t="str">
            <v>삼성전자</v>
          </cell>
          <cell r="M33" t="str">
            <v>'97.3.19</v>
          </cell>
          <cell r="N33" t="str">
            <v>팩시밀리</v>
          </cell>
          <cell r="P33" t="str">
            <v>삼성전자</v>
          </cell>
          <cell r="Q33" t="str">
            <v>운용</v>
          </cell>
          <cell r="R33">
            <v>1</v>
          </cell>
        </row>
        <row r="34">
          <cell r="D34" t="str">
            <v>남서울지점</v>
          </cell>
          <cell r="E34">
            <v>3970</v>
          </cell>
          <cell r="F34" t="str">
            <v>03</v>
          </cell>
          <cell r="G34" t="str">
            <v>통신실</v>
          </cell>
          <cell r="I34" t="str">
            <v>CISCO2501</v>
          </cell>
          <cell r="J34" t="str">
            <v>2S1E</v>
          </cell>
          <cell r="K34">
            <v>25024268</v>
          </cell>
          <cell r="L34" t="str">
            <v>Cisco Systems</v>
          </cell>
          <cell r="N34" t="str">
            <v>라우터</v>
          </cell>
          <cell r="P34" t="str">
            <v>KDN</v>
          </cell>
          <cell r="Q34" t="str">
            <v>운용</v>
          </cell>
          <cell r="R34">
            <v>1</v>
          </cell>
        </row>
        <row r="35">
          <cell r="D35" t="str">
            <v>남서울지점</v>
          </cell>
          <cell r="E35">
            <v>3970</v>
          </cell>
          <cell r="F35" t="str">
            <v>04</v>
          </cell>
          <cell r="G35" t="str">
            <v>통신실</v>
          </cell>
          <cell r="H35" t="str">
            <v>98.3</v>
          </cell>
          <cell r="I35" t="str">
            <v>OMNI-5WX</v>
          </cell>
          <cell r="J35" t="str">
            <v>64port</v>
          </cell>
          <cell r="K35">
            <v>90031000</v>
          </cell>
          <cell r="L35" t="str">
            <v>XYLAN</v>
          </cell>
          <cell r="M35" t="str">
            <v>98.3</v>
          </cell>
          <cell r="N35" t="str">
            <v>스위칭 허브</v>
          </cell>
          <cell r="P35" t="str">
            <v>KDN</v>
          </cell>
          <cell r="Q35" t="str">
            <v>운용</v>
          </cell>
          <cell r="R35">
            <v>1</v>
          </cell>
        </row>
        <row r="36">
          <cell r="D36" t="str">
            <v>남서울지점</v>
          </cell>
          <cell r="E36">
            <v>3970</v>
          </cell>
          <cell r="F36">
            <v>99</v>
          </cell>
          <cell r="G36" t="str">
            <v>영 업 팀</v>
          </cell>
          <cell r="I36" t="str">
            <v>AT-3612TR</v>
          </cell>
          <cell r="J36" t="str">
            <v>12port</v>
          </cell>
          <cell r="L36" t="str">
            <v>Allied Telesys</v>
          </cell>
          <cell r="N36" t="str">
            <v>HUB</v>
          </cell>
          <cell r="P36" t="str">
            <v>KDN</v>
          </cell>
          <cell r="Q36" t="str">
            <v>운용</v>
          </cell>
          <cell r="R36">
            <v>1</v>
          </cell>
        </row>
        <row r="37">
          <cell r="D37" t="str">
            <v>남서울지점</v>
          </cell>
          <cell r="E37">
            <v>3970</v>
          </cell>
          <cell r="F37">
            <v>99</v>
          </cell>
          <cell r="G37" t="str">
            <v>영 업 팀</v>
          </cell>
          <cell r="I37" t="str">
            <v>AT-3612TR</v>
          </cell>
          <cell r="J37" t="str">
            <v>12port</v>
          </cell>
          <cell r="L37" t="str">
            <v>Allied Telesys</v>
          </cell>
          <cell r="N37" t="str">
            <v>HUB</v>
          </cell>
          <cell r="P37" t="str">
            <v>KDN</v>
          </cell>
          <cell r="Q37" t="str">
            <v>운용</v>
          </cell>
          <cell r="R37">
            <v>1</v>
          </cell>
        </row>
        <row r="38">
          <cell r="D38" t="str">
            <v>남서울지점</v>
          </cell>
          <cell r="E38">
            <v>3970</v>
          </cell>
          <cell r="F38">
            <v>99</v>
          </cell>
          <cell r="G38" t="str">
            <v>영 업 팀</v>
          </cell>
          <cell r="I38" t="str">
            <v>AT-3612TR</v>
          </cell>
          <cell r="J38" t="str">
            <v>12port</v>
          </cell>
          <cell r="L38" t="str">
            <v>Allied Telesys</v>
          </cell>
          <cell r="N38" t="str">
            <v>HUB</v>
          </cell>
          <cell r="P38" t="str">
            <v>KDN</v>
          </cell>
          <cell r="Q38" t="str">
            <v>운용</v>
          </cell>
          <cell r="R38">
            <v>1</v>
          </cell>
        </row>
        <row r="39">
          <cell r="D39" t="str">
            <v>남서울지점</v>
          </cell>
          <cell r="E39">
            <v>3970</v>
          </cell>
          <cell r="F39">
            <v>99</v>
          </cell>
          <cell r="G39" t="str">
            <v>종합봉사팀</v>
          </cell>
          <cell r="I39" t="str">
            <v>etherpeer-16PI</v>
          </cell>
          <cell r="J39" t="str">
            <v>12port</v>
          </cell>
          <cell r="K39" t="str">
            <v>003148</v>
          </cell>
          <cell r="L39" t="str">
            <v>SDC</v>
          </cell>
          <cell r="N39" t="str">
            <v>HUB</v>
          </cell>
          <cell r="P39" t="str">
            <v>KDN</v>
          </cell>
          <cell r="Q39" t="str">
            <v>운용</v>
          </cell>
          <cell r="R39">
            <v>1</v>
          </cell>
        </row>
        <row r="40">
          <cell r="D40" t="str">
            <v>남서울지점</v>
          </cell>
          <cell r="E40">
            <v>3970</v>
          </cell>
          <cell r="F40">
            <v>99</v>
          </cell>
          <cell r="G40" t="str">
            <v>영업운영팀</v>
          </cell>
          <cell r="I40" t="str">
            <v>GeoStax/E</v>
          </cell>
          <cell r="J40" t="str">
            <v>16port</v>
          </cell>
          <cell r="L40" t="str">
            <v>UB Networks</v>
          </cell>
          <cell r="N40" t="str">
            <v>HUB</v>
          </cell>
          <cell r="P40" t="str">
            <v>KDN</v>
          </cell>
          <cell r="Q40" t="str">
            <v>운용</v>
          </cell>
          <cell r="R40">
            <v>1</v>
          </cell>
        </row>
        <row r="41">
          <cell r="D41" t="str">
            <v>남서울지점</v>
          </cell>
          <cell r="E41">
            <v>3970</v>
          </cell>
          <cell r="F41">
            <v>99</v>
          </cell>
          <cell r="G41" t="str">
            <v>영업운영팀</v>
          </cell>
          <cell r="I41" t="str">
            <v>GeoStax/E</v>
          </cell>
          <cell r="J41" t="str">
            <v>16port</v>
          </cell>
          <cell r="L41" t="str">
            <v>UB Networks</v>
          </cell>
          <cell r="N41" t="str">
            <v>HUB</v>
          </cell>
          <cell r="P41" t="str">
            <v>KDN</v>
          </cell>
          <cell r="Q41" t="str">
            <v>운용</v>
          </cell>
          <cell r="R41">
            <v>1</v>
          </cell>
        </row>
        <row r="42">
          <cell r="D42" t="str">
            <v>남서울지점</v>
          </cell>
          <cell r="E42">
            <v>3970</v>
          </cell>
          <cell r="F42">
            <v>99</v>
          </cell>
          <cell r="G42" t="str">
            <v>영업운영팀</v>
          </cell>
          <cell r="J42" t="str">
            <v>8port</v>
          </cell>
          <cell r="N42" t="str">
            <v>HUB</v>
          </cell>
          <cell r="P42" t="str">
            <v>KDN</v>
          </cell>
          <cell r="Q42" t="str">
            <v>운용</v>
          </cell>
          <cell r="R42">
            <v>1</v>
          </cell>
        </row>
        <row r="43">
          <cell r="D43" t="str">
            <v>남서울지점</v>
          </cell>
          <cell r="E43">
            <v>3970</v>
          </cell>
          <cell r="F43">
            <v>99</v>
          </cell>
          <cell r="G43" t="str">
            <v>배전운영부</v>
          </cell>
          <cell r="I43" t="str">
            <v>AT-3612TR</v>
          </cell>
          <cell r="J43" t="str">
            <v>12port</v>
          </cell>
          <cell r="L43" t="str">
            <v>Allied Telesys</v>
          </cell>
          <cell r="N43" t="str">
            <v>HUB</v>
          </cell>
          <cell r="P43" t="str">
            <v>KDN</v>
          </cell>
          <cell r="Q43" t="str">
            <v>운용</v>
          </cell>
          <cell r="R43">
            <v>1</v>
          </cell>
        </row>
        <row r="44">
          <cell r="D44" t="str">
            <v>남서울지점</v>
          </cell>
          <cell r="E44">
            <v>3970</v>
          </cell>
          <cell r="F44">
            <v>99</v>
          </cell>
          <cell r="G44" t="str">
            <v>배전운영부</v>
          </cell>
          <cell r="I44" t="str">
            <v>AT-3612TR</v>
          </cell>
          <cell r="J44" t="str">
            <v>12port</v>
          </cell>
          <cell r="L44" t="str">
            <v>Allied Telesys</v>
          </cell>
          <cell r="N44" t="str">
            <v>HUB</v>
          </cell>
          <cell r="P44" t="str">
            <v>KDN</v>
          </cell>
          <cell r="Q44" t="str">
            <v>운용</v>
          </cell>
          <cell r="R44">
            <v>1</v>
          </cell>
        </row>
        <row r="45">
          <cell r="D45" t="str">
            <v>남서울지점</v>
          </cell>
          <cell r="E45">
            <v>3970</v>
          </cell>
          <cell r="F45">
            <v>99</v>
          </cell>
          <cell r="G45" t="str">
            <v>배전운영부</v>
          </cell>
          <cell r="I45" t="str">
            <v>AT-3612TR</v>
          </cell>
          <cell r="J45" t="str">
            <v>12port</v>
          </cell>
          <cell r="L45" t="str">
            <v>Allied Telesys</v>
          </cell>
          <cell r="N45" t="str">
            <v>HUB</v>
          </cell>
          <cell r="P45" t="str">
            <v>KDN</v>
          </cell>
          <cell r="Q45" t="str">
            <v>운용</v>
          </cell>
          <cell r="R45">
            <v>1</v>
          </cell>
        </row>
        <row r="46">
          <cell r="D46" t="str">
            <v>남서울지점</v>
          </cell>
          <cell r="E46">
            <v>3970</v>
          </cell>
          <cell r="F46">
            <v>99</v>
          </cell>
          <cell r="G46" t="str">
            <v>배전부</v>
          </cell>
          <cell r="I46" t="str">
            <v>GeoStax/E</v>
          </cell>
          <cell r="J46" t="str">
            <v>16port</v>
          </cell>
          <cell r="L46" t="str">
            <v>UB Networks</v>
          </cell>
          <cell r="N46" t="str">
            <v>HUB</v>
          </cell>
          <cell r="P46" t="str">
            <v>KDN</v>
          </cell>
          <cell r="Q46" t="str">
            <v>운용</v>
          </cell>
          <cell r="R46">
            <v>1</v>
          </cell>
        </row>
        <row r="47">
          <cell r="D47" t="str">
            <v>남서울지점</v>
          </cell>
          <cell r="E47">
            <v>3970</v>
          </cell>
          <cell r="F47">
            <v>99</v>
          </cell>
          <cell r="G47" t="str">
            <v>배전부</v>
          </cell>
          <cell r="I47" t="str">
            <v>GeoStax/E</v>
          </cell>
          <cell r="J47" t="str">
            <v>16port</v>
          </cell>
          <cell r="L47" t="str">
            <v>UB Networks</v>
          </cell>
          <cell r="N47" t="str">
            <v>HUB</v>
          </cell>
          <cell r="P47" t="str">
            <v>KDN</v>
          </cell>
          <cell r="Q47" t="str">
            <v>운용</v>
          </cell>
          <cell r="R47">
            <v>1</v>
          </cell>
        </row>
        <row r="48">
          <cell r="D48" t="str">
            <v>남서울지점</v>
          </cell>
          <cell r="E48">
            <v>3970</v>
          </cell>
          <cell r="F48">
            <v>99</v>
          </cell>
          <cell r="G48" t="str">
            <v>배전부</v>
          </cell>
          <cell r="I48" t="str">
            <v>EH-801</v>
          </cell>
          <cell r="J48" t="str">
            <v>8port</v>
          </cell>
          <cell r="N48" t="str">
            <v>HUB</v>
          </cell>
          <cell r="P48" t="str">
            <v>KDN</v>
          </cell>
          <cell r="Q48" t="str">
            <v>운용</v>
          </cell>
          <cell r="R48">
            <v>1</v>
          </cell>
        </row>
        <row r="49">
          <cell r="D49" t="str">
            <v>남서울지점</v>
          </cell>
          <cell r="E49">
            <v>3970</v>
          </cell>
          <cell r="F49">
            <v>99</v>
          </cell>
          <cell r="G49" t="str">
            <v>통 신 실</v>
          </cell>
          <cell r="I49" t="str">
            <v>GeoStax/E</v>
          </cell>
          <cell r="J49" t="str">
            <v>16port</v>
          </cell>
          <cell r="K49" t="str">
            <v>Y731BFQB0219</v>
          </cell>
          <cell r="L49" t="str">
            <v>UB Networks</v>
          </cell>
          <cell r="N49" t="str">
            <v>HUB</v>
          </cell>
          <cell r="P49" t="str">
            <v>KDN</v>
          </cell>
          <cell r="Q49" t="str">
            <v>운용</v>
          </cell>
          <cell r="R49">
            <v>1</v>
          </cell>
        </row>
        <row r="50">
          <cell r="D50" t="str">
            <v>남서울지점</v>
          </cell>
          <cell r="E50">
            <v>3970</v>
          </cell>
          <cell r="F50">
            <v>99</v>
          </cell>
          <cell r="G50" t="str">
            <v>교 육 장</v>
          </cell>
          <cell r="I50" t="str">
            <v>EH-801</v>
          </cell>
          <cell r="J50" t="str">
            <v>8port</v>
          </cell>
          <cell r="K50" t="str">
            <v>7100018</v>
          </cell>
          <cell r="N50" t="str">
            <v>HUB</v>
          </cell>
          <cell r="P50" t="str">
            <v>KDN</v>
          </cell>
          <cell r="Q50" t="str">
            <v>운용</v>
          </cell>
          <cell r="R50">
            <v>1</v>
          </cell>
        </row>
        <row r="51">
          <cell r="D51" t="str">
            <v>남서울지점</v>
          </cell>
          <cell r="E51">
            <v>3970</v>
          </cell>
          <cell r="F51">
            <v>99</v>
          </cell>
          <cell r="G51" t="str">
            <v>교 육 장</v>
          </cell>
          <cell r="I51" t="str">
            <v>EH-801</v>
          </cell>
          <cell r="J51" t="str">
            <v>8port</v>
          </cell>
          <cell r="K51" t="str">
            <v>7100029</v>
          </cell>
          <cell r="N51" t="str">
            <v>HUB</v>
          </cell>
          <cell r="P51" t="str">
            <v>KDN</v>
          </cell>
          <cell r="Q51" t="str">
            <v>운용</v>
          </cell>
          <cell r="R51">
            <v>1</v>
          </cell>
        </row>
        <row r="52">
          <cell r="D52" t="str">
            <v>남서울지점</v>
          </cell>
          <cell r="E52">
            <v>3970</v>
          </cell>
          <cell r="F52" t="str">
            <v>01</v>
          </cell>
          <cell r="G52" t="str">
            <v>통신실</v>
          </cell>
          <cell r="I52" t="str">
            <v>DUAL-LINK</v>
          </cell>
          <cell r="J52" t="str">
            <v>14000BPS</v>
          </cell>
          <cell r="L52" t="str">
            <v>두얼(주)</v>
          </cell>
          <cell r="M52" t="str">
            <v>'94.10</v>
          </cell>
          <cell r="Q52" t="str">
            <v>운용</v>
          </cell>
          <cell r="R52">
            <v>1</v>
          </cell>
          <cell r="S52" t="str">
            <v>LAN용</v>
          </cell>
        </row>
        <row r="53">
          <cell r="D53" t="str">
            <v>남서울지점</v>
          </cell>
          <cell r="E53">
            <v>3970</v>
          </cell>
          <cell r="F53" t="str">
            <v>01</v>
          </cell>
          <cell r="G53" t="str">
            <v>통신실</v>
          </cell>
          <cell r="I53" t="str">
            <v>X-TAL24N</v>
          </cell>
          <cell r="J53" t="str">
            <v>2400BPS</v>
          </cell>
          <cell r="L53" t="str">
            <v>콤텍시스템</v>
          </cell>
          <cell r="M53" t="str">
            <v>'89.10</v>
          </cell>
          <cell r="Q53" t="str">
            <v>운용</v>
          </cell>
          <cell r="R53">
            <v>1</v>
          </cell>
          <cell r="S53" t="str">
            <v>RTU용</v>
          </cell>
        </row>
        <row r="54">
          <cell r="D54" t="str">
            <v>남서울지점</v>
          </cell>
          <cell r="E54">
            <v>3970</v>
          </cell>
          <cell r="F54" t="str">
            <v>01</v>
          </cell>
          <cell r="G54" t="str">
            <v>통신실</v>
          </cell>
          <cell r="H54" t="str">
            <v>98.1</v>
          </cell>
          <cell r="I54" t="str">
            <v>X-TAL7063</v>
          </cell>
          <cell r="J54" t="str">
            <v>9600bps</v>
          </cell>
          <cell r="K54">
            <v>8023700068</v>
          </cell>
          <cell r="L54" t="str">
            <v>COMTEC</v>
          </cell>
          <cell r="M54" t="str">
            <v>98.1</v>
          </cell>
          <cell r="N54" t="str">
            <v>모뎀,DSU</v>
          </cell>
          <cell r="P54" t="str">
            <v>COMTEC</v>
          </cell>
          <cell r="Q54" t="str">
            <v>운용</v>
          </cell>
          <cell r="R54">
            <v>1</v>
          </cell>
          <cell r="S54" t="str">
            <v>동서울온라인</v>
          </cell>
        </row>
        <row r="55">
          <cell r="D55" t="str">
            <v>남서울지점</v>
          </cell>
          <cell r="E55">
            <v>3970</v>
          </cell>
          <cell r="F55" t="str">
            <v>01</v>
          </cell>
          <cell r="G55" t="str">
            <v>통신실</v>
          </cell>
          <cell r="H55" t="str">
            <v>98.1</v>
          </cell>
          <cell r="I55" t="str">
            <v>X-TAL7063</v>
          </cell>
          <cell r="J55" t="str">
            <v>9600bps</v>
          </cell>
          <cell r="K55">
            <v>8023700137</v>
          </cell>
          <cell r="L55" t="str">
            <v>COMTEC</v>
          </cell>
          <cell r="M55" t="str">
            <v>98.1</v>
          </cell>
          <cell r="N55" t="str">
            <v>모뎀,DSU</v>
          </cell>
          <cell r="P55" t="str">
            <v>COMTEC</v>
          </cell>
          <cell r="Q55" t="str">
            <v>운용</v>
          </cell>
          <cell r="R55">
            <v>1</v>
          </cell>
          <cell r="S55" t="str">
            <v>동서울온라인</v>
          </cell>
        </row>
        <row r="56">
          <cell r="D56" t="str">
            <v>남서울지점</v>
          </cell>
          <cell r="E56">
            <v>3970</v>
          </cell>
          <cell r="F56" t="str">
            <v>01</v>
          </cell>
          <cell r="G56" t="str">
            <v>통신실</v>
          </cell>
          <cell r="H56" t="str">
            <v>98.1</v>
          </cell>
          <cell r="I56" t="str">
            <v>X-TAL7063</v>
          </cell>
          <cell r="J56" t="str">
            <v>9600bps</v>
          </cell>
          <cell r="K56">
            <v>8023700093</v>
          </cell>
          <cell r="L56" t="str">
            <v>COMTEC</v>
          </cell>
          <cell r="M56" t="str">
            <v>98.1</v>
          </cell>
          <cell r="N56" t="str">
            <v>모뎀,DSU</v>
          </cell>
          <cell r="P56" t="str">
            <v>COMTEC</v>
          </cell>
          <cell r="Q56" t="str">
            <v>운용</v>
          </cell>
          <cell r="R56">
            <v>1</v>
          </cell>
          <cell r="S56" t="str">
            <v>동서울온라인</v>
          </cell>
        </row>
        <row r="57">
          <cell r="D57" t="str">
            <v>남서울지점</v>
          </cell>
          <cell r="E57">
            <v>3970</v>
          </cell>
          <cell r="F57" t="str">
            <v>01</v>
          </cell>
          <cell r="G57" t="str">
            <v>통신실</v>
          </cell>
          <cell r="H57" t="str">
            <v>98.1</v>
          </cell>
          <cell r="I57" t="str">
            <v>X-TAL7063</v>
          </cell>
          <cell r="J57" t="str">
            <v>9600bps</v>
          </cell>
          <cell r="K57">
            <v>8023700105</v>
          </cell>
          <cell r="L57" t="str">
            <v>COMTEC</v>
          </cell>
          <cell r="M57" t="str">
            <v>98.1</v>
          </cell>
          <cell r="N57" t="str">
            <v>모뎀,DSU</v>
          </cell>
          <cell r="P57" t="str">
            <v>COMTEC</v>
          </cell>
          <cell r="Q57" t="str">
            <v>운용</v>
          </cell>
          <cell r="R57">
            <v>1</v>
          </cell>
          <cell r="S57" t="str">
            <v>동서울온라인</v>
          </cell>
        </row>
        <row r="58">
          <cell r="D58" t="str">
            <v>남서울지점</v>
          </cell>
          <cell r="E58">
            <v>3970</v>
          </cell>
          <cell r="F58" t="str">
            <v>01</v>
          </cell>
          <cell r="G58" t="str">
            <v>통신실</v>
          </cell>
          <cell r="H58" t="str">
            <v>98.1</v>
          </cell>
          <cell r="I58" t="str">
            <v>X-TAL7063</v>
          </cell>
          <cell r="J58" t="str">
            <v>9600bps</v>
          </cell>
          <cell r="K58">
            <v>8023700074</v>
          </cell>
          <cell r="L58" t="str">
            <v>COMTEC</v>
          </cell>
          <cell r="M58" t="str">
            <v>98.1</v>
          </cell>
          <cell r="N58" t="str">
            <v>모뎀,DSU</v>
          </cell>
          <cell r="P58" t="str">
            <v>COMTEC</v>
          </cell>
          <cell r="Q58" t="str">
            <v>운용</v>
          </cell>
          <cell r="R58">
            <v>1</v>
          </cell>
          <cell r="S58" t="str">
            <v>동서울온라인</v>
          </cell>
        </row>
        <row r="59">
          <cell r="D59" t="str">
            <v>남서울지점</v>
          </cell>
          <cell r="E59">
            <v>3970</v>
          </cell>
          <cell r="F59" t="str">
            <v>01</v>
          </cell>
          <cell r="G59" t="str">
            <v>통신실</v>
          </cell>
          <cell r="H59" t="str">
            <v>96.3</v>
          </cell>
          <cell r="I59" t="str">
            <v>X-TAL7063</v>
          </cell>
          <cell r="J59" t="str">
            <v>9600bps</v>
          </cell>
          <cell r="K59">
            <v>6025501961</v>
          </cell>
          <cell r="L59" t="str">
            <v>COMTEC</v>
          </cell>
          <cell r="M59" t="str">
            <v>96.3</v>
          </cell>
          <cell r="N59" t="str">
            <v>모뎀,DSU</v>
          </cell>
          <cell r="P59" t="str">
            <v>COMTEC</v>
          </cell>
          <cell r="Q59" t="str">
            <v>운용</v>
          </cell>
          <cell r="R59">
            <v>1</v>
          </cell>
          <cell r="S59" t="str">
            <v>동서울온라인</v>
          </cell>
        </row>
        <row r="60">
          <cell r="D60" t="str">
            <v>남서울지점</v>
          </cell>
          <cell r="E60">
            <v>3970</v>
          </cell>
          <cell r="F60" t="str">
            <v>01</v>
          </cell>
          <cell r="G60" t="str">
            <v>통신실</v>
          </cell>
          <cell r="H60" t="str">
            <v>94.10</v>
          </cell>
          <cell r="I60" t="str">
            <v>X-TAL7063</v>
          </cell>
          <cell r="J60" t="str">
            <v>9600bps</v>
          </cell>
          <cell r="K60">
            <v>4025503198</v>
          </cell>
          <cell r="L60" t="str">
            <v>COMTEC</v>
          </cell>
          <cell r="M60" t="str">
            <v>94.10</v>
          </cell>
          <cell r="N60" t="str">
            <v>모뎀,DSU</v>
          </cell>
          <cell r="P60" t="str">
            <v>COMTEC</v>
          </cell>
          <cell r="Q60" t="str">
            <v>운용</v>
          </cell>
          <cell r="R60">
            <v>1</v>
          </cell>
          <cell r="S60" t="str">
            <v>동서울온라인</v>
          </cell>
        </row>
        <row r="61">
          <cell r="D61" t="str">
            <v>남서울지점</v>
          </cell>
          <cell r="E61">
            <v>3970</v>
          </cell>
          <cell r="F61" t="str">
            <v>01</v>
          </cell>
          <cell r="G61" t="str">
            <v>통신실</v>
          </cell>
          <cell r="H61" t="str">
            <v>94.10</v>
          </cell>
          <cell r="I61" t="str">
            <v>X-TAL7063</v>
          </cell>
          <cell r="J61" t="str">
            <v>9600bps</v>
          </cell>
          <cell r="K61">
            <v>4025503181</v>
          </cell>
          <cell r="L61" t="str">
            <v>COMTEC</v>
          </cell>
          <cell r="M61" t="str">
            <v>94.10</v>
          </cell>
          <cell r="N61" t="str">
            <v>모뎀,DSU</v>
          </cell>
          <cell r="P61" t="str">
            <v>COMTEC</v>
          </cell>
          <cell r="Q61" t="str">
            <v>운용</v>
          </cell>
          <cell r="R61">
            <v>1</v>
          </cell>
          <cell r="S61" t="str">
            <v>동서울온라인</v>
          </cell>
        </row>
        <row r="62">
          <cell r="D62" t="str">
            <v>남서울지점</v>
          </cell>
          <cell r="E62">
            <v>3970</v>
          </cell>
          <cell r="F62" t="str">
            <v>01</v>
          </cell>
          <cell r="G62" t="str">
            <v>통신실</v>
          </cell>
          <cell r="H62" t="str">
            <v>94.12</v>
          </cell>
          <cell r="I62" t="str">
            <v>SDC-2100</v>
          </cell>
          <cell r="J62" t="str">
            <v>9600bps</v>
          </cell>
          <cell r="K62">
            <v>5071400048</v>
          </cell>
          <cell r="L62" t="str">
            <v>KDN</v>
          </cell>
          <cell r="M62" t="str">
            <v>94.12</v>
          </cell>
          <cell r="N62" t="str">
            <v>모뎀,DSU</v>
          </cell>
          <cell r="P62" t="str">
            <v>KDN</v>
          </cell>
          <cell r="Q62" t="str">
            <v>운용</v>
          </cell>
          <cell r="R62">
            <v>1</v>
          </cell>
          <cell r="S62" t="str">
            <v>동서울온라인</v>
          </cell>
        </row>
        <row r="63">
          <cell r="D63" t="str">
            <v>남서울지점</v>
          </cell>
          <cell r="E63">
            <v>3970</v>
          </cell>
          <cell r="F63" t="str">
            <v>01</v>
          </cell>
          <cell r="G63" t="str">
            <v>전산과</v>
          </cell>
          <cell r="I63" t="str">
            <v>GTM-9604</v>
          </cell>
          <cell r="J63" t="str">
            <v>9600bps</v>
          </cell>
          <cell r="L63" t="str">
            <v>GARNET</v>
          </cell>
          <cell r="N63" t="str">
            <v>모뎀,DSU</v>
          </cell>
          <cell r="P63" t="str">
            <v>GARNET</v>
          </cell>
          <cell r="Q63" t="str">
            <v>운용</v>
          </cell>
          <cell r="R63">
            <v>1</v>
          </cell>
          <cell r="S63" t="str">
            <v>DGIS용</v>
          </cell>
        </row>
        <row r="64">
          <cell r="D64" t="str">
            <v>남서울지점</v>
          </cell>
          <cell r="E64">
            <v>3970</v>
          </cell>
          <cell r="F64" t="str">
            <v>01</v>
          </cell>
          <cell r="G64" t="str">
            <v>전산과</v>
          </cell>
          <cell r="I64" t="str">
            <v>GTM-9604</v>
          </cell>
          <cell r="J64" t="str">
            <v>9600bps</v>
          </cell>
          <cell r="L64" t="str">
            <v>GARNET</v>
          </cell>
          <cell r="N64" t="str">
            <v>모뎀,DSU</v>
          </cell>
          <cell r="P64" t="str">
            <v>GARNET</v>
          </cell>
          <cell r="Q64" t="str">
            <v>운용</v>
          </cell>
          <cell r="R64">
            <v>1</v>
          </cell>
          <cell r="S64" t="str">
            <v>DGIS용</v>
          </cell>
        </row>
        <row r="65">
          <cell r="D65" t="str">
            <v>남서울지점</v>
          </cell>
          <cell r="E65">
            <v>3970</v>
          </cell>
          <cell r="F65" t="str">
            <v>01</v>
          </cell>
          <cell r="G65" t="str">
            <v>전산과</v>
          </cell>
          <cell r="I65" t="str">
            <v>GTM-9604</v>
          </cell>
          <cell r="J65" t="str">
            <v>9600bps</v>
          </cell>
          <cell r="L65" t="str">
            <v>GARNET</v>
          </cell>
          <cell r="N65" t="str">
            <v>모뎀,DSU</v>
          </cell>
          <cell r="P65" t="str">
            <v>GARNET</v>
          </cell>
          <cell r="Q65" t="str">
            <v>운용</v>
          </cell>
          <cell r="R65">
            <v>1</v>
          </cell>
          <cell r="S65" t="str">
            <v>DGIS용</v>
          </cell>
        </row>
        <row r="66">
          <cell r="D66" t="str">
            <v>남서울지점</v>
          </cell>
          <cell r="E66">
            <v>3970</v>
          </cell>
          <cell r="F66" t="str">
            <v>01</v>
          </cell>
          <cell r="G66" t="str">
            <v>전산과</v>
          </cell>
          <cell r="I66" t="str">
            <v>GTM-9604</v>
          </cell>
          <cell r="J66" t="str">
            <v>9600bps</v>
          </cell>
          <cell r="L66" t="str">
            <v>GARNET</v>
          </cell>
          <cell r="N66" t="str">
            <v>모뎀,DSU</v>
          </cell>
          <cell r="P66" t="str">
            <v>GARNET</v>
          </cell>
          <cell r="Q66" t="str">
            <v>운용</v>
          </cell>
          <cell r="R66">
            <v>1</v>
          </cell>
          <cell r="S66" t="str">
            <v>DGIS용</v>
          </cell>
        </row>
        <row r="67">
          <cell r="D67" t="str">
            <v>남서울지점</v>
          </cell>
          <cell r="E67">
            <v>3970</v>
          </cell>
          <cell r="F67" t="str">
            <v>01</v>
          </cell>
          <cell r="G67" t="str">
            <v>전산과</v>
          </cell>
          <cell r="I67" t="str">
            <v>GTM-9604</v>
          </cell>
          <cell r="J67" t="str">
            <v>9600bps</v>
          </cell>
          <cell r="L67" t="str">
            <v>GARNET</v>
          </cell>
          <cell r="N67" t="str">
            <v>모뎀,DSU</v>
          </cell>
          <cell r="P67" t="str">
            <v>GARNET</v>
          </cell>
          <cell r="Q67" t="str">
            <v>운용</v>
          </cell>
          <cell r="R67">
            <v>1</v>
          </cell>
          <cell r="S67" t="str">
            <v>DGIS용</v>
          </cell>
        </row>
        <row r="68">
          <cell r="D68" t="str">
            <v>남서울지점</v>
          </cell>
          <cell r="E68">
            <v>3970</v>
          </cell>
          <cell r="F68" t="str">
            <v>01</v>
          </cell>
          <cell r="G68" t="str">
            <v>봉사실</v>
          </cell>
          <cell r="H68" t="str">
            <v>'97.12</v>
          </cell>
          <cell r="I68" t="str">
            <v>X-TAL7063</v>
          </cell>
          <cell r="J68" t="str">
            <v>9600bps</v>
          </cell>
          <cell r="K68">
            <v>7023706681</v>
          </cell>
          <cell r="L68" t="str">
            <v>COMTEC</v>
          </cell>
          <cell r="M68" t="str">
            <v>'97.12</v>
          </cell>
          <cell r="N68" t="str">
            <v>모뎀,DSU</v>
          </cell>
          <cell r="P68" t="str">
            <v>COMTEC</v>
          </cell>
          <cell r="Q68" t="str">
            <v>운용</v>
          </cell>
          <cell r="R68">
            <v>1</v>
          </cell>
          <cell r="S68" t="str">
            <v>RTCU</v>
          </cell>
        </row>
        <row r="69">
          <cell r="D69" t="str">
            <v>남서울지점</v>
          </cell>
          <cell r="E69">
            <v>3970</v>
          </cell>
          <cell r="F69" t="str">
            <v>01</v>
          </cell>
          <cell r="Q69" t="str">
            <v>운용</v>
          </cell>
          <cell r="R69">
            <v>1</v>
          </cell>
        </row>
        <row r="70">
          <cell r="D70" t="str">
            <v>남서울지점</v>
          </cell>
          <cell r="E70">
            <v>3970</v>
          </cell>
          <cell r="F70" t="str">
            <v>01</v>
          </cell>
          <cell r="Q70" t="str">
            <v>운용</v>
          </cell>
          <cell r="R70">
            <v>1</v>
          </cell>
        </row>
        <row r="71">
          <cell r="D71" t="str">
            <v>남서울지점</v>
          </cell>
          <cell r="E71">
            <v>3970</v>
          </cell>
          <cell r="F71" t="str">
            <v>01</v>
          </cell>
          <cell r="Q71" t="str">
            <v>운용</v>
          </cell>
          <cell r="R71">
            <v>1</v>
          </cell>
        </row>
        <row r="72">
          <cell r="D72" t="str">
            <v>남서울지점</v>
          </cell>
          <cell r="E72">
            <v>3970</v>
          </cell>
          <cell r="F72" t="str">
            <v>01</v>
          </cell>
          <cell r="Q72" t="str">
            <v>운용</v>
          </cell>
          <cell r="R72">
            <v>1</v>
          </cell>
        </row>
        <row r="73">
          <cell r="D73" t="str">
            <v>남서울지점</v>
          </cell>
          <cell r="E73">
            <v>3970</v>
          </cell>
          <cell r="F73" t="str">
            <v>01</v>
          </cell>
          <cell r="Q73" t="str">
            <v>운용</v>
          </cell>
          <cell r="R73">
            <v>1</v>
          </cell>
        </row>
        <row r="74">
          <cell r="D74" t="str">
            <v>남서울지점</v>
          </cell>
          <cell r="E74">
            <v>3970</v>
          </cell>
          <cell r="F74" t="str">
            <v>02</v>
          </cell>
          <cell r="G74" t="str">
            <v>동아일보사</v>
          </cell>
          <cell r="I74" t="str">
            <v>X-TAL7120</v>
          </cell>
          <cell r="J74" t="str">
            <v>9600bps</v>
          </cell>
          <cell r="L74" t="str">
            <v>콤텍</v>
          </cell>
          <cell r="N74" t="str">
            <v>원격검침</v>
          </cell>
          <cell r="P74" t="str">
            <v>KDN</v>
          </cell>
          <cell r="Q74" t="str">
            <v>운용</v>
          </cell>
          <cell r="R74">
            <v>1</v>
          </cell>
        </row>
        <row r="75">
          <cell r="D75" t="str">
            <v>남서울지점</v>
          </cell>
          <cell r="E75">
            <v>3970</v>
          </cell>
          <cell r="F75" t="str">
            <v>02</v>
          </cell>
          <cell r="G75" t="str">
            <v>암사수원지</v>
          </cell>
          <cell r="I75" t="str">
            <v>X-TAL7120</v>
          </cell>
          <cell r="J75" t="str">
            <v>9600bps</v>
          </cell>
          <cell r="L75" t="str">
            <v>콤텍</v>
          </cell>
          <cell r="N75" t="str">
            <v>원격검침</v>
          </cell>
          <cell r="P75" t="str">
            <v>KDN</v>
          </cell>
          <cell r="Q75" t="str">
            <v>운용</v>
          </cell>
          <cell r="R75">
            <v>1</v>
          </cell>
        </row>
        <row r="76">
          <cell r="D76" t="str">
            <v>남서울지점</v>
          </cell>
          <cell r="E76">
            <v>3970</v>
          </cell>
          <cell r="F76" t="str">
            <v>02</v>
          </cell>
          <cell r="G76" t="str">
            <v>축협중앙회</v>
          </cell>
          <cell r="I76" t="str">
            <v>X-TAL7120</v>
          </cell>
          <cell r="J76" t="str">
            <v>9600bps</v>
          </cell>
          <cell r="L76" t="str">
            <v>콤텍</v>
          </cell>
          <cell r="N76" t="str">
            <v>원격검침</v>
          </cell>
          <cell r="P76" t="str">
            <v>KDN</v>
          </cell>
          <cell r="Q76" t="str">
            <v>운용</v>
          </cell>
          <cell r="R76">
            <v>1</v>
          </cell>
        </row>
        <row r="77">
          <cell r="D77" t="str">
            <v>남서울지점</v>
          </cell>
          <cell r="E77">
            <v>3970</v>
          </cell>
          <cell r="F77" t="str">
            <v>02</v>
          </cell>
          <cell r="G77" t="str">
            <v>잠실라이프상가</v>
          </cell>
          <cell r="I77" t="str">
            <v>X-TAL7120</v>
          </cell>
          <cell r="J77" t="str">
            <v>9600bps</v>
          </cell>
          <cell r="L77" t="str">
            <v>콤텍</v>
          </cell>
          <cell r="N77" t="str">
            <v>원격검침</v>
          </cell>
          <cell r="P77" t="str">
            <v>KDN</v>
          </cell>
          <cell r="Q77" t="str">
            <v>운용</v>
          </cell>
          <cell r="R77">
            <v>1</v>
          </cell>
        </row>
        <row r="78">
          <cell r="D78" t="str">
            <v>남서울지점</v>
          </cell>
          <cell r="E78">
            <v>3970</v>
          </cell>
          <cell r="F78" t="str">
            <v>02</v>
          </cell>
          <cell r="G78" t="str">
            <v>중앙병원</v>
          </cell>
          <cell r="I78" t="str">
            <v>X-TAL7120</v>
          </cell>
          <cell r="J78" t="str">
            <v>9600bps</v>
          </cell>
          <cell r="L78" t="str">
            <v>콤텍</v>
          </cell>
          <cell r="N78" t="str">
            <v>원격검침</v>
          </cell>
          <cell r="P78" t="str">
            <v>KDN</v>
          </cell>
          <cell r="Q78" t="str">
            <v>운용</v>
          </cell>
          <cell r="R78">
            <v>1</v>
          </cell>
        </row>
        <row r="79">
          <cell r="D79" t="str">
            <v>남서울지점</v>
          </cell>
          <cell r="E79">
            <v>3970</v>
          </cell>
          <cell r="F79" t="str">
            <v>02</v>
          </cell>
          <cell r="G79" t="str">
            <v>한양유통</v>
          </cell>
          <cell r="I79" t="str">
            <v>X-TAL7120</v>
          </cell>
          <cell r="J79" t="str">
            <v>9600bps</v>
          </cell>
          <cell r="L79" t="str">
            <v>콤텍</v>
          </cell>
          <cell r="N79" t="str">
            <v>원격검침</v>
          </cell>
          <cell r="P79" t="str">
            <v>KDN</v>
          </cell>
          <cell r="Q79" t="str">
            <v>운용</v>
          </cell>
          <cell r="R79">
            <v>1</v>
          </cell>
        </row>
        <row r="80">
          <cell r="D80" t="str">
            <v>남서울지점</v>
          </cell>
          <cell r="E80">
            <v>3970</v>
          </cell>
          <cell r="F80" t="str">
            <v>02</v>
          </cell>
          <cell r="G80" t="str">
            <v>롯데쇼핑</v>
          </cell>
          <cell r="I80" t="str">
            <v>X-TAL7120</v>
          </cell>
          <cell r="J80" t="str">
            <v>9600bps</v>
          </cell>
          <cell r="L80" t="str">
            <v>콤텍</v>
          </cell>
          <cell r="N80" t="str">
            <v>원격검침</v>
          </cell>
          <cell r="P80" t="str">
            <v>KDN</v>
          </cell>
          <cell r="Q80" t="str">
            <v>운용</v>
          </cell>
          <cell r="R80">
            <v>1</v>
          </cell>
        </row>
        <row r="81">
          <cell r="D81" t="str">
            <v>남서울지점</v>
          </cell>
          <cell r="E81">
            <v>3970</v>
          </cell>
          <cell r="F81" t="str">
            <v>02</v>
          </cell>
          <cell r="G81" t="str">
            <v>성내빗물펌프장</v>
          </cell>
          <cell r="I81" t="str">
            <v>X-TAL7120</v>
          </cell>
          <cell r="J81" t="str">
            <v>9600bps</v>
          </cell>
          <cell r="L81" t="str">
            <v>콤텍</v>
          </cell>
          <cell r="N81" t="str">
            <v>원격검침</v>
          </cell>
          <cell r="P81" t="str">
            <v>KDN</v>
          </cell>
          <cell r="Q81" t="str">
            <v>운용</v>
          </cell>
          <cell r="R81">
            <v>1</v>
          </cell>
        </row>
        <row r="82">
          <cell r="D82" t="str">
            <v>남서울지점</v>
          </cell>
          <cell r="E82">
            <v>3970</v>
          </cell>
          <cell r="F82" t="str">
            <v>02</v>
          </cell>
          <cell r="G82" t="str">
            <v>신천빗물펌프장</v>
          </cell>
          <cell r="I82" t="str">
            <v>X-TAL7120</v>
          </cell>
          <cell r="J82" t="str">
            <v>9600bps</v>
          </cell>
          <cell r="L82" t="str">
            <v>콤텍</v>
          </cell>
          <cell r="N82" t="str">
            <v>원격검침</v>
          </cell>
          <cell r="P82" t="str">
            <v>KDN</v>
          </cell>
          <cell r="Q82" t="str">
            <v>운용</v>
          </cell>
          <cell r="R82">
            <v>1</v>
          </cell>
        </row>
        <row r="83">
          <cell r="D83" t="str">
            <v>남서울지점</v>
          </cell>
          <cell r="E83">
            <v>3970</v>
          </cell>
          <cell r="F83" t="str">
            <v>02</v>
          </cell>
          <cell r="G83" t="str">
            <v>탄천빗물펌프장</v>
          </cell>
          <cell r="I83" t="str">
            <v>X-TAL7120</v>
          </cell>
          <cell r="J83" t="str">
            <v>9600bps</v>
          </cell>
          <cell r="L83" t="str">
            <v>콤텍</v>
          </cell>
          <cell r="N83" t="str">
            <v>원격검침</v>
          </cell>
          <cell r="P83" t="str">
            <v>KDN</v>
          </cell>
          <cell r="Q83" t="str">
            <v>운용</v>
          </cell>
          <cell r="R83">
            <v>1</v>
          </cell>
        </row>
        <row r="84">
          <cell r="D84" t="str">
            <v>남서울지점</v>
          </cell>
          <cell r="E84">
            <v>3970</v>
          </cell>
          <cell r="F84" t="str">
            <v>02</v>
          </cell>
          <cell r="G84" t="str">
            <v>천호빗물펌프장</v>
          </cell>
          <cell r="I84" t="str">
            <v>X-TAL7120</v>
          </cell>
          <cell r="J84" t="str">
            <v>9600bps</v>
          </cell>
          <cell r="L84" t="str">
            <v>콤텍</v>
          </cell>
          <cell r="N84" t="str">
            <v>원격검침</v>
          </cell>
          <cell r="P84" t="str">
            <v>KDN</v>
          </cell>
          <cell r="Q84" t="str">
            <v>운용</v>
          </cell>
          <cell r="R84">
            <v>1</v>
          </cell>
        </row>
        <row r="85">
          <cell r="D85" t="str">
            <v>남서울지점</v>
          </cell>
          <cell r="E85">
            <v>3970</v>
          </cell>
          <cell r="F85" t="str">
            <v>02</v>
          </cell>
          <cell r="G85" t="str">
            <v>몽촌빗물펌프장</v>
          </cell>
          <cell r="I85" t="str">
            <v>X-TAL7120</v>
          </cell>
          <cell r="J85" t="str">
            <v>9600bps</v>
          </cell>
          <cell r="L85" t="str">
            <v>콤텍</v>
          </cell>
          <cell r="N85" t="str">
            <v>원격검침</v>
          </cell>
          <cell r="P85" t="str">
            <v>KDN</v>
          </cell>
          <cell r="Q85" t="str">
            <v>운용</v>
          </cell>
          <cell r="R85">
            <v>1</v>
          </cell>
        </row>
        <row r="86">
          <cell r="D86" t="str">
            <v>남서울지점</v>
          </cell>
          <cell r="E86">
            <v>3970</v>
          </cell>
          <cell r="F86" t="str">
            <v>02</v>
          </cell>
          <cell r="G86" t="str">
            <v>농수산물도매시장</v>
          </cell>
          <cell r="I86" t="str">
            <v>X-TAL7120</v>
          </cell>
          <cell r="J86" t="str">
            <v>9600bps</v>
          </cell>
          <cell r="L86" t="str">
            <v>콤텍</v>
          </cell>
          <cell r="N86" t="str">
            <v>원격검침</v>
          </cell>
          <cell r="P86" t="str">
            <v>KDN</v>
          </cell>
          <cell r="Q86" t="str">
            <v>운용</v>
          </cell>
          <cell r="R86">
            <v>1</v>
          </cell>
        </row>
        <row r="87">
          <cell r="D87" t="str">
            <v>남서울지점</v>
          </cell>
          <cell r="E87">
            <v>3970</v>
          </cell>
          <cell r="F87" t="str">
            <v>02</v>
          </cell>
          <cell r="G87" t="str">
            <v>잠실빗물펌프장</v>
          </cell>
          <cell r="I87" t="str">
            <v>X-TAL7120</v>
          </cell>
          <cell r="J87" t="str">
            <v>9600bps</v>
          </cell>
          <cell r="L87" t="str">
            <v>콤텍</v>
          </cell>
          <cell r="N87" t="str">
            <v>원격검침</v>
          </cell>
          <cell r="P87" t="str">
            <v>KDN</v>
          </cell>
          <cell r="Q87" t="str">
            <v>운용</v>
          </cell>
          <cell r="R87">
            <v>1</v>
          </cell>
        </row>
        <row r="88">
          <cell r="D88" t="str">
            <v>남서울지점</v>
          </cell>
          <cell r="E88">
            <v>3970</v>
          </cell>
          <cell r="F88" t="str">
            <v>02</v>
          </cell>
          <cell r="G88" t="str">
            <v>롯데백화점</v>
          </cell>
          <cell r="I88" t="str">
            <v>X-TAL7120</v>
          </cell>
          <cell r="J88" t="str">
            <v>9600bps</v>
          </cell>
          <cell r="L88" t="str">
            <v>콤텍</v>
          </cell>
          <cell r="N88" t="str">
            <v>원격검침</v>
          </cell>
          <cell r="P88" t="str">
            <v>KDN</v>
          </cell>
          <cell r="Q88" t="str">
            <v>운용</v>
          </cell>
          <cell r="R88">
            <v>1</v>
          </cell>
        </row>
        <row r="89">
          <cell r="D89" t="str">
            <v>남서울지점</v>
          </cell>
          <cell r="E89">
            <v>3970</v>
          </cell>
          <cell r="F89" t="str">
            <v>02</v>
          </cell>
          <cell r="G89" t="str">
            <v>풍납펌프장</v>
          </cell>
          <cell r="I89" t="str">
            <v>X-TAL7120</v>
          </cell>
          <cell r="J89" t="str">
            <v>9600bps</v>
          </cell>
          <cell r="L89" t="str">
            <v>콤텍</v>
          </cell>
          <cell r="N89" t="str">
            <v>원격검침</v>
          </cell>
          <cell r="P89" t="str">
            <v>KDN</v>
          </cell>
          <cell r="Q89" t="str">
            <v>운용</v>
          </cell>
          <cell r="R89">
            <v>1</v>
          </cell>
        </row>
        <row r="90">
          <cell r="D90" t="str">
            <v>남서울지점</v>
          </cell>
          <cell r="E90">
            <v>3970</v>
          </cell>
          <cell r="F90" t="str">
            <v>03</v>
          </cell>
          <cell r="G90" t="str">
            <v>통신실</v>
          </cell>
          <cell r="I90" t="str">
            <v>CODEX6015</v>
          </cell>
          <cell r="J90" t="str">
            <v>4PORT</v>
          </cell>
          <cell r="K90">
            <v>58154</v>
          </cell>
          <cell r="L90" t="str">
            <v>MOTOROLA</v>
          </cell>
          <cell r="N90" t="str">
            <v>MUX</v>
          </cell>
          <cell r="P90" t="str">
            <v>콤텍</v>
          </cell>
          <cell r="Q90" t="str">
            <v>운용</v>
          </cell>
          <cell r="R90">
            <v>1</v>
          </cell>
          <cell r="X90" t="str">
            <v>01079802-0001(전용회선)</v>
          </cell>
        </row>
        <row r="91">
          <cell r="D91" t="str">
            <v>남서울지점</v>
          </cell>
          <cell r="E91">
            <v>3970</v>
          </cell>
          <cell r="F91" t="str">
            <v>03</v>
          </cell>
          <cell r="G91" t="str">
            <v>한전산업개발</v>
          </cell>
          <cell r="I91" t="str">
            <v>CODEX6015</v>
          </cell>
          <cell r="J91" t="str">
            <v>4PORT</v>
          </cell>
          <cell r="K91">
            <v>57994</v>
          </cell>
          <cell r="L91" t="str">
            <v>MOTOROLA</v>
          </cell>
          <cell r="N91" t="str">
            <v>MUX</v>
          </cell>
          <cell r="P91" t="str">
            <v>콤텍</v>
          </cell>
          <cell r="Q91" t="str">
            <v>운용</v>
          </cell>
          <cell r="R91">
            <v>1</v>
          </cell>
        </row>
        <row r="92">
          <cell r="D92" t="str">
            <v>남서울지점</v>
          </cell>
          <cell r="E92">
            <v>3970</v>
          </cell>
          <cell r="F92" t="str">
            <v>03</v>
          </cell>
          <cell r="G92" t="str">
            <v>통신실</v>
          </cell>
          <cell r="I92" t="str">
            <v>CODEX6015</v>
          </cell>
          <cell r="J92" t="str">
            <v>10PORT</v>
          </cell>
          <cell r="K92">
            <v>58002</v>
          </cell>
          <cell r="L92" t="str">
            <v>MOTOROLA</v>
          </cell>
          <cell r="N92" t="str">
            <v>MUX</v>
          </cell>
          <cell r="P92" t="str">
            <v>콤텍</v>
          </cell>
          <cell r="Q92" t="str">
            <v>운용</v>
          </cell>
          <cell r="R92">
            <v>1</v>
          </cell>
          <cell r="S92" t="str">
            <v>동서울전력소</v>
          </cell>
        </row>
        <row r="93">
          <cell r="D93" t="str">
            <v>남서울지점</v>
          </cell>
          <cell r="E93">
            <v>3970</v>
          </cell>
          <cell r="F93" t="str">
            <v>07</v>
          </cell>
          <cell r="G93" t="str">
            <v>봉사실</v>
          </cell>
          <cell r="I93" t="str">
            <v>IDEA</v>
          </cell>
          <cell r="J93" t="str">
            <v>8PORT</v>
          </cell>
          <cell r="L93" t="str">
            <v>한독컴퓨터</v>
          </cell>
          <cell r="N93" t="str">
            <v>TCU</v>
          </cell>
          <cell r="P93" t="str">
            <v>한독컴퓨터</v>
          </cell>
          <cell r="Q93" t="str">
            <v>운용</v>
          </cell>
          <cell r="R93">
            <v>1</v>
          </cell>
        </row>
        <row r="94">
          <cell r="D94" t="str">
            <v>남서울지점</v>
          </cell>
          <cell r="E94">
            <v>3970</v>
          </cell>
          <cell r="F94" t="str">
            <v>08</v>
          </cell>
          <cell r="G94" t="str">
            <v>통신실</v>
          </cell>
          <cell r="I94" t="str">
            <v>ACCESS-T</v>
          </cell>
          <cell r="J94" t="str">
            <v>T1</v>
          </cell>
          <cell r="K94">
            <v>190025</v>
          </cell>
          <cell r="L94" t="str">
            <v>LARSCOM</v>
          </cell>
          <cell r="N94" t="str">
            <v>LAN</v>
          </cell>
          <cell r="P94" t="str">
            <v>KDN</v>
          </cell>
          <cell r="Q94" t="str">
            <v>운용</v>
          </cell>
          <cell r="R94">
            <v>1</v>
          </cell>
          <cell r="S94" t="str">
            <v>LAN용</v>
          </cell>
        </row>
        <row r="95">
          <cell r="D95" t="str">
            <v>남서울지점</v>
          </cell>
          <cell r="E95">
            <v>3970</v>
          </cell>
          <cell r="F95" t="str">
            <v>08</v>
          </cell>
          <cell r="G95" t="str">
            <v>통신실</v>
          </cell>
          <cell r="H95" t="str">
            <v>98.5.22</v>
          </cell>
          <cell r="I95" t="str">
            <v>X-TAL7520</v>
          </cell>
          <cell r="J95" t="str">
            <v>T1</v>
          </cell>
          <cell r="K95">
            <v>8161400013</v>
          </cell>
          <cell r="L95" t="str">
            <v>COMTEC</v>
          </cell>
          <cell r="M95" t="str">
            <v>98.4</v>
          </cell>
          <cell r="N95" t="str">
            <v>온라인</v>
          </cell>
          <cell r="P95" t="str">
            <v>COMTEC</v>
          </cell>
          <cell r="Q95" t="str">
            <v>운용</v>
          </cell>
          <cell r="R95">
            <v>1</v>
          </cell>
        </row>
        <row r="96">
          <cell r="D96" t="str">
            <v>남서울지점</v>
          </cell>
          <cell r="E96">
            <v>3970</v>
          </cell>
          <cell r="F96" t="str">
            <v>08</v>
          </cell>
          <cell r="G96" t="str">
            <v>전산과</v>
          </cell>
          <cell r="H96" t="str">
            <v>98.5.22</v>
          </cell>
          <cell r="I96" t="str">
            <v>X-TAL7520</v>
          </cell>
          <cell r="J96" t="str">
            <v>T1</v>
          </cell>
          <cell r="K96">
            <v>8161400016</v>
          </cell>
          <cell r="L96" t="str">
            <v>COMTEC</v>
          </cell>
          <cell r="M96" t="str">
            <v>98.4</v>
          </cell>
          <cell r="N96" t="str">
            <v>인트라넷</v>
          </cell>
          <cell r="P96" t="str">
            <v>COMTEC</v>
          </cell>
          <cell r="Q96" t="str">
            <v>운용</v>
          </cell>
          <cell r="R96">
            <v>1</v>
          </cell>
        </row>
        <row r="97">
          <cell r="D97" t="str">
            <v>남서울지점</v>
          </cell>
          <cell r="E97">
            <v>3970</v>
          </cell>
          <cell r="F97" t="str">
            <v>03</v>
          </cell>
          <cell r="G97" t="str">
            <v>통신실</v>
          </cell>
          <cell r="I97" t="str">
            <v>RTU-8100A</v>
          </cell>
          <cell r="L97" t="str">
            <v>유니온시스템</v>
          </cell>
          <cell r="N97" t="str">
            <v>NMS용</v>
          </cell>
          <cell r="P97" t="str">
            <v>유니온시스템</v>
          </cell>
          <cell r="Q97" t="str">
            <v>운용</v>
          </cell>
          <cell r="R97">
            <v>1</v>
          </cell>
        </row>
        <row r="98">
          <cell r="D98" t="str">
            <v>남서울지점</v>
          </cell>
          <cell r="E98">
            <v>3970</v>
          </cell>
          <cell r="F98" t="str">
            <v>01</v>
          </cell>
          <cell r="G98" t="str">
            <v>통신실</v>
          </cell>
          <cell r="H98" t="str">
            <v>98.11</v>
          </cell>
          <cell r="I98" t="str">
            <v>SCR</v>
          </cell>
          <cell r="J98" t="str">
            <v>100A</v>
          </cell>
          <cell r="L98" t="str">
            <v>㈜서울전원시스템</v>
          </cell>
          <cell r="M98" t="str">
            <v>98.11</v>
          </cell>
          <cell r="N98" t="str">
            <v>충전기</v>
          </cell>
          <cell r="P98" t="str">
            <v>㈜서울전원시스템</v>
          </cell>
          <cell r="Q98" t="str">
            <v>운용</v>
          </cell>
          <cell r="R98">
            <v>1</v>
          </cell>
        </row>
        <row r="99">
          <cell r="D99" t="str">
            <v>남서울지점</v>
          </cell>
          <cell r="E99">
            <v>3970</v>
          </cell>
          <cell r="F99" t="str">
            <v>01</v>
          </cell>
          <cell r="G99" t="str">
            <v>통신실</v>
          </cell>
          <cell r="H99" t="str">
            <v>'95.10</v>
          </cell>
          <cell r="I99" t="str">
            <v>SCR</v>
          </cell>
          <cell r="J99" t="str">
            <v>48V/150A</v>
          </cell>
          <cell r="K99" t="str">
            <v>SE-950235</v>
          </cell>
          <cell r="L99" t="str">
            <v>보영전자</v>
          </cell>
          <cell r="M99" t="str">
            <v>'95.10</v>
          </cell>
          <cell r="N99" t="str">
            <v>충전기</v>
          </cell>
          <cell r="P99" t="str">
            <v>보영전자</v>
          </cell>
          <cell r="Q99" t="str">
            <v>운용</v>
          </cell>
          <cell r="R99">
            <v>1</v>
          </cell>
          <cell r="S99" t="str">
            <v>분전반(200A) 1대</v>
          </cell>
        </row>
        <row r="100">
          <cell r="D100" t="str">
            <v>남서울지점</v>
          </cell>
          <cell r="E100">
            <v>3970</v>
          </cell>
          <cell r="F100" t="str">
            <v>02</v>
          </cell>
          <cell r="G100" t="str">
            <v>통신실</v>
          </cell>
          <cell r="H100" t="str">
            <v>98.11</v>
          </cell>
          <cell r="I100" t="str">
            <v>MSB-500</v>
          </cell>
          <cell r="J100" t="str">
            <v>2V/500AH</v>
          </cell>
          <cell r="L100" t="str">
            <v>경원산업</v>
          </cell>
          <cell r="M100" t="str">
            <v>98.11</v>
          </cell>
          <cell r="N100" t="str">
            <v>축전지</v>
          </cell>
          <cell r="P100" t="str">
            <v>㈜서울전원시스템</v>
          </cell>
          <cell r="Q100" t="str">
            <v>운용</v>
          </cell>
          <cell r="R100">
            <v>1</v>
          </cell>
          <cell r="S100" t="str">
            <v>24CELL</v>
          </cell>
        </row>
        <row r="101">
          <cell r="D101" t="str">
            <v>남서울지점</v>
          </cell>
          <cell r="E101">
            <v>3970</v>
          </cell>
          <cell r="F101" t="str">
            <v>02</v>
          </cell>
          <cell r="G101" t="str">
            <v>통신실</v>
          </cell>
          <cell r="I101" t="str">
            <v>SLD200-2</v>
          </cell>
          <cell r="J101" t="str">
            <v>2V,200AH</v>
          </cell>
          <cell r="L101" t="str">
            <v>경원산업</v>
          </cell>
          <cell r="N101" t="str">
            <v>축전지</v>
          </cell>
          <cell r="P101" t="str">
            <v>보영전자</v>
          </cell>
          <cell r="Q101" t="str">
            <v>운용</v>
          </cell>
          <cell r="R101">
            <v>1</v>
          </cell>
          <cell r="S101" t="str">
            <v>24CELL</v>
          </cell>
        </row>
        <row r="102">
          <cell r="D102" t="str">
            <v>남서울지점</v>
          </cell>
          <cell r="E102">
            <v>3970</v>
          </cell>
          <cell r="F102" t="str">
            <v>02</v>
          </cell>
          <cell r="G102" t="str">
            <v>통신실</v>
          </cell>
          <cell r="I102" t="str">
            <v>ES100-12</v>
          </cell>
          <cell r="J102" t="str">
            <v>12V,100AH</v>
          </cell>
          <cell r="L102" t="str">
            <v>세방산업</v>
          </cell>
          <cell r="N102" t="str">
            <v>축전지</v>
          </cell>
          <cell r="P102" t="str">
            <v>세방산업</v>
          </cell>
          <cell r="Q102" t="str">
            <v>운용</v>
          </cell>
          <cell r="R102">
            <v>1</v>
          </cell>
          <cell r="S102" t="str">
            <v>16CELL</v>
          </cell>
        </row>
        <row r="103">
          <cell r="D103" t="str">
            <v>남서울지점</v>
          </cell>
          <cell r="E103">
            <v>3970</v>
          </cell>
          <cell r="F103" t="str">
            <v>02</v>
          </cell>
          <cell r="G103" t="str">
            <v>통신실</v>
          </cell>
          <cell r="I103" t="str">
            <v>ES60-12</v>
          </cell>
          <cell r="J103" t="str">
            <v>12V 60AH</v>
          </cell>
          <cell r="L103" t="str">
            <v>세방산업</v>
          </cell>
          <cell r="M103" t="str">
            <v>'90.10</v>
          </cell>
          <cell r="N103" t="str">
            <v>축전지</v>
          </cell>
          <cell r="P103" t="str">
            <v>세방산업</v>
          </cell>
          <cell r="Q103" t="str">
            <v>운용</v>
          </cell>
          <cell r="R103">
            <v>1</v>
          </cell>
          <cell r="S103" t="str">
            <v>16CELL</v>
          </cell>
        </row>
        <row r="104">
          <cell r="D104" t="str">
            <v>남서울지점</v>
          </cell>
          <cell r="E104">
            <v>3970</v>
          </cell>
          <cell r="F104" t="str">
            <v>03</v>
          </cell>
          <cell r="G104" t="str">
            <v>통신실</v>
          </cell>
          <cell r="H104" t="str">
            <v>'96.12</v>
          </cell>
          <cell r="I104" t="str">
            <v>퍼팩트 2000B</v>
          </cell>
          <cell r="J104" t="str">
            <v>20KVA</v>
          </cell>
          <cell r="K104" t="str">
            <v>96129-7</v>
          </cell>
          <cell r="L104" t="str">
            <v>국제산업전자</v>
          </cell>
          <cell r="M104" t="str">
            <v>'96.12</v>
          </cell>
          <cell r="N104" t="str">
            <v>UPS</v>
          </cell>
          <cell r="P104" t="str">
            <v>국제산업전자</v>
          </cell>
          <cell r="Q104" t="str">
            <v>운용</v>
          </cell>
          <cell r="R104">
            <v>1</v>
          </cell>
          <cell r="S104" t="str">
            <v>분전반(100A) 1대</v>
          </cell>
        </row>
        <row r="105">
          <cell r="D105" t="str">
            <v>남서울지점</v>
          </cell>
          <cell r="E105">
            <v>3970</v>
          </cell>
          <cell r="F105" t="str">
            <v>01</v>
          </cell>
          <cell r="G105" t="str">
            <v>통신실</v>
          </cell>
          <cell r="I105" t="str">
            <v>TS-AD15</v>
          </cell>
          <cell r="J105" t="str">
            <v>8.75R/T</v>
          </cell>
          <cell r="K105">
            <v>9505092</v>
          </cell>
          <cell r="L105" t="str">
            <v>태광산업</v>
          </cell>
          <cell r="M105" t="str">
            <v>'95.5</v>
          </cell>
          <cell r="N105" t="str">
            <v>항온항습기</v>
          </cell>
          <cell r="P105" t="str">
            <v>태광</v>
          </cell>
          <cell r="Q105" t="str">
            <v>운용</v>
          </cell>
          <cell r="R105">
            <v>1</v>
          </cell>
          <cell r="S105" t="str">
            <v>R-22</v>
          </cell>
        </row>
        <row r="106">
          <cell r="D106" t="str">
            <v>남서울지점</v>
          </cell>
          <cell r="E106">
            <v>3970</v>
          </cell>
          <cell r="F106" t="str">
            <v>02</v>
          </cell>
          <cell r="G106" t="str">
            <v>전산실</v>
          </cell>
          <cell r="H106" t="str">
            <v>92.9</v>
          </cell>
          <cell r="I106" t="str">
            <v>GAC-301SN</v>
          </cell>
          <cell r="J106" t="str">
            <v>2R/T</v>
          </cell>
          <cell r="K106">
            <v>20919326</v>
          </cell>
          <cell r="L106" t="str">
            <v>금성사</v>
          </cell>
          <cell r="M106" t="str">
            <v>92.9</v>
          </cell>
          <cell r="N106" t="str">
            <v>에어컨</v>
          </cell>
          <cell r="P106" t="str">
            <v>금성사</v>
          </cell>
          <cell r="Q106" t="str">
            <v>운용</v>
          </cell>
          <cell r="R106">
            <v>1</v>
          </cell>
          <cell r="S106" t="str">
            <v>R-22냉매</v>
          </cell>
        </row>
        <row r="107">
          <cell r="D107" t="str">
            <v>남서울지점</v>
          </cell>
          <cell r="E107">
            <v>3970</v>
          </cell>
          <cell r="F107" t="str">
            <v>03</v>
          </cell>
          <cell r="G107" t="str">
            <v>배전사령실</v>
          </cell>
          <cell r="I107" t="str">
            <v>DESK TOP형</v>
          </cell>
          <cell r="K107" t="str">
            <v>0006</v>
          </cell>
          <cell r="L107" t="str">
            <v>에릭슨</v>
          </cell>
          <cell r="N107" t="str">
            <v>TRS고정국</v>
          </cell>
          <cell r="P107" t="str">
            <v>삼성전자</v>
          </cell>
          <cell r="Q107" t="str">
            <v>운용</v>
          </cell>
          <cell r="R107">
            <v>1</v>
          </cell>
        </row>
        <row r="108">
          <cell r="D108" t="str">
            <v>남서울지점</v>
          </cell>
          <cell r="E108">
            <v>3970</v>
          </cell>
          <cell r="F108" t="str">
            <v>03</v>
          </cell>
          <cell r="G108" t="str">
            <v>배전운영실</v>
          </cell>
          <cell r="I108" t="str">
            <v>MDX-10</v>
          </cell>
          <cell r="K108" t="str">
            <v>0034</v>
          </cell>
          <cell r="L108" t="str">
            <v>에릭슨</v>
          </cell>
          <cell r="N108" t="str">
            <v>TRS차량용</v>
          </cell>
          <cell r="P108" t="str">
            <v>삼성전자</v>
          </cell>
          <cell r="Q108" t="str">
            <v>운용</v>
          </cell>
          <cell r="R108">
            <v>1</v>
          </cell>
          <cell r="S108" t="str">
            <v>2911</v>
          </cell>
          <cell r="T108" t="str">
            <v>서울9나8305</v>
          </cell>
        </row>
        <row r="109">
          <cell r="D109" t="str">
            <v>남서울지점</v>
          </cell>
          <cell r="E109">
            <v>3970</v>
          </cell>
          <cell r="F109" t="str">
            <v>03</v>
          </cell>
          <cell r="G109" t="str">
            <v>배전운영실</v>
          </cell>
          <cell r="I109" t="str">
            <v>MDX-10</v>
          </cell>
          <cell r="K109" t="str">
            <v>0033</v>
          </cell>
          <cell r="L109" t="str">
            <v>에릭슨</v>
          </cell>
          <cell r="N109" t="str">
            <v>TRS차량용</v>
          </cell>
          <cell r="P109" t="str">
            <v>삼성전자</v>
          </cell>
          <cell r="Q109" t="str">
            <v>운용</v>
          </cell>
          <cell r="R109">
            <v>1</v>
          </cell>
          <cell r="S109" t="str">
            <v>2912</v>
          </cell>
          <cell r="T109" t="str">
            <v>서울82러4658</v>
          </cell>
        </row>
        <row r="110">
          <cell r="D110" t="str">
            <v>남서울지점</v>
          </cell>
          <cell r="E110">
            <v>3970</v>
          </cell>
          <cell r="F110" t="str">
            <v>03</v>
          </cell>
          <cell r="G110" t="str">
            <v>배전운영실</v>
          </cell>
          <cell r="I110" t="str">
            <v>MDX-10</v>
          </cell>
          <cell r="K110" t="str">
            <v>0035</v>
          </cell>
          <cell r="L110" t="str">
            <v>에릭슨</v>
          </cell>
          <cell r="N110" t="str">
            <v>TRS차량용</v>
          </cell>
          <cell r="P110" t="str">
            <v>삼성전자</v>
          </cell>
          <cell r="Q110" t="str">
            <v>운용</v>
          </cell>
          <cell r="R110">
            <v>1</v>
          </cell>
          <cell r="S110" t="str">
            <v>2913</v>
          </cell>
          <cell r="T110" t="str">
            <v>배전운영실</v>
          </cell>
        </row>
        <row r="111">
          <cell r="D111" t="str">
            <v>남서울지점</v>
          </cell>
          <cell r="E111">
            <v>3970</v>
          </cell>
          <cell r="F111" t="str">
            <v>03</v>
          </cell>
          <cell r="G111" t="str">
            <v>배전운영실</v>
          </cell>
          <cell r="I111" t="str">
            <v>MDX-10</v>
          </cell>
          <cell r="K111" t="str">
            <v>0041</v>
          </cell>
          <cell r="L111" t="str">
            <v>에릭슨</v>
          </cell>
          <cell r="N111" t="str">
            <v>TRS차량용</v>
          </cell>
          <cell r="P111" t="str">
            <v>삼성전자</v>
          </cell>
          <cell r="Q111" t="str">
            <v>운용</v>
          </cell>
          <cell r="R111">
            <v>1</v>
          </cell>
          <cell r="S111" t="str">
            <v>2914</v>
          </cell>
          <cell r="T111" t="str">
            <v>서울8퍼1253</v>
          </cell>
        </row>
        <row r="112">
          <cell r="D112" t="str">
            <v>남서울지점</v>
          </cell>
          <cell r="E112">
            <v>3970</v>
          </cell>
          <cell r="F112" t="str">
            <v>03</v>
          </cell>
          <cell r="G112" t="str">
            <v>배전운영실</v>
          </cell>
          <cell r="I112" t="str">
            <v>MDX-10</v>
          </cell>
          <cell r="K112" t="str">
            <v>0039</v>
          </cell>
          <cell r="L112" t="str">
            <v>에릭슨</v>
          </cell>
          <cell r="N112" t="str">
            <v>TRS차량용</v>
          </cell>
          <cell r="P112" t="str">
            <v>삼성전자</v>
          </cell>
          <cell r="Q112" t="str">
            <v>운용</v>
          </cell>
          <cell r="R112">
            <v>1</v>
          </cell>
          <cell r="S112" t="str">
            <v>2915</v>
          </cell>
          <cell r="T112" t="str">
            <v>서울7루3899</v>
          </cell>
        </row>
        <row r="113">
          <cell r="D113" t="str">
            <v>남서울지점</v>
          </cell>
          <cell r="E113">
            <v>3970</v>
          </cell>
          <cell r="F113" t="str">
            <v>03</v>
          </cell>
          <cell r="G113" t="str">
            <v>배전운영실</v>
          </cell>
          <cell r="I113" t="str">
            <v>MDX-10</v>
          </cell>
          <cell r="K113" t="str">
            <v>0036</v>
          </cell>
          <cell r="L113" t="str">
            <v>에릭슨</v>
          </cell>
          <cell r="N113" t="str">
            <v>TRS차량용</v>
          </cell>
          <cell r="P113" t="str">
            <v>삼성전자</v>
          </cell>
          <cell r="Q113" t="str">
            <v>운용</v>
          </cell>
          <cell r="R113">
            <v>1</v>
          </cell>
          <cell r="S113" t="str">
            <v>2916</v>
          </cell>
          <cell r="T113" t="str">
            <v>서울82러4895</v>
          </cell>
        </row>
        <row r="114">
          <cell r="D114" t="str">
            <v>남서울지점</v>
          </cell>
          <cell r="E114">
            <v>3970</v>
          </cell>
          <cell r="F114" t="str">
            <v>03</v>
          </cell>
          <cell r="G114" t="str">
            <v>배전운영실</v>
          </cell>
          <cell r="I114" t="str">
            <v>MDX-10</v>
          </cell>
          <cell r="K114" t="str">
            <v>94110070</v>
          </cell>
          <cell r="L114" t="str">
            <v>에릭슨</v>
          </cell>
          <cell r="N114" t="str">
            <v>TRS차량용</v>
          </cell>
          <cell r="P114" t="str">
            <v>삼성전자</v>
          </cell>
          <cell r="Q114" t="str">
            <v>운용</v>
          </cell>
          <cell r="R114">
            <v>1</v>
          </cell>
          <cell r="S114" t="str">
            <v>2917</v>
          </cell>
          <cell r="T114" t="str">
            <v>서울9나8302</v>
          </cell>
        </row>
        <row r="115">
          <cell r="D115" t="str">
            <v>남서울지점</v>
          </cell>
          <cell r="E115">
            <v>3970</v>
          </cell>
          <cell r="F115" t="str">
            <v>03</v>
          </cell>
          <cell r="G115" t="str">
            <v>배전운영실</v>
          </cell>
          <cell r="I115" t="str">
            <v>MDX-10</v>
          </cell>
          <cell r="K115" t="str">
            <v>0040</v>
          </cell>
          <cell r="L115" t="str">
            <v>에릭슨</v>
          </cell>
          <cell r="N115" t="str">
            <v>TRS차량용</v>
          </cell>
          <cell r="P115" t="str">
            <v>삼성전자</v>
          </cell>
          <cell r="Q115" t="str">
            <v>운용</v>
          </cell>
          <cell r="R115">
            <v>1</v>
          </cell>
          <cell r="S115" t="str">
            <v>2918</v>
          </cell>
          <cell r="T115" t="str">
            <v>서울71누3816</v>
          </cell>
        </row>
        <row r="116">
          <cell r="D116" t="str">
            <v>남서울지점</v>
          </cell>
          <cell r="E116">
            <v>3970</v>
          </cell>
          <cell r="F116" t="str">
            <v>03</v>
          </cell>
          <cell r="G116" t="str">
            <v>배전운영실</v>
          </cell>
          <cell r="I116" t="str">
            <v>MDX-10</v>
          </cell>
          <cell r="K116" t="str">
            <v>0038</v>
          </cell>
          <cell r="L116" t="str">
            <v>에릭슨</v>
          </cell>
          <cell r="N116" t="str">
            <v>TRS차량용</v>
          </cell>
          <cell r="P116" t="str">
            <v>삼성전자</v>
          </cell>
          <cell r="Q116" t="str">
            <v>운용</v>
          </cell>
          <cell r="R116">
            <v>1</v>
          </cell>
          <cell r="S116" t="str">
            <v>2922</v>
          </cell>
          <cell r="T116" t="str">
            <v>서울9나8304</v>
          </cell>
        </row>
        <row r="117">
          <cell r="D117" t="str">
            <v>남서울지점</v>
          </cell>
          <cell r="E117">
            <v>3970</v>
          </cell>
          <cell r="F117" t="str">
            <v>03</v>
          </cell>
          <cell r="G117" t="str">
            <v>지중선과</v>
          </cell>
          <cell r="I117" t="str">
            <v>MDX-10</v>
          </cell>
          <cell r="K117" t="str">
            <v>0318</v>
          </cell>
          <cell r="L117" t="str">
            <v>에릭슨</v>
          </cell>
          <cell r="N117" t="str">
            <v>TRS차량용</v>
          </cell>
          <cell r="P117" t="str">
            <v>삼성전자</v>
          </cell>
          <cell r="Q117" t="str">
            <v>운용</v>
          </cell>
          <cell r="R117">
            <v>1</v>
          </cell>
          <cell r="T117" t="str">
            <v>서울8즈8620</v>
          </cell>
        </row>
        <row r="118">
          <cell r="D118" t="str">
            <v>남서울지점</v>
          </cell>
          <cell r="E118">
            <v>3970</v>
          </cell>
          <cell r="F118" t="str">
            <v>04</v>
          </cell>
          <cell r="G118" t="str">
            <v>배전운영실</v>
          </cell>
          <cell r="I118" t="str">
            <v>PC8LED</v>
          </cell>
          <cell r="K118" t="str">
            <v>3674</v>
          </cell>
          <cell r="L118" t="str">
            <v>에릭슨</v>
          </cell>
          <cell r="N118" t="str">
            <v>TRS휴대용</v>
          </cell>
          <cell r="P118" t="str">
            <v>삼성전자</v>
          </cell>
          <cell r="Q118" t="str">
            <v>운용</v>
          </cell>
          <cell r="R118">
            <v>1</v>
          </cell>
          <cell r="S118" t="str">
            <v>2949</v>
          </cell>
        </row>
        <row r="119">
          <cell r="D119" t="str">
            <v>남서울지점</v>
          </cell>
          <cell r="E119">
            <v>3970</v>
          </cell>
          <cell r="F119" t="str">
            <v>04</v>
          </cell>
          <cell r="G119" t="str">
            <v>통신실</v>
          </cell>
          <cell r="I119" t="str">
            <v>PC8LED</v>
          </cell>
          <cell r="K119" t="str">
            <v>3675</v>
          </cell>
          <cell r="L119" t="str">
            <v>에릭슨</v>
          </cell>
          <cell r="N119" t="str">
            <v>TRS휴대용</v>
          </cell>
          <cell r="P119" t="str">
            <v>삼성전자</v>
          </cell>
          <cell r="Q119" t="str">
            <v>운용</v>
          </cell>
          <cell r="R119">
            <v>1</v>
          </cell>
          <cell r="S119" t="str">
            <v>2950</v>
          </cell>
        </row>
        <row r="120">
          <cell r="D120" t="str">
            <v>남서울지점</v>
          </cell>
          <cell r="E120">
            <v>3970</v>
          </cell>
          <cell r="F120" t="str">
            <v>04</v>
          </cell>
          <cell r="G120" t="str">
            <v>통신실</v>
          </cell>
          <cell r="I120" t="str">
            <v>PC8LED</v>
          </cell>
          <cell r="K120" t="str">
            <v>3676</v>
          </cell>
          <cell r="L120" t="str">
            <v>에릭슨</v>
          </cell>
          <cell r="N120" t="str">
            <v>TRS휴대용</v>
          </cell>
          <cell r="P120" t="str">
            <v>삼성전자</v>
          </cell>
          <cell r="Q120" t="str">
            <v>운용</v>
          </cell>
          <cell r="R120">
            <v>1</v>
          </cell>
          <cell r="S120" t="str">
            <v>2951</v>
          </cell>
        </row>
        <row r="121">
          <cell r="D121" t="str">
            <v>남서울지점</v>
          </cell>
          <cell r="E121">
            <v>3970</v>
          </cell>
          <cell r="F121" t="str">
            <v>04</v>
          </cell>
          <cell r="G121" t="str">
            <v>배전운영실</v>
          </cell>
          <cell r="I121" t="str">
            <v>PC8LED</v>
          </cell>
          <cell r="K121" t="str">
            <v>2368</v>
          </cell>
          <cell r="L121" t="str">
            <v>에릭슨</v>
          </cell>
          <cell r="N121" t="str">
            <v>TRS휴대용</v>
          </cell>
          <cell r="P121" t="str">
            <v>삼성전자</v>
          </cell>
          <cell r="Q121" t="str">
            <v>운용</v>
          </cell>
          <cell r="R121">
            <v>1</v>
          </cell>
        </row>
        <row r="122">
          <cell r="D122" t="str">
            <v>남서울지점</v>
          </cell>
          <cell r="E122">
            <v>3970</v>
          </cell>
          <cell r="F122" t="str">
            <v>04</v>
          </cell>
          <cell r="G122" t="str">
            <v>배전운영실</v>
          </cell>
          <cell r="I122" t="str">
            <v>PC8LED</v>
          </cell>
          <cell r="K122" t="str">
            <v>2369</v>
          </cell>
          <cell r="L122" t="str">
            <v>에릭슨</v>
          </cell>
          <cell r="N122" t="str">
            <v>TRS휴대용</v>
          </cell>
          <cell r="P122" t="str">
            <v>삼성전자</v>
          </cell>
          <cell r="Q122" t="str">
            <v>운용</v>
          </cell>
          <cell r="R122">
            <v>1</v>
          </cell>
          <cell r="S122" t="str">
            <v>2941</v>
          </cell>
        </row>
        <row r="123">
          <cell r="D123" t="str">
            <v>남서울지점</v>
          </cell>
          <cell r="E123">
            <v>3970</v>
          </cell>
          <cell r="F123" t="str">
            <v>04</v>
          </cell>
          <cell r="G123" t="str">
            <v>배전운영실</v>
          </cell>
          <cell r="I123" t="str">
            <v>PC8LED</v>
          </cell>
          <cell r="K123" t="str">
            <v>2370</v>
          </cell>
          <cell r="L123" t="str">
            <v>에릭슨</v>
          </cell>
          <cell r="N123" t="str">
            <v>TRS휴대용</v>
          </cell>
          <cell r="P123" t="str">
            <v>삼성전자</v>
          </cell>
          <cell r="Q123" t="str">
            <v>운용</v>
          </cell>
          <cell r="R123">
            <v>1</v>
          </cell>
          <cell r="S123" t="str">
            <v>2942</v>
          </cell>
        </row>
        <row r="124">
          <cell r="D124" t="str">
            <v>남서울지점</v>
          </cell>
          <cell r="E124">
            <v>3970</v>
          </cell>
          <cell r="F124" t="str">
            <v>04</v>
          </cell>
          <cell r="G124" t="str">
            <v>배전운영실</v>
          </cell>
          <cell r="I124" t="str">
            <v>PC8LED</v>
          </cell>
          <cell r="K124" t="str">
            <v>2371</v>
          </cell>
          <cell r="L124" t="str">
            <v>에릭슨</v>
          </cell>
          <cell r="N124" t="str">
            <v>TRS휴대용</v>
          </cell>
          <cell r="P124" t="str">
            <v>삼성전자</v>
          </cell>
          <cell r="Q124" t="str">
            <v>운용</v>
          </cell>
          <cell r="R124">
            <v>1</v>
          </cell>
          <cell r="S124" t="str">
            <v>2943</v>
          </cell>
        </row>
        <row r="125">
          <cell r="D125" t="str">
            <v>남서울지점</v>
          </cell>
          <cell r="E125">
            <v>3970</v>
          </cell>
          <cell r="F125" t="str">
            <v>04</v>
          </cell>
          <cell r="G125" t="str">
            <v>배전운영실</v>
          </cell>
          <cell r="I125" t="str">
            <v>PC8LED</v>
          </cell>
          <cell r="K125" t="str">
            <v>2372</v>
          </cell>
          <cell r="L125" t="str">
            <v>에릭슨</v>
          </cell>
          <cell r="N125" t="str">
            <v>TRS휴대용</v>
          </cell>
          <cell r="P125" t="str">
            <v>삼성전자</v>
          </cell>
          <cell r="Q125" t="str">
            <v>운용</v>
          </cell>
          <cell r="R125">
            <v>1</v>
          </cell>
          <cell r="S125" t="str">
            <v>2944</v>
          </cell>
        </row>
        <row r="126">
          <cell r="D126" t="str">
            <v>남서울지점</v>
          </cell>
          <cell r="E126">
            <v>3970</v>
          </cell>
          <cell r="F126" t="str">
            <v>04</v>
          </cell>
          <cell r="G126" t="str">
            <v>배전운영실</v>
          </cell>
          <cell r="I126" t="str">
            <v>PC8LED</v>
          </cell>
          <cell r="K126" t="str">
            <v>2373</v>
          </cell>
          <cell r="L126" t="str">
            <v>에릭슨</v>
          </cell>
          <cell r="N126" t="str">
            <v>TRS휴대용</v>
          </cell>
          <cell r="P126" t="str">
            <v>삼성전자</v>
          </cell>
          <cell r="Q126" t="str">
            <v>운용</v>
          </cell>
          <cell r="R126">
            <v>1</v>
          </cell>
          <cell r="S126" t="str">
            <v>2945</v>
          </cell>
        </row>
        <row r="127">
          <cell r="D127" t="str">
            <v>남서울지점</v>
          </cell>
          <cell r="E127">
            <v>3970</v>
          </cell>
          <cell r="F127" t="str">
            <v>04</v>
          </cell>
          <cell r="G127" t="str">
            <v>배전운영실</v>
          </cell>
          <cell r="I127" t="str">
            <v>PC8LED</v>
          </cell>
          <cell r="K127" t="str">
            <v>2374</v>
          </cell>
          <cell r="L127" t="str">
            <v>에릭슨</v>
          </cell>
          <cell r="N127" t="str">
            <v>TRS휴대용</v>
          </cell>
          <cell r="P127" t="str">
            <v>삼성전자</v>
          </cell>
          <cell r="Q127" t="str">
            <v>운용</v>
          </cell>
          <cell r="R127">
            <v>1</v>
          </cell>
          <cell r="S127" t="str">
            <v>2946</v>
          </cell>
        </row>
        <row r="128">
          <cell r="D128" t="str">
            <v>남서울지점</v>
          </cell>
          <cell r="E128">
            <v>3970</v>
          </cell>
          <cell r="F128" t="str">
            <v>04</v>
          </cell>
          <cell r="G128" t="str">
            <v>배전운영실</v>
          </cell>
          <cell r="I128" t="str">
            <v>PC8LED</v>
          </cell>
          <cell r="K128" t="str">
            <v>2375</v>
          </cell>
          <cell r="L128" t="str">
            <v>에릭슨</v>
          </cell>
          <cell r="N128" t="str">
            <v>TRS휴대용</v>
          </cell>
          <cell r="P128" t="str">
            <v>삼성전자</v>
          </cell>
          <cell r="Q128" t="str">
            <v>운용</v>
          </cell>
          <cell r="R128">
            <v>1</v>
          </cell>
          <cell r="S128" t="str">
            <v>2947</v>
          </cell>
        </row>
        <row r="129">
          <cell r="D129" t="str">
            <v>남서울지점</v>
          </cell>
          <cell r="E129">
            <v>3970</v>
          </cell>
          <cell r="F129" t="str">
            <v>04</v>
          </cell>
          <cell r="G129" t="str">
            <v>배전사령실</v>
          </cell>
          <cell r="I129" t="str">
            <v>PC8LED</v>
          </cell>
          <cell r="K129" t="str">
            <v>2376</v>
          </cell>
          <cell r="L129" t="str">
            <v>에릭슨</v>
          </cell>
          <cell r="N129" t="str">
            <v>TRS휴대용</v>
          </cell>
          <cell r="P129" t="str">
            <v>삼성전자</v>
          </cell>
          <cell r="Q129" t="str">
            <v>운용</v>
          </cell>
          <cell r="R129">
            <v>1</v>
          </cell>
          <cell r="S129" t="str">
            <v>2948</v>
          </cell>
        </row>
        <row r="130">
          <cell r="D130" t="str">
            <v>남서울지점</v>
          </cell>
          <cell r="E130">
            <v>3970</v>
          </cell>
          <cell r="F130" t="str">
            <v>01</v>
          </cell>
          <cell r="G130" t="str">
            <v>통신실</v>
          </cell>
          <cell r="I130" t="str">
            <v>주장치</v>
          </cell>
          <cell r="J130" t="str">
            <v>10회선</v>
          </cell>
          <cell r="L130" t="str">
            <v>(주)GIGA TEC</v>
          </cell>
          <cell r="N130" t="str">
            <v>재석표시기</v>
          </cell>
          <cell r="P130" t="str">
            <v>(주)GIGA TEC</v>
          </cell>
          <cell r="Q130" t="str">
            <v>운용</v>
          </cell>
          <cell r="R130">
            <v>1</v>
          </cell>
        </row>
        <row r="131">
          <cell r="D131" t="str">
            <v>남서울지점</v>
          </cell>
          <cell r="E131">
            <v>3970</v>
          </cell>
          <cell r="F131" t="str">
            <v>03</v>
          </cell>
          <cell r="G131" t="str">
            <v>배전사령실</v>
          </cell>
          <cell r="J131" t="str">
            <v>10회로</v>
          </cell>
          <cell r="L131" t="str">
            <v>(주)GIGA TEC</v>
          </cell>
          <cell r="N131" t="str">
            <v>재석표시기</v>
          </cell>
          <cell r="P131" t="str">
            <v>(주)GIGA TEC</v>
          </cell>
          <cell r="Q131" t="str">
            <v>운용</v>
          </cell>
          <cell r="R131">
            <v>10</v>
          </cell>
          <cell r="S131" t="str">
            <v>배전사령실,전산과,배전운영부,노조사무실,배전부,기획관리과,배전운영실,지점장실,영업운영부,종합봉사실</v>
          </cell>
        </row>
        <row r="132">
          <cell r="D132" t="str">
            <v>남서울지점</v>
          </cell>
          <cell r="E132">
            <v>3970</v>
          </cell>
          <cell r="F132" t="str">
            <v>01</v>
          </cell>
          <cell r="G132" t="str">
            <v>방송실</v>
          </cell>
          <cell r="I132" t="str">
            <v>PM836</v>
          </cell>
          <cell r="K132">
            <v>92031058</v>
          </cell>
          <cell r="L132" t="str">
            <v>인켈</v>
          </cell>
          <cell r="M132" t="str">
            <v>'92.1</v>
          </cell>
          <cell r="N132" t="str">
            <v>방송설비</v>
          </cell>
          <cell r="P132" t="str">
            <v>인켈</v>
          </cell>
          <cell r="Q132" t="str">
            <v>운용</v>
          </cell>
          <cell r="R132">
            <v>1</v>
          </cell>
          <cell r="S132" t="str">
            <v>주장치,MIXER,AMP</v>
          </cell>
        </row>
        <row r="133">
          <cell r="D133" t="str">
            <v>남서울지점</v>
          </cell>
          <cell r="E133">
            <v>3970</v>
          </cell>
          <cell r="F133" t="str">
            <v>02</v>
          </cell>
          <cell r="G133" t="str">
            <v>통신실</v>
          </cell>
          <cell r="I133" t="str">
            <v>사내CATV</v>
          </cell>
          <cell r="L133" t="str">
            <v>삼구전자통신</v>
          </cell>
          <cell r="N133" t="str">
            <v>사내CATV</v>
          </cell>
          <cell r="P133" t="str">
            <v>KDN</v>
          </cell>
          <cell r="Q133" t="str">
            <v>운용</v>
          </cell>
          <cell r="R133">
            <v>1</v>
          </cell>
          <cell r="S133" t="str">
            <v>영상제어장치,HEADEND</v>
          </cell>
        </row>
        <row r="134">
          <cell r="D134" t="str">
            <v>남서울지점</v>
          </cell>
          <cell r="E134">
            <v>3970</v>
          </cell>
          <cell r="F134" t="str">
            <v>10</v>
          </cell>
          <cell r="G134" t="str">
            <v>종합봉사실</v>
          </cell>
          <cell r="I134" t="str">
            <v>전광판</v>
          </cell>
          <cell r="N134" t="str">
            <v>전자식전광판</v>
          </cell>
          <cell r="P134" t="str">
            <v>KDN</v>
          </cell>
          <cell r="Q134" t="str">
            <v>운용</v>
          </cell>
          <cell r="R134">
            <v>1</v>
          </cell>
          <cell r="S134" t="str">
            <v>주장치,표시판</v>
          </cell>
        </row>
        <row r="135">
          <cell r="D135" t="str">
            <v>남서울지점</v>
          </cell>
          <cell r="E135">
            <v>3970</v>
          </cell>
          <cell r="F135">
            <v>99</v>
          </cell>
          <cell r="G135" t="str">
            <v>통신실</v>
          </cell>
          <cell r="I135" t="str">
            <v>CP-2100</v>
          </cell>
          <cell r="K135" t="str">
            <v>0038</v>
          </cell>
          <cell r="L135" t="str">
            <v>초포전자</v>
          </cell>
          <cell r="M135" t="str">
            <v>'89.5</v>
          </cell>
          <cell r="N135" t="str">
            <v>동보장치</v>
          </cell>
          <cell r="P135" t="str">
            <v>초포전자</v>
          </cell>
          <cell r="Q135" t="str">
            <v>운용</v>
          </cell>
          <cell r="R135">
            <v>1</v>
          </cell>
        </row>
        <row r="136">
          <cell r="D136" t="str">
            <v>남서울지점</v>
          </cell>
          <cell r="E136">
            <v>3970</v>
          </cell>
          <cell r="F136">
            <v>99</v>
          </cell>
          <cell r="G136" t="str">
            <v>통신실</v>
          </cell>
          <cell r="I136" t="str">
            <v>스피커</v>
          </cell>
          <cell r="J136" t="str">
            <v>천정형</v>
          </cell>
          <cell r="L136" t="str">
            <v>인켈</v>
          </cell>
          <cell r="N136" t="str">
            <v>스피커</v>
          </cell>
          <cell r="P136" t="str">
            <v>인켈</v>
          </cell>
          <cell r="Q136" t="str">
            <v>운용</v>
          </cell>
          <cell r="R136">
            <v>30</v>
          </cell>
        </row>
        <row r="137">
          <cell r="D137" t="str">
            <v>남서울지점</v>
          </cell>
          <cell r="E137">
            <v>3970</v>
          </cell>
          <cell r="F137">
            <v>99</v>
          </cell>
          <cell r="G137" t="str">
            <v>전산실</v>
          </cell>
          <cell r="H137" t="str">
            <v>96.3</v>
          </cell>
          <cell r="I137" t="str">
            <v>CT-2599</v>
          </cell>
          <cell r="J137" t="str">
            <v>23"</v>
          </cell>
          <cell r="K137" t="str">
            <v>710531A0300637</v>
          </cell>
          <cell r="L137" t="str">
            <v>삼성전자</v>
          </cell>
          <cell r="N137" t="str">
            <v>사내CATV</v>
          </cell>
          <cell r="P137" t="str">
            <v>삼성전자</v>
          </cell>
          <cell r="Q137" t="str">
            <v>운용</v>
          </cell>
          <cell r="R137">
            <v>1</v>
          </cell>
        </row>
        <row r="138">
          <cell r="D138" t="str">
            <v>남서울지점</v>
          </cell>
          <cell r="E138">
            <v>3970</v>
          </cell>
          <cell r="F138">
            <v>99</v>
          </cell>
          <cell r="G138" t="str">
            <v>지점장실</v>
          </cell>
          <cell r="H138" t="str">
            <v>97.3</v>
          </cell>
          <cell r="I138" t="str">
            <v>CT-2555</v>
          </cell>
          <cell r="J138" t="str">
            <v>29"</v>
          </cell>
          <cell r="L138" t="str">
            <v>삼성전자</v>
          </cell>
          <cell r="M138" t="str">
            <v>96.10</v>
          </cell>
          <cell r="N138" t="str">
            <v>사내CATV</v>
          </cell>
          <cell r="P138" t="str">
            <v>삼성전자</v>
          </cell>
          <cell r="Q138" t="str">
            <v>운용</v>
          </cell>
          <cell r="R138">
            <v>1</v>
          </cell>
        </row>
        <row r="139">
          <cell r="D139" t="str">
            <v>남서울지점</v>
          </cell>
          <cell r="E139">
            <v>3970</v>
          </cell>
          <cell r="F139">
            <v>99</v>
          </cell>
          <cell r="G139" t="str">
            <v>종합봉사실</v>
          </cell>
          <cell r="H139" t="str">
            <v>97.3</v>
          </cell>
          <cell r="I139" t="str">
            <v>CT-2555</v>
          </cell>
          <cell r="J139" t="str">
            <v>29"</v>
          </cell>
          <cell r="L139" t="str">
            <v>삼성전자</v>
          </cell>
          <cell r="M139" t="str">
            <v>96.10</v>
          </cell>
          <cell r="N139" t="str">
            <v>사내CATV</v>
          </cell>
          <cell r="P139" t="str">
            <v>삼성전자</v>
          </cell>
          <cell r="Q139" t="str">
            <v>운용</v>
          </cell>
          <cell r="R139">
            <v>1</v>
          </cell>
        </row>
        <row r="140">
          <cell r="D140" t="str">
            <v>남서울지점</v>
          </cell>
          <cell r="E140">
            <v>3970</v>
          </cell>
          <cell r="F140">
            <v>99</v>
          </cell>
          <cell r="G140" t="str">
            <v>영업운영부</v>
          </cell>
          <cell r="H140" t="str">
            <v>97.3</v>
          </cell>
          <cell r="I140" t="str">
            <v>CT-2555</v>
          </cell>
          <cell r="J140" t="str">
            <v>29"</v>
          </cell>
          <cell r="L140" t="str">
            <v>삼성전자</v>
          </cell>
          <cell r="M140" t="str">
            <v>96.10</v>
          </cell>
          <cell r="N140" t="str">
            <v>사내CATV</v>
          </cell>
          <cell r="P140" t="str">
            <v>삼성전자</v>
          </cell>
          <cell r="Q140" t="str">
            <v>운용</v>
          </cell>
          <cell r="R140">
            <v>1</v>
          </cell>
        </row>
        <row r="141">
          <cell r="D141" t="str">
            <v>남서울지점</v>
          </cell>
          <cell r="E141">
            <v>3970</v>
          </cell>
          <cell r="F141">
            <v>99</v>
          </cell>
          <cell r="G141" t="str">
            <v>배전부</v>
          </cell>
          <cell r="H141" t="str">
            <v>97.3</v>
          </cell>
          <cell r="I141" t="str">
            <v>CT-2555</v>
          </cell>
          <cell r="J141" t="str">
            <v>29"</v>
          </cell>
          <cell r="K141" t="str">
            <v>880731AG900289</v>
          </cell>
          <cell r="L141" t="str">
            <v>삼성전자</v>
          </cell>
          <cell r="M141" t="str">
            <v>96.10</v>
          </cell>
          <cell r="N141" t="str">
            <v>사내CATV</v>
          </cell>
          <cell r="P141" t="str">
            <v>삼성전자</v>
          </cell>
          <cell r="Q141" t="str">
            <v>운용</v>
          </cell>
          <cell r="R141">
            <v>1</v>
          </cell>
        </row>
        <row r="142">
          <cell r="D142" t="str">
            <v>남서울지점</v>
          </cell>
          <cell r="E142">
            <v>3970</v>
          </cell>
          <cell r="F142">
            <v>99</v>
          </cell>
          <cell r="G142" t="str">
            <v>배전운영부</v>
          </cell>
          <cell r="H142" t="str">
            <v>97.3</v>
          </cell>
          <cell r="I142" t="str">
            <v>CT-2555</v>
          </cell>
          <cell r="J142" t="str">
            <v>29"</v>
          </cell>
          <cell r="K142" t="str">
            <v>880731AG901133</v>
          </cell>
          <cell r="L142" t="str">
            <v>삼성전자</v>
          </cell>
          <cell r="M142" t="str">
            <v>96.10</v>
          </cell>
          <cell r="N142" t="str">
            <v>사내CATV</v>
          </cell>
          <cell r="P142" t="str">
            <v>삼성전자</v>
          </cell>
          <cell r="Q142" t="str">
            <v>운용</v>
          </cell>
          <cell r="R142">
            <v>1</v>
          </cell>
        </row>
        <row r="143">
          <cell r="D143" t="str">
            <v>남서울지점</v>
          </cell>
          <cell r="E143">
            <v>3970</v>
          </cell>
          <cell r="F143">
            <v>99</v>
          </cell>
          <cell r="G143" t="str">
            <v>서무과</v>
          </cell>
          <cell r="H143" t="str">
            <v>97.3</v>
          </cell>
          <cell r="I143" t="str">
            <v>CT-2555</v>
          </cell>
          <cell r="J143" t="str">
            <v>29"</v>
          </cell>
          <cell r="K143" t="str">
            <v>880731AG900330</v>
          </cell>
          <cell r="L143" t="str">
            <v>삼성전자</v>
          </cell>
          <cell r="M143" t="str">
            <v>96.10</v>
          </cell>
          <cell r="N143" t="str">
            <v>사내CATV</v>
          </cell>
          <cell r="P143" t="str">
            <v>삼성전자</v>
          </cell>
          <cell r="Q143" t="str">
            <v>운용</v>
          </cell>
          <cell r="R143">
            <v>1</v>
          </cell>
        </row>
        <row r="144">
          <cell r="D144" t="str">
            <v>남서울지점</v>
          </cell>
          <cell r="E144">
            <v>3970</v>
          </cell>
          <cell r="F144">
            <v>99</v>
          </cell>
          <cell r="G144" t="str">
            <v>배전운영실</v>
          </cell>
          <cell r="H144" t="str">
            <v>97.3</v>
          </cell>
          <cell r="I144" t="str">
            <v>CT-2555</v>
          </cell>
          <cell r="J144" t="str">
            <v>29"</v>
          </cell>
          <cell r="L144" t="str">
            <v>삼성전자</v>
          </cell>
          <cell r="M144" t="str">
            <v>96.10</v>
          </cell>
          <cell r="N144" t="str">
            <v>사내CATV</v>
          </cell>
          <cell r="P144" t="str">
            <v>삼성전자</v>
          </cell>
          <cell r="Q144" t="str">
            <v>운용</v>
          </cell>
          <cell r="R144">
            <v>1</v>
          </cell>
        </row>
        <row r="145">
          <cell r="D145" t="str">
            <v>남서울지점</v>
          </cell>
          <cell r="E145">
            <v>3970</v>
          </cell>
          <cell r="F145">
            <v>99</v>
          </cell>
          <cell r="G145" t="str">
            <v>배전사령실</v>
          </cell>
          <cell r="H145" t="str">
            <v>97.3</v>
          </cell>
          <cell r="I145" t="str">
            <v>CT-2555</v>
          </cell>
          <cell r="J145" t="str">
            <v>29"</v>
          </cell>
          <cell r="K145" t="str">
            <v>880731AGA02031</v>
          </cell>
          <cell r="L145" t="str">
            <v>삼성전자</v>
          </cell>
          <cell r="M145" t="str">
            <v>96.10</v>
          </cell>
          <cell r="N145" t="str">
            <v>사내CATV</v>
          </cell>
          <cell r="P145" t="str">
            <v>삼성전자</v>
          </cell>
          <cell r="Q145" t="str">
            <v>운용</v>
          </cell>
          <cell r="R145">
            <v>1</v>
          </cell>
        </row>
        <row r="146">
          <cell r="D146" t="str">
            <v>남서울지점</v>
          </cell>
          <cell r="E146">
            <v>3970</v>
          </cell>
          <cell r="F146">
            <v>99</v>
          </cell>
          <cell r="G146" t="str">
            <v>노조사무실</v>
          </cell>
          <cell r="H146" t="str">
            <v>97.3</v>
          </cell>
          <cell r="I146" t="str">
            <v>CT-2555</v>
          </cell>
          <cell r="J146" t="str">
            <v>29"</v>
          </cell>
          <cell r="L146" t="str">
            <v>삼성전자</v>
          </cell>
          <cell r="M146" t="str">
            <v>96.10</v>
          </cell>
          <cell r="N146" t="str">
            <v>사내CATV</v>
          </cell>
          <cell r="P146" t="str">
            <v>삼성전자</v>
          </cell>
          <cell r="Q146" t="str">
            <v>운용</v>
          </cell>
          <cell r="R146">
            <v>1</v>
          </cell>
        </row>
        <row r="147">
          <cell r="D147" t="str">
            <v>남서울지점</v>
          </cell>
          <cell r="E147">
            <v>3970</v>
          </cell>
          <cell r="F147">
            <v>99</v>
          </cell>
          <cell r="G147" t="str">
            <v>통신실</v>
          </cell>
          <cell r="H147" t="str">
            <v>97.3</v>
          </cell>
          <cell r="I147" t="str">
            <v>CT-2555</v>
          </cell>
          <cell r="J147" t="str">
            <v>29"</v>
          </cell>
          <cell r="L147" t="str">
            <v>삼성전자</v>
          </cell>
          <cell r="M147" t="str">
            <v>96.10</v>
          </cell>
          <cell r="N147" t="str">
            <v>사내CATV</v>
          </cell>
          <cell r="P147" t="str">
            <v>삼성전자</v>
          </cell>
          <cell r="Q147" t="str">
            <v>운용</v>
          </cell>
          <cell r="R147">
            <v>1</v>
          </cell>
        </row>
        <row r="148">
          <cell r="D148" t="str">
            <v>남서울지점</v>
          </cell>
          <cell r="E148">
            <v>3970</v>
          </cell>
          <cell r="F148" t="str">
            <v>01</v>
          </cell>
          <cell r="G148" t="str">
            <v>새서울산업</v>
          </cell>
          <cell r="H148" t="str">
            <v>1993/01/01</v>
          </cell>
          <cell r="I148" t="str">
            <v>CPC-6918S33/GV</v>
          </cell>
          <cell r="J148" t="str">
            <v>386PC</v>
          </cell>
          <cell r="K148" t="str">
            <v>402C2900772</v>
          </cell>
          <cell r="L148" t="str">
            <v>대우</v>
          </cell>
          <cell r="M148" t="str">
            <v>1993/01/01</v>
          </cell>
          <cell r="P148" t="str">
            <v>대우</v>
          </cell>
          <cell r="Q148" t="str">
            <v>운용</v>
          </cell>
          <cell r="R148">
            <v>1</v>
          </cell>
        </row>
        <row r="149">
          <cell r="D149" t="str">
            <v>남서울지점</v>
          </cell>
          <cell r="E149">
            <v>3970</v>
          </cell>
          <cell r="F149" t="str">
            <v>01</v>
          </cell>
          <cell r="G149" t="str">
            <v>새서울산업</v>
          </cell>
          <cell r="H149" t="str">
            <v>1993/01/01</v>
          </cell>
          <cell r="I149" t="str">
            <v>CPC-6918S33/GV</v>
          </cell>
          <cell r="J149" t="str">
            <v>386PC</v>
          </cell>
          <cell r="K149" t="str">
            <v>402C2900773</v>
          </cell>
          <cell r="L149" t="str">
            <v>대우</v>
          </cell>
          <cell r="M149" t="str">
            <v>1993/01/01</v>
          </cell>
          <cell r="P149" t="str">
            <v>대우</v>
          </cell>
          <cell r="Q149" t="str">
            <v>운용</v>
          </cell>
          <cell r="R149">
            <v>1</v>
          </cell>
        </row>
        <row r="150">
          <cell r="D150" t="str">
            <v>남서울지점</v>
          </cell>
          <cell r="E150">
            <v>3970</v>
          </cell>
          <cell r="F150" t="str">
            <v>01</v>
          </cell>
          <cell r="G150" t="str">
            <v>새서울산업</v>
          </cell>
          <cell r="H150" t="str">
            <v>1993/01/01</v>
          </cell>
          <cell r="I150" t="str">
            <v>CPC-6918S33/GV</v>
          </cell>
          <cell r="J150" t="str">
            <v>386PC</v>
          </cell>
          <cell r="K150" t="str">
            <v>402C2901266</v>
          </cell>
          <cell r="L150" t="str">
            <v>대우</v>
          </cell>
          <cell r="M150" t="str">
            <v>1993/01/01</v>
          </cell>
          <cell r="P150" t="str">
            <v>대우</v>
          </cell>
          <cell r="Q150" t="str">
            <v>운용</v>
          </cell>
          <cell r="R150">
            <v>1</v>
          </cell>
        </row>
        <row r="151">
          <cell r="D151" t="str">
            <v>남서울지점</v>
          </cell>
          <cell r="E151">
            <v>3970</v>
          </cell>
          <cell r="F151" t="str">
            <v>02</v>
          </cell>
          <cell r="G151" t="str">
            <v>배전운영실</v>
          </cell>
          <cell r="H151" t="str">
            <v>1994/09/01</v>
          </cell>
          <cell r="I151" t="str">
            <v>SPC-7500P</v>
          </cell>
          <cell r="J151" t="str">
            <v>486PC</v>
          </cell>
          <cell r="K151" t="str">
            <v>92FD800922</v>
          </cell>
          <cell r="L151" t="str">
            <v>삼성</v>
          </cell>
          <cell r="M151" t="str">
            <v>1994/09/01</v>
          </cell>
          <cell r="P151" t="str">
            <v>삼성</v>
          </cell>
          <cell r="Q151" t="str">
            <v>운용</v>
          </cell>
          <cell r="R151">
            <v>1</v>
          </cell>
        </row>
        <row r="152">
          <cell r="D152" t="str">
            <v>남서울지점</v>
          </cell>
          <cell r="E152">
            <v>3970</v>
          </cell>
          <cell r="F152" t="str">
            <v>02</v>
          </cell>
          <cell r="G152" t="str">
            <v>새서울산업</v>
          </cell>
          <cell r="H152" t="str">
            <v>1998/04/01</v>
          </cell>
          <cell r="I152" t="str">
            <v>SPC-7500P</v>
          </cell>
          <cell r="J152" t="str">
            <v>486PC</v>
          </cell>
          <cell r="K152" t="str">
            <v>92FD800915</v>
          </cell>
          <cell r="L152" t="str">
            <v>삼성</v>
          </cell>
          <cell r="M152" t="str">
            <v>1998/04/01</v>
          </cell>
          <cell r="P152" t="str">
            <v>삼성</v>
          </cell>
          <cell r="Q152" t="str">
            <v>운용</v>
          </cell>
          <cell r="R152">
            <v>1</v>
          </cell>
        </row>
        <row r="153">
          <cell r="D153" t="str">
            <v>남서울지점</v>
          </cell>
          <cell r="E153">
            <v>3970</v>
          </cell>
          <cell r="F153" t="str">
            <v>02</v>
          </cell>
          <cell r="G153" t="str">
            <v>전우회</v>
          </cell>
          <cell r="I153" t="str">
            <v>CPC-2500</v>
          </cell>
          <cell r="J153" t="str">
            <v>486PC</v>
          </cell>
          <cell r="K153" t="str">
            <v>404C6116475</v>
          </cell>
          <cell r="L153" t="str">
            <v>대우</v>
          </cell>
          <cell r="P153" t="str">
            <v>대우</v>
          </cell>
          <cell r="Q153" t="str">
            <v>운용</v>
          </cell>
          <cell r="R153">
            <v>1</v>
          </cell>
        </row>
        <row r="154">
          <cell r="D154" t="str">
            <v>남서울지점</v>
          </cell>
          <cell r="E154">
            <v>3970</v>
          </cell>
          <cell r="F154" t="str">
            <v>03</v>
          </cell>
          <cell r="G154" t="str">
            <v>배전사령실</v>
          </cell>
          <cell r="H154" t="str">
            <v>1996/07/01</v>
          </cell>
          <cell r="I154" t="str">
            <v>SPC-8200PG</v>
          </cell>
          <cell r="J154" t="str">
            <v>586PC</v>
          </cell>
          <cell r="K154" t="str">
            <v>92GG706199</v>
          </cell>
          <cell r="L154" t="str">
            <v>삼성</v>
          </cell>
          <cell r="M154" t="str">
            <v>1996/07/01</v>
          </cell>
          <cell r="P154" t="str">
            <v>삼성</v>
          </cell>
          <cell r="Q154" t="str">
            <v>운용</v>
          </cell>
          <cell r="R154">
            <v>1</v>
          </cell>
        </row>
        <row r="155">
          <cell r="D155" t="str">
            <v>남서울지점</v>
          </cell>
          <cell r="E155">
            <v>3970</v>
          </cell>
          <cell r="F155" t="str">
            <v>03</v>
          </cell>
          <cell r="G155" t="str">
            <v>배전운영실</v>
          </cell>
          <cell r="H155" t="str">
            <v>1996/07/01</v>
          </cell>
          <cell r="I155" t="str">
            <v>SPC-8200P</v>
          </cell>
          <cell r="J155" t="str">
            <v>586PC</v>
          </cell>
          <cell r="K155" t="str">
            <v>92GG705028</v>
          </cell>
          <cell r="L155" t="str">
            <v>삼성</v>
          </cell>
          <cell r="M155" t="str">
            <v>1996/07/01</v>
          </cell>
          <cell r="P155" t="str">
            <v>삼성</v>
          </cell>
          <cell r="Q155" t="str">
            <v>운용</v>
          </cell>
          <cell r="R155">
            <v>1</v>
          </cell>
        </row>
        <row r="156">
          <cell r="D156" t="str">
            <v>남서울지점</v>
          </cell>
          <cell r="E156">
            <v>3970</v>
          </cell>
          <cell r="F156" t="str">
            <v>03</v>
          </cell>
          <cell r="G156" t="str">
            <v>배전과</v>
          </cell>
          <cell r="H156" t="str">
            <v>1998/04/01</v>
          </cell>
          <cell r="I156" t="str">
            <v>SPC-8320P</v>
          </cell>
          <cell r="J156" t="str">
            <v>586PC</v>
          </cell>
          <cell r="K156" t="str">
            <v>92FGB01811</v>
          </cell>
          <cell r="L156" t="str">
            <v>삼성</v>
          </cell>
          <cell r="M156" t="str">
            <v>1998/04/01</v>
          </cell>
          <cell r="P156" t="str">
            <v>삼성</v>
          </cell>
          <cell r="Q156" t="str">
            <v>운용</v>
          </cell>
          <cell r="R156">
            <v>1</v>
          </cell>
        </row>
        <row r="157">
          <cell r="D157" t="str">
            <v>남서울지점</v>
          </cell>
          <cell r="E157">
            <v>3970</v>
          </cell>
          <cell r="F157" t="str">
            <v>03</v>
          </cell>
          <cell r="G157" t="str">
            <v>배전보수과</v>
          </cell>
          <cell r="H157" t="str">
            <v>1995/10/01</v>
          </cell>
          <cell r="I157" t="str">
            <v>SPC-8200P</v>
          </cell>
          <cell r="J157" t="str">
            <v>586PC</v>
          </cell>
          <cell r="K157" t="str">
            <v>91DF900815</v>
          </cell>
          <cell r="L157" t="str">
            <v>삼성</v>
          </cell>
          <cell r="M157" t="str">
            <v>1995/10/01</v>
          </cell>
          <cell r="P157" t="str">
            <v>삼성</v>
          </cell>
          <cell r="Q157" t="str">
            <v>운용</v>
          </cell>
          <cell r="R157">
            <v>1</v>
          </cell>
        </row>
        <row r="158">
          <cell r="D158" t="str">
            <v>남서울지점</v>
          </cell>
          <cell r="E158">
            <v>3970</v>
          </cell>
          <cell r="F158" t="str">
            <v>03</v>
          </cell>
          <cell r="G158" t="str">
            <v>배전사령실</v>
          </cell>
          <cell r="H158" t="str">
            <v>1996/11/01</v>
          </cell>
          <cell r="I158" t="str">
            <v>TG-520CD</v>
          </cell>
          <cell r="J158" t="str">
            <v>586PC</v>
          </cell>
          <cell r="K158" t="str">
            <v>D1563-HAC-00687</v>
          </cell>
          <cell r="L158" t="str">
            <v>삼보</v>
          </cell>
          <cell r="M158" t="str">
            <v>1996/11/01</v>
          </cell>
          <cell r="P158" t="str">
            <v>삼보</v>
          </cell>
          <cell r="Q158" t="str">
            <v>운용</v>
          </cell>
          <cell r="R158">
            <v>1</v>
          </cell>
        </row>
        <row r="159">
          <cell r="D159" t="str">
            <v>남서울지점</v>
          </cell>
          <cell r="E159">
            <v>3970</v>
          </cell>
          <cell r="F159" t="str">
            <v>03</v>
          </cell>
          <cell r="G159" t="str">
            <v>통신실</v>
          </cell>
          <cell r="H159" t="str">
            <v>1996/12/01</v>
          </cell>
          <cell r="I159" t="str">
            <v>D52</v>
          </cell>
          <cell r="J159" t="str">
            <v>586PC</v>
          </cell>
          <cell r="K159" t="str">
            <v>61200091</v>
          </cell>
          <cell r="L159" t="str">
            <v>LG</v>
          </cell>
          <cell r="M159" t="str">
            <v>1996/12/01</v>
          </cell>
          <cell r="P159" t="str">
            <v>LG</v>
          </cell>
          <cell r="Q159" t="str">
            <v>운용</v>
          </cell>
          <cell r="R159">
            <v>1</v>
          </cell>
        </row>
        <row r="160">
          <cell r="D160" t="str">
            <v>남서울지점</v>
          </cell>
          <cell r="E160">
            <v>3970</v>
          </cell>
          <cell r="F160" t="str">
            <v>03</v>
          </cell>
          <cell r="G160" t="str">
            <v>검침과</v>
          </cell>
          <cell r="H160" t="str">
            <v>1997/11/01</v>
          </cell>
          <cell r="I160" t="str">
            <v>CD525</v>
          </cell>
          <cell r="J160" t="str">
            <v>586PC</v>
          </cell>
          <cell r="K160" t="str">
            <v>7111RO7136</v>
          </cell>
          <cell r="L160" t="str">
            <v>대우</v>
          </cell>
          <cell r="M160" t="str">
            <v>1997/11/01</v>
          </cell>
          <cell r="P160" t="str">
            <v>대우</v>
          </cell>
          <cell r="Q160" t="str">
            <v>운용</v>
          </cell>
          <cell r="R160">
            <v>1</v>
          </cell>
        </row>
        <row r="161">
          <cell r="D161" t="str">
            <v>남서울지점</v>
          </cell>
          <cell r="E161">
            <v>3970</v>
          </cell>
          <cell r="F161" t="str">
            <v>03</v>
          </cell>
          <cell r="G161" t="str">
            <v>검침과</v>
          </cell>
          <cell r="H161" t="str">
            <v>1998/08/01</v>
          </cell>
          <cell r="I161" t="str">
            <v>M2200-G1</v>
          </cell>
          <cell r="J161" t="str">
            <v>586PC</v>
          </cell>
          <cell r="K161" t="str">
            <v>92DJ800501</v>
          </cell>
          <cell r="L161" t="str">
            <v>삼성</v>
          </cell>
          <cell r="M161" t="str">
            <v>1998/08/01</v>
          </cell>
          <cell r="P161" t="str">
            <v>삼성</v>
          </cell>
          <cell r="Q161" t="str">
            <v>운용</v>
          </cell>
          <cell r="R161">
            <v>1</v>
          </cell>
        </row>
        <row r="162">
          <cell r="D162" t="str">
            <v>남서울지점</v>
          </cell>
          <cell r="E162">
            <v>3970</v>
          </cell>
          <cell r="F162" t="str">
            <v>03</v>
          </cell>
          <cell r="G162" t="str">
            <v>검침과장</v>
          </cell>
          <cell r="H162" t="str">
            <v>1998/02/01</v>
          </cell>
          <cell r="I162" t="str">
            <v>CYBERNEX ATX</v>
          </cell>
          <cell r="J162" t="str">
            <v>586PC</v>
          </cell>
          <cell r="K162" t="str">
            <v>D1582-RTO-00004</v>
          </cell>
          <cell r="L162" t="str">
            <v>삼보</v>
          </cell>
          <cell r="M162" t="str">
            <v>1998/02/01</v>
          </cell>
          <cell r="P162" t="str">
            <v>삼보</v>
          </cell>
          <cell r="Q162" t="str">
            <v>운용</v>
          </cell>
          <cell r="R162">
            <v>1</v>
          </cell>
        </row>
        <row r="163">
          <cell r="D163" t="str">
            <v>남서울지점</v>
          </cell>
          <cell r="E163">
            <v>3970</v>
          </cell>
          <cell r="F163" t="str">
            <v>03</v>
          </cell>
          <cell r="G163" t="str">
            <v>계기과</v>
          </cell>
          <cell r="H163" t="str">
            <v>1998/02/01</v>
          </cell>
          <cell r="I163" t="str">
            <v>CYBERNEX ATX</v>
          </cell>
          <cell r="J163" t="str">
            <v>586PC</v>
          </cell>
          <cell r="K163" t="str">
            <v>D1582-RTO-00013</v>
          </cell>
          <cell r="L163" t="str">
            <v>삼보</v>
          </cell>
          <cell r="M163" t="str">
            <v>1998/02/01</v>
          </cell>
          <cell r="P163" t="str">
            <v>삼보</v>
          </cell>
          <cell r="Q163" t="str">
            <v>운용</v>
          </cell>
          <cell r="R163">
            <v>1</v>
          </cell>
        </row>
        <row r="164">
          <cell r="D164" t="str">
            <v>남서울지점</v>
          </cell>
          <cell r="E164">
            <v>3970</v>
          </cell>
          <cell r="F164" t="str">
            <v>03</v>
          </cell>
          <cell r="G164" t="str">
            <v>내선과</v>
          </cell>
          <cell r="H164" t="str">
            <v>1998/02/01</v>
          </cell>
          <cell r="I164" t="str">
            <v>CYBERNEX ATX</v>
          </cell>
          <cell r="J164" t="str">
            <v>586PC</v>
          </cell>
          <cell r="K164" t="str">
            <v>D1582-RTO-00023</v>
          </cell>
          <cell r="L164" t="str">
            <v>삼보</v>
          </cell>
          <cell r="M164" t="str">
            <v>1998/02/01</v>
          </cell>
          <cell r="P164" t="str">
            <v>삼보</v>
          </cell>
          <cell r="Q164" t="str">
            <v>운용</v>
          </cell>
          <cell r="R164">
            <v>1</v>
          </cell>
        </row>
        <row r="165">
          <cell r="D165" t="str">
            <v>남서울지점</v>
          </cell>
          <cell r="E165">
            <v>3970</v>
          </cell>
          <cell r="F165" t="str">
            <v>03</v>
          </cell>
          <cell r="G165" t="str">
            <v>노조사무실</v>
          </cell>
          <cell r="H165" t="str">
            <v>1998/02/01</v>
          </cell>
          <cell r="I165" t="str">
            <v>CYBERNEX ATX</v>
          </cell>
          <cell r="J165" t="str">
            <v>586PC</v>
          </cell>
          <cell r="K165" t="str">
            <v>D158S-RTO-00011</v>
          </cell>
          <cell r="L165" t="str">
            <v>삼보</v>
          </cell>
          <cell r="M165" t="str">
            <v>1998/02/01</v>
          </cell>
          <cell r="P165" t="str">
            <v>삼보</v>
          </cell>
          <cell r="Q165" t="str">
            <v>운용</v>
          </cell>
          <cell r="R165">
            <v>1</v>
          </cell>
        </row>
        <row r="166">
          <cell r="D166" t="str">
            <v>남서울지점</v>
          </cell>
          <cell r="E166">
            <v>3970</v>
          </cell>
          <cell r="F166" t="str">
            <v>03</v>
          </cell>
          <cell r="G166" t="str">
            <v>당직실</v>
          </cell>
          <cell r="H166" t="str">
            <v>없음</v>
          </cell>
          <cell r="I166" t="str">
            <v>조립PC</v>
          </cell>
          <cell r="J166" t="str">
            <v>586PC</v>
          </cell>
          <cell r="K166" t="str">
            <v>없음</v>
          </cell>
          <cell r="L166" t="str">
            <v>조립</v>
          </cell>
          <cell r="M166" t="str">
            <v>없음</v>
          </cell>
          <cell r="P166" t="str">
            <v>조립</v>
          </cell>
          <cell r="Q166" t="str">
            <v>운용</v>
          </cell>
          <cell r="R166">
            <v>1</v>
          </cell>
        </row>
        <row r="167">
          <cell r="D167" t="str">
            <v>남서울지점</v>
          </cell>
          <cell r="E167">
            <v>3970</v>
          </cell>
          <cell r="F167" t="str">
            <v>03</v>
          </cell>
          <cell r="G167" t="str">
            <v>배전과</v>
          </cell>
          <cell r="H167" t="str">
            <v>1997/03/01</v>
          </cell>
          <cell r="I167" t="str">
            <v>MULTICAV POWER</v>
          </cell>
          <cell r="J167" t="str">
            <v>586PC</v>
          </cell>
          <cell r="K167" t="str">
            <v>SN9E907301032</v>
          </cell>
          <cell r="L167" t="str">
            <v>현대</v>
          </cell>
          <cell r="M167" t="str">
            <v>1997/03/01</v>
          </cell>
          <cell r="P167" t="str">
            <v>현대</v>
          </cell>
          <cell r="Q167" t="str">
            <v>운용</v>
          </cell>
          <cell r="R167">
            <v>1</v>
          </cell>
        </row>
        <row r="168">
          <cell r="D168" t="str">
            <v>남서울지점</v>
          </cell>
          <cell r="E168">
            <v>3970</v>
          </cell>
          <cell r="F168" t="str">
            <v>03</v>
          </cell>
          <cell r="G168" t="str">
            <v>배전과</v>
          </cell>
          <cell r="H168" t="str">
            <v>1995/10/01</v>
          </cell>
          <cell r="I168" t="str">
            <v>SPC-8200P</v>
          </cell>
          <cell r="J168" t="str">
            <v>586PC</v>
          </cell>
          <cell r="K168" t="str">
            <v>91DF900825</v>
          </cell>
          <cell r="L168" t="str">
            <v>삼성</v>
          </cell>
          <cell r="M168" t="str">
            <v>1995/10/01</v>
          </cell>
          <cell r="P168" t="str">
            <v>삼성</v>
          </cell>
          <cell r="Q168" t="str">
            <v>운용</v>
          </cell>
          <cell r="R168">
            <v>1</v>
          </cell>
        </row>
        <row r="169">
          <cell r="D169" t="str">
            <v>남서울지점</v>
          </cell>
          <cell r="E169">
            <v>3970</v>
          </cell>
          <cell r="F169" t="str">
            <v>03</v>
          </cell>
          <cell r="G169" t="str">
            <v>배전부장</v>
          </cell>
          <cell r="H169" t="str">
            <v>1998/02/01</v>
          </cell>
          <cell r="I169" t="str">
            <v>CYBERNEX ATX</v>
          </cell>
          <cell r="J169" t="str">
            <v>586PC</v>
          </cell>
          <cell r="K169" t="str">
            <v>D1582-RTO-00008</v>
          </cell>
          <cell r="L169" t="str">
            <v>삼보</v>
          </cell>
          <cell r="M169" t="str">
            <v>1998/02/01</v>
          </cell>
          <cell r="P169" t="str">
            <v>삼보</v>
          </cell>
          <cell r="Q169" t="str">
            <v>운용</v>
          </cell>
          <cell r="R169">
            <v>1</v>
          </cell>
        </row>
        <row r="170">
          <cell r="D170" t="str">
            <v>남서울지점</v>
          </cell>
          <cell r="E170">
            <v>3970</v>
          </cell>
          <cell r="F170" t="str">
            <v>03</v>
          </cell>
          <cell r="G170" t="str">
            <v>배전운영과</v>
          </cell>
          <cell r="H170" t="str">
            <v>1998/02/01</v>
          </cell>
          <cell r="I170" t="str">
            <v>CYBERNEX ATX</v>
          </cell>
          <cell r="J170" t="str">
            <v>586PC</v>
          </cell>
          <cell r="K170" t="str">
            <v>D1582-RTO-0020</v>
          </cell>
          <cell r="L170" t="str">
            <v>삼보</v>
          </cell>
          <cell r="M170" t="str">
            <v>1998/02/01</v>
          </cell>
          <cell r="P170" t="str">
            <v>삼보</v>
          </cell>
          <cell r="Q170" t="str">
            <v>운용</v>
          </cell>
          <cell r="R170">
            <v>1</v>
          </cell>
        </row>
        <row r="171">
          <cell r="D171" t="str">
            <v>남서울지점</v>
          </cell>
          <cell r="E171">
            <v>3970</v>
          </cell>
          <cell r="F171" t="str">
            <v>03</v>
          </cell>
          <cell r="G171" t="str">
            <v>새서울산업</v>
          </cell>
          <cell r="H171" t="str">
            <v>1995/10/01</v>
          </cell>
          <cell r="I171" t="str">
            <v>SPC-8200P</v>
          </cell>
          <cell r="J171" t="str">
            <v>586PC</v>
          </cell>
          <cell r="K171" t="str">
            <v>91DF900825</v>
          </cell>
          <cell r="L171" t="str">
            <v>삼성</v>
          </cell>
          <cell r="M171" t="str">
            <v>1995/10/01</v>
          </cell>
          <cell r="P171" t="str">
            <v>삼성</v>
          </cell>
          <cell r="Q171" t="str">
            <v>운용</v>
          </cell>
          <cell r="R171">
            <v>1</v>
          </cell>
        </row>
        <row r="172">
          <cell r="D172" t="str">
            <v>남서울지점</v>
          </cell>
          <cell r="E172">
            <v>3970</v>
          </cell>
          <cell r="F172" t="str">
            <v>03</v>
          </cell>
          <cell r="G172" t="str">
            <v>수금과</v>
          </cell>
          <cell r="H172" t="str">
            <v>1998/04/01</v>
          </cell>
          <cell r="I172" t="str">
            <v>CD525</v>
          </cell>
          <cell r="J172" t="str">
            <v>586PC</v>
          </cell>
          <cell r="K172" t="str">
            <v>711R07142</v>
          </cell>
          <cell r="L172" t="str">
            <v>대우</v>
          </cell>
          <cell r="M172" t="str">
            <v>1998/04/01</v>
          </cell>
          <cell r="P172" t="str">
            <v>대우</v>
          </cell>
          <cell r="Q172" t="str">
            <v>운용</v>
          </cell>
          <cell r="R172">
            <v>1</v>
          </cell>
        </row>
        <row r="173">
          <cell r="D173" t="str">
            <v>남서울지점</v>
          </cell>
          <cell r="E173">
            <v>3970</v>
          </cell>
          <cell r="F173" t="str">
            <v>03</v>
          </cell>
          <cell r="G173" t="str">
            <v>수금과</v>
          </cell>
          <cell r="H173" t="str">
            <v>1998/02/01</v>
          </cell>
          <cell r="I173" t="str">
            <v>CYBERNEX ATX</v>
          </cell>
          <cell r="J173" t="str">
            <v>586PC</v>
          </cell>
          <cell r="K173" t="str">
            <v>D1582-RTO-00016</v>
          </cell>
          <cell r="L173" t="str">
            <v>삼보</v>
          </cell>
          <cell r="M173" t="str">
            <v>1998/02/01</v>
          </cell>
          <cell r="P173" t="str">
            <v>삼보</v>
          </cell>
          <cell r="Q173" t="str">
            <v>운용</v>
          </cell>
          <cell r="R173">
            <v>1</v>
          </cell>
        </row>
        <row r="174">
          <cell r="D174" t="str">
            <v>남서울지점</v>
          </cell>
          <cell r="E174">
            <v>3970</v>
          </cell>
          <cell r="F174" t="str">
            <v>03</v>
          </cell>
          <cell r="G174" t="str">
            <v>수금과</v>
          </cell>
          <cell r="H174" t="str">
            <v>1998/02/01</v>
          </cell>
          <cell r="I174" t="str">
            <v>CYBERNEX ATX</v>
          </cell>
          <cell r="J174" t="str">
            <v>586PC</v>
          </cell>
          <cell r="K174" t="str">
            <v>D1582-RM2-00080</v>
          </cell>
          <cell r="L174" t="str">
            <v>삼보</v>
          </cell>
          <cell r="M174" t="str">
            <v>1998/02/01</v>
          </cell>
          <cell r="P174" t="str">
            <v>삼보</v>
          </cell>
          <cell r="Q174" t="str">
            <v>운용</v>
          </cell>
          <cell r="R174">
            <v>1</v>
          </cell>
        </row>
        <row r="175">
          <cell r="D175" t="str">
            <v>남서울지점</v>
          </cell>
          <cell r="E175">
            <v>3970</v>
          </cell>
          <cell r="F175" t="str">
            <v>03</v>
          </cell>
          <cell r="G175" t="str">
            <v>영업과</v>
          </cell>
          <cell r="H175" t="str">
            <v>1998/02/01</v>
          </cell>
          <cell r="I175" t="str">
            <v>CYBERNEX ATX</v>
          </cell>
          <cell r="J175" t="str">
            <v>586PC</v>
          </cell>
          <cell r="K175" t="str">
            <v>D1582-RTO-00018</v>
          </cell>
          <cell r="L175" t="str">
            <v>삼보</v>
          </cell>
          <cell r="M175" t="str">
            <v>1998/02/01</v>
          </cell>
          <cell r="P175" t="str">
            <v>삼보</v>
          </cell>
          <cell r="Q175" t="str">
            <v>운용</v>
          </cell>
          <cell r="R175">
            <v>1</v>
          </cell>
        </row>
        <row r="176">
          <cell r="D176" t="str">
            <v>남서울지점</v>
          </cell>
          <cell r="E176">
            <v>3970</v>
          </cell>
          <cell r="F176" t="str">
            <v>03</v>
          </cell>
          <cell r="G176" t="str">
            <v>영업부장</v>
          </cell>
          <cell r="H176" t="str">
            <v>1998/02/01</v>
          </cell>
          <cell r="I176" t="str">
            <v>CYBERNEX ATX</v>
          </cell>
          <cell r="J176" t="str">
            <v>586PC</v>
          </cell>
          <cell r="K176" t="str">
            <v>D1582-RTO-00014</v>
          </cell>
          <cell r="L176" t="str">
            <v>삼보</v>
          </cell>
          <cell r="M176" t="str">
            <v>1998/02/01</v>
          </cell>
          <cell r="P176" t="str">
            <v>삼보</v>
          </cell>
          <cell r="Q176" t="str">
            <v>운용</v>
          </cell>
          <cell r="R176">
            <v>1</v>
          </cell>
        </row>
        <row r="177">
          <cell r="D177" t="str">
            <v>남서울지점</v>
          </cell>
          <cell r="E177">
            <v>3970</v>
          </cell>
          <cell r="F177" t="str">
            <v>03</v>
          </cell>
          <cell r="G177" t="str">
            <v>요금과</v>
          </cell>
          <cell r="H177" t="str">
            <v>1998/02/01</v>
          </cell>
          <cell r="I177" t="str">
            <v>CYBERNEX ATX</v>
          </cell>
          <cell r="J177" t="str">
            <v>586PC</v>
          </cell>
          <cell r="K177" t="str">
            <v>D1582-RTO-00009</v>
          </cell>
          <cell r="L177" t="str">
            <v>삼보</v>
          </cell>
          <cell r="M177" t="str">
            <v>1998/02/01</v>
          </cell>
          <cell r="P177" t="str">
            <v>삼보</v>
          </cell>
          <cell r="Q177" t="str">
            <v>운용</v>
          </cell>
          <cell r="R177">
            <v>1</v>
          </cell>
        </row>
        <row r="178">
          <cell r="D178" t="str">
            <v>남서울지점</v>
          </cell>
          <cell r="E178">
            <v>3970</v>
          </cell>
          <cell r="F178" t="str">
            <v>03</v>
          </cell>
          <cell r="G178" t="str">
            <v>요금과</v>
          </cell>
          <cell r="H178" t="str">
            <v>1998/02/01</v>
          </cell>
          <cell r="I178" t="str">
            <v>CYBERNEX ATX</v>
          </cell>
          <cell r="J178" t="str">
            <v>586PC</v>
          </cell>
          <cell r="K178" t="str">
            <v>D1582-RTO-00026</v>
          </cell>
          <cell r="L178" t="str">
            <v>삼보</v>
          </cell>
          <cell r="M178" t="str">
            <v>1998/02/01</v>
          </cell>
          <cell r="P178" t="str">
            <v>삼보</v>
          </cell>
          <cell r="Q178" t="str">
            <v>운용</v>
          </cell>
          <cell r="R178">
            <v>1</v>
          </cell>
        </row>
        <row r="179">
          <cell r="D179" t="str">
            <v>남서울지점</v>
          </cell>
          <cell r="E179">
            <v>3970</v>
          </cell>
          <cell r="F179" t="str">
            <v>03</v>
          </cell>
          <cell r="G179" t="str">
            <v>요금과</v>
          </cell>
          <cell r="H179" t="str">
            <v>1998/02/01</v>
          </cell>
          <cell r="I179" t="str">
            <v>CYBERNEX ATX</v>
          </cell>
          <cell r="J179" t="str">
            <v>586PC</v>
          </cell>
          <cell r="K179" t="str">
            <v>D1582-RTO-00019</v>
          </cell>
          <cell r="L179" t="str">
            <v>삼보</v>
          </cell>
          <cell r="M179" t="str">
            <v>1998/02/01</v>
          </cell>
          <cell r="P179" t="str">
            <v>삼보</v>
          </cell>
          <cell r="Q179" t="str">
            <v>운용</v>
          </cell>
          <cell r="R179">
            <v>1</v>
          </cell>
        </row>
        <row r="180">
          <cell r="D180" t="str">
            <v>남서울지점</v>
          </cell>
          <cell r="E180">
            <v>3970</v>
          </cell>
          <cell r="F180" t="str">
            <v>03</v>
          </cell>
          <cell r="G180" t="str">
            <v>요금과</v>
          </cell>
          <cell r="H180" t="str">
            <v>1998/02/01</v>
          </cell>
          <cell r="I180" t="str">
            <v>CYBERNEX ATX</v>
          </cell>
          <cell r="J180" t="str">
            <v>586PC</v>
          </cell>
          <cell r="K180" t="str">
            <v>D1582-RTO-00025</v>
          </cell>
          <cell r="L180" t="str">
            <v>삼보</v>
          </cell>
          <cell r="M180" t="str">
            <v>1998/02/01</v>
          </cell>
          <cell r="P180" t="str">
            <v>삼보</v>
          </cell>
          <cell r="Q180" t="str">
            <v>운용</v>
          </cell>
          <cell r="R180">
            <v>1</v>
          </cell>
        </row>
        <row r="181">
          <cell r="D181" t="str">
            <v>남서울지점</v>
          </cell>
          <cell r="E181">
            <v>3970</v>
          </cell>
          <cell r="F181" t="str">
            <v>03</v>
          </cell>
          <cell r="G181" t="str">
            <v>전산과</v>
          </cell>
          <cell r="H181" t="str">
            <v>1998/02/01</v>
          </cell>
          <cell r="I181" t="str">
            <v>CYBERNEX ATX</v>
          </cell>
          <cell r="J181" t="str">
            <v>586PC</v>
          </cell>
          <cell r="K181" t="str">
            <v>D1582-RTO-00001</v>
          </cell>
          <cell r="L181" t="str">
            <v>삼보</v>
          </cell>
          <cell r="M181" t="str">
            <v>1998/02/01</v>
          </cell>
          <cell r="P181" t="str">
            <v>삼보</v>
          </cell>
          <cell r="Q181" t="str">
            <v>운용</v>
          </cell>
          <cell r="R181">
            <v>1</v>
          </cell>
        </row>
        <row r="182">
          <cell r="D182" t="str">
            <v>남서울지점</v>
          </cell>
          <cell r="E182">
            <v>3970</v>
          </cell>
          <cell r="F182" t="str">
            <v>03</v>
          </cell>
          <cell r="G182" t="str">
            <v>전산과</v>
          </cell>
          <cell r="H182" t="str">
            <v>1995/10/01</v>
          </cell>
          <cell r="I182" t="str">
            <v>GT52P</v>
          </cell>
          <cell r="J182" t="str">
            <v>586PC</v>
          </cell>
          <cell r="K182" t="str">
            <v>51100020</v>
          </cell>
          <cell r="L182" t="str">
            <v>LG</v>
          </cell>
          <cell r="M182" t="str">
            <v>1995/10/01</v>
          </cell>
          <cell r="P182" t="str">
            <v>LG</v>
          </cell>
          <cell r="Q182" t="str">
            <v>운용</v>
          </cell>
          <cell r="R182">
            <v>1</v>
          </cell>
        </row>
        <row r="183">
          <cell r="D183" t="str">
            <v>남서울지점</v>
          </cell>
          <cell r="E183">
            <v>3970</v>
          </cell>
          <cell r="F183" t="str">
            <v>03</v>
          </cell>
          <cell r="G183" t="str">
            <v>정보통신과</v>
          </cell>
          <cell r="H183" t="str">
            <v>1998/02/01</v>
          </cell>
          <cell r="I183" t="str">
            <v>CYBERNEX ATX</v>
          </cell>
          <cell r="J183" t="str">
            <v>586PC</v>
          </cell>
          <cell r="K183" t="str">
            <v>D1582-RTO-00005</v>
          </cell>
          <cell r="L183" t="str">
            <v>삼보</v>
          </cell>
          <cell r="M183" t="str">
            <v>1998/02/01</v>
          </cell>
          <cell r="P183" t="str">
            <v>삼보</v>
          </cell>
          <cell r="Q183" t="str">
            <v>운용</v>
          </cell>
          <cell r="R183">
            <v>1</v>
          </cell>
        </row>
        <row r="184">
          <cell r="D184" t="str">
            <v>남서울지점</v>
          </cell>
          <cell r="E184">
            <v>3970</v>
          </cell>
          <cell r="F184" t="str">
            <v>03</v>
          </cell>
          <cell r="G184" t="str">
            <v>정보통신과</v>
          </cell>
          <cell r="H184" t="str">
            <v>1998/02/01</v>
          </cell>
          <cell r="I184" t="str">
            <v>CYBERNEX ATX</v>
          </cell>
          <cell r="J184" t="str">
            <v>586PC</v>
          </cell>
          <cell r="K184" t="str">
            <v>D1582-RTO-00024</v>
          </cell>
          <cell r="L184" t="str">
            <v>삼보</v>
          </cell>
          <cell r="M184" t="str">
            <v>1998/02/01</v>
          </cell>
          <cell r="P184" t="str">
            <v>삼보</v>
          </cell>
          <cell r="Q184" t="str">
            <v>운용</v>
          </cell>
          <cell r="R184">
            <v>1</v>
          </cell>
        </row>
        <row r="185">
          <cell r="D185" t="str">
            <v>남서울지점</v>
          </cell>
          <cell r="E185">
            <v>3970</v>
          </cell>
          <cell r="F185" t="str">
            <v>03</v>
          </cell>
          <cell r="G185" t="str">
            <v>정보통신과</v>
          </cell>
          <cell r="H185" t="str">
            <v>1996/12/01</v>
          </cell>
          <cell r="I185" t="str">
            <v>D52</v>
          </cell>
          <cell r="J185" t="str">
            <v>586PC</v>
          </cell>
          <cell r="K185" t="str">
            <v>61200039</v>
          </cell>
          <cell r="L185" t="str">
            <v>LG</v>
          </cell>
          <cell r="M185" t="str">
            <v>1996/12/01</v>
          </cell>
          <cell r="P185" t="str">
            <v>LG</v>
          </cell>
          <cell r="Q185" t="str">
            <v>운용</v>
          </cell>
          <cell r="R185">
            <v>1</v>
          </cell>
        </row>
        <row r="186">
          <cell r="D186" t="str">
            <v>남서울지점</v>
          </cell>
          <cell r="E186">
            <v>3970</v>
          </cell>
          <cell r="F186" t="str">
            <v>03</v>
          </cell>
          <cell r="G186" t="str">
            <v>종합봉사실</v>
          </cell>
          <cell r="H186" t="str">
            <v>1998/02/01</v>
          </cell>
          <cell r="I186" t="str">
            <v>CYBERNEX ATX</v>
          </cell>
          <cell r="J186" t="str">
            <v>586PC</v>
          </cell>
          <cell r="K186" t="str">
            <v>D1582-RM2-00023</v>
          </cell>
          <cell r="L186" t="str">
            <v>삼보</v>
          </cell>
          <cell r="M186" t="str">
            <v>1998/02/01</v>
          </cell>
          <cell r="P186" t="str">
            <v>삼보</v>
          </cell>
          <cell r="Q186" t="str">
            <v>운용</v>
          </cell>
          <cell r="R186">
            <v>1</v>
          </cell>
        </row>
        <row r="187">
          <cell r="D187" t="str">
            <v>남서울지점</v>
          </cell>
          <cell r="E187">
            <v>3970</v>
          </cell>
          <cell r="F187" t="str">
            <v>03</v>
          </cell>
          <cell r="G187" t="str">
            <v>종합봉사실</v>
          </cell>
          <cell r="H187" t="str">
            <v>1998/02/01</v>
          </cell>
          <cell r="I187" t="str">
            <v>CYBERNEX ATX</v>
          </cell>
          <cell r="J187" t="str">
            <v>586PC</v>
          </cell>
          <cell r="K187" t="str">
            <v>D158S-RTO-00015</v>
          </cell>
          <cell r="L187" t="str">
            <v>삼보</v>
          </cell>
          <cell r="M187" t="str">
            <v>1998/02/01</v>
          </cell>
          <cell r="P187" t="str">
            <v>삼보</v>
          </cell>
          <cell r="Q187" t="str">
            <v>운용</v>
          </cell>
          <cell r="R187">
            <v>1</v>
          </cell>
        </row>
        <row r="188">
          <cell r="D188" t="str">
            <v>남서울지점</v>
          </cell>
          <cell r="E188">
            <v>3970</v>
          </cell>
          <cell r="F188" t="str">
            <v>03</v>
          </cell>
          <cell r="G188" t="str">
            <v>종합봉사실</v>
          </cell>
          <cell r="H188" t="str">
            <v>1998/02/01</v>
          </cell>
          <cell r="I188" t="str">
            <v>CYBERNEX ATX</v>
          </cell>
          <cell r="J188" t="str">
            <v>586PC</v>
          </cell>
          <cell r="K188" t="str">
            <v>D158S-RTO-00012</v>
          </cell>
          <cell r="L188" t="str">
            <v>삼보</v>
          </cell>
          <cell r="M188" t="str">
            <v>1998/02/01</v>
          </cell>
          <cell r="P188" t="str">
            <v>삼보</v>
          </cell>
          <cell r="Q188" t="str">
            <v>운용</v>
          </cell>
          <cell r="R188">
            <v>1</v>
          </cell>
        </row>
        <row r="189">
          <cell r="D189" t="str">
            <v>남서울지점</v>
          </cell>
          <cell r="E189">
            <v>3970</v>
          </cell>
          <cell r="F189" t="str">
            <v>03</v>
          </cell>
          <cell r="G189" t="str">
            <v>종합봉사실</v>
          </cell>
          <cell r="H189" t="str">
            <v>1998/02/01</v>
          </cell>
          <cell r="I189" t="str">
            <v>CYBERNEX ATX</v>
          </cell>
          <cell r="J189" t="str">
            <v>586PC</v>
          </cell>
          <cell r="K189" t="str">
            <v>D158S-RTO-00017</v>
          </cell>
          <cell r="L189" t="str">
            <v>삼보</v>
          </cell>
          <cell r="M189" t="str">
            <v>1998/02/01</v>
          </cell>
          <cell r="P189" t="str">
            <v>삼보</v>
          </cell>
          <cell r="Q189" t="str">
            <v>운용</v>
          </cell>
          <cell r="R189">
            <v>1</v>
          </cell>
        </row>
        <row r="190">
          <cell r="D190" t="str">
            <v>남서울지점</v>
          </cell>
          <cell r="E190">
            <v>3970</v>
          </cell>
          <cell r="F190" t="str">
            <v>03</v>
          </cell>
          <cell r="G190" t="str">
            <v>지점장실</v>
          </cell>
          <cell r="H190" t="str">
            <v>1998/02/01</v>
          </cell>
          <cell r="I190" t="str">
            <v>CYBERNEX ATX</v>
          </cell>
          <cell r="J190" t="str">
            <v>586PC</v>
          </cell>
          <cell r="K190" t="str">
            <v>D1582-RTO-00022</v>
          </cell>
          <cell r="L190" t="str">
            <v>삼보</v>
          </cell>
          <cell r="M190" t="str">
            <v>1998/02/01</v>
          </cell>
          <cell r="P190" t="str">
            <v>삼보</v>
          </cell>
          <cell r="Q190" t="str">
            <v>운용</v>
          </cell>
          <cell r="R190">
            <v>1</v>
          </cell>
        </row>
        <row r="191">
          <cell r="D191" t="str">
            <v>남서울지점</v>
          </cell>
          <cell r="E191">
            <v>3970</v>
          </cell>
          <cell r="F191" t="str">
            <v>03</v>
          </cell>
          <cell r="G191" t="str">
            <v>지중배전과</v>
          </cell>
          <cell r="H191" t="str">
            <v>1998/04/01</v>
          </cell>
          <cell r="I191" t="str">
            <v>CD525</v>
          </cell>
          <cell r="J191" t="str">
            <v>586PC</v>
          </cell>
          <cell r="K191" t="str">
            <v>7111R07145</v>
          </cell>
          <cell r="L191" t="str">
            <v>대우</v>
          </cell>
          <cell r="M191" t="str">
            <v>1998/04/01</v>
          </cell>
          <cell r="P191" t="str">
            <v>대우</v>
          </cell>
          <cell r="Q191" t="str">
            <v>운용</v>
          </cell>
          <cell r="R191">
            <v>1</v>
          </cell>
        </row>
        <row r="192">
          <cell r="D192" t="str">
            <v>남서울지점</v>
          </cell>
          <cell r="E192">
            <v>3970</v>
          </cell>
          <cell r="F192" t="str">
            <v>03</v>
          </cell>
          <cell r="G192" t="str">
            <v>지중배전과</v>
          </cell>
          <cell r="H192" t="str">
            <v>1998/04/01</v>
          </cell>
          <cell r="I192" t="str">
            <v>CD525</v>
          </cell>
          <cell r="J192" t="str">
            <v>586PC</v>
          </cell>
          <cell r="K192" t="str">
            <v>7111R07150</v>
          </cell>
          <cell r="L192" t="str">
            <v>대우</v>
          </cell>
          <cell r="M192" t="str">
            <v>1998/04/01</v>
          </cell>
          <cell r="P192" t="str">
            <v>대우</v>
          </cell>
          <cell r="Q192" t="str">
            <v>운용</v>
          </cell>
          <cell r="R192">
            <v>1</v>
          </cell>
        </row>
        <row r="193">
          <cell r="D193" t="str">
            <v>남서울지점</v>
          </cell>
          <cell r="E193">
            <v>3970</v>
          </cell>
          <cell r="F193" t="str">
            <v>03</v>
          </cell>
          <cell r="G193" t="str">
            <v>지중배전과</v>
          </cell>
          <cell r="H193" t="str">
            <v>1998/02/01</v>
          </cell>
          <cell r="I193" t="str">
            <v>CYBERNEX ATX</v>
          </cell>
          <cell r="J193" t="str">
            <v>586PC</v>
          </cell>
          <cell r="K193" t="str">
            <v>D1582-RTO-00010</v>
          </cell>
          <cell r="L193" t="str">
            <v>삼보</v>
          </cell>
          <cell r="M193" t="str">
            <v>1998/02/01</v>
          </cell>
          <cell r="P193" t="str">
            <v>삼보</v>
          </cell>
          <cell r="Q193" t="str">
            <v>운용</v>
          </cell>
          <cell r="R193">
            <v>1</v>
          </cell>
        </row>
        <row r="194">
          <cell r="D194" t="str">
            <v>남서울지점</v>
          </cell>
          <cell r="E194">
            <v>3970</v>
          </cell>
          <cell r="F194" t="str">
            <v>03</v>
          </cell>
          <cell r="G194" t="str">
            <v>지중배전과</v>
          </cell>
          <cell r="H194" t="str">
            <v>1996/12/01</v>
          </cell>
          <cell r="I194" t="str">
            <v>SPC-8320P</v>
          </cell>
          <cell r="J194" t="str">
            <v>586PC</v>
          </cell>
          <cell r="K194" t="str">
            <v>92FGB01824</v>
          </cell>
          <cell r="L194" t="str">
            <v>삼성</v>
          </cell>
          <cell r="M194" t="str">
            <v>1996/12/01</v>
          </cell>
          <cell r="P194" t="str">
            <v>삼성</v>
          </cell>
          <cell r="Q194" t="str">
            <v>운용</v>
          </cell>
          <cell r="R194">
            <v>1</v>
          </cell>
        </row>
        <row r="195">
          <cell r="D195" t="str">
            <v>남서울지점</v>
          </cell>
          <cell r="E195">
            <v>3970</v>
          </cell>
          <cell r="F195" t="str">
            <v>03</v>
          </cell>
          <cell r="G195" t="str">
            <v>지중배전과</v>
          </cell>
          <cell r="H195" t="str">
            <v>1996/12/01</v>
          </cell>
          <cell r="I195" t="str">
            <v>SPC-8320P</v>
          </cell>
          <cell r="J195" t="str">
            <v>586PC</v>
          </cell>
          <cell r="K195" t="str">
            <v>92GGB00244</v>
          </cell>
          <cell r="L195" t="str">
            <v>삼성</v>
          </cell>
          <cell r="M195" t="str">
            <v>1996/12/01</v>
          </cell>
          <cell r="P195" t="str">
            <v>삼성</v>
          </cell>
          <cell r="Q195" t="str">
            <v>운용</v>
          </cell>
          <cell r="R195">
            <v>1</v>
          </cell>
        </row>
        <row r="196">
          <cell r="D196" t="str">
            <v>남서울지점</v>
          </cell>
          <cell r="E196">
            <v>3970</v>
          </cell>
          <cell r="F196" t="str">
            <v>03</v>
          </cell>
          <cell r="G196" t="str">
            <v>지중보수과</v>
          </cell>
          <cell r="H196" t="str">
            <v>1998/02/01</v>
          </cell>
          <cell r="I196" t="str">
            <v>CYBERNEX ATX</v>
          </cell>
          <cell r="J196" t="str">
            <v>586PC</v>
          </cell>
          <cell r="K196" t="str">
            <v>D1582-RTO-00006</v>
          </cell>
          <cell r="L196" t="str">
            <v>삼보</v>
          </cell>
          <cell r="M196" t="str">
            <v>1998/02/01</v>
          </cell>
          <cell r="P196" t="str">
            <v>삼보</v>
          </cell>
          <cell r="Q196" t="str">
            <v>운용</v>
          </cell>
          <cell r="R196">
            <v>1</v>
          </cell>
        </row>
        <row r="197">
          <cell r="D197" t="str">
            <v>남서울지점</v>
          </cell>
          <cell r="E197">
            <v>3970</v>
          </cell>
          <cell r="F197" t="str">
            <v>03</v>
          </cell>
          <cell r="G197" t="str">
            <v>지중보수과</v>
          </cell>
          <cell r="H197" t="str">
            <v>1995/10/01</v>
          </cell>
          <cell r="I197" t="str">
            <v>SPC-8200P</v>
          </cell>
          <cell r="J197" t="str">
            <v>586PC</v>
          </cell>
          <cell r="K197" t="str">
            <v>92GG503086</v>
          </cell>
          <cell r="L197" t="str">
            <v>삼성</v>
          </cell>
          <cell r="M197" t="str">
            <v>1995/10/01</v>
          </cell>
          <cell r="P197" t="str">
            <v>삼성</v>
          </cell>
          <cell r="Q197" t="str">
            <v>운용</v>
          </cell>
          <cell r="R197">
            <v>1</v>
          </cell>
        </row>
        <row r="198">
          <cell r="D198" t="str">
            <v>남서울지점</v>
          </cell>
          <cell r="E198">
            <v>3970</v>
          </cell>
          <cell r="F198" t="str">
            <v>03</v>
          </cell>
          <cell r="G198" t="str">
            <v>지중보수과</v>
          </cell>
          <cell r="H198" t="str">
            <v>1995/10/01</v>
          </cell>
          <cell r="I198" t="str">
            <v>SPC-8200P</v>
          </cell>
          <cell r="J198" t="str">
            <v>586PC</v>
          </cell>
          <cell r="K198" t="str">
            <v>92EF900089</v>
          </cell>
          <cell r="L198" t="str">
            <v>삼성</v>
          </cell>
          <cell r="M198" t="str">
            <v>1995/10/01</v>
          </cell>
          <cell r="P198" t="str">
            <v>삼성</v>
          </cell>
          <cell r="Q198" t="str">
            <v>운용</v>
          </cell>
          <cell r="R198">
            <v>1</v>
          </cell>
        </row>
        <row r="199">
          <cell r="D199" t="str">
            <v>남서울지점</v>
          </cell>
          <cell r="E199">
            <v>3970</v>
          </cell>
          <cell r="F199" t="str">
            <v>03</v>
          </cell>
          <cell r="G199" t="str">
            <v>지중보수과</v>
          </cell>
          <cell r="H199" t="str">
            <v>1998/04/01</v>
          </cell>
          <cell r="I199" t="str">
            <v>TG-520CD</v>
          </cell>
          <cell r="J199" t="str">
            <v>586PC</v>
          </cell>
          <cell r="K199" t="str">
            <v>D156A-KAJ-00064</v>
          </cell>
          <cell r="L199" t="str">
            <v>삼보</v>
          </cell>
          <cell r="M199" t="str">
            <v>1998/04/01</v>
          </cell>
          <cell r="P199" t="str">
            <v>삼보</v>
          </cell>
          <cell r="Q199" t="str">
            <v>운용</v>
          </cell>
          <cell r="R199">
            <v>1</v>
          </cell>
        </row>
        <row r="200">
          <cell r="D200" t="str">
            <v>남서울지점</v>
          </cell>
          <cell r="E200">
            <v>3970</v>
          </cell>
          <cell r="F200" t="str">
            <v>03</v>
          </cell>
          <cell r="G200" t="str">
            <v>총무과</v>
          </cell>
          <cell r="H200" t="str">
            <v>1998/02/01</v>
          </cell>
          <cell r="I200" t="str">
            <v>CYBERNEX ATX</v>
          </cell>
          <cell r="J200" t="str">
            <v>586PC</v>
          </cell>
          <cell r="K200" t="str">
            <v>D1582-RTO-00003</v>
          </cell>
          <cell r="L200" t="str">
            <v>삼보</v>
          </cell>
          <cell r="M200" t="str">
            <v>1998/02/01</v>
          </cell>
          <cell r="P200" t="str">
            <v>삼보</v>
          </cell>
          <cell r="Q200" t="str">
            <v>운용</v>
          </cell>
          <cell r="R200">
            <v>1</v>
          </cell>
        </row>
        <row r="201">
          <cell r="D201" t="str">
            <v>남서울지점</v>
          </cell>
          <cell r="E201">
            <v>3970</v>
          </cell>
          <cell r="F201" t="str">
            <v>03</v>
          </cell>
          <cell r="G201" t="str">
            <v>총무과</v>
          </cell>
          <cell r="H201" t="str">
            <v>1998/02/01</v>
          </cell>
          <cell r="I201" t="str">
            <v>CYBERNEX ATX</v>
          </cell>
          <cell r="J201" t="str">
            <v>586PC</v>
          </cell>
          <cell r="K201" t="str">
            <v>D1582-RTO-0007</v>
          </cell>
          <cell r="L201" t="str">
            <v>삼보</v>
          </cell>
          <cell r="M201" t="str">
            <v>1998/02/01</v>
          </cell>
          <cell r="P201" t="str">
            <v>삼보</v>
          </cell>
          <cell r="Q201" t="str">
            <v>운용</v>
          </cell>
          <cell r="R201">
            <v>1</v>
          </cell>
        </row>
        <row r="202">
          <cell r="D202" t="str">
            <v>남서울지점</v>
          </cell>
          <cell r="E202">
            <v>3970</v>
          </cell>
          <cell r="F202" t="str">
            <v>03</v>
          </cell>
          <cell r="G202" t="str">
            <v>총무과</v>
          </cell>
          <cell r="H202" t="str">
            <v>1995/09/01</v>
          </cell>
          <cell r="I202" t="str">
            <v>SPC-8200P</v>
          </cell>
          <cell r="J202" t="str">
            <v>586PC</v>
          </cell>
          <cell r="K202" t="str">
            <v>91CF900498</v>
          </cell>
          <cell r="L202" t="str">
            <v>삼성</v>
          </cell>
          <cell r="M202" t="str">
            <v>1995/09/01</v>
          </cell>
          <cell r="P202" t="str">
            <v>삼성</v>
          </cell>
          <cell r="Q202" t="str">
            <v>운용</v>
          </cell>
          <cell r="R202">
            <v>1</v>
          </cell>
        </row>
        <row r="203">
          <cell r="D203" t="str">
            <v>남서울지점</v>
          </cell>
          <cell r="E203">
            <v>3970</v>
          </cell>
          <cell r="F203" t="str">
            <v>03</v>
          </cell>
          <cell r="G203" t="str">
            <v>총무과</v>
          </cell>
          <cell r="H203" t="str">
            <v>1996/11/01</v>
          </cell>
          <cell r="I203" t="str">
            <v>SPC-8320P</v>
          </cell>
          <cell r="J203" t="str">
            <v>586PC</v>
          </cell>
          <cell r="K203" t="str">
            <v>92GGB01320</v>
          </cell>
          <cell r="L203" t="str">
            <v>삼성</v>
          </cell>
          <cell r="M203" t="str">
            <v>1996/11/01</v>
          </cell>
          <cell r="P203" t="str">
            <v>삼성</v>
          </cell>
          <cell r="Q203" t="str">
            <v>운용</v>
          </cell>
          <cell r="R203">
            <v>1</v>
          </cell>
        </row>
        <row r="204">
          <cell r="D204" t="str">
            <v>남서울지점</v>
          </cell>
          <cell r="E204">
            <v>3970</v>
          </cell>
          <cell r="F204" t="str">
            <v>03</v>
          </cell>
          <cell r="G204" t="str">
            <v>총무과</v>
          </cell>
          <cell r="H204" t="str">
            <v>1996/12/01</v>
          </cell>
          <cell r="I204" t="str">
            <v>SPC-8320P</v>
          </cell>
          <cell r="J204" t="str">
            <v>586PC</v>
          </cell>
          <cell r="K204" t="str">
            <v>92HHB01490</v>
          </cell>
          <cell r="L204" t="str">
            <v>삼성</v>
          </cell>
          <cell r="M204" t="str">
            <v>1996/12/01</v>
          </cell>
          <cell r="P204" t="str">
            <v>삼성</v>
          </cell>
          <cell r="Q204" t="str">
            <v>운용</v>
          </cell>
          <cell r="R204">
            <v>1</v>
          </cell>
        </row>
        <row r="205">
          <cell r="D205" t="str">
            <v>남서울지점</v>
          </cell>
          <cell r="E205">
            <v>3970</v>
          </cell>
          <cell r="F205" t="str">
            <v>03</v>
          </cell>
          <cell r="G205" t="str">
            <v>총무과</v>
          </cell>
          <cell r="H205" t="str">
            <v>1996/11/01</v>
          </cell>
          <cell r="I205" t="str">
            <v>TG-520CD</v>
          </cell>
          <cell r="J205" t="str">
            <v>586PC</v>
          </cell>
          <cell r="K205" t="str">
            <v>D156A-KAJ-00050</v>
          </cell>
          <cell r="L205" t="str">
            <v>삼보</v>
          </cell>
          <cell r="M205" t="str">
            <v>1996/11/01</v>
          </cell>
          <cell r="P205" t="str">
            <v>삼보</v>
          </cell>
          <cell r="Q205" t="str">
            <v>운용</v>
          </cell>
          <cell r="R205">
            <v>1</v>
          </cell>
        </row>
        <row r="206">
          <cell r="D206" t="str">
            <v>남서울지점</v>
          </cell>
          <cell r="E206">
            <v>3970</v>
          </cell>
          <cell r="F206" t="str">
            <v>03</v>
          </cell>
          <cell r="G206" t="str">
            <v>회의실</v>
          </cell>
          <cell r="H206" t="str">
            <v>1997/03/01</v>
          </cell>
          <cell r="I206" t="str">
            <v>MULTICAV POWER</v>
          </cell>
          <cell r="J206" t="str">
            <v>586PC</v>
          </cell>
          <cell r="K206" t="str">
            <v>SN9E907300950</v>
          </cell>
          <cell r="L206" t="str">
            <v>현대</v>
          </cell>
          <cell r="M206" t="str">
            <v>1997/03/01</v>
          </cell>
          <cell r="P206" t="str">
            <v>현대</v>
          </cell>
          <cell r="Q206" t="str">
            <v>운용</v>
          </cell>
          <cell r="R206">
            <v>1</v>
          </cell>
        </row>
        <row r="207">
          <cell r="D207" t="str">
            <v>남서울지점</v>
          </cell>
          <cell r="E207">
            <v>3970</v>
          </cell>
          <cell r="F207" t="str">
            <v>03</v>
          </cell>
          <cell r="G207" t="str">
            <v>회의실</v>
          </cell>
          <cell r="H207" t="str">
            <v>1997/03/01</v>
          </cell>
          <cell r="I207" t="str">
            <v>MULTICAV POWER</v>
          </cell>
          <cell r="J207" t="str">
            <v>586PC</v>
          </cell>
          <cell r="K207" t="str">
            <v>SN9E907300949</v>
          </cell>
          <cell r="L207" t="str">
            <v>현대</v>
          </cell>
          <cell r="M207" t="str">
            <v>1997/03/01</v>
          </cell>
          <cell r="P207" t="str">
            <v>현대</v>
          </cell>
          <cell r="Q207" t="str">
            <v>운용</v>
          </cell>
          <cell r="R207">
            <v>1</v>
          </cell>
        </row>
        <row r="208">
          <cell r="D208" t="str">
            <v>남서울지점</v>
          </cell>
          <cell r="E208">
            <v>3970</v>
          </cell>
          <cell r="F208" t="str">
            <v>03</v>
          </cell>
          <cell r="G208" t="str">
            <v>회의실</v>
          </cell>
          <cell r="H208" t="str">
            <v>1997/03/01</v>
          </cell>
          <cell r="I208" t="str">
            <v>MULTICAV POWER</v>
          </cell>
          <cell r="J208" t="str">
            <v>586PC</v>
          </cell>
          <cell r="K208" t="str">
            <v>SN9E907300951</v>
          </cell>
          <cell r="L208" t="str">
            <v>현대</v>
          </cell>
          <cell r="M208" t="str">
            <v>1997/03/01</v>
          </cell>
          <cell r="P208" t="str">
            <v>현대</v>
          </cell>
          <cell r="Q208" t="str">
            <v>운용</v>
          </cell>
          <cell r="R208">
            <v>1</v>
          </cell>
        </row>
        <row r="209">
          <cell r="D209" t="str">
            <v>남서울지점</v>
          </cell>
          <cell r="E209">
            <v>3970</v>
          </cell>
          <cell r="F209" t="str">
            <v>03</v>
          </cell>
          <cell r="G209" t="str">
            <v>회의실</v>
          </cell>
          <cell r="H209" t="str">
            <v>1997/03/01</v>
          </cell>
          <cell r="I209" t="str">
            <v>MULTICAV POWER</v>
          </cell>
          <cell r="J209" t="str">
            <v>586PC</v>
          </cell>
          <cell r="K209" t="str">
            <v>SN9E907300730</v>
          </cell>
          <cell r="L209" t="str">
            <v>현대</v>
          </cell>
          <cell r="M209" t="str">
            <v>1997/03/01</v>
          </cell>
          <cell r="P209" t="str">
            <v>현대</v>
          </cell>
          <cell r="Q209" t="str">
            <v>운용</v>
          </cell>
          <cell r="R209">
            <v>1</v>
          </cell>
        </row>
        <row r="210">
          <cell r="D210" t="str">
            <v>남서울지점</v>
          </cell>
          <cell r="E210">
            <v>3970</v>
          </cell>
          <cell r="F210" t="str">
            <v>03</v>
          </cell>
          <cell r="G210" t="str">
            <v>검침과</v>
          </cell>
          <cell r="H210" t="str">
            <v>1998/04/01</v>
          </cell>
          <cell r="I210" t="str">
            <v>CD525</v>
          </cell>
          <cell r="J210" t="str">
            <v>586PC</v>
          </cell>
          <cell r="K210" t="str">
            <v>7111R07143</v>
          </cell>
          <cell r="L210" t="str">
            <v>대우</v>
          </cell>
          <cell r="M210" t="str">
            <v>1998/04/01</v>
          </cell>
          <cell r="P210" t="str">
            <v>대우</v>
          </cell>
          <cell r="Q210" t="str">
            <v>운용</v>
          </cell>
          <cell r="R210">
            <v>1</v>
          </cell>
        </row>
        <row r="211">
          <cell r="D211" t="str">
            <v>남서울지점</v>
          </cell>
          <cell r="E211">
            <v>3970</v>
          </cell>
          <cell r="F211" t="str">
            <v>03</v>
          </cell>
          <cell r="G211" t="str">
            <v>검침과</v>
          </cell>
          <cell r="H211" t="str">
            <v>1995/10/01</v>
          </cell>
          <cell r="I211" t="str">
            <v>SPC-8200P</v>
          </cell>
          <cell r="J211" t="str">
            <v>586PC</v>
          </cell>
          <cell r="K211" t="str">
            <v>92EF900068</v>
          </cell>
          <cell r="L211" t="str">
            <v>삼성</v>
          </cell>
          <cell r="M211" t="str">
            <v>1995/10/01</v>
          </cell>
          <cell r="P211" t="str">
            <v>삼성</v>
          </cell>
          <cell r="Q211" t="str">
            <v>운용</v>
          </cell>
          <cell r="R211">
            <v>1</v>
          </cell>
        </row>
        <row r="212">
          <cell r="D212" t="str">
            <v>남서울지점</v>
          </cell>
          <cell r="E212">
            <v>3970</v>
          </cell>
          <cell r="F212" t="str">
            <v>03</v>
          </cell>
          <cell r="G212" t="str">
            <v>검침과</v>
          </cell>
          <cell r="H212" t="str">
            <v>1995/10/01</v>
          </cell>
          <cell r="I212" t="str">
            <v>SPC-8200P</v>
          </cell>
          <cell r="J212" t="str">
            <v>586PC</v>
          </cell>
          <cell r="K212" t="str">
            <v>91DF901231</v>
          </cell>
          <cell r="L212" t="str">
            <v>삼성</v>
          </cell>
          <cell r="M212" t="str">
            <v>1995/10/01</v>
          </cell>
          <cell r="P212" t="str">
            <v>삼성</v>
          </cell>
          <cell r="Q212" t="str">
            <v>운용</v>
          </cell>
          <cell r="R212">
            <v>1</v>
          </cell>
        </row>
        <row r="213">
          <cell r="D213" t="str">
            <v>남서울지점</v>
          </cell>
          <cell r="E213">
            <v>3970</v>
          </cell>
          <cell r="F213" t="str">
            <v>03</v>
          </cell>
          <cell r="G213" t="str">
            <v>검침과</v>
          </cell>
          <cell r="H213" t="str">
            <v>1995/10/01</v>
          </cell>
          <cell r="I213" t="str">
            <v>SPC-8200P</v>
          </cell>
          <cell r="J213" t="str">
            <v>586PC</v>
          </cell>
          <cell r="K213" t="str">
            <v>91DF900271</v>
          </cell>
          <cell r="L213" t="str">
            <v>삼성</v>
          </cell>
          <cell r="M213" t="str">
            <v>1995/10/01</v>
          </cell>
          <cell r="P213" t="str">
            <v>삼성</v>
          </cell>
          <cell r="Q213" t="str">
            <v>운용</v>
          </cell>
          <cell r="R213">
            <v>1</v>
          </cell>
        </row>
        <row r="214">
          <cell r="D214" t="str">
            <v>남서울지점</v>
          </cell>
          <cell r="E214">
            <v>3970</v>
          </cell>
          <cell r="F214" t="str">
            <v>03</v>
          </cell>
          <cell r="G214" t="str">
            <v>검침과</v>
          </cell>
          <cell r="H214" t="str">
            <v>1998/04/01</v>
          </cell>
          <cell r="I214" t="str">
            <v>SPC-8200P</v>
          </cell>
          <cell r="J214" t="str">
            <v>586PC</v>
          </cell>
          <cell r="K214" t="str">
            <v>92EF900059</v>
          </cell>
          <cell r="L214" t="str">
            <v>삼성</v>
          </cell>
          <cell r="M214" t="str">
            <v>1998/04/01</v>
          </cell>
          <cell r="P214" t="str">
            <v>삼성</v>
          </cell>
          <cell r="Q214" t="str">
            <v>운용</v>
          </cell>
          <cell r="R214">
            <v>1</v>
          </cell>
        </row>
        <row r="215">
          <cell r="D215" t="str">
            <v>남서울지점</v>
          </cell>
          <cell r="E215">
            <v>3970</v>
          </cell>
          <cell r="F215" t="str">
            <v>03</v>
          </cell>
          <cell r="G215" t="str">
            <v>계기과</v>
          </cell>
          <cell r="H215" t="str">
            <v>1997/11/01</v>
          </cell>
          <cell r="I215" t="str">
            <v>CD525</v>
          </cell>
          <cell r="J215" t="str">
            <v>586PC</v>
          </cell>
          <cell r="K215" t="str">
            <v>7111R02135</v>
          </cell>
          <cell r="L215" t="str">
            <v>대우</v>
          </cell>
          <cell r="M215" t="str">
            <v>1997/11/01</v>
          </cell>
          <cell r="P215" t="str">
            <v>대우</v>
          </cell>
          <cell r="Q215" t="str">
            <v>운용</v>
          </cell>
          <cell r="R215">
            <v>1</v>
          </cell>
        </row>
        <row r="216">
          <cell r="D216" t="str">
            <v>남서울지점</v>
          </cell>
          <cell r="E216">
            <v>3970</v>
          </cell>
          <cell r="F216" t="str">
            <v>03</v>
          </cell>
          <cell r="G216" t="str">
            <v>계기과</v>
          </cell>
          <cell r="H216" t="str">
            <v>1998/04/01</v>
          </cell>
          <cell r="I216" t="str">
            <v>CD525</v>
          </cell>
          <cell r="J216" t="str">
            <v>586PC</v>
          </cell>
          <cell r="K216" t="str">
            <v>7111R07144</v>
          </cell>
          <cell r="L216" t="str">
            <v>대우</v>
          </cell>
          <cell r="M216" t="str">
            <v>1998/04/01</v>
          </cell>
          <cell r="P216" t="str">
            <v>대우</v>
          </cell>
          <cell r="Q216" t="str">
            <v>운용</v>
          </cell>
          <cell r="R216">
            <v>1</v>
          </cell>
        </row>
        <row r="217">
          <cell r="D217" t="str">
            <v>남서울지점</v>
          </cell>
          <cell r="E217">
            <v>3970</v>
          </cell>
          <cell r="F217" t="str">
            <v>03</v>
          </cell>
          <cell r="G217" t="str">
            <v>계기과</v>
          </cell>
          <cell r="H217" t="str">
            <v>1995/10/01</v>
          </cell>
          <cell r="I217" t="str">
            <v>SPC-8200P</v>
          </cell>
          <cell r="J217" t="str">
            <v>586PC</v>
          </cell>
          <cell r="K217" t="str">
            <v>92EF900082</v>
          </cell>
          <cell r="L217" t="str">
            <v>삼성</v>
          </cell>
          <cell r="M217" t="str">
            <v>1995/10/01</v>
          </cell>
          <cell r="P217" t="str">
            <v>삼성</v>
          </cell>
          <cell r="Q217" t="str">
            <v>운용</v>
          </cell>
          <cell r="R217">
            <v>1</v>
          </cell>
        </row>
        <row r="218">
          <cell r="D218" t="str">
            <v>남서울지점</v>
          </cell>
          <cell r="E218">
            <v>3970</v>
          </cell>
          <cell r="F218" t="str">
            <v>03</v>
          </cell>
          <cell r="G218" t="str">
            <v>계기과</v>
          </cell>
          <cell r="H218" t="str">
            <v>1995/10/01</v>
          </cell>
          <cell r="I218" t="str">
            <v>SPC-8200P</v>
          </cell>
          <cell r="J218" t="str">
            <v>586PC</v>
          </cell>
          <cell r="K218" t="str">
            <v>91DF901230</v>
          </cell>
          <cell r="L218" t="str">
            <v>삼성</v>
          </cell>
          <cell r="M218" t="str">
            <v>1995/10/01</v>
          </cell>
          <cell r="P218" t="str">
            <v>삼성</v>
          </cell>
          <cell r="Q218" t="str">
            <v>운용</v>
          </cell>
          <cell r="R218">
            <v>1</v>
          </cell>
        </row>
        <row r="219">
          <cell r="D219" t="str">
            <v>남서울지점</v>
          </cell>
          <cell r="E219">
            <v>3970</v>
          </cell>
          <cell r="F219" t="str">
            <v>03</v>
          </cell>
          <cell r="G219" t="str">
            <v>계기과</v>
          </cell>
          <cell r="H219" t="str">
            <v>1995/10/01</v>
          </cell>
          <cell r="I219" t="str">
            <v>SPC-8200P</v>
          </cell>
          <cell r="J219" t="str">
            <v>586PC</v>
          </cell>
          <cell r="K219" t="str">
            <v>91DF901215</v>
          </cell>
          <cell r="L219" t="str">
            <v>삼성</v>
          </cell>
          <cell r="M219" t="str">
            <v>1995/10/01</v>
          </cell>
          <cell r="P219" t="str">
            <v>삼성</v>
          </cell>
          <cell r="Q219" t="str">
            <v>운용</v>
          </cell>
          <cell r="R219">
            <v>1</v>
          </cell>
        </row>
        <row r="220">
          <cell r="D220" t="str">
            <v>남서울지점</v>
          </cell>
          <cell r="E220">
            <v>3970</v>
          </cell>
          <cell r="F220" t="str">
            <v>03</v>
          </cell>
          <cell r="G220" t="str">
            <v>계기과</v>
          </cell>
          <cell r="H220" t="str">
            <v>1998/04/01</v>
          </cell>
          <cell r="I220" t="str">
            <v>SPC-8200P</v>
          </cell>
          <cell r="J220" t="str">
            <v>586PC</v>
          </cell>
          <cell r="K220" t="str">
            <v>91DF901243</v>
          </cell>
          <cell r="L220" t="str">
            <v>삼성</v>
          </cell>
          <cell r="M220" t="str">
            <v>1998/04/01</v>
          </cell>
          <cell r="P220" t="str">
            <v>삼성</v>
          </cell>
          <cell r="Q220" t="str">
            <v>운용</v>
          </cell>
          <cell r="R220">
            <v>1</v>
          </cell>
        </row>
        <row r="221">
          <cell r="D221" t="str">
            <v>남서울지점</v>
          </cell>
          <cell r="E221">
            <v>3970</v>
          </cell>
          <cell r="F221" t="str">
            <v>03</v>
          </cell>
          <cell r="G221" t="str">
            <v>계기과</v>
          </cell>
          <cell r="H221" t="str">
            <v>1996/12/01</v>
          </cell>
          <cell r="I221" t="str">
            <v>SPC-8320P</v>
          </cell>
          <cell r="J221" t="str">
            <v>586PC</v>
          </cell>
          <cell r="K221" t="str">
            <v>92GGB01232</v>
          </cell>
          <cell r="L221" t="str">
            <v>삼성</v>
          </cell>
          <cell r="M221" t="str">
            <v>1996/12/01</v>
          </cell>
          <cell r="P221" t="str">
            <v>삼성</v>
          </cell>
          <cell r="Q221" t="str">
            <v>운용</v>
          </cell>
          <cell r="R221">
            <v>1</v>
          </cell>
        </row>
        <row r="222">
          <cell r="D222" t="str">
            <v>남서울지점</v>
          </cell>
          <cell r="E222">
            <v>3970</v>
          </cell>
          <cell r="F222" t="str">
            <v>03</v>
          </cell>
          <cell r="G222" t="str">
            <v>내선과</v>
          </cell>
          <cell r="H222" t="str">
            <v>1995/10/01</v>
          </cell>
          <cell r="I222" t="str">
            <v>SPC-8200</v>
          </cell>
          <cell r="J222" t="str">
            <v>586PC</v>
          </cell>
          <cell r="K222" t="str">
            <v>91DF901209</v>
          </cell>
          <cell r="L222" t="str">
            <v>삼성</v>
          </cell>
          <cell r="M222" t="str">
            <v>1995/10/01</v>
          </cell>
          <cell r="P222" t="str">
            <v>삼성</v>
          </cell>
          <cell r="Q222" t="str">
            <v>운용</v>
          </cell>
          <cell r="R222">
            <v>1</v>
          </cell>
        </row>
        <row r="223">
          <cell r="D223" t="str">
            <v>남서울지점</v>
          </cell>
          <cell r="E223">
            <v>3970</v>
          </cell>
          <cell r="F223" t="str">
            <v>03</v>
          </cell>
          <cell r="G223" t="str">
            <v>내선과</v>
          </cell>
          <cell r="H223" t="str">
            <v>1995/10/01</v>
          </cell>
          <cell r="I223" t="str">
            <v>SPC-8200</v>
          </cell>
          <cell r="J223" t="str">
            <v>586PC</v>
          </cell>
          <cell r="K223" t="str">
            <v>91DF901221</v>
          </cell>
          <cell r="L223" t="str">
            <v>삼성</v>
          </cell>
          <cell r="M223" t="str">
            <v>1995/10/01</v>
          </cell>
          <cell r="P223" t="str">
            <v>삼성</v>
          </cell>
          <cell r="Q223" t="str">
            <v>운용</v>
          </cell>
          <cell r="R223">
            <v>1</v>
          </cell>
        </row>
        <row r="224">
          <cell r="D224" t="str">
            <v>남서울지점</v>
          </cell>
          <cell r="E224">
            <v>3970</v>
          </cell>
          <cell r="F224" t="str">
            <v>03</v>
          </cell>
          <cell r="G224" t="str">
            <v>내선과</v>
          </cell>
          <cell r="H224" t="str">
            <v>1995/10/01</v>
          </cell>
          <cell r="I224" t="str">
            <v>SPC-8200</v>
          </cell>
          <cell r="J224" t="str">
            <v>586PC</v>
          </cell>
          <cell r="K224" t="str">
            <v>92EF900024</v>
          </cell>
          <cell r="L224" t="str">
            <v>삼성</v>
          </cell>
          <cell r="M224" t="str">
            <v>1995/10/01</v>
          </cell>
          <cell r="P224" t="str">
            <v>삼성</v>
          </cell>
          <cell r="Q224" t="str">
            <v>운용</v>
          </cell>
          <cell r="R224">
            <v>1</v>
          </cell>
        </row>
        <row r="225">
          <cell r="D225" t="str">
            <v>남서울지점</v>
          </cell>
          <cell r="E225">
            <v>3970</v>
          </cell>
          <cell r="F225" t="str">
            <v>03</v>
          </cell>
          <cell r="G225" t="str">
            <v>내선과</v>
          </cell>
          <cell r="H225" t="str">
            <v>1998/04/01</v>
          </cell>
          <cell r="I225" t="str">
            <v>SPC-8200P</v>
          </cell>
          <cell r="J225" t="str">
            <v>586PC</v>
          </cell>
          <cell r="K225" t="str">
            <v>91DF901214</v>
          </cell>
          <cell r="L225" t="str">
            <v>삼성</v>
          </cell>
          <cell r="M225" t="str">
            <v>1998/04/01</v>
          </cell>
          <cell r="P225" t="str">
            <v>삼성</v>
          </cell>
          <cell r="Q225" t="str">
            <v>운용</v>
          </cell>
          <cell r="R225">
            <v>1</v>
          </cell>
        </row>
        <row r="226">
          <cell r="D226" t="str">
            <v>남서울지점</v>
          </cell>
          <cell r="E226">
            <v>3970</v>
          </cell>
          <cell r="F226" t="str">
            <v>03</v>
          </cell>
          <cell r="G226" t="str">
            <v>배전과</v>
          </cell>
          <cell r="H226" t="str">
            <v>1998/04/01</v>
          </cell>
          <cell r="I226" t="str">
            <v>CD525</v>
          </cell>
          <cell r="J226" t="str">
            <v>586PC</v>
          </cell>
          <cell r="K226" t="str">
            <v>7111R07148</v>
          </cell>
          <cell r="L226" t="str">
            <v>대우</v>
          </cell>
          <cell r="M226" t="str">
            <v>1998/04/01</v>
          </cell>
          <cell r="P226" t="str">
            <v>대우</v>
          </cell>
          <cell r="Q226" t="str">
            <v>운용</v>
          </cell>
          <cell r="R226">
            <v>1</v>
          </cell>
        </row>
        <row r="227">
          <cell r="D227" t="str">
            <v>남서울지점</v>
          </cell>
          <cell r="E227">
            <v>3970</v>
          </cell>
          <cell r="F227" t="str">
            <v>03</v>
          </cell>
          <cell r="G227" t="str">
            <v>배전과</v>
          </cell>
          <cell r="H227" t="str">
            <v>1998/04/01</v>
          </cell>
          <cell r="I227" t="str">
            <v>SPC-8200P</v>
          </cell>
          <cell r="J227" t="str">
            <v>586PC</v>
          </cell>
          <cell r="K227" t="str">
            <v>92FG505675</v>
          </cell>
          <cell r="L227" t="str">
            <v>삼성</v>
          </cell>
          <cell r="M227" t="str">
            <v>1998/04/01</v>
          </cell>
          <cell r="P227" t="str">
            <v>삼성</v>
          </cell>
          <cell r="Q227" t="str">
            <v>운용</v>
          </cell>
          <cell r="R227">
            <v>1</v>
          </cell>
        </row>
        <row r="228">
          <cell r="D228" t="str">
            <v>남서울지점</v>
          </cell>
          <cell r="E228">
            <v>3970</v>
          </cell>
          <cell r="F228" t="str">
            <v>03</v>
          </cell>
          <cell r="G228" t="str">
            <v>배전과</v>
          </cell>
          <cell r="H228" t="str">
            <v>1996/12/01</v>
          </cell>
          <cell r="I228" t="str">
            <v>SPC-8320P</v>
          </cell>
          <cell r="J228" t="str">
            <v>586PC</v>
          </cell>
          <cell r="K228" t="str">
            <v>92FGB01904</v>
          </cell>
          <cell r="L228" t="str">
            <v>삼성</v>
          </cell>
          <cell r="M228" t="str">
            <v>1996/12/01</v>
          </cell>
          <cell r="P228" t="str">
            <v>삼성</v>
          </cell>
          <cell r="Q228" t="str">
            <v>운용</v>
          </cell>
          <cell r="R228">
            <v>1</v>
          </cell>
        </row>
        <row r="229">
          <cell r="D229" t="str">
            <v>남서울지점</v>
          </cell>
          <cell r="E229">
            <v>3970</v>
          </cell>
          <cell r="F229" t="str">
            <v>03</v>
          </cell>
          <cell r="G229" t="str">
            <v>배전보수과</v>
          </cell>
          <cell r="H229" t="str">
            <v>1997/11/01</v>
          </cell>
          <cell r="I229" t="str">
            <v>CD525</v>
          </cell>
          <cell r="J229" t="str">
            <v>586PC</v>
          </cell>
          <cell r="K229" t="str">
            <v>7111R07151</v>
          </cell>
          <cell r="L229" t="str">
            <v xml:space="preserve">대우 </v>
          </cell>
          <cell r="M229" t="str">
            <v>1997/11/01</v>
          </cell>
          <cell r="P229" t="str">
            <v xml:space="preserve">대우 </v>
          </cell>
          <cell r="Q229" t="str">
            <v>운용</v>
          </cell>
          <cell r="R229">
            <v>1</v>
          </cell>
        </row>
        <row r="230">
          <cell r="D230" t="str">
            <v>남서울지점</v>
          </cell>
          <cell r="E230">
            <v>3970</v>
          </cell>
          <cell r="F230" t="str">
            <v>03</v>
          </cell>
          <cell r="G230" t="str">
            <v>배전보수과</v>
          </cell>
          <cell r="H230" t="str">
            <v>1998/04/01</v>
          </cell>
          <cell r="I230" t="str">
            <v>SPC-8320P</v>
          </cell>
          <cell r="J230" t="str">
            <v>586PC</v>
          </cell>
          <cell r="K230" t="str">
            <v>92GGB01496</v>
          </cell>
          <cell r="L230" t="str">
            <v>삼성</v>
          </cell>
          <cell r="M230" t="str">
            <v>1998/04/01</v>
          </cell>
          <cell r="P230" t="str">
            <v>삼성</v>
          </cell>
          <cell r="Q230" t="str">
            <v>운용</v>
          </cell>
          <cell r="R230">
            <v>1</v>
          </cell>
        </row>
        <row r="231">
          <cell r="D231" t="str">
            <v>남서울지점</v>
          </cell>
          <cell r="E231">
            <v>3970</v>
          </cell>
          <cell r="F231" t="str">
            <v>03</v>
          </cell>
          <cell r="G231" t="str">
            <v>배전보수과</v>
          </cell>
          <cell r="H231" t="str">
            <v>1996/11/01</v>
          </cell>
          <cell r="I231" t="str">
            <v>TG-520CD</v>
          </cell>
          <cell r="J231" t="str">
            <v>586PC</v>
          </cell>
          <cell r="K231" t="str">
            <v>D106A-KAJ-00046</v>
          </cell>
          <cell r="L231" t="str">
            <v>삼보</v>
          </cell>
          <cell r="M231" t="str">
            <v>1996/11/01</v>
          </cell>
          <cell r="P231" t="str">
            <v>삼보</v>
          </cell>
          <cell r="Q231" t="str">
            <v>운용</v>
          </cell>
          <cell r="R231">
            <v>1</v>
          </cell>
        </row>
        <row r="232">
          <cell r="D232" t="str">
            <v>남서울지점</v>
          </cell>
          <cell r="E232">
            <v>3970</v>
          </cell>
          <cell r="F232" t="str">
            <v>03</v>
          </cell>
          <cell r="G232" t="str">
            <v>배전운영과</v>
          </cell>
          <cell r="H232" t="str">
            <v>1995/10/01</v>
          </cell>
          <cell r="I232" t="str">
            <v>SPC-8200</v>
          </cell>
          <cell r="J232" t="str">
            <v>586PC</v>
          </cell>
          <cell r="K232" t="str">
            <v>92EF900048</v>
          </cell>
          <cell r="L232" t="str">
            <v>삼성</v>
          </cell>
          <cell r="M232" t="str">
            <v>1995/10/01</v>
          </cell>
          <cell r="P232" t="str">
            <v>삼성</v>
          </cell>
          <cell r="Q232" t="str">
            <v>운용</v>
          </cell>
          <cell r="R232">
            <v>1</v>
          </cell>
        </row>
        <row r="233">
          <cell r="D233" t="str">
            <v>남서울지점</v>
          </cell>
          <cell r="E233">
            <v>3970</v>
          </cell>
          <cell r="F233" t="str">
            <v>03</v>
          </cell>
          <cell r="G233" t="str">
            <v>배전운영과</v>
          </cell>
          <cell r="H233" t="str">
            <v>1995/10/01</v>
          </cell>
          <cell r="I233" t="str">
            <v>SPC-8200P</v>
          </cell>
          <cell r="J233" t="str">
            <v>586PC</v>
          </cell>
          <cell r="K233" t="str">
            <v>91DF901218</v>
          </cell>
          <cell r="L233" t="str">
            <v>삼성</v>
          </cell>
          <cell r="M233" t="str">
            <v>1995/10/01</v>
          </cell>
          <cell r="P233" t="str">
            <v>삼성</v>
          </cell>
          <cell r="Q233" t="str">
            <v>운용</v>
          </cell>
          <cell r="R233">
            <v>1</v>
          </cell>
        </row>
        <row r="234">
          <cell r="D234" t="str">
            <v>남서울지점</v>
          </cell>
          <cell r="E234">
            <v>3970</v>
          </cell>
          <cell r="F234" t="str">
            <v>03</v>
          </cell>
          <cell r="G234" t="str">
            <v>배전운영과</v>
          </cell>
          <cell r="H234" t="str">
            <v>1995/10/01</v>
          </cell>
          <cell r="I234" t="str">
            <v>SPC-8200P</v>
          </cell>
          <cell r="J234" t="str">
            <v>586PC</v>
          </cell>
          <cell r="K234" t="str">
            <v>91DF901194</v>
          </cell>
          <cell r="L234" t="str">
            <v>삼성</v>
          </cell>
          <cell r="M234" t="str">
            <v>1995/10/01</v>
          </cell>
          <cell r="P234" t="str">
            <v>삼성</v>
          </cell>
          <cell r="Q234" t="str">
            <v>운용</v>
          </cell>
          <cell r="R234">
            <v>1</v>
          </cell>
        </row>
        <row r="235">
          <cell r="D235" t="str">
            <v>남서울지점</v>
          </cell>
          <cell r="E235">
            <v>3970</v>
          </cell>
          <cell r="F235" t="str">
            <v>03</v>
          </cell>
          <cell r="G235" t="str">
            <v>배전운영과</v>
          </cell>
          <cell r="H235" t="str">
            <v>1996/11/01</v>
          </cell>
          <cell r="I235" t="str">
            <v>SPC-8320P</v>
          </cell>
          <cell r="J235" t="str">
            <v>586PC</v>
          </cell>
          <cell r="K235" t="str">
            <v>92FGB01835</v>
          </cell>
          <cell r="L235" t="str">
            <v>삼성</v>
          </cell>
          <cell r="M235" t="str">
            <v>1996/11/01</v>
          </cell>
          <cell r="P235" t="str">
            <v>삼성</v>
          </cell>
          <cell r="Q235" t="str">
            <v>운용</v>
          </cell>
          <cell r="R235">
            <v>1</v>
          </cell>
        </row>
        <row r="236">
          <cell r="D236" t="str">
            <v>남서울지점</v>
          </cell>
          <cell r="E236">
            <v>3970</v>
          </cell>
          <cell r="F236" t="str">
            <v>03</v>
          </cell>
          <cell r="G236" t="str">
            <v>배전운영과</v>
          </cell>
          <cell r="H236" t="str">
            <v>1996/11/01</v>
          </cell>
          <cell r="I236" t="str">
            <v>TG-520CD</v>
          </cell>
          <cell r="J236" t="str">
            <v>586PC</v>
          </cell>
          <cell r="K236" t="str">
            <v>D156A-KAJ-00058</v>
          </cell>
          <cell r="L236" t="str">
            <v>삼보</v>
          </cell>
          <cell r="M236" t="str">
            <v>1996/11/01</v>
          </cell>
          <cell r="P236" t="str">
            <v>삼보</v>
          </cell>
          <cell r="Q236" t="str">
            <v>운용</v>
          </cell>
          <cell r="R236">
            <v>1</v>
          </cell>
        </row>
        <row r="237">
          <cell r="D237" t="str">
            <v>남서울지점</v>
          </cell>
          <cell r="E237">
            <v>3970</v>
          </cell>
          <cell r="F237" t="str">
            <v>03</v>
          </cell>
          <cell r="G237" t="str">
            <v>배전운영실</v>
          </cell>
          <cell r="H237" t="str">
            <v>1995/09/01</v>
          </cell>
          <cell r="I237" t="str">
            <v>SPC-8200P</v>
          </cell>
          <cell r="J237" t="str">
            <v>586PC</v>
          </cell>
          <cell r="K237" t="str">
            <v>91DF900819</v>
          </cell>
          <cell r="L237" t="str">
            <v>삼성</v>
          </cell>
          <cell r="M237" t="str">
            <v>1995/09/01</v>
          </cell>
          <cell r="P237" t="str">
            <v>삼성</v>
          </cell>
          <cell r="Q237" t="str">
            <v>운용</v>
          </cell>
          <cell r="R237">
            <v>1</v>
          </cell>
        </row>
        <row r="238">
          <cell r="D238" t="str">
            <v>남서울지점</v>
          </cell>
          <cell r="E238">
            <v>3970</v>
          </cell>
          <cell r="F238" t="str">
            <v>03</v>
          </cell>
          <cell r="G238" t="str">
            <v>배전운영실</v>
          </cell>
          <cell r="H238" t="str">
            <v>1995/10/01</v>
          </cell>
          <cell r="I238" t="str">
            <v>SPC-8200P</v>
          </cell>
          <cell r="J238" t="str">
            <v>586PC</v>
          </cell>
          <cell r="K238" t="str">
            <v>91DF900778</v>
          </cell>
          <cell r="L238" t="str">
            <v>삼성</v>
          </cell>
          <cell r="M238" t="str">
            <v>1995/10/01</v>
          </cell>
          <cell r="P238" t="str">
            <v>삼성</v>
          </cell>
          <cell r="Q238" t="str">
            <v>운용</v>
          </cell>
          <cell r="R238">
            <v>1</v>
          </cell>
        </row>
        <row r="239">
          <cell r="D239" t="str">
            <v>남서울지점</v>
          </cell>
          <cell r="E239">
            <v>3970</v>
          </cell>
          <cell r="F239" t="str">
            <v>03</v>
          </cell>
          <cell r="G239" t="str">
            <v>배전자동화과</v>
          </cell>
          <cell r="H239" t="str">
            <v>1996/05/01</v>
          </cell>
          <cell r="I239" t="str">
            <v>SPC-8200P</v>
          </cell>
          <cell r="J239" t="str">
            <v>586PC</v>
          </cell>
          <cell r="K239" t="str">
            <v>92GG502665</v>
          </cell>
          <cell r="L239" t="str">
            <v>삼성</v>
          </cell>
          <cell r="M239" t="str">
            <v>1996/05/01</v>
          </cell>
          <cell r="P239" t="str">
            <v>삼성</v>
          </cell>
          <cell r="Q239" t="str">
            <v>운용</v>
          </cell>
          <cell r="R239">
            <v>1</v>
          </cell>
        </row>
        <row r="240">
          <cell r="D240" t="str">
            <v>남서울지점</v>
          </cell>
          <cell r="E240">
            <v>3970</v>
          </cell>
          <cell r="F240" t="str">
            <v>03</v>
          </cell>
          <cell r="G240" t="str">
            <v>배전자동화과</v>
          </cell>
          <cell r="H240" t="str">
            <v>1998/04/01</v>
          </cell>
          <cell r="I240" t="str">
            <v>SPC-8200P</v>
          </cell>
          <cell r="J240" t="str">
            <v>586PC</v>
          </cell>
          <cell r="K240" t="str">
            <v>91CF900105</v>
          </cell>
          <cell r="L240" t="str">
            <v>삼성</v>
          </cell>
          <cell r="M240" t="str">
            <v>1998/04/01</v>
          </cell>
          <cell r="P240" t="str">
            <v>삼성</v>
          </cell>
          <cell r="Q240" t="str">
            <v>운용</v>
          </cell>
          <cell r="R240">
            <v>1</v>
          </cell>
        </row>
        <row r="241">
          <cell r="D241" t="str">
            <v>남서울지점</v>
          </cell>
          <cell r="E241">
            <v>3970</v>
          </cell>
          <cell r="F241" t="str">
            <v>03</v>
          </cell>
          <cell r="G241" t="str">
            <v>배전자동화과</v>
          </cell>
          <cell r="H241" t="str">
            <v>1996/12/01</v>
          </cell>
          <cell r="I241" t="str">
            <v>SPC-8320P</v>
          </cell>
          <cell r="J241" t="str">
            <v>586PC</v>
          </cell>
          <cell r="K241" t="str">
            <v>92GGB01488</v>
          </cell>
          <cell r="L241" t="str">
            <v>삼성</v>
          </cell>
          <cell r="M241" t="str">
            <v>1996/12/01</v>
          </cell>
          <cell r="P241" t="str">
            <v>삼성</v>
          </cell>
          <cell r="Q241" t="str">
            <v>운용</v>
          </cell>
          <cell r="R241">
            <v>1</v>
          </cell>
        </row>
        <row r="242">
          <cell r="D242" t="str">
            <v>남서울지점</v>
          </cell>
          <cell r="E242">
            <v>3970</v>
          </cell>
          <cell r="F242" t="str">
            <v>03</v>
          </cell>
          <cell r="G242" t="str">
            <v>배전자동화과</v>
          </cell>
          <cell r="H242" t="str">
            <v>1998/04/01</v>
          </cell>
          <cell r="I242" t="str">
            <v>SPC-8320P</v>
          </cell>
          <cell r="J242" t="str">
            <v>586PC</v>
          </cell>
          <cell r="K242" t="str">
            <v>92GGB01494</v>
          </cell>
          <cell r="L242" t="str">
            <v>삼성</v>
          </cell>
          <cell r="M242" t="str">
            <v>1998/04/01</v>
          </cell>
          <cell r="P242" t="str">
            <v>삼성</v>
          </cell>
          <cell r="Q242" t="str">
            <v>운용</v>
          </cell>
          <cell r="R242">
            <v>1</v>
          </cell>
        </row>
        <row r="243">
          <cell r="D243" t="str">
            <v>남서울지점</v>
          </cell>
          <cell r="E243">
            <v>3970</v>
          </cell>
          <cell r="F243" t="str">
            <v>03</v>
          </cell>
          <cell r="G243" t="str">
            <v>수금과</v>
          </cell>
          <cell r="H243" t="str">
            <v>1998/04/01</v>
          </cell>
          <cell r="I243" t="str">
            <v>CD525</v>
          </cell>
          <cell r="J243" t="str">
            <v>586PC</v>
          </cell>
          <cell r="K243" t="str">
            <v>7111R07137</v>
          </cell>
          <cell r="L243" t="str">
            <v>대우</v>
          </cell>
          <cell r="M243" t="str">
            <v>1998/04/01</v>
          </cell>
          <cell r="P243" t="str">
            <v>대우</v>
          </cell>
          <cell r="Q243" t="str">
            <v>운용</v>
          </cell>
          <cell r="R243">
            <v>1</v>
          </cell>
        </row>
        <row r="244">
          <cell r="D244" t="str">
            <v>남서울지점</v>
          </cell>
          <cell r="E244">
            <v>3970</v>
          </cell>
          <cell r="F244" t="str">
            <v>03</v>
          </cell>
          <cell r="G244" t="str">
            <v>수금과</v>
          </cell>
          <cell r="H244" t="str">
            <v>1995/10/01</v>
          </cell>
          <cell r="I244" t="str">
            <v>SPC-8200P</v>
          </cell>
          <cell r="J244" t="str">
            <v>586PC</v>
          </cell>
          <cell r="K244" t="str">
            <v>91DF900163</v>
          </cell>
          <cell r="L244" t="str">
            <v>삼성</v>
          </cell>
          <cell r="M244" t="str">
            <v>1995/10/01</v>
          </cell>
          <cell r="P244" t="str">
            <v>삼성</v>
          </cell>
          <cell r="Q244" t="str">
            <v>운용</v>
          </cell>
          <cell r="R244">
            <v>1</v>
          </cell>
        </row>
        <row r="245">
          <cell r="D245" t="str">
            <v>남서울지점</v>
          </cell>
          <cell r="E245">
            <v>3970</v>
          </cell>
          <cell r="F245" t="str">
            <v>03</v>
          </cell>
          <cell r="G245" t="str">
            <v>수금과</v>
          </cell>
          <cell r="H245" t="str">
            <v>1998/04/01</v>
          </cell>
          <cell r="I245" t="str">
            <v>SPC-8200P</v>
          </cell>
          <cell r="J245" t="str">
            <v>586PC</v>
          </cell>
          <cell r="K245" t="str">
            <v>91CF900704</v>
          </cell>
          <cell r="L245" t="str">
            <v>삼성</v>
          </cell>
          <cell r="M245" t="str">
            <v>1998/04/01</v>
          </cell>
          <cell r="P245" t="str">
            <v>삼성</v>
          </cell>
          <cell r="Q245" t="str">
            <v>운용</v>
          </cell>
          <cell r="R245">
            <v>1</v>
          </cell>
        </row>
        <row r="246">
          <cell r="D246" t="str">
            <v>남서울지점</v>
          </cell>
          <cell r="E246">
            <v>3970</v>
          </cell>
          <cell r="F246" t="str">
            <v>03</v>
          </cell>
          <cell r="G246" t="str">
            <v>수금과</v>
          </cell>
          <cell r="H246" t="str">
            <v>1996/04/01</v>
          </cell>
          <cell r="I246" t="str">
            <v>SPC-8220P</v>
          </cell>
          <cell r="J246" t="str">
            <v>586PC</v>
          </cell>
          <cell r="K246" t="str">
            <v>92EG401445</v>
          </cell>
          <cell r="L246" t="str">
            <v>삼성</v>
          </cell>
          <cell r="M246" t="str">
            <v>1996/04/01</v>
          </cell>
          <cell r="P246" t="str">
            <v>삼성</v>
          </cell>
          <cell r="Q246" t="str">
            <v>운용</v>
          </cell>
          <cell r="R246">
            <v>1</v>
          </cell>
        </row>
        <row r="247">
          <cell r="D247" t="str">
            <v>남서울지점</v>
          </cell>
          <cell r="E247">
            <v>3970</v>
          </cell>
          <cell r="F247" t="str">
            <v>03</v>
          </cell>
          <cell r="G247" t="str">
            <v>수금과</v>
          </cell>
          <cell r="H247" t="str">
            <v>1996/12/01</v>
          </cell>
          <cell r="I247" t="str">
            <v>SPC-8320P</v>
          </cell>
          <cell r="J247" t="str">
            <v>586PC</v>
          </cell>
          <cell r="K247" t="str">
            <v>92FGB01846</v>
          </cell>
          <cell r="L247" t="str">
            <v>삼성</v>
          </cell>
          <cell r="M247" t="str">
            <v>1996/12/01</v>
          </cell>
          <cell r="P247" t="str">
            <v>삼성</v>
          </cell>
          <cell r="Q247" t="str">
            <v>운용</v>
          </cell>
          <cell r="R247">
            <v>1</v>
          </cell>
        </row>
        <row r="248">
          <cell r="D248" t="str">
            <v>남서울지점</v>
          </cell>
          <cell r="E248">
            <v>3970</v>
          </cell>
          <cell r="F248" t="str">
            <v>03</v>
          </cell>
          <cell r="G248" t="str">
            <v>영업과</v>
          </cell>
          <cell r="H248" t="str">
            <v>1995/11/01</v>
          </cell>
          <cell r="I248" t="str">
            <v>SPC-8200P</v>
          </cell>
          <cell r="J248" t="str">
            <v>586PC</v>
          </cell>
          <cell r="K248" t="str">
            <v>91DF900573</v>
          </cell>
          <cell r="L248" t="str">
            <v>삼성</v>
          </cell>
          <cell r="M248" t="str">
            <v>1995/11/01</v>
          </cell>
          <cell r="P248" t="str">
            <v>삼성</v>
          </cell>
          <cell r="Q248" t="str">
            <v>운용</v>
          </cell>
          <cell r="R248">
            <v>1</v>
          </cell>
        </row>
        <row r="249">
          <cell r="D249" t="str">
            <v>남서울지점</v>
          </cell>
          <cell r="E249">
            <v>3970</v>
          </cell>
          <cell r="F249" t="str">
            <v>03</v>
          </cell>
          <cell r="G249" t="str">
            <v>영업과</v>
          </cell>
          <cell r="H249" t="str">
            <v>1996/12/01</v>
          </cell>
          <cell r="I249" t="str">
            <v>SPC-8320P</v>
          </cell>
          <cell r="J249" t="str">
            <v>586PC</v>
          </cell>
          <cell r="K249" t="str">
            <v>92GGB01362</v>
          </cell>
          <cell r="L249" t="str">
            <v>삼성</v>
          </cell>
          <cell r="M249" t="str">
            <v>1996/12/01</v>
          </cell>
          <cell r="P249" t="str">
            <v>삼성</v>
          </cell>
          <cell r="Q249" t="str">
            <v>운용</v>
          </cell>
          <cell r="R249">
            <v>1</v>
          </cell>
        </row>
        <row r="250">
          <cell r="D250" t="str">
            <v>남서울지점</v>
          </cell>
          <cell r="E250">
            <v>3970</v>
          </cell>
          <cell r="F250" t="str">
            <v>03</v>
          </cell>
          <cell r="G250" t="str">
            <v>영업과</v>
          </cell>
          <cell r="H250" t="str">
            <v>1998/04/01</v>
          </cell>
          <cell r="I250" t="str">
            <v>TG-520CD</v>
          </cell>
          <cell r="J250" t="str">
            <v>586PC</v>
          </cell>
          <cell r="K250" t="str">
            <v>D156A-KAJ-00062</v>
          </cell>
          <cell r="L250" t="str">
            <v>삼보</v>
          </cell>
          <cell r="M250" t="str">
            <v>1998/04/01</v>
          </cell>
          <cell r="P250" t="str">
            <v>삼보</v>
          </cell>
          <cell r="Q250" t="str">
            <v>운용</v>
          </cell>
          <cell r="R250">
            <v>1</v>
          </cell>
        </row>
        <row r="251">
          <cell r="D251" t="str">
            <v>남서울지점</v>
          </cell>
          <cell r="E251">
            <v>3970</v>
          </cell>
          <cell r="F251" t="str">
            <v>03</v>
          </cell>
          <cell r="G251" t="str">
            <v>요금과</v>
          </cell>
          <cell r="H251" t="str">
            <v>1995/10/01</v>
          </cell>
          <cell r="I251" t="str">
            <v>SPC-8200P</v>
          </cell>
          <cell r="J251" t="str">
            <v>586PC</v>
          </cell>
          <cell r="K251" t="str">
            <v>92EF900129</v>
          </cell>
          <cell r="L251" t="str">
            <v>삼성</v>
          </cell>
          <cell r="M251" t="str">
            <v>1995/10/01</v>
          </cell>
          <cell r="P251" t="str">
            <v>삼성</v>
          </cell>
          <cell r="Q251" t="str">
            <v>운용</v>
          </cell>
          <cell r="R251">
            <v>1</v>
          </cell>
        </row>
        <row r="252">
          <cell r="D252" t="str">
            <v>남서울지점</v>
          </cell>
          <cell r="E252">
            <v>3970</v>
          </cell>
          <cell r="F252" t="str">
            <v>03</v>
          </cell>
          <cell r="G252" t="str">
            <v>요금과</v>
          </cell>
          <cell r="H252" t="str">
            <v>1996/12/01</v>
          </cell>
          <cell r="I252" t="str">
            <v>SPC-8320P</v>
          </cell>
          <cell r="J252" t="str">
            <v>586PC</v>
          </cell>
          <cell r="K252" t="str">
            <v>92FGB00121</v>
          </cell>
          <cell r="L252" t="str">
            <v>삼성</v>
          </cell>
          <cell r="M252" t="str">
            <v>1996/12/01</v>
          </cell>
          <cell r="P252" t="str">
            <v>삼성</v>
          </cell>
          <cell r="Q252" t="str">
            <v>운용</v>
          </cell>
          <cell r="R252">
            <v>1</v>
          </cell>
        </row>
        <row r="253">
          <cell r="D253" t="str">
            <v>남서울지점</v>
          </cell>
          <cell r="E253">
            <v>3970</v>
          </cell>
          <cell r="F253" t="str">
            <v>03</v>
          </cell>
          <cell r="G253" t="str">
            <v>전산과</v>
          </cell>
          <cell r="H253" t="str">
            <v>1997/03/01</v>
          </cell>
          <cell r="I253" t="str">
            <v>MULTICAV POWER</v>
          </cell>
          <cell r="J253" t="str">
            <v>586PC</v>
          </cell>
          <cell r="K253" t="str">
            <v>SN9E907301035</v>
          </cell>
          <cell r="L253" t="str">
            <v>현대</v>
          </cell>
          <cell r="M253" t="str">
            <v>1997/03/01</v>
          </cell>
          <cell r="P253" t="str">
            <v>현대</v>
          </cell>
          <cell r="Q253" t="str">
            <v>운용</v>
          </cell>
          <cell r="R253">
            <v>1</v>
          </cell>
        </row>
        <row r="254">
          <cell r="D254" t="str">
            <v>남서울지점</v>
          </cell>
          <cell r="E254">
            <v>3970</v>
          </cell>
          <cell r="F254" t="str">
            <v>03</v>
          </cell>
          <cell r="G254" t="str">
            <v>지중보수과</v>
          </cell>
          <cell r="H254" t="str">
            <v>1998/04/01</v>
          </cell>
          <cell r="I254" t="str">
            <v>SPC-8200P</v>
          </cell>
          <cell r="J254" t="str">
            <v>586PC</v>
          </cell>
          <cell r="K254" t="str">
            <v>91DF900569</v>
          </cell>
          <cell r="L254" t="str">
            <v>삼성</v>
          </cell>
          <cell r="M254" t="str">
            <v>1998/04/01</v>
          </cell>
          <cell r="P254" t="str">
            <v>삼성</v>
          </cell>
          <cell r="Q254" t="str">
            <v>운용</v>
          </cell>
          <cell r="R254">
            <v>1</v>
          </cell>
        </row>
        <row r="255">
          <cell r="D255" t="str">
            <v>남서울지점</v>
          </cell>
          <cell r="E255">
            <v>3970</v>
          </cell>
          <cell r="F255" t="str">
            <v>03</v>
          </cell>
          <cell r="G255" t="str">
            <v>총무과</v>
          </cell>
          <cell r="H255" t="str">
            <v>1998/04/01</v>
          </cell>
          <cell r="I255" t="str">
            <v>CD525</v>
          </cell>
          <cell r="J255" t="str">
            <v>586PC</v>
          </cell>
          <cell r="K255" t="str">
            <v>7111R07154</v>
          </cell>
          <cell r="L255" t="str">
            <v>대우</v>
          </cell>
          <cell r="M255" t="str">
            <v>1998/04/01</v>
          </cell>
          <cell r="P255" t="str">
            <v>대우</v>
          </cell>
          <cell r="Q255" t="str">
            <v>운용</v>
          </cell>
          <cell r="R255">
            <v>1</v>
          </cell>
        </row>
        <row r="256">
          <cell r="D256" t="str">
            <v>남서울지점</v>
          </cell>
          <cell r="E256">
            <v>3970</v>
          </cell>
          <cell r="F256" t="str">
            <v>03</v>
          </cell>
          <cell r="G256" t="str">
            <v>총무과</v>
          </cell>
          <cell r="H256" t="str">
            <v>1996/05/01</v>
          </cell>
          <cell r="I256" t="str">
            <v>SPC-8200P</v>
          </cell>
          <cell r="J256" t="str">
            <v>586PC</v>
          </cell>
          <cell r="K256" t="str">
            <v>92GG502708</v>
          </cell>
          <cell r="L256" t="str">
            <v>삼성</v>
          </cell>
          <cell r="M256" t="str">
            <v>1996/05/01</v>
          </cell>
          <cell r="P256" t="str">
            <v>삼성</v>
          </cell>
          <cell r="Q256" t="str">
            <v>운용</v>
          </cell>
          <cell r="R256">
            <v>1</v>
          </cell>
        </row>
        <row r="257">
          <cell r="D257" t="str">
            <v>남서울지점</v>
          </cell>
          <cell r="E257">
            <v>3970</v>
          </cell>
          <cell r="F257" t="str">
            <v>03</v>
          </cell>
          <cell r="G257" t="str">
            <v>총무과</v>
          </cell>
          <cell r="H257" t="str">
            <v>1998/04/01</v>
          </cell>
          <cell r="I257" t="str">
            <v>SPC-8200P</v>
          </cell>
          <cell r="J257" t="str">
            <v>586PC</v>
          </cell>
          <cell r="K257" t="str">
            <v>92EF900107</v>
          </cell>
          <cell r="L257" t="str">
            <v>삼성</v>
          </cell>
          <cell r="M257" t="str">
            <v>1998/04/01</v>
          </cell>
          <cell r="P257" t="str">
            <v>삼성</v>
          </cell>
          <cell r="Q257" t="str">
            <v>운용</v>
          </cell>
          <cell r="R257">
            <v>1</v>
          </cell>
        </row>
        <row r="258">
          <cell r="D258" t="str">
            <v>남서울지점</v>
          </cell>
          <cell r="E258">
            <v>3970</v>
          </cell>
          <cell r="F258" t="str">
            <v>03</v>
          </cell>
          <cell r="G258" t="str">
            <v>총무과</v>
          </cell>
          <cell r="H258" t="str">
            <v>1996/12/01</v>
          </cell>
          <cell r="I258" t="str">
            <v>SPC-8320P</v>
          </cell>
          <cell r="J258" t="str">
            <v>586PC</v>
          </cell>
          <cell r="K258" t="str">
            <v>92GGB00246</v>
          </cell>
          <cell r="L258" t="str">
            <v>삼성</v>
          </cell>
          <cell r="M258" t="str">
            <v>1996/12/01</v>
          </cell>
          <cell r="P258" t="str">
            <v>삼성</v>
          </cell>
          <cell r="Q258" t="str">
            <v>운용</v>
          </cell>
          <cell r="R258">
            <v>1</v>
          </cell>
        </row>
        <row r="259">
          <cell r="D259" t="str">
            <v>남서울지점</v>
          </cell>
          <cell r="E259">
            <v>3970</v>
          </cell>
          <cell r="F259" t="str">
            <v>03</v>
          </cell>
          <cell r="G259" t="str">
            <v>회의실</v>
          </cell>
          <cell r="H259" t="str">
            <v>1997/03/01</v>
          </cell>
          <cell r="I259" t="str">
            <v>MULTICAV POWER</v>
          </cell>
          <cell r="J259" t="str">
            <v>586PC</v>
          </cell>
          <cell r="K259" t="str">
            <v>SN9E907301026</v>
          </cell>
          <cell r="L259" t="str">
            <v>현대</v>
          </cell>
          <cell r="M259" t="str">
            <v>1997/03/01</v>
          </cell>
          <cell r="P259" t="str">
            <v>현대</v>
          </cell>
          <cell r="Q259" t="str">
            <v>운용</v>
          </cell>
          <cell r="R259">
            <v>1</v>
          </cell>
        </row>
        <row r="260">
          <cell r="D260" t="str">
            <v>남서울지점</v>
          </cell>
          <cell r="E260">
            <v>3970</v>
          </cell>
          <cell r="F260" t="str">
            <v>03</v>
          </cell>
          <cell r="G260" t="str">
            <v>회의실</v>
          </cell>
          <cell r="H260" t="str">
            <v>1997/03/01</v>
          </cell>
          <cell r="I260" t="str">
            <v>MULTICAV POWER</v>
          </cell>
          <cell r="J260" t="str">
            <v>586PC</v>
          </cell>
          <cell r="K260" t="str">
            <v>SN9E907301016</v>
          </cell>
          <cell r="L260" t="str">
            <v>현대</v>
          </cell>
          <cell r="M260" t="str">
            <v>1997/03/01</v>
          </cell>
          <cell r="P260" t="str">
            <v>현대</v>
          </cell>
          <cell r="Q260" t="str">
            <v>운용</v>
          </cell>
          <cell r="R260">
            <v>1</v>
          </cell>
        </row>
        <row r="261">
          <cell r="D261" t="str">
            <v>남서울지점</v>
          </cell>
          <cell r="E261">
            <v>3970</v>
          </cell>
          <cell r="F261" t="str">
            <v>03</v>
          </cell>
          <cell r="G261" t="str">
            <v>회의실</v>
          </cell>
          <cell r="H261" t="str">
            <v>1997/03/01</v>
          </cell>
          <cell r="I261" t="str">
            <v>MULTICAV POWER</v>
          </cell>
          <cell r="J261" t="str">
            <v>586PC</v>
          </cell>
          <cell r="K261" t="str">
            <v>SN9E907300733</v>
          </cell>
          <cell r="L261" t="str">
            <v>현대</v>
          </cell>
          <cell r="M261" t="str">
            <v>1997/03/01</v>
          </cell>
          <cell r="P261" t="str">
            <v>현대</v>
          </cell>
          <cell r="Q261" t="str">
            <v>운용</v>
          </cell>
          <cell r="R261">
            <v>1</v>
          </cell>
        </row>
        <row r="262">
          <cell r="D262" t="str">
            <v>남서울지점</v>
          </cell>
          <cell r="E262">
            <v>3970</v>
          </cell>
          <cell r="F262" t="str">
            <v>03</v>
          </cell>
          <cell r="G262" t="str">
            <v>고객상담실</v>
          </cell>
          <cell r="H262" t="str">
            <v>1999/09/01</v>
          </cell>
          <cell r="I262" t="str">
            <v>멀티캡 G2 520</v>
          </cell>
          <cell r="J262" t="str">
            <v>586PC</v>
          </cell>
          <cell r="K262" t="str">
            <v>MA1GAB6092900350</v>
          </cell>
          <cell r="L262" t="str">
            <v>현대</v>
          </cell>
          <cell r="M262" t="str">
            <v>1999/09/01</v>
          </cell>
          <cell r="P262" t="str">
            <v>현대</v>
          </cell>
          <cell r="Q262" t="str">
            <v>운용</v>
          </cell>
          <cell r="R262">
            <v>1</v>
          </cell>
        </row>
        <row r="263">
          <cell r="D263" t="str">
            <v>남서울지점</v>
          </cell>
          <cell r="E263">
            <v>3970</v>
          </cell>
          <cell r="F263" t="str">
            <v>03</v>
          </cell>
          <cell r="G263" t="str">
            <v>고객상담실</v>
          </cell>
          <cell r="H263" t="str">
            <v>1999/09/01</v>
          </cell>
          <cell r="I263" t="str">
            <v>멀티캡 G2 520</v>
          </cell>
          <cell r="J263" t="str">
            <v>586PC</v>
          </cell>
          <cell r="K263" t="str">
            <v>MA1GAB6092900466</v>
          </cell>
          <cell r="L263" t="str">
            <v>현대</v>
          </cell>
          <cell r="M263" t="str">
            <v>1999/09/01</v>
          </cell>
          <cell r="P263" t="str">
            <v>현대</v>
          </cell>
          <cell r="Q263" t="str">
            <v>운용</v>
          </cell>
          <cell r="R263">
            <v>1</v>
          </cell>
        </row>
        <row r="264">
          <cell r="D264" t="str">
            <v>남서울지점</v>
          </cell>
          <cell r="E264">
            <v>3970</v>
          </cell>
          <cell r="F264" t="str">
            <v>03</v>
          </cell>
          <cell r="G264" t="str">
            <v>고객상담실</v>
          </cell>
          <cell r="H264" t="str">
            <v>1999/09/01</v>
          </cell>
          <cell r="I264" t="str">
            <v>멀티캡 G2 520</v>
          </cell>
          <cell r="J264" t="str">
            <v>586PC</v>
          </cell>
          <cell r="K264" t="str">
            <v>MA1GAB6092900450</v>
          </cell>
          <cell r="L264" t="str">
            <v>현대</v>
          </cell>
          <cell r="M264" t="str">
            <v>1999/09/01</v>
          </cell>
          <cell r="P264" t="str">
            <v>현대</v>
          </cell>
          <cell r="Q264" t="str">
            <v>운용</v>
          </cell>
          <cell r="R264">
            <v>1</v>
          </cell>
        </row>
        <row r="265">
          <cell r="D265" t="str">
            <v>남서울지점</v>
          </cell>
          <cell r="E265">
            <v>3970</v>
          </cell>
          <cell r="F265" t="str">
            <v>03</v>
          </cell>
          <cell r="G265" t="str">
            <v>고객상담실</v>
          </cell>
          <cell r="H265" t="str">
            <v>1999/09/01</v>
          </cell>
          <cell r="I265" t="str">
            <v>멀티캡 G2 520</v>
          </cell>
          <cell r="J265" t="str">
            <v>586PC</v>
          </cell>
          <cell r="K265" t="str">
            <v>MA1GAB6092901067</v>
          </cell>
          <cell r="L265" t="str">
            <v>현대</v>
          </cell>
          <cell r="M265" t="str">
            <v>1999/09/01</v>
          </cell>
          <cell r="P265" t="str">
            <v>현대</v>
          </cell>
          <cell r="Q265" t="str">
            <v>운용</v>
          </cell>
          <cell r="R265">
            <v>1</v>
          </cell>
        </row>
        <row r="266">
          <cell r="D266" t="str">
            <v>남서울지점</v>
          </cell>
          <cell r="E266">
            <v>3970</v>
          </cell>
          <cell r="F266" t="str">
            <v>03</v>
          </cell>
          <cell r="G266" t="str">
            <v>내선과</v>
          </cell>
          <cell r="I266" t="str">
            <v>SPC-8200P</v>
          </cell>
          <cell r="J266" t="str">
            <v>586PC</v>
          </cell>
          <cell r="K266" t="str">
            <v>91CF900047</v>
          </cell>
          <cell r="L266" t="str">
            <v>삼성</v>
          </cell>
          <cell r="P266" t="str">
            <v>삼성</v>
          </cell>
          <cell r="Q266" t="str">
            <v>운용</v>
          </cell>
          <cell r="R266">
            <v>1</v>
          </cell>
        </row>
        <row r="267">
          <cell r="D267" t="str">
            <v>남서울지점</v>
          </cell>
          <cell r="E267">
            <v>3970</v>
          </cell>
          <cell r="F267" t="str">
            <v>03</v>
          </cell>
          <cell r="G267" t="str">
            <v>도면실</v>
          </cell>
          <cell r="I267" t="str">
            <v>멀티캡 G2 520</v>
          </cell>
          <cell r="J267" t="str">
            <v>586PC</v>
          </cell>
          <cell r="L267" t="str">
            <v>현대</v>
          </cell>
          <cell r="P267" t="str">
            <v>현대</v>
          </cell>
          <cell r="Q267" t="str">
            <v>운용</v>
          </cell>
          <cell r="R267">
            <v>1</v>
          </cell>
        </row>
        <row r="268">
          <cell r="D268" t="str">
            <v>남서울지점</v>
          </cell>
          <cell r="E268">
            <v>3970</v>
          </cell>
          <cell r="F268" t="str">
            <v>03</v>
          </cell>
          <cell r="G268" t="str">
            <v>배전운영실</v>
          </cell>
          <cell r="H268" t="str">
            <v>1999/09/01</v>
          </cell>
          <cell r="I268" t="str">
            <v>멀티캡 G2 520</v>
          </cell>
          <cell r="J268" t="str">
            <v>586PC</v>
          </cell>
          <cell r="K268" t="str">
            <v>MA1GAB6092900228</v>
          </cell>
          <cell r="L268" t="str">
            <v>현대</v>
          </cell>
          <cell r="M268" t="str">
            <v>1999/09/01</v>
          </cell>
          <cell r="P268" t="str">
            <v>현대</v>
          </cell>
          <cell r="Q268" t="str">
            <v>운용</v>
          </cell>
          <cell r="R268">
            <v>1</v>
          </cell>
        </row>
        <row r="269">
          <cell r="D269" t="str">
            <v>남서울지점</v>
          </cell>
          <cell r="E269">
            <v>3970</v>
          </cell>
          <cell r="F269" t="str">
            <v>03</v>
          </cell>
          <cell r="G269" t="str">
            <v>수금과</v>
          </cell>
          <cell r="H269" t="str">
            <v>1999/09/01</v>
          </cell>
          <cell r="I269" t="str">
            <v>멀티캡 G2 520</v>
          </cell>
          <cell r="J269" t="str">
            <v>586PC</v>
          </cell>
          <cell r="K269" t="str">
            <v>MA1GAB609290057</v>
          </cell>
          <cell r="L269" t="str">
            <v>현대</v>
          </cell>
          <cell r="M269" t="str">
            <v>1999/09/01</v>
          </cell>
          <cell r="P269" t="str">
            <v>현대</v>
          </cell>
          <cell r="Q269" t="str">
            <v>운용</v>
          </cell>
          <cell r="R269">
            <v>1</v>
          </cell>
        </row>
        <row r="270">
          <cell r="D270" t="str">
            <v>남서울지점</v>
          </cell>
          <cell r="E270">
            <v>3970</v>
          </cell>
          <cell r="F270" t="str">
            <v>03</v>
          </cell>
          <cell r="G270" t="str">
            <v>수금과</v>
          </cell>
          <cell r="H270" t="str">
            <v>1999/09/01</v>
          </cell>
          <cell r="I270" t="str">
            <v>멀티캡 G2 520</v>
          </cell>
          <cell r="J270" t="str">
            <v>586PC</v>
          </cell>
          <cell r="K270" t="str">
            <v>MA1GAB609290364</v>
          </cell>
          <cell r="L270" t="str">
            <v>현대</v>
          </cell>
          <cell r="M270" t="str">
            <v>1999/09/01</v>
          </cell>
          <cell r="P270" t="str">
            <v>현대</v>
          </cell>
          <cell r="Q270" t="str">
            <v>운용</v>
          </cell>
          <cell r="R270">
            <v>1</v>
          </cell>
        </row>
        <row r="271">
          <cell r="D271" t="str">
            <v>남서울지점</v>
          </cell>
          <cell r="E271">
            <v>3970</v>
          </cell>
          <cell r="F271" t="str">
            <v>03</v>
          </cell>
          <cell r="G271" t="str">
            <v>수금과</v>
          </cell>
          <cell r="H271" t="str">
            <v>1999/09/01</v>
          </cell>
          <cell r="I271" t="str">
            <v>SPC-8200P</v>
          </cell>
          <cell r="J271" t="str">
            <v>586PC</v>
          </cell>
          <cell r="K271" t="str">
            <v>03-04-1287</v>
          </cell>
          <cell r="L271" t="str">
            <v>삼성</v>
          </cell>
          <cell r="M271" t="str">
            <v>1999/09/01</v>
          </cell>
          <cell r="P271" t="str">
            <v>삼성</v>
          </cell>
          <cell r="Q271" t="str">
            <v>운용</v>
          </cell>
          <cell r="R271">
            <v>1</v>
          </cell>
        </row>
        <row r="272">
          <cell r="D272" t="str">
            <v>남서울지점</v>
          </cell>
          <cell r="E272">
            <v>3970</v>
          </cell>
          <cell r="F272" t="str">
            <v>03</v>
          </cell>
          <cell r="G272" t="str">
            <v>요금과</v>
          </cell>
          <cell r="H272" t="str">
            <v>1999/09/01</v>
          </cell>
          <cell r="I272" t="str">
            <v>멀티캡 G2 520</v>
          </cell>
          <cell r="J272" t="str">
            <v>586PC</v>
          </cell>
          <cell r="K272" t="str">
            <v>MA1GAB609290159</v>
          </cell>
          <cell r="L272" t="str">
            <v>현대</v>
          </cell>
          <cell r="M272" t="str">
            <v>1999/09/01</v>
          </cell>
          <cell r="P272" t="str">
            <v>현대</v>
          </cell>
          <cell r="Q272" t="str">
            <v>운용</v>
          </cell>
          <cell r="R272">
            <v>1</v>
          </cell>
        </row>
        <row r="273">
          <cell r="D273" t="str">
            <v>남서울지점</v>
          </cell>
          <cell r="E273">
            <v>3970</v>
          </cell>
          <cell r="F273" t="str">
            <v>03</v>
          </cell>
          <cell r="G273" t="str">
            <v>요금과</v>
          </cell>
          <cell r="H273" t="str">
            <v>1999/09/01</v>
          </cell>
          <cell r="I273" t="str">
            <v>멀티캡 G2 520</v>
          </cell>
          <cell r="J273" t="str">
            <v>586PC</v>
          </cell>
          <cell r="K273" t="str">
            <v>MA1GAB609291039</v>
          </cell>
          <cell r="L273" t="str">
            <v>현대</v>
          </cell>
          <cell r="M273" t="str">
            <v>1999/09/01</v>
          </cell>
          <cell r="P273" t="str">
            <v>현대</v>
          </cell>
          <cell r="Q273" t="str">
            <v>운용</v>
          </cell>
          <cell r="R273">
            <v>1</v>
          </cell>
        </row>
        <row r="274">
          <cell r="D274" t="str">
            <v>남서울지점</v>
          </cell>
          <cell r="E274">
            <v>3970</v>
          </cell>
          <cell r="F274" t="str">
            <v>03</v>
          </cell>
          <cell r="G274" t="str">
            <v>요금과</v>
          </cell>
          <cell r="I274" t="str">
            <v>CD525</v>
          </cell>
          <cell r="J274" t="str">
            <v>586PC</v>
          </cell>
          <cell r="K274" t="str">
            <v>7111RO7151</v>
          </cell>
          <cell r="L274" t="str">
            <v>대우</v>
          </cell>
          <cell r="P274" t="str">
            <v>대우</v>
          </cell>
          <cell r="Q274" t="str">
            <v>운용</v>
          </cell>
          <cell r="R274">
            <v>1</v>
          </cell>
        </row>
        <row r="275">
          <cell r="D275" t="str">
            <v>남서울지점</v>
          </cell>
          <cell r="E275">
            <v>3970</v>
          </cell>
          <cell r="F275" t="str">
            <v>03</v>
          </cell>
          <cell r="G275" t="str">
            <v>요금과</v>
          </cell>
          <cell r="I275" t="str">
            <v>CYBERNEX ATX</v>
          </cell>
          <cell r="J275" t="str">
            <v>586PC</v>
          </cell>
          <cell r="K275" t="str">
            <v>D158ATV300024</v>
          </cell>
          <cell r="L275" t="str">
            <v>삼보</v>
          </cell>
          <cell r="P275" t="str">
            <v>삼보</v>
          </cell>
          <cell r="Q275" t="str">
            <v>운용</v>
          </cell>
          <cell r="R275">
            <v>1</v>
          </cell>
        </row>
        <row r="276">
          <cell r="D276" t="str">
            <v>남서울지점</v>
          </cell>
          <cell r="E276">
            <v>3970</v>
          </cell>
          <cell r="F276" t="str">
            <v>03</v>
          </cell>
          <cell r="G276" t="str">
            <v>종합봉사실</v>
          </cell>
          <cell r="H276" t="str">
            <v>1999/09/01</v>
          </cell>
          <cell r="I276" t="str">
            <v>멀티캡 G2 520</v>
          </cell>
          <cell r="J276" t="str">
            <v>586PC</v>
          </cell>
          <cell r="K276" t="str">
            <v>MA1GAB6092900348</v>
          </cell>
          <cell r="L276" t="str">
            <v>현대</v>
          </cell>
          <cell r="M276" t="str">
            <v>1999/09/01</v>
          </cell>
          <cell r="P276" t="str">
            <v>현대</v>
          </cell>
          <cell r="Q276" t="str">
            <v>운용</v>
          </cell>
          <cell r="R276">
            <v>1</v>
          </cell>
        </row>
        <row r="277">
          <cell r="D277" t="str">
            <v>남서울지점</v>
          </cell>
          <cell r="E277">
            <v>3970</v>
          </cell>
          <cell r="F277" t="str">
            <v>03</v>
          </cell>
          <cell r="G277" t="str">
            <v>종합봉사실</v>
          </cell>
          <cell r="H277" t="str">
            <v>1999/09/01</v>
          </cell>
          <cell r="I277" t="str">
            <v>멀티캡 G2 520</v>
          </cell>
          <cell r="J277" t="str">
            <v>586PC</v>
          </cell>
          <cell r="K277" t="str">
            <v>MA1GAB6092900006</v>
          </cell>
          <cell r="L277" t="str">
            <v>현대</v>
          </cell>
          <cell r="M277" t="str">
            <v>1999/09/01</v>
          </cell>
          <cell r="P277" t="str">
            <v>현대</v>
          </cell>
          <cell r="Q277" t="str">
            <v>운용</v>
          </cell>
          <cell r="R277">
            <v>1</v>
          </cell>
        </row>
        <row r="278">
          <cell r="D278" t="str">
            <v>남서울지점</v>
          </cell>
          <cell r="E278">
            <v>3970</v>
          </cell>
          <cell r="F278" t="str">
            <v>03</v>
          </cell>
          <cell r="G278" t="str">
            <v>종합봉사실</v>
          </cell>
          <cell r="H278" t="str">
            <v>1999/09/01</v>
          </cell>
          <cell r="I278" t="str">
            <v>멀티캡 G2 520</v>
          </cell>
          <cell r="J278" t="str">
            <v>586PC</v>
          </cell>
          <cell r="K278" t="str">
            <v>MA1GAB6092909046</v>
          </cell>
          <cell r="L278" t="str">
            <v>현대</v>
          </cell>
          <cell r="M278" t="str">
            <v>1999/09/01</v>
          </cell>
          <cell r="P278" t="str">
            <v>현대</v>
          </cell>
          <cell r="Q278" t="str">
            <v>운용</v>
          </cell>
          <cell r="R278">
            <v>1</v>
          </cell>
        </row>
        <row r="279">
          <cell r="D279" t="str">
            <v>남서울지점</v>
          </cell>
          <cell r="E279">
            <v>3970</v>
          </cell>
          <cell r="F279" t="str">
            <v>03</v>
          </cell>
          <cell r="G279" t="str">
            <v>종합봉사실</v>
          </cell>
          <cell r="H279" t="str">
            <v>1999/09/01</v>
          </cell>
          <cell r="I279" t="str">
            <v>멀티캡 G2 520</v>
          </cell>
          <cell r="J279" t="str">
            <v>586PC</v>
          </cell>
          <cell r="K279" t="str">
            <v>MA1GAB6092900448</v>
          </cell>
          <cell r="L279" t="str">
            <v>현대</v>
          </cell>
          <cell r="M279" t="str">
            <v>1999/09/01</v>
          </cell>
          <cell r="P279" t="str">
            <v>현대</v>
          </cell>
          <cell r="Q279" t="str">
            <v>운용</v>
          </cell>
          <cell r="R279">
            <v>1</v>
          </cell>
        </row>
        <row r="280">
          <cell r="D280" t="str">
            <v>남서울지점</v>
          </cell>
          <cell r="E280">
            <v>3970</v>
          </cell>
          <cell r="F280" t="str">
            <v>03</v>
          </cell>
          <cell r="G280" t="str">
            <v>종합봉사실</v>
          </cell>
          <cell r="H280" t="str">
            <v>1999/09/01</v>
          </cell>
          <cell r="I280" t="str">
            <v>멀티캡 G2 520</v>
          </cell>
          <cell r="J280" t="str">
            <v>586PC</v>
          </cell>
          <cell r="K280" t="str">
            <v>MA1GAB6092900451</v>
          </cell>
          <cell r="L280" t="str">
            <v>현대</v>
          </cell>
          <cell r="M280" t="str">
            <v>1999/09/01</v>
          </cell>
          <cell r="P280" t="str">
            <v>현대</v>
          </cell>
          <cell r="Q280" t="str">
            <v>운용</v>
          </cell>
          <cell r="R280">
            <v>1</v>
          </cell>
        </row>
        <row r="281">
          <cell r="D281" t="str">
            <v>남서울지점</v>
          </cell>
          <cell r="E281">
            <v>3970</v>
          </cell>
          <cell r="F281" t="str">
            <v>03</v>
          </cell>
          <cell r="G281" t="str">
            <v>지점장실</v>
          </cell>
          <cell r="H281" t="str">
            <v>1999/08/01</v>
          </cell>
          <cell r="I281" t="str">
            <v>멀티캡 G2 520</v>
          </cell>
          <cell r="J281" t="str">
            <v>586PC</v>
          </cell>
          <cell r="K281" t="str">
            <v>MA1GAB6092900450</v>
          </cell>
          <cell r="L281" t="str">
            <v>현대</v>
          </cell>
          <cell r="M281" t="str">
            <v>1999/08/01</v>
          </cell>
          <cell r="P281" t="str">
            <v>현대</v>
          </cell>
          <cell r="Q281" t="str">
            <v>운용</v>
          </cell>
          <cell r="R281">
            <v>1</v>
          </cell>
        </row>
        <row r="282">
          <cell r="D282" t="str">
            <v>남서울지점</v>
          </cell>
          <cell r="E282">
            <v>3970</v>
          </cell>
          <cell r="F282" t="str">
            <v>03</v>
          </cell>
          <cell r="G282" t="str">
            <v>회의실</v>
          </cell>
          <cell r="I282" t="str">
            <v>MULTICAV POWER</v>
          </cell>
          <cell r="J282" t="str">
            <v>586PC</v>
          </cell>
          <cell r="L282" t="str">
            <v>현대</v>
          </cell>
          <cell r="P282" t="str">
            <v>현대</v>
          </cell>
          <cell r="Q282" t="str">
            <v>운용</v>
          </cell>
          <cell r="R282">
            <v>1</v>
          </cell>
        </row>
        <row r="283">
          <cell r="D283" t="str">
            <v>남서울지점</v>
          </cell>
          <cell r="E283">
            <v>3970</v>
          </cell>
          <cell r="F283" t="str">
            <v>01</v>
          </cell>
          <cell r="G283" t="str">
            <v>내선과</v>
          </cell>
          <cell r="H283" t="str">
            <v>1998/04/01</v>
          </cell>
          <cell r="I283" t="str">
            <v>SP-2421J</v>
          </cell>
          <cell r="J283" t="str">
            <v>DOT</v>
          </cell>
          <cell r="K283" t="str">
            <v>270N2293</v>
          </cell>
          <cell r="L283" t="str">
            <v>삼성</v>
          </cell>
          <cell r="M283" t="str">
            <v>1998/04/01</v>
          </cell>
          <cell r="P283" t="str">
            <v>삼성</v>
          </cell>
          <cell r="Q283" t="str">
            <v>운용</v>
          </cell>
          <cell r="R283">
            <v>1</v>
          </cell>
        </row>
        <row r="284">
          <cell r="D284" t="str">
            <v>남서울지점</v>
          </cell>
          <cell r="E284">
            <v>3970</v>
          </cell>
          <cell r="F284" t="str">
            <v>01</v>
          </cell>
          <cell r="G284" t="str">
            <v>새서울산업</v>
          </cell>
          <cell r="I284" t="str">
            <v>SP-2421HW</v>
          </cell>
          <cell r="J284" t="str">
            <v>DOT</v>
          </cell>
          <cell r="K284" t="str">
            <v>H1KC500066</v>
          </cell>
          <cell r="L284" t="str">
            <v>삼성</v>
          </cell>
          <cell r="P284" t="str">
            <v>삼성</v>
          </cell>
          <cell r="Q284" t="str">
            <v>운용</v>
          </cell>
          <cell r="R284">
            <v>1</v>
          </cell>
        </row>
        <row r="285">
          <cell r="D285" t="str">
            <v>남서울지점</v>
          </cell>
          <cell r="E285">
            <v>3970</v>
          </cell>
          <cell r="F285" t="str">
            <v>01</v>
          </cell>
          <cell r="G285" t="str">
            <v>종합봉사실</v>
          </cell>
          <cell r="H285" t="str">
            <v>1992/09/01</v>
          </cell>
          <cell r="I285" t="str">
            <v>SP-2421J</v>
          </cell>
          <cell r="J285" t="str">
            <v>DOT</v>
          </cell>
          <cell r="K285" t="str">
            <v>B099900260</v>
          </cell>
          <cell r="L285" t="str">
            <v>삼성</v>
          </cell>
          <cell r="M285" t="str">
            <v>1992/09/01</v>
          </cell>
          <cell r="P285" t="str">
            <v>삼성</v>
          </cell>
          <cell r="Q285" t="str">
            <v>운용</v>
          </cell>
          <cell r="R285">
            <v>1</v>
          </cell>
        </row>
        <row r="286">
          <cell r="D286" t="str">
            <v>남서울지점</v>
          </cell>
          <cell r="E286">
            <v>3970</v>
          </cell>
          <cell r="F286" t="str">
            <v>01</v>
          </cell>
          <cell r="G286" t="str">
            <v>종합봉사실</v>
          </cell>
          <cell r="H286" t="str">
            <v>1998/04/01</v>
          </cell>
          <cell r="I286" t="str">
            <v>SP-2421J</v>
          </cell>
          <cell r="J286" t="str">
            <v>DOT</v>
          </cell>
          <cell r="K286" t="str">
            <v>B099900268</v>
          </cell>
          <cell r="L286" t="str">
            <v>삼성</v>
          </cell>
          <cell r="M286" t="str">
            <v>1998/04/01</v>
          </cell>
          <cell r="P286" t="str">
            <v>삼성</v>
          </cell>
          <cell r="Q286" t="str">
            <v>운용</v>
          </cell>
          <cell r="R286">
            <v>1</v>
          </cell>
        </row>
        <row r="287">
          <cell r="D287" t="str">
            <v>남서울지점</v>
          </cell>
          <cell r="E287">
            <v>3970</v>
          </cell>
          <cell r="F287" t="str">
            <v>01</v>
          </cell>
          <cell r="G287" t="str">
            <v>지중보수과</v>
          </cell>
          <cell r="H287" t="str">
            <v>1992/09/01</v>
          </cell>
          <cell r="I287" t="str">
            <v>SP-2421J</v>
          </cell>
          <cell r="J287" t="str">
            <v>DOT</v>
          </cell>
          <cell r="K287" t="str">
            <v>B099900253</v>
          </cell>
          <cell r="L287" t="str">
            <v>삼성</v>
          </cell>
          <cell r="M287" t="str">
            <v>1992/09/01</v>
          </cell>
          <cell r="P287" t="str">
            <v>삼성</v>
          </cell>
          <cell r="Q287" t="str">
            <v>운용</v>
          </cell>
          <cell r="R287">
            <v>1</v>
          </cell>
        </row>
        <row r="288">
          <cell r="D288" t="str">
            <v>남서울지점</v>
          </cell>
          <cell r="E288">
            <v>3970</v>
          </cell>
          <cell r="F288" t="str">
            <v>01</v>
          </cell>
          <cell r="G288" t="str">
            <v>통신실</v>
          </cell>
          <cell r="H288" t="str">
            <v>1994/04/01</v>
          </cell>
          <cell r="I288" t="str">
            <v>PRT-3950E</v>
          </cell>
          <cell r="J288" t="str">
            <v>DOT</v>
          </cell>
          <cell r="K288" t="str">
            <v>9404105671</v>
          </cell>
          <cell r="L288" t="str">
            <v>LG</v>
          </cell>
          <cell r="M288" t="str">
            <v>1994/04/01</v>
          </cell>
          <cell r="P288" t="str">
            <v>LG</v>
          </cell>
          <cell r="Q288" t="str">
            <v>운용</v>
          </cell>
          <cell r="R288">
            <v>1</v>
          </cell>
        </row>
        <row r="289">
          <cell r="D289" t="str">
            <v>남서울지점</v>
          </cell>
          <cell r="E289">
            <v>3970</v>
          </cell>
          <cell r="F289" t="str">
            <v>01</v>
          </cell>
          <cell r="G289" t="str">
            <v>통신실</v>
          </cell>
          <cell r="H289" t="str">
            <v>1995/01/01</v>
          </cell>
          <cell r="I289" t="str">
            <v>SP-2427H(한화)</v>
          </cell>
          <cell r="J289" t="str">
            <v>DOT</v>
          </cell>
          <cell r="K289" t="str">
            <v>1301388</v>
          </cell>
          <cell r="L289" t="str">
            <v>삼성</v>
          </cell>
          <cell r="M289" t="str">
            <v>1995/01/01</v>
          </cell>
          <cell r="P289" t="str">
            <v>삼성</v>
          </cell>
          <cell r="Q289" t="str">
            <v>운용</v>
          </cell>
          <cell r="R289">
            <v>1</v>
          </cell>
        </row>
        <row r="290">
          <cell r="D290" t="str">
            <v>남서울지점</v>
          </cell>
          <cell r="E290">
            <v>3970</v>
          </cell>
          <cell r="F290" t="str">
            <v>02</v>
          </cell>
          <cell r="G290" t="str">
            <v>검침과</v>
          </cell>
          <cell r="H290" t="str">
            <v>1998/04/01</v>
          </cell>
          <cell r="I290" t="str">
            <v>KDNLBP-3616/U</v>
          </cell>
          <cell r="J290" t="str">
            <v>LBP</v>
          </cell>
          <cell r="K290" t="str">
            <v>000DP10890</v>
          </cell>
          <cell r="L290" t="str">
            <v>범우</v>
          </cell>
          <cell r="M290" t="str">
            <v>1998/04/01</v>
          </cell>
          <cell r="P290" t="str">
            <v>범우</v>
          </cell>
          <cell r="Q290" t="str">
            <v>운용</v>
          </cell>
          <cell r="R290">
            <v>1</v>
          </cell>
        </row>
        <row r="291">
          <cell r="D291" t="str">
            <v>남서울지점</v>
          </cell>
          <cell r="E291">
            <v>3970</v>
          </cell>
          <cell r="F291" t="str">
            <v>02</v>
          </cell>
          <cell r="G291" t="str">
            <v>검침과</v>
          </cell>
          <cell r="H291" t="str">
            <v>1998/08/01</v>
          </cell>
          <cell r="I291" t="str">
            <v>KDNLBP-3620/F</v>
          </cell>
          <cell r="J291" t="str">
            <v>LBP</v>
          </cell>
          <cell r="K291" t="str">
            <v>87508612</v>
          </cell>
          <cell r="L291" t="str">
            <v>범우</v>
          </cell>
          <cell r="M291" t="str">
            <v>1998/08/01</v>
          </cell>
          <cell r="P291" t="str">
            <v>범우</v>
          </cell>
          <cell r="Q291" t="str">
            <v>운용</v>
          </cell>
          <cell r="R291">
            <v>1</v>
          </cell>
        </row>
        <row r="292">
          <cell r="D292" t="str">
            <v>남서울지점</v>
          </cell>
          <cell r="E292">
            <v>3970</v>
          </cell>
          <cell r="F292" t="str">
            <v>02</v>
          </cell>
          <cell r="G292" t="str">
            <v>계기과</v>
          </cell>
          <cell r="H292" t="str">
            <v>1996/10/01</v>
          </cell>
          <cell r="I292" t="str">
            <v>KDNLBP-3616/U</v>
          </cell>
          <cell r="J292" t="str">
            <v>LBP</v>
          </cell>
          <cell r="K292" t="str">
            <v>000CX21020</v>
          </cell>
          <cell r="L292" t="str">
            <v>범우</v>
          </cell>
          <cell r="M292" t="str">
            <v>1996/10/01</v>
          </cell>
          <cell r="P292" t="str">
            <v>범우</v>
          </cell>
          <cell r="Q292" t="str">
            <v>운용</v>
          </cell>
          <cell r="R292">
            <v>1</v>
          </cell>
        </row>
        <row r="293">
          <cell r="D293" t="str">
            <v>남서울지점</v>
          </cell>
          <cell r="E293">
            <v>3970</v>
          </cell>
          <cell r="F293" t="str">
            <v>02</v>
          </cell>
          <cell r="G293" t="str">
            <v>계기과</v>
          </cell>
          <cell r="H293" t="str">
            <v>1998/04/01</v>
          </cell>
          <cell r="I293" t="str">
            <v>KDNLBP-3616/U</v>
          </cell>
          <cell r="J293" t="str">
            <v>LBP</v>
          </cell>
          <cell r="K293" t="str">
            <v>CW26550</v>
          </cell>
          <cell r="L293" t="str">
            <v>범우</v>
          </cell>
          <cell r="M293" t="str">
            <v>1998/04/01</v>
          </cell>
          <cell r="P293" t="str">
            <v>범우</v>
          </cell>
          <cell r="Q293" t="str">
            <v>운용</v>
          </cell>
          <cell r="R293">
            <v>1</v>
          </cell>
        </row>
        <row r="294">
          <cell r="D294" t="str">
            <v>남서울지점</v>
          </cell>
          <cell r="E294">
            <v>3970</v>
          </cell>
          <cell r="F294" t="str">
            <v>02</v>
          </cell>
          <cell r="G294" t="str">
            <v>계기과</v>
          </cell>
          <cell r="H294" t="str">
            <v>1994/12/01</v>
          </cell>
          <cell r="I294" t="str">
            <v>SLBP-311B</v>
          </cell>
          <cell r="J294" t="str">
            <v>LBP</v>
          </cell>
          <cell r="K294" t="str">
            <v>Z295020011</v>
          </cell>
          <cell r="L294" t="str">
            <v>양재</v>
          </cell>
          <cell r="M294" t="str">
            <v>1994/12/01</v>
          </cell>
          <cell r="P294" t="str">
            <v>양재</v>
          </cell>
          <cell r="Q294" t="str">
            <v>운용</v>
          </cell>
          <cell r="R294">
            <v>1</v>
          </cell>
        </row>
        <row r="295">
          <cell r="D295" t="str">
            <v>남서울지점</v>
          </cell>
          <cell r="E295">
            <v>3970</v>
          </cell>
          <cell r="F295" t="str">
            <v>02</v>
          </cell>
          <cell r="G295" t="str">
            <v>계기과</v>
          </cell>
          <cell r="H295" t="str">
            <v>1995/10/01</v>
          </cell>
          <cell r="I295" t="str">
            <v>SLBP-3616/B</v>
          </cell>
          <cell r="J295" t="str">
            <v>LBP</v>
          </cell>
          <cell r="K295" t="str">
            <v>C195110407</v>
          </cell>
          <cell r="L295" t="str">
            <v>양재</v>
          </cell>
          <cell r="M295" t="str">
            <v>1995/10/01</v>
          </cell>
          <cell r="P295" t="str">
            <v>양재</v>
          </cell>
          <cell r="Q295" t="str">
            <v>운용</v>
          </cell>
          <cell r="R295">
            <v>1</v>
          </cell>
        </row>
        <row r="296">
          <cell r="D296" t="str">
            <v>남서울지점</v>
          </cell>
          <cell r="E296">
            <v>3970</v>
          </cell>
          <cell r="F296" t="str">
            <v>02</v>
          </cell>
          <cell r="G296" t="str">
            <v>내선과</v>
          </cell>
          <cell r="H296" t="str">
            <v>1995/10/01</v>
          </cell>
          <cell r="I296" t="str">
            <v>SLBP-3616/U</v>
          </cell>
          <cell r="J296" t="str">
            <v>LBP</v>
          </cell>
          <cell r="K296" t="str">
            <v>000BY18720</v>
          </cell>
          <cell r="L296" t="str">
            <v>범우</v>
          </cell>
          <cell r="M296" t="str">
            <v>1995/10/01</v>
          </cell>
          <cell r="P296" t="str">
            <v>범우</v>
          </cell>
          <cell r="Q296" t="str">
            <v>운용</v>
          </cell>
          <cell r="R296">
            <v>1</v>
          </cell>
        </row>
        <row r="297">
          <cell r="D297" t="str">
            <v>남서울지점</v>
          </cell>
          <cell r="E297">
            <v>3970</v>
          </cell>
          <cell r="F297" t="str">
            <v>02</v>
          </cell>
          <cell r="G297" t="str">
            <v>내선과</v>
          </cell>
          <cell r="H297" t="str">
            <v>1995/10/01</v>
          </cell>
          <cell r="I297" t="str">
            <v>SLBP-3616/U</v>
          </cell>
          <cell r="J297" t="str">
            <v>LBP</v>
          </cell>
          <cell r="K297" t="str">
            <v>000BY18730</v>
          </cell>
          <cell r="L297" t="str">
            <v>범우</v>
          </cell>
          <cell r="M297" t="str">
            <v>1995/10/01</v>
          </cell>
          <cell r="P297" t="str">
            <v>범우</v>
          </cell>
          <cell r="Q297" t="str">
            <v>운용</v>
          </cell>
          <cell r="R297">
            <v>1</v>
          </cell>
        </row>
        <row r="298">
          <cell r="D298" t="str">
            <v>남서울지점</v>
          </cell>
          <cell r="E298">
            <v>3970</v>
          </cell>
          <cell r="F298" t="str">
            <v>02</v>
          </cell>
          <cell r="G298" t="str">
            <v>노조사무실</v>
          </cell>
          <cell r="H298" t="str">
            <v>1994/03/01</v>
          </cell>
          <cell r="I298" t="str">
            <v>SLBP-308A</v>
          </cell>
          <cell r="J298" t="str">
            <v>LBP</v>
          </cell>
          <cell r="K298" t="str">
            <v>H2AD200426</v>
          </cell>
          <cell r="L298" t="str">
            <v>양재</v>
          </cell>
          <cell r="M298" t="str">
            <v>1994/03/01</v>
          </cell>
          <cell r="P298" t="str">
            <v>양재</v>
          </cell>
          <cell r="Q298" t="str">
            <v>운용</v>
          </cell>
          <cell r="R298">
            <v>1</v>
          </cell>
        </row>
        <row r="299">
          <cell r="D299" t="str">
            <v>남서울지점</v>
          </cell>
          <cell r="E299">
            <v>3970</v>
          </cell>
          <cell r="F299" t="str">
            <v>02</v>
          </cell>
          <cell r="G299" t="str">
            <v>도면실</v>
          </cell>
          <cell r="H299" t="str">
            <v>1994/01/01</v>
          </cell>
          <cell r="I299" t="str">
            <v>POSLBP-4000</v>
          </cell>
          <cell r="J299" t="str">
            <v>LBP</v>
          </cell>
          <cell r="K299" t="str">
            <v>44100574</v>
          </cell>
          <cell r="L299" t="str">
            <v>POS-DATA</v>
          </cell>
          <cell r="M299" t="str">
            <v>1994/01/01</v>
          </cell>
          <cell r="P299" t="str">
            <v>POS-DATA</v>
          </cell>
          <cell r="Q299" t="str">
            <v>운용</v>
          </cell>
          <cell r="R299">
            <v>1</v>
          </cell>
        </row>
        <row r="300">
          <cell r="D300" t="str">
            <v>남서울지점</v>
          </cell>
          <cell r="E300">
            <v>3970</v>
          </cell>
          <cell r="F300" t="str">
            <v>02</v>
          </cell>
          <cell r="G300" t="str">
            <v>배전과</v>
          </cell>
          <cell r="H300" t="str">
            <v>1995/10/01</v>
          </cell>
          <cell r="I300" t="str">
            <v>SLBP-3616/B</v>
          </cell>
          <cell r="J300" t="str">
            <v>LBP</v>
          </cell>
          <cell r="K300" t="str">
            <v>C1-95110273</v>
          </cell>
          <cell r="L300" t="str">
            <v>양재</v>
          </cell>
          <cell r="M300" t="str">
            <v>1995/10/01</v>
          </cell>
          <cell r="P300" t="str">
            <v>양재</v>
          </cell>
          <cell r="Q300" t="str">
            <v>운용</v>
          </cell>
          <cell r="R300">
            <v>1</v>
          </cell>
        </row>
        <row r="301">
          <cell r="D301" t="str">
            <v>남서울지점</v>
          </cell>
          <cell r="E301">
            <v>3970</v>
          </cell>
          <cell r="F301" t="str">
            <v>02</v>
          </cell>
          <cell r="G301" t="str">
            <v>배전보수과</v>
          </cell>
          <cell r="H301" t="str">
            <v>1998/04/01</v>
          </cell>
          <cell r="I301" t="str">
            <v>KLBP-A360E</v>
          </cell>
          <cell r="J301" t="str">
            <v>LBP</v>
          </cell>
          <cell r="K301" t="str">
            <v>9501064</v>
          </cell>
          <cell r="L301" t="str">
            <v>코오롱정보</v>
          </cell>
          <cell r="M301" t="str">
            <v>1998/04/01</v>
          </cell>
          <cell r="P301" t="str">
            <v>코오롱정보</v>
          </cell>
          <cell r="Q301" t="str">
            <v>운용</v>
          </cell>
          <cell r="R301">
            <v>1</v>
          </cell>
        </row>
        <row r="302">
          <cell r="D302" t="str">
            <v>남서울지점</v>
          </cell>
          <cell r="E302">
            <v>3970</v>
          </cell>
          <cell r="F302" t="str">
            <v>02</v>
          </cell>
          <cell r="G302" t="str">
            <v>배전보수과</v>
          </cell>
          <cell r="H302" t="str">
            <v>1994/01/01</v>
          </cell>
          <cell r="I302" t="str">
            <v>POSLBP-4000</v>
          </cell>
          <cell r="J302" t="str">
            <v>LBP</v>
          </cell>
          <cell r="K302" t="str">
            <v>44100619</v>
          </cell>
          <cell r="L302" t="str">
            <v>POS-DATA</v>
          </cell>
          <cell r="M302" t="str">
            <v>1994/01/01</v>
          </cell>
          <cell r="P302" t="str">
            <v>POS-DATA</v>
          </cell>
          <cell r="Q302" t="str">
            <v>운용</v>
          </cell>
          <cell r="R302">
            <v>1</v>
          </cell>
        </row>
        <row r="303">
          <cell r="D303" t="str">
            <v>남서울지점</v>
          </cell>
          <cell r="E303">
            <v>3970</v>
          </cell>
          <cell r="F303" t="str">
            <v>02</v>
          </cell>
          <cell r="G303" t="str">
            <v>배전보수과</v>
          </cell>
          <cell r="H303" t="str">
            <v>1995/03/01</v>
          </cell>
          <cell r="I303" t="str">
            <v>SLBP-311B</v>
          </cell>
          <cell r="J303" t="str">
            <v>LBP</v>
          </cell>
          <cell r="K303" t="str">
            <v>Z295030010</v>
          </cell>
          <cell r="L303" t="str">
            <v>양재</v>
          </cell>
          <cell r="M303" t="str">
            <v>1995/03/01</v>
          </cell>
          <cell r="P303" t="str">
            <v>양재</v>
          </cell>
          <cell r="Q303" t="str">
            <v>운용</v>
          </cell>
          <cell r="R303">
            <v>1</v>
          </cell>
        </row>
        <row r="304">
          <cell r="D304" t="str">
            <v>남서울지점</v>
          </cell>
          <cell r="E304">
            <v>3970</v>
          </cell>
          <cell r="F304" t="str">
            <v>02</v>
          </cell>
          <cell r="G304" t="str">
            <v>배전사령실</v>
          </cell>
          <cell r="H304" t="str">
            <v>1998/04/01</v>
          </cell>
          <cell r="I304" t="str">
            <v>글초롱-C1600</v>
          </cell>
          <cell r="J304" t="str">
            <v>LBP</v>
          </cell>
          <cell r="K304" t="str">
            <v>C196020038</v>
          </cell>
          <cell r="L304" t="str">
            <v>양재</v>
          </cell>
          <cell r="M304" t="str">
            <v>1998/04/01</v>
          </cell>
          <cell r="P304" t="str">
            <v>양재</v>
          </cell>
          <cell r="Q304" t="str">
            <v>운용</v>
          </cell>
          <cell r="R304">
            <v>1</v>
          </cell>
        </row>
        <row r="305">
          <cell r="D305" t="str">
            <v>남서울지점</v>
          </cell>
          <cell r="E305">
            <v>3970</v>
          </cell>
          <cell r="F305" t="str">
            <v>02</v>
          </cell>
          <cell r="G305" t="str">
            <v>배전운영과</v>
          </cell>
          <cell r="H305" t="str">
            <v>1992/02/01</v>
          </cell>
          <cell r="I305" t="str">
            <v>FLBP-11X</v>
          </cell>
          <cell r="J305" t="str">
            <v>LBP</v>
          </cell>
          <cell r="K305" t="str">
            <v>9202186</v>
          </cell>
          <cell r="L305" t="str">
            <v>훼스트시스템</v>
          </cell>
          <cell r="M305" t="str">
            <v>1992/02/01</v>
          </cell>
          <cell r="P305" t="str">
            <v>훼스트시스템</v>
          </cell>
          <cell r="Q305" t="str">
            <v>운용</v>
          </cell>
          <cell r="R305">
            <v>1</v>
          </cell>
        </row>
        <row r="306">
          <cell r="D306" t="str">
            <v>남서울지점</v>
          </cell>
          <cell r="E306">
            <v>3970</v>
          </cell>
          <cell r="F306" t="str">
            <v>02</v>
          </cell>
          <cell r="G306" t="str">
            <v>배전운영과</v>
          </cell>
          <cell r="H306" t="str">
            <v>1996/10/01</v>
          </cell>
          <cell r="I306" t="str">
            <v>KDNLBP-3616/U</v>
          </cell>
          <cell r="J306" t="str">
            <v>LBP</v>
          </cell>
          <cell r="K306" t="str">
            <v>CW27370</v>
          </cell>
          <cell r="L306" t="str">
            <v>범우</v>
          </cell>
          <cell r="M306" t="str">
            <v>1996/10/01</v>
          </cell>
          <cell r="P306" t="str">
            <v>범우</v>
          </cell>
          <cell r="Q306" t="str">
            <v>운용</v>
          </cell>
          <cell r="R306">
            <v>1</v>
          </cell>
        </row>
        <row r="307">
          <cell r="D307" t="str">
            <v>남서울지점</v>
          </cell>
          <cell r="E307">
            <v>3970</v>
          </cell>
          <cell r="F307" t="str">
            <v>02</v>
          </cell>
          <cell r="G307" t="str">
            <v>배전운영실</v>
          </cell>
          <cell r="H307" t="str">
            <v>1994/07/01</v>
          </cell>
          <cell r="I307" t="str">
            <v>SLBP-311B</v>
          </cell>
          <cell r="J307" t="str">
            <v>LBP</v>
          </cell>
          <cell r="K307" t="str">
            <v>Z2 94070109</v>
          </cell>
          <cell r="L307" t="str">
            <v>양재</v>
          </cell>
          <cell r="M307" t="str">
            <v>1994/07/01</v>
          </cell>
          <cell r="P307" t="str">
            <v>양재</v>
          </cell>
          <cell r="Q307" t="str">
            <v>운용</v>
          </cell>
          <cell r="R307">
            <v>1</v>
          </cell>
        </row>
        <row r="308">
          <cell r="D308" t="str">
            <v>남서울지점</v>
          </cell>
          <cell r="E308">
            <v>3970</v>
          </cell>
          <cell r="F308" t="str">
            <v>02</v>
          </cell>
          <cell r="G308" t="str">
            <v>배전운영실</v>
          </cell>
          <cell r="H308" t="str">
            <v>1995/10/01</v>
          </cell>
          <cell r="I308" t="str">
            <v>SLBP-3616/U</v>
          </cell>
          <cell r="J308" t="str">
            <v>LBP</v>
          </cell>
          <cell r="K308" t="str">
            <v>000BY18690</v>
          </cell>
          <cell r="L308" t="str">
            <v>범우</v>
          </cell>
          <cell r="M308" t="str">
            <v>1995/10/01</v>
          </cell>
          <cell r="P308" t="str">
            <v>범우</v>
          </cell>
          <cell r="Q308" t="str">
            <v>운용</v>
          </cell>
          <cell r="R308">
            <v>1</v>
          </cell>
        </row>
        <row r="309">
          <cell r="D309" t="str">
            <v>남서울지점</v>
          </cell>
          <cell r="E309">
            <v>3970</v>
          </cell>
          <cell r="F309" t="str">
            <v>02</v>
          </cell>
          <cell r="G309" t="str">
            <v>배전운영팀장</v>
          </cell>
          <cell r="H309" t="str">
            <v>1994/09/01</v>
          </cell>
          <cell r="I309" t="str">
            <v>α-1100Z</v>
          </cell>
          <cell r="J309" t="str">
            <v>LBP</v>
          </cell>
          <cell r="K309" t="str">
            <v>902048</v>
          </cell>
          <cell r="L309" t="str">
            <v>제록스</v>
          </cell>
          <cell r="M309" t="str">
            <v>1994/09/01</v>
          </cell>
          <cell r="P309" t="str">
            <v>제록스</v>
          </cell>
          <cell r="Q309" t="str">
            <v>운용</v>
          </cell>
          <cell r="R309">
            <v>1</v>
          </cell>
        </row>
        <row r="310">
          <cell r="D310" t="str">
            <v>남서울지점</v>
          </cell>
          <cell r="E310">
            <v>3970</v>
          </cell>
          <cell r="F310" t="str">
            <v>02</v>
          </cell>
          <cell r="G310" t="str">
            <v>배전자동화과</v>
          </cell>
          <cell r="H310" t="str">
            <v>1995/03/01</v>
          </cell>
          <cell r="I310" t="str">
            <v>SLBP-311B</v>
          </cell>
          <cell r="J310" t="str">
            <v>LBP</v>
          </cell>
          <cell r="K310" t="str">
            <v>Z295030022</v>
          </cell>
          <cell r="L310" t="str">
            <v>세일</v>
          </cell>
          <cell r="M310" t="str">
            <v>1995/03/01</v>
          </cell>
          <cell r="P310" t="str">
            <v>세일</v>
          </cell>
          <cell r="Q310" t="str">
            <v>운용</v>
          </cell>
          <cell r="R310">
            <v>1</v>
          </cell>
        </row>
        <row r="311">
          <cell r="D311" t="str">
            <v>남서울지점</v>
          </cell>
          <cell r="E311">
            <v>3970</v>
          </cell>
          <cell r="F311" t="str">
            <v>02</v>
          </cell>
          <cell r="G311" t="str">
            <v>배전자동화과</v>
          </cell>
          <cell r="H311" t="str">
            <v>1995/10/01</v>
          </cell>
          <cell r="I311" t="str">
            <v>SLBP-3616/U</v>
          </cell>
          <cell r="J311" t="str">
            <v>LBP</v>
          </cell>
          <cell r="K311" t="str">
            <v>BY18680</v>
          </cell>
          <cell r="L311" t="str">
            <v>범우</v>
          </cell>
          <cell r="M311" t="str">
            <v>1995/10/01</v>
          </cell>
          <cell r="P311" t="str">
            <v>범우</v>
          </cell>
          <cell r="Q311" t="str">
            <v>운용</v>
          </cell>
          <cell r="R311">
            <v>1</v>
          </cell>
        </row>
        <row r="312">
          <cell r="D312" t="str">
            <v>남서울지점</v>
          </cell>
          <cell r="E312">
            <v>3970</v>
          </cell>
          <cell r="F312" t="str">
            <v>02</v>
          </cell>
          <cell r="G312" t="str">
            <v>수금과</v>
          </cell>
          <cell r="H312" t="str">
            <v>1998/04/01</v>
          </cell>
          <cell r="I312" t="str">
            <v>KDNLBP-3616/U</v>
          </cell>
          <cell r="J312" t="str">
            <v>LBP</v>
          </cell>
          <cell r="K312" t="str">
            <v>DP10880</v>
          </cell>
          <cell r="L312" t="str">
            <v>범우</v>
          </cell>
          <cell r="M312" t="str">
            <v>1998/04/01</v>
          </cell>
          <cell r="P312" t="str">
            <v>범우</v>
          </cell>
          <cell r="Q312" t="str">
            <v>운용</v>
          </cell>
          <cell r="R312">
            <v>1</v>
          </cell>
        </row>
        <row r="313">
          <cell r="D313" t="str">
            <v>남서울지점</v>
          </cell>
          <cell r="E313">
            <v>3970</v>
          </cell>
          <cell r="F313" t="str">
            <v>02</v>
          </cell>
          <cell r="G313" t="str">
            <v>수금과</v>
          </cell>
          <cell r="H313" t="str">
            <v>1997/02/01</v>
          </cell>
          <cell r="I313" t="str">
            <v>KDNLBP-3616/U</v>
          </cell>
          <cell r="J313" t="str">
            <v>LBP</v>
          </cell>
          <cell r="K313" t="str">
            <v>000DP10900</v>
          </cell>
          <cell r="L313" t="str">
            <v>범우</v>
          </cell>
          <cell r="M313" t="str">
            <v>1997/02/01</v>
          </cell>
          <cell r="P313" t="str">
            <v>범우</v>
          </cell>
          <cell r="Q313" t="str">
            <v>운용</v>
          </cell>
          <cell r="R313">
            <v>1</v>
          </cell>
        </row>
        <row r="314">
          <cell r="D314" t="str">
            <v>남서울지점</v>
          </cell>
          <cell r="E314">
            <v>3970</v>
          </cell>
          <cell r="F314" t="str">
            <v>02</v>
          </cell>
          <cell r="G314" t="str">
            <v>수금과</v>
          </cell>
          <cell r="H314" t="str">
            <v>1994/01/01</v>
          </cell>
          <cell r="I314" t="str">
            <v>POSLBP-4000</v>
          </cell>
          <cell r="J314" t="str">
            <v>LBP</v>
          </cell>
          <cell r="K314" t="str">
            <v>44100570</v>
          </cell>
          <cell r="L314" t="str">
            <v>POS-DATA</v>
          </cell>
          <cell r="M314" t="str">
            <v>1994/01/01</v>
          </cell>
          <cell r="P314" t="str">
            <v>POS-DATA</v>
          </cell>
          <cell r="Q314" t="str">
            <v>운용</v>
          </cell>
          <cell r="R314">
            <v>1</v>
          </cell>
        </row>
        <row r="315">
          <cell r="D315" t="str">
            <v>남서울지점</v>
          </cell>
          <cell r="E315">
            <v>3970</v>
          </cell>
          <cell r="F315" t="str">
            <v>02</v>
          </cell>
          <cell r="G315" t="str">
            <v>수금과</v>
          </cell>
          <cell r="H315" t="str">
            <v>1995/02/01</v>
          </cell>
          <cell r="I315" t="str">
            <v>SLBP-311B</v>
          </cell>
          <cell r="J315" t="str">
            <v>LBP</v>
          </cell>
          <cell r="K315" t="str">
            <v>Z295020421</v>
          </cell>
          <cell r="L315" t="str">
            <v>양재</v>
          </cell>
          <cell r="M315" t="str">
            <v>1995/02/01</v>
          </cell>
          <cell r="P315" t="str">
            <v>양재</v>
          </cell>
          <cell r="Q315" t="str">
            <v>운용</v>
          </cell>
          <cell r="R315">
            <v>1</v>
          </cell>
        </row>
        <row r="316">
          <cell r="D316" t="str">
            <v>남서울지점</v>
          </cell>
          <cell r="E316">
            <v>3970</v>
          </cell>
          <cell r="F316" t="str">
            <v>02</v>
          </cell>
          <cell r="G316" t="str">
            <v>영업과</v>
          </cell>
          <cell r="H316" t="str">
            <v>1996/10/01</v>
          </cell>
          <cell r="I316" t="str">
            <v>KDNLBP-3616/U</v>
          </cell>
          <cell r="J316" t="str">
            <v>LBP</v>
          </cell>
          <cell r="K316" t="str">
            <v>000CX20840</v>
          </cell>
          <cell r="L316" t="str">
            <v>범우</v>
          </cell>
          <cell r="M316" t="str">
            <v>1996/10/01</v>
          </cell>
          <cell r="P316" t="str">
            <v>범우</v>
          </cell>
          <cell r="Q316" t="str">
            <v>운용</v>
          </cell>
          <cell r="R316">
            <v>1</v>
          </cell>
        </row>
        <row r="317">
          <cell r="D317" t="str">
            <v>남서울지점</v>
          </cell>
          <cell r="E317">
            <v>3970</v>
          </cell>
          <cell r="F317" t="str">
            <v>02</v>
          </cell>
          <cell r="G317" t="str">
            <v>영업운영부장</v>
          </cell>
          <cell r="H317" t="str">
            <v>1995/03/01</v>
          </cell>
          <cell r="I317" t="str">
            <v>SLBP-311B</v>
          </cell>
          <cell r="J317" t="str">
            <v>LBP</v>
          </cell>
          <cell r="K317" t="str">
            <v>Z2 95030019</v>
          </cell>
          <cell r="L317" t="str">
            <v>양재</v>
          </cell>
          <cell r="M317" t="str">
            <v>1995/03/01</v>
          </cell>
          <cell r="P317" t="str">
            <v>양재</v>
          </cell>
          <cell r="Q317" t="str">
            <v>운용</v>
          </cell>
          <cell r="R317">
            <v>1</v>
          </cell>
        </row>
        <row r="318">
          <cell r="D318" t="str">
            <v>남서울지점</v>
          </cell>
          <cell r="E318">
            <v>3970</v>
          </cell>
          <cell r="F318" t="str">
            <v>02</v>
          </cell>
          <cell r="G318" t="str">
            <v>요금과</v>
          </cell>
          <cell r="H318" t="str">
            <v>1996/10/01</v>
          </cell>
          <cell r="I318" t="str">
            <v>KDNLBP-3616/U</v>
          </cell>
          <cell r="J318" t="str">
            <v>LBP</v>
          </cell>
          <cell r="K318" t="str">
            <v>CW27360</v>
          </cell>
          <cell r="L318" t="str">
            <v>범우</v>
          </cell>
          <cell r="M318" t="str">
            <v>1996/10/01</v>
          </cell>
          <cell r="P318" t="str">
            <v>범우</v>
          </cell>
          <cell r="Q318" t="str">
            <v>운용</v>
          </cell>
          <cell r="R318">
            <v>1</v>
          </cell>
        </row>
        <row r="319">
          <cell r="D319" t="str">
            <v>남서울지점</v>
          </cell>
          <cell r="E319">
            <v>3970</v>
          </cell>
          <cell r="F319" t="str">
            <v>02</v>
          </cell>
          <cell r="G319" t="str">
            <v>요금과</v>
          </cell>
          <cell r="H319" t="str">
            <v>1998/04/01</v>
          </cell>
          <cell r="I319" t="str">
            <v>KDNLBP-3616/U</v>
          </cell>
          <cell r="J319" t="str">
            <v>LBP</v>
          </cell>
          <cell r="K319" t="str">
            <v>DY12430</v>
          </cell>
          <cell r="L319" t="str">
            <v>범우</v>
          </cell>
          <cell r="M319" t="str">
            <v>1998/04/01</v>
          </cell>
          <cell r="P319" t="str">
            <v>범우</v>
          </cell>
          <cell r="Q319" t="str">
            <v>운용</v>
          </cell>
          <cell r="R319">
            <v>1</v>
          </cell>
        </row>
        <row r="320">
          <cell r="D320" t="str">
            <v>남서울지점</v>
          </cell>
          <cell r="E320">
            <v>3970</v>
          </cell>
          <cell r="F320" t="str">
            <v>02</v>
          </cell>
          <cell r="G320" t="str">
            <v>요금과</v>
          </cell>
          <cell r="H320" t="str">
            <v>1995/10/01</v>
          </cell>
          <cell r="I320" t="str">
            <v>SLBP-3616/U</v>
          </cell>
          <cell r="J320" t="str">
            <v>LBP</v>
          </cell>
          <cell r="K320" t="str">
            <v>000BY18700</v>
          </cell>
          <cell r="L320" t="str">
            <v>범우</v>
          </cell>
          <cell r="M320" t="str">
            <v>1995/10/01</v>
          </cell>
          <cell r="P320" t="str">
            <v>범우</v>
          </cell>
          <cell r="Q320" t="str">
            <v>운용</v>
          </cell>
          <cell r="R320">
            <v>1</v>
          </cell>
        </row>
        <row r="321">
          <cell r="D321" t="str">
            <v>남서울지점</v>
          </cell>
          <cell r="E321">
            <v>3970</v>
          </cell>
          <cell r="F321" t="str">
            <v>02</v>
          </cell>
          <cell r="G321" t="str">
            <v>요금과</v>
          </cell>
          <cell r="H321" t="str">
            <v>1995/10/01</v>
          </cell>
          <cell r="I321" t="str">
            <v>SLBP-3616/U</v>
          </cell>
          <cell r="J321" t="str">
            <v>LBP</v>
          </cell>
          <cell r="K321" t="str">
            <v>000BY27710</v>
          </cell>
          <cell r="L321" t="str">
            <v>범우</v>
          </cell>
          <cell r="M321" t="str">
            <v>1995/10/01</v>
          </cell>
          <cell r="P321" t="str">
            <v>범우</v>
          </cell>
          <cell r="Q321" t="str">
            <v>운용</v>
          </cell>
          <cell r="R321">
            <v>1</v>
          </cell>
        </row>
        <row r="322">
          <cell r="D322" t="str">
            <v>남서울지점</v>
          </cell>
          <cell r="E322">
            <v>3970</v>
          </cell>
          <cell r="F322" t="str">
            <v>02</v>
          </cell>
          <cell r="G322" t="str">
            <v>전산과</v>
          </cell>
          <cell r="H322" t="str">
            <v>1998/04/01</v>
          </cell>
          <cell r="I322" t="str">
            <v>SLBP-3616/B</v>
          </cell>
          <cell r="J322" t="str">
            <v>LBP</v>
          </cell>
          <cell r="K322" t="str">
            <v>C195110281</v>
          </cell>
          <cell r="L322" t="str">
            <v>양재</v>
          </cell>
          <cell r="M322" t="str">
            <v>1998/04/01</v>
          </cell>
          <cell r="P322" t="str">
            <v>양재</v>
          </cell>
          <cell r="Q322" t="str">
            <v>운용</v>
          </cell>
          <cell r="R322">
            <v>1</v>
          </cell>
        </row>
        <row r="323">
          <cell r="D323" t="str">
            <v>남서울지점</v>
          </cell>
          <cell r="E323">
            <v>3970</v>
          </cell>
          <cell r="F323" t="str">
            <v>02</v>
          </cell>
          <cell r="G323" t="str">
            <v>정보통신과</v>
          </cell>
          <cell r="H323" t="str">
            <v>1995/10/01</v>
          </cell>
          <cell r="I323" t="str">
            <v>SLBP-3616/U</v>
          </cell>
          <cell r="J323" t="str">
            <v>LBP</v>
          </cell>
          <cell r="K323" t="str">
            <v>000BY18820</v>
          </cell>
          <cell r="L323" t="str">
            <v>범우</v>
          </cell>
          <cell r="M323" t="str">
            <v>1995/10/01</v>
          </cell>
          <cell r="P323" t="str">
            <v>범우</v>
          </cell>
          <cell r="Q323" t="str">
            <v>운용</v>
          </cell>
          <cell r="R323">
            <v>1</v>
          </cell>
        </row>
        <row r="324">
          <cell r="D324" t="str">
            <v>남서울지점</v>
          </cell>
          <cell r="E324">
            <v>3970</v>
          </cell>
          <cell r="F324" t="str">
            <v>02</v>
          </cell>
          <cell r="G324" t="str">
            <v>종합봉사실</v>
          </cell>
          <cell r="H324" t="str">
            <v>1995/10/01</v>
          </cell>
          <cell r="I324" t="str">
            <v>SLBP-3616/U</v>
          </cell>
          <cell r="J324" t="str">
            <v>LBP</v>
          </cell>
          <cell r="K324" t="str">
            <v>000BY18800</v>
          </cell>
          <cell r="L324" t="str">
            <v>범우</v>
          </cell>
          <cell r="M324" t="str">
            <v>1995/10/01</v>
          </cell>
          <cell r="P324" t="str">
            <v>범우</v>
          </cell>
          <cell r="Q324" t="str">
            <v>운용</v>
          </cell>
          <cell r="R324">
            <v>1</v>
          </cell>
        </row>
        <row r="325">
          <cell r="D325" t="str">
            <v>남서울지점</v>
          </cell>
          <cell r="E325">
            <v>3970</v>
          </cell>
          <cell r="F325" t="str">
            <v>02</v>
          </cell>
          <cell r="G325" t="str">
            <v>지중배전과</v>
          </cell>
          <cell r="H325" t="str">
            <v>1995/10/01</v>
          </cell>
          <cell r="I325" t="str">
            <v>SLBP-3616/U</v>
          </cell>
          <cell r="J325" t="str">
            <v>LBP</v>
          </cell>
          <cell r="K325" t="str">
            <v>000BY188930</v>
          </cell>
          <cell r="L325" t="str">
            <v>범우</v>
          </cell>
          <cell r="M325" t="str">
            <v>1995/10/01</v>
          </cell>
          <cell r="P325" t="str">
            <v>범우</v>
          </cell>
          <cell r="Q325" t="str">
            <v>운용</v>
          </cell>
          <cell r="R325">
            <v>1</v>
          </cell>
        </row>
        <row r="326">
          <cell r="D326" t="str">
            <v>남서울지점</v>
          </cell>
          <cell r="E326">
            <v>3970</v>
          </cell>
          <cell r="F326" t="str">
            <v>02</v>
          </cell>
          <cell r="G326" t="str">
            <v>지중보수과</v>
          </cell>
          <cell r="H326" t="str">
            <v>1995/10/01</v>
          </cell>
          <cell r="I326" t="str">
            <v>SLBP-3616/U</v>
          </cell>
          <cell r="J326" t="str">
            <v>LBP</v>
          </cell>
          <cell r="K326" t="str">
            <v>000BY18840</v>
          </cell>
          <cell r="L326" t="str">
            <v>범우</v>
          </cell>
          <cell r="M326" t="str">
            <v>1995/10/01</v>
          </cell>
          <cell r="P326" t="str">
            <v>범우</v>
          </cell>
          <cell r="Q326" t="str">
            <v>운용</v>
          </cell>
          <cell r="R326">
            <v>1</v>
          </cell>
        </row>
        <row r="327">
          <cell r="D327" t="str">
            <v>남서울지점</v>
          </cell>
          <cell r="E327">
            <v>3970</v>
          </cell>
          <cell r="F327" t="str">
            <v>02</v>
          </cell>
          <cell r="G327" t="str">
            <v>총무과</v>
          </cell>
          <cell r="H327" t="str">
            <v>1995/09/01</v>
          </cell>
          <cell r="I327" t="str">
            <v>@-1663</v>
          </cell>
          <cell r="J327" t="str">
            <v>LBP</v>
          </cell>
          <cell r="K327" t="str">
            <v>BW11100</v>
          </cell>
          <cell r="L327" t="str">
            <v>제록스</v>
          </cell>
          <cell r="M327" t="str">
            <v>1995/09/01</v>
          </cell>
          <cell r="P327" t="str">
            <v>제록스</v>
          </cell>
          <cell r="Q327" t="str">
            <v>운용</v>
          </cell>
          <cell r="R327">
            <v>1</v>
          </cell>
        </row>
        <row r="328">
          <cell r="D328" t="str">
            <v>남서울지점</v>
          </cell>
          <cell r="E328">
            <v>3970</v>
          </cell>
          <cell r="F328" t="str">
            <v>02</v>
          </cell>
          <cell r="G328" t="str">
            <v>총무과</v>
          </cell>
          <cell r="H328" t="str">
            <v>1997/02/01</v>
          </cell>
          <cell r="I328" t="str">
            <v>KDNLBP-3616/U</v>
          </cell>
          <cell r="J328" t="str">
            <v>LBP</v>
          </cell>
          <cell r="K328" t="str">
            <v>000DP10840</v>
          </cell>
          <cell r="L328" t="str">
            <v>범우</v>
          </cell>
          <cell r="M328" t="str">
            <v>1997/02/01</v>
          </cell>
          <cell r="P328" t="str">
            <v>범우</v>
          </cell>
          <cell r="Q328" t="str">
            <v>운용</v>
          </cell>
          <cell r="R328">
            <v>1</v>
          </cell>
        </row>
        <row r="329">
          <cell r="D329" t="str">
            <v>남서울지점</v>
          </cell>
          <cell r="E329">
            <v>3970</v>
          </cell>
          <cell r="F329" t="str">
            <v>02</v>
          </cell>
          <cell r="G329" t="str">
            <v>총무과</v>
          </cell>
          <cell r="H329" t="str">
            <v>1994/01/01</v>
          </cell>
          <cell r="I329" t="str">
            <v>POSLBP-4000</v>
          </cell>
          <cell r="J329" t="str">
            <v>LBP</v>
          </cell>
          <cell r="K329" t="str">
            <v>44100564</v>
          </cell>
          <cell r="L329" t="str">
            <v>POS-DATA</v>
          </cell>
          <cell r="M329" t="str">
            <v>1994/01/01</v>
          </cell>
          <cell r="P329" t="str">
            <v>POS-DATA</v>
          </cell>
          <cell r="Q329" t="str">
            <v>운용</v>
          </cell>
          <cell r="R329">
            <v>1</v>
          </cell>
        </row>
        <row r="330">
          <cell r="D330" t="str">
            <v>남서울지점</v>
          </cell>
          <cell r="E330">
            <v>3970</v>
          </cell>
          <cell r="F330" t="str">
            <v>02</v>
          </cell>
          <cell r="G330" t="str">
            <v>총무과</v>
          </cell>
          <cell r="H330" t="str">
            <v>1995/11/01</v>
          </cell>
          <cell r="I330" t="str">
            <v>SLBP-3616U</v>
          </cell>
          <cell r="J330" t="str">
            <v>LBP</v>
          </cell>
          <cell r="K330" t="str">
            <v>000BY26680</v>
          </cell>
          <cell r="L330" t="str">
            <v>범우</v>
          </cell>
          <cell r="M330" t="str">
            <v>1995/11/01</v>
          </cell>
          <cell r="P330" t="str">
            <v>범우</v>
          </cell>
          <cell r="Q330" t="str">
            <v>운용</v>
          </cell>
          <cell r="R330">
            <v>1</v>
          </cell>
        </row>
        <row r="331">
          <cell r="D331" t="str">
            <v>남서울지점</v>
          </cell>
          <cell r="E331">
            <v>3970</v>
          </cell>
          <cell r="F331" t="str">
            <v>02</v>
          </cell>
          <cell r="G331" t="str">
            <v>통신실</v>
          </cell>
          <cell r="H331" t="str">
            <v>1995/03/01</v>
          </cell>
          <cell r="I331" t="str">
            <v>SLBP-311B</v>
          </cell>
          <cell r="J331" t="str">
            <v>LBP</v>
          </cell>
          <cell r="K331" t="str">
            <v>Z295030071</v>
          </cell>
          <cell r="L331" t="str">
            <v>양재</v>
          </cell>
          <cell r="M331" t="str">
            <v>1995/03/01</v>
          </cell>
          <cell r="P331" t="str">
            <v>양재</v>
          </cell>
          <cell r="Q331" t="str">
            <v>운용</v>
          </cell>
          <cell r="R331">
            <v>1</v>
          </cell>
        </row>
        <row r="332">
          <cell r="D332" t="str">
            <v>남서울지점</v>
          </cell>
          <cell r="E332">
            <v>3970</v>
          </cell>
          <cell r="F332" t="str">
            <v>02</v>
          </cell>
          <cell r="G332" t="str">
            <v>회의실</v>
          </cell>
          <cell r="H332" t="str">
            <v>1995/11/01</v>
          </cell>
          <cell r="I332" t="str">
            <v>SLBP-3616U</v>
          </cell>
          <cell r="J332" t="str">
            <v>LBP</v>
          </cell>
          <cell r="K332" t="str">
            <v>00BY14890</v>
          </cell>
          <cell r="L332" t="str">
            <v>범우</v>
          </cell>
          <cell r="M332" t="str">
            <v>1995/11/01</v>
          </cell>
          <cell r="P332" t="str">
            <v>범우</v>
          </cell>
          <cell r="Q332" t="str">
            <v>운용</v>
          </cell>
          <cell r="R332">
            <v>1</v>
          </cell>
        </row>
        <row r="333">
          <cell r="D333" t="str">
            <v>남서울지점</v>
          </cell>
          <cell r="E333">
            <v>3970</v>
          </cell>
          <cell r="F333" t="str">
            <v>02</v>
          </cell>
          <cell r="G333" t="str">
            <v>검침과</v>
          </cell>
          <cell r="I333" t="str">
            <v>SLBP-311B</v>
          </cell>
          <cell r="J333" t="str">
            <v>LBP</v>
          </cell>
          <cell r="K333" t="str">
            <v>Z295020012</v>
          </cell>
          <cell r="L333" t="str">
            <v>양재</v>
          </cell>
          <cell r="P333" t="str">
            <v>양재</v>
          </cell>
          <cell r="Q333" t="str">
            <v>운용</v>
          </cell>
          <cell r="R333">
            <v>1</v>
          </cell>
        </row>
        <row r="334">
          <cell r="D334" t="str">
            <v>남서울지점</v>
          </cell>
          <cell r="E334">
            <v>3970</v>
          </cell>
          <cell r="F334" t="str">
            <v>02</v>
          </cell>
          <cell r="G334" t="str">
            <v>봉사실</v>
          </cell>
          <cell r="I334" t="str">
            <v>KDNLBP-3616/U</v>
          </cell>
          <cell r="J334" t="str">
            <v>LBP</v>
          </cell>
          <cell r="L334" t="str">
            <v>범우</v>
          </cell>
          <cell r="P334" t="str">
            <v>범우</v>
          </cell>
          <cell r="Q334" t="str">
            <v>운용</v>
          </cell>
          <cell r="R334">
            <v>1</v>
          </cell>
        </row>
        <row r="335">
          <cell r="D335" t="str">
            <v>남서울지점</v>
          </cell>
          <cell r="E335">
            <v>3970</v>
          </cell>
          <cell r="F335" t="str">
            <v>02</v>
          </cell>
          <cell r="G335" t="str">
            <v>봉사실</v>
          </cell>
          <cell r="I335" t="str">
            <v>KDNLBP-3616/U</v>
          </cell>
          <cell r="J335" t="str">
            <v>LBP</v>
          </cell>
          <cell r="K335" t="str">
            <v>000CW26640</v>
          </cell>
          <cell r="L335" t="str">
            <v>범우</v>
          </cell>
          <cell r="P335" t="str">
            <v>범우</v>
          </cell>
          <cell r="Q335" t="str">
            <v>운용</v>
          </cell>
          <cell r="R335">
            <v>1</v>
          </cell>
        </row>
        <row r="336">
          <cell r="D336" t="str">
            <v>남서울지점</v>
          </cell>
          <cell r="E336">
            <v>3970</v>
          </cell>
          <cell r="F336" t="str">
            <v>02</v>
          </cell>
          <cell r="G336" t="str">
            <v>봉사실</v>
          </cell>
          <cell r="I336" t="str">
            <v>KDNLBP-3616/U</v>
          </cell>
          <cell r="J336" t="str">
            <v>LBP</v>
          </cell>
          <cell r="L336" t="str">
            <v>범우</v>
          </cell>
          <cell r="P336" t="str">
            <v>범우</v>
          </cell>
          <cell r="Q336" t="str">
            <v>운용</v>
          </cell>
          <cell r="R336">
            <v>1</v>
          </cell>
        </row>
        <row r="337">
          <cell r="D337" t="str">
            <v>남서울지점</v>
          </cell>
          <cell r="E337">
            <v>3970</v>
          </cell>
          <cell r="F337" t="str">
            <v>02</v>
          </cell>
          <cell r="G337" t="str">
            <v>새서울산업</v>
          </cell>
          <cell r="I337" t="str">
            <v>SLBP-311B</v>
          </cell>
          <cell r="J337" t="str">
            <v>LBP</v>
          </cell>
          <cell r="L337" t="str">
            <v>양재</v>
          </cell>
          <cell r="P337" t="str">
            <v>양재</v>
          </cell>
          <cell r="Q337" t="str">
            <v>운용</v>
          </cell>
          <cell r="R337">
            <v>1</v>
          </cell>
        </row>
        <row r="338">
          <cell r="D338" t="str">
            <v>남서울지점</v>
          </cell>
          <cell r="E338">
            <v>3970</v>
          </cell>
          <cell r="F338" t="str">
            <v>03</v>
          </cell>
          <cell r="G338" t="str">
            <v>검침과</v>
          </cell>
          <cell r="H338" t="str">
            <v>없음</v>
          </cell>
          <cell r="I338" t="str">
            <v>QBJ-3630E</v>
          </cell>
          <cell r="J338" t="str">
            <v>INKJET</v>
          </cell>
          <cell r="K338" t="str">
            <v>BJ34612925</v>
          </cell>
          <cell r="L338" t="str">
            <v>큐닉스</v>
          </cell>
          <cell r="M338" t="str">
            <v>없음</v>
          </cell>
          <cell r="P338" t="str">
            <v>큐닉스</v>
          </cell>
          <cell r="Q338" t="str">
            <v>운용</v>
          </cell>
          <cell r="R338">
            <v>1</v>
          </cell>
        </row>
        <row r="339">
          <cell r="D339" t="str">
            <v>남서울지점</v>
          </cell>
          <cell r="E339">
            <v>3970</v>
          </cell>
          <cell r="F339" t="str">
            <v>03</v>
          </cell>
          <cell r="G339" t="str">
            <v>계기과</v>
          </cell>
          <cell r="H339" t="str">
            <v>1997/09/29</v>
          </cell>
          <cell r="I339" t="str">
            <v>DESKJET 870K</v>
          </cell>
          <cell r="J339" t="str">
            <v>INKJET</v>
          </cell>
          <cell r="K339" t="str">
            <v>SG79T190Y9</v>
          </cell>
          <cell r="L339" t="str">
            <v>HP</v>
          </cell>
          <cell r="M339" t="str">
            <v>1997/09/29</v>
          </cell>
          <cell r="P339" t="str">
            <v>HP</v>
          </cell>
          <cell r="Q339" t="str">
            <v>운용</v>
          </cell>
          <cell r="R339">
            <v>1</v>
          </cell>
        </row>
        <row r="340">
          <cell r="D340" t="str">
            <v>남서울지점</v>
          </cell>
          <cell r="E340">
            <v>3970</v>
          </cell>
          <cell r="F340" t="str">
            <v>03</v>
          </cell>
          <cell r="G340" t="str">
            <v>내선과</v>
          </cell>
          <cell r="H340" t="str">
            <v>1997/02/04</v>
          </cell>
          <cell r="I340" t="str">
            <v>COLORJET PRINTER 4079-002</v>
          </cell>
          <cell r="J340" t="str">
            <v>INKJET</v>
          </cell>
          <cell r="K340" t="str">
            <v>11-L5T84</v>
          </cell>
          <cell r="L340" t="str">
            <v>신도리코</v>
          </cell>
          <cell r="M340" t="str">
            <v>1997/02/04</v>
          </cell>
          <cell r="P340" t="str">
            <v>신도리코</v>
          </cell>
          <cell r="Q340" t="str">
            <v>운용</v>
          </cell>
          <cell r="R340">
            <v>1</v>
          </cell>
        </row>
        <row r="341">
          <cell r="D341" t="str">
            <v>남서울지점</v>
          </cell>
          <cell r="E341">
            <v>3970</v>
          </cell>
          <cell r="F341" t="str">
            <v>03</v>
          </cell>
          <cell r="G341" t="str">
            <v>내선과</v>
          </cell>
          <cell r="H341" t="str">
            <v>1997/09/26</v>
          </cell>
          <cell r="I341" t="str">
            <v>DESKJET 870K</v>
          </cell>
          <cell r="J341" t="str">
            <v>INKJET</v>
          </cell>
          <cell r="K341" t="str">
            <v>SG79Q160QO</v>
          </cell>
          <cell r="L341" t="str">
            <v>HP</v>
          </cell>
          <cell r="M341" t="str">
            <v>1997/09/26</v>
          </cell>
          <cell r="P341" t="str">
            <v>HP</v>
          </cell>
          <cell r="Q341" t="str">
            <v>운용</v>
          </cell>
          <cell r="R341">
            <v>1</v>
          </cell>
        </row>
        <row r="342">
          <cell r="D342" t="str">
            <v>남서울지점</v>
          </cell>
          <cell r="E342">
            <v>3970</v>
          </cell>
          <cell r="F342" t="str">
            <v>03</v>
          </cell>
          <cell r="G342" t="str">
            <v>노면실</v>
          </cell>
          <cell r="H342" t="str">
            <v>1997/02/04</v>
          </cell>
          <cell r="I342" t="str">
            <v>COLORJET PRINTER 4079-002</v>
          </cell>
          <cell r="J342" t="str">
            <v>INKJET</v>
          </cell>
          <cell r="K342" t="str">
            <v>11-L2865</v>
          </cell>
          <cell r="L342" t="str">
            <v>신도리코</v>
          </cell>
          <cell r="M342" t="str">
            <v>1997/02/04</v>
          </cell>
          <cell r="P342" t="str">
            <v>신도리코</v>
          </cell>
          <cell r="Q342" t="str">
            <v>운용</v>
          </cell>
          <cell r="R342">
            <v>1</v>
          </cell>
        </row>
        <row r="343">
          <cell r="D343" t="str">
            <v>남서울지점</v>
          </cell>
          <cell r="E343">
            <v>3970</v>
          </cell>
          <cell r="F343" t="str">
            <v>03</v>
          </cell>
          <cell r="G343" t="str">
            <v>배전부장</v>
          </cell>
          <cell r="I343" t="str">
            <v>STYLUS PHOTO</v>
          </cell>
          <cell r="J343" t="str">
            <v>INKJET</v>
          </cell>
          <cell r="K343" t="str">
            <v>AHG0004798</v>
          </cell>
          <cell r="L343" t="str">
            <v>엡손</v>
          </cell>
          <cell r="P343" t="str">
            <v>엡손</v>
          </cell>
          <cell r="Q343" t="str">
            <v>운용</v>
          </cell>
          <cell r="R343">
            <v>1</v>
          </cell>
        </row>
        <row r="344">
          <cell r="D344" t="str">
            <v>남서울지점</v>
          </cell>
          <cell r="E344">
            <v>3970</v>
          </cell>
          <cell r="F344" t="str">
            <v>03</v>
          </cell>
          <cell r="G344" t="str">
            <v>배전운영과</v>
          </cell>
          <cell r="H344" t="str">
            <v>1995/01/01</v>
          </cell>
          <cell r="I344" t="str">
            <v>QBJ-3630E</v>
          </cell>
          <cell r="J344" t="str">
            <v>INKJET</v>
          </cell>
          <cell r="K344" t="str">
            <v>BJ340ND343</v>
          </cell>
          <cell r="L344" t="str">
            <v>큐닉스</v>
          </cell>
          <cell r="M344" t="str">
            <v>1995/01/01</v>
          </cell>
          <cell r="P344" t="str">
            <v>큐닉스</v>
          </cell>
          <cell r="Q344" t="str">
            <v>운용</v>
          </cell>
          <cell r="R344">
            <v>1</v>
          </cell>
        </row>
        <row r="345">
          <cell r="D345" t="str">
            <v>남서울지점</v>
          </cell>
          <cell r="E345">
            <v>3970</v>
          </cell>
          <cell r="F345" t="str">
            <v>03</v>
          </cell>
          <cell r="G345" t="str">
            <v>배전운영과</v>
          </cell>
          <cell r="H345" t="str">
            <v>1997/03/01</v>
          </cell>
          <cell r="I345" t="str">
            <v>STYLUS COLOR 500H</v>
          </cell>
          <cell r="J345" t="str">
            <v>INKJET</v>
          </cell>
          <cell r="K345" t="str">
            <v>3EP0055634</v>
          </cell>
          <cell r="L345" t="str">
            <v>삼보</v>
          </cell>
          <cell r="M345" t="str">
            <v>1997/03/01</v>
          </cell>
          <cell r="P345" t="str">
            <v>삼보</v>
          </cell>
          <cell r="Q345" t="str">
            <v>운용</v>
          </cell>
          <cell r="R345">
            <v>1</v>
          </cell>
        </row>
        <row r="346">
          <cell r="D346" t="str">
            <v>남서울지점</v>
          </cell>
          <cell r="E346">
            <v>3970</v>
          </cell>
          <cell r="F346" t="str">
            <v>03</v>
          </cell>
          <cell r="G346" t="str">
            <v>배전운영실</v>
          </cell>
          <cell r="H346" t="str">
            <v>없음</v>
          </cell>
          <cell r="I346" t="str">
            <v>QBJ-3630E</v>
          </cell>
          <cell r="J346" t="str">
            <v>INKJET</v>
          </cell>
          <cell r="K346" t="str">
            <v>BJ34671830</v>
          </cell>
          <cell r="L346" t="str">
            <v>큐닉스</v>
          </cell>
          <cell r="M346" t="str">
            <v>없음</v>
          </cell>
          <cell r="P346" t="str">
            <v>큐닉스</v>
          </cell>
          <cell r="Q346" t="str">
            <v>운용</v>
          </cell>
          <cell r="R346">
            <v>1</v>
          </cell>
        </row>
        <row r="347">
          <cell r="D347" t="str">
            <v>남서울지점</v>
          </cell>
          <cell r="E347">
            <v>3970</v>
          </cell>
          <cell r="F347" t="str">
            <v>03</v>
          </cell>
          <cell r="G347" t="str">
            <v>수금과</v>
          </cell>
          <cell r="H347" t="str">
            <v>없음</v>
          </cell>
          <cell r="I347" t="str">
            <v>QBJ-3630E</v>
          </cell>
          <cell r="J347" t="str">
            <v>INKJET</v>
          </cell>
          <cell r="K347" t="str">
            <v>BJ34671840</v>
          </cell>
          <cell r="L347" t="str">
            <v>큐닉스</v>
          </cell>
          <cell r="M347" t="str">
            <v>없음</v>
          </cell>
          <cell r="P347" t="str">
            <v>큐닉스</v>
          </cell>
          <cell r="Q347" t="str">
            <v>운용</v>
          </cell>
          <cell r="R347">
            <v>1</v>
          </cell>
        </row>
        <row r="348">
          <cell r="D348" t="str">
            <v>남서울지점</v>
          </cell>
          <cell r="E348">
            <v>3970</v>
          </cell>
          <cell r="F348" t="str">
            <v>03</v>
          </cell>
          <cell r="G348" t="str">
            <v>수금과</v>
          </cell>
          <cell r="H348" t="str">
            <v>1998/04/01</v>
          </cell>
          <cell r="I348" t="str">
            <v>QBJ-3630E</v>
          </cell>
          <cell r="J348" t="str">
            <v>INKJET</v>
          </cell>
          <cell r="K348" t="str">
            <v>B340N0127</v>
          </cell>
          <cell r="L348" t="str">
            <v>큐닉스</v>
          </cell>
          <cell r="M348" t="str">
            <v>1998/04/01</v>
          </cell>
          <cell r="P348" t="str">
            <v>큐닉스</v>
          </cell>
          <cell r="Q348" t="str">
            <v>운용</v>
          </cell>
          <cell r="R348">
            <v>1</v>
          </cell>
        </row>
        <row r="349">
          <cell r="D349" t="str">
            <v>남서울지점</v>
          </cell>
          <cell r="E349">
            <v>3970</v>
          </cell>
          <cell r="F349" t="str">
            <v>03</v>
          </cell>
          <cell r="G349" t="str">
            <v>정보통신과</v>
          </cell>
          <cell r="H349" t="str">
            <v>1997/09/30</v>
          </cell>
          <cell r="I349" t="str">
            <v>DESKJET 870K</v>
          </cell>
          <cell r="J349" t="str">
            <v>INKJET</v>
          </cell>
          <cell r="K349" t="str">
            <v>SG79U160V5</v>
          </cell>
          <cell r="L349" t="str">
            <v>HP</v>
          </cell>
          <cell r="M349" t="str">
            <v>1997/09/30</v>
          </cell>
          <cell r="P349" t="str">
            <v>HP</v>
          </cell>
          <cell r="Q349" t="str">
            <v>운용</v>
          </cell>
          <cell r="R349">
            <v>1</v>
          </cell>
        </row>
        <row r="350">
          <cell r="D350" t="str">
            <v>남서울지점</v>
          </cell>
          <cell r="E350">
            <v>3970</v>
          </cell>
          <cell r="F350" t="str">
            <v>03</v>
          </cell>
          <cell r="G350" t="str">
            <v>종합봉사실</v>
          </cell>
          <cell r="H350" t="str">
            <v>1996/01/01</v>
          </cell>
          <cell r="I350" t="str">
            <v>HP-660K</v>
          </cell>
          <cell r="J350" t="str">
            <v>INKJET</v>
          </cell>
          <cell r="K350" t="str">
            <v>SG61H1B297</v>
          </cell>
          <cell r="L350" t="str">
            <v>HP</v>
          </cell>
          <cell r="M350" t="str">
            <v>1996/01/01</v>
          </cell>
          <cell r="P350" t="str">
            <v>HP</v>
          </cell>
          <cell r="Q350" t="str">
            <v>운용</v>
          </cell>
          <cell r="R350">
            <v>1</v>
          </cell>
        </row>
        <row r="351">
          <cell r="D351" t="str">
            <v>남서울지점</v>
          </cell>
          <cell r="E351">
            <v>3970</v>
          </cell>
          <cell r="F351" t="str">
            <v>03</v>
          </cell>
          <cell r="G351" t="str">
            <v>지중배전과</v>
          </cell>
          <cell r="H351" t="str">
            <v>1999/02/01</v>
          </cell>
          <cell r="I351" t="str">
            <v>MJC-1500W</v>
          </cell>
          <cell r="J351" t="str">
            <v>INKJET</v>
          </cell>
          <cell r="K351" t="str">
            <v>D2FK200201</v>
          </cell>
          <cell r="L351" t="str">
            <v>삼성</v>
          </cell>
          <cell r="M351" t="str">
            <v>1999/02/01</v>
          </cell>
          <cell r="P351" t="str">
            <v>삼성</v>
          </cell>
          <cell r="Q351" t="str">
            <v>운용</v>
          </cell>
          <cell r="R351">
            <v>1</v>
          </cell>
        </row>
        <row r="352">
          <cell r="D352" t="str">
            <v>남서울지점</v>
          </cell>
          <cell r="E352">
            <v>3970</v>
          </cell>
          <cell r="F352" t="str">
            <v>03</v>
          </cell>
          <cell r="G352" t="str">
            <v>총무과</v>
          </cell>
          <cell r="H352" t="str">
            <v>1996/12/01</v>
          </cell>
          <cell r="I352" t="str">
            <v>BJC-4550</v>
          </cell>
          <cell r="J352" t="str">
            <v>INKJET</v>
          </cell>
          <cell r="K352" t="str">
            <v>CKI96120040</v>
          </cell>
          <cell r="L352" t="str">
            <v>캐논</v>
          </cell>
          <cell r="M352" t="str">
            <v>1996/12/01</v>
          </cell>
          <cell r="P352" t="str">
            <v>캐논</v>
          </cell>
          <cell r="Q352" t="str">
            <v>운용</v>
          </cell>
          <cell r="R352">
            <v>1</v>
          </cell>
        </row>
        <row r="353">
          <cell r="D353" t="str">
            <v>남서울지점</v>
          </cell>
          <cell r="E353">
            <v>3970</v>
          </cell>
          <cell r="F353" t="str">
            <v>03</v>
          </cell>
          <cell r="G353" t="str">
            <v>배전보수과</v>
          </cell>
          <cell r="H353" t="str">
            <v>1998/12/01</v>
          </cell>
          <cell r="I353" t="str">
            <v>DESKJET 870K</v>
          </cell>
          <cell r="J353" t="str">
            <v>INKJET</v>
          </cell>
          <cell r="K353" t="str">
            <v>SG79Q160R9</v>
          </cell>
          <cell r="L353" t="str">
            <v>HP</v>
          </cell>
          <cell r="M353" t="str">
            <v>1998/12/01</v>
          </cell>
          <cell r="P353" t="str">
            <v>HP</v>
          </cell>
          <cell r="Q353" t="str">
            <v>운용</v>
          </cell>
          <cell r="R353">
            <v>1</v>
          </cell>
        </row>
        <row r="354">
          <cell r="D354" t="str">
            <v>남서울지점</v>
          </cell>
          <cell r="E354">
            <v>3970</v>
          </cell>
          <cell r="F354" t="str">
            <v>03</v>
          </cell>
          <cell r="G354" t="str">
            <v>지점장실</v>
          </cell>
          <cell r="H354" t="str">
            <v>1998/12/01</v>
          </cell>
          <cell r="I354" t="str">
            <v>DESKJET 870K</v>
          </cell>
          <cell r="J354" t="str">
            <v>INKJET</v>
          </cell>
          <cell r="K354" t="str">
            <v>SG79R100BB</v>
          </cell>
          <cell r="L354" t="str">
            <v>HP</v>
          </cell>
          <cell r="M354" t="str">
            <v>1998/12/01</v>
          </cell>
          <cell r="P354" t="str">
            <v>HP</v>
          </cell>
          <cell r="Q354" t="str">
            <v>운용</v>
          </cell>
          <cell r="R354">
            <v>1</v>
          </cell>
        </row>
        <row r="355">
          <cell r="D355" t="str">
            <v>남서울지점</v>
          </cell>
          <cell r="E355">
            <v>3970</v>
          </cell>
          <cell r="F355" t="str">
            <v>03</v>
          </cell>
          <cell r="G355" t="str">
            <v>당직실</v>
          </cell>
          <cell r="I355" t="str">
            <v>MYJET PHOTO Ⅱ</v>
          </cell>
          <cell r="J355" t="str">
            <v>INKJET</v>
          </cell>
          <cell r="K355" t="str">
            <v>B6DK6003360</v>
          </cell>
          <cell r="L355" t="str">
            <v>삼성</v>
          </cell>
          <cell r="P355" t="str">
            <v>삼성</v>
          </cell>
          <cell r="Q355" t="str">
            <v>운용</v>
          </cell>
          <cell r="R355">
            <v>1</v>
          </cell>
        </row>
        <row r="356">
          <cell r="D356" t="str">
            <v>남서울지점</v>
          </cell>
          <cell r="E356">
            <v>3970</v>
          </cell>
          <cell r="F356" t="str">
            <v>03</v>
          </cell>
          <cell r="G356" t="str">
            <v>배전과</v>
          </cell>
          <cell r="I356" t="str">
            <v>DESKJET 1120C</v>
          </cell>
          <cell r="J356" t="str">
            <v>INKJET</v>
          </cell>
          <cell r="K356" t="str">
            <v>SG96113KT1</v>
          </cell>
          <cell r="L356" t="str">
            <v>HP</v>
          </cell>
          <cell r="P356" t="str">
            <v>HP</v>
          </cell>
          <cell r="Q356" t="str">
            <v>운용</v>
          </cell>
          <cell r="R356">
            <v>1</v>
          </cell>
        </row>
        <row r="357">
          <cell r="D357" t="str">
            <v>남서울지점</v>
          </cell>
          <cell r="E357">
            <v>3970</v>
          </cell>
          <cell r="F357" t="str">
            <v>03</v>
          </cell>
          <cell r="G357" t="str">
            <v>수금과</v>
          </cell>
          <cell r="I357" t="str">
            <v>QBJ-3630E</v>
          </cell>
          <cell r="J357" t="str">
            <v>INKJET</v>
          </cell>
          <cell r="K357" t="str">
            <v>QJ34671838</v>
          </cell>
          <cell r="L357" t="str">
            <v>큐닉스</v>
          </cell>
          <cell r="P357" t="str">
            <v>큐닉스</v>
          </cell>
          <cell r="Q357" t="str">
            <v>운용</v>
          </cell>
          <cell r="R357">
            <v>1</v>
          </cell>
        </row>
        <row r="358">
          <cell r="D358" t="str">
            <v>남서울지점</v>
          </cell>
          <cell r="E358">
            <v>3970</v>
          </cell>
          <cell r="F358" t="str">
            <v>03</v>
          </cell>
          <cell r="G358" t="str">
            <v>지중보수과</v>
          </cell>
          <cell r="I358" t="str">
            <v>HP 870K</v>
          </cell>
          <cell r="J358" t="str">
            <v>INKJET</v>
          </cell>
          <cell r="K358" t="str">
            <v>SG79V160TV</v>
          </cell>
          <cell r="L358" t="str">
            <v>HP</v>
          </cell>
          <cell r="P358" t="str">
            <v>HP</v>
          </cell>
          <cell r="Q358" t="str">
            <v>운용</v>
          </cell>
          <cell r="R358">
            <v>1</v>
          </cell>
        </row>
      </sheetData>
      <sheetData sheetId="2"/>
      <sheetData sheetId="3"/>
      <sheetData sheetId="4" refreshError="1"/>
      <sheetData sheetId="5" refreshError="1"/>
      <sheetData sheetId="6" refreshError="1"/>
      <sheetData sheetId="7"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별"/>
      <sheetName val="색인"/>
      <sheetName val="인입기별"/>
      <sheetName val="지재"/>
      <sheetName val="설계명세"/>
      <sheetName val="인입자재"/>
      <sheetName val="사급자재"/>
      <sheetName val="기안(갑)"/>
      <sheetName val="준공검사"/>
      <sheetName val="안전P1"/>
      <sheetName val="안전P2"/>
      <sheetName val="계약의뢰"/>
      <sheetName val="품셈"/>
      <sheetName val="노무단가산정"/>
      <sheetName val="아파트기별"/>
      <sheetName val="공리일"/>
      <sheetName val="기별명세"/>
      <sheetName val="설계명세서"/>
      <sheetName val="공사비"/>
      <sheetName val="공사설명서외"/>
      <sheetName val="개발규모"/>
      <sheetName val="노임단가표"/>
      <sheetName val="교환노무"/>
      <sheetName val="넉시~922"/>
      <sheetName val="대수산분기~LG918"/>
      <sheetName val="색달~중문"/>
      <sheetName val="중문~삼일"/>
      <sheetName val="신서귀~고근산"/>
      <sheetName val="미악분기~913"/>
      <sheetName val="5-1.설계명세서"/>
      <sheetName val="환율"/>
      <sheetName val="학술진흥재단"/>
      <sheetName val="98수문일위"/>
      <sheetName val="수목데이타 "/>
      <sheetName val="공사설명서"/>
      <sheetName val="예산내역서"/>
      <sheetName val="간이설계(4-15)"/>
    </sheetNames>
    <sheetDataSet>
      <sheetData sheetId="0">
        <row r="3">
          <cell r="A3" t="str">
            <v>자재식별</v>
          </cell>
          <cell r="B3" t="str">
            <v>노무비식별</v>
          </cell>
        </row>
        <row r="6">
          <cell r="A6" t="str">
            <v>180-218-1</v>
          </cell>
          <cell r="B6" t="str">
            <v>180-218-1</v>
          </cell>
        </row>
        <row r="7">
          <cell r="A7" t="str">
            <v>180-218-2</v>
          </cell>
          <cell r="B7" t="str">
            <v>180-218-2</v>
          </cell>
        </row>
        <row r="8">
          <cell r="A8" t="str">
            <v>129-402-1</v>
          </cell>
          <cell r="B8" t="str">
            <v>129-402-1</v>
          </cell>
        </row>
        <row r="9">
          <cell r="A9" t="str">
            <v>129-402-2</v>
          </cell>
          <cell r="B9" t="str">
            <v>129-402-2</v>
          </cell>
        </row>
        <row r="10">
          <cell r="A10" t="str">
            <v>129-404-2</v>
          </cell>
          <cell r="B10" t="str">
            <v>129-404-2</v>
          </cell>
        </row>
        <row r="11">
          <cell r="B11" t="str">
            <v>888-007-31</v>
          </cell>
        </row>
        <row r="12">
          <cell r="B12" t="str">
            <v>888-007-32</v>
          </cell>
        </row>
        <row r="13">
          <cell r="B13" t="str">
            <v>888-007-33</v>
          </cell>
        </row>
        <row r="14">
          <cell r="B14" t="str">
            <v>888-007-35</v>
          </cell>
        </row>
        <row r="15">
          <cell r="B15" t="str">
            <v>888-007-36</v>
          </cell>
        </row>
        <row r="16">
          <cell r="B16" t="str">
            <v>888-007-38</v>
          </cell>
        </row>
        <row r="17">
          <cell r="A17" t="str">
            <v>127-526-1</v>
          </cell>
          <cell r="B17" t="str">
            <v>127-526-11</v>
          </cell>
        </row>
        <row r="18">
          <cell r="A18" t="str">
            <v>127-526-2</v>
          </cell>
          <cell r="B18" t="str">
            <v>127-526-21</v>
          </cell>
          <cell r="X18">
            <v>0</v>
          </cell>
        </row>
        <row r="19">
          <cell r="A19" t="str">
            <v>127-526-3</v>
          </cell>
          <cell r="B19" t="str">
            <v>127-526-32</v>
          </cell>
        </row>
        <row r="20">
          <cell r="A20" t="str">
            <v>127-526-3</v>
          </cell>
          <cell r="B20" t="str">
            <v>127-526-33</v>
          </cell>
        </row>
        <row r="21">
          <cell r="A21" t="str">
            <v>110-414-1</v>
          </cell>
          <cell r="B21" t="str">
            <v>110-414-1</v>
          </cell>
        </row>
        <row r="22">
          <cell r="A22" t="str">
            <v>110-414-2</v>
          </cell>
          <cell r="B22" t="str">
            <v>110-414-2</v>
          </cell>
          <cell r="X22">
            <v>0</v>
          </cell>
        </row>
        <row r="23">
          <cell r="A23" t="str">
            <v>110-414-3</v>
          </cell>
          <cell r="B23" t="str">
            <v>110-414-3</v>
          </cell>
        </row>
        <row r="24">
          <cell r="A24" t="str">
            <v>999-001-13</v>
          </cell>
          <cell r="B24" t="str">
            <v>999-001-13</v>
          </cell>
        </row>
        <row r="25">
          <cell r="A25" t="str">
            <v>999-001-14</v>
          </cell>
          <cell r="B25" t="str">
            <v>999-001-14</v>
          </cell>
        </row>
        <row r="26">
          <cell r="A26" t="str">
            <v>999-001-24</v>
          </cell>
          <cell r="B26" t="str">
            <v>999-001-24</v>
          </cell>
        </row>
        <row r="27">
          <cell r="A27" t="str">
            <v>999-001-15</v>
          </cell>
          <cell r="B27" t="str">
            <v>999-001-15</v>
          </cell>
        </row>
        <row r="28">
          <cell r="A28" t="str">
            <v>999-001-25</v>
          </cell>
          <cell r="B28" t="str">
            <v>999-001-25</v>
          </cell>
        </row>
        <row r="29">
          <cell r="A29" t="str">
            <v>999-001-16</v>
          </cell>
          <cell r="B29" t="str">
            <v>999-001-16</v>
          </cell>
        </row>
        <row r="30">
          <cell r="A30" t="str">
            <v>999-001-19</v>
          </cell>
          <cell r="B30" t="str">
            <v>999-001-19</v>
          </cell>
        </row>
        <row r="31">
          <cell r="A31" t="str">
            <v>999-001-29</v>
          </cell>
          <cell r="B31" t="str">
            <v>999-001-29</v>
          </cell>
        </row>
        <row r="32">
          <cell r="A32" t="str">
            <v>113-251-1</v>
          </cell>
          <cell r="B32" t="str">
            <v>888-009-1</v>
          </cell>
        </row>
        <row r="33">
          <cell r="A33" t="str">
            <v>113-251-2</v>
          </cell>
          <cell r="B33" t="str">
            <v>888-009-2</v>
          </cell>
        </row>
        <row r="34">
          <cell r="A34" t="str">
            <v>113-012-1</v>
          </cell>
          <cell r="B34" t="str">
            <v>888-009-1</v>
          </cell>
        </row>
        <row r="35">
          <cell r="A35" t="str">
            <v>113-012-2</v>
          </cell>
          <cell r="B35" t="str">
            <v>888-009-2</v>
          </cell>
        </row>
        <row r="36">
          <cell r="A36" t="str">
            <v>112-665-1</v>
          </cell>
          <cell r="B36" t="str">
            <v>888-010-1</v>
          </cell>
        </row>
        <row r="37">
          <cell r="A37" t="str">
            <v>112-665-2</v>
          </cell>
          <cell r="B37" t="str">
            <v>888-010-2</v>
          </cell>
        </row>
        <row r="38">
          <cell r="A38" t="str">
            <v>112-667-1</v>
          </cell>
          <cell r="B38" t="str">
            <v>888-010-1</v>
          </cell>
        </row>
        <row r="39">
          <cell r="A39" t="str">
            <v>112-667-2</v>
          </cell>
          <cell r="B39" t="str">
            <v>888-010-2</v>
          </cell>
        </row>
        <row r="40">
          <cell r="A40" t="str">
            <v>999-004-1</v>
          </cell>
          <cell r="B40" t="str">
            <v>999-004-1</v>
          </cell>
        </row>
        <row r="41">
          <cell r="A41" t="str">
            <v>999-004-2</v>
          </cell>
          <cell r="B41" t="str">
            <v>999-004-2</v>
          </cell>
        </row>
        <row r="42">
          <cell r="A42" t="str">
            <v>999-005-1</v>
          </cell>
          <cell r="B42" t="str">
            <v>999-005-1</v>
          </cell>
        </row>
        <row r="43">
          <cell r="A43" t="str">
            <v>999-005-2</v>
          </cell>
          <cell r="B43" t="str">
            <v>999-005-2</v>
          </cell>
        </row>
        <row r="44">
          <cell r="A44" t="str">
            <v>999-006-1</v>
          </cell>
          <cell r="B44" t="str">
            <v>999-006-1</v>
          </cell>
        </row>
        <row r="45">
          <cell r="A45" t="str">
            <v>999-006-2</v>
          </cell>
          <cell r="B45" t="str">
            <v>999-006-2</v>
          </cell>
        </row>
      </sheetData>
      <sheetData sheetId="1"/>
      <sheetData sheetId="2"/>
      <sheetData sheetId="3"/>
      <sheetData sheetId="4"/>
      <sheetData sheetId="5"/>
      <sheetData sheetId="6"/>
      <sheetData sheetId="7">
        <row r="10">
          <cell r="D10" t="str">
            <v>학술진흥재단 차선확보 지장 통신케이블 이설공사</v>
          </cell>
        </row>
      </sheetData>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별명세"/>
      <sheetName val="설계명세서"/>
      <sheetName val="예산서"/>
      <sheetName val="품셈표"/>
      <sheetName val="검사보고"/>
      <sheetName val="정산보고"/>
      <sheetName val="정산명세"/>
      <sheetName val="건설가계"/>
      <sheetName val="자산총괄"/>
      <sheetName val="표지"/>
      <sheetName val="Sheet15"/>
      <sheetName val="Sheet16"/>
      <sheetName val="기별"/>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표"/>
      <sheetName val="공사설명서외"/>
      <sheetName val="기안(갑)"/>
      <sheetName val="설계명세서"/>
      <sheetName val="노임단가표 "/>
      <sheetName val="기별명세"/>
      <sheetName val="정산설계"/>
      <sheetName val="품셈"/>
      <sheetName val="노임단가"/>
      <sheetName val="기별"/>
      <sheetName val="맨홀조서"/>
      <sheetName val="AIR갑지"/>
      <sheetName val="갑지"/>
      <sheetName val="내역서"/>
      <sheetName val="시설대외"/>
      <sheetName val="Sheet1"/>
      <sheetName val="갑지 (3)"/>
      <sheetName val="내역서양식"/>
      <sheetName val="단가마지막 (2)"/>
      <sheetName val="열량계단가비교"/>
      <sheetName val="열량계단가비교 (2)"/>
      <sheetName val="일위대가"/>
      <sheetName val="배관공사"/>
      <sheetName val="인부임"/>
      <sheetName val="설계명세CR"/>
      <sheetName val="추가공정(내역서)"/>
      <sheetName val="직종별노임단가표"/>
      <sheetName val="8.설치품셈"/>
      <sheetName val="노임단가표"/>
      <sheetName val="도급정산"/>
      <sheetName val="자산별"/>
      <sheetName val="설직재-1"/>
      <sheetName val="설계서"/>
      <sheetName val="#REF"/>
      <sheetName val="노무비"/>
      <sheetName val="경  비 "/>
      <sheetName val="재료비"/>
      <sheetName val="노무량산출"/>
      <sheetName val="적용단가산출"/>
      <sheetName val="품셈표"/>
      <sheetName val="N賃率-職"/>
      <sheetName val="공통가설"/>
      <sheetName val="넉시~922"/>
      <sheetName val="대수산분기~LG918"/>
      <sheetName val="색달~중문"/>
      <sheetName val="중문~삼일"/>
      <sheetName val="신서귀~고근산"/>
      <sheetName val="미악분기~91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초자료입력"/>
      <sheetName val="표 지"/>
      <sheetName val="계획서"/>
      <sheetName val="설명서"/>
      <sheetName val="예산서"/>
      <sheetName val="공정표"/>
      <sheetName val="설계명세서"/>
      <sheetName val="공량설계표"/>
      <sheetName val="출력창"/>
      <sheetName val="준공정산"/>
      <sheetName val="준공보고"/>
      <sheetName val="산출명세"/>
      <sheetName val="정산표지"/>
      <sheetName val="취득조서(취득)"/>
      <sheetName val="취득정산"/>
      <sheetName val="배분내역"/>
      <sheetName val="제각표지"/>
      <sheetName val="취득조서(제각)"/>
      <sheetName val="제각정산"/>
      <sheetName val="제각보고(을)"/>
      <sheetName val="간이공사"/>
      <sheetName val="간이예산"/>
      <sheetName val="간이준공보고"/>
      <sheetName val="일반시방서"/>
      <sheetName val="공종단가"/>
      <sheetName val="표준공종"/>
      <sheetName val="특기시방서"/>
      <sheetName val="사용방법"/>
      <sheetName val="Module1"/>
    </sheetNames>
    <sheetDataSet>
      <sheetData sheetId="0"/>
      <sheetData sheetId="1" refreshError="1"/>
      <sheetData sheetId="2"/>
      <sheetData sheetId="3">
        <row r="49">
          <cell r="D49">
            <v>1</v>
          </cell>
        </row>
      </sheetData>
      <sheetData sheetId="4"/>
      <sheetData sheetId="5" refreshError="1"/>
      <sheetData sheetId="6">
        <row r="386">
          <cell r="H386">
            <v>0</v>
          </cell>
        </row>
      </sheetData>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
      <sheetName val="종합표지"/>
      <sheetName val="광단국표지"/>
      <sheetName val="PITR표지"/>
      <sheetName val="목차"/>
      <sheetName val="공사계획서종합"/>
      <sheetName val="공사설명서"/>
      <sheetName val="계통도"/>
      <sheetName val="공정표"/>
      <sheetName val="공사비예산서"/>
      <sheetName val="공사비총괄표"/>
      <sheetName val="공사비총괄(광)"/>
      <sheetName val="공사비총괄(PITR)"/>
      <sheetName val="설계명세서(광)"/>
      <sheetName val="설계명세서(PITR)"/>
      <sheetName val="자재산출서(PITR)"/>
      <sheetName val="수량산출(PITR)"/>
      <sheetName val="품셈(PITR)"/>
      <sheetName val="자재산출서(광)"/>
      <sheetName val="수량산출서(광)"/>
      <sheetName val="심선성단수량산출(광)"/>
      <sheetName val="전원케이블 심선성단(광)"/>
      <sheetName val="품셈표(광)"/>
      <sheetName val="2002상반기노임"/>
      <sheetName val="적용근거"/>
      <sheetName val="태안배치도"/>
      <sheetName val="신서산통신실배치도"/>
      <sheetName val="설계명세서(시험품제외)"/>
      <sheetName val="지입자재분"/>
      <sheetName val="#REF"/>
      <sheetName val="2001하반기노임"/>
      <sheetName val="설계명세서"/>
      <sheetName val="노임단가"/>
      <sheetName val="설계명세CR"/>
      <sheetName val="노임단가(2000하반기)"/>
      <sheetName val="태안신서산설계(광PIT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명시설"/>
      <sheetName val="콘크리트포장"/>
      <sheetName val="진입도로포장산출"/>
      <sheetName val="진입부포장면적위치조서"/>
      <sheetName val="진입부수량집계표"/>
      <sheetName val="콘크리트포장집계표"/>
      <sheetName val="포장공집계"/>
      <sheetName val="토적표"/>
      <sheetName val="토공집계표"/>
      <sheetName val="토공분석표"/>
      <sheetName val="집계표"/>
      <sheetName val="자재대"/>
      <sheetName val="간지"/>
      <sheetName val="표지"/>
      <sheetName val="변압기 및 발전기 용량"/>
      <sheetName val="내역서"/>
      <sheetName val="Sheet2"/>
      <sheetName val="SORCE1"/>
      <sheetName val="몰탈재료산출"/>
      <sheetName val="수량집계"/>
      <sheetName val="7급줄떼"/>
      <sheetName val="코드표"/>
      <sheetName val="슬래브"/>
      <sheetName val="데리네이타현황"/>
      <sheetName val="N賃率-職"/>
      <sheetName val="경산"/>
      <sheetName val="터파기및재료"/>
      <sheetName val="산출근거"/>
      <sheetName val="유림골조"/>
      <sheetName val="토사(PE)"/>
      <sheetName val="노임단가"/>
      <sheetName val="참고자료"/>
      <sheetName val="일위대가(가설)"/>
      <sheetName val="이토변실(A3-LINE)"/>
      <sheetName val="Sheet1"/>
      <sheetName val="가도공"/>
      <sheetName val="수량산출"/>
      <sheetName val="ABUT수량-A1"/>
      <sheetName val="하부철근수량"/>
      <sheetName val="공사비"/>
      <sheetName val="웅진교-S2"/>
      <sheetName val="일위대가9803"/>
      <sheetName val="BID"/>
      <sheetName val="실행철강하도"/>
      <sheetName val="Sheet1 (2)"/>
      <sheetName val="노견단위수량"/>
      <sheetName val="1,2,3,4,5단위수량"/>
      <sheetName val="내역"/>
      <sheetName val="대창(장성)"/>
      <sheetName val="현황산출서"/>
      <sheetName val="DATE"/>
      <sheetName val="별첨4_전담운영PM(1)"/>
      <sheetName val="단"/>
      <sheetName val="일위대가"/>
      <sheetName val="날개벽수량표"/>
      <sheetName val="wall"/>
      <sheetName val="보호공"/>
      <sheetName val="BDATA"/>
      <sheetName val="요율"/>
      <sheetName val="교대철근집계"/>
      <sheetName val="노임이"/>
      <sheetName val="9811"/>
      <sheetName val="총집계표"/>
      <sheetName val="대비"/>
      <sheetName val="을"/>
      <sheetName val="비교표"/>
      <sheetName val="입찰안"/>
      <sheetName val="6PILE  (돌출)"/>
      <sheetName val="배수량"/>
      <sheetName val="비탈면보호공수량산출"/>
      <sheetName val="Pier 3"/>
      <sheetName val="2000년1차"/>
      <sheetName val="구조물철거타공정이월"/>
      <sheetName val="7단가"/>
      <sheetName val="Y-WORK"/>
      <sheetName val="수자재단위당"/>
      <sheetName val="코드"/>
      <sheetName val="DATA"/>
      <sheetName val="데이타"/>
      <sheetName val="Baby일위대가"/>
      <sheetName val="3련 BOX"/>
      <sheetName val="#REF"/>
      <sheetName val="말뚝지지력산정"/>
      <sheetName val="성곽내역서"/>
      <sheetName val="인건비"/>
      <sheetName val="노임"/>
      <sheetName val="목록"/>
      <sheetName val="일위대가목록"/>
      <sheetName val="횡배수관집현황(2공구)"/>
      <sheetName val="8.PILE  (돌출)"/>
      <sheetName val="단위수량"/>
      <sheetName val="자재단가"/>
      <sheetName val="공사비증감"/>
      <sheetName val="INPUT"/>
      <sheetName val="A1(토공)"/>
      <sheetName val="A1(구조물)"/>
      <sheetName val="수량집계(1)"/>
      <sheetName val="철근집계표"/>
      <sheetName val="포장직선구간"/>
      <sheetName val="Sheet17"/>
      <sheetName val="설계조건"/>
      <sheetName val="1.설계조건"/>
      <sheetName val="물가"/>
      <sheetName val="단면가정"/>
      <sheetName val="98수문일위"/>
      <sheetName val="수목표준대가"/>
      <sheetName val="월말"/>
      <sheetName val="기자재비"/>
      <sheetName val="원가계산 (2)"/>
      <sheetName val="설계"/>
      <sheetName val="자재"/>
      <sheetName val="우수공"/>
      <sheetName val="덕전리"/>
      <sheetName val="옥룡잡비"/>
      <sheetName val="맨홀수량"/>
      <sheetName val="내역서(기성청구)"/>
      <sheetName val="증명지번목록"/>
      <sheetName val="2000전체분"/>
      <sheetName val="단 box"/>
      <sheetName val="노임단"/>
      <sheetName val="설계서을"/>
      <sheetName val="보도공제면적"/>
      <sheetName val="EQ"/>
      <sheetName val="공양식"/>
      <sheetName val="부대내역"/>
      <sheetName val="일위대가표"/>
      <sheetName val="부대공"/>
      <sheetName val="물건조서"/>
      <sheetName val="내역서 (2)"/>
      <sheetName val="증감내역서"/>
      <sheetName val="별표 "/>
      <sheetName val="기본데이타입력"/>
      <sheetName val="이음개소"/>
      <sheetName val="직노"/>
      <sheetName val="식생블럭단위수량"/>
      <sheetName val="토공산근"/>
      <sheetName val="9GNG운반"/>
      <sheetName val="1,2공구원가계산서"/>
      <sheetName val="2공구산출내역"/>
      <sheetName val="1공구산출내역서"/>
      <sheetName val="일반수량총괄집계"/>
      <sheetName val="맨홀수량산출"/>
      <sheetName val="간접"/>
      <sheetName val="교각"/>
      <sheetName val="7.PILE  (돌출)"/>
      <sheetName val="실행"/>
      <sheetName val="건축내역"/>
      <sheetName val="작업금지"/>
      <sheetName val="DATA 입력부"/>
      <sheetName val="전기일위대가"/>
      <sheetName val="봉산운반"/>
      <sheetName val="설계내역서"/>
      <sheetName val="C.배수관공"/>
      <sheetName val="공통자료"/>
      <sheetName val="新철폐복2"/>
      <sheetName val="新철폐복3"/>
      <sheetName val="공종목록표"/>
      <sheetName val="파일의이용"/>
      <sheetName val="인건비 "/>
      <sheetName val="비교1"/>
      <sheetName val="구의33고"/>
      <sheetName val="추정설계"/>
      <sheetName val="단가 및 재료비"/>
      <sheetName val="중기사용료산출근거"/>
      <sheetName val="유림총괄"/>
      <sheetName val="입력"/>
      <sheetName val="J형측구단위수량"/>
      <sheetName val="수량산출서"/>
      <sheetName val="6공구(당초)"/>
      <sheetName val="3연box"/>
      <sheetName val="노무단가"/>
      <sheetName val="1호맨홀가감수량"/>
      <sheetName val="안정검토(온1)"/>
      <sheetName val="가압장구체수량산출서"/>
      <sheetName val="절대지우지말것"/>
      <sheetName val="계정별실적"/>
      <sheetName val="영업권조서"/>
      <sheetName val="토지조서"/>
      <sheetName val="이름표"/>
      <sheetName val="토지가격산출기초"/>
      <sheetName val="공시지가"/>
      <sheetName val="포장면적산출"/>
      <sheetName val="조도계산서 (도서)"/>
      <sheetName val="단면 (2)"/>
      <sheetName val="5지진시"/>
      <sheetName val="단가산출서"/>
      <sheetName val="자가"/>
      <sheetName val="5.정산서"/>
      <sheetName val="24분기"/>
      <sheetName val="노면및방향"/>
      <sheetName val="노임목록"/>
      <sheetName val="투찰금액"/>
      <sheetName val="45,46"/>
      <sheetName val="규격"/>
      <sheetName val="전기단가조사서"/>
      <sheetName val="단가산출"/>
      <sheetName val="개별직종노임단가(2005.1)"/>
      <sheetName val="원가계산"/>
      <sheetName val="마산월령동골조물량변경"/>
      <sheetName val="준검 내역서"/>
      <sheetName val="SLAB"/>
      <sheetName val="설-원가"/>
      <sheetName val="교대(A1-A2)"/>
      <sheetName val="횡배수관"/>
      <sheetName val="2.건축"/>
      <sheetName val="개소별수량산출"/>
      <sheetName val="흄관수량"/>
      <sheetName val="상촌2교-일반수량집계"/>
      <sheetName val="BOX"/>
      <sheetName val="수토공단위당"/>
      <sheetName val="총괄"/>
      <sheetName val="시설장비"/>
      <sheetName val="부안일위"/>
      <sheetName val="산출내역서"/>
      <sheetName val="Total"/>
      <sheetName val="단위단가"/>
      <sheetName val="시운전연료"/>
      <sheetName val="I.설계조건"/>
      <sheetName val="2공종별예산조서"/>
      <sheetName val="일위"/>
      <sheetName val="맨홀조서"/>
      <sheetName val="8.석축단위(H=1.5M)"/>
      <sheetName val="밸브설치"/>
      <sheetName val="TYPE1"/>
      <sheetName val="철근량"/>
      <sheetName val="실행(ALT1)"/>
      <sheetName val="실행내역서 "/>
      <sheetName val="APT"/>
      <sheetName val="4.1DNR기계(공법)"/>
      <sheetName val="콘크리트타설집계표"/>
      <sheetName val="A2"/>
      <sheetName val="상부공"/>
      <sheetName val="프랜트면허"/>
      <sheetName val="화설내"/>
      <sheetName val="COPING"/>
      <sheetName val="자료"/>
      <sheetName val="예총"/>
      <sheetName val="공구"/>
      <sheetName val="공사"/>
      <sheetName val="2설계 (웅촌고연)"/>
      <sheetName val="토목내역서"/>
      <sheetName val="마산방향"/>
      <sheetName val="진주방향"/>
      <sheetName val="주식"/>
      <sheetName val="4.2유효폭의 계산"/>
      <sheetName val="tggwan(mac)"/>
      <sheetName val="가계부"/>
      <sheetName val="제품목록"/>
      <sheetName val="매입매출관리"/>
      <sheetName val="주현(해보)"/>
      <sheetName val="주현(영광)"/>
      <sheetName val="포장총괄집계표"/>
      <sheetName val="자료입력"/>
      <sheetName val="시화점실행"/>
      <sheetName val="000000"/>
      <sheetName val="대로근거"/>
      <sheetName val="중로근거"/>
      <sheetName val="내역서 "/>
      <sheetName val="단가"/>
      <sheetName val="견적990322"/>
      <sheetName val="차액보증"/>
      <sheetName val="갑지"/>
      <sheetName val="대비표"/>
      <sheetName val="danga"/>
      <sheetName val="ilch"/>
      <sheetName val="6MONTHS"/>
      <sheetName val="침하계"/>
      <sheetName val="금액내역서"/>
      <sheetName val="6PILE__(돌출)"/>
      <sheetName val="내역서_"/>
      <sheetName val="1_설계조건"/>
      <sheetName val="예상"/>
      <sheetName val="Sheet3"/>
      <sheetName val="Xunit (단위환산)"/>
      <sheetName val="고객사 관리 코드"/>
      <sheetName val="교각1"/>
      <sheetName val="플랜트 설치"/>
      <sheetName val="원형맨홀수량"/>
      <sheetName val="찍기"/>
      <sheetName val="정부노임단가"/>
      <sheetName val="토목"/>
      <sheetName val="설명서 "/>
      <sheetName val="가중치"/>
      <sheetName val="70%"/>
      <sheetName val="견적조건"/>
      <sheetName val="개략"/>
      <sheetName val="2호맨홀공제수량"/>
      <sheetName val="기둥(원형)"/>
      <sheetName val="철근단면적"/>
      <sheetName val="CODE"/>
      <sheetName val="하도금액분계"/>
      <sheetName val="대전21토목내역서"/>
      <sheetName val="guard(mac)"/>
      <sheetName val="SLAB&quot;1&quot;"/>
      <sheetName val="WVAL"/>
      <sheetName val="1"/>
      <sheetName val="ITEM"/>
      <sheetName val="용산1(해보)"/>
      <sheetName val="방음벽기초(H=4m)"/>
      <sheetName val="3BL공동구 수량"/>
      <sheetName val="합계금액"/>
      <sheetName val="총괄표"/>
      <sheetName val="Macro(전선)"/>
      <sheetName val="hvac(제어동)"/>
      <sheetName val="Front"/>
      <sheetName val="송라터널총괄"/>
      <sheetName val="INPUT(덕도방향-시점)"/>
      <sheetName val="hvac내역서(제어동)"/>
      <sheetName val="참조"/>
      <sheetName val="분석"/>
      <sheetName val="변화치수"/>
      <sheetName val="대포2교접속"/>
      <sheetName val="천방교접속"/>
      <sheetName val="약품공급2"/>
      <sheetName val="실행대비"/>
      <sheetName val="돌담교 상부수량"/>
      <sheetName val="H-PILE수량집계"/>
      <sheetName val="수량-가로등"/>
      <sheetName val="가시설수량"/>
      <sheetName val="우수받이"/>
      <sheetName val="제원및배치"/>
      <sheetName val="돌담교_상부수량"/>
      <sheetName val="해평견적"/>
      <sheetName val="CON기초"/>
      <sheetName val="역T형교대(말뚝기초)"/>
      <sheetName val="SAP_INPUT"/>
      <sheetName val="산근"/>
      <sheetName val="기안"/>
      <sheetName val="1단계"/>
      <sheetName val="테이블"/>
      <sheetName val="토목주소"/>
      <sheetName val="건축"/>
      <sheetName val="기계경비(시간당)"/>
      <sheetName val="램머"/>
      <sheetName val="장비집계"/>
      <sheetName val="자재집계표"/>
      <sheetName val="용수량(생활용수)"/>
      <sheetName val="제-노임"/>
      <sheetName val="제직재"/>
      <sheetName val="신표지1"/>
      <sheetName val="구천"/>
      <sheetName val="평가데이터"/>
      <sheetName val="청천내"/>
      <sheetName val="기계경비"/>
      <sheetName val="산출금액내역"/>
      <sheetName val="도급예산내역서봉투"/>
      <sheetName val="공사원가계산서"/>
      <sheetName val="설계산출표지"/>
      <sheetName val="도급예산내역서총괄표"/>
      <sheetName val="을부담운반비"/>
      <sheetName val="운반비산출"/>
      <sheetName val="주차구획선수량"/>
      <sheetName val="현장예산"/>
      <sheetName val="명세서"/>
      <sheetName val="조경내역서"/>
      <sheetName val="3BL공동구_수량"/>
      <sheetName val="안정검토"/>
      <sheetName val="단면설계"/>
      <sheetName val="공사기본내용입력"/>
      <sheetName val="동원인원"/>
      <sheetName val="설계예산서"/>
      <sheetName val="2공구하도급내역서"/>
      <sheetName val="포장공"/>
      <sheetName val="3.공통공사대비"/>
      <sheetName val="TOTAL_BOQ"/>
      <sheetName val="범례표"/>
      <sheetName val="옹벽일반수량"/>
      <sheetName val="품셈집계표"/>
      <sheetName val="자재조사표"/>
      <sheetName val="연결관암거"/>
      <sheetName val="현장경비"/>
      <sheetName val="방배동내역(리라)"/>
      <sheetName val="건축공사집계표"/>
      <sheetName val="방배동내역 (총괄)"/>
      <sheetName val="부대공사총괄"/>
      <sheetName val="한강운반비"/>
      <sheetName val="신우"/>
      <sheetName val="원본(갑지)"/>
      <sheetName val="단열-자재"/>
      <sheetName val="공제수량총집계표"/>
      <sheetName val="임금단가"/>
      <sheetName val="총투입계"/>
      <sheetName val="대창(함평)"/>
      <sheetName val="대창(함평)-창열"/>
      <sheetName val="원가"/>
      <sheetName val="연습"/>
      <sheetName val="Sheet5"/>
      <sheetName val="견적"/>
      <sheetName val="조명율표"/>
      <sheetName val="수량3"/>
      <sheetName val="골재산출"/>
      <sheetName val="바닥판"/>
      <sheetName val="입력DATA"/>
      <sheetName val="흥양2교토공집계표"/>
      <sheetName val="토공"/>
      <sheetName val="COMPARISON TABLE"/>
      <sheetName val="crude.SLAB RE-bar"/>
      <sheetName val="CRUDE RE-bar"/>
      <sheetName val="부대공Ⅱ"/>
      <sheetName val="총집계"/>
      <sheetName val="보온자재단가표"/>
      <sheetName val="전기"/>
      <sheetName val="물량표S"/>
      <sheetName val="PAINT"/>
      <sheetName val="SUMMARY"/>
      <sheetName val="물량표"/>
      <sheetName val="Macro1"/>
      <sheetName val="예산대비"/>
      <sheetName val="지장물C"/>
      <sheetName val="법면"/>
      <sheetName val="구조물공"/>
      <sheetName val="중기일위대가"/>
      <sheetName val="배수공1"/>
      <sheetName val="전체"/>
      <sheetName val="공통가설"/>
      <sheetName val="원형1호맨홀토공수량"/>
      <sheetName val="본체"/>
      <sheetName val="TYPE-A"/>
      <sheetName val="1.설계기준"/>
      <sheetName val="기기리스트"/>
      <sheetName val="sw1"/>
      <sheetName val="W3단면"/>
      <sheetName val="설직재-1"/>
      <sheetName val="관리,공감"/>
      <sheetName val="업체별기성내역"/>
      <sheetName val="물량표(신)"/>
      <sheetName val="안산기계장치"/>
      <sheetName val="가로등내역서"/>
      <sheetName val="내력서"/>
      <sheetName val="배수통관(좌)"/>
      <sheetName val="토목품셈"/>
      <sheetName val="음료실행"/>
      <sheetName val="안정계산"/>
      <sheetName val="단면검토"/>
      <sheetName val="신규 수주분(사용자 정의)"/>
      <sheetName val="DATA2000"/>
      <sheetName val="역T형"/>
      <sheetName val="하수급견적대비"/>
      <sheetName val="일반부표"/>
      <sheetName val="설계예산"/>
      <sheetName val="교각계산"/>
      <sheetName val="손익분석"/>
      <sheetName val="연령현황"/>
      <sheetName val="99노임기준"/>
      <sheetName val="일위대가(건축)"/>
      <sheetName val="20관리비율"/>
      <sheetName val="세목전체"/>
      <sheetName val="좌측"/>
      <sheetName val="WORK"/>
      <sheetName val="1.2.1 마루높이결정"/>
      <sheetName val="갑지(추정)"/>
      <sheetName val="개산공사비"/>
      <sheetName val="3.하중산정4.지지력"/>
      <sheetName val="표지 (2)"/>
      <sheetName val="일위대가(계측기설치)"/>
      <sheetName val="단가산출서1"/>
      <sheetName val="식재총괄"/>
      <sheetName val="토적계산서"/>
      <sheetName val="2.입력sheet"/>
      <sheetName val="마산방향철근집계"/>
      <sheetName val="DATA 입력란"/>
      <sheetName val="CPM챠트"/>
      <sheetName val="H-pile(298x299)"/>
      <sheetName val="H-pile(250x250)"/>
      <sheetName val="총괄내역서"/>
      <sheetName val="1.우편집중내역서"/>
      <sheetName val="물가자료"/>
      <sheetName val="2.가정단면"/>
      <sheetName val="원가계산서"/>
      <sheetName val="수입"/>
      <sheetName val="조경"/>
      <sheetName val="SILICATE"/>
      <sheetName val="TB-내역서"/>
      <sheetName val="시설물기초"/>
      <sheetName val="뚝토공"/>
      <sheetName val="UEC영화관본공사내역"/>
      <sheetName val="대운산출"/>
      <sheetName val="정렬"/>
      <sheetName val="금융비용"/>
      <sheetName val="토공총괄집계"/>
      <sheetName val="건축공사"/>
      <sheetName val="교대(A1)"/>
      <sheetName val="지주목시비량산출서"/>
      <sheetName val="일반공사"/>
      <sheetName val="원하도급내역서(당초)"/>
      <sheetName val="견적서"/>
      <sheetName val="배수공"/>
      <sheetName val="조작대(1연)"/>
      <sheetName val="내역표지"/>
      <sheetName val="&lt;목록&gt;"/>
      <sheetName val="직공비"/>
      <sheetName val="plan&amp;section of foundation"/>
      <sheetName val="pile bearing capa &amp; arrenge"/>
      <sheetName val="design load"/>
      <sheetName val="working load at the btm ft."/>
      <sheetName val="stability check"/>
      <sheetName val="design criteria"/>
      <sheetName val="산근(PE,300)"/>
      <sheetName val="특2호부관하천산근"/>
      <sheetName val="특2호하천산근"/>
      <sheetName val="2.2 S-Curve"/>
      <sheetName val="일위대가목차"/>
      <sheetName val="PAD TR보호대기초"/>
      <sheetName val="가로등기초"/>
      <sheetName val="전력"/>
      <sheetName val="CTG"/>
      <sheetName val="소비자가"/>
      <sheetName val="기초단가"/>
      <sheetName val="중기손료"/>
      <sheetName val="설계명세서"/>
      <sheetName val="#3_일위대가목록"/>
      <sheetName val="차수공개요"/>
      <sheetName val="공사비산출내역"/>
      <sheetName val="당초"/>
      <sheetName val="PIPING"/>
      <sheetName val="#2_일위대가목록"/>
      <sheetName val="중기"/>
      <sheetName val="DB"/>
      <sheetName val="일위대가표(유단가)"/>
      <sheetName val="6PILE__(돌출)1"/>
      <sheetName val="내역서_1"/>
      <sheetName val="1_설계조건1"/>
      <sheetName val="Thuc thanh"/>
      <sheetName val="연부97-1"/>
      <sheetName val="울산자동제어"/>
      <sheetName val="FAB별"/>
      <sheetName val="6PILE__(돌출)2"/>
      <sheetName val="내역서_2"/>
      <sheetName val="1_설계조건2"/>
      <sheetName val="2_2_S-Curve"/>
      <sheetName val="플랜트_설치"/>
      <sheetName val="설명서_"/>
      <sheetName val="8_PILE__(돌출)"/>
      <sheetName val="3BL공동구_수량1"/>
      <sheetName val="돌담교_상부수량1"/>
      <sheetName val="8_석축단위(H=1_5M)"/>
      <sheetName val="준검_내역서"/>
      <sheetName val="3_공통공사대비"/>
      <sheetName val="방배동내역_(총괄)"/>
      <sheetName val="COMPARISON_TABLE"/>
      <sheetName val="crude_SLAB_RE-bar"/>
      <sheetName val="CRUDE_RE-bar"/>
      <sheetName val="1_설계기준"/>
      <sheetName val="신규_수주분(사용자_정의)"/>
      <sheetName val="단면_(2)"/>
      <sheetName val="1_2_1_마루높이결정"/>
      <sheetName val="3_하중산정4_지지력"/>
      <sheetName val="표지_(2)"/>
      <sheetName val="2_입력sheet"/>
      <sheetName val="DATA_입력란"/>
      <sheetName val="1_우편집중내역서"/>
      <sheetName val="Pier_3"/>
      <sheetName val="2_가정단면"/>
      <sheetName val="7_PILE__(돌출)"/>
      <sheetName val="plan&amp;section_of_foundation"/>
      <sheetName val="pile_bearing_capa_&amp;_arrenge"/>
      <sheetName val="design_load"/>
      <sheetName val="working_load_at_the_btm_ft_"/>
      <sheetName val="stability_check"/>
      <sheetName val="design_criteria"/>
      <sheetName val="PAD_TR보호대기초"/>
      <sheetName val="실행내역서_"/>
      <sheetName val="Thuc_thanh"/>
      <sheetName val="Xunit_(단위환산)"/>
      <sheetName val="고객사_관리_코드"/>
      <sheetName val="Chiet tinh dz35"/>
      <sheetName val="가압장(토목)"/>
      <sheetName val="RFP002"/>
      <sheetName val="01"/>
      <sheetName val="Rooms"/>
      <sheetName val="영동(D)"/>
      <sheetName val="TABLE DB"/>
      <sheetName val="쌍용 data base"/>
      <sheetName val="업무분장"/>
      <sheetName val="전력구구조물산근"/>
      <sheetName val="설계명세"/>
      <sheetName val="GIAVLIEU"/>
      <sheetName val="SAP"/>
      <sheetName val="Sheet4"/>
      <sheetName val="code HTT Thap"/>
      <sheetName val="Notes"/>
      <sheetName val="Mall"/>
      <sheetName val="escon"/>
      <sheetName val="FitOutConfCentre"/>
      <sheetName val="D&amp;W def."/>
      <sheetName val="GVL"/>
      <sheetName val="RAB AR&amp;STR"/>
      <sheetName val="DTCT"/>
      <sheetName val="SEX"/>
      <sheetName val="125x125"/>
      <sheetName val="2.1 受電設備棟"/>
      <sheetName val="2.2 受・防火水槽"/>
      <sheetName val="2.3 排水処理設備棟"/>
      <sheetName val="2.4 倉庫棟"/>
      <sheetName val="2.5 守衛棟"/>
      <sheetName val="인상효1"/>
      <sheetName val="TOSHIBA-Structure"/>
      <sheetName val="RATE"/>
      <sheetName val="電気設備表"/>
      <sheetName val="Gia"/>
      <sheetName val="入力作成表"/>
      <sheetName val="총괄내역"/>
      <sheetName val="규준틀"/>
      <sheetName val="역T형옹벽(3.0)"/>
      <sheetName val="흙쌓기도수로설치현황"/>
      <sheetName val="망미"/>
      <sheetName val="8.1.에너지"/>
      <sheetName val="품셈"/>
      <sheetName val="기초코드"/>
      <sheetName val="슬래브수량"/>
      <sheetName val="관급자재"/>
      <sheetName val="이설도로유용토"/>
      <sheetName val="포장재료집계표"/>
      <sheetName val="포장수량집계"/>
      <sheetName val="96보완계획7.12"/>
      <sheetName val="시멘,골재"/>
      <sheetName val="콘크집계"/>
      <sheetName val="낙차공"/>
      <sheetName val="자재집계1"/>
      <sheetName val="측구날개벽"/>
      <sheetName val="호안공재료집계표"/>
      <sheetName val="포장물량집계"/>
      <sheetName val="덧씌우기구간수량산출1"/>
      <sheetName val="단가(1)"/>
      <sheetName val="소분류목록"/>
      <sheetName val="2"/>
      <sheetName val="3"/>
      <sheetName val="4"/>
      <sheetName val="5"/>
      <sheetName val="6"/>
      <sheetName val="구간별"/>
      <sheetName val="방송(체육관)"/>
      <sheetName val="토공(우물통,기타) "/>
      <sheetName val="공비대비"/>
      <sheetName val="아스팔트 포장총괄집계표"/>
      <sheetName val="측구터파기공수량집계"/>
      <sheetName val="배수공 시멘트 및 골재량 산출"/>
      <sheetName val="구조물터파기수량집계"/>
      <sheetName val="간지(5.04)"/>
      <sheetName val="물집"/>
      <sheetName val="배관배선 단가조사"/>
      <sheetName val="일위대가집계"/>
      <sheetName val="지급자재"/>
      <sheetName val="대치판정"/>
      <sheetName val="흄관기초"/>
      <sheetName val="빗물받이(910-510-410)"/>
      <sheetName val="우배수"/>
      <sheetName val="사  업  비  수  지  예  산  서"/>
      <sheetName val="新철폐복"/>
      <sheetName val="CC16-내역서"/>
      <sheetName val="을지"/>
      <sheetName val="자재목록"/>
      <sheetName val="중기목록"/>
      <sheetName val="기초일위"/>
      <sheetName val="시설일위"/>
      <sheetName val="식재일위"/>
      <sheetName val="일위목록"/>
      <sheetName val="공사비집계"/>
      <sheetName val="공종"/>
      <sheetName val="복주일위대가"/>
      <sheetName val="노무비"/>
      <sheetName val="인공산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sheetData sheetId="519" refreshError="1"/>
      <sheetData sheetId="520" refreshError="1"/>
      <sheetData sheetId="521" refreshError="1"/>
      <sheetData sheetId="522" refreshError="1"/>
      <sheetData sheetId="523" refreshError="1"/>
      <sheetData sheetId="524" refreshError="1"/>
      <sheetData sheetId="525" refreshError="1"/>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목차"/>
      <sheetName val="계획"/>
      <sheetName val="설명"/>
      <sheetName val="총괄"/>
      <sheetName val="자금"/>
      <sheetName val="공정"/>
      <sheetName val="시방"/>
      <sheetName val="품질1"/>
      <sheetName val="품질2"/>
      <sheetName val="안전"/>
      <sheetName val="시공품"/>
      <sheetName val="예산"/>
      <sheetName val="설계서"/>
      <sheetName val="품셈"/>
      <sheetName val="수량산"/>
      <sheetName val="포설도"/>
      <sheetName val="배치"/>
      <sheetName val="전원배"/>
      <sheetName val="설계명세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10">
          <cell r="G10">
            <v>8735000</v>
          </cell>
        </row>
        <row r="56">
          <cell r="G56">
            <v>21050</v>
          </cell>
        </row>
      </sheetData>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7년요구종합설비"/>
      <sheetName val="환율"/>
      <sheetName val="개요"/>
      <sheetName val="종합표"/>
      <sheetName val="투자계획"/>
      <sheetName val="고리집계표"/>
      <sheetName val="설계개선(1)"/>
      <sheetName val="설계개선(2)"/>
      <sheetName val="계약사전준비(1)"/>
      <sheetName val="계약사전준비(2)"/>
      <sheetName val="설계개선(2-1)"/>
      <sheetName val="신고리골재원(1)"/>
      <sheetName val="신고리골재원(2)"/>
      <sheetName val="고리공업용수(1)"/>
      <sheetName val="신고리공업용수(2)"/>
      <sheetName val="신고리방파제(1)"/>
      <sheetName val="고리부지방파제(2)"/>
      <sheetName val="건설사무소신축공사(1,2)"/>
      <sheetName val="사택보수공사(1)"/>
      <sheetName val="사택보수공사(2)"/>
      <sheetName val="고리국도이설(1)"/>
      <sheetName val="고리국도이설(2)"/>
      <sheetName val="신고리용지(1)"/>
      <sheetName val="신고리용지(2)"/>
      <sheetName val="신고리용지(2-1)"/>
      <sheetName val="신고리용지(2-2)"/>
      <sheetName val="신고리용지(2-3)"/>
      <sheetName val="특별홍보(1)"/>
      <sheetName val="특별홍보(2)"/>
      <sheetName val="VXXX"/>
      <sheetName val="5"/>
      <sheetName val="Sheet1"/>
      <sheetName val="6 (2)"/>
      <sheetName val="6 (7)"/>
      <sheetName val="6 (3)"/>
      <sheetName val="6 (6)"/>
      <sheetName val="6 (4)"/>
      <sheetName val="6 (5)"/>
      <sheetName val="18"/>
      <sheetName val="XXXXXX"/>
      <sheetName val="1장 (주전산기및기타)"/>
      <sheetName val="설치장소별(주전산기)"/>
      <sheetName val="설치장소별 (기타)"/>
      <sheetName val="추가요구집계"/>
      <sheetName val="요구서(통신비)"/>
      <sheetName val="전화료산출"/>
      <sheetName val="회선사용료산출"/>
      <sheetName val="회선내역(현재)"/>
      <sheetName val="회선내역(추가)"/>
      <sheetName val="정보통신료산출"/>
      <sheetName val="요구서(세금)"/>
      <sheetName val="CATV시청료"/>
      <sheetName val="요구서(지급수수료)"/>
      <sheetName val="요구서(광고선전비)"/>
      <sheetName val="표지"/>
      <sheetName val="목차"/>
      <sheetName val="1. 기본설계서"/>
      <sheetName val="1-1. 공사계획서"/>
      <sheetName val="1-2. 공사비 총괄표"/>
      <sheetName val="1-3. 자금계획서"/>
      <sheetName val="1-4. 예정공정표"/>
      <sheetName val="1-5. 주자재내역서"/>
      <sheetName val="1-6. 자재산출내역"/>
      <sheetName val="1-7. 사업소별산출내역"/>
      <sheetName val="2. 설계명세서"/>
      <sheetName val="3. 품셈표"/>
      <sheetName val="3-1. 통신노임표"/>
      <sheetName val="요약전"/>
      <sheetName val="Sheet2"/>
      <sheetName val="Sheet3"/>
      <sheetName val="월별"/>
      <sheetName val="신안성변전증설"/>
      <sheetName val="당초"/>
      <sheetName val="설계비"/>
      <sheetName val="감리비"/>
      <sheetName val="용지비"/>
      <sheetName val="민원대책비"/>
      <sheetName val="사급자재비"/>
      <sheetName val="도급공사비"/>
      <sheetName val="기타공사비"/>
      <sheetName val="신가평증설"/>
      <sheetName val="북경남변전"/>
      <sheetName val="신가평변전"/>
      <sheetName val="신태백변전"/>
      <sheetName val="영흥TP"/>
      <sheetName val="공사비"/>
      <sheetName val="인허가비"/>
      <sheetName val="회사분경비"/>
      <sheetName val="신가평증설변전"/>
      <sheetName val="대가기준"/>
      <sheetName val="예산종합"/>
      <sheetName val="위탁비종합"/>
      <sheetName val="위탁보수비(본사)"/>
      <sheetName val="위탁보수비(제주)"/>
      <sheetName val="일위대가표"/>
      <sheetName val="설계예시"/>
      <sheetName val="설계명세서"/>
      <sheetName val="rate"/>
      <sheetName val="내역서"/>
      <sheetName val="Mc1"/>
      <sheetName val="시공자료"/>
      <sheetName val="5억증가검토"/>
      <sheetName val="배서어음명세서"/>
      <sheetName val="단가조사"/>
      <sheetName val="자재단가"/>
      <sheetName val="산출기초"/>
      <sheetName val="품셈"/>
      <sheetName val="97예산(안)"/>
      <sheetName val="설계표지"/>
      <sheetName val="적용단가"/>
      <sheetName val="맨홀조서"/>
      <sheetName val="기초자료입력"/>
      <sheetName val="개양 CABLE LIST"/>
      <sheetName val="설계서"/>
      <sheetName val="종합기별"/>
      <sheetName val="일용노임단가"/>
      <sheetName val="공사직종별노임"/>
      <sheetName val="노임단가"/>
      <sheetName val="설계명세"/>
      <sheetName val="넉시~922"/>
      <sheetName val="대수산분기~LG918"/>
      <sheetName val="색달~중문"/>
      <sheetName val="중문~삼일"/>
      <sheetName val="신서귀~고근산"/>
      <sheetName val="미악분기~913"/>
      <sheetName val="설계 (2)"/>
      <sheetName val="정산"/>
      <sheetName val="운반비정산"/>
      <sheetName val="설계"/>
      <sheetName val="품셈표"/>
      <sheetName val="이천변압기운반비"/>
      <sheetName val="증감대비"/>
      <sheetName val="경동~상록"/>
      <sheetName val="우주~로베로"/>
      <sheetName val="센터코드"/>
      <sheetName val="정산내역서"/>
      <sheetName val="사통"/>
      <sheetName val="단"/>
      <sheetName val="단위량"/>
      <sheetName val="재료집계표2"/>
      <sheetName val="토적집계표"/>
      <sheetName val="단가일람"/>
      <sheetName val="조경일람"/>
      <sheetName val="DATE"/>
      <sheetName val="정산노무"/>
      <sheetName val="정산재료"/>
      <sheetName val="횡배수관집현황(2공구)"/>
      <sheetName val="재료집계표3"/>
      <sheetName val="단가산출"/>
      <sheetName val="전기일위목록"/>
      <sheetName val="기별명세"/>
      <sheetName val="01상노임"/>
      <sheetName val="5-1.설계명세서"/>
      <sheetName val="5.공사비예산서"/>
      <sheetName val="N賃率-職"/>
      <sheetName val="Studio"/>
      <sheetName val="부총"/>
      <sheetName val="일위대가"/>
      <sheetName val="일위대가(4층원격)"/>
      <sheetName val="백암비스타내역"/>
      <sheetName val="직노"/>
      <sheetName val="1련,2련"/>
      <sheetName val="변품8-37"/>
      <sheetName val="단가최종"/>
      <sheetName val="대가목록"/>
      <sheetName val="Curve(Commissioning)"/>
      <sheetName val="Plan Raw Data"/>
      <sheetName val="저장품 토탈2월"/>
      <sheetName val="요율"/>
      <sheetName val="참고3"/>
      <sheetName val="관로공사"/>
      <sheetName val="내역"/>
      <sheetName val="누계"/>
      <sheetName val="명부"/>
      <sheetName val="7.예수금이자,연체자금투입비용"/>
      <sheetName val="#REF"/>
      <sheetName val="Macro1"/>
      <sheetName val="예산명세서"/>
      <sheetName val="자료입력"/>
      <sheetName val="WPL"/>
      <sheetName val="소요자재"/>
      <sheetName val="경비"/>
      <sheetName val="노무비"/>
      <sheetName val="잡재료비산출내역"/>
      <sheetName val="단가"/>
      <sheetName val="동원인원"/>
      <sheetName val="기준정보"/>
      <sheetName val="정보"/>
      <sheetName val="건설산출"/>
      <sheetName val="2004상반기"/>
      <sheetName val="조정율"/>
      <sheetName val="경  비 "/>
      <sheetName val="재료비"/>
      <sheetName val="인건비(VOICE)"/>
      <sheetName val="1__기본설계서"/>
      <sheetName val="1-1__공사계획서"/>
      <sheetName val="1-2__공사비_총괄표"/>
      <sheetName val="1-3__자금계획서"/>
      <sheetName val="1-4__예정공정표"/>
      <sheetName val="1-5__주자재내역서"/>
      <sheetName val="1-6__자재산출내역"/>
      <sheetName val="1-7__사업소별산출내역"/>
      <sheetName val="2__설계명세서"/>
      <sheetName val="3__품셈표"/>
      <sheetName val="3-1__통신노임표"/>
      <sheetName val="6_(2)"/>
      <sheetName val="6_(7)"/>
      <sheetName val="6_(3)"/>
      <sheetName val="6_(6)"/>
      <sheetName val="6_(4)"/>
      <sheetName val="6_(5)"/>
      <sheetName val="1장_(주전산기및기타)"/>
      <sheetName val="설치장소별_(기타)"/>
      <sheetName val="정산설계서"/>
      <sheetName val="물가대비표"/>
      <sheetName val="총괄"/>
      <sheetName val="공사계획서"/>
      <sheetName val="조명시설"/>
      <sheetName val="COST"/>
      <sheetName val="도급내역"/>
      <sheetName val="실적단가"/>
      <sheetName val="노무단가"/>
      <sheetName val="환"/>
      <sheetName val="송전기본"/>
      <sheetName val="자재일람"/>
      <sheetName val="별표집계"/>
      <sheetName val="터파기및재료"/>
      <sheetName val="Sheet5"/>
      <sheetName val="단가견적조사표"/>
      <sheetName val="식재가격"/>
      <sheetName val="수량산출서"/>
      <sheetName val="적용기준표(98년상반기)"/>
      <sheetName val="노임단가(전기·통신)"/>
      <sheetName val="예산"/>
      <sheetName val="단가비교표"/>
      <sheetName val="비탈면보호공수량산출"/>
      <sheetName val="공사예산"/>
      <sheetName val="노임"/>
      <sheetName val="data"/>
      <sheetName val="조견표"/>
      <sheetName val="공사설계서"/>
      <sheetName val="(14)전기품셈정산"/>
      <sheetName val="내역표지"/>
      <sheetName val="03상노임"/>
      <sheetName val="준공정산"/>
      <sheetName val="5. 설계명세서"/>
      <sheetName val="연료비"/>
      <sheetName val="항비"/>
      <sheetName val="내역서2안"/>
      <sheetName val="원본"/>
      <sheetName val="단가조사서"/>
      <sheetName val="일위대가(건축)"/>
      <sheetName val="준공정산보고서"/>
      <sheetName val="공종단가(품셈)"/>
      <sheetName val="철거산출근거"/>
      <sheetName val="노임코드"/>
      <sheetName val="SG"/>
      <sheetName val="수량산출"/>
      <sheetName val="토목내역서"/>
      <sheetName val="토목"/>
      <sheetName val="견적서"/>
      <sheetName val="기별"/>
      <sheetName val="정산변경내역"/>
      <sheetName val="도급정산"/>
      <sheetName val="고내분기~한림"/>
      <sheetName val="광령~경마장"/>
      <sheetName val="세기~광령"/>
      <sheetName val="신흑2"/>
      <sheetName val="고덕"/>
      <sheetName val="결성"/>
      <sheetName val="석문"/>
      <sheetName val="인지"/>
      <sheetName val="도안"/>
      <sheetName val="괴산"/>
      <sheetName val="단월"/>
      <sheetName val="산척"/>
      <sheetName val="단가표"/>
      <sheetName val="전력구"/>
      <sheetName val="정산입력"/>
      <sheetName val="단가품"/>
      <sheetName val="교대시점"/>
      <sheetName val="전력구현황"/>
      <sheetName val="_REF"/>
      <sheetName val="BM"/>
      <sheetName val="코드_통화"/>
      <sheetName val="코드_관계회사"/>
      <sheetName val="코드_설비"/>
      <sheetName val="코드_차입"/>
      <sheetName val="설비입력"/>
      <sheetName val="관계회사CF"/>
      <sheetName val="misc"/>
      <sheetName val="기본"/>
      <sheetName val="을지"/>
      <sheetName val="고압계통도(장한DL)"/>
      <sheetName val="중기사용료"/>
      <sheetName val="적용노임"/>
      <sheetName val="일반자재"/>
      <sheetName val="배수공"/>
      <sheetName val="설계변경 내역서"/>
      <sheetName val="에너지요금"/>
      <sheetName val="단가설계"/>
      <sheetName val="작업 반복"/>
      <sheetName val="기계경비(시간당)"/>
      <sheetName val="램머"/>
      <sheetName val="공사설명"/>
      <sheetName val="기본사항"/>
      <sheetName val="단가대비표 (3)"/>
      <sheetName val="기기점검대상"/>
      <sheetName val="일위_파일"/>
      <sheetName val="단위량당중기"/>
      <sheetName val="단위목록"/>
      <sheetName val="시산표"/>
      <sheetName val="일위대가목차"/>
      <sheetName val="수목데이타 "/>
      <sheetName val="산#3-2-2"/>
      <sheetName val="산#3-1"/>
      <sheetName val="산#3-2"/>
      <sheetName val="상반기손익차2총괄"/>
      <sheetName val="출금실적"/>
      <sheetName val="부하현황"/>
      <sheetName val="수량집계표(舊)"/>
      <sheetName val="소방"/>
      <sheetName val="설명서"/>
      <sheetName val="일위대가(출입)"/>
      <sheetName val="b_balju_cho"/>
      <sheetName val="공사설명서외"/>
      <sheetName val="data1"/>
      <sheetName val="수목표준대가"/>
      <sheetName val="6공구(당초)"/>
      <sheetName val="부대내역"/>
      <sheetName val="8.석축단위(H=1.5M)"/>
      <sheetName val="규격"/>
      <sheetName val="공량예산"/>
      <sheetName val="ⴭⴭⴭⴭⴭ"/>
      <sheetName val="공사설명서"/>
      <sheetName val="품셈총괄"/>
      <sheetName val="기본DATA Sheet"/>
      <sheetName val="수량총괄"/>
      <sheetName val="용역비 산출명세서"/>
      <sheetName val="품산출서"/>
      <sheetName val="노임단가(직종번호 순)"/>
      <sheetName val="단가입력창"/>
      <sheetName val="경비일반이윤"/>
      <sheetName val="변압기 및 발전기 용량"/>
      <sheetName val="경산"/>
      <sheetName val="노후차단기대체"/>
      <sheetName val="개양SS S.C종합이설"/>
      <sheetName val="세입세출표"/>
      <sheetName val="대비"/>
      <sheetName val="부표총괄"/>
      <sheetName val="전기일위대가"/>
      <sheetName val="산출내역서 (2)"/>
      <sheetName val="노무비 "/>
      <sheetName val="일위집계"/>
      <sheetName val="단가대비"/>
      <sheetName val="토량1-1"/>
      <sheetName val="단가코드"/>
      <sheetName val="Du_lieu"/>
      <sheetName val="보호공"/>
      <sheetName val="접속슬라브"/>
      <sheetName val="File_관급"/>
      <sheetName val="공정집계"/>
      <sheetName val="부산정산"/>
      <sheetName val="연결임시"/>
      <sheetName val="설계서(7)"/>
      <sheetName val="36단가"/>
      <sheetName val="36수량"/>
      <sheetName val="w't table"/>
      <sheetName val="복주일위대가"/>
      <sheetName val="공예을"/>
      <sheetName val="설계내역서"/>
      <sheetName val="1.설계기준"/>
      <sheetName val="화전내"/>
      <sheetName val="6_(2)1"/>
      <sheetName val="6_(7)1"/>
      <sheetName val="6_(3)1"/>
      <sheetName val="6_(6)1"/>
      <sheetName val="6_(4)1"/>
      <sheetName val="6_(5)1"/>
      <sheetName val="1장_(주전산기및기타)1"/>
      <sheetName val="설치장소별_(기타)1"/>
      <sheetName val="1__기본설계서1"/>
      <sheetName val="1-1__공사계획서1"/>
      <sheetName val="1-2__공사비_총괄표1"/>
      <sheetName val="1-3__자금계획서1"/>
      <sheetName val="1-4__예정공정표1"/>
      <sheetName val="1-5__주자재내역서1"/>
      <sheetName val="1-6__자재산출내역1"/>
      <sheetName val="1-7__사업소별산출내역1"/>
      <sheetName val="2__설계명세서1"/>
      <sheetName val="3__품셈표1"/>
      <sheetName val="3-1__통신노임표1"/>
      <sheetName val="개양_CABLE_LIST"/>
      <sheetName val="설계_(2)"/>
      <sheetName val="5-1_설계명세서"/>
      <sheetName val="5_공사비예산서"/>
      <sheetName val="Plan_Raw_Data"/>
      <sheetName val="저장품_토탈2월"/>
      <sheetName val="7_예수금이자,연체자금투입비용"/>
      <sheetName val="경__비_"/>
      <sheetName val="5__설계명세서"/>
      <sheetName val="설계변경_내역서"/>
      <sheetName val="작업_반복"/>
      <sheetName val="단가대비표_(3)"/>
      <sheetName val="수목데이타_"/>
      <sheetName val="8_석축단위(H=1_5M)"/>
      <sheetName val="기본DATA_Sheet"/>
      <sheetName val="용역비_산출명세서"/>
      <sheetName val="변압기_및_발전기_용량"/>
      <sheetName val="노임단가(직종번호_순)"/>
      <sheetName val="산출내역서_(2)"/>
      <sheetName val="개양SS_S_C종합이설"/>
      <sheetName val="노무비_"/>
      <sheetName val="w't_table"/>
      <sheetName val="1_설계기준"/>
      <sheetName val="물가시세표"/>
      <sheetName val="대차대조표"/>
      <sheetName val="판매계획"/>
      <sheetName val="인원계획-미화"/>
      <sheetName val="98지급계획"/>
      <sheetName val="[97예산(안).xls]______C_98____98_2"/>
      <sheetName val="기준.복잡도및기여도정의"/>
      <sheetName val="준공검사보고서"/>
      <sheetName val="CNC공정DB"/>
      <sheetName val="제출내역 (2)"/>
      <sheetName val="수지예산"/>
      <sheetName val="투자유가증권"/>
      <sheetName val="댁내기별"/>
      <sheetName val="Macro2"/>
      <sheetName val="이토변실(A3-LINE)"/>
      <sheetName val="전력구상세"/>
      <sheetName val="소비자가"/>
      <sheetName val="설계물량산출"/>
      <sheetName val="이름관리자_연결(신)"/>
      <sheetName val="기초일위대가"/>
      <sheetName val="식재일위대가"/>
      <sheetName val="단가대비표"/>
      <sheetName val="간이산출"/>
      <sheetName val="노임단가표"/>
      <sheetName val="G.R300경비"/>
      <sheetName val="준검 내역서"/>
      <sheetName val="48단가"/>
      <sheetName val="[97예산(안).xls]______C_98____98_4"/>
      <sheetName val="[97예산(안).xls]______C_98____98_3"/>
      <sheetName val="공사기성"/>
      <sheetName val="앞면"/>
      <sheetName val="목록화LIST"/>
      <sheetName val="업체비교"/>
      <sheetName val="TEMP"/>
      <sheetName val="JA"/>
      <sheetName val="민감도분석"/>
      <sheetName val="연간데이터"/>
      <sheetName val="불변현금흐름표"/>
      <sheetName val="수주실적"/>
      <sheetName val="수주99"/>
      <sheetName val="수주00"/>
      <sheetName val="2000년"/>
      <sheetName val="2001년"/>
      <sheetName val="보증금(전신전화가입권)"/>
      <sheetName val="보증금(임차보증금외)"/>
      <sheetName val="수선비"/>
      <sheetName val="118.세금과공과"/>
      <sheetName val="108.수선비"/>
      <sheetName val="손익계산서(SJ)"/>
      <sheetName val="단기차입금(200006)"/>
      <sheetName val="자재"/>
      <sheetName val="데이타"/>
      <sheetName val="측량요율"/>
      <sheetName val="plan&amp;section of foundation"/>
      <sheetName val="70%"/>
    </sheetNames>
    <sheetDataSet>
      <sheetData sheetId="0" refreshError="1"/>
      <sheetData sheetId="1" refreshError="1">
        <row r="1">
          <cell r="C1">
            <v>1000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sheetData sheetId="443"/>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총괄)"/>
      <sheetName val="공사총괄"/>
      <sheetName val="사급자재"/>
      <sheetName val="전문"/>
      <sheetName val="예산서"/>
      <sheetName val="품질시험비"/>
      <sheetName val="사급분"/>
      <sheetName val="사급내역"/>
      <sheetName val="도급총괄"/>
      <sheetName val="도급내역표지"/>
      <sheetName val="도급내역"/>
      <sheetName val="건축품셈총괄표"/>
      <sheetName val="건축품셈"/>
      <sheetName val="표준품셈목록"/>
      <sheetName val="표준품셈"/>
      <sheetName val="노임"/>
      <sheetName val="장비부표"/>
      <sheetName val="인테리어(로비외6)"/>
      <sheetName val="차고도급내역"/>
      <sheetName val="중기부표"/>
      <sheetName val="연기지점견적서"/>
      <sheetName val="사급자재내역"/>
      <sheetName val="설계예시"/>
      <sheetName val="단가일람"/>
      <sheetName val="조경일람"/>
      <sheetName val="01"/>
      <sheetName val="정산서"/>
      <sheetName val="보호"/>
      <sheetName val="수량집계"/>
      <sheetName val="데이타"/>
      <sheetName val="찍기"/>
      <sheetName val="갑지"/>
      <sheetName val="파일의이용"/>
      <sheetName val="조명시설"/>
      <sheetName val="12호기내역서(건축분)"/>
      <sheetName val="계수시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안"/>
      <sheetName val="공사설명서"/>
      <sheetName val="망구성도"/>
      <sheetName val="예정공정표"/>
      <sheetName val="공사계획서"/>
      <sheetName val="공사비예산서"/>
      <sheetName val="설계명세서 (장비)"/>
      <sheetName val="설계명세서(선로)"/>
      <sheetName val="소요자재명세서2"/>
      <sheetName val="노무비명세서2"/>
      <sheetName val="일위대가"/>
      <sheetName val="관로시설"/>
      <sheetName val="바인딩물량"/>
      <sheetName val="코아접속물량"/>
      <sheetName val="케이블피스표"/>
      <sheetName val="소요자재명세서"/>
      <sheetName val="노무비명세서"/>
      <sheetName val="환율"/>
      <sheetName val="노임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표지"/>
      <sheetName val="목차"/>
      <sheetName val="계획"/>
      <sheetName val="설명"/>
      <sheetName val="전원"/>
      <sheetName val="계통"/>
      <sheetName val="총괄"/>
      <sheetName val="자금"/>
      <sheetName val="공정"/>
      <sheetName val="일반"/>
      <sheetName val="특기"/>
      <sheetName val="안전"/>
      <sheetName val="예산"/>
      <sheetName val="설계"/>
      <sheetName val="수량"/>
      <sheetName val="지입"/>
      <sheetName val="품셈"/>
      <sheetName val="적용"/>
      <sheetName val="노임"/>
      <sheetName val="부표"/>
      <sheetName val="기초"/>
      <sheetName val="가격"/>
      <sheetName val="지입 (2)"/>
      <sheetName val="모-자 고객"/>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41">
          <cell r="G41">
            <v>156334000</v>
          </cell>
        </row>
        <row r="138">
          <cell r="G138">
            <v>49658000.100000001</v>
          </cell>
        </row>
      </sheetData>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목차"/>
      <sheetName val="1.계획서"/>
      <sheetName val="1.설명서"/>
      <sheetName val="2.공사비총괄표"/>
      <sheetName val="3.자금계획서"/>
      <sheetName val="4.예정공정"/>
      <sheetName val="5.공사비예산서"/>
      <sheetName val="5-1.설계명세서"/>
      <sheetName val="6.공사비산출자료"/>
      <sheetName val="6-1.자재산출"/>
      <sheetName val="6-2.노무산출"/>
      <sheetName val="6-3.일위대가표"/>
      <sheetName val="6-4.2012하노임"/>
      <sheetName val="6-5.자재단가비교표"/>
      <sheetName val="6-6.요율적용근거"/>
      <sheetName val="7.시방서표지"/>
      <sheetName val="7-1.일반시방"/>
      <sheetName val="7-2.특기시방"/>
      <sheetName val="7-3.품질시방"/>
      <sheetName val="7-4.안전시방"/>
      <sheetName val="7-5.환경시방"/>
      <sheetName val="7-6.공사특수"/>
      <sheetName val="7-7.안전특수"/>
      <sheetName val="8.설계도면"/>
      <sheetName val="8-1.aaSS"/>
      <sheetName val="8-2.bbSS"/>
    </sheetNames>
    <sheetDataSet>
      <sheetData sheetId="0"/>
      <sheetData sheetId="1"/>
      <sheetData sheetId="2"/>
      <sheetData sheetId="3"/>
      <sheetData sheetId="4">
        <row r="8">
          <cell r="C8">
            <v>0</v>
          </cell>
        </row>
      </sheetData>
      <sheetData sheetId="5"/>
      <sheetData sheetId="6"/>
      <sheetData sheetId="7"/>
      <sheetData sheetId="8">
        <row r="6">
          <cell r="G6">
            <v>125946562</v>
          </cell>
        </row>
        <row r="28">
          <cell r="G28">
            <v>2369746</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초자료입력"/>
      <sheetName val="출력창"/>
      <sheetName val="표 지"/>
      <sheetName val="계획서"/>
      <sheetName val="설명서"/>
      <sheetName val="간이공사"/>
      <sheetName val="간이예산"/>
      <sheetName val="예산서"/>
      <sheetName val="공정표"/>
      <sheetName val="설계명세서"/>
      <sheetName val="공량설계표"/>
      <sheetName val="산출명세"/>
      <sheetName val="일반시방서"/>
      <sheetName val="준공보고"/>
      <sheetName val="간이준공보고"/>
      <sheetName val="표준공종"/>
      <sheetName val="특기시방서"/>
      <sheetName val="사용방법"/>
      <sheetName val="Module1"/>
      <sheetName val="설계명세서 (장비)"/>
    </sheetNames>
    <sheetDataSet>
      <sheetData sheetId="0"/>
      <sheetData sheetId="1"/>
      <sheetData sheetId="2"/>
      <sheetData sheetId="3"/>
      <sheetData sheetId="4"/>
      <sheetData sheetId="5"/>
      <sheetData sheetId="6"/>
      <sheetData sheetId="7"/>
      <sheetData sheetId="8"/>
      <sheetData sheetId="9">
        <row r="11">
          <cell r="H11">
            <v>0</v>
          </cell>
        </row>
      </sheetData>
      <sheetData sheetId="10"/>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기준표(98년상반기)"/>
      <sheetName val="노임단가(전기·통신)"/>
      <sheetName val="노임단가색인"/>
      <sheetName val="Module1"/>
      <sheetName val="설계명세서"/>
    </sheetNames>
    <sheetDataSet>
      <sheetData sheetId="0" refreshError="1"/>
      <sheetData sheetId="1" refreshError="1"/>
      <sheetData sheetId="2" refreshError="1"/>
      <sheetData sheetId="3" refreshError="1"/>
      <sheetData sheetId="4"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기준표(98년상반기)"/>
      <sheetName val="노임단가(전기·통신)"/>
      <sheetName val="노임단가색인"/>
      <sheetName val="Module1"/>
    </sheetNames>
    <sheetDataSet>
      <sheetData sheetId="0" refreshError="1"/>
      <sheetData sheetId="1" refreshError="1"/>
      <sheetData sheetId="2" refreshError="1"/>
      <sheetData sheetId="3"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기별"/>
      <sheetName val="정산"/>
      <sheetName val="적용기준표(98년상반기)"/>
      <sheetName val="설계명세서"/>
      <sheetName val="정산내역서"/>
      <sheetName val="산출명세서"/>
      <sheetName val="노무산출서"/>
      <sheetName val="기초자료입력"/>
      <sheetName val="노임단가(전기·통신)"/>
      <sheetName val="별표집계"/>
      <sheetName val="품셈표"/>
      <sheetName val="첨)시중노임단가"/>
      <sheetName val="종합"/>
      <sheetName val="자료사전"/>
      <sheetName val="만년달력"/>
      <sheetName val="달력"/>
      <sheetName val="일위대가표"/>
      <sheetName val="정산내역서(선로)"/>
      <sheetName val="공사설명서외"/>
      <sheetName val="증감대비"/>
      <sheetName val="댁내기별"/>
      <sheetName val="인부임"/>
      <sheetName val="암남공원"/>
      <sheetName val="일위대가"/>
      <sheetName val="단위량"/>
      <sheetName val="재료집계표3"/>
      <sheetName val="재료집계표2"/>
      <sheetName val="토적집계표"/>
      <sheetName val="설계서SC"/>
      <sheetName val="유효성 목록"/>
      <sheetName val="공사내역(총괄)"/>
      <sheetName val="설계"/>
      <sheetName val="설계명세"/>
      <sheetName val="설계명세서 (장비)"/>
      <sheetName val="257A1"/>
      <sheetName val="노임단가표 "/>
      <sheetName val="지시서"/>
      <sheetName val="예산내역서"/>
      <sheetName val="노임단가표"/>
      <sheetName val="도급정산"/>
      <sheetName val="1안"/>
      <sheetName val="일위대가목록"/>
      <sheetName val="환율"/>
      <sheetName val="부산정산"/>
      <sheetName val="가설물"/>
      <sheetName val="기별(종합)"/>
      <sheetName val="단가표"/>
      <sheetName val="계통도"/>
      <sheetName val="목록_수정금지"/>
      <sheetName val="노임단가"/>
      <sheetName val="설계서"/>
      <sheetName val="수도권지사"/>
      <sheetName val="IN"/>
      <sheetName val="Macro2"/>
      <sheetName val="정산설계"/>
      <sheetName val="G.R300경비"/>
      <sheetName val="소요자재명세서"/>
      <sheetName val="공리일"/>
      <sheetName val="기계경비(시간당)"/>
      <sheetName val="램머"/>
      <sheetName val="준공정산"/>
      <sheetName val="공사설명서"/>
      <sheetName val="보도계산금액"/>
      <sheetName val="공제대산출"/>
      <sheetName val="예산내역서(총괄)"/>
      <sheetName val="운반공사,공구손료"/>
      <sheetName val="품셈"/>
      <sheetName val="#REF"/>
      <sheetName val="첨부.지사별신규투자List(11.1~현재)"/>
      <sheetName val="강남"/>
      <sheetName val="유효성_목록"/>
      <sheetName val="노임단가표_"/>
      <sheetName val="구포여상설계"/>
      <sheetName val="지입재료비"/>
      <sheetName val="정산내역"/>
      <sheetName val="물량기준표"/>
      <sheetName val="노무비명세서"/>
      <sheetName val="노임단가(2000하반기)"/>
      <sheetName val="7.명세"/>
      <sheetName val="단가산출서"/>
      <sheetName val="공사가격내역서"/>
      <sheetName val="cost9801"/>
      <sheetName val="가격내역서"/>
      <sheetName val="소요자재"/>
      <sheetName val="납부서"/>
      <sheetName val="공사비내역서"/>
      <sheetName val="대신2차총괄"/>
      <sheetName val="성단물량"/>
      <sheetName val="관급_File"/>
      <sheetName val="관로공정"/>
      <sheetName val="공종단가"/>
      <sheetName val="공종구간"/>
      <sheetName val="총괄표"/>
      <sheetName val="1차 내역서"/>
      <sheetName val="한강운반비"/>
      <sheetName val="전차선로 물량표"/>
      <sheetName val="대신총괄"/>
      <sheetName val="UNIT"/>
      <sheetName val="선로분"/>
      <sheetName val="총괄집계표"/>
      <sheetName val="수량집계"/>
      <sheetName val="현장실사표"/>
      <sheetName val="공사계획"/>
      <sheetName val="정산명세서"/>
      <sheetName val="DISTANCE"/>
      <sheetName val="셀별_SNR_통계200754135055"/>
    </sheetNames>
    <sheetDataSet>
      <sheetData sheetId="0" refreshError="1"/>
      <sheetData sheetId="1" refreshError="1"/>
      <sheetData sheetId="2" refreshError="1">
        <row r="67">
          <cell r="J67">
            <v>405083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지시서"/>
      <sheetName val="정산"/>
      <sheetName val="설계명세서"/>
      <sheetName val="LANGUAGE"/>
      <sheetName val="적용기준표(98년상반기)"/>
    </sheetNames>
    <sheetDataSet>
      <sheetData sheetId="0" refreshError="1">
        <row r="13">
          <cell r="C13" t="str">
            <v>남촌간64호 차량충돌 복구공사(CATV)</v>
          </cell>
        </row>
      </sheetData>
      <sheetData sheetId="1" refreshError="1"/>
      <sheetData sheetId="2" refreshError="1"/>
      <sheetData sheetId="3" refreshError="1"/>
      <sheetData sheetId="4"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e1"/>
      <sheetName val="투자효율분석"/>
      <sheetName val="망계통도"/>
      <sheetName val="실사결과"/>
      <sheetName val="공사계획서"/>
      <sheetName val="공사비예산서"/>
      <sheetName val="설계명세(전송분)"/>
      <sheetName val="설계명세(선로분)"/>
      <sheetName val="기본요율"/>
      <sheetName val="cost9801"/>
      <sheetName val="설계명세서"/>
      <sheetName val="설계명세서 (장비)"/>
      <sheetName val="노무비명세서2"/>
      <sheetName val="설계명세_선로분_"/>
      <sheetName val="설계명세서(선로)"/>
      <sheetName val="고내분기~한림"/>
      <sheetName val="광령~경마장"/>
      <sheetName val="세기~광령"/>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가설대가"/>
      <sheetName val="토공대가"/>
      <sheetName val="구조대가"/>
      <sheetName val="포설대가1"/>
      <sheetName val="부대대가"/>
      <sheetName val="제직재"/>
      <sheetName val="일위대가목록"/>
      <sheetName val="일위대가"/>
      <sheetName val="실행내역"/>
      <sheetName val="직노"/>
      <sheetName val="6PILE  (돌출)"/>
      <sheetName val="C-직노1"/>
      <sheetName val="D-경비1"/>
      <sheetName val="일위대가 집계표"/>
      <sheetName val="N賃率_職"/>
      <sheetName val="건축내역"/>
      <sheetName val="J直材4"/>
      <sheetName val="70%"/>
      <sheetName val="ilch"/>
      <sheetName val="전선 및 전선관"/>
      <sheetName val="중기사용료"/>
      <sheetName val="대,유,램"/>
      <sheetName val="국별인원"/>
      <sheetName val="인건비(VOICE)"/>
      <sheetName val="정산"/>
      <sheetName val="용산1(해보)"/>
      <sheetName val="설계내역서"/>
      <sheetName val="동원인원"/>
      <sheetName val="단가산출목록표"/>
      <sheetName val="일위목록"/>
      <sheetName val="환율"/>
      <sheetName val="명세서"/>
      <sheetName val="2공구산출내역"/>
      <sheetName val="적용기준표(98년상반기)"/>
      <sheetName val="증감대비"/>
      <sheetName val="5-1.설계명세서"/>
      <sheetName val="공사계획서"/>
      <sheetName val="산근"/>
      <sheetName val="5흙막이"/>
      <sheetName val="깨기"/>
      <sheetName val="내역서"/>
      <sheetName val="Sheet1"/>
      <sheetName val="노임단가(전기·통신)"/>
      <sheetName val="설계"/>
      <sheetName val="설계명세서"/>
      <sheetName val="입찰안"/>
      <sheetName val="유림골조"/>
      <sheetName val="1안"/>
      <sheetName val="터파기및재료"/>
      <sheetName val="I一般比"/>
      <sheetName val="일위대가(4층원격)"/>
      <sheetName val="쌍송교"/>
      <sheetName val="패널"/>
      <sheetName val="표지1"/>
      <sheetName val="별첨-기계경비 산출목록"/>
      <sheetName val="1000 DB구축 부표"/>
      <sheetName val="중기사용료산출근거"/>
      <sheetName val="단가 및 재료비"/>
      <sheetName val="노임단가표"/>
      <sheetName val="자재단가표"/>
      <sheetName val="DATE"/>
      <sheetName val="노임"/>
      <sheetName val="10.공통-노임단가"/>
      <sheetName val="단가산출"/>
      <sheetName val="기자재비"/>
      <sheetName val="일위대가표(유단가)"/>
      <sheetName val="내역서1999.8최종"/>
      <sheetName val="노임변동률"/>
      <sheetName val="설계조건"/>
      <sheetName val="설계표지"/>
      <sheetName val="기준FACTOR"/>
      <sheetName val="원가계산서"/>
      <sheetName val="SAMPLE"/>
      <sheetName val="대목"/>
      <sheetName val="옥외 전력간선공사"/>
      <sheetName val="갑지"/>
      <sheetName val="집계표"/>
      <sheetName val="#REF"/>
      <sheetName val="1차 내역서"/>
      <sheetName val="9509"/>
      <sheetName val="노임이"/>
      <sheetName val="시설장비부하계산서"/>
      <sheetName val="단가산출목록"/>
      <sheetName val="실적공사비단가"/>
      <sheetName val="GISDB_단가산출목록"/>
      <sheetName val="GISDB_단가산출표"/>
      <sheetName val="소방"/>
      <sheetName val="정부노임단가"/>
      <sheetName val="골조시행"/>
      <sheetName val="데이타"/>
      <sheetName val="단가조사"/>
      <sheetName val="단가 "/>
      <sheetName val="일위대가 (PM)"/>
      <sheetName val="Sheet3"/>
      <sheetName val="건물"/>
      <sheetName val="시설물기초"/>
      <sheetName val="수지예산"/>
      <sheetName val="제-노임"/>
      <sheetName val="설직재-1"/>
      <sheetName val="수량산출"/>
      <sheetName val="공정량산출내역서 "/>
      <sheetName val="인건비"/>
      <sheetName val="CAUDIT"/>
      <sheetName val="조명시설"/>
      <sheetName val="대가"/>
      <sheetName val="추가대화"/>
      <sheetName val="제경집계"/>
      <sheetName val="위치조서"/>
      <sheetName val="산출목록표"/>
      <sheetName val="20관리비율"/>
      <sheetName val="참조자료"/>
      <sheetName val="동원(3)"/>
      <sheetName val="노무비단가"/>
      <sheetName val="내역1"/>
      <sheetName val="화해(함평)"/>
      <sheetName val="화해(장성)"/>
      <sheetName val="시설물일위"/>
      <sheetName val="수량산출1"/>
      <sheetName val="Baby일위대가"/>
      <sheetName val="불법주정차"/>
      <sheetName val="금액내역서"/>
      <sheetName val="AV시스템"/>
      <sheetName val="내역서2안"/>
      <sheetName val="전기외주내역"/>
      <sheetName val="DATA"/>
      <sheetName val="CT "/>
      <sheetName val="원가_(2)"/>
      <sheetName val="6PILE__(돌출)"/>
      <sheetName val="일위대가_집계표"/>
      <sheetName val="전선_및_전선관"/>
      <sheetName val="1000_DB구축_부표"/>
      <sheetName val="가로등내역서"/>
      <sheetName val="기본일위"/>
      <sheetName val="견적서"/>
      <sheetName val="8.PILE  (돌출)"/>
      <sheetName val="전기"/>
      <sheetName val="공종단가"/>
      <sheetName val="재료"/>
      <sheetName val="설치자재"/>
      <sheetName val="구리토평1전기"/>
      <sheetName val="대"/>
      <sheetName val="자료"/>
      <sheetName val="을"/>
      <sheetName val="물량산출(지점)"/>
      <sheetName val="단"/>
      <sheetName val="일용노임단가2001상"/>
      <sheetName val="WORK"/>
      <sheetName val="2-1. 경관조명 내역총괄표"/>
      <sheetName val="내역"/>
      <sheetName val="전국현황"/>
      <sheetName val="일위(PN)"/>
      <sheetName val="일위대가(출입)"/>
      <sheetName val="3련 BOX"/>
      <sheetName val="이토변실(A3-LINE)"/>
      <sheetName val="CATV"/>
      <sheetName val="Sheet13"/>
      <sheetName val="Sheet14"/>
      <sheetName val="토목주소"/>
      <sheetName val="Sheet4"/>
      <sheetName val="단가기준"/>
      <sheetName val="현장경비"/>
      <sheetName val="노임단가"/>
      <sheetName val="일위대가표(교체)"/>
      <sheetName val="2000시행총괄"/>
      <sheetName val="산출"/>
      <sheetName val="자재단가"/>
      <sheetName val="적현로"/>
      <sheetName val="기본사항"/>
      <sheetName val="예정공정표 (2)"/>
      <sheetName val="도급FORM"/>
      <sheetName val="2분기평가"/>
      <sheetName val="노무비"/>
      <sheetName val="96작생능"/>
      <sheetName val="ABUT수량-A1"/>
      <sheetName val="INPUT"/>
      <sheetName val="날개벽"/>
      <sheetName val="도로정위치부표"/>
      <sheetName val="도로조사부표"/>
      <sheetName val="경율산정.XLS"/>
      <sheetName val="식재일위대가"/>
      <sheetName val="공문"/>
      <sheetName val="현장관리비"/>
      <sheetName val="단가조사서"/>
      <sheetName val="9811"/>
      <sheetName val="단가산출서"/>
      <sheetName val="횡 연장"/>
      <sheetName val="암거단위"/>
      <sheetName val="일위대가(가설)"/>
      <sheetName val="ELECTRIC"/>
      <sheetName val="전력"/>
      <sheetName val="특수선일위대가"/>
      <sheetName val="2-3.공사비내역서"/>
      <sheetName val="4-2. 기계경비산출"/>
      <sheetName val="7.노무비 근거"/>
      <sheetName val="3-2.일위대가"/>
      <sheetName val="대운산출"/>
      <sheetName val="기초자료입력"/>
      <sheetName val="DWG-CAB-I"/>
      <sheetName val="램머"/>
      <sheetName val="기계경비(시간당)"/>
      <sheetName val="2000년1차"/>
      <sheetName val="내역전기"/>
      <sheetName val="수량산출2"/>
      <sheetName val="단가대비"/>
      <sheetName val="일위_파일"/>
      <sheetName val="부하계산서"/>
      <sheetName val="단가산출서_토목"/>
      <sheetName val="기계경비총괄표"/>
      <sheetName val="일위대가_현장"/>
      <sheetName val="HW"/>
      <sheetName val="범용도입(1차)"/>
      <sheetName val="SW"/>
      <sheetName val="덤프"/>
      <sheetName val="석재다짐"/>
      <sheetName val="소운반"/>
      <sheetName val="아스콘"/>
      <sheetName val="장비"/>
      <sheetName val="산출기초"/>
      <sheetName val="직종별노임단가표"/>
      <sheetName val="실행철강하도"/>
      <sheetName val="A1"/>
      <sheetName val="회사정보"/>
      <sheetName val="설계서식"/>
      <sheetName val="공사비"/>
      <sheetName val="BEND LOSS"/>
      <sheetName val="PANEL가격"/>
      <sheetName val="도급예산내역서총괄표"/>
      <sheetName val="설계산출기초"/>
      <sheetName val="차액보증"/>
      <sheetName val="Customer Databas"/>
      <sheetName val="전체"/>
      <sheetName val="프랜트면허"/>
      <sheetName val="TOTAL"/>
      <sheetName val="식재인부"/>
      <sheetName val="중기목록표"/>
      <sheetName val="데리네이타현황"/>
      <sheetName val="갑지(추정)"/>
      <sheetName val="2.냉난방설비공사"/>
      <sheetName val="7.자동제어공사"/>
      <sheetName val="동수"/>
      <sheetName val="급수 (LPM)"/>
      <sheetName val="CTEMCOST"/>
      <sheetName val="일위"/>
      <sheetName val="COST"/>
      <sheetName val="시중노임(공사)"/>
      <sheetName val="설비(제출)"/>
      <sheetName val="AL공사(원)"/>
      <sheetName val="6호기"/>
      <sheetName val="10월"/>
      <sheetName val="대비"/>
      <sheetName val="기초목"/>
      <sheetName val="2.대외공문"/>
      <sheetName val="일위대가(건축)"/>
      <sheetName val="단중표"/>
      <sheetName val="기본설계기준"/>
      <sheetName val="품셈총괄표"/>
      <sheetName val="공사비예산서_토목분_"/>
      <sheetName val="TRE TABLE"/>
      <sheetName val="생산량"/>
      <sheetName val="판매가격(정리)"/>
      <sheetName val="주문"/>
      <sheetName val="실행내역서"/>
      <sheetName val="제2호단위수량"/>
      <sheetName val="출력은 금물"/>
      <sheetName val="식재가격"/>
      <sheetName val="식재총괄"/>
      <sheetName val="코드표"/>
      <sheetName val="AC포장수량"/>
      <sheetName val="설계내역"/>
      <sheetName val="원가계산서(공사)"/>
      <sheetName val="실행내역 "/>
      <sheetName val="회관내역"/>
      <sheetName val="회관내역 (2)"/>
      <sheetName val="공동내역"/>
      <sheetName val="공동내역 (2)"/>
      <sheetName val="쉼터내역"/>
      <sheetName val="쉼터내역 (2)"/>
      <sheetName val="전차선로 물량표"/>
      <sheetName val="한강운반비"/>
      <sheetName val="자재"/>
      <sheetName val="파일의이용"/>
      <sheetName val="Mc1"/>
      <sheetName val="인원계획-미화"/>
      <sheetName val="익산"/>
      <sheetName val="예산내역"/>
      <sheetName val="총괄수지표"/>
      <sheetName val="설계내역2"/>
      <sheetName val="총체보활공정표"/>
      <sheetName val="단가(1)"/>
      <sheetName val="정산내역서"/>
      <sheetName val="기성2"/>
      <sheetName val="중기일위대가"/>
      <sheetName val="COVER"/>
      <sheetName val="6. 직접경비"/>
      <sheetName val="설계서"/>
      <sheetName val="총 원가계산"/>
      <sheetName val="물량"/>
      <sheetName val="건축일위"/>
      <sheetName val="그라우팅일위"/>
      <sheetName val="wall"/>
      <sheetName val="공사개요"/>
      <sheetName val="내역5"/>
      <sheetName val="대가단최종"/>
      <sheetName val="전기일위목록"/>
      <sheetName val="동력기별"/>
      <sheetName val="BOX전기내역"/>
      <sheetName val="물량표"/>
      <sheetName val="EXPENSE"/>
      <sheetName val="공사내역"/>
      <sheetName val="일용직내역"/>
      <sheetName val="길어깨(현황)"/>
      <sheetName val="Sheet5"/>
      <sheetName val="기본입력"/>
      <sheetName val="단가표"/>
      <sheetName val="일명"/>
      <sheetName val="일명95"/>
      <sheetName val="일비"/>
      <sheetName val="일비95"/>
      <sheetName val="경명"/>
      <sheetName val="경명95"/>
      <sheetName val="경배"/>
      <sheetName val="경배95"/>
      <sheetName val="임율95"/>
      <sheetName val="간노비"/>
      <sheetName val="간노비95"/>
      <sheetName val="철거산출근거"/>
      <sheetName val="Y-WORK"/>
      <sheetName val="물량내역"/>
      <sheetName val=" 갑  지 "/>
      <sheetName val="돈암사업"/>
      <sheetName val="OPGW기별"/>
      <sheetName val="수목표준대가"/>
      <sheetName val="표지"/>
      <sheetName val="설비원가"/>
      <sheetName val="단위단가"/>
      <sheetName val="BS"/>
      <sheetName val="원가계산서 "/>
      <sheetName val="관급자재대"/>
      <sheetName val="물가대비표"/>
      <sheetName val="BOX복구단위수량"/>
      <sheetName val="EQT-ESTN"/>
      <sheetName val="을지"/>
      <sheetName val="대가목록"/>
      <sheetName val="변경내역"/>
      <sheetName val="요율"/>
      <sheetName val="cp-e1"/>
      <sheetName val="공예율"/>
      <sheetName val="기준표"/>
      <sheetName val="현황"/>
      <sheetName val="프린터현황"/>
      <sheetName val="#3E1_GCR"/>
      <sheetName val="품셈적용 자료"/>
      <sheetName val="시설물"/>
      <sheetName val="유지관리"/>
      <sheetName val="설계예산서"/>
      <sheetName val="산출내역서 (2)"/>
      <sheetName val="배관내역"/>
      <sheetName val="가도공"/>
      <sheetName val="산출내역서"/>
      <sheetName val="시중노임"/>
      <sheetName val="3집"/>
      <sheetName val="품셈표"/>
      <sheetName val="도로단위당"/>
      <sheetName val="횡배수관"/>
      <sheetName val="부분별수량산출(조합기초)"/>
      <sheetName val="※참고자료※"/>
      <sheetName val="내역서적용수량"/>
      <sheetName val="배수공 시멘트 및 골재량 산출"/>
      <sheetName val="원가_(2)1"/>
      <sheetName val="일위대가_집계표1"/>
      <sheetName val="6PILE__(돌출)1"/>
      <sheetName val="전선_및_전선관1"/>
      <sheetName val="1차_내역서"/>
      <sheetName val="별첨-기계경비_산출목록"/>
      <sheetName val="내역서1999_8최종"/>
      <sheetName val="10_공통-노임단가"/>
      <sheetName val="1000_DB구축_부표1"/>
      <sheetName val="단가_및_재료비"/>
      <sheetName val="옥외_전력간선공사"/>
      <sheetName val="CT_"/>
      <sheetName val="포장절단"/>
      <sheetName val="환경기계공정표 (3)"/>
      <sheetName val="DATA 입력란"/>
      <sheetName val="1. 설계조건 2.단면가정 3. 하중계산"/>
      <sheetName val="sw1"/>
      <sheetName val="자재단가비교표"/>
      <sheetName val="일위목차"/>
      <sheetName val="SORCE1"/>
      <sheetName val="3"/>
      <sheetName val="관급총괄"/>
      <sheetName val="도근좌표"/>
      <sheetName val="공정량산출내역서_"/>
      <sheetName val="단가_"/>
      <sheetName val="일위대가_(PM)"/>
      <sheetName val="예정공정표_(2)"/>
      <sheetName val="8_PILE__(돌출)"/>
      <sheetName val="품셈총괄"/>
      <sheetName val="기본DATA Sheet"/>
      <sheetName val="수량총괄"/>
      <sheetName val="Sheet2"/>
      <sheetName val="-동력(한전)"/>
      <sheetName val="-전등전열(한전)"/>
      <sheetName val="IEC60364-52(허용전류)"/>
      <sheetName val="토목"/>
      <sheetName val="DHEQSUPT"/>
      <sheetName val="9GNG운반"/>
      <sheetName val="3.하중계산"/>
      <sheetName val="표  지"/>
      <sheetName val="단위중량"/>
      <sheetName val="대공종"/>
      <sheetName val="1.설계조건"/>
      <sheetName val="메서,변+증"/>
      <sheetName val="맨홀조서"/>
      <sheetName val="대내"/>
      <sheetName val="날개벽수량표"/>
      <sheetName val="맨홀수량산출(1.0×1.0×1.0)"/>
      <sheetName val="예가표"/>
      <sheetName val="적격점수&lt;300억미만&gt;"/>
      <sheetName val="전기변내역"/>
      <sheetName val="기초단가"/>
      <sheetName val="ITEM"/>
      <sheetName val="수량집계"/>
      <sheetName val="공구"/>
      <sheetName val="토량1-1"/>
      <sheetName val="b_balju_cho"/>
      <sheetName val="7.수지"/>
      <sheetName val="납부서"/>
      <sheetName val="1"/>
      <sheetName val="공량산출서"/>
      <sheetName val="교각1"/>
      <sheetName val=" 견적서"/>
      <sheetName val="자재단가표_관로"/>
      <sheetName val="1.설계기준"/>
      <sheetName val="설계예시"/>
      <sheetName val="단위수량"/>
      <sheetName val="일위7"/>
      <sheetName val="일위6"/>
      <sheetName val="일위5"/>
      <sheetName val="노무단가비교표"/>
      <sheetName val="일위1"/>
      <sheetName val="일위2"/>
      <sheetName val="일위3"/>
      <sheetName val="일위4"/>
      <sheetName val="단가대비표"/>
      <sheetName val="일위8"/>
      <sheetName val="일위9"/>
      <sheetName val="직접인건비"/>
      <sheetName val="직접경비"/>
      <sheetName val="98수문일위"/>
      <sheetName val="물가자료"/>
      <sheetName val="예산총괄표"/>
      <sheetName val="값"/>
      <sheetName val="가시설"/>
      <sheetName val="S&amp;R"/>
      <sheetName val="5사남"/>
      <sheetName val="data spec"/>
      <sheetName val="투찰추정"/>
      <sheetName val="부대내역"/>
      <sheetName val="산출집계표"/>
      <sheetName val="여과지동"/>
      <sheetName val="기초자료"/>
      <sheetName val="기초일위"/>
      <sheetName val="시설일위"/>
      <sheetName val="조명일위"/>
      <sheetName val="관급"/>
      <sheetName val="Macro1"/>
      <sheetName val="비탈면보호공수량산출"/>
      <sheetName val="단가및재료비"/>
      <sheetName val="물량master"/>
      <sheetName val="하수급견적대비"/>
      <sheetName val="당사"/>
      <sheetName val="역간(덕_동)"/>
      <sheetName val="역간(의-덕)"/>
      <sheetName val="b_balju-단가단가단가"/>
      <sheetName val="갑지1"/>
      <sheetName val="연부97-1"/>
      <sheetName val="A"/>
      <sheetName val="내역서(시설)"/>
      <sheetName val="건축집계"/>
      <sheetName val="자재표"/>
      <sheetName val="6공구(당초)"/>
      <sheetName val="시장성초안camera"/>
      <sheetName val="금융비용"/>
      <sheetName val="경비2내역"/>
      <sheetName val="XL4Poppy"/>
      <sheetName val="원재료출고수량"/>
      <sheetName val="가시설단위수량"/>
      <sheetName val="단가산출2"/>
      <sheetName val="단가산출1"/>
      <sheetName val="단가리스트(영상감시시스템)"/>
      <sheetName val="부대공"/>
      <sheetName val="토공"/>
      <sheetName val="포장공"/>
      <sheetName val="3.건축(현장안)"/>
      <sheetName val="목차"/>
      <sheetName val="간지"/>
      <sheetName val="일위목록표"/>
      <sheetName val="일위대가표"/>
      <sheetName val="    "/>
      <sheetName val="기계경비단가총괄표"/>
      <sheetName val="기계경비단가산출표"/>
      <sheetName val="기계경비손료 및 운전경비 산출"/>
      <sheetName val="기계경비 손료 및 운전경비 산출기준"/>
      <sheetName val="단가조사표"/>
      <sheetName val="   "/>
      <sheetName val="계수"/>
      <sheetName val="용어"/>
      <sheetName val="1.2 예정공정표"/>
      <sheetName val="1. 공사비총괄"/>
      <sheetName val="예산내역서 총괄"/>
      <sheetName val="물품구매내역서"/>
      <sheetName val="2. 공사원가계산서"/>
      <sheetName val="3. 설치공사내역서"/>
      <sheetName val="4. 공종별내역서"/>
      <sheetName val="실행"/>
      <sheetName val="98지급계획"/>
      <sheetName val="기본단가표"/>
      <sheetName val="단가비교표"/>
      <sheetName val="현장조사"/>
      <sheetName val="건축원가"/>
      <sheetName val="공통가설"/>
      <sheetName val="전기BOX내역서"/>
      <sheetName val="000000"/>
      <sheetName val="문학간접"/>
      <sheetName val="실행갑지"/>
      <sheetName val="금액"/>
      <sheetName val="판매시설"/>
      <sheetName val="3지구단위"/>
      <sheetName val="식음료"/>
      <sheetName val="총투입계"/>
      <sheetName val="단가조정표"/>
      <sheetName val="anaysis_sheet"/>
      <sheetName val="친환경주택"/>
      <sheetName val="1000_ɄB구축_부표"/>
      <sheetName val="B"/>
      <sheetName val="bm"/>
      <sheetName val="웅진교-S2"/>
      <sheetName val="단관데이터"/>
      <sheetName val="이형관데이터"/>
      <sheetName val="가격조사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도급양식"/>
      <sheetName val="단위량"/>
      <sheetName val="재료집계표2"/>
      <sheetName val="토적집계표"/>
      <sheetName val="협조전"/>
      <sheetName val="설비2차"/>
      <sheetName val="Macro상수"/>
      <sheetName val="점검총괄"/>
      <sheetName val="일위대가목차"/>
      <sheetName val="단위목록"/>
      <sheetName val="시험비"/>
      <sheetName val="구역화물"/>
      <sheetName val="배수통관(좌)"/>
      <sheetName val="일용노임단가"/>
      <sheetName val="SG"/>
      <sheetName val="1062-x방향 "/>
      <sheetName val="화전내"/>
      <sheetName val="하부철근수량"/>
      <sheetName val="물량산출근거"/>
      <sheetName val="3.설계예산내역서(예산서)"/>
      <sheetName val="2.예정공정표"/>
      <sheetName val="단가산출표"/>
      <sheetName val="지수적용공사비내역서"/>
      <sheetName val="단면가정"/>
      <sheetName val="가계부"/>
      <sheetName val="제품목록"/>
      <sheetName val="매입매출관리"/>
      <sheetName val="을부담운반비"/>
      <sheetName val="운반비산출"/>
      <sheetName val="설계산출표지"/>
      <sheetName val="내   역"/>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3.공통공사대비"/>
      <sheetName val="동원인원산출"/>
      <sheetName val="사업성분석"/>
      <sheetName val="2호맨홀공제수량"/>
      <sheetName val="냉천부속동"/>
      <sheetName val="DB"/>
      <sheetName val="★도급내역"/>
      <sheetName val="설명서 "/>
      <sheetName val="설계기준"/>
      <sheetName val="개산공사비"/>
      <sheetName val="간접"/>
      <sheetName val="File_관급"/>
      <sheetName val="공정집계"/>
      <sheetName val="QandAJunior"/>
      <sheetName val="Buy vs. Lease Car"/>
      <sheetName val="ESTI."/>
      <sheetName val="DI-ESTI"/>
      <sheetName val="원가계산"/>
      <sheetName val="공사비_NDE"/>
      <sheetName val="도체종-상수표"/>
      <sheetName val="소형맨홀"/>
      <sheetName val="토목검측서"/>
      <sheetName val="공사예산하조서(O.K)"/>
      <sheetName val="3.내역서"/>
      <sheetName val="S1"/>
      <sheetName val="부하(성남)"/>
      <sheetName val="공정집계_국별"/>
      <sheetName val="맨홀_공사비"/>
      <sheetName val="CON'C"/>
      <sheetName val="수량집계표"/>
      <sheetName val="공종별수량집계"/>
      <sheetName val="ABOVEISO(IBL)"/>
      <sheetName val="영창26"/>
      <sheetName val="통장출금액"/>
      <sheetName val="토사(PE)"/>
      <sheetName val="나우스넷급여대장"/>
      <sheetName val="신보급여대장"/>
      <sheetName val="추진배경(LEZ)"/>
      <sheetName val="전국_노후경유차"/>
      <sheetName val="토적"/>
      <sheetName val="참고자료"/>
      <sheetName val="본댐설계"/>
      <sheetName val="96노임기준"/>
      <sheetName val="각입중량산출서"/>
      <sheetName val="C.배수관공"/>
      <sheetName val="TOTAL_BOQ"/>
      <sheetName val="Sheet1 (2)"/>
      <sheetName val="동력_산출근거"/>
      <sheetName val="토공수량산출"/>
      <sheetName val="토적계산서"/>
      <sheetName val="수량산출서_천안"/>
      <sheetName val="수량산출서_아산"/>
      <sheetName val="관로수량산출집계"/>
      <sheetName val="한전수탁공사비내역서"/>
      <sheetName val="pldt"/>
      <sheetName val="설계서표지"/>
      <sheetName val="총괄내역서"/>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D-3109"/>
      <sheetName val="맨홀-오수"/>
      <sheetName val="부진점(10.09)"/>
      <sheetName val="설비"/>
      <sheetName val="대로근거"/>
      <sheetName val="경일건물산출근거"/>
      <sheetName val="기계단가"/>
      <sheetName val="7.5.3 BOX-A"/>
      <sheetName val="견적서을"/>
      <sheetName val="도로경계블럭연장조서"/>
      <sheetName val="인사자료총집계"/>
      <sheetName val="통로box전기"/>
      <sheetName val="부총"/>
      <sheetName val="ELEC"/>
      <sheetName val="수목데이타 "/>
      <sheetName val="0226"/>
      <sheetName val="단가산출내역(노임부분수정)"/>
      <sheetName val="자  재"/>
      <sheetName val="건축외주"/>
      <sheetName val="3.실투입(운반)"/>
      <sheetName val="교통대책내역"/>
      <sheetName val="남대문빌딩"/>
      <sheetName val="정렬"/>
      <sheetName val="입력"/>
      <sheetName val="품셈TABLE"/>
      <sheetName val="건축공사 집계표"/>
      <sheetName val="골조"/>
      <sheetName val="사업부배부A"/>
      <sheetName val="물가시세"/>
      <sheetName val="제잡비 산출내역(실적공사비)"/>
      <sheetName val="원가 (아파트)"/>
      <sheetName val="도급내역서"/>
      <sheetName val="단면 (2)"/>
      <sheetName val="낙찰표"/>
      <sheetName val="연습"/>
      <sheetName val="BOQ"/>
      <sheetName val="전체내역 (2)"/>
      <sheetName val="할증 "/>
      <sheetName val="공개"/>
      <sheetName val="품의"/>
      <sheetName val="현경"/>
      <sheetName val="☜사⊥발☞"/>
      <sheetName val="하총"/>
      <sheetName val="하사"/>
      <sheetName val="하내"/>
      <sheetName val="토견"/>
      <sheetName val="구조물"/>
      <sheetName val="구자"/>
      <sheetName val="구견"/>
      <sheetName val="☜발⊥검☞"/>
      <sheetName val="입찰"/>
      <sheetName val="4차원가계산서"/>
      <sheetName val="Sheet6"/>
      <sheetName val="투찰"/>
      <sheetName val="공사비산출내역"/>
      <sheetName val="백호우계수"/>
      <sheetName val="관리,공감"/>
      <sheetName val="저"/>
      <sheetName val="BID"/>
      <sheetName val="자재(원원+원대)"/>
      <sheetName val="장비가동"/>
      <sheetName val="지급자재"/>
      <sheetName val="MYUN(MAC)"/>
      <sheetName val="장비당단가 (1)"/>
      <sheetName val="현장"/>
      <sheetName val="산출근거"/>
      <sheetName val="실행분석표"/>
      <sheetName val="업체견적(거푸집)"/>
      <sheetName val="기준_국가명"/>
      <sheetName val="FAB별"/>
      <sheetName val="도장비"/>
      <sheetName val="잡철물"/>
      <sheetName val="견적대비표"/>
      <sheetName val="동부건설.강릉,테헤란로,강남빌딩"/>
      <sheetName val="입찰내역 발주처 양식"/>
      <sheetName val="documentation"/>
      <sheetName val="원가계산서(남측)"/>
      <sheetName val="소각장스케줄"/>
      <sheetName val="제출내역 (3)"/>
      <sheetName val="안전시설내역서"/>
      <sheetName val="도기류"/>
      <sheetName val="문서원본대장"/>
      <sheetName val="재료집계표3"/>
      <sheetName val="8.설치품셈"/>
      <sheetName val="기별명세"/>
      <sheetName val="단가일람"/>
      <sheetName val="조경일람"/>
      <sheetName val="일목_장비"/>
      <sheetName val="EJ"/>
      <sheetName val="소포내역 (2)"/>
      <sheetName val="PSCbeam설계"/>
      <sheetName val="평가데이터"/>
      <sheetName val="경산"/>
      <sheetName val="2000,9월 일위"/>
      <sheetName val="원형1호맨홀토공수량"/>
      <sheetName val="명일작업계획 (3)"/>
      <sheetName val="02"/>
      <sheetName val="측구터파기공수량집계"/>
      <sheetName val="구조물터파기수량집계"/>
      <sheetName val="공사비예산서(토목분)"/>
      <sheetName val="7 단가조사"/>
      <sheetName val="(A)내역서"/>
      <sheetName val="웅진교_x0000__x0000_Ԁ"/>
      <sheetName val="총괄집계표"/>
      <sheetName val="구분자"/>
      <sheetName val="넉시~922"/>
      <sheetName val="대수산분기~LG918"/>
      <sheetName val="색달~중문"/>
      <sheetName val="중문~삼일"/>
      <sheetName val="신서귀~고근산"/>
      <sheetName val="미악분기~913"/>
      <sheetName val="일위산출근거"/>
      <sheetName val="배수공"/>
      <sheetName val="분석DATA(년도별)"/>
      <sheetName val="회로내역(승인)"/>
      <sheetName val="부대토공"/>
      <sheetName val="차선위치조서"/>
      <sheetName val="일반전기C"/>
      <sheetName val="일위대가(뷔페)"/>
      <sheetName val="yoemagum"/>
      <sheetName val="시산표"/>
      <sheetName val="운전자금97총괄"/>
      <sheetName val="노무비명세서"/>
      <sheetName val="[N賃率-職.xls]__CMK_______OFFICE_2"/>
      <sheetName val="[N賃率-職.xls]__CMK_______OFFICE_6"/>
      <sheetName val="[N賃率-職.xls]__CMK_______OFFICE_5"/>
      <sheetName val="[N賃率-職.xls]__CMK_______OFFICE_3"/>
      <sheetName val="[N賃率-職.xls]__CMK_______OFFICE_4"/>
      <sheetName val="[N賃率-職.xls]__CMK_______OFFICE_7"/>
      <sheetName val="[N賃率-職.xls]__CMK_______OFFICE_8"/>
      <sheetName val="[N賃率-職.xls]__CMK_______OFFIC_11"/>
      <sheetName val="[N賃率-職.xls]__CMK_______OFFICE_9"/>
      <sheetName val="[N賃率-職.xls]__CMK_______OFFIC_10"/>
      <sheetName val="rate"/>
      <sheetName val="2.장애관리현황"/>
      <sheetName val="[N賃率-職.xls]__CMK_______OFFIC_12"/>
      <sheetName val="[N賃率-職.xls]__CMK_______OFFIC_15"/>
      <sheetName val="[N賃率-職.xls]__CMK_______OFFIC_13"/>
      <sheetName val="[N賃率-職.xls]__CMK_______OFFIC_14"/>
      <sheetName val="단계대비표"/>
      <sheetName val="노임단가(2000하반기)"/>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sheetData sheetId="496"/>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ow r="7">
          <cell r="I7">
            <v>0</v>
          </cell>
        </row>
      </sheetData>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ow r="5">
          <cell r="I5">
            <v>0</v>
          </cell>
        </row>
      </sheetData>
      <sheetData sheetId="530">
        <row r="5">
          <cell r="I5">
            <v>0</v>
          </cell>
        </row>
      </sheetData>
      <sheetData sheetId="531" refreshError="1"/>
      <sheetData sheetId="532">
        <row r="5">
          <cell r="I5" t="str">
            <v>단가</v>
          </cell>
        </row>
      </sheetData>
      <sheetData sheetId="533">
        <row r="5">
          <cell r="I5" t="str">
            <v>단가</v>
          </cell>
        </row>
      </sheetData>
      <sheetData sheetId="534">
        <row r="5">
          <cell r="I5" t="str">
            <v>단가</v>
          </cell>
        </row>
      </sheetData>
      <sheetData sheetId="535">
        <row r="5">
          <cell r="I5">
            <v>0</v>
          </cell>
        </row>
      </sheetData>
      <sheetData sheetId="536">
        <row r="5">
          <cell r="I5">
            <v>0</v>
          </cell>
        </row>
      </sheetData>
      <sheetData sheetId="537">
        <row r="5">
          <cell r="I5" t="str">
            <v>단가</v>
          </cell>
        </row>
      </sheetData>
      <sheetData sheetId="538">
        <row r="5">
          <cell r="I5" t="str">
            <v>단가</v>
          </cell>
        </row>
      </sheetData>
      <sheetData sheetId="539">
        <row r="5">
          <cell r="I5" t="str">
            <v>단가</v>
          </cell>
        </row>
      </sheetData>
      <sheetData sheetId="540">
        <row r="5">
          <cell r="I5" t="str">
            <v>단가</v>
          </cell>
        </row>
      </sheetData>
      <sheetData sheetId="541">
        <row r="5">
          <cell r="I5" t="str">
            <v>단가</v>
          </cell>
        </row>
      </sheetData>
      <sheetData sheetId="542">
        <row r="7">
          <cell r="I7" t="str">
            <v/>
          </cell>
        </row>
      </sheetData>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sheetData sheetId="553"/>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ow r="5">
          <cell r="I5">
            <v>1</v>
          </cell>
        </row>
      </sheetData>
      <sheetData sheetId="613"/>
      <sheetData sheetId="614"/>
      <sheetData sheetId="615"/>
      <sheetData sheetId="616"/>
      <sheetData sheetId="617"/>
      <sheetData sheetId="618"/>
      <sheetData sheetId="619"/>
      <sheetData sheetId="620"/>
      <sheetData sheetId="621"/>
      <sheetData sheetId="622">
        <row r="5">
          <cell r="I5">
            <v>1</v>
          </cell>
        </row>
      </sheetData>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sheetData sheetId="828"/>
      <sheetData sheetId="829"/>
      <sheetData sheetId="830"/>
      <sheetData sheetId="831"/>
      <sheetData sheetId="832"/>
      <sheetData sheetId="833"/>
      <sheetData sheetId="834"/>
      <sheetData sheetId="835"/>
      <sheetData sheetId="836"/>
      <sheetData sheetId="837" refreshError="1"/>
      <sheetData sheetId="838" refreshError="1"/>
      <sheetData sheetId="839"/>
      <sheetData sheetId="840"/>
      <sheetData sheetId="841"/>
      <sheetData sheetId="842"/>
      <sheetData sheetId="843" refreshError="1"/>
      <sheetData sheetId="844"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NGUAGE"/>
      <sheetName val="PART_DISCOUNT"/>
      <sheetName val="전체"/>
      <sheetName val="7470 MSP Matrix"/>
      <sheetName val="7270 MSC"/>
      <sheetName val="CATEGORY_DISCOUN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인부임"/>
      <sheetName val="수량산출1"/>
      <sheetName val="일위대가"/>
      <sheetName val="자재단가표"/>
      <sheetName val="Baby일위대가"/>
      <sheetName val="기별"/>
      <sheetName val="정산내역서"/>
      <sheetName val="자료사전"/>
      <sheetName val="Voice_Revenue"/>
      <sheetName val="I一般比"/>
      <sheetName val="소요자재"/>
      <sheetName val="노무비명세서"/>
      <sheetName val="소요자재명세서"/>
      <sheetName val="20관리비율"/>
      <sheetName val="OPGW기별"/>
      <sheetName val="지시서"/>
      <sheetName val="MPCCON"/>
      <sheetName val="내역서(삼호)"/>
      <sheetName val="노임변동률"/>
      <sheetName val="총괄집계표"/>
      <sheetName val="노임단가표"/>
      <sheetName val="설계명세서"/>
      <sheetName val="전기공사일위대가"/>
      <sheetName val="노무산출서"/>
      <sheetName val="2.설비현황"/>
      <sheetName val="품셈"/>
      <sheetName val="정산"/>
      <sheetName val="raw_3팀"/>
      <sheetName val="발주처"/>
      <sheetName val="직원"/>
      <sheetName val="설계명세"/>
      <sheetName val="일위대가표"/>
      <sheetName val="&quot;운용&quot;설비현황"/>
      <sheetName val="정산설계"/>
      <sheetName val="첨)시중노임단가"/>
      <sheetName val="최종설계"/>
      <sheetName val="구포여상설계"/>
      <sheetName val="만년달력"/>
      <sheetName val="달력"/>
      <sheetName val="적용기준표(98년상반기)"/>
      <sheetName val="설계서"/>
      <sheetName val="광주"/>
      <sheetName val="대전"/>
      <sheetName val="부산"/>
      <sheetName val="서울"/>
      <sheetName val="수원"/>
      <sheetName val="제주"/>
      <sheetName val="창원"/>
      <sheetName val="가입자(모토)"/>
      <sheetName val="기초자료입력"/>
      <sheetName val="설계기별"/>
      <sheetName val="수량총괄"/>
      <sheetName val="N賃率-職"/>
      <sheetName val="노임단가(전기·통신)"/>
      <sheetName val="수량집계"/>
      <sheetName val="약전설비"/>
      <sheetName val="공사설명서외"/>
      <sheetName val="댁내기별"/>
      <sheetName val="품셈표"/>
      <sheetName val="Sheet1"/>
      <sheetName val="정산내역"/>
      <sheetName val="가입자(모토로라)"/>
      <sheetName val="공리일"/>
      <sheetName val="9GNG운반"/>
      <sheetName val="기안(갑)"/>
      <sheetName val="노임단가표 "/>
      <sheetName val="을지"/>
      <sheetName val="제작비추산총괄표"/>
      <sheetName val="#REF"/>
      <sheetName val="12.재료비입력"/>
      <sheetName val="대차대조표"/>
      <sheetName val="노임단가"/>
      <sheetName val="data"/>
      <sheetName val="인입기본설계"/>
      <sheetName val="예산내역서"/>
      <sheetName val="기계경비(시간당)"/>
      <sheetName val="램머"/>
      <sheetName val="공사계획"/>
      <sheetName val="노무비"/>
      <sheetName val="2_설비현황"/>
      <sheetName val="노임단가표_"/>
      <sheetName val="수량산출"/>
      <sheetName val="DISTANCE"/>
      <sheetName val="8.6 인수공토적(공제)"/>
      <sheetName val="토공대가"/>
      <sheetName val="구조대가"/>
      <sheetName val="포설대가1"/>
      <sheetName val="부대대가"/>
      <sheetName val="견적서"/>
      <sheetName val="단가"/>
      <sheetName val="내역서2안"/>
      <sheetName val="공사가격내역서"/>
      <sheetName val="cost9801"/>
      <sheetName val="가격내역서"/>
      <sheetName val="납부서"/>
      <sheetName val="공사비내역서"/>
      <sheetName val="대신2차총괄"/>
      <sheetName val="성단물량"/>
      <sheetName val="관급_File"/>
      <sheetName val="관로공정"/>
      <sheetName val="공종단가"/>
      <sheetName val="공종구간"/>
      <sheetName val="총괄표"/>
      <sheetName val="1차 내역서"/>
      <sheetName val="한강운반비"/>
      <sheetName val="전차선로 물량표"/>
      <sheetName val="준공정산"/>
      <sheetName val="단가표"/>
      <sheetName val="내역"/>
      <sheetName val="명세서"/>
      <sheetName val="노임"/>
      <sheetName val="내역서"/>
      <sheetName val="다곡2교"/>
      <sheetName val="시설물일위"/>
      <sheetName val="보증금(전신전화가입권)"/>
      <sheetName val="8.설치품셈"/>
      <sheetName val="직노"/>
      <sheetName val="발주처모음"/>
      <sheetName val="공통"/>
      <sheetName val="공용"/>
      <sheetName val="CODE"/>
      <sheetName val="설계 (2)"/>
      <sheetName val="b_balju_cho"/>
      <sheetName val="거래처"/>
      <sheetName val="화해(함평)"/>
      <sheetName val="화해(장성)"/>
      <sheetName val="공사통보서"/>
    </sheetNames>
    <sheetDataSet>
      <sheetData sheetId="0" refreshError="1">
        <row r="9">
          <cell r="F9">
            <v>46240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식재인부"/>
      <sheetName val="시설물일위"/>
    </sheetNames>
    <sheetDataSet>
      <sheetData sheetId="0" refreshError="1"/>
      <sheetData sheetId="1"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조종사 단위단가"/>
      <sheetName val="노무비단가"/>
    </sheetNames>
    <sheetDataSet>
      <sheetData sheetId="0">
        <row r="1">
          <cell r="B1">
            <v>47845</v>
          </cell>
        </row>
      </sheetData>
      <sheetData sheetId="1"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단가표"/>
      <sheetName val="품셈"/>
      <sheetName val="인부임"/>
      <sheetName val="산출명세서"/>
      <sheetName val="소요물자명세서"/>
      <sheetName val="지시서"/>
    </sheetNames>
    <sheetDataSet>
      <sheetData sheetId="0">
        <row r="7">
          <cell r="D7">
            <v>79114</v>
          </cell>
        </row>
        <row r="24">
          <cell r="D24">
            <v>37918</v>
          </cell>
        </row>
        <row r="31">
          <cell r="D31">
            <v>66570</v>
          </cell>
        </row>
        <row r="32">
          <cell r="D32">
            <v>67975</v>
          </cell>
        </row>
      </sheetData>
      <sheetData sheetId="1"/>
      <sheetData sheetId="2" refreshError="1"/>
      <sheetData sheetId="3" refreshError="1"/>
      <sheetData sheetId="4" refreshError="1"/>
      <sheetData sheetId="5"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20관리비율"/>
      <sheetName val="일위대가"/>
      <sheetName val="전선 및 전선관"/>
      <sheetName val="노무비단가"/>
      <sheetName val="내역1"/>
      <sheetName val="옥외 전력간선공사"/>
      <sheetName val="동원(3)"/>
      <sheetName val="#REF"/>
      <sheetName val="인부임"/>
      <sheetName val="화해(함평)"/>
      <sheetName val="화해(장성)"/>
      <sheetName val="내역서"/>
      <sheetName val="노임"/>
      <sheetName val="N賃率_職"/>
      <sheetName val="배전KT"/>
      <sheetName val="시설물일위"/>
      <sheetName val="중기사용료"/>
      <sheetName val="경율산정.XLS"/>
      <sheetName val="노임변동률"/>
      <sheetName val="OPGW기별"/>
      <sheetName val="지시서"/>
      <sheetName val="수량산출1"/>
      <sheetName val="자재단가표"/>
      <sheetName val="Baby일위대가"/>
      <sheetName val="b_balju_cho"/>
      <sheetName val="C-직노1"/>
      <sheetName val="을지"/>
      <sheetName val="노임단가"/>
      <sheetName val="노무비"/>
      <sheetName val="공조기휀"/>
      <sheetName val="수량산출"/>
      <sheetName val="중기일위대가"/>
      <sheetName val="토공"/>
      <sheetName val="제작비추산총괄표"/>
      <sheetName val="일위대가(가설)"/>
      <sheetName val="내역"/>
      <sheetName val="순공사비"/>
      <sheetName val="KCS-CA"/>
      <sheetName val="Sheet1"/>
      <sheetName val="전기공사일위대가"/>
      <sheetName val="노임단가(일반)"/>
      <sheetName val="표준내역"/>
      <sheetName val="공예을"/>
      <sheetName val="대운산출"/>
      <sheetName val="별첨1-4"/>
      <sheetName val="이천변압기운반비"/>
      <sheetName val="지급자재"/>
      <sheetName val="유림골조"/>
      <sheetName val="날개벽수량표"/>
      <sheetName val="J直材4"/>
      <sheetName val="Data"/>
      <sheetName val="단가조사"/>
      <sheetName val="포장공"/>
      <sheetName val="배수공"/>
      <sheetName val="새공통"/>
      <sheetName val="집계"/>
      <sheetName val="공사원가계산서"/>
      <sheetName val="부대내역"/>
      <sheetName val="모래기초"/>
      <sheetName val="JUCK"/>
      <sheetName val="산근"/>
      <sheetName val="도급내역(금차분)"/>
      <sheetName val="특수기호강도거푸집"/>
      <sheetName val="종배수관면벽신"/>
      <sheetName val="종배수관(신)"/>
      <sheetName val="메서,변+증"/>
      <sheetName val="지수"/>
      <sheetName val="직노"/>
      <sheetName val="갑지(추정)"/>
      <sheetName val="Sheet5"/>
      <sheetName val="FACTOR"/>
      <sheetName val="工관리비율"/>
      <sheetName val="工완성공사율"/>
      <sheetName val="절감효과"/>
      <sheetName val="설계예시"/>
      <sheetName val="간접비총괄 (2)"/>
      <sheetName val="구조물공"/>
      <sheetName val="부대공"/>
      <sheetName val="DATE"/>
      <sheetName val="차액보증"/>
      <sheetName val="인사자료총집계"/>
      <sheetName val="아파트건축"/>
      <sheetName val="Sheet13"/>
      <sheetName val="일위대가표(유단가)"/>
      <sheetName val="CTEMCOST"/>
      <sheetName val="산경"/>
      <sheetName val="일위대가목록"/>
      <sheetName val="원가계산서"/>
      <sheetName val="문산"/>
      <sheetName val="일위목록"/>
      <sheetName val="P&amp;L(Ahn)"/>
      <sheetName val="COST"/>
      <sheetName val="Sheet4"/>
      <sheetName val="을-ATYPE"/>
      <sheetName val="을_ATYPE"/>
      <sheetName val="dt0301"/>
      <sheetName val="dtt0301"/>
      <sheetName val="소화설비"/>
      <sheetName val="조건표"/>
      <sheetName val="원형맨홀수량"/>
      <sheetName val="단"/>
      <sheetName val="총괄표"/>
      <sheetName val="다곡2교"/>
      <sheetName val="이토변실"/>
      <sheetName val="제36-40호표"/>
      <sheetName val="총괄집계표"/>
      <sheetName val="CT "/>
      <sheetName val="재료"/>
      <sheetName val="설치자재"/>
      <sheetName val="기본사항"/>
      <sheetName val="환산"/>
      <sheetName val="일위"/>
      <sheetName val="4. 자재단가비교표"/>
      <sheetName val="4. 일위대가"/>
      <sheetName val="샌딩 에폭시 도장"/>
      <sheetName val="일반문틀 설치"/>
      <sheetName val="총괄내역서"/>
      <sheetName val="기본일위"/>
      <sheetName val="교각1"/>
      <sheetName val="재정비직인"/>
      <sheetName val="재정비내역"/>
      <sheetName val="지적고시내역"/>
      <sheetName val="원가_(2)"/>
      <sheetName val="전선_및_전선관"/>
      <sheetName val="옥외_전력간선공사"/>
      <sheetName val="경율산정_XLS"/>
      <sheetName val="품셈"/>
      <sheetName val="WATER"/>
      <sheetName val="차도부연장현황"/>
      <sheetName val="2.수량조서(발주용)"/>
      <sheetName val="Galaxy 소비자가격표"/>
      <sheetName val="목록"/>
      <sheetName val="96노임기준"/>
      <sheetName val="6PILE  (돌출)"/>
      <sheetName val="단위수량"/>
      <sheetName val="70%"/>
      <sheetName val="공종별수량집계"/>
      <sheetName val="담장산출"/>
      <sheetName val="견적"/>
      <sheetName val="약전설비"/>
      <sheetName val="업체명"/>
      <sheetName val="관리"/>
      <sheetName val="설계명세서"/>
      <sheetName val="대구-교대(A1)"/>
      <sheetName val="내역단위"/>
      <sheetName val="증감대비"/>
      <sheetName val="적현로"/>
      <sheetName val="아파트"/>
      <sheetName val="소비자가"/>
      <sheetName val="설직재-1"/>
      <sheetName val="EQT-ESTN"/>
      <sheetName val="기술부 VENDOR LIST"/>
      <sheetName val="B1(반포1차)"/>
      <sheetName val="D-경비1"/>
      <sheetName val="건축내역"/>
      <sheetName val="8.수량산출서"/>
      <sheetName val="9.단가조사서"/>
      <sheetName val="6.일위목록"/>
      <sheetName val="Sheet9"/>
      <sheetName val="중기사용료산출근거"/>
      <sheetName val="단가 및 재료비"/>
      <sheetName val="5사남"/>
      <sheetName val="단가산출"/>
      <sheetName val="조명시설"/>
      <sheetName val="woo(mac)"/>
      <sheetName val="guard(mac)"/>
      <sheetName val="가설대가"/>
      <sheetName val="토공대가"/>
      <sheetName val="구조대가"/>
      <sheetName val="포설대가1"/>
      <sheetName val="부대대가"/>
      <sheetName val="견적서"/>
      <sheetName val="합천내역"/>
      <sheetName val="(변경계약)총괄내역"/>
      <sheetName val="공통가설"/>
      <sheetName val="단위단가"/>
      <sheetName val="시행후면적"/>
      <sheetName val="품셈TABLE"/>
      <sheetName val="기존단가 (2)"/>
      <sheetName val="건축-물가변동"/>
      <sheetName val="자료입력"/>
      <sheetName val="예산명세서"/>
      <sheetName val="아파트_9"/>
      <sheetName val="1차설계변경내역"/>
      <sheetName val="인건-측정"/>
      <sheetName val="공정집계_국별"/>
      <sheetName val="단1"/>
      <sheetName val="Sheet3"/>
      <sheetName val="전기"/>
      <sheetName val="요율"/>
      <sheetName val="하도관리"/>
      <sheetName val="확약서"/>
      <sheetName val="000000"/>
      <sheetName val="퇴직영수증"/>
      <sheetName val="인건비"/>
      <sheetName val="정부노임단가"/>
      <sheetName val="전기일위대가"/>
      <sheetName val="MOKDONG(1)"/>
      <sheetName val="준검 내역서"/>
      <sheetName val="실행대비"/>
      <sheetName val="MOTOR"/>
      <sheetName val="일위대가(출입)"/>
      <sheetName val="(A)내역서"/>
      <sheetName val="결선list"/>
      <sheetName val="설계서"/>
      <sheetName val="8.PILE  (돌출)"/>
      <sheetName val="입찰안"/>
      <sheetName val="전국현황"/>
      <sheetName val="백암비스타내역"/>
      <sheetName val="기별"/>
      <sheetName val="단가명령서"/>
      <sheetName val="기본단가표"/>
      <sheetName val="원형1호맨홀토공수량"/>
      <sheetName val="아스콘포장 (5t)"/>
      <sheetName val="원가_(2)1"/>
      <sheetName val="전선_및_전선관1"/>
      <sheetName val="내역서(기성청구)"/>
      <sheetName val="재료비"/>
      <sheetName val="실행철강하도"/>
      <sheetName val="계수원본(99.2.28)"/>
      <sheetName val="경산"/>
      <sheetName val="경율산정"/>
      <sheetName val="방지책개소별명세"/>
      <sheetName val="부하계산서"/>
      <sheetName val="도로단위당"/>
      <sheetName val="내역서(실)"/>
      <sheetName val="갑지"/>
      <sheetName val="자재집계"/>
      <sheetName val="시공변경 설명서"/>
      <sheetName val="공사비증감내역"/>
      <sheetName val="변경조서"/>
      <sheetName val="362품셈"/>
      <sheetName val="POL6차-PIPING"/>
      <sheetName val="대목"/>
      <sheetName val="sw1"/>
      <sheetName val="설계서(1)"/>
      <sheetName val="해창정"/>
      <sheetName val="변압기 및 발전기 용량"/>
      <sheetName val="기자재비"/>
      <sheetName val="노임이"/>
      <sheetName val="Total"/>
      <sheetName val="일위대가표"/>
      <sheetName val="1차 내역서"/>
      <sheetName val="구리토평1전기"/>
      <sheetName val="적용단위길이"/>
      <sheetName val="피벗테이블데이터분석"/>
      <sheetName val="기계설비"/>
      <sheetName val="설계내역서"/>
      <sheetName val="공사개요"/>
      <sheetName val="대전-교대(A1-A2)"/>
      <sheetName val="시설물기초"/>
      <sheetName val="6호기"/>
      <sheetName val="방식총괄"/>
      <sheetName val="단가목록"/>
      <sheetName val="건축공사실행"/>
      <sheetName val="마포토정"/>
      <sheetName val="10월"/>
      <sheetName val="신천3호용수로"/>
      <sheetName val="2공구산출내역"/>
      <sheetName val="식재일위대가"/>
      <sheetName val="펀칭"/>
      <sheetName val="danga"/>
      <sheetName val="ilch"/>
      <sheetName val="을"/>
      <sheetName val="기둥(원형)"/>
      <sheetName val="물가자료"/>
      <sheetName val="암거공"/>
      <sheetName val="부대집계1"/>
      <sheetName val="가도단위"/>
      <sheetName val="3련 BOX"/>
      <sheetName val="unit 4"/>
      <sheetName val="제품별구성표"/>
      <sheetName val="48평단가"/>
      <sheetName val="57단가"/>
      <sheetName val="54평단가"/>
      <sheetName val="66평단가"/>
      <sheetName val="61단가"/>
      <sheetName val="89평단가"/>
      <sheetName val="84평단가"/>
      <sheetName val="골조시행"/>
      <sheetName val="대창(장성)"/>
      <sheetName val="대창(함평)-창열"/>
      <sheetName val="3"/>
      <sheetName val="패널"/>
      <sheetName val="국소별수량산출"/>
      <sheetName val="기기리스트"/>
      <sheetName val="BOX-1510"/>
      <sheetName val="암거단위"/>
      <sheetName val="물량"/>
      <sheetName val="평균높이산출근거"/>
      <sheetName val="횡배수관위치조서"/>
      <sheetName val="횡배수관집현황(2공구)"/>
      <sheetName val="실행내역"/>
      <sheetName val="9GNG운반"/>
      <sheetName val="내역을"/>
      <sheetName val="건축"/>
      <sheetName val="금융비용"/>
      <sheetName val="ERL_TBL"/>
      <sheetName val="EXPENSE"/>
      <sheetName val="기초단가"/>
      <sheetName val="건축원가"/>
      <sheetName val="COVER"/>
      <sheetName val="기계실"/>
      <sheetName val="내역서2안"/>
      <sheetName val="b_sul"/>
      <sheetName val="전체"/>
      <sheetName val="수공기"/>
      <sheetName val="중기"/>
      <sheetName val="CAUDIT"/>
      <sheetName val="토적계산"/>
      <sheetName val="목차"/>
      <sheetName val="수지예산"/>
      <sheetName val="전선"/>
      <sheetName val="CABLE"/>
      <sheetName val="Sheet2"/>
      <sheetName val="사용성검토"/>
      <sheetName val="asd"/>
      <sheetName val="단면치수"/>
      <sheetName val="DATA1"/>
      <sheetName val="7.수지"/>
      <sheetName val="광양방향"/>
      <sheetName val="BOX전기내역"/>
      <sheetName val="보증금(전신전화가입권)"/>
      <sheetName val="98년BS"/>
      <sheetName val="잉여금"/>
      <sheetName val="estimate(TOTAL) (2)"/>
      <sheetName val="estimate"/>
      <sheetName val="자재단가"/>
      <sheetName val="급여대장출력"/>
      <sheetName val="인원계획-미화"/>
      <sheetName val="부대시설"/>
      <sheetName val="공문"/>
      <sheetName val="원가계산 (2)"/>
      <sheetName val="하수급견적대비"/>
      <sheetName val="옥외_전력간선공사1"/>
      <sheetName val="경율산정_XLS1"/>
      <sheetName val="계수원본(99_2_28)"/>
      <sheetName val="CT_"/>
      <sheetName val="단가_및_재료비"/>
      <sheetName val="샌딩_에폭시_도장"/>
      <sheetName val="일반문틀_설치"/>
      <sheetName val="2_수량조서(발주용)"/>
      <sheetName val="Galaxy_소비자가격표"/>
      <sheetName val="6PILE__(돌출)"/>
      <sheetName val="간접비총괄_(2)"/>
      <sheetName val="기술부_VENDOR_LIST"/>
      <sheetName val="Tool"/>
      <sheetName val="PAC"/>
      <sheetName val="램머"/>
      <sheetName val="기성내역서"/>
      <sheetName val="산출근거"/>
      <sheetName val="시설장비"/>
      <sheetName val="내역서1999.8최종"/>
      <sheetName val="철거산출근거"/>
      <sheetName val="1-최종안"/>
      <sheetName val="사업분석-분양가결정"/>
      <sheetName val="Macro1"/>
      <sheetName val="Macro3"/>
      <sheetName val="Macro2"/>
      <sheetName val="신우"/>
      <sheetName val="설계개요"/>
      <sheetName val="1차_내역서"/>
      <sheetName val="8_수량산출서"/>
      <sheetName val="9_단가조사서"/>
      <sheetName val="6_일위목록"/>
      <sheetName val="기존단가_(2)"/>
      <sheetName val="Sheet1 (2)"/>
      <sheetName val="BEND LOSS"/>
      <sheetName val="spec1"/>
      <sheetName val="BID"/>
      <sheetName val="설계내역(2001)"/>
      <sheetName val="4)유동표"/>
      <sheetName val="ABUT수량-A1"/>
      <sheetName val="명단"/>
      <sheetName val="상세내역서"/>
      <sheetName val="#2-3 일위대가"/>
      <sheetName val="#2-4 단가대비표"/>
      <sheetName val="DATA 입력란"/>
      <sheetName val="1. 설계조건 2.단면가정 3. 하중계산"/>
      <sheetName val="동원인원"/>
      <sheetName val="자재단가비교표"/>
      <sheetName val="4__자재단가비교표"/>
      <sheetName val="4__일위대가"/>
      <sheetName val="준검_내역서"/>
      <sheetName val="토목검측서"/>
      <sheetName val="말뚝지지력산정"/>
      <sheetName val="집계표"/>
      <sheetName val="(10) 단가산출결과"/>
      <sheetName val="공비대비"/>
      <sheetName val="산출내역 (월기성)"/>
      <sheetName val="건축기성"/>
      <sheetName val="공량예산"/>
      <sheetName val="PIPE(인수본)"/>
      <sheetName val="기준표"/>
      <sheetName val="명세서(을)"/>
      <sheetName val=" FURNACE현설"/>
      <sheetName val="계림(함평)"/>
      <sheetName val="계림(장성)"/>
      <sheetName val="노원열병합  건축공사기성내역서"/>
      <sheetName val="BOX(상시)"/>
      <sheetName val="수량산출서"/>
      <sheetName val="1호철근량"/>
      <sheetName val="기계경비(시간당)"/>
      <sheetName val="본체"/>
      <sheetName val="날개벽"/>
      <sheetName val="대로근거"/>
      <sheetName val="REACTION(USE평시)"/>
      <sheetName val="설계조건"/>
      <sheetName val="REACTION(USD지진시)"/>
      <sheetName val="배관배선내역"/>
      <sheetName val="환경기계공정표 (3)"/>
      <sheetName val="combi(wall)"/>
      <sheetName val="전기자료"/>
      <sheetName val="Sheet14"/>
      <sheetName val="Sheet10"/>
      <sheetName val="대차대조표"/>
      <sheetName val="상행-교대(A1-A2)"/>
      <sheetName val="45,46"/>
      <sheetName val="사업성분석"/>
      <sheetName val="백호우계수"/>
      <sheetName val="총괄갑 "/>
      <sheetName val="99년신청"/>
      <sheetName val="C-노임단가"/>
      <sheetName val="실행내역 "/>
      <sheetName val="단가표"/>
      <sheetName val="청천내"/>
      <sheetName val="경제성분석"/>
      <sheetName val="SANTOGO"/>
      <sheetName val="SANBAISU"/>
      <sheetName val="조도계산(1)"/>
      <sheetName val="수량산출서(보강)"/>
      <sheetName val="중기솔뇨"/>
      <sheetName val="금액내역서"/>
      <sheetName val="개별직종노임단가(2002.5)"/>
      <sheetName val="역T형"/>
      <sheetName val="제2~7호표"/>
      <sheetName val="견적990322"/>
      <sheetName val="수로교총재료집계"/>
      <sheetName val="환율"/>
      <sheetName val="포승(S+H)"/>
      <sheetName val="포승(SHEET)"/>
      <sheetName val="변경내역서"/>
      <sheetName val="b_balju-단가단가단가"/>
      <sheetName val="갑1"/>
      <sheetName val="예산내역서"/>
      <sheetName val="설계예산서"/>
      <sheetName val="투찰"/>
      <sheetName val="I.설계조건"/>
      <sheetName val="3.건축(현장안)"/>
      <sheetName val="3F"/>
      <sheetName val="투찰가"/>
      <sheetName val="도근좌표"/>
      <sheetName val="5Strand-장기처짐PCI"/>
      <sheetName val="교대(A1-A2)"/>
      <sheetName val="마산월령동골조물량변경"/>
      <sheetName val="깨기"/>
      <sheetName val="설계내역2"/>
      <sheetName val="sst,stl창호"/>
      <sheetName val="돈암사업"/>
      <sheetName val="Key Data"/>
      <sheetName val="건축토목내역"/>
      <sheetName val="손익현황"/>
      <sheetName val="대비"/>
      <sheetName val="제출내역서"/>
      <sheetName val="내역서(실행)"/>
      <sheetName val="내역서 (원본)"/>
      <sheetName val="내역서(실행)3"/>
      <sheetName val="A"/>
      <sheetName val="몰운대초견적"/>
      <sheetName val="물가변동대가세부내역서"/>
      <sheetName val="계약내역(갑지)"/>
      <sheetName val="1.설계조건"/>
      <sheetName val="남양시작동010313100%"/>
      <sheetName val="노임9월"/>
      <sheetName val="단가입력창"/>
      <sheetName val="C.배수관공"/>
      <sheetName val="종배수관"/>
      <sheetName val="REINF."/>
      <sheetName val="LOADS"/>
      <sheetName val="토사(PE)"/>
      <sheetName val="시멘트 및 골재량산출"/>
      <sheetName val="공사비산출서"/>
      <sheetName val="Y-WORK"/>
      <sheetName val="터파기및재료"/>
      <sheetName val="보조셀"/>
      <sheetName val="품셈표"/>
      <sheetName val="BM"/>
      <sheetName val="상부수량집계표"/>
      <sheetName val="비탈면보호공수량산출"/>
      <sheetName val="수목표준대가"/>
      <sheetName val="내역서 업체견적단가"/>
      <sheetName val="건축일"/>
      <sheetName val="Option"/>
      <sheetName val="공예율"/>
      <sheetName val="basic_info"/>
      <sheetName val="Macro(차단기)"/>
      <sheetName val="J"/>
      <sheetName val="직접경비"/>
      <sheetName val="II손익관리"/>
      <sheetName val="업체코드"/>
      <sheetName val="토공집계"/>
      <sheetName val="1.우편집중내역서"/>
      <sheetName val="현장관리비"/>
      <sheetName val="수량집계"/>
      <sheetName val="물량표"/>
      <sheetName val="경계석수량집계"/>
      <sheetName val="갑지1"/>
      <sheetName val="단가산출1"/>
      <sheetName val="원가산출근거"/>
      <sheetName val="FB25JN"/>
      <sheetName val="역T형옹벽(3.0)"/>
      <sheetName val="3.하중산정4.지지력"/>
      <sheetName val="ASP"/>
      <sheetName val="금액"/>
      <sheetName val="설계서(8)"/>
      <sheetName val="설계서SC"/>
      <sheetName val="예산서"/>
      <sheetName val="총공사비"/>
      <sheetName val="가로등기초"/>
      <sheetName val="가도공"/>
      <sheetName val="9811"/>
      <sheetName val="H-pile(298x299)"/>
      <sheetName val="H-pile(250x250)"/>
      <sheetName val="기준FACTOR"/>
      <sheetName val="간지"/>
      <sheetName val="일위목록표"/>
      <sheetName val="    "/>
      <sheetName val="수량산출서_천안"/>
      <sheetName val="수량산출서_아산"/>
      <sheetName val="1호맨홀토공"/>
      <sheetName val="단가산출서"/>
      <sheetName val="공정량산출내역서 "/>
      <sheetName val="기계경비단가총괄표"/>
      <sheetName val="기계경비단가산출표"/>
      <sheetName val="기계경비손료 및 운전경비 산출"/>
      <sheetName val="기계경비 손료 및 운전경비 산출기준"/>
      <sheetName val="단가조사표"/>
      <sheetName val="노임단가표"/>
      <sheetName val="   "/>
      <sheetName val="계수"/>
      <sheetName val="용어"/>
      <sheetName val="98수문일위"/>
      <sheetName val="기계공사"/>
      <sheetName val="O＆P"/>
      <sheetName val="조사표"/>
      <sheetName val="노임목록"/>
      <sheetName val="중기목록"/>
      <sheetName val="자재목록"/>
      <sheetName val="SULKEA"/>
      <sheetName val="정화조동내역"/>
      <sheetName val="LH3 동양시스템"/>
      <sheetName val="대공종"/>
      <sheetName val="SAMPLE"/>
      <sheetName val="고등학교"/>
      <sheetName val="공조기(삭제)"/>
      <sheetName val="변압기_및_발전기_용량"/>
      <sheetName val="단위량"/>
      <sheetName val="재료집계표2"/>
      <sheetName val="토적집계표"/>
      <sheetName val="DAN"/>
      <sheetName val="단가표 (2)"/>
      <sheetName val="기계내역"/>
      <sheetName val="매출처비중(2)"/>
      <sheetName val="포장총괄집계표"/>
      <sheetName val="3CHBDC"/>
      <sheetName val="목표세부명세"/>
      <sheetName val="물가기준년"/>
      <sheetName val="장비기준"/>
      <sheetName val="205동"/>
      <sheetName val=""/>
      <sheetName val="절탄기단관교체공량"/>
      <sheetName val="이종재질교체공량"/>
      <sheetName val="Final SH Loose Tube 교체공량"/>
      <sheetName val="삭제금지단가"/>
      <sheetName val="work"/>
      <sheetName val="사업부배부A"/>
      <sheetName val="배수관접합및부설  "/>
      <sheetName val="코드"/>
      <sheetName val="내역5"/>
      <sheetName val="item"/>
      <sheetName val="Customer Databas"/>
      <sheetName val="성서방향-교대(A2)"/>
      <sheetName val="조직"/>
      <sheetName val="빗물받이(910-510-410)"/>
      <sheetName val="B"/>
      <sheetName val="유림콘도"/>
      <sheetName val="심사"/>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1.설계기준"/>
      <sheetName val="대구은행"/>
      <sheetName val="2-1. 경관조명 내역총괄표"/>
      <sheetName val="샤워실위생"/>
      <sheetName val="주요기준"/>
      <sheetName val="9-1차이내역"/>
      <sheetName val="1st"/>
      <sheetName val="조건"/>
      <sheetName val="예산"/>
      <sheetName val="賃料等一覧"/>
      <sheetName val="S&amp;R"/>
      <sheetName val="리츠"/>
      <sheetName val="가시설수량"/>
      <sheetName val="FAB별"/>
      <sheetName val="실행내역서"/>
      <sheetName val="용산1(해보)"/>
      <sheetName val="간접"/>
      <sheetName val="YM-IL1"/>
      <sheetName val="Cost Reduction"/>
      <sheetName val="포장단가"/>
      <sheetName val="품명별원가"/>
      <sheetName val="도수로(총)"/>
      <sheetName val="단가조사서"/>
      <sheetName val="자재표"/>
      <sheetName val="물가"/>
      <sheetName val="6공구(당초)"/>
      <sheetName val="RCF CLAIMED"/>
      <sheetName val="당사수지비교표"/>
      <sheetName val="당사수지"/>
      <sheetName val="설치조서"/>
      <sheetName val="30신설일위대가"/>
      <sheetName val="원가_(2)3"/>
      <sheetName val="전선_및_전선관3"/>
      <sheetName val="옥외_전력간선공사3"/>
      <sheetName val="경율산정_XLS3"/>
      <sheetName val="2_수량조서(발주용)2"/>
      <sheetName val="CT_2"/>
      <sheetName val="간접비총괄_(2)2"/>
      <sheetName val="샌딩_에폭시_도장2"/>
      <sheetName val="일반문틀_설치2"/>
      <sheetName val="6PILE__(돌출)2"/>
      <sheetName val="Galaxy_소비자가격표2"/>
      <sheetName val="기술부_VENDOR_LIST2"/>
      <sheetName val="기존단가_(2)2"/>
      <sheetName val="1차_내역서2"/>
      <sheetName val="8_수량산출서2"/>
      <sheetName val="9_단가조사서2"/>
      <sheetName val="6_일위목록2"/>
      <sheetName val="단가_및_재료비2"/>
      <sheetName val="4__자재단가비교표1"/>
      <sheetName val="4__일위대가1"/>
      <sheetName val="준검_내역서1"/>
      <sheetName val="변압기_및_발전기_용량1"/>
      <sheetName val="8_PILE__(돌출)1"/>
      <sheetName val="estimate(TOTAL)_(2)1"/>
      <sheetName val="7_수지1"/>
      <sheetName val="시공변경_설명서1"/>
      <sheetName val="아스콘포장_(5t)1"/>
      <sheetName val="총괄갑_1"/>
      <sheetName val="원가계산_(2)1"/>
      <sheetName val="계수원본(99_2_28)2"/>
      <sheetName val="실행내역_1"/>
      <sheetName val="Key_Data1"/>
      <sheetName val="unit_41"/>
      <sheetName val="Sheet1_(2)1"/>
      <sheetName val="3_건축(현장안)"/>
      <sheetName val="내역서_(원본)"/>
      <sheetName val="내역서1999_8최종1"/>
      <sheetName val="노원열병합__건축공사기성내역서"/>
      <sheetName val="BEND_LOSS"/>
      <sheetName val="(10)_단가산출결과"/>
      <sheetName val="산출내역_(월기성)"/>
      <sheetName val="_FURNACE현설"/>
      <sheetName val="환경기계공정표_(3)"/>
      <sheetName val="I_설계조건"/>
      <sheetName val="1_우편집중내역서"/>
      <sheetName val="3련_BOX"/>
      <sheetName val="1__설계조건_2_단면가정_3__하중계산1"/>
      <sheetName val="DATA_입력란1"/>
      <sheetName val="#2-3_일위대가"/>
      <sheetName val="#2-4_단가대비표"/>
      <sheetName val="내역서_업체견적단가"/>
      <sheetName val="REINF_"/>
      <sheetName val="Final_SH_Loose_Tube_교체공량"/>
      <sheetName val="배수관접합및부설__"/>
      <sheetName val="개별직종노임단가(2002_5)"/>
      <sheetName val="Customer_Databas"/>
      <sheetName val="시멘트_및_골재량산출"/>
      <sheetName val="단가표_(2)"/>
      <sheetName val="1_설계조건"/>
      <sheetName val="1_설계기준"/>
      <sheetName val="____"/>
      <sheetName val="기계경비손료_및_운전경비_산출"/>
      <sheetName val="기계경비_손료_및_운전경비_산출기준"/>
      <sheetName val="___"/>
      <sheetName val="2-1__경관조명_내역총괄표"/>
      <sheetName val="RCF_CLAIMED"/>
      <sheetName val="2004일위대가"/>
      <sheetName val="충주"/>
      <sheetName val="공사내역서"/>
      <sheetName val="연장및면적(좌측)"/>
      <sheetName val="인천제철"/>
      <sheetName val="관리,공감"/>
      <sheetName val="개산공사비"/>
      <sheetName val="2005년6월김문환"/>
      <sheetName val="확산동"/>
      <sheetName val="간접비"/>
      <sheetName val="판가반영"/>
      <sheetName val="안정검토"/>
      <sheetName val="7.PILE  (돌출)"/>
      <sheetName val="정산ISSUE(T)"/>
      <sheetName val="영동(D)"/>
      <sheetName val="토목주소"/>
      <sheetName val="배수내역"/>
      <sheetName val="6F8"/>
      <sheetName val="맨홀"/>
      <sheetName val="가로등내역서"/>
      <sheetName val="국영"/>
      <sheetName val="연습"/>
      <sheetName val="프랜트면허"/>
      <sheetName val="제-노임"/>
      <sheetName val="제직재"/>
      <sheetName val="우각부보강"/>
      <sheetName val="배수공집계표"/>
      <sheetName val="예정공정표"/>
      <sheetName val="덕전리"/>
      <sheetName val="횡배수관토공수량"/>
      <sheetName val="CON'C"/>
      <sheetName val="front"/>
      <sheetName val="매부산출"/>
      <sheetName val="현관"/>
      <sheetName val="저"/>
      <sheetName val="상세내역,전력산출서"/>
      <sheetName val="INPUT"/>
      <sheetName val="FRP내역서"/>
      <sheetName val="유통조직현황"/>
      <sheetName val="유림총괄"/>
      <sheetName val="공사예산하조서(O.K)"/>
      <sheetName val="AHU-701(2)"/>
      <sheetName val="C_d"/>
      <sheetName val="차이내역"/>
      <sheetName val="우수"/>
      <sheetName val="특수선일위대가"/>
      <sheetName val="심사계산"/>
      <sheetName val="심사물량"/>
      <sheetName val="입찰보고"/>
      <sheetName val="120대형 환기량PK-1"/>
      <sheetName val="급수 (LPM)"/>
      <sheetName val="주관사업"/>
      <sheetName val="TYPE1"/>
      <sheetName val="철근량"/>
      <sheetName val="정산"/>
      <sheetName val="적용기준표(98년상반기)"/>
      <sheetName val="노임,기계단가"/>
      <sheetName val="관로수량산출집계"/>
      <sheetName val="한전수탁공사비내역서"/>
      <sheetName val="pldt"/>
      <sheetName val="표지"/>
      <sheetName val="설계서표지"/>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집계표(육상)"/>
      <sheetName val="암거"/>
      <sheetName val=" 냉각수펌프"/>
      <sheetName val="식재인부"/>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구성비"/>
      <sheetName val="특별교실"/>
      <sheetName val="토공총괄표"/>
      <sheetName val="목록1"/>
      <sheetName val="목록2"/>
      <sheetName val="자재"/>
      <sheetName val="산출내역서"/>
      <sheetName val="명일작업계획 (3)"/>
      <sheetName val="대가목록"/>
      <sheetName val="SG"/>
      <sheetName val="버스운행안내"/>
      <sheetName val="예방접종계획"/>
      <sheetName val="근태계획서"/>
      <sheetName val="5흙막이"/>
      <sheetName val="MANUFACTORY"/>
      <sheetName val="길어깨(현황)"/>
      <sheetName val="연결관암거"/>
      <sheetName val="회로내역(승인)"/>
      <sheetName val="현장경상비"/>
      <sheetName val=" 견적서"/>
      <sheetName val="노임단가(전기·통신)"/>
      <sheetName val="노무비명세서"/>
      <sheetName val="성단물량"/>
      <sheetName val="식음료"/>
      <sheetName val="부관맨홀조서"/>
      <sheetName val="화전내"/>
      <sheetName val="기계경비"/>
      <sheetName val="철거공-조경"/>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7">
          <cell r="I7">
            <v>0</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sheetData sheetId="510" refreshError="1"/>
      <sheetData sheetId="511" refreshError="1"/>
      <sheetData sheetId="512" refreshError="1"/>
      <sheetData sheetId="513" refreshError="1"/>
      <sheetData sheetId="514" refreshError="1"/>
      <sheetData sheetId="515">
        <row r="5">
          <cell r="I5">
            <v>0</v>
          </cell>
        </row>
      </sheetData>
      <sheetData sheetId="516">
        <row r="7">
          <cell r="I7">
            <v>0</v>
          </cell>
        </row>
      </sheetData>
      <sheetData sheetId="517">
        <row r="7">
          <cell r="I7">
            <v>0</v>
          </cell>
        </row>
      </sheetData>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ow r="5">
          <cell r="I5">
            <v>0</v>
          </cell>
        </row>
      </sheetData>
      <sheetData sheetId="556">
        <row r="5">
          <cell r="I5">
            <v>0</v>
          </cell>
        </row>
      </sheetData>
      <sheetData sheetId="557">
        <row r="5">
          <cell r="I5">
            <v>0</v>
          </cell>
        </row>
      </sheetData>
      <sheetData sheetId="558">
        <row r="5">
          <cell r="I5">
            <v>0</v>
          </cell>
        </row>
      </sheetData>
      <sheetData sheetId="559" refreshError="1"/>
      <sheetData sheetId="560" refreshError="1"/>
      <sheetData sheetId="561" refreshError="1"/>
      <sheetData sheetId="562" refreshError="1"/>
      <sheetData sheetId="563">
        <row r="5">
          <cell r="I5">
            <v>0</v>
          </cell>
        </row>
      </sheetData>
      <sheetData sheetId="564">
        <row r="5">
          <cell r="I5">
            <v>0</v>
          </cell>
        </row>
      </sheetData>
      <sheetData sheetId="565">
        <row r="5">
          <cell r="I5">
            <v>0</v>
          </cell>
        </row>
      </sheetData>
      <sheetData sheetId="566" refreshError="1"/>
      <sheetData sheetId="567" refreshError="1"/>
      <sheetData sheetId="568" refreshError="1"/>
      <sheetData sheetId="569" refreshError="1"/>
      <sheetData sheetId="570">
        <row r="7">
          <cell r="I7" t="str">
            <v/>
          </cell>
        </row>
      </sheetData>
      <sheetData sheetId="571">
        <row r="5">
          <cell r="I5">
            <v>0</v>
          </cell>
        </row>
      </sheetData>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ow r="7">
          <cell r="I7">
            <v>0</v>
          </cell>
        </row>
      </sheetData>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row r="7">
          <cell r="I7">
            <v>0</v>
          </cell>
        </row>
      </sheetData>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000000"/>
      <sheetName val="VXXXXX"/>
      <sheetName val="기별명세"/>
      <sheetName val="공사설명"/>
      <sheetName val="공비예산"/>
      <sheetName val="자금계획"/>
      <sheetName val="공사계획"/>
      <sheetName val="가선지세"/>
      <sheetName val="접속지세"/>
      <sheetName val="공비총괄"/>
      <sheetName val="운반중량"/>
      <sheetName val="운반거리"/>
      <sheetName val="발받침"/>
      <sheetName val="비금재료"/>
      <sheetName val="비금노무"/>
      <sheetName val="장비손료"/>
      <sheetName val="수량총괄"/>
      <sheetName val="철거품셈"/>
      <sheetName val="노임단가"/>
      <sheetName val="부표총괄"/>
      <sheetName val="물가자료"/>
      <sheetName val="부표"/>
      <sheetName val="표지"/>
      <sheetName val="준공정산내역"/>
      <sheetName val="정산증감내역서"/>
      <sheetName val="준공검사보고서"/>
      <sheetName val="공사준공정산보고서"/>
      <sheetName val="공사비변경조서"/>
      <sheetName val="Sheet1"/>
      <sheetName val="산출명세"/>
      <sheetName val="설치품셈"/>
      <sheetName val="준공정산"/>
      <sheetName val="설계명세서"/>
      <sheetName val="일위대가표"/>
      <sheetName val="광주"/>
      <sheetName val="대전"/>
      <sheetName val="부산"/>
      <sheetName val="서울"/>
      <sheetName val="수원"/>
      <sheetName val="제주"/>
      <sheetName val="창원"/>
      <sheetName val="설계서(8)"/>
      <sheetName val="예산서(7)"/>
      <sheetName val="총공사비"/>
      <sheetName val="노임단가표"/>
      <sheetName val="#REF"/>
      <sheetName val="20_10_100"/>
      <sheetName val="설계서"/>
      <sheetName val="예산서"/>
      <sheetName val="기초자료입력"/>
    </sheetNames>
    <sheetDataSet>
      <sheetData sheetId="0" refreshError="1">
        <row r="12">
          <cell r="H12">
            <v>26560</v>
          </cell>
        </row>
        <row r="16">
          <cell r="H16">
            <v>247800</v>
          </cell>
        </row>
        <row r="33">
          <cell r="H33">
            <v>225109</v>
          </cell>
        </row>
        <row r="37">
          <cell r="H37">
            <v>6998</v>
          </cell>
        </row>
        <row r="40">
          <cell r="H40">
            <v>1271193</v>
          </cell>
        </row>
        <row r="43">
          <cell r="H43">
            <v>177967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Option"/>
      <sheetName val="날개벽수량표"/>
      <sheetName val="2-1.실별부하계산"/>
      <sheetName val="노임단가"/>
      <sheetName val="Sheet1 (2)"/>
      <sheetName val="투찰"/>
      <sheetName val="샌딩 에폭시 도장"/>
      <sheetName val="일반문틀 설치"/>
      <sheetName val="가물설계"/>
      <sheetName val="식재인부"/>
      <sheetName val="내역서"/>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유림골조"/>
      <sheetName val="단가"/>
      <sheetName val="N賃率-職"/>
      <sheetName val="노임단가(일반)"/>
      <sheetName val="(10) 단가산출결과"/>
      <sheetName val="특별교실"/>
      <sheetName val="TIE-IN"/>
      <sheetName val="현장지지물물량"/>
      <sheetName val="포장물량집계"/>
      <sheetName val="라.공사비"/>
      <sheetName val="다.도서인쇄비"/>
      <sheetName val="4.2유효폭의 계산"/>
      <sheetName val="개산공사비"/>
      <sheetName val="영업소실적"/>
      <sheetName val="상세"/>
      <sheetName val="관리,공감"/>
      <sheetName val="데이타"/>
      <sheetName val="데리네이타현황"/>
      <sheetName val="gyun"/>
      <sheetName val="wall"/>
      <sheetName val="Front"/>
      <sheetName val="보온공량 Metal"/>
      <sheetName val="보온공량 PE sleeve"/>
      <sheetName val="이중보온관 용접"/>
      <sheetName val="#REF"/>
      <sheetName val="Sheet1"/>
      <sheetName val="인부임"/>
      <sheetName val="차액보증"/>
      <sheetName val="시설물일위"/>
      <sheetName val="건축공사"/>
      <sheetName val="부관맨홀조서"/>
      <sheetName val="슬래브(PF)(하류)"/>
      <sheetName val="백호우계수"/>
      <sheetName val="품셈TABLE"/>
      <sheetName val="갑지(추정)"/>
      <sheetName val="노임"/>
      <sheetName val="설계변경내역서"/>
      <sheetName val="기초일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초자료입력"/>
      <sheetName val="표 지"/>
      <sheetName val="계획서"/>
      <sheetName val="설명서"/>
      <sheetName val="예산서"/>
      <sheetName val="공정표"/>
      <sheetName val="설계명세서"/>
      <sheetName val="공량설계표"/>
      <sheetName val="출력창"/>
      <sheetName val="준공정산"/>
      <sheetName val="준공보고"/>
      <sheetName val="산출명세"/>
      <sheetName val="간이공사"/>
      <sheetName val="간이예산"/>
      <sheetName val="간이준공보고"/>
      <sheetName val="일반시방서"/>
      <sheetName val="표준공종"/>
      <sheetName val="특기시방서"/>
      <sheetName val="사용방법"/>
      <sheetName val="Module1"/>
      <sheetName val="Module2"/>
      <sheetName val="Module3"/>
      <sheetName val="Module4"/>
      <sheetName val="설계명세"/>
      <sheetName val="환율"/>
      <sheetName val="설계서(8)"/>
      <sheetName val="예산서(7)"/>
      <sheetName val="총공사비"/>
      <sheetName val="설계명세서 (장비)"/>
    </sheetNames>
    <sheetDataSet>
      <sheetData sheetId="0" refreshError="1"/>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수시트"/>
      <sheetName val="산출내역서"/>
      <sheetName val="설계명세"/>
      <sheetName val="식재인부"/>
    </sheetNames>
    <sheetDataSet>
      <sheetData sheetId="0"/>
      <sheetData sheetId="1"/>
      <sheetData sheetId="2" refreshError="1"/>
      <sheetData sheetId="3"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마산월령동골조물량변경"/>
      <sheetName val="건축대비"/>
      <sheetName val="추가물량금액"/>
      <sheetName val="개략골조물량"/>
      <sheetName val="공사비내역(변경)"/>
      <sheetName val="시행대비증가요인 "/>
      <sheetName val="도곡E-1"/>
      <sheetName val="Sheet7"/>
      <sheetName val="품의서"/>
      <sheetName val="#REF"/>
      <sheetName val="정보"/>
      <sheetName val="유림골조"/>
      <sheetName val="갑지(추정)"/>
      <sheetName val="Sheet4"/>
      <sheetName val="코드"/>
      <sheetName val="골조시행"/>
      <sheetName val="갑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7A1"/>
      <sheetName val="292B1"/>
      <sheetName val="296B1"/>
      <sheetName val="296G1"/>
      <sheetName val="297B1"/>
      <sheetName val="3BBA1"/>
      <sheetName val="3BBB1"/>
      <sheetName val="3BBG1"/>
      <sheetName val="259A1"/>
      <sheetName val="455B1"/>
      <sheetName val="260A2"/>
      <sheetName val="260G2"/>
      <sheetName val="261A1"/>
      <sheetName val="261B1"/>
      <sheetName val="37BA1"/>
      <sheetName val="37BB1"/>
      <sheetName val="492B1"/>
      <sheetName val="261A2"/>
      <sheetName val="493A1"/>
      <sheetName val="221A1"/>
      <sheetName val="221A3"/>
      <sheetName val="221A4"/>
      <sheetName val="221B1"/>
      <sheetName val="laroux"/>
      <sheetName val="집계표"/>
      <sheetName val="광케블조장"/>
      <sheetName val="광손실표"/>
      <sheetName val="광기별"/>
      <sheetName val="광기별 (2)"/>
      <sheetName val="광기별 (3)"/>
      <sheetName val="계통도"/>
      <sheetName val="표지"/>
      <sheetName val="목차"/>
      <sheetName val="1. 기본설계서"/>
      <sheetName val="1-1. 공사계획서"/>
      <sheetName val="1-2. 공사비 총괄표"/>
      <sheetName val="1-3. 자금계획서"/>
      <sheetName val="1-4. 예정공정표"/>
      <sheetName val="1-5. 주자재내역서"/>
      <sheetName val="1-6. 자재산출내역"/>
      <sheetName val="1-7. 사업소별산출내역"/>
      <sheetName val="2. 설계명세서"/>
      <sheetName val="3. 품셈표"/>
      <sheetName val="3-1. 통신노임표"/>
      <sheetName val="요약전"/>
      <sheetName val="Sheet1"/>
      <sheetName val="Sheet2"/>
      <sheetName val="Sheet3"/>
      <sheetName val="1. 공사설명서"/>
      <sheetName val="2. 공사계획서"/>
      <sheetName val="3.공사시방서"/>
      <sheetName val="4. 품질"/>
      <sheetName val="5. 공정"/>
      <sheetName val="6. 공사비예산서"/>
      <sheetName val="7. 설계명세서"/>
      <sheetName val="8.품샘표"/>
      <sheetName val="9. 수량계산서"/>
      <sheetName val="10. 02(하)노임"/>
      <sheetName val="11.구매시방서"/>
      <sheetName val="간지"/>
      <sheetName val="2.청구내역 "/>
      <sheetName val="2.산출내역"/>
      <sheetName val="산출내역"/>
      <sheetName val="3설비현황"/>
      <sheetName val="OPGW현황"/>
      <sheetName val="비금속"/>
      <sheetName val="종합"/>
      <sheetName val="기별1"/>
      <sheetName val="설계명세서"/>
      <sheetName val="가공2원도"/>
      <sheetName val="노임단가표"/>
      <sheetName val="환"/>
      <sheetName val="rate"/>
      <sheetName val="인부임"/>
      <sheetName val="기초자료입력"/>
      <sheetName val="준공정산"/>
      <sheetName val="단가검토(예산)"/>
      <sheetName val="경비"/>
      <sheetName val="환율"/>
      <sheetName val="1.설계조건"/>
      <sheetName val="9GNG운반"/>
      <sheetName val="배전KT"/>
      <sheetName val="소요자재명세서2"/>
      <sheetName val="메서,변+증"/>
      <sheetName val="노임단가"/>
      <sheetName val="증감대비"/>
      <sheetName val="시중노임단가"/>
      <sheetName val="재료비"/>
      <sheetName val="경비일반이윤"/>
      <sheetName val="노무비"/>
      <sheetName val="공사예산"/>
      <sheetName val="1월"/>
      <sheetName val="적용기준표(98년상반기)"/>
      <sheetName val="노임단가(전기·통신)"/>
      <sheetName val="기별(철거)"/>
      <sheetName val="3.단가산출기초"/>
      <sheetName val="OPGW기별"/>
      <sheetName val="추가 품셈표"/>
      <sheetName val="총괄집계표"/>
      <sheetName val="소요자재"/>
      <sheetName val="대보~세기"/>
      <sheetName val="부관맨홀조서"/>
      <sheetName val="서울대규장각(가시설흙막이)"/>
      <sheetName val="3BL공동구 수량"/>
      <sheetName val="설계서(7)"/>
      <sheetName val="SH.R설치"/>
      <sheetName val="정산"/>
      <sheetName val="data"/>
      <sheetName val="식재수량표"/>
      <sheetName val="일위목록"/>
      <sheetName val="취득을지6"/>
      <sheetName val="넉시~922"/>
      <sheetName val="대수산분기~LG918"/>
      <sheetName val="색달~중문"/>
      <sheetName val="중문~삼일"/>
      <sheetName val="신서귀~고근산"/>
      <sheetName val="미악분기~913"/>
      <sheetName val="N賃率-職"/>
      <sheetName val="첨2. 공사계획서"/>
      <sheetName val="제작운반"/>
      <sheetName val="제작운반변경"/>
      <sheetName val="예산_부서코드"/>
      <sheetName val="단가입력창"/>
      <sheetName val="일반부표"/>
      <sheetName val="기초일위"/>
      <sheetName val="2. _x0002__x0000_U_x0000_"/>
      <sheetName val=""/>
      <sheetName val="예산"/>
      <sheetName val="별표집계"/>
      <sheetName val="관로공사"/>
      <sheetName val="수량산출"/>
      <sheetName val="노임단가자료"/>
      <sheetName val="Baby일위대가"/>
      <sheetName val="설계서(설치)"/>
      <sheetName val="목동공동구방재구간"/>
      <sheetName val="품셈(기초)"/>
      <sheetName val="Ⅴ-① (사업장 보관용)(1월)"/>
      <sheetName val="FC-101"/>
      <sheetName val="노임산출"/>
      <sheetName val="부서코드"/>
      <sheetName val="빗물받이(910-510-410)"/>
      <sheetName val="공비대비"/>
      <sheetName val="부하계산서"/>
      <sheetName val="경상직원"/>
      <sheetName val="품셈총괄표"/>
      <sheetName val="LANGUAGE"/>
      <sheetName val="직노"/>
      <sheetName val="적용건축"/>
      <sheetName val="맨홀조서"/>
      <sheetName val="경산"/>
      <sheetName val="일위대가표지"/>
      <sheetName val="파견및교육"/>
      <sheetName val="코드_관계회사"/>
      <sheetName val="코드_설비"/>
      <sheetName val="코드_차입"/>
      <sheetName val="설비입력"/>
      <sheetName val="관계회사CF"/>
      <sheetName val="기본일위"/>
      <sheetName val="지시서"/>
      <sheetName val="자재단가"/>
      <sheetName val="직접비내역서"/>
      <sheetName val="분전함신설"/>
      <sheetName val="접지1종"/>
      <sheetName val="misc"/>
      <sheetName val="코드_연료"/>
      <sheetName val="연료비"/>
      <sheetName val="코드_통화"/>
      <sheetName val="설계서"/>
      <sheetName val="기성내역서"/>
      <sheetName val="여과지동"/>
      <sheetName val="기초자료"/>
      <sheetName val="간공설계서"/>
      <sheetName val="설계명세"/>
      <sheetName val="설계"/>
      <sheetName val="공예을"/>
      <sheetName val="재정비직인"/>
      <sheetName val="재정비내역"/>
      <sheetName val="지적고시내역"/>
      <sheetName val="기성고"/>
      <sheetName val="경비일반이윤변경"/>
      <sheetName val="재료변경"/>
      <sheetName val="품셈"/>
      <sheetName val="식재인부"/>
      <sheetName val="중기손료"/>
      <sheetName val="설계명세서 (장비)"/>
      <sheetName val="2-1. 설계명세서통합조정)"/>
      <sheetName val="1000 DB구축 부표"/>
      <sheetName val="입력변수"/>
      <sheetName val="공사설명서"/>
      <sheetName val="공사계획서"/>
      <sheetName val="노무비 근거"/>
      <sheetName val="을지"/>
      <sheetName val="산출근거"/>
      <sheetName val="기계경비(시간당)"/>
      <sheetName val="램머"/>
      <sheetName val="2. _x0002_"/>
      <sheetName val="준공검사보고서"/>
      <sheetName val="거래처"/>
      <sheetName val="노무산출서"/>
      <sheetName val="일위대가"/>
      <sheetName val="단가"/>
      <sheetName val="예산서"/>
      <sheetName val="총공사비"/>
      <sheetName val="총괄"/>
      <sheetName val="시점교대"/>
      <sheetName val="5.경상직원"/>
      <sheetName val="고장계산(풍연#1)"/>
      <sheetName val="01상노임"/>
      <sheetName val="토공산근"/>
      <sheetName val="설계예산서"/>
      <sheetName val="내역"/>
      <sheetName val="기본DATA Sheet"/>
      <sheetName val="예산내역서"/>
      <sheetName val="참고입력자료"/>
      <sheetName val="자산번호"/>
      <sheetName val="3Ȯ_x0000_퀀㯂_x0000_"/>
      <sheetName val="_x0008_"/>
      <sheetName val="Âx±Ç\Ô_x0003__x0000__x0001_Æ}Å_x0004_È_x0006__x0000__x0000_Sheet1_x0006__x0000__x0000_ShÜ"/>
      <sheetName val="횡단보도"/>
      <sheetName val="성단물량"/>
      <sheetName val="MA"/>
      <sheetName val="마산월령동골조물량변경"/>
      <sheetName val="콘_재료분리(1)"/>
      <sheetName val="산출내역서집계표"/>
      <sheetName val="광기별_(2)"/>
      <sheetName val="광기별_(3)"/>
      <sheetName val="1__기본설계서"/>
      <sheetName val="1-1__공사계획서"/>
      <sheetName val="1-2__공사비_총괄표"/>
      <sheetName val="1-3__자금계획서"/>
      <sheetName val="1-4__예정공정표"/>
      <sheetName val="1-5__주자재내역서"/>
      <sheetName val="1-6__자재산출내역"/>
      <sheetName val="1-7__사업소별산출내역"/>
      <sheetName val="2__설계명세서"/>
      <sheetName val="3__품셈표"/>
      <sheetName val="3-1__통신노임표"/>
      <sheetName val="1__공사설명서"/>
      <sheetName val="2__공사계획서"/>
      <sheetName val="3_공사시방서"/>
      <sheetName val="4__품질"/>
      <sheetName val="5__공정"/>
      <sheetName val="6__공사비예산서"/>
      <sheetName val="7__설계명세서"/>
      <sheetName val="8_품샘표"/>
      <sheetName val="9__수량계산서"/>
      <sheetName val="10__02(하)노임"/>
      <sheetName val="11_구매시방서"/>
      <sheetName val="2_청구내역_"/>
      <sheetName val="2_산출내역"/>
      <sheetName val="1_설계조건"/>
      <sheetName val="3_단가산출기초"/>
      <sheetName val="추가_품셈표"/>
      <sheetName val="3BL공동구_수량"/>
      <sheetName val="SH_R설치"/>
      <sheetName val="첨2__공사계획서"/>
      <sheetName val="2__U"/>
      <sheetName val="Ⅴ-①_(사업장_보관용)(1월)"/>
      <sheetName val="1000_DB구축_부표"/>
      <sheetName val="설계명세서_(장비)"/>
      <sheetName val="2-1__설계명세서통합조정)"/>
      <sheetName val="노무비_근거"/>
      <sheetName val="2__"/>
      <sheetName val="5_경상직원"/>
      <sheetName val="기본DATA_Sheet"/>
      <sheetName val="Âx±Ç\ÔÆ}ÅÈSheet1ShÜ"/>
      <sheetName val="내역서"/>
      <sheetName val="투찰"/>
      <sheetName val="3Ȯ"/>
      <sheetName val="Âx±Ç\Ô_x0003_"/>
      <sheetName val="산출명세서"/>
      <sheetName val="0000"/>
      <sheetName val="Sheet1 (2)"/>
      <sheetName val="모델타입"/>
      <sheetName val="설계명세,97품셈"/>
      <sheetName val="2002하반기노임기준"/>
      <sheetName val="#REF"/>
      <sheetName val="가도공"/>
      <sheetName val="상반기손익차2총괄"/>
      <sheetName val="말뚝물량"/>
      <sheetName val="00상노임"/>
      <sheetName val="별총"/>
      <sheetName val="LOPCALC"/>
      <sheetName val="설계변경 내역서"/>
    </sheetNames>
    <sheetDataSet>
      <sheetData sheetId="0" refreshError="1">
        <row r="14">
          <cell r="K14" t="str">
            <v xml:space="preserve"> </v>
          </cell>
        </row>
        <row r="15">
          <cell r="N15" t="str">
            <v xml:space="preserve"> </v>
          </cell>
        </row>
        <row r="19">
          <cell r="E19">
            <v>36.6</v>
          </cell>
          <cell r="K19" t="str">
            <v xml:space="preserve"> </v>
          </cell>
          <cell r="N19" t="str">
            <v xml:space="preserve"> </v>
          </cell>
          <cell r="Q19" t="str">
            <v xml:space="preserve"> </v>
          </cell>
          <cell r="T19" t="str">
            <v xml:space="preserve"> </v>
          </cell>
        </row>
        <row r="21">
          <cell r="M21" t="str">
            <v xml:space="preserve"> </v>
          </cell>
        </row>
        <row r="22">
          <cell r="Q22" t="str">
            <v xml:space="preserve"> </v>
          </cell>
          <cell r="T22" t="str">
            <v xml:space="preserve"> </v>
          </cell>
        </row>
        <row r="32">
          <cell r="E32">
            <v>42.9</v>
          </cell>
          <cell r="K32" t="str">
            <v xml:space="preserve"> </v>
          </cell>
          <cell r="N32" t="str">
            <v xml:space="preserve"> </v>
          </cell>
          <cell r="AI32">
            <v>739.2</v>
          </cell>
          <cell r="AU32">
            <v>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12">
          <cell r="J12">
            <v>948</v>
          </cell>
        </row>
      </sheetData>
      <sheetData sheetId="32">
        <row r="12">
          <cell r="J12">
            <v>948</v>
          </cell>
        </row>
      </sheetData>
      <sheetData sheetId="33">
        <row r="12">
          <cell r="J12">
            <v>948</v>
          </cell>
        </row>
      </sheetData>
      <sheetData sheetId="34">
        <row r="12">
          <cell r="J12">
            <v>948</v>
          </cell>
        </row>
      </sheetData>
      <sheetData sheetId="35">
        <row r="12">
          <cell r="J12">
            <v>948</v>
          </cell>
        </row>
      </sheetData>
      <sheetData sheetId="36">
        <row r="12">
          <cell r="J12">
            <v>948</v>
          </cell>
        </row>
      </sheetData>
      <sheetData sheetId="37">
        <row r="12">
          <cell r="J12">
            <v>948</v>
          </cell>
        </row>
      </sheetData>
      <sheetData sheetId="38">
        <row r="12">
          <cell r="J12">
            <v>948</v>
          </cell>
        </row>
      </sheetData>
      <sheetData sheetId="39">
        <row r="12">
          <cell r="J12">
            <v>948</v>
          </cell>
        </row>
      </sheetData>
      <sheetData sheetId="40">
        <row r="12">
          <cell r="J12">
            <v>948</v>
          </cell>
        </row>
      </sheetData>
      <sheetData sheetId="41">
        <row r="12">
          <cell r="J12">
            <v>948</v>
          </cell>
        </row>
      </sheetData>
      <sheetData sheetId="42">
        <row r="12">
          <cell r="J12">
            <v>948</v>
          </cell>
        </row>
      </sheetData>
      <sheetData sheetId="43">
        <row r="12">
          <cell r="J12">
            <v>948</v>
          </cell>
        </row>
      </sheetData>
      <sheetData sheetId="44">
        <row r="12">
          <cell r="J12">
            <v>948</v>
          </cell>
        </row>
      </sheetData>
      <sheetData sheetId="45">
        <row r="12">
          <cell r="J12">
            <v>948</v>
          </cell>
        </row>
      </sheetData>
      <sheetData sheetId="46">
        <row r="12">
          <cell r="J12">
            <v>948</v>
          </cell>
        </row>
      </sheetData>
      <sheetData sheetId="47">
        <row r="12">
          <cell r="J12">
            <v>948</v>
          </cell>
        </row>
      </sheetData>
      <sheetData sheetId="48">
        <row r="12">
          <cell r="J12">
            <v>948</v>
          </cell>
        </row>
      </sheetData>
      <sheetData sheetId="49">
        <row r="12">
          <cell r="J12">
            <v>948</v>
          </cell>
        </row>
      </sheetData>
      <sheetData sheetId="50">
        <row r="12">
          <cell r="J12">
            <v>948</v>
          </cell>
        </row>
      </sheetData>
      <sheetData sheetId="51">
        <row r="12">
          <cell r="J12">
            <v>948</v>
          </cell>
        </row>
      </sheetData>
      <sheetData sheetId="52">
        <row r="12">
          <cell r="J12">
            <v>948</v>
          </cell>
        </row>
      </sheetData>
      <sheetData sheetId="53">
        <row r="12">
          <cell r="J12">
            <v>948</v>
          </cell>
        </row>
      </sheetData>
      <sheetData sheetId="54">
        <row r="12">
          <cell r="J12">
            <v>948</v>
          </cell>
        </row>
      </sheetData>
      <sheetData sheetId="55">
        <row r="12">
          <cell r="J12">
            <v>948</v>
          </cell>
        </row>
      </sheetData>
      <sheetData sheetId="56">
        <row r="12">
          <cell r="J12">
            <v>948</v>
          </cell>
        </row>
      </sheetData>
      <sheetData sheetId="57">
        <row r="12">
          <cell r="J12">
            <v>948</v>
          </cell>
        </row>
      </sheetData>
      <sheetData sheetId="58">
        <row r="12">
          <cell r="J12">
            <v>948</v>
          </cell>
        </row>
      </sheetData>
      <sheetData sheetId="59">
        <row r="12">
          <cell r="J12">
            <v>948</v>
          </cell>
        </row>
      </sheetData>
      <sheetData sheetId="60">
        <row r="12">
          <cell r="J12">
            <v>948</v>
          </cell>
        </row>
      </sheetData>
      <sheetData sheetId="61">
        <row r="12">
          <cell r="J12">
            <v>948</v>
          </cell>
        </row>
      </sheetData>
      <sheetData sheetId="62">
        <row r="12">
          <cell r="J12">
            <v>948</v>
          </cell>
        </row>
      </sheetData>
      <sheetData sheetId="63">
        <row r="12">
          <cell r="J12">
            <v>948</v>
          </cell>
        </row>
      </sheetData>
      <sheetData sheetId="64">
        <row r="12">
          <cell r="J12">
            <v>948</v>
          </cell>
        </row>
      </sheetData>
      <sheetData sheetId="65">
        <row r="12">
          <cell r="J12">
            <v>948</v>
          </cell>
        </row>
      </sheetData>
      <sheetData sheetId="66">
        <row r="12">
          <cell r="J12">
            <v>948</v>
          </cell>
        </row>
      </sheetData>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ow r="12">
          <cell r="J12">
            <v>948</v>
          </cell>
        </row>
      </sheetData>
      <sheetData sheetId="225">
        <row r="12">
          <cell r="J12">
            <v>948</v>
          </cell>
        </row>
      </sheetData>
      <sheetData sheetId="226">
        <row r="12">
          <cell r="J12">
            <v>948</v>
          </cell>
        </row>
      </sheetData>
      <sheetData sheetId="227">
        <row r="12">
          <cell r="J12">
            <v>948</v>
          </cell>
        </row>
      </sheetData>
      <sheetData sheetId="228">
        <row r="12">
          <cell r="J12">
            <v>948</v>
          </cell>
        </row>
      </sheetData>
      <sheetData sheetId="229">
        <row r="12">
          <cell r="J12">
            <v>948</v>
          </cell>
        </row>
      </sheetData>
      <sheetData sheetId="230">
        <row r="12">
          <cell r="J12">
            <v>948</v>
          </cell>
        </row>
      </sheetData>
      <sheetData sheetId="231">
        <row r="12">
          <cell r="J12">
            <v>948</v>
          </cell>
        </row>
      </sheetData>
      <sheetData sheetId="232">
        <row r="12">
          <cell r="J12">
            <v>948</v>
          </cell>
        </row>
      </sheetData>
      <sheetData sheetId="233">
        <row r="12">
          <cell r="J12">
            <v>948</v>
          </cell>
        </row>
      </sheetData>
      <sheetData sheetId="234">
        <row r="12">
          <cell r="J12">
            <v>948</v>
          </cell>
        </row>
      </sheetData>
      <sheetData sheetId="235">
        <row r="12">
          <cell r="J12">
            <v>948</v>
          </cell>
        </row>
      </sheetData>
      <sheetData sheetId="236">
        <row r="12">
          <cell r="J12">
            <v>948</v>
          </cell>
        </row>
      </sheetData>
      <sheetData sheetId="237">
        <row r="12">
          <cell r="J12">
            <v>948</v>
          </cell>
        </row>
      </sheetData>
      <sheetData sheetId="238">
        <row r="12">
          <cell r="J12">
            <v>948</v>
          </cell>
        </row>
      </sheetData>
      <sheetData sheetId="239">
        <row r="12">
          <cell r="J12">
            <v>948</v>
          </cell>
        </row>
      </sheetData>
      <sheetData sheetId="240">
        <row r="12">
          <cell r="J12">
            <v>948</v>
          </cell>
        </row>
      </sheetData>
      <sheetData sheetId="241">
        <row r="12">
          <cell r="J12">
            <v>948</v>
          </cell>
        </row>
      </sheetData>
      <sheetData sheetId="242">
        <row r="12">
          <cell r="J12">
            <v>948</v>
          </cell>
        </row>
      </sheetData>
      <sheetData sheetId="243">
        <row r="12">
          <cell r="J12">
            <v>948</v>
          </cell>
        </row>
      </sheetData>
      <sheetData sheetId="244">
        <row r="12">
          <cell r="J12">
            <v>948</v>
          </cell>
        </row>
      </sheetData>
      <sheetData sheetId="245">
        <row r="12">
          <cell r="J12">
            <v>948</v>
          </cell>
        </row>
      </sheetData>
      <sheetData sheetId="246">
        <row r="12">
          <cell r="J12">
            <v>948</v>
          </cell>
        </row>
      </sheetData>
      <sheetData sheetId="247">
        <row r="12">
          <cell r="J12">
            <v>948</v>
          </cell>
        </row>
      </sheetData>
      <sheetData sheetId="248">
        <row r="12">
          <cell r="J12">
            <v>948</v>
          </cell>
        </row>
      </sheetData>
      <sheetData sheetId="249">
        <row r="12">
          <cell r="J12">
            <v>948</v>
          </cell>
        </row>
      </sheetData>
      <sheetData sheetId="250">
        <row r="12">
          <cell r="J12">
            <v>948</v>
          </cell>
        </row>
      </sheetData>
      <sheetData sheetId="251">
        <row r="12">
          <cell r="J12">
            <v>948</v>
          </cell>
        </row>
      </sheetData>
      <sheetData sheetId="252">
        <row r="12">
          <cell r="J12">
            <v>948</v>
          </cell>
        </row>
      </sheetData>
      <sheetData sheetId="253">
        <row r="12">
          <cell r="J12">
            <v>948</v>
          </cell>
        </row>
      </sheetData>
      <sheetData sheetId="254">
        <row r="12">
          <cell r="J12">
            <v>948</v>
          </cell>
        </row>
      </sheetData>
      <sheetData sheetId="255">
        <row r="12">
          <cell r="J12">
            <v>948</v>
          </cell>
        </row>
      </sheetData>
      <sheetData sheetId="256">
        <row r="12">
          <cell r="J12">
            <v>948</v>
          </cell>
        </row>
      </sheetData>
      <sheetData sheetId="257">
        <row r="12">
          <cell r="J12">
            <v>948</v>
          </cell>
        </row>
      </sheetData>
      <sheetData sheetId="258">
        <row r="12">
          <cell r="J12">
            <v>948</v>
          </cell>
        </row>
      </sheetData>
      <sheetData sheetId="259">
        <row r="12">
          <cell r="J12">
            <v>948</v>
          </cell>
        </row>
      </sheetData>
      <sheetData sheetId="260">
        <row r="12">
          <cell r="J12">
            <v>948</v>
          </cell>
        </row>
      </sheetData>
      <sheetData sheetId="261">
        <row r="12">
          <cell r="J12">
            <v>948</v>
          </cell>
        </row>
      </sheetData>
      <sheetData sheetId="262">
        <row r="12">
          <cell r="J12">
            <v>948</v>
          </cell>
        </row>
      </sheetData>
      <sheetData sheetId="263">
        <row r="12">
          <cell r="J12">
            <v>948</v>
          </cell>
        </row>
      </sheetData>
      <sheetData sheetId="264">
        <row r="12">
          <cell r="J12">
            <v>948</v>
          </cell>
        </row>
      </sheetData>
      <sheetData sheetId="265">
        <row r="12">
          <cell r="J12">
            <v>948</v>
          </cell>
        </row>
      </sheetData>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내역"/>
      <sheetName val="4차원가계산서"/>
      <sheetName val="산출내역서"/>
    </sheetNames>
    <sheetDataSet>
      <sheetData sheetId="0"/>
      <sheetData sheetId="1">
        <row r="3">
          <cell r="H3">
            <v>1528562953</v>
          </cell>
        </row>
      </sheetData>
      <sheetData sheetId="2"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목차"/>
      <sheetName val="계획"/>
      <sheetName val="설명"/>
      <sheetName val="총괄"/>
      <sheetName val="자금"/>
      <sheetName val="공정"/>
      <sheetName val="시방"/>
      <sheetName val="품질1"/>
      <sheetName val="품질2"/>
      <sheetName val="안전"/>
      <sheetName val="시공품"/>
      <sheetName val="예산"/>
      <sheetName val="설계서"/>
      <sheetName val="품셈"/>
      <sheetName val="수량산"/>
      <sheetName val="포설도"/>
      <sheetName val="배치"/>
      <sheetName val="전원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10">
          <cell r="G10">
            <v>8735000</v>
          </cell>
        </row>
        <row r="56">
          <cell r="G56">
            <v>21050</v>
          </cell>
        </row>
      </sheetData>
      <sheetData sheetId="14" refreshError="1"/>
      <sheetData sheetId="15" refreshError="1"/>
      <sheetData sheetId="16" refreshError="1"/>
      <sheetData sheetId="17" refreshError="1"/>
      <sheetData sheetId="18"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목차"/>
      <sheetName val="계획"/>
      <sheetName val="설명"/>
      <sheetName val="총괄"/>
      <sheetName val="자금"/>
      <sheetName val="공정"/>
      <sheetName val="시방"/>
      <sheetName val="품질1"/>
      <sheetName val="품질2"/>
      <sheetName val="안전"/>
      <sheetName val="시공품"/>
      <sheetName val="예산"/>
      <sheetName val="설계서"/>
      <sheetName val="품셈"/>
      <sheetName val="수량산"/>
      <sheetName val="포설도"/>
      <sheetName val="배치"/>
      <sheetName val="전원배"/>
      <sheetName val="설계명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목차"/>
      <sheetName val="계획"/>
      <sheetName val="설명"/>
      <sheetName val="총괄"/>
      <sheetName val="자금"/>
      <sheetName val="공정"/>
      <sheetName val="시방"/>
      <sheetName val="품질1"/>
      <sheetName val="품질2"/>
      <sheetName val="안전"/>
      <sheetName val="시공품"/>
      <sheetName val="예산"/>
      <sheetName val="설계서"/>
      <sheetName val="품셈"/>
      <sheetName val="수량산"/>
      <sheetName val="포설도"/>
      <sheetName val="배치"/>
      <sheetName val="전원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초자료입력"/>
      <sheetName val="표 지"/>
      <sheetName val="계획서"/>
      <sheetName val="설명서"/>
      <sheetName val="예산서"/>
      <sheetName val="공정표"/>
      <sheetName val="설계명세서"/>
      <sheetName val="공량설계표"/>
      <sheetName val="출력창"/>
      <sheetName val="준공정산"/>
      <sheetName val="준공보고"/>
      <sheetName val="산출명세"/>
      <sheetName val="간이공사"/>
      <sheetName val="간이예산"/>
      <sheetName val="간이준공보고"/>
      <sheetName val="일반시방서"/>
      <sheetName val="표준공종"/>
      <sheetName val="특기시방서"/>
      <sheetName val="사용방법"/>
      <sheetName val="Module1"/>
      <sheetName val="Module2"/>
      <sheetName val="설계서"/>
      <sheetName val="257A1"/>
      <sheetName val="노임단가표"/>
      <sheetName val="설계명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설계조건 "/>
      <sheetName val="PILE "/>
      <sheetName val="6PILE  (돌출)"/>
    </sheetNames>
    <sheetDataSet>
      <sheetData sheetId="0" refreshError="1"/>
      <sheetData sheetId="1" refreshError="1"/>
      <sheetData sheetId="2"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반월시설물집계"/>
      <sheetName val="학습수목"/>
      <sheetName val="학습원내역"/>
      <sheetName val="반월관수"/>
      <sheetName val="반월수목집계"/>
      <sheetName val="총괄내역"/>
      <sheetName val="진입관수"/>
      <sheetName val="진입수목"/>
      <sheetName val="진입로내역"/>
      <sheetName val="시설물"/>
      <sheetName val="단가"/>
      <sheetName val="제방수목"/>
      <sheetName val="제방내역"/>
      <sheetName val="학습원관수"/>
      <sheetName val="유지관리"/>
      <sheetName val="식재출력용"/>
      <sheetName val="식재"/>
      <sheetName val="동화시설물집계"/>
      <sheetName val="동화천내역"/>
      <sheetName val="동화천수량집계"/>
      <sheetName val="단가조사"/>
      <sheetName val="수량산출서"/>
      <sheetName val="장비산출근거"/>
      <sheetName val="laroux"/>
      <sheetName val="4차원가계산서"/>
    </sheetNames>
    <sheetDataSet>
      <sheetData sheetId="0"/>
      <sheetData sheetId="1"/>
      <sheetData sheetId="2"/>
      <sheetData sheetId="3"/>
      <sheetData sheetId="4"/>
      <sheetData sheetId="5"/>
      <sheetData sheetId="6"/>
      <sheetData sheetId="7"/>
      <sheetData sheetId="8"/>
      <sheetData sheetId="9"/>
      <sheetData sheetId="10">
        <row r="12">
          <cell r="A12">
            <v>14000</v>
          </cell>
        </row>
      </sheetData>
      <sheetData sheetId="11" refreshError="1"/>
      <sheetData sheetId="12" refreshError="1"/>
      <sheetData sheetId="13" refreshError="1"/>
      <sheetData sheetId="14"/>
      <sheetData sheetId="15"/>
      <sheetData sheetId="16"/>
      <sheetData sheetId="17"/>
      <sheetData sheetId="18" refreshError="1"/>
      <sheetData sheetId="19"/>
      <sheetData sheetId="20" refreshError="1"/>
      <sheetData sheetId="21" refreshError="1"/>
      <sheetData sheetId="22" refreshError="1"/>
      <sheetData sheetId="23"/>
      <sheetData sheetId="24"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서"/>
      <sheetName val="집계표"/>
      <sheetName val="78호기내역서(건축분)"/>
      <sheetName val="78호기내역서(기계분)"/>
      <sheetName val="78호기콘크리트품"/>
      <sheetName val="78호기 모래 및 시멘트"/>
      <sheetName val="대표공종 및 물량"/>
      <sheetName val="12호기내역서(건축분)"/>
      <sheetName val="12호기내역서(기계분)"/>
      <sheetName val="설계명세서"/>
      <sheetName val="터파기및재료"/>
      <sheetName val="용수환경건물"/>
      <sheetName val="원효펌프교체020812"/>
      <sheetName val="산출근거#2-3"/>
      <sheetName val="실행"/>
      <sheetName val="HWSET"/>
      <sheetName val="내역서"/>
      <sheetName val="단가"/>
      <sheetName val="소화배관"/>
      <sheetName val="공조배관"/>
      <sheetName val="DATE"/>
      <sheetName val="마산월령동골조물량변경"/>
      <sheetName val="1.설계조건"/>
      <sheetName val="Sheet2"/>
      <sheetName val="토목"/>
      <sheetName val="설계"/>
      <sheetName val="입찰"/>
      <sheetName val="현경"/>
      <sheetName val="백호우계수"/>
      <sheetName val="제작비추산총괄표"/>
      <sheetName val="노임단가"/>
      <sheetName val="수량산출"/>
      <sheetName val="집계"/>
      <sheetName val="산출내역서집계표"/>
      <sheetName val="설계내역"/>
      <sheetName val="내역"/>
      <sheetName val="FAB별"/>
      <sheetName val="입력"/>
      <sheetName val="부대공"/>
      <sheetName val="토공"/>
      <sheetName val="포장공"/>
      <sheetName val="단가산출"/>
      <sheetName val="예총"/>
      <sheetName val="배수공"/>
      <sheetName val="Total"/>
      <sheetName val="코드"/>
      <sheetName val="조명시설"/>
      <sheetName val=""/>
      <sheetName val="토목주소"/>
      <sheetName val="설계서"/>
      <sheetName val="총공사비"/>
      <sheetName val="N賃率-職"/>
      <sheetName val="덕전리"/>
      <sheetName val="설계명세"/>
      <sheetName val="Sheet3"/>
      <sheetName val="실행철강하도"/>
      <sheetName val="간접비계산"/>
      <sheetName val="Eq. Mobilization"/>
      <sheetName val="대비"/>
      <sheetName val="포장공(집계)"/>
      <sheetName val="본댐설계"/>
      <sheetName val="토목수량(공정)"/>
      <sheetName val="4차원가계산서"/>
      <sheetName val="단가결정"/>
      <sheetName val="기본일위"/>
      <sheetName val="VXXXXXXX"/>
      <sheetName val="송전재료비"/>
      <sheetName val="확약서"/>
      <sheetName val="판매시설"/>
      <sheetName val="갑지"/>
      <sheetName val="#REF"/>
      <sheetName val="단가목록"/>
      <sheetName val="소방사항"/>
    </sheetNames>
    <sheetDataSet>
      <sheetData sheetId="0" refreshError="1"/>
      <sheetData sheetId="1" refreshError="1"/>
      <sheetData sheetId="2"/>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단가(2000하반기)"/>
      <sheetName val="노임단가(2001상반기)"/>
      <sheetName val="참고입력자료"/>
      <sheetName val="자산번호"/>
      <sheetName val="설계명세,97품셈"/>
      <sheetName val="소요자재"/>
      <sheetName val="설계서"/>
      <sheetName val="2001상반기노임"/>
      <sheetName val="설계서SC"/>
      <sheetName val="단가표"/>
      <sheetName val="품셈표"/>
      <sheetName val="설계명세서"/>
      <sheetName val="기초자료입력"/>
      <sheetName val="OPGW기별"/>
      <sheetName val="경비"/>
      <sheetName val="MANUFACTORY"/>
      <sheetName val="Sheet7"/>
      <sheetName val="서울"/>
      <sheetName val="공사예산하조서(O.K)"/>
      <sheetName val="앞표지"/>
      <sheetName val="20_10_100"/>
      <sheetName val="적용기준표(98년상반기)"/>
      <sheetName val="Total"/>
      <sheetName val="정산내임"/>
      <sheetName val="DATE"/>
      <sheetName val="준공머리"/>
      <sheetName val="노임단가"/>
      <sheetName val="내역서(2)"/>
      <sheetName val="설계명세"/>
      <sheetName val="노무"/>
      <sheetName val="인건-측정"/>
      <sheetName val="노무비"/>
    </sheetNames>
    <sheetDataSet>
      <sheetData sheetId="0" refreshError="1">
        <row r="6">
          <cell r="B6" t="str">
            <v>직전 시중노임</v>
          </cell>
        </row>
        <row r="12">
          <cell r="A12" t="str">
            <v>S/W시험기사</v>
          </cell>
          <cell r="B12">
            <v>87283</v>
          </cell>
          <cell r="C12">
            <v>67975</v>
          </cell>
          <cell r="D12">
            <v>88655</v>
          </cell>
          <cell r="E12">
            <v>1.5699999999999999E-2</v>
          </cell>
          <cell r="F12">
            <v>69042</v>
          </cell>
        </row>
        <row r="13">
          <cell r="A13" t="str">
            <v>건축목공</v>
          </cell>
          <cell r="B13">
            <v>60176</v>
          </cell>
          <cell r="C13">
            <v>49459</v>
          </cell>
          <cell r="D13">
            <v>61692</v>
          </cell>
          <cell r="E13">
            <v>2.52E-2</v>
          </cell>
          <cell r="F13">
            <v>50705</v>
          </cell>
        </row>
        <row r="14">
          <cell r="A14" t="str">
            <v>고급기술자</v>
          </cell>
          <cell r="B14">
            <v>109695</v>
          </cell>
          <cell r="C14">
            <v>126646</v>
          </cell>
          <cell r="D14">
            <v>108537</v>
          </cell>
          <cell r="E14">
            <v>-1.06E-2</v>
          </cell>
          <cell r="F14">
            <v>125303</v>
          </cell>
        </row>
        <row r="15">
          <cell r="A15" t="str">
            <v>고압케이블전공</v>
          </cell>
          <cell r="B15">
            <v>70455</v>
          </cell>
          <cell r="C15">
            <v>64352</v>
          </cell>
          <cell r="D15">
            <v>75996</v>
          </cell>
          <cell r="E15">
            <v>7.8600000000000003E-2</v>
          </cell>
          <cell r="F15">
            <v>69410</v>
          </cell>
        </row>
        <row r="16">
          <cell r="A16" t="str">
            <v>광케이블기사</v>
          </cell>
          <cell r="B16">
            <v>93734</v>
          </cell>
          <cell r="C16">
            <v>65350</v>
          </cell>
          <cell r="D16">
            <v>97185</v>
          </cell>
          <cell r="E16">
            <v>3.6799999999999999E-2</v>
          </cell>
          <cell r="F16">
            <v>67754</v>
          </cell>
        </row>
        <row r="17">
          <cell r="A17" t="str">
            <v>광통신기사</v>
          </cell>
          <cell r="B17">
            <v>109868</v>
          </cell>
          <cell r="C17">
            <v>65963</v>
          </cell>
          <cell r="D17">
            <v>110881</v>
          </cell>
          <cell r="E17">
            <v>9.1999999999999998E-3</v>
          </cell>
          <cell r="F17">
            <v>66569</v>
          </cell>
        </row>
        <row r="18">
          <cell r="A18" t="str">
            <v>궤도공</v>
          </cell>
          <cell r="B18">
            <v>58339</v>
          </cell>
          <cell r="C18">
            <v>44749</v>
          </cell>
          <cell r="D18">
            <v>57795</v>
          </cell>
          <cell r="E18">
            <v>-9.2999999999999992E-3</v>
          </cell>
          <cell r="F18">
            <v>44332</v>
          </cell>
        </row>
        <row r="19">
          <cell r="A19" t="str">
            <v>기계공</v>
          </cell>
          <cell r="B19">
            <v>46967</v>
          </cell>
          <cell r="C19">
            <v>32214</v>
          </cell>
          <cell r="D19">
            <v>47926</v>
          </cell>
          <cell r="E19">
            <v>2.0400000000000001E-2</v>
          </cell>
          <cell r="F19">
            <v>32871</v>
          </cell>
        </row>
        <row r="20">
          <cell r="A20" t="str">
            <v>기계설치공</v>
          </cell>
          <cell r="B20">
            <v>52839</v>
          </cell>
          <cell r="C20">
            <v>41805</v>
          </cell>
          <cell r="D20">
            <v>54218</v>
          </cell>
          <cell r="E20">
            <v>2.6100000000000002E-2</v>
          </cell>
          <cell r="F20">
            <v>42896</v>
          </cell>
        </row>
        <row r="21">
          <cell r="A21" t="str">
            <v>내선전공</v>
          </cell>
          <cell r="B21">
            <v>49296</v>
          </cell>
          <cell r="C21">
            <v>45375</v>
          </cell>
          <cell r="D21">
            <v>49969</v>
          </cell>
          <cell r="E21">
            <v>1.37E-2</v>
          </cell>
          <cell r="F21">
            <v>45996</v>
          </cell>
        </row>
        <row r="22">
          <cell r="A22" t="str">
            <v>내장공</v>
          </cell>
          <cell r="B22">
            <v>53250</v>
          </cell>
          <cell r="C22">
            <v>43384</v>
          </cell>
          <cell r="D22">
            <v>56117</v>
          </cell>
          <cell r="E22">
            <v>5.3800000000000001E-2</v>
          </cell>
          <cell r="F22">
            <v>45718</v>
          </cell>
        </row>
        <row r="23">
          <cell r="A23" t="str">
            <v>도장공</v>
          </cell>
          <cell r="B23">
            <v>53370</v>
          </cell>
          <cell r="C23">
            <v>46746</v>
          </cell>
          <cell r="D23">
            <v>56361</v>
          </cell>
          <cell r="E23">
            <v>5.6000000000000001E-2</v>
          </cell>
          <cell r="F23">
            <v>49363</v>
          </cell>
        </row>
        <row r="24">
          <cell r="A24" t="str">
            <v>무선안테나공</v>
          </cell>
          <cell r="B24">
            <v>96205</v>
          </cell>
          <cell r="C24">
            <v>46856</v>
          </cell>
          <cell r="D24">
            <v>91530</v>
          </cell>
          <cell r="E24">
            <v>-4.8599999999999997E-2</v>
          </cell>
          <cell r="F24">
            <v>44578</v>
          </cell>
        </row>
        <row r="25">
          <cell r="A25" t="str">
            <v>미장공</v>
          </cell>
          <cell r="B25">
            <v>54467</v>
          </cell>
          <cell r="C25">
            <v>43394</v>
          </cell>
          <cell r="D25">
            <v>58263</v>
          </cell>
          <cell r="E25">
            <v>6.9699999999999998E-2</v>
          </cell>
          <cell r="F25">
            <v>46418</v>
          </cell>
        </row>
        <row r="26">
          <cell r="A26" t="str">
            <v>방수공</v>
          </cell>
          <cell r="B26">
            <v>49062</v>
          </cell>
          <cell r="C26">
            <v>43064</v>
          </cell>
          <cell r="D26">
            <v>48704</v>
          </cell>
          <cell r="E26">
            <v>-7.3000000000000001E-3</v>
          </cell>
          <cell r="F26">
            <v>42749</v>
          </cell>
        </row>
        <row r="27">
          <cell r="A27" t="str">
            <v>배관공</v>
          </cell>
          <cell r="B27">
            <v>47537</v>
          </cell>
          <cell r="C27">
            <v>41154</v>
          </cell>
          <cell r="D27">
            <v>49542</v>
          </cell>
          <cell r="E27">
            <v>4.2200000000000001E-2</v>
          </cell>
          <cell r="F27">
            <v>42890</v>
          </cell>
        </row>
        <row r="28">
          <cell r="A28" t="str">
            <v>배전전공</v>
          </cell>
          <cell r="B28">
            <v>182333</v>
          </cell>
          <cell r="C28">
            <v>79114</v>
          </cell>
          <cell r="D28">
            <v>184746</v>
          </cell>
          <cell r="E28">
            <v>1.32E-2</v>
          </cell>
          <cell r="F28">
            <v>80158</v>
          </cell>
        </row>
        <row r="29">
          <cell r="A29" t="str">
            <v>보통인부</v>
          </cell>
          <cell r="B29">
            <v>34360</v>
          </cell>
          <cell r="C29">
            <v>29054</v>
          </cell>
          <cell r="D29">
            <v>37052</v>
          </cell>
          <cell r="E29">
            <v>7.8299999999999995E-2</v>
          </cell>
          <cell r="F29">
            <v>31328</v>
          </cell>
        </row>
        <row r="30">
          <cell r="A30" t="str">
            <v>비계공</v>
          </cell>
          <cell r="B30">
            <v>66149</v>
          </cell>
          <cell r="C30">
            <v>50273</v>
          </cell>
          <cell r="D30">
            <v>67640</v>
          </cell>
          <cell r="E30">
            <v>2.2499999999999999E-2</v>
          </cell>
          <cell r="F30">
            <v>51404</v>
          </cell>
        </row>
        <row r="31">
          <cell r="A31" t="str">
            <v>샷시공</v>
          </cell>
          <cell r="B31">
            <v>56652</v>
          </cell>
          <cell r="C31">
            <v>45624</v>
          </cell>
          <cell r="D31">
            <v>60072</v>
          </cell>
          <cell r="E31">
            <v>6.0400000000000002E-2</v>
          </cell>
          <cell r="F31">
            <v>48379</v>
          </cell>
        </row>
        <row r="32">
          <cell r="A32" t="str">
            <v>송전전공</v>
          </cell>
          <cell r="B32">
            <v>217032</v>
          </cell>
          <cell r="C32">
            <v>96979</v>
          </cell>
          <cell r="D32">
            <v>223961</v>
          </cell>
          <cell r="E32">
            <v>3.1899999999999998E-2</v>
          </cell>
          <cell r="F32">
            <v>100072</v>
          </cell>
        </row>
        <row r="33">
          <cell r="A33" t="str">
            <v>시공측량사</v>
          </cell>
          <cell r="B33">
            <v>50453</v>
          </cell>
          <cell r="C33">
            <v>35297</v>
          </cell>
          <cell r="D33">
            <v>49167</v>
          </cell>
          <cell r="E33">
            <v>-2.5499999999999998E-2</v>
          </cell>
          <cell r="F33">
            <v>34396</v>
          </cell>
        </row>
        <row r="34">
          <cell r="A34" t="str">
            <v>용접공(일반)</v>
          </cell>
          <cell r="B34">
            <v>59048</v>
          </cell>
          <cell r="C34">
            <v>50849</v>
          </cell>
          <cell r="D34">
            <v>60370</v>
          </cell>
          <cell r="E34">
            <v>2.24E-2</v>
          </cell>
          <cell r="F34">
            <v>51988</v>
          </cell>
        </row>
        <row r="35">
          <cell r="A35" t="str">
            <v>운전사(운반차)</v>
          </cell>
          <cell r="B35">
            <v>53633</v>
          </cell>
          <cell r="C35">
            <v>49985</v>
          </cell>
          <cell r="D35">
            <v>53094</v>
          </cell>
          <cell r="E35">
            <v>-0.01</v>
          </cell>
          <cell r="F35">
            <v>49485</v>
          </cell>
        </row>
        <row r="36">
          <cell r="A36" t="str">
            <v>유리공</v>
          </cell>
          <cell r="B36">
            <v>56548</v>
          </cell>
          <cell r="C36">
            <v>41619</v>
          </cell>
          <cell r="D36">
            <v>58188</v>
          </cell>
          <cell r="E36">
            <v>2.9000000000000001E-2</v>
          </cell>
          <cell r="F36">
            <v>42825</v>
          </cell>
        </row>
        <row r="37">
          <cell r="A37" t="str">
            <v>잠수부</v>
          </cell>
          <cell r="B37">
            <v>85405</v>
          </cell>
          <cell r="C37">
            <v>69227</v>
          </cell>
          <cell r="D37">
            <v>90140</v>
          </cell>
          <cell r="E37">
            <v>5.5399999999999998E-2</v>
          </cell>
          <cell r="F37">
            <v>73062</v>
          </cell>
        </row>
        <row r="38">
          <cell r="A38" t="str">
            <v>저압케이블전공</v>
          </cell>
          <cell r="B38">
            <v>62694</v>
          </cell>
          <cell r="C38">
            <v>60607</v>
          </cell>
          <cell r="D38">
            <v>67062</v>
          </cell>
          <cell r="E38">
            <v>6.9699999999999998E-2</v>
          </cell>
          <cell r="F38">
            <v>64831</v>
          </cell>
        </row>
        <row r="39">
          <cell r="A39" t="str">
            <v>전기공사기사1급</v>
          </cell>
          <cell r="B39">
            <v>56924</v>
          </cell>
          <cell r="C39">
            <v>52066</v>
          </cell>
          <cell r="D39">
            <v>64247</v>
          </cell>
          <cell r="E39">
            <v>0.12859999999999999</v>
          </cell>
          <cell r="F39">
            <v>58761</v>
          </cell>
        </row>
        <row r="40">
          <cell r="A40" t="str">
            <v>전기공사기사2급</v>
          </cell>
          <cell r="B40">
            <v>52819</v>
          </cell>
          <cell r="C40">
            <v>35662</v>
          </cell>
          <cell r="D40">
            <v>57654</v>
          </cell>
          <cell r="E40">
            <v>9.1499999999999998E-2</v>
          </cell>
          <cell r="F40">
            <v>38925</v>
          </cell>
        </row>
        <row r="41">
          <cell r="A41" t="str">
            <v>절단공</v>
          </cell>
          <cell r="B41">
            <v>61395</v>
          </cell>
          <cell r="C41">
            <v>44322</v>
          </cell>
          <cell r="D41">
            <v>61292</v>
          </cell>
          <cell r="E41">
            <v>-1.6999999999999999E-3</v>
          </cell>
          <cell r="F41">
            <v>44246</v>
          </cell>
        </row>
        <row r="42">
          <cell r="A42" t="str">
            <v>중급기술자</v>
          </cell>
          <cell r="B42">
            <v>91968</v>
          </cell>
          <cell r="C42">
            <v>91949</v>
          </cell>
          <cell r="D42">
            <v>88632</v>
          </cell>
          <cell r="E42">
            <v>-3.6299999999999999E-2</v>
          </cell>
          <cell r="F42">
            <v>88611</v>
          </cell>
        </row>
        <row r="43">
          <cell r="A43" t="str">
            <v>지붕잇기공</v>
          </cell>
          <cell r="B43">
            <v>67057</v>
          </cell>
          <cell r="C43">
            <v>49722</v>
          </cell>
          <cell r="D43">
            <v>67216</v>
          </cell>
          <cell r="E43">
            <v>2.3999999999999998E-3</v>
          </cell>
          <cell r="F43">
            <v>49841</v>
          </cell>
        </row>
        <row r="44">
          <cell r="A44" t="str">
            <v>지적기사1급</v>
          </cell>
          <cell r="B44">
            <v>88613</v>
          </cell>
          <cell r="C44">
            <v>57791</v>
          </cell>
          <cell r="D44">
            <v>90205</v>
          </cell>
          <cell r="E44">
            <v>1.7999999999999999E-2</v>
          </cell>
          <cell r="F44">
            <v>58831</v>
          </cell>
        </row>
        <row r="45">
          <cell r="A45" t="str">
            <v>지적기사2급</v>
          </cell>
          <cell r="B45">
            <v>74075</v>
          </cell>
          <cell r="C45">
            <v>50025</v>
          </cell>
          <cell r="D45">
            <v>74735</v>
          </cell>
          <cell r="E45">
            <v>8.8999999999999999E-3</v>
          </cell>
          <cell r="F45">
            <v>50470</v>
          </cell>
        </row>
        <row r="46">
          <cell r="A46" t="str">
            <v>창호목공</v>
          </cell>
          <cell r="B46">
            <v>51776</v>
          </cell>
          <cell r="C46">
            <v>40770</v>
          </cell>
          <cell r="D46">
            <v>55960</v>
          </cell>
          <cell r="E46">
            <v>8.0799999999999997E-2</v>
          </cell>
          <cell r="F46">
            <v>44064</v>
          </cell>
        </row>
        <row r="47">
          <cell r="A47" t="str">
            <v>철골공</v>
          </cell>
          <cell r="B47">
            <v>64454</v>
          </cell>
          <cell r="C47">
            <v>51330</v>
          </cell>
          <cell r="D47">
            <v>64572</v>
          </cell>
          <cell r="E47">
            <v>1.8E-3</v>
          </cell>
          <cell r="F47">
            <v>51422</v>
          </cell>
        </row>
        <row r="48">
          <cell r="A48" t="str">
            <v>철공</v>
          </cell>
          <cell r="B48">
            <v>63441</v>
          </cell>
          <cell r="C48">
            <v>43361</v>
          </cell>
          <cell r="D48">
            <v>68851</v>
          </cell>
          <cell r="E48">
            <v>8.5300000000000001E-2</v>
          </cell>
          <cell r="F48">
            <v>47059</v>
          </cell>
        </row>
        <row r="49">
          <cell r="A49" t="str">
            <v>철근공</v>
          </cell>
          <cell r="B49">
            <v>63607</v>
          </cell>
          <cell r="C49">
            <v>48001</v>
          </cell>
          <cell r="D49">
            <v>66745</v>
          </cell>
          <cell r="E49">
            <v>4.9299999999999997E-2</v>
          </cell>
          <cell r="F49">
            <v>50367</v>
          </cell>
        </row>
        <row r="50">
          <cell r="A50" t="str">
            <v>철판공</v>
          </cell>
          <cell r="B50">
            <v>58465</v>
          </cell>
          <cell r="C50">
            <v>39433</v>
          </cell>
          <cell r="D50">
            <v>59039</v>
          </cell>
          <cell r="E50">
            <v>9.7999999999999997E-3</v>
          </cell>
          <cell r="F50">
            <v>39819</v>
          </cell>
        </row>
        <row r="51">
          <cell r="A51" t="str">
            <v>초급기술자</v>
          </cell>
          <cell r="B51">
            <v>65947</v>
          </cell>
          <cell r="C51">
            <v>69970</v>
          </cell>
          <cell r="D51">
            <v>65216</v>
          </cell>
          <cell r="E51">
            <v>-1.11E-2</v>
          </cell>
          <cell r="F51">
            <v>69193</v>
          </cell>
        </row>
        <row r="52">
          <cell r="A52" t="str">
            <v>측량고급기술자</v>
          </cell>
          <cell r="B52" t="str">
            <v>국립지리원고시 제2000-5호 (2000.01.12 시행)</v>
          </cell>
          <cell r="F52">
            <v>92461</v>
          </cell>
        </row>
        <row r="53">
          <cell r="A53" t="str">
            <v>측량중급기술자</v>
          </cell>
          <cell r="F53">
            <v>76875</v>
          </cell>
        </row>
        <row r="54">
          <cell r="A54" t="str">
            <v>측량초급기능사</v>
          </cell>
          <cell r="F54">
            <v>43614</v>
          </cell>
        </row>
        <row r="55">
          <cell r="A55" t="str">
            <v>측량초급기술자</v>
          </cell>
          <cell r="F55">
            <v>57327</v>
          </cell>
        </row>
        <row r="56">
          <cell r="A56" t="str">
            <v>측량특급기술자</v>
          </cell>
          <cell r="F56">
            <v>120780</v>
          </cell>
        </row>
        <row r="57">
          <cell r="A57" t="str">
            <v>콘크리트공</v>
          </cell>
          <cell r="B57">
            <v>62281</v>
          </cell>
          <cell r="C57">
            <v>47619</v>
          </cell>
          <cell r="D57">
            <v>64308</v>
          </cell>
          <cell r="E57">
            <v>3.2500000000000001E-2</v>
          </cell>
          <cell r="F57">
            <v>49166</v>
          </cell>
        </row>
        <row r="58">
          <cell r="A58" t="str">
            <v>타일공</v>
          </cell>
          <cell r="B58">
            <v>56533</v>
          </cell>
          <cell r="C58">
            <v>45793</v>
          </cell>
          <cell r="D58">
            <v>56154</v>
          </cell>
          <cell r="E58">
            <v>-6.7000000000000002E-3</v>
          </cell>
          <cell r="F58">
            <v>45486</v>
          </cell>
        </row>
        <row r="59">
          <cell r="A59" t="str">
            <v>통신기사1급</v>
          </cell>
          <cell r="B59">
            <v>89331</v>
          </cell>
          <cell r="C59">
            <v>65504</v>
          </cell>
          <cell r="D59">
            <v>95528</v>
          </cell>
          <cell r="E59">
            <v>6.9400000000000003E-2</v>
          </cell>
          <cell r="F59">
            <v>70049</v>
          </cell>
        </row>
        <row r="60">
          <cell r="A60" t="str">
            <v>통신기사2급</v>
          </cell>
          <cell r="B60">
            <v>85223</v>
          </cell>
          <cell r="C60">
            <v>56475</v>
          </cell>
          <cell r="D60">
            <v>91106</v>
          </cell>
          <cell r="E60">
            <v>6.9000000000000006E-2</v>
          </cell>
          <cell r="F60">
            <v>60371</v>
          </cell>
        </row>
        <row r="61">
          <cell r="A61" t="str">
            <v>통신내선공</v>
          </cell>
          <cell r="B61">
            <v>56623</v>
          </cell>
          <cell r="C61">
            <v>39456</v>
          </cell>
          <cell r="D61">
            <v>57139</v>
          </cell>
          <cell r="E61">
            <v>9.1000000000000004E-3</v>
          </cell>
          <cell r="F61">
            <v>39815</v>
          </cell>
        </row>
        <row r="62">
          <cell r="A62" t="str">
            <v>통신설비공</v>
          </cell>
          <cell r="B62">
            <v>68225</v>
          </cell>
          <cell r="C62">
            <v>44632</v>
          </cell>
          <cell r="D62">
            <v>71782</v>
          </cell>
          <cell r="E62">
            <v>5.21E-2</v>
          </cell>
          <cell r="F62">
            <v>46957</v>
          </cell>
        </row>
        <row r="63">
          <cell r="A63" t="str">
            <v>통신외선공</v>
          </cell>
          <cell r="B63">
            <v>80630</v>
          </cell>
          <cell r="C63">
            <v>56366</v>
          </cell>
          <cell r="D63">
            <v>86391</v>
          </cell>
          <cell r="E63">
            <v>7.1400000000000005E-2</v>
          </cell>
          <cell r="F63">
            <v>60390</v>
          </cell>
        </row>
        <row r="64">
          <cell r="A64" t="str">
            <v>통신케이블공</v>
          </cell>
          <cell r="B64">
            <v>83279</v>
          </cell>
          <cell r="C64">
            <v>63140</v>
          </cell>
          <cell r="D64">
            <v>89004</v>
          </cell>
          <cell r="E64">
            <v>6.8699999999999997E-2</v>
          </cell>
          <cell r="F64">
            <v>67477</v>
          </cell>
        </row>
        <row r="65">
          <cell r="A65" t="str">
            <v>특별인부</v>
          </cell>
          <cell r="B65">
            <v>50160</v>
          </cell>
          <cell r="C65">
            <v>40839</v>
          </cell>
          <cell r="D65">
            <v>51490</v>
          </cell>
          <cell r="E65">
            <v>2.6499999999999999E-2</v>
          </cell>
          <cell r="F65">
            <v>41921</v>
          </cell>
        </row>
        <row r="66">
          <cell r="A66" t="str">
            <v>특수비계공</v>
          </cell>
          <cell r="B66">
            <v>66312</v>
          </cell>
          <cell r="C66">
            <v>50332</v>
          </cell>
          <cell r="D66">
            <v>72456</v>
          </cell>
          <cell r="E66">
            <v>9.2700000000000005E-2</v>
          </cell>
          <cell r="F66">
            <v>54997</v>
          </cell>
        </row>
        <row r="67">
          <cell r="A67" t="str">
            <v>포설공</v>
          </cell>
          <cell r="B67">
            <v>55613</v>
          </cell>
          <cell r="C67">
            <v>36440</v>
          </cell>
          <cell r="D67">
            <v>56843</v>
          </cell>
          <cell r="E67">
            <v>2.2100000000000002E-2</v>
          </cell>
          <cell r="F67">
            <v>37245</v>
          </cell>
        </row>
        <row r="68">
          <cell r="A68" t="str">
            <v>포장공</v>
          </cell>
          <cell r="B68">
            <v>63929</v>
          </cell>
          <cell r="C68">
            <v>51970</v>
          </cell>
          <cell r="D68">
            <v>63034</v>
          </cell>
          <cell r="E68">
            <v>-1.4E-2</v>
          </cell>
          <cell r="F68">
            <v>51242</v>
          </cell>
        </row>
        <row r="69">
          <cell r="A69" t="str">
            <v>플랜트전공</v>
          </cell>
          <cell r="B69">
            <v>53292</v>
          </cell>
          <cell r="C69">
            <v>47873</v>
          </cell>
          <cell r="D69">
            <v>57299</v>
          </cell>
          <cell r="E69">
            <v>7.5200000000000003E-2</v>
          </cell>
          <cell r="F69">
            <v>51473</v>
          </cell>
        </row>
        <row r="70">
          <cell r="A70" t="str">
            <v>할석공</v>
          </cell>
          <cell r="B70">
            <v>65634</v>
          </cell>
          <cell r="C70">
            <v>54126</v>
          </cell>
          <cell r="D70">
            <v>64153</v>
          </cell>
          <cell r="E70">
            <v>-2.2599999999999999E-2</v>
          </cell>
          <cell r="F70">
            <v>52902</v>
          </cell>
        </row>
        <row r="71">
          <cell r="A71" t="str">
            <v>함석공</v>
          </cell>
          <cell r="B71">
            <v>60537</v>
          </cell>
          <cell r="C71">
            <v>49164</v>
          </cell>
          <cell r="D71">
            <v>60061</v>
          </cell>
          <cell r="E71">
            <v>-7.9000000000000008E-3</v>
          </cell>
          <cell r="F71">
            <v>48775</v>
          </cell>
        </row>
        <row r="72">
          <cell r="A72" t="str">
            <v>형틀목공</v>
          </cell>
          <cell r="B72">
            <v>61483</v>
          </cell>
          <cell r="C72">
            <v>48300</v>
          </cell>
          <cell r="D72">
            <v>63219</v>
          </cell>
          <cell r="E72">
            <v>2.8199999999999999E-2</v>
          </cell>
          <cell r="F72">
            <v>49662</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단가표"/>
      <sheetName val="품셈"/>
      <sheetName val="산출명세서"/>
    </sheetNames>
    <sheetDataSet>
      <sheetData sheetId="0" refreshError="1"/>
      <sheetData sheetId="1" refreshError="1"/>
      <sheetData sheetId="2"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ux1 (2)et1 (2)2)ion Pg 2lte"/>
      <sheetName val="소요물자명세서"/>
      <sheetName val="소요물자"/>
    </sheetNames>
    <sheetDataSet>
      <sheetData sheetId="0"/>
      <sheetData sheetId="1">
        <row r="1">
          <cell r="E1" t="str">
            <v xml:space="preserve"> 소요물자명세서(공사집행부서용)</v>
          </cell>
        </row>
        <row r="2">
          <cell r="A2" t="str">
            <v xml:space="preserve"> 수  신   :   총무부 경리과</v>
          </cell>
        </row>
        <row r="3">
          <cell r="A3" t="str">
            <v xml:space="preserve"> 본사운영계획    NO : </v>
          </cell>
          <cell r="D3" t="str">
            <v xml:space="preserve"> </v>
          </cell>
          <cell r="K3" t="str">
            <v xml:space="preserve">  청구부서 작성일자</v>
          </cell>
          <cell r="N3" t="str">
            <v>1999.04.09</v>
          </cell>
        </row>
        <row r="4">
          <cell r="A4" t="str">
            <v xml:space="preserve"> 사업소운영계획  NO :</v>
          </cell>
          <cell r="D4" t="str">
            <v>99통10-3</v>
          </cell>
          <cell r="F4" t="str">
            <v xml:space="preserve">  집행 사업소:  창원전력관리처</v>
          </cell>
          <cell r="K4" t="str">
            <v xml:space="preserve">  착 공 예 정 일 자</v>
          </cell>
          <cell r="N4" t="str">
            <v>1999.05</v>
          </cell>
        </row>
        <row r="5">
          <cell r="A5" t="str">
            <v>공사명: '99상반기 원격소장치 증설공사</v>
          </cell>
          <cell r="F5" t="str">
            <v xml:space="preserve">  청 구 부 서:  전자제어부 제어과</v>
          </cell>
          <cell r="K5" t="str">
            <v xml:space="preserve">  준 공 예 정 일 자</v>
          </cell>
          <cell r="N5" t="str">
            <v>1999.06</v>
          </cell>
        </row>
        <row r="6">
          <cell r="B6" t="str">
            <v xml:space="preserve"> </v>
          </cell>
        </row>
        <row r="7">
          <cell r="E7" t="str">
            <v>청구부서</v>
          </cell>
          <cell r="F7" t="str">
            <v>직 원</v>
          </cell>
          <cell r="G7" t="str">
            <v xml:space="preserve"> 과 장   부  장  부처장</v>
          </cell>
          <cell r="I7" t="str">
            <v>처 장</v>
          </cell>
          <cell r="K7" t="str">
            <v>자재부서</v>
          </cell>
          <cell r="L7" t="str">
            <v>직 원   과 장</v>
          </cell>
          <cell r="M7" t="str">
            <v>부 장</v>
          </cell>
          <cell r="N7" t="str">
            <v>부처장</v>
          </cell>
          <cell r="O7" t="str">
            <v>처 장</v>
          </cell>
        </row>
        <row r="12">
          <cell r="A12" t="str">
            <v xml:space="preserve"> 1.자재비 집계표</v>
          </cell>
          <cell r="K12" t="str">
            <v xml:space="preserve">출 납 책 임 자 </v>
          </cell>
          <cell r="P12" t="str">
            <v>(인)</v>
          </cell>
        </row>
        <row r="13">
          <cell r="B13" t="str">
            <v xml:space="preserve"> </v>
          </cell>
          <cell r="D13" t="str">
            <v xml:space="preserve"> 가      설      계</v>
          </cell>
          <cell r="I13" t="str">
            <v xml:space="preserve">     본      설       계</v>
          </cell>
        </row>
        <row r="14">
          <cell r="B14" t="str">
            <v xml:space="preserve">    구분</v>
          </cell>
          <cell r="C14" t="str">
            <v>예 산 액</v>
          </cell>
          <cell r="P14" t="str">
            <v>비  고</v>
          </cell>
        </row>
        <row r="15">
          <cell r="A15" t="str">
            <v xml:space="preserve"> 비목별</v>
          </cell>
          <cell r="D15" t="str">
            <v>본  사</v>
          </cell>
          <cell r="E15" t="str">
            <v xml:space="preserve">  사업소</v>
          </cell>
          <cell r="G15" t="str">
            <v>기 타</v>
          </cell>
          <cell r="H15" t="str">
            <v>계</v>
          </cell>
          <cell r="I15" t="str">
            <v>본사취급액</v>
          </cell>
          <cell r="K15" t="str">
            <v xml:space="preserve">    사 업 소</v>
          </cell>
          <cell r="M15" t="str">
            <v>기 타</v>
          </cell>
          <cell r="N15" t="str">
            <v xml:space="preserve">    계</v>
          </cell>
        </row>
        <row r="16">
          <cell r="A16" t="str">
            <v xml:space="preserve"> </v>
          </cell>
          <cell r="D16" t="str">
            <v xml:space="preserve"> 취 급 액</v>
          </cell>
          <cell r="E16" t="str">
            <v xml:space="preserve"> 취 급 액</v>
          </cell>
          <cell r="K16" t="str">
            <v xml:space="preserve">    취 급 액</v>
          </cell>
        </row>
        <row r="17">
          <cell r="A17" t="str">
            <v xml:space="preserve">  자 재 비</v>
          </cell>
          <cell r="E17" t="str">
            <v xml:space="preserve"> </v>
          </cell>
          <cell r="H17">
            <v>12480000</v>
          </cell>
          <cell r="N17" t="str">
            <v xml:space="preserve"> </v>
          </cell>
        </row>
        <row r="20">
          <cell r="A20" t="str">
            <v xml:space="preserve"> 2.자재수배조서(갑)</v>
          </cell>
        </row>
        <row r="21">
          <cell r="A21" t="str">
            <v>항목</v>
          </cell>
          <cell r="B21" t="str">
            <v>식 별</v>
          </cell>
          <cell r="C21" t="str">
            <v>품    명</v>
          </cell>
          <cell r="D21" t="str">
            <v>규  격</v>
          </cell>
          <cell r="E21" t="str">
            <v xml:space="preserve"> 단</v>
          </cell>
          <cell r="F21" t="str">
            <v xml:space="preserve">     가    설     계</v>
          </cell>
          <cell r="I21" t="str">
            <v xml:space="preserve">     본    설     계</v>
          </cell>
          <cell r="M21" t="str">
            <v xml:space="preserve">  조  달  구  분</v>
          </cell>
          <cell r="P21" t="str">
            <v>비  고</v>
          </cell>
        </row>
        <row r="22">
          <cell r="A22" t="str">
            <v>번호</v>
          </cell>
          <cell r="B22" t="str">
            <v>번 호</v>
          </cell>
          <cell r="E22" t="str">
            <v xml:space="preserve"> 위</v>
          </cell>
          <cell r="F22" t="str">
            <v>수 량</v>
          </cell>
          <cell r="G22" t="str">
            <v xml:space="preserve"> 단  가</v>
          </cell>
          <cell r="H22" t="str">
            <v xml:space="preserve">   금  액</v>
          </cell>
          <cell r="I22" t="str">
            <v>수  량</v>
          </cell>
          <cell r="J22" t="str">
            <v xml:space="preserve"> 단  가</v>
          </cell>
          <cell r="K22" t="str">
            <v xml:space="preserve"> </v>
          </cell>
          <cell r="L22" t="str">
            <v>금     액</v>
          </cell>
          <cell r="M22" t="str">
            <v xml:space="preserve"> 본사</v>
          </cell>
          <cell r="N22" t="str">
            <v>사업소</v>
          </cell>
          <cell r="O22" t="str">
            <v>지입</v>
          </cell>
        </row>
        <row r="23">
          <cell r="A23">
            <v>1</v>
          </cell>
          <cell r="B23" t="str">
            <v>184-2316</v>
          </cell>
          <cell r="C23" t="str">
            <v>MCD CARD</v>
          </cell>
          <cell r="D23" t="str">
            <v>24POINT/MODULE</v>
          </cell>
          <cell r="E23" t="str">
            <v>SET</v>
          </cell>
          <cell r="F23">
            <v>1</v>
          </cell>
          <cell r="G23">
            <v>1540000</v>
          </cell>
          <cell r="H23">
            <v>1540000</v>
          </cell>
          <cell r="I23" t="str">
            <v xml:space="preserve"> </v>
          </cell>
          <cell r="J23" t="str">
            <v xml:space="preserve"> </v>
          </cell>
          <cell r="K23" t="str">
            <v xml:space="preserve"> </v>
          </cell>
          <cell r="L23">
            <v>0</v>
          </cell>
          <cell r="M23">
            <v>0</v>
          </cell>
          <cell r="N23">
            <v>0</v>
          </cell>
          <cell r="O23">
            <v>0</v>
          </cell>
          <cell r="P23" t="str">
            <v xml:space="preserve"> </v>
          </cell>
        </row>
        <row r="24">
          <cell r="A24">
            <v>2</v>
          </cell>
          <cell r="B24" t="str">
            <v>184-2316</v>
          </cell>
          <cell r="C24" t="str">
            <v>D/I MODULE</v>
          </cell>
          <cell r="D24" t="str">
            <v>64POINT,A-TYPE</v>
          </cell>
          <cell r="E24" t="str">
            <v>SET</v>
          </cell>
          <cell r="F24">
            <v>2</v>
          </cell>
          <cell r="G24">
            <v>4200000</v>
          </cell>
          <cell r="H24">
            <v>8400000</v>
          </cell>
          <cell r="I24" t="str">
            <v xml:space="preserve"> </v>
          </cell>
          <cell r="J24" t="str">
            <v xml:space="preserve"> </v>
          </cell>
          <cell r="K24" t="str">
            <v xml:space="preserve"> </v>
          </cell>
          <cell r="L24">
            <v>0</v>
          </cell>
          <cell r="M24">
            <v>0</v>
          </cell>
          <cell r="N24">
            <v>0</v>
          </cell>
          <cell r="O24">
            <v>0</v>
          </cell>
          <cell r="P24" t="str">
            <v xml:space="preserve"> </v>
          </cell>
        </row>
        <row r="25">
          <cell r="A25">
            <v>3</v>
          </cell>
          <cell r="B25" t="str">
            <v>184-4416</v>
          </cell>
          <cell r="C25" t="str">
            <v>W/VAR T/D</v>
          </cell>
          <cell r="D25" t="str">
            <v>3상4선식,0~1mA</v>
          </cell>
          <cell r="E25" t="str">
            <v>EA</v>
          </cell>
          <cell r="F25">
            <v>3</v>
          </cell>
          <cell r="G25">
            <v>730000</v>
          </cell>
          <cell r="H25">
            <v>2190000</v>
          </cell>
          <cell r="I25" t="str">
            <v xml:space="preserve"> </v>
          </cell>
          <cell r="J25" t="str">
            <v xml:space="preserve"> </v>
          </cell>
          <cell r="K25" t="str">
            <v xml:space="preserve"> </v>
          </cell>
          <cell r="L25">
            <v>0</v>
          </cell>
          <cell r="M25">
            <v>0</v>
          </cell>
          <cell r="N25">
            <v>0</v>
          </cell>
          <cell r="O25">
            <v>0</v>
          </cell>
          <cell r="P25" t="str">
            <v xml:space="preserve"> </v>
          </cell>
        </row>
        <row r="26">
          <cell r="A26">
            <v>4</v>
          </cell>
          <cell r="B26" t="str">
            <v>184-4916</v>
          </cell>
          <cell r="C26" t="str">
            <v>TAP T/D</v>
          </cell>
          <cell r="D26" t="str">
            <v>10 ~ 210 Ω</v>
          </cell>
          <cell r="E26" t="str">
            <v>EA</v>
          </cell>
          <cell r="F26">
            <v>1</v>
          </cell>
          <cell r="G26">
            <v>350000</v>
          </cell>
          <cell r="H26">
            <v>350000</v>
          </cell>
          <cell r="I26" t="str">
            <v xml:space="preserve"> </v>
          </cell>
          <cell r="J26" t="str">
            <v xml:space="preserve"> </v>
          </cell>
          <cell r="K26" t="str">
            <v xml:space="preserve"> </v>
          </cell>
          <cell r="L26">
            <v>0</v>
          </cell>
          <cell r="M26">
            <v>0</v>
          </cell>
          <cell r="N26">
            <v>0</v>
          </cell>
          <cell r="O26">
            <v>0</v>
          </cell>
          <cell r="P26" t="str">
            <v xml:space="preserve"> </v>
          </cell>
        </row>
        <row r="27">
          <cell r="A27">
            <v>5</v>
          </cell>
          <cell r="B27" t="str">
            <v xml:space="preserve"> </v>
          </cell>
          <cell r="C27" t="str">
            <v xml:space="preserve"> </v>
          </cell>
          <cell r="D27" t="str">
            <v xml:space="preserve"> </v>
          </cell>
          <cell r="E27" t="str">
            <v xml:space="preserve"> </v>
          </cell>
          <cell r="F27" t="str">
            <v>이</v>
          </cell>
          <cell r="G27" t="str">
            <v xml:space="preserve">하 </v>
          </cell>
          <cell r="H27" t="str">
            <v xml:space="preserve">     여</v>
          </cell>
          <cell r="I27" t="str">
            <v xml:space="preserve"> </v>
          </cell>
          <cell r="J27" t="str">
            <v>백</v>
          </cell>
          <cell r="K27">
            <v>0</v>
          </cell>
          <cell r="L27">
            <v>0</v>
          </cell>
          <cell r="M27">
            <v>0</v>
          </cell>
          <cell r="N27">
            <v>0</v>
          </cell>
          <cell r="O27">
            <v>0</v>
          </cell>
          <cell r="P27" t="str">
            <v xml:space="preserve"> </v>
          </cell>
        </row>
        <row r="28">
          <cell r="A28">
            <v>6</v>
          </cell>
          <cell r="B28" t="str">
            <v xml:space="preserve"> </v>
          </cell>
          <cell r="C28" t="str">
            <v xml:space="preserve"> </v>
          </cell>
          <cell r="D28" t="str">
            <v xml:space="preserve"> </v>
          </cell>
          <cell r="E28" t="str">
            <v xml:space="preserve"> </v>
          </cell>
          <cell r="F28" t="str">
            <v xml:space="preserve"> </v>
          </cell>
          <cell r="G28" t="str">
            <v xml:space="preserve"> </v>
          </cell>
          <cell r="H28" t="str">
            <v xml:space="preserve"> </v>
          </cell>
          <cell r="I28" t="str">
            <v xml:space="preserve"> </v>
          </cell>
          <cell r="J28" t="str">
            <v xml:space="preserve"> </v>
          </cell>
          <cell r="K28" t="str">
            <v xml:space="preserve"> </v>
          </cell>
          <cell r="L28">
            <v>0</v>
          </cell>
          <cell r="M28">
            <v>0</v>
          </cell>
          <cell r="N28">
            <v>0</v>
          </cell>
          <cell r="P28" t="str">
            <v xml:space="preserve">  </v>
          </cell>
        </row>
        <row r="29">
          <cell r="A29">
            <v>7</v>
          </cell>
          <cell r="C29" t="str">
            <v xml:space="preserve"> </v>
          </cell>
          <cell r="D29" t="str">
            <v xml:space="preserve">  </v>
          </cell>
          <cell r="E29" t="str">
            <v xml:space="preserve"> </v>
          </cell>
          <cell r="F29" t="str">
            <v xml:space="preserve"> </v>
          </cell>
          <cell r="G29" t="str">
            <v xml:space="preserve"> </v>
          </cell>
          <cell r="H29">
            <v>0</v>
          </cell>
        </row>
        <row r="30">
          <cell r="A30">
            <v>8</v>
          </cell>
        </row>
        <row r="31">
          <cell r="A31">
            <v>9</v>
          </cell>
          <cell r="B31">
            <v>0</v>
          </cell>
          <cell r="D31" t="str">
            <v xml:space="preserve"> </v>
          </cell>
          <cell r="F31" t="str">
            <v xml:space="preserve"> </v>
          </cell>
          <cell r="G31" t="str">
            <v xml:space="preserve"> </v>
          </cell>
          <cell r="H31" t="str">
            <v xml:space="preserve"> </v>
          </cell>
          <cell r="I31" t="str">
            <v xml:space="preserve"> </v>
          </cell>
          <cell r="J31" t="str">
            <v xml:space="preserve"> </v>
          </cell>
          <cell r="L31">
            <v>0</v>
          </cell>
          <cell r="M31">
            <v>0</v>
          </cell>
          <cell r="N31">
            <v>0</v>
          </cell>
          <cell r="O31" t="str">
            <v xml:space="preserve"> </v>
          </cell>
          <cell r="P31" t="str">
            <v xml:space="preserve"> </v>
          </cell>
        </row>
        <row r="32">
          <cell r="A32">
            <v>10</v>
          </cell>
          <cell r="B32">
            <v>0</v>
          </cell>
          <cell r="C32" t="str">
            <v xml:space="preserve"> </v>
          </cell>
          <cell r="D32" t="str">
            <v xml:space="preserve"> </v>
          </cell>
          <cell r="E32" t="str">
            <v xml:space="preserve"> </v>
          </cell>
          <cell r="F32" t="str">
            <v xml:space="preserve"> </v>
          </cell>
          <cell r="G32" t="str">
            <v xml:space="preserve"> </v>
          </cell>
          <cell r="H32" t="str">
            <v xml:space="preserve"> </v>
          </cell>
          <cell r="I32">
            <v>0</v>
          </cell>
          <cell r="J32">
            <v>0</v>
          </cell>
          <cell r="K32">
            <v>0</v>
          </cell>
          <cell r="L32">
            <v>0</v>
          </cell>
          <cell r="M32">
            <v>0</v>
          </cell>
          <cell r="N32">
            <v>0</v>
          </cell>
          <cell r="O32">
            <v>0</v>
          </cell>
          <cell r="P32" t="str">
            <v xml:space="preserve"> </v>
          </cell>
        </row>
        <row r="33">
          <cell r="A33">
            <v>11</v>
          </cell>
          <cell r="B33">
            <v>0</v>
          </cell>
          <cell r="C33" t="str">
            <v xml:space="preserve"> </v>
          </cell>
          <cell r="D33" t="str">
            <v xml:space="preserve"> </v>
          </cell>
          <cell r="E33" t="str">
            <v xml:space="preserve"> </v>
          </cell>
          <cell r="F33" t="str">
            <v xml:space="preserve"> </v>
          </cell>
          <cell r="G33" t="str">
            <v xml:space="preserve"> </v>
          </cell>
          <cell r="H33" t="str">
            <v xml:space="preserve"> </v>
          </cell>
          <cell r="I33">
            <v>0</v>
          </cell>
          <cell r="J33">
            <v>0</v>
          </cell>
          <cell r="K33">
            <v>0</v>
          </cell>
          <cell r="L33">
            <v>0</v>
          </cell>
          <cell r="M33">
            <v>0</v>
          </cell>
          <cell r="N33">
            <v>0</v>
          </cell>
          <cell r="O33">
            <v>0</v>
          </cell>
          <cell r="P33" t="str">
            <v xml:space="preserve"> </v>
          </cell>
        </row>
        <row r="34">
          <cell r="A34">
            <v>12</v>
          </cell>
          <cell r="B34">
            <v>0</v>
          </cell>
          <cell r="C34" t="str">
            <v xml:space="preserve"> </v>
          </cell>
          <cell r="D34" t="str">
            <v xml:space="preserve"> </v>
          </cell>
          <cell r="E34" t="str">
            <v xml:space="preserve"> </v>
          </cell>
          <cell r="F34" t="str">
            <v xml:space="preserve"> </v>
          </cell>
          <cell r="G34" t="str">
            <v xml:space="preserve"> </v>
          </cell>
          <cell r="H34">
            <v>0</v>
          </cell>
          <cell r="I34">
            <v>0</v>
          </cell>
          <cell r="J34">
            <v>0</v>
          </cell>
          <cell r="K34">
            <v>0</v>
          </cell>
          <cell r="L34">
            <v>0</v>
          </cell>
          <cell r="M34">
            <v>0</v>
          </cell>
          <cell r="N34">
            <v>0</v>
          </cell>
          <cell r="O34">
            <v>0</v>
          </cell>
          <cell r="P34">
            <v>0</v>
          </cell>
        </row>
        <row r="35">
          <cell r="A35">
            <v>13</v>
          </cell>
          <cell r="G35" t="str">
            <v xml:space="preserve"> </v>
          </cell>
          <cell r="H35">
            <v>0</v>
          </cell>
          <cell r="I35">
            <v>0</v>
          </cell>
          <cell r="J35">
            <v>0</v>
          </cell>
          <cell r="K35">
            <v>0</v>
          </cell>
          <cell r="L35">
            <v>0</v>
          </cell>
          <cell r="M35">
            <v>0</v>
          </cell>
          <cell r="N35">
            <v>0</v>
          </cell>
          <cell r="O35">
            <v>0</v>
          </cell>
          <cell r="P35" t="str">
            <v xml:space="preserve"> </v>
          </cell>
        </row>
        <row r="36">
          <cell r="A36">
            <v>14</v>
          </cell>
          <cell r="G36" t="str">
            <v xml:space="preserve"> </v>
          </cell>
          <cell r="H36">
            <v>0</v>
          </cell>
          <cell r="I36">
            <v>0</v>
          </cell>
          <cell r="J36">
            <v>0</v>
          </cell>
          <cell r="K36">
            <v>0</v>
          </cell>
          <cell r="L36">
            <v>0</v>
          </cell>
          <cell r="M36">
            <v>0</v>
          </cell>
          <cell r="N36">
            <v>0</v>
          </cell>
          <cell r="O36">
            <v>0</v>
          </cell>
          <cell r="P36">
            <v>0</v>
          </cell>
        </row>
        <row r="37">
          <cell r="A37">
            <v>15</v>
          </cell>
          <cell r="G37" t="str">
            <v xml:space="preserve"> </v>
          </cell>
          <cell r="H37">
            <v>0</v>
          </cell>
          <cell r="I37">
            <v>0</v>
          </cell>
          <cell r="J37">
            <v>0</v>
          </cell>
          <cell r="K37">
            <v>0</v>
          </cell>
          <cell r="L37">
            <v>0</v>
          </cell>
          <cell r="M37">
            <v>0</v>
          </cell>
          <cell r="N37">
            <v>0</v>
          </cell>
          <cell r="O37">
            <v>0</v>
          </cell>
          <cell r="P37">
            <v>0</v>
          </cell>
        </row>
        <row r="38">
          <cell r="A38">
            <v>16</v>
          </cell>
          <cell r="G38" t="str">
            <v xml:space="preserve"> </v>
          </cell>
          <cell r="H38">
            <v>0</v>
          </cell>
          <cell r="I38">
            <v>0</v>
          </cell>
          <cell r="J38">
            <v>0</v>
          </cell>
          <cell r="K38">
            <v>0</v>
          </cell>
          <cell r="L38">
            <v>0</v>
          </cell>
          <cell r="M38">
            <v>0</v>
          </cell>
          <cell r="N38">
            <v>0</v>
          </cell>
          <cell r="O38">
            <v>0</v>
          </cell>
          <cell r="P38">
            <v>0</v>
          </cell>
        </row>
        <row r="39">
          <cell r="A39">
            <v>17</v>
          </cell>
          <cell r="G39" t="str">
            <v xml:space="preserve"> </v>
          </cell>
          <cell r="H39">
            <v>0</v>
          </cell>
          <cell r="I39">
            <v>0</v>
          </cell>
          <cell r="J39">
            <v>0</v>
          </cell>
          <cell r="K39">
            <v>0</v>
          </cell>
          <cell r="L39">
            <v>0</v>
          </cell>
          <cell r="M39">
            <v>0</v>
          </cell>
          <cell r="N39">
            <v>0</v>
          </cell>
          <cell r="O39">
            <v>0</v>
          </cell>
          <cell r="P39">
            <v>0</v>
          </cell>
        </row>
        <row r="40">
          <cell r="A40">
            <v>18</v>
          </cell>
        </row>
        <row r="41">
          <cell r="A41">
            <v>19</v>
          </cell>
          <cell r="G41" t="str">
            <v xml:space="preserve"> </v>
          </cell>
          <cell r="H41">
            <v>0</v>
          </cell>
          <cell r="I41">
            <v>0</v>
          </cell>
          <cell r="J41">
            <v>0</v>
          </cell>
          <cell r="K41">
            <v>0</v>
          </cell>
          <cell r="L41">
            <v>0</v>
          </cell>
          <cell r="M41">
            <v>0</v>
          </cell>
          <cell r="N41">
            <v>0</v>
          </cell>
          <cell r="O41">
            <v>0</v>
          </cell>
          <cell r="P41" t="str">
            <v xml:space="preserve"> </v>
          </cell>
        </row>
        <row r="42">
          <cell r="A42">
            <v>20</v>
          </cell>
          <cell r="G42" t="str">
            <v xml:space="preserve"> </v>
          </cell>
          <cell r="H42">
            <v>0</v>
          </cell>
          <cell r="I42">
            <v>0</v>
          </cell>
          <cell r="J42">
            <v>0</v>
          </cell>
          <cell r="K42">
            <v>0</v>
          </cell>
          <cell r="L42">
            <v>0</v>
          </cell>
          <cell r="M42">
            <v>0</v>
          </cell>
          <cell r="N42">
            <v>0</v>
          </cell>
          <cell r="O42">
            <v>0</v>
          </cell>
          <cell r="P42">
            <v>0</v>
          </cell>
        </row>
        <row r="43">
          <cell r="A43">
            <v>21</v>
          </cell>
          <cell r="G43" t="str">
            <v xml:space="preserve"> </v>
          </cell>
          <cell r="H43">
            <v>0</v>
          </cell>
          <cell r="I43">
            <v>0</v>
          </cell>
          <cell r="J43">
            <v>0</v>
          </cell>
          <cell r="K43">
            <v>0</v>
          </cell>
          <cell r="L43">
            <v>0</v>
          </cell>
          <cell r="M43">
            <v>0</v>
          </cell>
          <cell r="N43">
            <v>0</v>
          </cell>
          <cell r="O43">
            <v>0</v>
          </cell>
          <cell r="P43">
            <v>0</v>
          </cell>
        </row>
      </sheetData>
      <sheetData sheetId="2"/>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수량(공정)"/>
      <sheetName val="계약금액가능여부,조정설명서"/>
      <sheetName val="조정내역총괄표"/>
      <sheetName val="물가변동지수산근"/>
      <sheetName val="시중노임상승율산출표"/>
      <sheetName val="재료비상승율산출표"/>
      <sheetName val="기계경비상승율산출표"/>
      <sheetName val="기타경비산출근거"/>
      <sheetName val="변경공사비대비표(총괄)"/>
      <sheetName val="변경공사비대비표(송전)"/>
      <sheetName val="송전내역서(당초)"/>
      <sheetName val="지수조정율(송전)"/>
      <sheetName val="계수산정(송전)"/>
      <sheetName val="대가산정(합계) "/>
      <sheetName val="대가산정(송전)"/>
      <sheetName val="분류내역(송전)"/>
      <sheetName val="적용공사비대비표(총괄)"/>
      <sheetName val="적용공사비대비표(송전)"/>
      <sheetName val="송전대가"/>
      <sheetName val="송전내역서 (ESC)"/>
      <sheetName val="송전수량 (공정)"/>
      <sheetName val="송전수량(기성)"/>
      <sheetName val="분류수량 (2)"/>
      <sheetName val="철탑조립"/>
      <sheetName val="중운반 (2)"/>
      <sheetName val="공구손료"/>
      <sheetName val="변경공사비대비표(토목)"/>
      <sheetName val="토목내역서(당초)"/>
      <sheetName val="지수조정율(토목분) "/>
      <sheetName val="계수산정(토목)"/>
      <sheetName val="대가산정(토목)"/>
      <sheetName val="분류내역(토목)"/>
      <sheetName val="적용공사비대비표(토목)"/>
      <sheetName val="토목대가"/>
      <sheetName val="토목내역서(ESC)"/>
      <sheetName val="시공측량"/>
      <sheetName val="변동수량"/>
      <sheetName val="송전경비"/>
      <sheetName val="송전노무비"/>
      <sheetName val="송전재료비"/>
      <sheetName val="토목수량_공정_"/>
      <sheetName val="기본자료"/>
      <sheetName val="별표집계"/>
      <sheetName val="노임단가"/>
      <sheetName val="정산입력"/>
      <sheetName val="노임단가(2000하반기)"/>
      <sheetName val="해상"/>
      <sheetName val="단가"/>
      <sheetName val="콘센트신설"/>
      <sheetName val="산출명세서"/>
      <sheetName val="증감대비"/>
      <sheetName val="공종단가"/>
      <sheetName val="#REF"/>
      <sheetName val="ESC1"/>
      <sheetName val="노임단가표"/>
      <sheetName val="설계명세서"/>
      <sheetName val="각입중량산출서"/>
      <sheetName val="보호"/>
      <sheetName val="수주현황2월"/>
      <sheetName val="제4절-1"/>
      <sheetName val="일위대가"/>
      <sheetName val="대운반(철재)"/>
      <sheetName val="정산변경"/>
      <sheetName val="이"/>
      <sheetName val="별표2"/>
      <sheetName val="자재단가"/>
      <sheetName val="재료비단가"/>
      <sheetName val="8-3기계경비"/>
      <sheetName val="품셈"/>
      <sheetName val="품"/>
      <sheetName val="노임변동률"/>
      <sheetName val="Sheet2"/>
      <sheetName val="공사직종별노임"/>
      <sheetName val="00상노임"/>
      <sheetName val="토공사"/>
      <sheetName val="공예을"/>
      <sheetName val="내역서"/>
      <sheetName val="준공정산"/>
      <sheetName val="식재수량표"/>
      <sheetName val="공사설계서"/>
      <sheetName val="출력X"/>
      <sheetName val="LIST"/>
      <sheetName val="소요물자명세서"/>
      <sheetName val="노무비"/>
      <sheetName val="설계서"/>
      <sheetName val="선택"/>
      <sheetName val="15설계GIS"/>
      <sheetName val="DB구축"/>
      <sheetName val="1.설계조건"/>
      <sheetName val="DATE"/>
      <sheetName val="확약서"/>
      <sheetName val="분전함신설"/>
      <sheetName val="접지1종"/>
      <sheetName val="48수량(4단계)"/>
      <sheetName val="48일위"/>
      <sheetName val="22-1소단"/>
      <sheetName val="22-2M단"/>
      <sheetName val="부하계산"/>
      <sheetName val="진입로등"/>
      <sheetName val="설계명세"/>
      <sheetName val="건축내역(동해조인)"/>
      <sheetName val="환율"/>
      <sheetName val="배수관토공"/>
      <sheetName val="부관맨홀조서"/>
      <sheetName val="단재적표"/>
      <sheetName val="친척"/>
      <sheetName val="바인드"/>
      <sheetName val="고덕"/>
      <sheetName val="결성"/>
      <sheetName val="석문"/>
      <sheetName val="인지"/>
      <sheetName val="신흑2"/>
      <sheetName val="도안"/>
      <sheetName val="괴산"/>
      <sheetName val="단월"/>
      <sheetName val="산척"/>
      <sheetName val="노무산출서"/>
      <sheetName val="한강운반비"/>
      <sheetName val="내역"/>
      <sheetName val="재료비"/>
      <sheetName val="경비일반이윤"/>
      <sheetName val="공사예산"/>
      <sheetName val="집계"/>
      <sheetName val="대로근거"/>
      <sheetName val="VV보온LINK"/>
      <sheetName val="FIT보온LINK"/>
      <sheetName val="공정코드"/>
      <sheetName val="소요자재명세서"/>
      <sheetName val="설계명세01"/>
      <sheetName val="노임단가(직종번호 순)"/>
      <sheetName val="자료입력"/>
      <sheetName val="산출내역서집계표"/>
      <sheetName val="STB 1 TOWER LISTS"/>
      <sheetName val="설계명세,97품셈"/>
      <sheetName val="자산번호"/>
      <sheetName val="품산출서"/>
      <sheetName val="노임"/>
      <sheetName val="참고입력자료"/>
      <sheetName val="data"/>
      <sheetName val="상수구조화편집부표"/>
      <sheetName val="수량산출"/>
      <sheetName val="rate"/>
      <sheetName val="257A1"/>
      <sheetName val="9GNG운반"/>
      <sheetName val="예산서"/>
      <sheetName val="총공사비"/>
      <sheetName val="Sheet1 (2)"/>
      <sheetName val="설계자재"/>
      <sheetName val="지중자재단가"/>
      <sheetName val="Baby일위대가"/>
      <sheetName val="기초자료입력"/>
      <sheetName val="지입자재"/>
      <sheetName val="인건-측정"/>
      <sheetName val="품셈집계표"/>
      <sheetName val="자재조사표"/>
      <sheetName val="설계물량산출"/>
      <sheetName val="단가산출"/>
      <sheetName val="공사비"/>
      <sheetName val="36신설수량"/>
      <sheetName val="Ⅴ-① (사업장 보관용)(1월)"/>
      <sheetName val="8-2.설계서(도급분)"/>
      <sheetName val="Sheet5"/>
      <sheetName val="동방설계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1년 투융자1"/>
      <sheetName val="기초자료입력"/>
      <sheetName val="#REF"/>
      <sheetName val="설계명세서"/>
      <sheetName val="설계서"/>
      <sheetName val="준공정산"/>
      <sheetName val="설명서"/>
      <sheetName val="12품셈표"/>
      <sheetName val="토목수량(공정)"/>
      <sheetName val="내역서"/>
      <sheetName val="자산번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일위대가"/>
      <sheetName val="조명시설"/>
      <sheetName val="용수량(생활용수)"/>
      <sheetName val="1차 내역서"/>
      <sheetName val="경산"/>
      <sheetName val="공구"/>
      <sheetName val="기계경비(시간당)"/>
      <sheetName val="램머"/>
      <sheetName val="장비집계"/>
      <sheetName val="3BL공동구 수량"/>
      <sheetName val="자재집계표"/>
      <sheetName val="Sheet1"/>
      <sheetName val="가중치"/>
      <sheetName val="말뚝지지력산정"/>
      <sheetName val="주차구획선수량"/>
      <sheetName val="DATE"/>
      <sheetName val="수량산출"/>
      <sheetName val="신표지1"/>
      <sheetName val="산출금액내역"/>
      <sheetName val="일위대가9803"/>
      <sheetName val="Total"/>
      <sheetName val="집계표"/>
      <sheetName val="Sheet5"/>
      <sheetName val="INPUT"/>
      <sheetName val="내역서"/>
      <sheetName val="9GNG운반"/>
      <sheetName val="설비"/>
      <sheetName val="시운전연료"/>
      <sheetName val="노임"/>
      <sheetName val="b_balju"/>
      <sheetName val="9.정착구 보강"/>
      <sheetName val="CTEMCOST"/>
      <sheetName val="평가데이터"/>
      <sheetName val="제-노임"/>
      <sheetName val="제직재"/>
      <sheetName val="구천"/>
      <sheetName val="총투입계"/>
      <sheetName val="범례표"/>
      <sheetName val="조건"/>
      <sheetName val="실행철강하도"/>
      <sheetName val="청천내"/>
      <sheetName val="명세서"/>
      <sheetName val="예총"/>
      <sheetName val="현장예산"/>
      <sheetName val="2000년1차"/>
      <sheetName val="2000전체분"/>
      <sheetName val="자재대"/>
      <sheetName val="#REF"/>
      <sheetName val="일위"/>
      <sheetName val="기계경비"/>
      <sheetName val="총괄"/>
      <sheetName val="ABUT수량-A1"/>
      <sheetName val="산출근거"/>
      <sheetName val="간지"/>
      <sheetName val="조경내역서"/>
      <sheetName val="설계내역서"/>
      <sheetName val="설계예산서"/>
      <sheetName val="공제수량총집계표"/>
      <sheetName val="임금단가"/>
      <sheetName val="토적표"/>
      <sheetName val="한강운반비"/>
      <sheetName val="신우"/>
      <sheetName val="원본(갑지)"/>
      <sheetName val="단열-자재"/>
      <sheetName val="공사개요"/>
      <sheetName val="포장공"/>
      <sheetName val="수량3"/>
      <sheetName val="설계예산"/>
      <sheetName val="내역"/>
      <sheetName val="2공구하도급내역서"/>
      <sheetName val="요율"/>
      <sheetName val="3.공통공사대비"/>
      <sheetName val="TOTAL_BOQ"/>
      <sheetName val="동원인원"/>
      <sheetName val="터파기및재료"/>
      <sheetName val="자재단가"/>
      <sheetName val="연결관암거"/>
      <sheetName val="입력란"/>
      <sheetName val="97노임단가"/>
      <sheetName val="본선차로수량집계표"/>
      <sheetName val="도급예산내역서봉투"/>
      <sheetName val="공사원가계산서"/>
      <sheetName val="설계산출표지"/>
      <sheetName val="도급예산내역서총괄표"/>
      <sheetName val="을부담운반비"/>
      <sheetName val="운반비산출"/>
      <sheetName val="품셈집계표"/>
      <sheetName val="자재조사표"/>
      <sheetName val="옹벽일반수량"/>
      <sheetName val="조명율표"/>
      <sheetName val="설계서을"/>
      <sheetName val="원가"/>
      <sheetName val="WORK"/>
      <sheetName val="토사(PE)"/>
      <sheetName val="하조서"/>
      <sheetName val="날개벽"/>
      <sheetName val="현장경상비"/>
      <sheetName val="bid"/>
      <sheetName val="빙장비사양"/>
      <sheetName val="준검 내역서"/>
      <sheetName val="대창(함평)"/>
      <sheetName val="대창(장성)"/>
      <sheetName val="대창(함평)-창열"/>
      <sheetName val="심사공종"/>
      <sheetName val="database"/>
      <sheetName val="파형강관집계"/>
      <sheetName val="데이타"/>
      <sheetName val="2002하반기노임기준"/>
      <sheetName val="SANBAISU"/>
      <sheetName val="단가 (2)"/>
      <sheetName val="공사기본내용입력"/>
      <sheetName val="6PILE  (돌출)"/>
      <sheetName val="절대삭제금지"/>
      <sheetName val="부하계산서"/>
      <sheetName val="전선 및 전선관"/>
      <sheetName val="연습"/>
      <sheetName val="코드표"/>
      <sheetName val="견적"/>
      <sheetName val="신호등일위대가"/>
      <sheetName val="날개벽수량표"/>
      <sheetName val="덕전리"/>
      <sheetName val="흄관기초"/>
      <sheetName val="배수철근"/>
      <sheetName val="현장경비"/>
      <sheetName val="방배동내역(리라)"/>
      <sheetName val="건축공사집계표"/>
      <sheetName val="방배동내역 (총괄)"/>
      <sheetName val="부대공사총괄"/>
      <sheetName val="가압장(토목)"/>
      <sheetName val="대치판정"/>
      <sheetName val="DATA 입력란"/>
      <sheetName val="1. 설계조건 2.단면가정 3. 하중계산"/>
      <sheetName val="초기화면"/>
      <sheetName val="관급자재"/>
      <sheetName val="배관배선 단가조사"/>
      <sheetName val="일위대가집계"/>
      <sheetName val="목차"/>
      <sheetName val="을"/>
      <sheetName val="SG"/>
      <sheetName val="맨홀수량"/>
      <sheetName val="15"/>
      <sheetName val="12호기내역서(건축분)"/>
      <sheetName val="98NS-N"/>
      <sheetName val="집수정(600-700)"/>
      <sheetName val="우수맨홀공제단위수량"/>
      <sheetName val="내역서단가산출용"/>
      <sheetName val="단가산출"/>
      <sheetName val="교대(A1)"/>
      <sheetName val="Sheet2"/>
      <sheetName val="몰탈"/>
      <sheetName val="일반수량"/>
      <sheetName val="프랜트면허"/>
      <sheetName val="준공평가"/>
      <sheetName val="증감내역서"/>
      <sheetName val="98수문일위"/>
      <sheetName val="수량증감표"/>
      <sheetName val="터파기운반비산출"/>
      <sheetName val="산적토운반비산출"/>
      <sheetName val="적용단가"/>
      <sheetName val="3BL공동구_수량"/>
      <sheetName val="시선유도표지집계표"/>
      <sheetName val="70%"/>
      <sheetName val="철근량"/>
      <sheetName val="비교1"/>
      <sheetName val="물량표"/>
      <sheetName val="Sheet4"/>
      <sheetName val="구의33고"/>
      <sheetName val="시설물단가표"/>
      <sheetName val="노무비단가표"/>
      <sheetName val="기초자료입력"/>
      <sheetName val="설계명세서"/>
      <sheetName val="설계예시"/>
      <sheetName val="식재인부"/>
      <sheetName val="환경기계공정표 (3)"/>
      <sheetName val="자료입력"/>
      <sheetName val="기초코드"/>
      <sheetName val="SORCE1"/>
      <sheetName val="총집계표"/>
      <sheetName val="안정검토"/>
      <sheetName val="단면설계"/>
      <sheetName val="T13(P68~72,78)"/>
      <sheetName val="토목검측서"/>
      <sheetName val="slurrywall설계가"/>
      <sheetName val="이토변실(A3-LINE)"/>
      <sheetName val="96보완계획7.12"/>
      <sheetName val="화설내"/>
      <sheetName val="(A)내역서"/>
      <sheetName val="단면가정"/>
      <sheetName val="설계조건"/>
      <sheetName val="공사비집계"/>
      <sheetName val="wall"/>
      <sheetName val="품셈"/>
      <sheetName val="인부임"/>
      <sheetName val="원가+내역"/>
      <sheetName val="선정요령"/>
      <sheetName val="H-PILE수량집계"/>
      <sheetName val="Sheet1 (2)"/>
      <sheetName val="내역서(전기)"/>
      <sheetName val="이름정의"/>
      <sheetName val="대로근거"/>
      <sheetName val="Macro1"/>
      <sheetName val="중로근거"/>
      <sheetName val="BSD (2)"/>
      <sheetName val="Sheet3"/>
      <sheetName val="차선도색-연장,수량(1)"/>
      <sheetName val="내역갑지"/>
      <sheetName val="구조물터파기수량집계"/>
      <sheetName val="노임이"/>
      <sheetName val="총괄내역서"/>
      <sheetName val="2호맨홀공제수량"/>
      <sheetName val="전기단가조사서"/>
      <sheetName val="배수공 시멘트 및 골재량 산출"/>
      <sheetName val="공량(1월22일)"/>
      <sheetName val="측구터파기공수량집계"/>
      <sheetName val="원형맨홀수량"/>
      <sheetName val="일반수량총괄집계"/>
      <sheetName val="고유코드_설계"/>
      <sheetName val="도기류"/>
      <sheetName val="배수공"/>
      <sheetName val="건축내역"/>
      <sheetName val="할증"/>
      <sheetName val="확약서"/>
      <sheetName val="실행내역서"/>
      <sheetName val="파일의이용"/>
      <sheetName val="일위대가표"/>
      <sheetName val="변경비교-을"/>
      <sheetName val="내역서 (2)"/>
      <sheetName val="N賃率-職"/>
      <sheetName val="갑지"/>
      <sheetName val="수로단위수량"/>
      <sheetName val="빗물받이(910-510-410)"/>
      <sheetName val="데리네이타현황"/>
      <sheetName val="설계"/>
      <sheetName val="실행내역"/>
      <sheetName val="8.PILE  (돌출)"/>
      <sheetName val="입찰견적보고서"/>
      <sheetName val="전기"/>
      <sheetName val="TYPE-A"/>
      <sheetName val="마산방향"/>
      <sheetName val="진주방향"/>
      <sheetName val="입찰안"/>
      <sheetName val="단양 00 아파트-세부내역"/>
      <sheetName val="본사공가현황"/>
      <sheetName val="대비"/>
      <sheetName val="MAT"/>
      <sheetName val="중기사용료"/>
      <sheetName val="연장및면적(좌측)"/>
      <sheetName val="조경"/>
      <sheetName val="기본일위"/>
      <sheetName val="현금흐름"/>
      <sheetName val="갑지1"/>
      <sheetName val="공사"/>
      <sheetName val="정부노임단가"/>
      <sheetName val="EACT10"/>
      <sheetName val="일위대가_가설_"/>
      <sheetName val="금액"/>
      <sheetName val="시점교대"/>
      <sheetName val="부대내역"/>
      <sheetName val="공사비증감"/>
      <sheetName val="danga"/>
      <sheetName val="ilch"/>
      <sheetName val="PI"/>
      <sheetName val="물가대비표"/>
      <sheetName val="Sheet2 (2)"/>
      <sheetName val="단위단가"/>
      <sheetName val="건축내역서 (경제상무실)"/>
      <sheetName val="단가"/>
      <sheetName val="COPING"/>
      <sheetName val="간접"/>
      <sheetName val="원가계산하도"/>
      <sheetName val="입력자료"/>
      <sheetName val="설내역서 "/>
      <sheetName val="실행견적"/>
      <sheetName val="현장소운반"/>
      <sheetName val="관구보호몰탈"/>
      <sheetName val="청 구"/>
      <sheetName val="설계산출기초"/>
      <sheetName val="내역서01"/>
      <sheetName val="실행대비"/>
      <sheetName val="단가조사-2"/>
      <sheetName val="공사설명서"/>
      <sheetName val="수량집계"/>
      <sheetName val="1.수인터널"/>
      <sheetName val="200"/>
      <sheetName val="PROJECT BRIEF(EX.NEW)"/>
      <sheetName val="Site Expenses"/>
      <sheetName val="토목(용인)"/>
      <sheetName val="용산1(해보)"/>
      <sheetName val="공용(현대건설공구)"/>
      <sheetName val="현대건설공구(UNIT)"/>
      <sheetName val="낙석방지수량"/>
      <sheetName val="기초단가"/>
      <sheetName val="일위단위"/>
      <sheetName val="배수공 주요자재 집계표"/>
      <sheetName val="guard(mac)"/>
      <sheetName val="수입"/>
      <sheetName val="마산월령동골조물량변경"/>
      <sheetName val="수산(당)"/>
      <sheetName val="을지"/>
      <sheetName val="수주추정"/>
      <sheetName val="Customer Databas"/>
      <sheetName val="VXXXXXX"/>
      <sheetName val="DATA"/>
      <sheetName val="9-1차이내역"/>
      <sheetName val="하수급견적대비"/>
      <sheetName val="직노"/>
      <sheetName val="흙쌓기도수로설치현황"/>
      <sheetName val="계수시트"/>
      <sheetName val="다곡2교"/>
      <sheetName val="교대철근집계"/>
      <sheetName val="tggwan(mac)"/>
      <sheetName val="원가서"/>
      <sheetName val="개요"/>
      <sheetName val="용역비내역-진짜"/>
      <sheetName val="날개벽(TYPE2)"/>
      <sheetName val="총괄내역"/>
      <sheetName val="상 부"/>
      <sheetName val="내역_FILE"/>
      <sheetName val="9811"/>
      <sheetName val="위치조서"/>
      <sheetName val="관접합및부설"/>
      <sheetName val="산출내역서집계표"/>
      <sheetName val="CAT_5"/>
      <sheetName val="표지"/>
      <sheetName val="노무비"/>
      <sheetName val="재료비단가"/>
      <sheetName val="원형1호맨홀토공수량"/>
      <sheetName val="GI-LIST"/>
      <sheetName val="해평견적"/>
      <sheetName val="건축공사"/>
      <sheetName val="교각계산"/>
      <sheetName val="우각부보강"/>
      <sheetName val="음성방향"/>
      <sheetName val="차액보증"/>
      <sheetName val="산출기준자료"/>
      <sheetName val="구역화물"/>
      <sheetName val="단위목록"/>
      <sheetName val="시험비"/>
      <sheetName val="일위대가목록"/>
      <sheetName val="배수통관(좌)"/>
      <sheetName val="INPUT(덕도방향-시점)"/>
      <sheetName val="교각1"/>
      <sheetName val="직접경비"/>
      <sheetName val="직접인건비"/>
      <sheetName val="사통"/>
      <sheetName val="물가시세"/>
      <sheetName val="공내역"/>
      <sheetName val="7.PILE  (돌출)"/>
      <sheetName val="사  업  비  수  지  예  산  서"/>
      <sheetName val="환율CHANGE"/>
      <sheetName val="옹벽공 수량집계표"/>
      <sheetName val="추가예산"/>
      <sheetName val="단중표"/>
      <sheetName val="현장관리비참조"/>
      <sheetName val="포장복구집계"/>
      <sheetName val="실행간접비용"/>
      <sheetName val="설계내역"/>
      <sheetName val="표지 (2)"/>
      <sheetName val="06 일위대가목록"/>
      <sheetName val="내역(신례)"/>
      <sheetName val="계양가시설"/>
      <sheetName val="수량산출서-2"/>
      <sheetName val="오수주요자재"/>
      <sheetName val="s"/>
      <sheetName val="단"/>
      <sheetName val="원유_BANK"/>
      <sheetName val="호프"/>
      <sheetName val="입력"/>
      <sheetName val="토공(우물통,기타) "/>
      <sheetName val="11.1 단면hwp"/>
      <sheetName val="노임단가 (2)"/>
      <sheetName val="포장공자재집계표"/>
      <sheetName val="총괄서"/>
      <sheetName val="연결임시"/>
      <sheetName val="도장수량(하1)"/>
      <sheetName val="주형"/>
      <sheetName val="설계가"/>
      <sheetName val="인원투입"/>
      <sheetName val="날개벽(시점좌측)"/>
      <sheetName val="지중자재단가"/>
      <sheetName val="견적서"/>
      <sheetName val="특수선일위대가"/>
      <sheetName val="연도별cash"/>
      <sheetName val="뚝토공"/>
      <sheetName val="단면 (2)"/>
      <sheetName val="금액내역서"/>
      <sheetName val="남양내역"/>
      <sheetName val="MAIN_TABLE"/>
      <sheetName val="1.설계조건"/>
      <sheetName val="A-8 PD(도로중앙)"/>
      <sheetName val="포장공수량집계표"/>
      <sheetName val="건축공사실행"/>
      <sheetName val="관급자재대"/>
      <sheetName val="중기사용료산출근거"/>
      <sheetName val="단가 및 재료비"/>
      <sheetName val="건축내역서"/>
      <sheetName val="토목공사"/>
      <sheetName val="1차설계변경내역"/>
      <sheetName val="관경별내역서"/>
      <sheetName val="내역표지"/>
      <sheetName val="앵커구조계산"/>
      <sheetName val="노임단가"/>
      <sheetName val="기초일위"/>
      <sheetName val="수목단가"/>
      <sheetName val="시설수량표"/>
      <sheetName val="시설일위"/>
      <sheetName val="식재수량표"/>
      <sheetName val="1.우편집중내역서"/>
      <sheetName val="일위대가(가설)"/>
      <sheetName val="우수공"/>
      <sheetName val="상호참고자료"/>
      <sheetName val="발주처자료입력"/>
      <sheetName val="회사기본자료"/>
      <sheetName val="하자보증자료"/>
      <sheetName val="기술자관련자료"/>
      <sheetName val="예가표"/>
      <sheetName val="출장내역"/>
      <sheetName val="수안보-MBR1"/>
      <sheetName val="내역서1999.8최종"/>
      <sheetName val="콘크리트타설집계표"/>
      <sheetName val="전 기"/>
      <sheetName val="대림경상68억"/>
      <sheetName val="단위수량산출"/>
      <sheetName val="시점경사로"/>
      <sheetName val="3BL공동구_수량1"/>
      <sheetName val="3_공통공사대비"/>
      <sheetName val="9_정착구_보강"/>
      <sheetName val="6PILE__(돌출)"/>
      <sheetName val="방배동내역_(총괄)"/>
      <sheetName val="준검_내역서"/>
      <sheetName val="단가_(2)"/>
      <sheetName val="1차_내역서"/>
      <sheetName val="전선_및_전선관"/>
      <sheetName val="배관배선_단가조사"/>
      <sheetName val="환경기계공정표_(3)"/>
      <sheetName val="DATA_입력란"/>
      <sheetName val="1__설계조건_2_단면가정_3__하중계산"/>
      <sheetName val="BSD_(2)"/>
      <sheetName val="배수공_시멘트_및_골재량_산출"/>
      <sheetName val="96보완계획7_12"/>
      <sheetName val="7_PILE__(돌출)"/>
      <sheetName val="8_PILE__(돌출)"/>
      <sheetName val="사__업__비__수__지__예__산__서"/>
      <sheetName val="1차"/>
      <sheetName val="각형맨홀"/>
      <sheetName val="산수배수"/>
      <sheetName val="세부내역서"/>
      <sheetName val="감액총괄표"/>
      <sheetName val="입력시트"/>
      <sheetName val="가열로SW"/>
      <sheetName val="공사품의서"/>
      <sheetName val="99노임단가"/>
      <sheetName val="1"/>
      <sheetName val="unitpric"/>
      <sheetName val="noyim"/>
      <sheetName val="시화점실행"/>
      <sheetName val="공량산출서"/>
      <sheetName val="해외(원화)"/>
      <sheetName val="갑지(추정)"/>
      <sheetName val="효성CB 1P기초"/>
      <sheetName val="조견표"/>
      <sheetName val="전차선로 물량표"/>
      <sheetName val="역T형교대(말뚝기초)"/>
      <sheetName val="6호기"/>
      <sheetName val="포장물량집계"/>
      <sheetName val="교사기준면적(중)"/>
      <sheetName val="참조"/>
      <sheetName val="제경비율"/>
      <sheetName val="산출내역서"/>
      <sheetName val="공사명입력"/>
      <sheetName val="근로자자료입력"/>
      <sheetName val="참고자료"/>
      <sheetName val="공사비 증감 내역서"/>
      <sheetName val="pier-1"/>
      <sheetName val="공사현황"/>
      <sheetName val="토목주소"/>
      <sheetName val="코드"/>
      <sheetName val="터파기단면도(보도)"/>
      <sheetName val="옹벽수량집계"/>
      <sheetName val="4.내진설계"/>
      <sheetName val=" ｹ-ﾌﾞﾙ"/>
      <sheetName val="총괄표"/>
      <sheetName val="슬래브수량"/>
      <sheetName val="일위대가(1)"/>
      <sheetName val="VII-2현장경비"/>
      <sheetName val="Ⅴ-2.공종별내역"/>
      <sheetName val="공사분석"/>
      <sheetName val="경영상태"/>
      <sheetName val="산근"/>
      <sheetName val="우수"/>
      <sheetName val="Baby일위대가"/>
      <sheetName val="계림(함평)"/>
      <sheetName val="계림(장성)"/>
      <sheetName val="유림골조"/>
      <sheetName val="수목표준대가"/>
      <sheetName val="출력X"/>
      <sheetName val="GR"/>
      <sheetName val="가로등내역서"/>
      <sheetName val="nys"/>
      <sheetName val="플랜트 설치"/>
      <sheetName val="공사비"/>
      <sheetName val="연도손익"/>
      <sheetName val="회수금"/>
      <sheetName val="대체용지"/>
      <sheetName val="건자이자"/>
      <sheetName val="내부매출원가"/>
      <sheetName val="지구 리스트"/>
      <sheetName val="용지비"/>
      <sheetName val="1000 DB구축 부표"/>
      <sheetName val="용역단가"/>
      <sheetName val="부표총괄"/>
      <sheetName val="내역서적용수량"/>
      <sheetName val="입력DATA"/>
      <sheetName val="바닥판"/>
      <sheetName val="폐기물"/>
      <sheetName val="구조물공집계"/>
      <sheetName val="단가(1)"/>
      <sheetName val="45,46"/>
      <sheetName val="2공구산출내역"/>
      <sheetName val="(당평)자재"/>
      <sheetName val="당초명세(평)"/>
      <sheetName val="부대tu"/>
      <sheetName val="ELECTRIC"/>
      <sheetName val="수질정화시설"/>
      <sheetName val="연속벽현황"/>
      <sheetName val="내역전기"/>
      <sheetName val="평내중"/>
      <sheetName val="공통비(전체)"/>
      <sheetName val="기둥(원형)"/>
      <sheetName val="참고사항"/>
      <sheetName val="사각맨홀"/>
      <sheetName val="자재"/>
      <sheetName val="경비_원본"/>
      <sheetName val="APT"/>
      <sheetName val="SLAB&quot;1&quot;"/>
      <sheetName val="보차도경계석"/>
      <sheetName val="물가시세표"/>
      <sheetName val="노임 및 중기단가"/>
      <sheetName val="계측제어설비"/>
      <sheetName val="1.설계기준"/>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공비현2"/>
      <sheetName val="도급내역"/>
      <sheetName val="물집"/>
      <sheetName val="도급금액"/>
      <sheetName val="재노경"/>
      <sheetName val="상행-교대(A1-A2)"/>
      <sheetName val="집수A"/>
      <sheetName val="1.CB"/>
      <sheetName val="변수"/>
      <sheetName val="GAEYO"/>
      <sheetName val="세금자료"/>
      <sheetName val="수량집계표"/>
      <sheetName val="탄성1"/>
      <sheetName val="원하도급내역서(당초)"/>
      <sheetName val="사유서제출현황-2"/>
      <sheetName val="골재집계"/>
      <sheetName val="-레미콘집계"/>
      <sheetName val="-몰탈콘크리트"/>
      <sheetName val="자갈,시멘트,모래산출"/>
      <sheetName val="-철근집계"/>
      <sheetName val="포장재료(1)"/>
      <sheetName val="-흄관집계"/>
      <sheetName val="4.2.1 마루높이 검토"/>
      <sheetName val="반포2차"/>
      <sheetName val="첨"/>
      <sheetName val="6공구(당초)"/>
      <sheetName val="시설물기초"/>
      <sheetName val="중요"/>
      <sheetName val="총내역서"/>
      <sheetName val="List"/>
      <sheetName val="03전반노무비"/>
      <sheetName val="하도급 검토"/>
      <sheetName val="3.하중계산"/>
      <sheetName val="보도포장연장조서-표준차도부"/>
      <sheetName val="표준차도부연장조서-ASP"/>
      <sheetName val=" 상부공통집계(총괄)"/>
      <sheetName val="단가조정표"/>
      <sheetName val="순공사비"/>
      <sheetName val="품셈TABLE"/>
      <sheetName val="낙찰표"/>
      <sheetName val="단 box"/>
      <sheetName val="단가조건(02년)"/>
      <sheetName val="단가목록"/>
      <sheetName val="결과조달"/>
      <sheetName val="기계"/>
      <sheetName val="협력업체"/>
      <sheetName val="설계명세서(종합)"/>
      <sheetName val="소요자재"/>
      <sheetName val="노무산출서"/>
      <sheetName val="고창방향"/>
      <sheetName val="sst,stl창호"/>
      <sheetName val="역T형"/>
      <sheetName val="ETC"/>
      <sheetName val="A4"/>
      <sheetName val="기안"/>
      <sheetName val="2-1. 경관조명 내역총괄표"/>
      <sheetName val="Sheet1_(2)"/>
      <sheetName val="청_구"/>
      <sheetName val="1_수인터널"/>
      <sheetName val="상_부"/>
      <sheetName val="공사비_증감_내역서"/>
      <sheetName val="Sheet2_(2)"/>
      <sheetName val="Customer_Databas"/>
      <sheetName val="PROJECT_BRIEF(EX_NEW)"/>
      <sheetName val="Site_Expenses"/>
      <sheetName val="기존포장깨기"/>
      <sheetName val="석축헐기"/>
      <sheetName val="중강당 내역"/>
      <sheetName val="단면치수"/>
      <sheetName val="sub"/>
      <sheetName val="인부노임"/>
      <sheetName val="노면및방향"/>
      <sheetName val="총 원가계산"/>
      <sheetName val="맨홀수량산출(A-LINE)"/>
      <sheetName val="예산명세서"/>
      <sheetName val="인건비"/>
      <sheetName val="05-원가계산"/>
      <sheetName val="특별교실"/>
      <sheetName val="2_단면가정"/>
      <sheetName val="Y-WORK"/>
      <sheetName val="BJJIN"/>
      <sheetName val="설-원가"/>
      <sheetName val="일위집계표"/>
      <sheetName val="계산서(곡선부)"/>
      <sheetName val="포장재료집계표"/>
      <sheetName val="공정data"/>
      <sheetName val="설계내역2"/>
      <sheetName val="공종단가"/>
      <sheetName val="증감대비"/>
      <sheetName val="지장물 철거 물량 산출서"/>
      <sheetName val="민감도"/>
      <sheetName val="조명일위"/>
      <sheetName val="포장공수량집계"/>
      <sheetName val="기본"/>
      <sheetName val="견적대비표"/>
      <sheetName val="일위_파일"/>
      <sheetName val="P4-C"/>
      <sheetName val="J형측구단위수량"/>
      <sheetName val="단가산출서(기계)"/>
      <sheetName val="배관단가조사서"/>
      <sheetName val="DB"/>
      <sheetName val="일위대가-1"/>
      <sheetName val="토공"/>
      <sheetName val="단위중량"/>
      <sheetName val="달서천-대비"/>
      <sheetName val="현장관리비"/>
      <sheetName val="소방"/>
      <sheetName val="산출내역(K2)"/>
      <sheetName val="말뚝기초(안정검토)-외측"/>
      <sheetName val="-치수표(곡선부)"/>
      <sheetName val="도로경계단위"/>
      <sheetName val="이음개소"/>
      <sheetName val="돌담교 상부수량"/>
      <sheetName val="가계부"/>
      <sheetName val="제품목록"/>
      <sheetName val="매입매출관리"/>
      <sheetName val="Sheet22"/>
      <sheetName val="수량명세서"/>
      <sheetName val="토공정보"/>
      <sheetName val="관로토공"/>
      <sheetName val="단가비교표_공통1"/>
      <sheetName val="약품공급2"/>
      <sheetName val="접지수량"/>
      <sheetName val="자재테이블"/>
      <sheetName val="원가계산서"/>
      <sheetName val="여과지동"/>
      <sheetName val="울산자동제어"/>
      <sheetName val="단가산출서"/>
      <sheetName val="단위수량"/>
      <sheetName val="I一般比"/>
      <sheetName val="금호"/>
      <sheetName val="J直材4"/>
      <sheetName val="안전시설"/>
      <sheetName val="철근단면적"/>
      <sheetName val="HRSG SMALL07220"/>
      <sheetName val="쇠(1)"/>
      <sheetName val="가격(3)"/>
      <sheetName val="ⴭⴭⴭⴭⴭ"/>
      <sheetName val="관경"/>
      <sheetName val="전기혼잡제경비(45)"/>
      <sheetName val="2"/>
      <sheetName val="3"/>
      <sheetName val="4"/>
      <sheetName val="6"/>
      <sheetName val="가로등설치"/>
      <sheetName val="setup"/>
      <sheetName val="제잡비"/>
      <sheetName val="설계기준"/>
      <sheetName val="내역1"/>
      <sheetName val="99노임기준"/>
      <sheetName val="단가대비표"/>
      <sheetName val="가도공"/>
      <sheetName val="형질변경"/>
      <sheetName val="5수지"/>
      <sheetName val="콘크리트포장"/>
      <sheetName val="진입도로포장산출"/>
      <sheetName val="진입부포장면적위치조서"/>
      <sheetName val="진입부수량집계표"/>
      <sheetName val="콘크리트포장집계표"/>
      <sheetName val="포장공집계"/>
      <sheetName val="토공집계표"/>
      <sheetName val="토공분석표"/>
      <sheetName val="내역서 "/>
      <sheetName val="견적990322"/>
      <sheetName val="대비표"/>
      <sheetName val="내역서_"/>
      <sheetName val="1_설계조건"/>
      <sheetName val="예상"/>
      <sheetName val="1,2,3,4,5단위수량"/>
      <sheetName val="전체"/>
      <sheetName val="CODE"/>
      <sheetName val="하도금액분계"/>
      <sheetName val="보온자재단가표"/>
      <sheetName val="자료"/>
      <sheetName val="토목"/>
      <sheetName val="대전21토목내역서"/>
      <sheetName val="Front"/>
      <sheetName val="hvac(제어동)"/>
      <sheetName val="hvac내역서(제어동)"/>
      <sheetName val="일위대가(계측기설치)"/>
      <sheetName val="합계금액"/>
      <sheetName val="방음벽기초(H=4m)"/>
      <sheetName val="업체별기성내역"/>
      <sheetName val="WVAL"/>
      <sheetName val="수량-가로등"/>
      <sheetName val="중기손료"/>
      <sheetName val="1단계"/>
      <sheetName val="내역서 제출"/>
      <sheetName val="우수받이"/>
      <sheetName val="테이블"/>
      <sheetName val="건축"/>
      <sheetName val="원가계산"/>
      <sheetName val="CON'C"/>
      <sheetName val="SAP_INPUT"/>
      <sheetName val="골재산출"/>
      <sheetName val="공동구수량"/>
      <sheetName val="분석"/>
      <sheetName val="일위대가목차"/>
      <sheetName val="인명부"/>
      <sheetName val="당초"/>
      <sheetName val="PIPING"/>
      <sheetName val="#3_일위대가목록"/>
      <sheetName val="#2_일위대가목록"/>
      <sheetName val="설명서 "/>
      <sheetName val="경비"/>
      <sheetName val="법면단"/>
      <sheetName val="구조물철거타공정이월"/>
      <sheetName val="투찰추정"/>
      <sheetName val="신축(단위)"/>
      <sheetName val="99총공사내역서"/>
      <sheetName val="교대(A1-A2)"/>
      <sheetName val="화해(함평)"/>
      <sheetName val="화해(장성)"/>
      <sheetName val="산근(1)"/>
      <sheetName val="집수정"/>
      <sheetName val="투입비"/>
      <sheetName val="pier(각형)"/>
      <sheetName val="7-2"/>
      <sheetName val="중기손료집계(1209)"/>
      <sheetName val="옥룡잡비"/>
      <sheetName val="앵커설치(590)"/>
      <sheetName val="흙막이 개산견적"/>
      <sheetName val="인건비 "/>
      <sheetName val="전체내역서"/>
      <sheetName val="배수공수집"/>
      <sheetName val="08-공사비총괄표"/>
      <sheetName val="01-적용기준"/>
      <sheetName val="예산"/>
      <sheetName val="구성비"/>
      <sheetName val="A4288"/>
      <sheetName val="지급(1)"/>
      <sheetName val="집행안"/>
      <sheetName val="기계경비및산출근거서"/>
      <sheetName val="골막이(야매)"/>
      <sheetName val="몰탈재료산출"/>
      <sheetName val="8.석축단위(H=1.5M)"/>
      <sheetName val="기자재비"/>
      <sheetName val="4차원가계산서"/>
      <sheetName val="횡배수관집현황(2공구)"/>
      <sheetName val="배수관토공산출"/>
      <sheetName val="도급"/>
      <sheetName val="아파트 내역"/>
      <sheetName val="보안등"/>
      <sheetName val="FAB별"/>
      <sheetName val="공통가설"/>
      <sheetName val="가설"/>
      <sheetName val="일람표"/>
      <sheetName val="A 견적"/>
      <sheetName val="공통가설(기준안)"/>
      <sheetName val="미드수량"/>
      <sheetName val="소방사항"/>
      <sheetName val="견적대비"/>
      <sheetName val="적용(기계)"/>
      <sheetName val="1-1평균터파기고(1)"/>
      <sheetName val="분전함신설"/>
      <sheetName val="접지1종"/>
      <sheetName val="화전내"/>
      <sheetName val="1공구내역서(1)"/>
      <sheetName val="기초자료"/>
      <sheetName val="2.대외공문"/>
      <sheetName val="단가산출2"/>
      <sheetName val="약전설비"/>
      <sheetName val="별표 "/>
      <sheetName val="영동(D)"/>
      <sheetName val="6차2회변경내역서"/>
      <sheetName val="본체"/>
      <sheetName val="97년 추정"/>
      <sheetName val="spiral"/>
      <sheetName val="공사비_NDE"/>
      <sheetName val="건축명"/>
      <sheetName val="기계명"/>
      <sheetName val="전기명"/>
      <sheetName val="TOSHIBA-Structure"/>
      <sheetName val="포집"/>
      <sheetName val="코스모공장 (어음)"/>
      <sheetName val="원가계산서 "/>
      <sheetName val="자재비"/>
      <sheetName val="은행"/>
      <sheetName val="노단"/>
      <sheetName val="단산"/>
      <sheetName val="명세"/>
      <sheetName val="일대"/>
      <sheetName val="교통대책내역"/>
      <sheetName val="본문"/>
      <sheetName val="중단원본"/>
      <sheetName val="업체별담당"/>
      <sheetName val="일위목록"/>
      <sheetName val="실행"/>
      <sheetName val="개별직종노임단가(2005.1)"/>
      <sheetName val="시중노임단가"/>
      <sheetName val="90.03실행 "/>
      <sheetName val="1차기성"/>
      <sheetName val="어음수표추가테스트"/>
      <sheetName val="15-1)VE제안서(유형2,4)"/>
      <sheetName val="설계명세"/>
      <sheetName val="01"/>
      <sheetName val="단가조사표"/>
      <sheetName val="설계내역서(기계)"/>
      <sheetName val="1.3.1절점좌표"/>
      <sheetName val="1.1설계기준"/>
      <sheetName val="수토공단위당"/>
      <sheetName val="비품"/>
      <sheetName val="이름"/>
      <sheetName val="급여표"/>
      <sheetName val="직원투입계획"/>
      <sheetName val="난방방식분류"/>
      <sheetName val="공사정보입력"/>
      <sheetName val="설비내역서"/>
      <sheetName val="전기내역서"/>
      <sheetName val="입력장소"/>
      <sheetName val="자재표"/>
      <sheetName val="변화치수"/>
      <sheetName val="단가조사서"/>
      <sheetName val="새공통(96임금인상기준)"/>
      <sheetName val="공종집계"/>
      <sheetName val="하도급계획"/>
      <sheetName val="관일"/>
      <sheetName val="직재"/>
      <sheetName val="재집"/>
      <sheetName val="3.하중산정4.지지력"/>
      <sheetName val="적용토목"/>
      <sheetName val="gyun"/>
      <sheetName val="포장면적산출"/>
      <sheetName val="포장수량집계"/>
      <sheetName val="기기리스트"/>
      <sheetName val="(2)자금(신용)"/>
      <sheetName val="FOOTING단면력"/>
      <sheetName val="지수980731이후"/>
      <sheetName val="쌍송교"/>
      <sheetName val="품종별월계"/>
      <sheetName val="전신환매도율"/>
      <sheetName val="자재 집계표"/>
      <sheetName val="골조시행"/>
      <sheetName val="토공사B동추가"/>
      <sheetName val="연부97-1"/>
      <sheetName val="배지거총재료집계표"/>
      <sheetName val="심사물량"/>
      <sheetName val="업무처리전"/>
      <sheetName val="단가산출서 (2)"/>
      <sheetName val="철거산출근거"/>
      <sheetName val="1.RAMP-A"/>
      <sheetName val="cal"/>
      <sheetName val="inputdata"/>
      <sheetName val="DATA입력"/>
      <sheetName val="제경비최종"/>
      <sheetName val="사본 _ b_balju"/>
      <sheetName val="찍기"/>
      <sheetName val="공사설계"/>
      <sheetName val="인사자료총집계"/>
      <sheetName val="4 공통갑지"/>
      <sheetName val="ESC (공정표기준)"/>
      <sheetName val="골조"/>
      <sheetName val="개산공사비"/>
      <sheetName val="목록"/>
      <sheetName val="대총괄"/>
      <sheetName val="10동"/>
      <sheetName val="예정공정표"/>
      <sheetName val="준공정산"/>
      <sheetName val="중기조종사 단위단가"/>
      <sheetName val="암거단위-1련"/>
      <sheetName val="견적보고"/>
      <sheetName val="S.중기사용료"/>
      <sheetName val="지장물헐기조서"/>
      <sheetName val="유림총괄"/>
      <sheetName val="단가표"/>
      <sheetName val="음료실행"/>
      <sheetName val="1_CB"/>
      <sheetName val="옹벽공_수량집계표"/>
      <sheetName val="A-8_PD(도로중앙)"/>
      <sheetName val="Flaer_Area"/>
      <sheetName val="내역서1999_8최종"/>
      <sheetName val="1_설계기준"/>
      <sheetName val="단가_및_재료비"/>
      <sheetName val="건축내역서_(경제상무실)"/>
      <sheetName val="설내역서_"/>
      <sheetName val="일위산출"/>
      <sheetName val="공사비예산서(토목분)"/>
      <sheetName val="수량산출서"/>
      <sheetName val="기초계산(Pmax)"/>
      <sheetName val="細目"/>
      <sheetName val="배수관산출"/>
      <sheetName val="입출재고현황 (2)"/>
      <sheetName val="PAINT"/>
      <sheetName val="방화도료"/>
      <sheetName val="구조물공"/>
      <sheetName val="부대공"/>
      <sheetName val="종단계산"/>
      <sheetName val="깨기"/>
      <sheetName val="36+45-113-18+19+20I"/>
      <sheetName val="집계"/>
      <sheetName val="견적단가"/>
      <sheetName val="투입비분석표"/>
      <sheetName val="공정추가"/>
      <sheetName val="토공(본관-토사)"/>
      <sheetName val="토공(분기관-토사)"/>
      <sheetName val="토공(분기관-암)"/>
      <sheetName val="토공(본관-암)"/>
      <sheetName val="실행(ALT1)"/>
      <sheetName val="일위(PN)"/>
      <sheetName val="203"/>
      <sheetName val="금속및금속창호"/>
      <sheetName val="값"/>
      <sheetName val="노무비단가"/>
      <sheetName val="물량표S"/>
      <sheetName val="SUMMARY"/>
      <sheetName val="물량표(신)"/>
      <sheetName val="총집계"/>
      <sheetName val="관리,공감"/>
      <sheetName val="금융비용"/>
      <sheetName val="식생블럭단위수량"/>
      <sheetName val="송라터널총괄"/>
      <sheetName val="ITEM"/>
      <sheetName val="Macro(전선)"/>
      <sheetName val="sw1"/>
      <sheetName val="W3단면"/>
      <sheetName val="연령현황"/>
      <sheetName val="설직재-1"/>
      <sheetName val="안산기계장치"/>
      <sheetName val="내력서"/>
      <sheetName val="안정계산"/>
      <sheetName val="단면검토"/>
      <sheetName val="신규 수주분(사용자 정의)"/>
      <sheetName val="DATA2000"/>
      <sheetName val="plan&amp;section of foundation"/>
      <sheetName val="pile bearing capa &amp; arrenge"/>
      <sheetName val="design load"/>
      <sheetName val="working load at the btm ft."/>
      <sheetName val="stability check"/>
      <sheetName val="design criteria"/>
      <sheetName val="COMPARISON TABLE"/>
      <sheetName val="crude.SLAB RE-bar"/>
      <sheetName val="CRUDE RE-bar"/>
      <sheetName val="부대공Ⅱ"/>
      <sheetName val="설계변경원가계산총괄표"/>
      <sheetName val="식재일위대가"/>
      <sheetName val="주경기-오배수"/>
      <sheetName val="단가산출서1"/>
      <sheetName val="식재총괄"/>
      <sheetName val="좌측"/>
      <sheetName val="수량BOQ"/>
      <sheetName val="관경별우수관집계"/>
      <sheetName val="지장물C"/>
      <sheetName val="법면"/>
      <sheetName val="중기일위대가"/>
      <sheetName val="배수공1"/>
      <sheetName val="일반부표"/>
      <sheetName val="전기일위대가"/>
      <sheetName val="토목품셈"/>
      <sheetName val="마산방향철근집계"/>
      <sheetName val="CPM챠트"/>
      <sheetName val="H-pile(298x299)"/>
      <sheetName val="H-pile(250x250)"/>
      <sheetName val="내역및총괄"/>
      <sheetName val="토적계산서"/>
      <sheetName val="2.입력sheet"/>
      <sheetName val="M1"/>
      <sheetName val="SILICATE"/>
      <sheetName val="TB-내역서"/>
      <sheetName val="절취및터파기"/>
      <sheetName val="토공총괄집계"/>
      <sheetName val="세목전체"/>
      <sheetName val="20관리비율"/>
      <sheetName val="견적조건"/>
      <sheetName val="개략"/>
      <sheetName val="공사비산출내역"/>
      <sheetName val="정렬"/>
      <sheetName val="소방현물"/>
      <sheetName val="슬래브"/>
      <sheetName val="직공비"/>
      <sheetName val="(3.품질관리 시험 총괄표)"/>
      <sheetName val="지급자재"/>
      <sheetName val="토량1-1"/>
      <sheetName val="조작대(1연)"/>
      <sheetName val="VE절감"/>
      <sheetName val="2.가정단면"/>
      <sheetName val="거래처등록"/>
      <sheetName val="물가자료"/>
      <sheetName val="지주목시비량산출서"/>
      <sheetName val="일반공사"/>
      <sheetName val="손익분석"/>
      <sheetName val="일위대가(건축)"/>
      <sheetName val="Pier 3"/>
      <sheetName val="수량산출서 갑지"/>
      <sheetName val="DIAPHRAGM"/>
      <sheetName val="상시"/>
      <sheetName val="현장일반사항"/>
      <sheetName val="원형측구(B-type)"/>
      <sheetName val="토공총괄표"/>
      <sheetName val="1TL종점(1)"/>
      <sheetName val="도로경계블럭연장조서"/>
      <sheetName val="기계내역"/>
      <sheetName val="전력"/>
      <sheetName val="산근(PE,300)"/>
      <sheetName val="특2호부관하천산근"/>
      <sheetName val="특2호하천산근"/>
      <sheetName val="종배수관(신)"/>
      <sheetName val="적용단위길이"/>
      <sheetName val="종배수관면벽신"/>
      <sheetName val="1062-X방향 "/>
      <sheetName val="단가(반정1교-원주)"/>
      <sheetName val="Sheet10"/>
      <sheetName val="통영LNG입찰현황"/>
      <sheetName val="전력구구조물산근"/>
      <sheetName val="COL"/>
      <sheetName val="간지9)"/>
      <sheetName val="별총"/>
      <sheetName val="BOX전기내역"/>
      <sheetName val="소운반"/>
      <sheetName val="표  지"/>
      <sheetName val="BOX(1.5X1.5)"/>
      <sheetName val="U-TYPE(1)"/>
      <sheetName val="1.2.1 마루높이결정"/>
      <sheetName val="BOILING검토"/>
      <sheetName val="입찰보고"/>
      <sheetName val="차선도색현황"/>
      <sheetName val="우수관"/>
      <sheetName val="기계시공"/>
      <sheetName val="2000용수잠관-수량집계"/>
      <sheetName val="&lt;목록&gt;"/>
      <sheetName val="기계경비일람"/>
      <sheetName val="BID9697"/>
      <sheetName val="A-4"/>
      <sheetName val="토목내역"/>
      <sheetName val="시행후면적"/>
      <sheetName val="시가지우회도로공내역서"/>
      <sheetName val="o현장경비"/>
      <sheetName val="공사내역"/>
      <sheetName val="※참고자료※"/>
      <sheetName val="UEC영화관본공사내역"/>
      <sheetName val="대운산출"/>
      <sheetName val="세부내역"/>
      <sheetName val="SLIDES"/>
      <sheetName val="노무비계"/>
      <sheetName val="sheeet2"/>
      <sheetName val="단면 _2_"/>
      <sheetName val="Dike for 49T03 &amp; 49T04"/>
      <sheetName val="Dike for 49T02, 05~07, 19 (1)"/>
      <sheetName val=" 냉각수펌프"/>
      <sheetName val="Sheet15"/>
      <sheetName val="상수도공-간지"/>
      <sheetName val="옹벽"/>
      <sheetName val="주식"/>
      <sheetName val="집계표(육상)"/>
      <sheetName val="조건표"/>
      <sheetName val="지급자재조서"/>
      <sheetName val="참조M"/>
      <sheetName val="하중"/>
      <sheetName val="횡배수관"/>
      <sheetName val="간선계산"/>
      <sheetName val="기둥(하중)"/>
      <sheetName val="ENE-CAL 1"/>
      <sheetName val="costing_CV"/>
      <sheetName val="ITB COST"/>
      <sheetName val="costing_ESDV"/>
      <sheetName val="costing_Misc"/>
      <sheetName val="costing_MOV"/>
      <sheetName val="costing_Press"/>
      <sheetName val="자압"/>
      <sheetName val="일위대가1"/>
      <sheetName val="지구단위계획"/>
      <sheetName val="type-F"/>
      <sheetName val="수량산출근거"/>
      <sheetName val="XL4Poppy"/>
      <sheetName val="소업1교"/>
      <sheetName val="변경후-SHEET"/>
      <sheetName val="단가조사"/>
      <sheetName val="CON포장수량"/>
      <sheetName val="CONUNIT"/>
      <sheetName val="웅진교-S2"/>
      <sheetName val="방음벽기초"/>
      <sheetName val="품셈총괄표"/>
      <sheetName val="PD-5(직선)"/>
      <sheetName val="ACUNIT"/>
      <sheetName val="현황산출서"/>
      <sheetName val="plan&amp;section_of_foundation"/>
      <sheetName val="working_load_at_the_btm_ft_"/>
      <sheetName val="stability_check"/>
      <sheetName val="design_criteria"/>
      <sheetName val="design_load"/>
      <sheetName val="주요자재집계표"/>
      <sheetName val="상승요인분석"/>
      <sheetName val="식재일위"/>
      <sheetName val="woo(mac)"/>
      <sheetName val="계단"/>
      <sheetName val="터널구조물산근"/>
      <sheetName val="예산작성기준(전기)"/>
      <sheetName val="수정내역서"/>
      <sheetName val="자재목록"/>
      <sheetName val="TEL"/>
      <sheetName val="품의"/>
      <sheetName val="2011.(4)"/>
      <sheetName val="맨홀평균높이"/>
      <sheetName val="2002년12월"/>
      <sheetName val="MOTOR"/>
      <sheetName val="WEON"/>
      <sheetName val="바닥판(1)"/>
      <sheetName val="통합"/>
      <sheetName val="설계기준 및 하중계산"/>
      <sheetName val="단가일람"/>
      <sheetName val="단위량당중기"/>
      <sheetName val="11.자재단가"/>
      <sheetName val="배수내역"/>
      <sheetName val="PAD TR보호대기초"/>
      <sheetName val="가로등기초"/>
      <sheetName val="설정"/>
      <sheetName val="공종별수량집계"/>
      <sheetName val="기초공"/>
      <sheetName val="맨홀수량산출"/>
      <sheetName val="P3"/>
      <sheetName val="각사별공사비분개 "/>
      <sheetName val="기둥"/>
      <sheetName val="저판(버림100)"/>
      <sheetName val="계화배수"/>
      <sheetName val="산근목록"/>
      <sheetName val="슬래브(유곡)"/>
      <sheetName val="SUMDO"/>
      <sheetName val="ENDDO"/>
      <sheetName val="PLDB"/>
      <sheetName val="AAA"/>
      <sheetName val="M-HOUR"/>
      <sheetName val="공기"/>
      <sheetName val="원가입력"/>
      <sheetName val="ASP"/>
      <sheetName val="DESCRIPTION"/>
      <sheetName val="내역(전체)"/>
      <sheetName val="inter"/>
      <sheetName val="Sheet6"/>
      <sheetName val="북방3터널"/>
      <sheetName val="예산내역서"/>
      <sheetName val="M_DB"/>
      <sheetName val="TYPE"/>
      <sheetName val="costing_FE"/>
      <sheetName val="BOX-1515"/>
      <sheetName val="BOX-1510"/>
      <sheetName val="3CHBDC"/>
      <sheetName val="사급자재"/>
      <sheetName val="간접비내역-1"/>
      <sheetName val="석축"/>
      <sheetName val="인천제철"/>
      <sheetName val="재료"/>
      <sheetName val="예산대비"/>
      <sheetName val="0226"/>
      <sheetName val="역T형(H=6.0) (2)"/>
      <sheetName val="중기집계"/>
      <sheetName val="대정2공구"/>
      <sheetName val="포장직선구간"/>
      <sheetName val="1호맨홀토공"/>
      <sheetName val="00000"/>
      <sheetName val="전계가"/>
      <sheetName val="공통부대비"/>
      <sheetName val="결재갑지"/>
      <sheetName val="소비자가"/>
      <sheetName val="가시설수량"/>
      <sheetName val="POL6차-PIPING"/>
      <sheetName val="b_balju_cho"/>
      <sheetName val="토목명"/>
      <sheetName val="2.토목공사"/>
      <sheetName val="제원및배치"/>
      <sheetName val="돌담교_상부수량"/>
      <sheetName val="CON기초"/>
      <sheetName val="중동공구"/>
      <sheetName val="건물철거"/>
      <sheetName val="기타배수구조물깨기-단위수량"/>
      <sheetName val="내역을"/>
      <sheetName val="신규보류입력"/>
      <sheetName val="AS포장복구 "/>
      <sheetName val="운임료"/>
      <sheetName val="구체"/>
      <sheetName val="좌측날개벽"/>
      <sheetName val="우측날개벽"/>
      <sheetName val="Macro2"/>
      <sheetName val="년도별노임표"/>
      <sheetName val="중기목록표"/>
      <sheetName val="FILE1"/>
      <sheetName val="안전장치"/>
      <sheetName val="노임,재료비"/>
      <sheetName val="초"/>
      <sheetName val="토공개요C"/>
      <sheetName val="정공공사"/>
      <sheetName val="대전가오_견출_집계표"/>
      <sheetName val="도로"/>
      <sheetName val="수로BOX"/>
      <sheetName val="적용기준"/>
      <sheetName val="수량"/>
      <sheetName val="작업입력"/>
      <sheetName val="2003상반기노임기준"/>
      <sheetName val="연동내역"/>
      <sheetName val="건설성적"/>
      <sheetName val="건축일위"/>
      <sheetName val="그라우팅일위"/>
      <sheetName val="문산방향-교대(A2)"/>
      <sheetName val="토공개요"/>
      <sheetName val="토공(1)"/>
      <sheetName val="준공조서"/>
      <sheetName val="공사준공계"/>
      <sheetName val="준공검사보고서"/>
      <sheetName val="투찰"/>
      <sheetName val="L_RPTB02_01"/>
      <sheetName val="A2"/>
      <sheetName val="청주(철골발주의뢰서)"/>
      <sheetName val="설계변경총괄표(계산식)"/>
      <sheetName val="기본데이타입력"/>
      <sheetName val="보도교산출근거"/>
      <sheetName val="원가&amp;하도급원가"/>
      <sheetName val="HVAC"/>
      <sheetName val="대공종"/>
      <sheetName val="가감수량"/>
      <sheetName val="개별직종노임단가(2003.9)"/>
      <sheetName val="격점수량"/>
      <sheetName val="3련 BOX"/>
      <sheetName val="II손익관리"/>
      <sheetName val="목포방향"/>
      <sheetName val="노무자도장2"/>
      <sheetName val="내역- CCTV"/>
      <sheetName val="개거산출내역"/>
      <sheetName val="D"/>
      <sheetName val="재료비"/>
      <sheetName val="부속동"/>
      <sheetName val="터널굴착단산"/>
      <sheetName val="EQUIP LIST"/>
      <sheetName val="실행내역(10.13)"/>
      <sheetName val="1구간FRP수량산출"/>
      <sheetName val="중기단가LIST"/>
      <sheetName val="산출기준"/>
      <sheetName val="개별직종노임"/>
      <sheetName val="엔지니어링노임"/>
      <sheetName val="기본단가표"/>
      <sheetName val="기존건물 깨기원단위"/>
      <sheetName val="시장성초안camera"/>
      <sheetName val="장비종합부표"/>
      <sheetName val="집계표_식재"/>
      <sheetName val="부표"/>
      <sheetName val="COVER"/>
      <sheetName val="철근량 산정"/>
      <sheetName val="구분표"/>
      <sheetName val="건축계약내역"/>
      <sheetName val="공종별자재"/>
      <sheetName val="방수"/>
      <sheetName val="포장자재집계표"/>
      <sheetName val="물가단가"/>
      <sheetName val="제표일위대가"/>
      <sheetName val="208-238"/>
      <sheetName val="노.표-조"/>
      <sheetName val="단관데이터"/>
      <sheetName val="이형관데이터"/>
      <sheetName val="철거현황"/>
      <sheetName val="설비공사(4)"/>
      <sheetName val="준비공"/>
      <sheetName val="목교수량산출"/>
      <sheetName val="양식3"/>
      <sheetName val="설계설명서"/>
      <sheetName val="위생"/>
      <sheetName val="슬래브 -연속(3경간)"/>
      <sheetName val="식재가격"/>
      <sheetName val="신천3호용수로"/>
      <sheetName val="CC16-내역서"/>
      <sheetName val="4.2유효폭의 계산"/>
      <sheetName val="이토변실"/>
      <sheetName val="Macro(차단기)"/>
      <sheetName val="JUCKEYK"/>
      <sheetName val="가설공사비"/>
      <sheetName val="도로구조공사비"/>
      <sheetName val="도로토공공사비"/>
      <sheetName val="여수토공사비"/>
      <sheetName val="2000노임기준"/>
      <sheetName val="식재"/>
      <sheetName val="시설물"/>
      <sheetName val="식재출력용"/>
      <sheetName val="유지관리"/>
      <sheetName val="가제당공사비"/>
      <sheetName val="기초처리공사비"/>
      <sheetName val="복통공사비"/>
      <sheetName val="본제당공사비"/>
      <sheetName val="중기운반비"/>
      <sheetName val="진입도로공사비"/>
      <sheetName val="취수탑공사비"/>
      <sheetName val="토취장복구"/>
      <sheetName val="토목공사일반"/>
      <sheetName val="토공분배표"/>
      <sheetName val="종배수단위_CON기초"/>
      <sheetName val="산출3-동력"/>
      <sheetName val="산출4-전등"/>
      <sheetName val="산출2-전력"/>
      <sheetName val="산출9-TRAY"/>
      <sheetName val="DATE2001"/>
      <sheetName val="밸브설치"/>
      <sheetName val="참여현황 (직원)"/>
      <sheetName val="종형증설공"/>
      <sheetName val="시노501"/>
      <sheetName val="3BL공동구_수량2"/>
      <sheetName val="준검_내역서1"/>
      <sheetName val="3_공통공사대비1"/>
      <sheetName val="방배동내역_(총괄)1"/>
      <sheetName val="9_정착구_보강1"/>
      <sheetName val="단가_(2)1"/>
      <sheetName val="6PILE__(돌출)1"/>
      <sheetName val="환경기계공정표_(3)1"/>
      <sheetName val="전선_및_전선관1"/>
      <sheetName val="1차_내역서1"/>
      <sheetName val="DATA_입력란1"/>
      <sheetName val="1__설계조건_2_단면가정_3__하중계산1"/>
      <sheetName val="BSD_(2)1"/>
      <sheetName val="배관배선_단가조사1"/>
      <sheetName val="옹벽공_수량집계표1"/>
      <sheetName val="배수공_시멘트_및_골재량_산출1"/>
      <sheetName val="96보완계획7_121"/>
      <sheetName val="7_PILE__(돌출)1"/>
      <sheetName val="8_PILE__(돌출)1"/>
      <sheetName val="사__업__비__수__지__예__산__서1"/>
      <sheetName val="토공(우물통,기타)_"/>
      <sheetName val="11_1_단면hwp"/>
      <sheetName val="노임단가_(2)"/>
      <sheetName val="Sheet1_(2)1"/>
      <sheetName val="Sheet2_(2)1"/>
      <sheetName val="Customer_Databas1"/>
      <sheetName val="상_부1"/>
      <sheetName val="A-8_PD(도로중앙)1"/>
      <sheetName val="단양_00_아파트-세부내역"/>
      <sheetName val="청_구1"/>
      <sheetName val="설내역서_1"/>
      <sheetName val="건축내역서_(경제상무실)1"/>
      <sheetName val="1_수인터널1"/>
      <sheetName val="단면_(2)"/>
      <sheetName val="1_설계조건1"/>
      <sheetName val="배수공_주요자재_집계표"/>
      <sheetName val="내역서1999_8최종1"/>
      <sheetName val="06_일위대가목록"/>
      <sheetName val="PROJECT_BRIEF(EX_NEW)1"/>
      <sheetName val="Site_Expenses1"/>
      <sheetName val="내역서_(2)"/>
      <sheetName val="전_기"/>
      <sheetName val="공사비_증감_내역서1"/>
      <sheetName val="표지_(2)"/>
      <sheetName val="단가_및_재료비1"/>
      <sheetName val="Ⅴ-2_공종별내역"/>
      <sheetName val="4_내진설계"/>
      <sheetName val="_ｹ-ﾌﾞﾙ"/>
      <sheetName val="플랜트_설치"/>
      <sheetName val="지구_리스트"/>
      <sheetName val="1000_DB구축_부표"/>
      <sheetName val="효성CB_1P기초"/>
      <sheetName val="전차선로_물량표"/>
      <sheetName val="1_CB1"/>
      <sheetName val="1_설계기준1"/>
      <sheetName val="Flaer_Area1"/>
      <sheetName val="1_우편집중내역서"/>
      <sheetName val="하도급_검토"/>
      <sheetName val="지장물_철거_물량_산출서"/>
      <sheetName val="4_2_1_마루높이_검토"/>
      <sheetName val="3_하중계산"/>
      <sheetName val="_상부공통집계(총괄)"/>
      <sheetName val="단_box"/>
      <sheetName val="중강당_내역"/>
      <sheetName val="2-1__경관조명_내역총괄표"/>
      <sheetName val="총_원가계산"/>
      <sheetName val="돌담교_상부수량1"/>
      <sheetName val="HRSG_SMALL07220"/>
      <sheetName val="아파트_내역"/>
      <sheetName val="노임_및_중기단가"/>
      <sheetName val="내역서_1"/>
      <sheetName val="내역서_제출"/>
      <sheetName val="설명서_"/>
      <sheetName val="8_석축단위(H=1_5M)"/>
      <sheetName val="2_대외공문"/>
      <sheetName val="별표_"/>
      <sheetName val="인건비_"/>
      <sheetName val="신규_수주분(사용자_정의)"/>
      <sheetName val="plan&amp;section_of_foundation1"/>
      <sheetName val="pile_bearing_capa_&amp;_arrenge"/>
      <sheetName val="design_load1"/>
      <sheetName val="working_load_at_the_btm_ft_1"/>
      <sheetName val="stability_check1"/>
      <sheetName val="design_criteria1"/>
      <sheetName val="3_하중산정4_지지력"/>
      <sheetName val="COMPARISON_TABLE"/>
      <sheetName val="crude_SLAB_RE-bar"/>
      <sheetName val="CRUDE_RE-bar"/>
      <sheetName val="2_입력sheet"/>
      <sheetName val="(3_품질관리_시험_총괄표)"/>
      <sheetName val="2_가정단면"/>
      <sheetName val="Pier_3"/>
      <sheetName val="수량산출서_갑지"/>
      <sheetName val="1062-X방향_"/>
      <sheetName val="표__지"/>
      <sheetName val="BOX(1_5X1_5)"/>
      <sheetName val="1_2_1_마루높이결정"/>
      <sheetName val="단면__2_"/>
      <sheetName val="Dike_for_49T03_&amp;_49T04"/>
      <sheetName val="Dike_for_49T02,_05~07,_19_(1)"/>
      <sheetName val="_냉각수펌프"/>
      <sheetName val="ENE-CAL_1"/>
      <sheetName val="ITB_COST"/>
      <sheetName val="2011_(4)"/>
      <sheetName val="설계기준_및_하중계산"/>
      <sheetName val="11_자재단가"/>
      <sheetName val="PAD_TR보호대기초"/>
      <sheetName val="각사별공사비분개_"/>
      <sheetName val="역T형(H=6_0)_(2)"/>
      <sheetName val="2_토목공사"/>
      <sheetName val="AS포장복구_"/>
      <sheetName val="개별직종노임단가(2003_9)"/>
      <sheetName val="3련_BOX"/>
      <sheetName val="내역-_CCTV"/>
      <sheetName val="EQUIP_LIST"/>
      <sheetName val="실행내역(10_13)"/>
      <sheetName val="기존건물_깨기원단위"/>
      <sheetName val="철근량_산정"/>
      <sheetName val="노_표-조"/>
      <sheetName val="슬래브_-연속(3경간)"/>
      <sheetName val="4_2유효폭의_계산"/>
      <sheetName val="참여현황_(직원)"/>
      <sheetName val="계정"/>
      <sheetName val="BOJUNGGM"/>
      <sheetName val="금전출납"/>
      <sheetName val="직영명부"/>
      <sheetName val="계약내역서"/>
      <sheetName val="공통자료"/>
      <sheetName val="수리결과"/>
      <sheetName val="일위대가 "/>
      <sheetName val="공통갑지"/>
      <sheetName val="기성청구조서"/>
      <sheetName val="국공유지및사유지"/>
      <sheetName val="수량간지코드"/>
      <sheetName val="수량목차코드"/>
      <sheetName val="99노임단_x0007_"/>
      <sheetName val="99노임단쌇"/>
      <sheetName val="작성"/>
      <sheetName val="대포2교접속"/>
      <sheetName val="천방교접속"/>
      <sheetName val="공사내역서(을)실행"/>
      <sheetName val="2.관대집계표"/>
      <sheetName val="도체종-상수표"/>
      <sheetName val="형식 - 1-2-3"/>
      <sheetName val="적요"/>
      <sheetName val="1. 총괄 집계표"/>
      <sheetName val="표지(예시)"/>
      <sheetName val="주요재료비(원본)"/>
      <sheetName val="2000.05"/>
      <sheetName val="목표세부명세"/>
      <sheetName val="유효폭의 계산"/>
      <sheetName val="2.건축"/>
      <sheetName val="49"/>
      <sheetName val="수불계획서(전체)"/>
      <sheetName val="-배수구조물공토공"/>
      <sheetName val="계산서(직선부)"/>
      <sheetName val="횡배수관재료-"/>
      <sheetName val="콘크리트측구연장"/>
      <sheetName val="전통건설"/>
      <sheetName val="정부노임"/>
      <sheetName val="용소리교"/>
      <sheetName val="서울대규장각(가시설흙막이)"/>
      <sheetName val="판매시설"/>
      <sheetName val="Requirement(Work Crew)"/>
      <sheetName val="CONCRETE"/>
      <sheetName val="참고"/>
      <sheetName val="PILE"/>
      <sheetName val="절대건들지마시오"/>
      <sheetName val="SLAB"/>
      <sheetName val="표준내역"/>
      <sheetName val="설계공통자료입력"/>
      <sheetName val="품셈표"/>
      <sheetName val="공사개별자료입력"/>
      <sheetName val="공사비예산서"/>
      <sheetName val="기초입력 DATA"/>
      <sheetName val="길어깨단위"/>
      <sheetName val="역T형옹벽(3.0)"/>
      <sheetName val="9509"/>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STEEL BOX 단면설계(SEC.8)"/>
      <sheetName val="식생블럭"/>
      <sheetName val="부경대총괄내역서"/>
      <sheetName val="포장공총괄수량집계표"/>
      <sheetName val="CABLE SIZE-1"/>
      <sheetName val="토목내역서(변경1)"/>
      <sheetName val="케이블트레이"/>
      <sheetName val="DHEQSUPT"/>
      <sheetName val="터널조도"/>
      <sheetName val="본선 토공 분배표"/>
      <sheetName val="신푝지1"/>
      <sheetName val="물류최종8월7"/>
      <sheetName val="나.설계조건"/>
      <sheetName val="기계설비품셈"/>
      <sheetName val="공사품旼ã"/>
      <sheetName val="CABLE"/>
      <sheetName val="5.장비(안)"/>
      <sheetName val="입찰품의서"/>
      <sheetName val="전력간선(신설)"/>
      <sheetName val="위치"/>
      <sheetName val="본댐설계"/>
      <sheetName val="SCHE"/>
      <sheetName val="스파이더산출근거"/>
      <sheetName val="기시공토적"/>
      <sheetName val="2012노임단가"/>
      <sheetName val="수주현황2월"/>
      <sheetName val="PIPE(UG)내역"/>
      <sheetName val="상세"/>
      <sheetName val="한일양산"/>
      <sheetName val="계획집계"/>
      <sheetName val="(참고)지급수수료"/>
      <sheetName val="점검총괄"/>
      <sheetName val="모래기초"/>
      <sheetName val="설계서"/>
      <sheetName val="공사내역서"/>
      <sheetName val="3.2주형지지보"/>
      <sheetName val="상수도내역서"/>
      <sheetName val="C.배수관공"/>
      <sheetName val="LOPCALC"/>
      <sheetName val="차수공개요"/>
      <sheetName val="견적가"/>
      <sheetName val="산출"/>
      <sheetName val="자동제어"/>
      <sheetName val="화산경계"/>
      <sheetName val="스톱로그내역"/>
      <sheetName val="잡비계산"/>
      <sheetName val="공조기휀"/>
      <sheetName val="공정자료2"/>
      <sheetName val="아파트"/>
      <sheetName val="1.취수장"/>
      <sheetName val="총괄-1"/>
      <sheetName val="실행내역서 "/>
      <sheetName val="총수량집계표"/>
      <sheetName val="전국현황"/>
      <sheetName val="변경당시노임단가표"/>
      <sheetName val="작업 반복"/>
      <sheetName val="상하차비용(기계상차)"/>
      <sheetName val="수간보호"/>
      <sheetName val="운반비"/>
      <sheetName val="공종목록표"/>
      <sheetName val="0"/>
      <sheetName val="2006계약"/>
      <sheetName val="당진1,2호기전선관설치및접지4차공사내역서-을지"/>
      <sheetName val="콘크스"/>
      <sheetName val="100만평"/>
      <sheetName val="협력업체기성(첨부)"/>
      <sheetName val="HC-04"/>
      <sheetName val="개소별수량산출"/>
      <sheetName val="취수탑"/>
      <sheetName val="설계총괄표"/>
      <sheetName val="신평리 권리자명부"/>
      <sheetName val="현장청취복명서"/>
      <sheetName val="노임산출서"/>
      <sheetName val="돈암사업"/>
      <sheetName val="單價表단가표"/>
      <sheetName val="FAB消防报警"/>
      <sheetName val="工程量计算书"/>
      <sheetName val="FAB计算式"/>
      <sheetName val="SANTOGO"/>
      <sheetName val="(당氐⿾_x0000__x0000_"/>
      <sheetName val="(당_x0000__x0000__x0005__x0000_"/>
      <sheetName val="내역단위"/>
      <sheetName val="코드명"/>
      <sheetName val="구조물단위표"/>
      <sheetName val="관포설품"/>
      <sheetName val="동원단위"/>
      <sheetName val="인수공규격"/>
      <sheetName val="구조물절단규격"/>
      <sheetName val="거리별운반단가"/>
      <sheetName val="내역서 (변경단가)"/>
      <sheetName val="평균터파기"/>
      <sheetName val="추정공사비_산출내역1.xlsx"/>
      <sheetName val="견적대비 견적서"/>
      <sheetName val="음봉방향"/>
      <sheetName val="건축집계"/>
      <sheetName val="BOQ"/>
      <sheetName val="1호-아(오)0.4"/>
      <sheetName val="Model"/>
      <sheetName val="CONSTRUCTION COMPONENT"/>
      <sheetName val="접속 SLAB,BRACKET 설계"/>
      <sheetName val="가정급수관"/>
      <sheetName val="EQ"/>
      <sheetName val="맨홀토공수량"/>
      <sheetName val="2000년하반기"/>
      <sheetName val="EP0618"/>
      <sheetName val="기초(중마오수)"/>
      <sheetName val="빌딩 안내"/>
      <sheetName val="공정별 수량산출서"/>
      <sheetName val="일반시방서"/>
      <sheetName val="일위대가(조경)"/>
      <sheetName val="자재 및 폐기물견적(2008)"/>
      <sheetName val="대우단가(풍산)"/>
      <sheetName val="화단 철거"/>
      <sheetName val="중기비"/>
      <sheetName val="CABLE SIZE-3"/>
      <sheetName val="수지예산"/>
      <sheetName val="예정(3)"/>
      <sheetName val="측구공"/>
      <sheetName val="입력값"/>
      <sheetName val="옥내아파트(전기)"/>
      <sheetName val="점수계산1-2"/>
      <sheetName val="Sheet16"/>
      <sheetName val="Sheet14"/>
      <sheetName val="부하"/>
      <sheetName val="Sheet13"/>
      <sheetName val="최적단면"/>
      <sheetName val="cable data1"/>
      <sheetName val="간접비계산"/>
      <sheetName val="wk prgs"/>
      <sheetName val="Berm"/>
      <sheetName val="2.2 S-Curve"/>
      <sheetName val="설계개요"/>
      <sheetName val="IMPEADENCE MAP 취수장"/>
      <sheetName val="AC포장수량"/>
      <sheetName val="기본DATA"/>
      <sheetName val="약품설비"/>
      <sheetName val="COPING-1"/>
      <sheetName val="역T형교대-2수량"/>
      <sheetName val="1-1"/>
      <sheetName val="일위대가_호표"/>
      <sheetName val="일위대가_호표 (계약)"/>
      <sheetName val="주beam"/>
      <sheetName val="2. 공원조도"/>
      <sheetName val="설직재_1"/>
      <sheetName val="업무"/>
      <sheetName val="견적1"/>
      <sheetName val="인부신상자료"/>
      <sheetName val="001"/>
      <sheetName val="2F 회의실견적(5_14 일대)"/>
      <sheetName val="총_구조물공"/>
      <sheetName val="(X)품셈집계"/>
      <sheetName val="대3류 "/>
      <sheetName val="부대시설"/>
      <sheetName val="설치조서"/>
      <sheetName val="배수공집계표"/>
      <sheetName val="포장집계"/>
      <sheetName val="포장연장"/>
      <sheetName val="학습율"/>
      <sheetName val="건설사업관리 공제요율"/>
      <sheetName val="건설공사 감리원 배치기준"/>
      <sheetName val="책임감리 공제요율"/>
      <sheetName val="단가비교표"/>
      <sheetName val="제경비"/>
      <sheetName val="실적"/>
      <sheetName val="입력(K0)"/>
      <sheetName val="장비"/>
      <sheetName val="단가산출1"/>
      <sheetName val="지수"/>
      <sheetName val="인제내역"/>
      <sheetName val="1~9 하중계산"/>
      <sheetName val="PL단가산정"/>
      <sheetName val="그림"/>
      <sheetName val="그림2"/>
      <sheetName val="전등수량산출"/>
      <sheetName val="산정표"/>
      <sheetName val="캔개발배경"/>
      <sheetName val="캔판매목표"/>
      <sheetName val="시장"/>
      <sheetName val="손익"/>
      <sheetName val="일정표"/>
      <sheetName val="마케팅"/>
      <sheetName val="추정손익"/>
      <sheetName val="할당"/>
      <sheetName val="제목"/>
      <sheetName val="원가,목표"/>
      <sheetName val="판매"/>
      <sheetName val="판촉"/>
      <sheetName val="협조"/>
      <sheetName val="정의"/>
      <sheetName val="대구은행"/>
      <sheetName val="견적갑지"/>
      <sheetName val="물량내역"/>
      <sheetName val="소요자재명세서"/>
      <sheetName val="전산output"/>
      <sheetName val="품목납기"/>
      <sheetName val="Quantity"/>
      <sheetName val="변수값"/>
      <sheetName val="도면명"/>
      <sheetName val="구분자"/>
      <sheetName val=" "/>
      <sheetName val="1SPAN"/>
      <sheetName val="단면A-A(TR)"/>
      <sheetName val="2_단면_x0000__x0000_"/>
      <sheetName val="상수구조화편집부표"/>
      <sheetName val="주소"/>
      <sheetName val="5.2.6~7공사요율"/>
      <sheetName val="상부"/>
      <sheetName val="현황판"/>
      <sheetName val="개비온집계"/>
      <sheetName val="개비온 단위"/>
      <sheetName val="U형개거"/>
      <sheetName val="포장절단"/>
      <sheetName val="고상실행"/>
      <sheetName val="분전반계산서(석관)"/>
      <sheetName val="맨홀공수량집계"/>
      <sheetName val="1호맨홀수량집계"/>
      <sheetName val="2호맨홀수량집계"/>
      <sheetName val="3호맨홀수량집계"/>
      <sheetName val="맨홀뚜껑단위수량"/>
      <sheetName val="조_x0000__x0000__x0005_"/>
      <sheetName val="상촌2교-일반수량집계"/>
      <sheetName val="일 위 대 가 표"/>
      <sheetName val="사본___b_balju"/>
      <sheetName val="개별직종노임단가(2005_1)"/>
      <sheetName val="1,2공구원가계산서"/>
      <sheetName val="1공구산출내역서"/>
      <sheetName val="경비2내역"/>
      <sheetName val="설계예산서(2_소천우회토목)"/>
      <sheetName val="토공유동표"/>
      <sheetName val="제잡비계산"/>
      <sheetName val="토공 total"/>
      <sheetName val="흥양2교토공집계표"/>
      <sheetName val="101동"/>
      <sheetName val="BOX수량"/>
      <sheetName val="RAMP 단면(R2)"/>
      <sheetName val="신고조서"/>
      <sheetName val="96정변2"/>
      <sheetName val="차수"/>
      <sheetName val="공사비총괄표"/>
      <sheetName val="항목등록"/>
      <sheetName val="102역사"/>
      <sheetName val="목차 "/>
      <sheetName val="직접공사비"/>
      <sheetName val="0506생활권구적"/>
      <sheetName val="간접1"/>
      <sheetName val="공정코드"/>
      <sheetName val="우수내용"/>
      <sheetName val="기성내역"/>
      <sheetName val="공통가설공사"/>
      <sheetName val="재료집계표"/>
      <sheetName val="각종양식"/>
      <sheetName val="암거단위"/>
      <sheetName val="오동"/>
      <sheetName val="대조"/>
      <sheetName val="나한"/>
      <sheetName val="월말"/>
      <sheetName val="업무분장"/>
      <sheetName val="발주내역"/>
      <sheetName val="토목내역서 (도급단가)"/>
      <sheetName val="예산M11A"/>
      <sheetName val="내역_ver1.0"/>
      <sheetName val="세골재  T2 변경 현황"/>
      <sheetName val="0.단가"/>
      <sheetName val="중기"/>
      <sheetName val="CIVIL4"/>
      <sheetName val="내역서중"/>
      <sheetName val="PSCbeam설계"/>
      <sheetName val="4. 주형설계"/>
      <sheetName val="바닥판의 설계"/>
      <sheetName val="자재단가비교표"/>
      <sheetName val="2.단면가정"/>
      <sheetName val="수우미양가(Vlookup)"/>
      <sheetName val="세부내역서(전기)"/>
      <sheetName val="소보"/>
      <sheetName val="포장면적집계"/>
      <sheetName val="RFP002"/>
      <sheetName val="Rooms"/>
      <sheetName val="Chiet tinh dz35"/>
      <sheetName val="TABLE DB"/>
      <sheetName val="쌍용 data base"/>
      <sheetName val="CTG"/>
      <sheetName val="구조물공위치조서"/>
      <sheetName val="TYPE1"/>
      <sheetName val="LKVL-CK-HT-GD1"/>
      <sheetName val="TONGKE-HT"/>
      <sheetName val="장비사양"/>
      <sheetName val="Tables"/>
      <sheetName val="현장별계약현황('98.10.31)"/>
      <sheetName val="배수내역 (2)"/>
      <sheetName val="편입용지조서"/>
      <sheetName val="pvc연결관"/>
      <sheetName val="계약ITEM"/>
      <sheetName val="escon"/>
      <sheetName val="code HTT Thap"/>
      <sheetName val="Notes"/>
      <sheetName val="GIAVLIEU"/>
      <sheetName val="SAP"/>
      <sheetName val="Mall"/>
      <sheetName val="D&amp;W def."/>
      <sheetName val="FitOutConfCentre"/>
      <sheetName val="GVL"/>
      <sheetName val="RAB AR&amp;STR"/>
      <sheetName val="6MONTHS"/>
      <sheetName val="4-Lane bridge"/>
      <sheetName val="Z"/>
      <sheetName val="chitimc"/>
      <sheetName val="dongia (2)"/>
      <sheetName val="giathanh1"/>
      <sheetName val="t-h HA THE"/>
      <sheetName val="lam-moi"/>
      <sheetName val="THPDMoi  (2)"/>
      <sheetName val="gtrinh"/>
      <sheetName val="phuluc1"/>
      <sheetName val="DONGIA"/>
      <sheetName val="thao-go"/>
      <sheetName val="DON GIA"/>
      <sheetName val="DG"/>
      <sheetName val="dtxl"/>
      <sheetName val="CHITIET VL-NC-TT -1p"/>
      <sheetName val="TONG HOP VL-NC TT"/>
      <sheetName val="TH XL"/>
      <sheetName val="VC"/>
      <sheetName val="chitiet"/>
      <sheetName val="Tiepdia"/>
      <sheetName val="CHITIET VL-NC-TT-3p"/>
      <sheetName val="TDTKP"/>
      <sheetName val="TDTKP1"/>
      <sheetName val="KPVC-BD "/>
      <sheetName val="CHITIET VL-NC"/>
      <sheetName val="B3A - TOWER A"/>
      <sheetName val="Thuc thanh"/>
      <sheetName val="264"/>
      <sheetName val="침하계"/>
      <sheetName val="2_2_S-Curve"/>
      <sheetName val="DI-ESTI"/>
      <sheetName val="일위대가표(유단가)"/>
      <sheetName val="Civil. Sub-Station 1"/>
      <sheetName val="Coax Designer"/>
      <sheetName val="tong du toan"/>
      <sheetName val="DAF-2"/>
      <sheetName val="MAIN GATE HOUSE"/>
      <sheetName val="Rebar"/>
      <sheetName val="Bảng mã VT"/>
      <sheetName val="S0"/>
      <sheetName val="단지조성공(가포)"/>
      <sheetName val="도"/>
      <sheetName val="항목"/>
      <sheetName val="DNW"/>
      <sheetName val="아스콘단위"/>
      <sheetName val="汇总表"/>
      <sheetName val="정읍농소"/>
      <sheetName val="Contents"/>
      <sheetName val="개방1"/>
      <sheetName val="N10(미지급) "/>
      <sheetName val="(평균)"/>
      <sheetName val="노무비 근거"/>
      <sheetName val="수량집"/>
      <sheetName val="MAIN"/>
      <sheetName val="개인"/>
      <sheetName val="도수로수량산출"/>
      <sheetName val="ATM기초철가"/>
      <sheetName val="지장물_data"/>
      <sheetName val="공사착공계"/>
      <sheetName val=" 총괄표"/>
      <sheetName val="기본1"/>
      <sheetName val="수정일위대가"/>
      <sheetName val="입력변수"/>
      <sheetName val="집계표(OPTION)"/>
      <sheetName val="기흥하도용"/>
      <sheetName val="가격조사서"/>
      <sheetName val="암거"/>
      <sheetName val="표준차도부연장집계-ASP"/>
      <sheetName val="조경일람"/>
      <sheetName val="일위(수원)"/>
      <sheetName val="전체제잡비"/>
      <sheetName val="종배수관면벽구"/>
      <sheetName val="종배수관위치조서"/>
      <sheetName val="1련박스"/>
      <sheetName val="대부예산서"/>
      <sheetName val="배수장토목공사비"/>
      <sheetName val="암거 제원표-1단계"/>
      <sheetName val="분뇨"/>
      <sheetName val="상-교대(A1-A2)"/>
      <sheetName val="집기손료"/>
      <sheetName val="암거 제원표"/>
      <sheetName val="WING3"/>
      <sheetName val="수요개발과판매량"/>
      <sheetName val="지질조사"/>
      <sheetName val="소도3교"/>
      <sheetName val="연돌일위집계"/>
      <sheetName val="교량"/>
      <sheetName val="문학간접"/>
      <sheetName val="보증수수료산출"/>
      <sheetName val="건축기계설비표선정수장"/>
      <sheetName val="지점별강우량"/>
      <sheetName val="절대지우지말것"/>
      <sheetName val="보도단위"/>
      <sheetName val="건축-물가변동"/>
      <sheetName val="노무비지급명세"/>
      <sheetName val="기성내역서"/>
      <sheetName val="일용직내역"/>
      <sheetName val="1袼ࣉ"/>
      <sheetName val="시멘,골재"/>
      <sheetName val="콘크집계"/>
      <sheetName val="낙차공"/>
      <sheetName val="자재집계1"/>
      <sheetName val="측구날개벽"/>
      <sheetName val="적용단가표"/>
      <sheetName val="설계서(7)"/>
      <sheetName val="배수공 내역서 적용수량"/>
      <sheetName val="매출현황"/>
      <sheetName val="입력정보"/>
      <sheetName val="일위집계"/>
      <sheetName val="90.0_x0000_"/>
      <sheetName val="퇴직금(울산천상)"/>
      <sheetName val="정산"/>
      <sheetName val="공종구간"/>
      <sheetName val="본장"/>
      <sheetName val="지지력"/>
      <sheetName val="인건-측정"/>
      <sheetName val="투자비"/>
      <sheetName val="사업비"/>
      <sheetName val="조성원가DATA"/>
      <sheetName val="sum1 (2)"/>
      <sheetName val="도급양식"/>
      <sheetName val="국소별공정"/>
      <sheetName val="광장"/>
      <sheetName val="재료값"/>
      <sheetName val="이름표"/>
      <sheetName val="연속벽¼_x0000_"/>
      <sheetName val="부대집계"/>
      <sheetName val="건공요율"/>
      <sheetName val="간지1"/>
      <sheetName val="1.사유서"/>
      <sheetName val="간지2"/>
      <sheetName val="간지3"/>
      <sheetName val="부재별집계표"/>
      <sheetName val="도면"/>
      <sheetName val="5"/>
      <sheetName val="13후반노무비"/>
      <sheetName val="제수변수량"/>
      <sheetName val="BEND LOSS"/>
      <sheetName val="공정율"/>
      <sheetName val="1.설계기준 "/>
      <sheetName val="Project Brief"/>
      <sheetName val="선그높이산정"/>
      <sheetName val="공제단위수량"/>
      <sheetName val="공제"/>
      <sheetName val="날개1.5"/>
      <sheetName val="날개토공1.5"/>
      <sheetName val="날개수량1.5"/>
      <sheetName val="접속도로물량"/>
      <sheetName val="접속도로"/>
      <sheetName val="공종별내역서"/>
      <sheetName val="2019 단가내역"/>
      <sheetName val="신규일위대가목록"/>
      <sheetName val="신규일위대가"/>
      <sheetName val="신규자재단가조서"/>
      <sheetName val="현황사진"/>
      <sheetName val="수량-1순위(2차)TOTAL"/>
      <sheetName val="본관 관리동 공동구 1순위"/>
      <sheetName val="3계열 침전지 공동구 1순위"/>
      <sheetName val="착수정 공동구 1순위"/>
      <sheetName val="송수실 공동구 1순위"/>
      <sheetName val="1(자양배관실)"/>
      <sheetName val="1(자양계단실)"/>
      <sheetName val="1(자양외벽)"/>
      <sheetName val="공구원가계산"/>
      <sheetName val="공문"/>
      <sheetName val="10"/>
      <sheetName val="11"/>
      <sheetName val="12"/>
      <sheetName val="13"/>
      <sheetName val="14"/>
      <sheetName val="16"/>
      <sheetName val="7"/>
      <sheetName val="8"/>
      <sheetName val="9"/>
      <sheetName val="발안전력구"/>
      <sheetName val="직접시공계획서"/>
      <sheetName val="공사기본자료"/>
      <sheetName val="15)VE제안서(유형1)"/>
      <sheetName val="12)아이디어 목록 및 개략평가"/>
      <sheetName val="11)VE 예비검토서"/>
      <sheetName val="15-3)VE제안서(가치향상 등)"/>
      <sheetName val="3_공통공사_x0000_隒"/>
      <sheetName val="98지급계획"/>
      <sheetName val="하도급Ć_x0000__x0000_"/>
      <sheetName val="중사"/>
      <sheetName val="마포토정"/>
      <sheetName val="시설물일위"/>
      <sheetName val="백호우계수"/>
      <sheetName val="의뢰서"/>
      <sheetName val="전체공내역서"/>
      <sheetName val="90_03실행_"/>
      <sheetName val="흙막이_개산견적"/>
      <sheetName val="A_견적"/>
      <sheetName val="코스모공장_(어음)"/>
      <sheetName val="1_3_1절점좌표"/>
      <sheetName val="1_1설계기준"/>
      <sheetName val="97년_추정"/>
      <sheetName val="자재_집계표"/>
      <sheetName val="원가계산서_"/>
      <sheetName val="일위대가_"/>
      <sheetName val="입출재고현황_(2)"/>
      <sheetName val="C1.공사개요"/>
      <sheetName val="A1.스케쥴"/>
      <sheetName val="자재집게표 "/>
      <sheetName val="수배전반"/>
      <sheetName val="3_공통공사_x0000__x0000_"/>
      <sheetName val="3_공통공사_x0000_庘"/>
      <sheetName val="사기성 (2)"/>
      <sheetName val="A"/>
      <sheetName val="우배수"/>
      <sheetName val="5.2코핑"/>
      <sheetName val="단가(마감)"/>
      <sheetName val=" 갑  지 "/>
      <sheetName val="산출근거#2-3"/>
      <sheetName val="말뚝물량"/>
      <sheetName val="★도급내역"/>
      <sheetName val="수자재단위당"/>
      <sheetName val="Constant"/>
      <sheetName val="1.시험비"/>
      <sheetName val="포장(수량)-관로부"/>
      <sheetName val="명단"/>
      <sheetName val="Code03"/>
      <sheetName val="별표집계"/>
      <sheetName val="01후반노무비"/>
      <sheetName val="건축내역(동해조인)"/>
      <sheetName val="Elec LG"/>
      <sheetName val="TOYO"/>
      <sheetName val="D_MUC"/>
      <sheetName val="Cst Pkg-Eden"/>
      <sheetName val="5월급여"/>
      <sheetName val="사업량총괄"/>
      <sheetName val="입력그림"/>
      <sheetName val="건설기술표준원"/>
      <sheetName val="예산M12A"/>
      <sheetName val="unitx_x0000__x0000__x0000_"/>
      <sheetName val="UNIT-QT"/>
      <sheetName val="JUCK"/>
      <sheetName val="합의경상"/>
      <sheetName val="MEXICO-C"/>
      <sheetName val="송장"/>
      <sheetName val="장비내역서"/>
      <sheetName val="부하LOAD"/>
      <sheetName val="날개벽(TYPE3)"/>
      <sheetName val="2공구수량"/>
      <sheetName val="부하(반월)"/>
      <sheetName val="봉양~조차장간고하개명(신설)"/>
      <sheetName val="청구내역(9807)"/>
      <sheetName val="노원열병합  건축공사기성내역서"/>
      <sheetName val="유동표(변경)"/>
      <sheetName val="가설건물"/>
      <sheetName val="공통(20-91)"/>
      <sheetName val="공용시설내역"/>
      <sheetName val="변경실행(2차) "/>
      <sheetName val="L-type"/>
      <sheetName val="비교표"/>
      <sheetName val="부하(성남)"/>
      <sheetName val="외천교"/>
      <sheetName val="Sheet17"/>
      <sheetName val="자재수량"/>
      <sheetName val="간접비"/>
      <sheetName val="Macro(AT)"/>
      <sheetName val="동력부하(도산)"/>
      <sheetName val="MACRO(MCC)"/>
      <sheetName val="토공A"/>
      <sheetName val="5. 차단기 용량계산"/>
      <sheetName val="BLOCK(1)"/>
      <sheetName val="CA지입"/>
      <sheetName val="관리사무소"/>
      <sheetName val="다이꾸"/>
      <sheetName val="cost"/>
      <sheetName val="품의서"/>
      <sheetName val="FEXS"/>
      <sheetName val="7.1유효폭"/>
      <sheetName val="TRE TABLE"/>
      <sheetName val="기계실"/>
      <sheetName val="입고장부 (4)"/>
      <sheetName val="EJ"/>
      <sheetName val="W-현원가"/>
      <sheetName val="조명율데이타"/>
      <sheetName val="도담구내 개소별 명세"/>
      <sheetName val="매크로"/>
      <sheetName val="외주가공"/>
      <sheetName val="대구실행"/>
      <sheetName val="현장지지물물량"/>
      <sheetName val="현장관리비내역서"/>
      <sheetName val="예산서"/>
      <sheetName val="c_balju"/>
      <sheetName val="J"/>
      <sheetName val="협조전"/>
      <sheetName val="지진시"/>
      <sheetName val="맨홀수량집계"/>
      <sheetName val="MBR9"/>
      <sheetName val="4)유동표"/>
      <sheetName val="I.설계조건"/>
      <sheetName val="전력구구조물산근2구간"/>
      <sheetName val="BQ(실행)"/>
      <sheetName val="유동표"/>
      <sheetName val="LOAD-AY"/>
      <sheetName val="bearing"/>
      <sheetName val="굴착현장"/>
      <sheetName val="1공구(을)"/>
      <sheetName val="배수관공"/>
      <sheetName val="Cost bd-&quot;A&quot;"/>
      <sheetName val="조도계산서 (도서)"/>
      <sheetName val="L_RPTA05_목록"/>
      <sheetName val="IMP(MAIN)"/>
      <sheetName val="IMP (REACTOR)"/>
      <sheetName val="TABLE"/>
      <sheetName val="BQ"/>
      <sheetName val="환률"/>
      <sheetName val="RAHMEN"/>
      <sheetName val="Languages"/>
      <sheetName val="명단원자료(이전)"/>
      <sheetName val="옹벽기초자료"/>
      <sheetName val="경상비"/>
      <sheetName val="산거각호표"/>
      <sheetName val="실행예산"/>
      <sheetName val="현금"/>
      <sheetName val="부하(도서)"/>
      <sheetName val="E.P.T수량산출서"/>
      <sheetName val="타공종이기"/>
      <sheetName val="????"/>
      <sheetName val="Process"/>
      <sheetName val="C1ㅇ"/>
      <sheetName val="DG-LAP6"/>
      <sheetName val="工완성공사율"/>
      <sheetName val="설산1.나"/>
      <sheetName val="본사S"/>
      <sheetName val="96작생능"/>
      <sheetName val="접속도로1"/>
      <sheetName val="견적정보"/>
      <sheetName val="토공(완충)"/>
      <sheetName val="가로등제어반 설치공사(수량)"/>
      <sheetName val="발신정보"/>
      <sheetName val="단가표 "/>
      <sheetName val="K"/>
      <sheetName val="내역서비교"/>
      <sheetName val="기성집계"/>
      <sheetName val="견"/>
      <sheetName val="설계서(설치)"/>
      <sheetName val="Picture"/>
      <sheetName val="직원동원SCH"/>
      <sheetName val="전압강하계산"/>
      <sheetName val="양식"/>
      <sheetName val="TYPE-1"/>
      <sheetName val="ROOF(ALKALI)"/>
      <sheetName val="정산입력"/>
      <sheetName val="계산근거"/>
      <sheetName val="내역(2000년)"/>
      <sheetName val="Dae_Jiju"/>
      <sheetName val="Sikje_ingun"/>
      <sheetName val="TREE_D"/>
      <sheetName val="원데이타"/>
      <sheetName val="DA"/>
      <sheetName val="22-2M단"/>
      <sheetName val="22-1소단"/>
      <sheetName val="CATV"/>
      <sheetName val="조명률표"/>
      <sheetName val="설계자료"/>
      <sheetName val="아산추가1220"/>
      <sheetName val="교량명원본"/>
      <sheetName val="BOX제원원본"/>
      <sheetName val="표지판현황"/>
      <sheetName val="회사99"/>
      <sheetName val="노원열병합__건축공사기성내역서"/>
      <sheetName val="철근정산"/>
      <sheetName val="호안공"/>
      <sheetName val="TYPE-B 평균H"/>
      <sheetName val="실행품의서"/>
      <sheetName val="OZ049E"/>
      <sheetName val="토공및부대2차"/>
      <sheetName val="단위내역서"/>
      <sheetName val="처리단락"/>
      <sheetName val="LD"/>
      <sheetName val="약전닥트"/>
      <sheetName val="건축부하"/>
      <sheetName val="일지-H"/>
      <sheetName val="FA설치명세"/>
      <sheetName val="김포IO"/>
      <sheetName val="물량산출_LP-1"/>
      <sheetName val="물량산출_LP-2"/>
      <sheetName val="물량산출_LP-3"/>
      <sheetName val="물량산출_LP-4"/>
      <sheetName val="LXLIST1"/>
      <sheetName val="와동25-3(변경)"/>
      <sheetName val="96수출"/>
      <sheetName val="내역(정지)"/>
      <sheetName val="L형측구단위수량"/>
      <sheetName val="L형측구연장조서"/>
      <sheetName val="도로경계블럭단위수량"/>
      <sheetName val="도로경계블럭단위토공"/>
      <sheetName val="단가산출집계"/>
      <sheetName val="주사무실종합"/>
      <sheetName val="SRC-B3U2"/>
      <sheetName val="하중계산"/>
      <sheetName val="비대칭계수"/>
      <sheetName val="전동기 SPEC"/>
      <sheetName val="일반맨홀수량집계(A-7 LINE)"/>
      <sheetName val="I_설계조건"/>
      <sheetName val="변경실행(2차)_"/>
      <sheetName val="토공계산서(부체도로)"/>
      <sheetName val="토공산출(주차장)"/>
      <sheetName val="현장관리"/>
      <sheetName val="매입"/>
      <sheetName val="토공산출 (아파트)"/>
      <sheetName val="운용방안"/>
      <sheetName val="월선수금"/>
      <sheetName val="8. 내진해석"/>
      <sheetName val="LEVEL0~4"/>
      <sheetName val="__Isyou_c_PJT_2000_R_6_____Fi_2"/>
      <sheetName val="LEGEND"/>
      <sheetName val="PROJECT COST ESTIMATE (cont)"/>
      <sheetName val="할증 "/>
      <sheetName val="일위대가(원본)"/>
      <sheetName val="집행(2-1)"/>
      <sheetName val="LG제품"/>
      <sheetName val="환율"/>
      <sheetName val="횡배위치"/>
      <sheetName val="조명율"/>
      <sheetName val="Cost_bd-&quot;A&quot;"/>
      <sheetName val="TRE_TABLE"/>
      <sheetName val="사용자정의"/>
      <sheetName val="제품표준규격"/>
      <sheetName val="환율-LIBOR"/>
      <sheetName val="견적시담(송포2공구)"/>
      <sheetName val="출근부"/>
      <sheetName val="견적내역서"/>
      <sheetName val="견적접수"/>
      <sheetName val="오산갈곳"/>
      <sheetName val="#230,#235"/>
      <sheetName val="5공철탑검토표"/>
      <sheetName val="4공철탑검토"/>
      <sheetName val="설계내역(2001)"/>
      <sheetName val="5.정산서"/>
      <sheetName val="아파트 "/>
      <sheetName val="잡비"/>
      <sheetName val="전기일위목록"/>
      <sheetName val="SE-611"/>
      <sheetName val="1을"/>
      <sheetName val="장비당단가 (1)"/>
      <sheetName val="선로정수계산"/>
      <sheetName val="관세,통관수수료,운반비"/>
      <sheetName val="동원(3)"/>
      <sheetName val="경영혁신본부"/>
      <sheetName val="nomi "/>
      <sheetName val="현장"/>
      <sheetName val="3-1.CB"/>
      <sheetName val="MCC제원"/>
      <sheetName val="SUM (INQNO."/>
      <sheetName val="99.6"/>
      <sheetName val="자료(통합)"/>
      <sheetName val="대상공사(조달청)"/>
      <sheetName val="가시설단위수량"/>
      <sheetName val="토목변경"/>
      <sheetName val="집수정단"/>
      <sheetName val="총계"/>
      <sheetName val="FD"/>
      <sheetName val="99관저"/>
      <sheetName val="FB25JN"/>
      <sheetName val="NAI"/>
      <sheetName val="관람석제출"/>
      <sheetName val="노무"/>
      <sheetName val="시설C"/>
      <sheetName val="사진"/>
      <sheetName val="조직표"/>
      <sheetName val="2.내역서"/>
      <sheetName val="BOX 본체"/>
      <sheetName val="6.교좌면보강"/>
      <sheetName val="수로집계"/>
      <sheetName val="1차증가원가계산"/>
      <sheetName val="STORAGE"/>
      <sheetName val="TYPE-U800"/>
      <sheetName val="구동"/>
      <sheetName val="안정검토(온1)"/>
      <sheetName val="TOTAL인원"/>
      <sheetName val="Design Q'ty"/>
      <sheetName val="설계내"/>
      <sheetName val="조도계산(가로등NEW)"/>
      <sheetName val="L형옹벽측구"/>
      <sheetName val="MFAB"/>
      <sheetName val="MFRT"/>
      <sheetName val="MPKG"/>
      <sheetName val="MPRD"/>
      <sheetName val="간접경상비"/>
      <sheetName val="전기설계변경"/>
      <sheetName val="참조(2)"/>
      <sheetName val="BR.1(원)"/>
      <sheetName val="농로수량집계"/>
      <sheetName val="농로토공집계"/>
      <sheetName val="예산서(6)"/>
      <sheetName val="COMPRESSOR"/>
      <sheetName val="WIND-EQ"/>
      <sheetName val="견적업체"/>
      <sheetName val="AS복구"/>
      <sheetName val="중기터파기"/>
      <sheetName val="중기상차"/>
      <sheetName val="수문일1"/>
      <sheetName val="02 SLAB"/>
      <sheetName val="05 BOX"/>
      <sheetName val="---FAB#1업무일지---"/>
      <sheetName val="빙축열"/>
      <sheetName val="화재 탐지 설비"/>
      <sheetName val="영업소실적"/>
      <sheetName val="06_공정표"/>
      <sheetName val="D-3503"/>
      <sheetName val="물량산출근거"/>
      <sheetName val="FACTOR"/>
      <sheetName val="GRDBS"/>
      <sheetName val="EQT-ESTN"/>
      <sheetName val="전기품산출"/>
      <sheetName val="방음벽 기초 일반수량"/>
      <sheetName val="G.R300경비"/>
      <sheetName val="K1자재(3차등)"/>
      <sheetName val="____"/>
      <sheetName val="card1"/>
      <sheetName val="분석가정"/>
      <sheetName val="ATS단가"/>
      <sheetName val=" 내역"/>
      <sheetName val="순환펌프"/>
      <sheetName val="저수조"/>
      <sheetName val="급,배기팬"/>
      <sheetName val="급탕순환펌프"/>
      <sheetName val="적정심사"/>
      <sheetName val="4b Consolidated PL"/>
      <sheetName val="Proposal"/>
      <sheetName val="변수2"/>
      <sheetName val="저항"/>
      <sheetName val="Oper Amount"/>
      <sheetName val="DATA(BAC)"/>
      <sheetName val="주형지지보"/>
      <sheetName val="Data&amp;Result"/>
      <sheetName val="현황CODE"/>
      <sheetName val="손익현황"/>
      <sheetName val="PLAN_FEB97"/>
      <sheetName val="LAB"/>
      <sheetName val="노원열병합__건축공사기성내역서1"/>
      <sheetName val="전차선로_물량표1"/>
      <sheetName val="배수공_주요자재_집계표1"/>
      <sheetName val="조도계산서_(도서)"/>
      <sheetName val="입고장부_(4)"/>
      <sheetName val="IMP_(REACTOR)"/>
      <sheetName val="7_1유효폭"/>
      <sheetName val="5__차단기_용량계산"/>
      <sheetName val="도담구내_개소별_명세"/>
      <sheetName val="가로등제어반_설치공사(수량)"/>
      <sheetName val="E_P_T수량산출서"/>
      <sheetName val="단가표_"/>
      <sheetName val="3-1_CB"/>
      <sheetName val="설산1_나"/>
      <sheetName val="2F_회의실견적(5_14_일대)"/>
      <sheetName val="CHITIET_VL-NC-TT_-1p"/>
      <sheetName val="2월가격표-ESG-1월"/>
      <sheetName val="SPEC"/>
      <sheetName val="가설경비"/>
      <sheetName val="여흥"/>
      <sheetName val="Sheet16 (2)"/>
      <sheetName val="일반수량총괄"/>
      <sheetName val="통신부문노무임"/>
      <sheetName val="5. 설계명세서"/>
      <sheetName val="SELTDATA"/>
      <sheetName val="구리토평1전기"/>
      <sheetName val="지표"/>
      <sheetName val="교량하부공"/>
      <sheetName val="21301동"/>
      <sheetName val="공종별 집계"/>
      <sheetName val="Macro(전동기)"/>
      <sheetName val="횡배수관단위수량"/>
      <sheetName val="L형옹벽(key)"/>
      <sheetName val="가시설(TYPE-A)"/>
      <sheetName val="샘플표지"/>
      <sheetName val="총공사집계"/>
      <sheetName val="대가집계(1)"/>
      <sheetName val="대가집계"/>
      <sheetName val="집계(1)"/>
      <sheetName val="단가산출(1)"/>
      <sheetName val="물가"/>
      <sheetName val="대가표"/>
      <sheetName val="대가"/>
      <sheetName val="사토정산현황"/>
      <sheetName val="위치도"/>
      <sheetName val="사유서"/>
      <sheetName val="단가대비표(미첨부)"/>
      <sheetName val="토적표(길명리)"/>
      <sheetName val="사토(토사)"/>
      <sheetName val="사토(리핑)"/>
      <sheetName val="사토(발파)"/>
      <sheetName val="사토(발파) (2)"/>
      <sheetName val="운반거리표"/>
      <sheetName val="자금총괄"/>
      <sheetName val="현장별청구"/>
      <sheetName val="자금집행집계표"/>
      <sheetName val="장비비"/>
      <sheetName val="미불금청구내역(민)"/>
      <sheetName val="카메라"/>
      <sheetName val="카메라2"/>
      <sheetName val="1회"/>
      <sheetName val="1회분"/>
      <sheetName val="2회"/>
      <sheetName val="2회분"/>
      <sheetName val="3회"/>
      <sheetName val="3회분"/>
      <sheetName val="4회"/>
      <sheetName val="4회분"/>
      <sheetName val="5회"/>
      <sheetName val="5회분"/>
      <sheetName val="6회"/>
      <sheetName val="6회분"/>
      <sheetName val="회"/>
      <sheetName val="회분"/>
      <sheetName val="1~5회분"/>
      <sheetName val="현장별집행"/>
      <sheetName val="10월식대(직영)"/>
      <sheetName val="9월철근공"/>
      <sheetName val="10월철근공 "/>
      <sheetName val="9월목공 "/>
      <sheetName val="10월목공 "/>
      <sheetName val="10월식대"/>
      <sheetName val="11월식대"/>
      <sheetName val="식대(5회)"/>
      <sheetName val="자금총괄(민)"/>
      <sheetName val="현장별자금청구(10)"/>
      <sheetName val="현장별청구(민)"/>
      <sheetName val="자금청구집계표"/>
      <sheetName val="자금청구집계표(민)"/>
      <sheetName val="자금청구(민2)"/>
      <sheetName val="하도자기성고(갑)"/>
      <sheetName val="하도자기성고(을)"/>
      <sheetName val="기성청구서"/>
      <sheetName val="유류대"/>
      <sheetName val="중기가동"/>
      <sheetName val="미불금청구내역"/>
      <sheetName val="미불금(민)"/>
      <sheetName val="공사별 사정분석표-ㅌ"/>
      <sheetName val="자금청구내역"/>
      <sheetName val="자금청구서"/>
      <sheetName val="월기성검토서"/>
      <sheetName val="부대대비"/>
      <sheetName val="냉연집계"/>
      <sheetName val="2011년"/>
      <sheetName val="내역서(총)"/>
      <sheetName val="BOQ건축"/>
      <sheetName val="beam"/>
      <sheetName val="APT내역"/>
      <sheetName val="감가상각"/>
      <sheetName val="CI_GL Mapping"/>
      <sheetName val="3본사"/>
      <sheetName val="운영 비용(Infra)-원가"/>
      <sheetName val="금액집계"/>
      <sheetName val="평형공사비"/>
      <sheetName val="NEWDRAW"/>
      <sheetName val="영업.일"/>
      <sheetName val="매부산출"/>
      <sheetName val="현관"/>
      <sheetName val="WORKSHOP"/>
      <sheetName val="동해title"/>
      <sheetName val="예산M2"/>
      <sheetName val="기성내역서표지"/>
      <sheetName val="예산변경사항"/>
      <sheetName val="분양금할인"/>
      <sheetName val="충주"/>
      <sheetName val="제출내역 (2)"/>
      <sheetName val="영업.일1"/>
      <sheetName val="coll#"/>
      <sheetName val="CC Down load 0716"/>
      <sheetName val="경상비내역"/>
      <sheetName val="총요약서"/>
      <sheetName val="저"/>
      <sheetName val="일반관리비"/>
      <sheetName val="B"/>
      <sheetName val="1월"/>
      <sheetName val="사토(발파)_(2)"/>
      <sheetName val="10월철근공_"/>
      <sheetName val="9월목공_"/>
      <sheetName val="10월목공_"/>
      <sheetName val="공사별_사정분석표-ㅌ"/>
      <sheetName val="Project_Brief"/>
      <sheetName val="CI_GL_Mapping"/>
      <sheetName val="운영_비용(Infra)-원가"/>
      <sheetName val="최초침전지집계표"/>
      <sheetName val="Macro1 (2)"/>
      <sheetName val="건축원가계산서"/>
      <sheetName val="중간부"/>
      <sheetName val="keyword"/>
      <sheetName val="기단"/>
      <sheetName val="수목데이타"/>
      <sheetName val="물건조서"/>
      <sheetName val="FORM-0"/>
      <sheetName val="BM"/>
      <sheetName val="Bldg Brkdown"/>
      <sheetName val="3BL공동구_수량3"/>
      <sheetName val="준검_내역서2"/>
      <sheetName val="3_공통공사대비2"/>
      <sheetName val="방배동내역_(총괄)2"/>
      <sheetName val="9_정착구_보강2"/>
      <sheetName val="Sheet1_(2)2"/>
      <sheetName val="배관배선_단가조사2"/>
      <sheetName val="전선_및_전선관2"/>
      <sheetName val="6PILE__(돌출)2"/>
      <sheetName val="상_부2"/>
      <sheetName val="환경기계공정표_(3)2"/>
      <sheetName val="1차_내역서2"/>
      <sheetName val="배수공_시멘트_및_골재량_산출2"/>
      <sheetName val="96보완계획7_122"/>
      <sheetName val="청_구2"/>
      <sheetName val="단가_및_재료비2"/>
      <sheetName val="사__업__비__수__지__예__산__서2"/>
      <sheetName val="단가_(2)2"/>
      <sheetName val="8_PILE__(돌출)2"/>
      <sheetName val="DATA_입력란2"/>
      <sheetName val="1__설계조건_2_단면가정_3__하중계산2"/>
      <sheetName val="내역서_(2)1"/>
      <sheetName val="Customer_Databas2"/>
      <sheetName val="1_설계조건2"/>
      <sheetName val="Sheet2_(2)2"/>
      <sheetName val="단양_00_아파트-세부내역1"/>
      <sheetName val="BSD_(2)2"/>
      <sheetName val="1_수인터널2"/>
      <sheetName val="PROJECT_BRIEF(EX_NEW)2"/>
      <sheetName val="Site_Expenses2"/>
      <sheetName val="내역서1999_8최종2"/>
      <sheetName val="11_1_단면hwp1"/>
      <sheetName val="옹벽공_수량집계표2"/>
      <sheetName val="7_PILE__(돌출)2"/>
      <sheetName val="A-8_PD(도로중앙)2"/>
      <sheetName val="공사비_증감_내역서2"/>
      <sheetName val="Ⅴ-2_공종별내역1"/>
      <sheetName val="토공(우물통,기타)_1"/>
      <sheetName val="표지_(2)1"/>
      <sheetName val="06_일위대가목록1"/>
      <sheetName val="4_내진설계1"/>
      <sheetName val="_ｹ-ﾌﾞﾙ1"/>
      <sheetName val="노임단가_(2)1"/>
      <sheetName val="단면_(2)1"/>
      <sheetName val="플랜트_설치1"/>
      <sheetName val="지구_리스트1"/>
      <sheetName val="1000_DB구축_부표1"/>
      <sheetName val="효성CB_1P기초1"/>
      <sheetName val="하도급_검토1"/>
      <sheetName val="3_하중계산1"/>
      <sheetName val="_상부공통집계(총괄)1"/>
      <sheetName val="1_설계기준2"/>
      <sheetName val="1_CB2"/>
      <sheetName val="Flaer_Area2"/>
      <sheetName val="건축내역서_(경제상무실)2"/>
      <sheetName val="설내역서_2"/>
      <sheetName val="단_box1"/>
      <sheetName val="4_2_1_마루높이_검토1"/>
      <sheetName val="2-1__경관조명_내역총괄표1"/>
      <sheetName val="중강당_내역1"/>
      <sheetName val="1_우편집중내역서1"/>
      <sheetName val="전_기1"/>
      <sheetName val="총_원가계산1"/>
      <sheetName val="돌담교_상부수량2"/>
      <sheetName val="지장물_철거_물량_산출서1"/>
      <sheetName val="HRSG_SMALL072201"/>
      <sheetName val="인건비_1"/>
      <sheetName val="8_석축단위(H=1_5M)1"/>
      <sheetName val="단가산출서_(2)"/>
      <sheetName val="3_하중산정4_지지력1"/>
      <sheetName val="아파트_내역1"/>
      <sheetName val="노임_및_중기단가1"/>
      <sheetName val="내역서_2"/>
      <sheetName val="내역서_제출1"/>
      <sheetName val="설명서_1"/>
      <sheetName val="2_대외공문1"/>
      <sheetName val="1_RAMP-A"/>
      <sheetName val="별표_1"/>
      <sheetName val="2_관대집계표"/>
      <sheetName val="S_중기사용료"/>
      <sheetName val="형식_-_1-2-3"/>
      <sheetName val="4_공통갑지"/>
      <sheetName val="ESC_(공정표기준)"/>
      <sheetName val="중기조종사_단위단가"/>
      <sheetName val="역T형옹벽(3_0)"/>
      <sheetName val="간지03_)"/>
      <sheetName val="1_레미콘"/>
      <sheetName val="2_관집계"/>
      <sheetName val="3_제수밸브"/>
      <sheetName val="4_각종주철제"/>
      <sheetName val="5_유량계"/>
      <sheetName val="1_골재집계"/>
      <sheetName val="2_철근집계"/>
      <sheetName val="3_관세척"/>
      <sheetName val="4_분기관"/>
      <sheetName val="상수공_토공집계표"/>
      <sheetName val="STEEL_BOX_단면설계(SEC_8)"/>
      <sheetName val="신규_수주분(사용자_정의)1"/>
      <sheetName val="plan&amp;section_of_foundation2"/>
      <sheetName val="pile_bearing_capa_&amp;_arrenge1"/>
      <sheetName val="design_load2"/>
      <sheetName val="working_load_at_the_btm_ft_2"/>
      <sheetName val="stability_check2"/>
      <sheetName val="design_criteria2"/>
      <sheetName val="COMPARISON_TABLE1"/>
      <sheetName val="crude_SLAB_RE-bar1"/>
      <sheetName val="CRUDE_RE-bar1"/>
      <sheetName val="2_입력sheet1"/>
      <sheetName val="(3_품질관리_시험_총괄표)1"/>
      <sheetName val="2_가정단면1"/>
      <sheetName val="Pier_31"/>
      <sheetName val="수량산출서_갑지1"/>
      <sheetName val="1062-X방향_1"/>
      <sheetName val="표__지1"/>
      <sheetName val="BOX(1_5X1_5)1"/>
      <sheetName val="1_2_1_마루높이결정1"/>
      <sheetName val="단면__2_1"/>
      <sheetName val="Dike_for_49T03_&amp;_49T041"/>
      <sheetName val="Dike_for_49T02,_05~07,_19_(1)1"/>
      <sheetName val="_냉각수펌프1"/>
      <sheetName val="ENE-CAL_11"/>
      <sheetName val="ITB_COST1"/>
      <sheetName val="2011_(4)1"/>
      <sheetName val="설계기준_및_하중계산1"/>
      <sheetName val="11_자재단가1"/>
      <sheetName val="PAD_TR보호대기초1"/>
      <sheetName val="각사별공사비분개_1"/>
      <sheetName val="역T형(H=6_0)_(2)1"/>
      <sheetName val="2_토목공사1"/>
      <sheetName val="AS포장복구_1"/>
      <sheetName val="개별직종노임단가(2003_9)1"/>
      <sheetName val="3련_BOX1"/>
      <sheetName val="내역-_CCTV1"/>
      <sheetName val="EQUIP_LIST1"/>
      <sheetName val="실행내역(10_13)1"/>
      <sheetName val="기존건물_깨기원단위1"/>
      <sheetName val="철근량_산정1"/>
      <sheetName val="노_표-조1"/>
      <sheetName val="슬래브_-연속(3경간)1"/>
      <sheetName val="4_2유효폭의_계산1"/>
      <sheetName val="참여현황_(직원)1"/>
      <sheetName val="유효폭의_계산"/>
      <sheetName val="기초입력_DATA"/>
      <sheetName val="2000_05"/>
      <sheetName val="99노임단"/>
      <sheetName val="CABLE_SIZE-1"/>
      <sheetName val="1__총괄_집계표"/>
      <sheetName val="본선_토공_분배표"/>
      <sheetName val="Requirement(Work_Crew)"/>
      <sheetName val="나_설계조건"/>
      <sheetName val="5_장비(안)"/>
      <sheetName val="2_건축"/>
      <sheetName val="3_2주형지지보"/>
      <sheetName val="C_배수관공"/>
      <sheetName val="1_취수장"/>
      <sheetName val="실행내역서_"/>
      <sheetName val="작업_반복"/>
      <sheetName val="보고"/>
      <sheetName val="11-1.주택공급(공공분양,공공임대)"/>
      <sheetName val="11-2.국민임대"/>
      <sheetName val="5-1.취득(간선정리)"/>
      <sheetName val="11-3.분양전환"/>
      <sheetName val="11-4.상가"/>
      <sheetName val="7-1.토지공급"/>
      <sheetName val="BOX복구단위수량"/>
      <sheetName val="Ⅶ-2.현장경비산출"/>
      <sheetName val="2_단면ﾈȋ"/>
      <sheetName val="교대"/>
      <sheetName val="배수공_시멘트_및_골재량__x0000_辴"/>
      <sheetName val="단가결정"/>
      <sheetName val="그레이더"/>
      <sheetName val="기본자료"/>
      <sheetName val="매원개착터널총괄"/>
      <sheetName val="공정분류"/>
      <sheetName val="일H35Y4"/>
      <sheetName val="공사설계서"/>
      <sheetName val="3국민주택채권_부동산등기"/>
      <sheetName val="상부집계표"/>
      <sheetName val="관급"/>
      <sheetName val="초기화면1"/>
      <sheetName val="archi(본사)"/>
      <sheetName val="유별자산배수"/>
      <sheetName val="2.2.2입적표"/>
      <sheetName val="SR97-1"/>
      <sheetName val="내역서(폐기물) "/>
      <sheetName val="대림산업"/>
      <sheetName val="입력데이타"/>
      <sheetName val="노䀜"/>
      <sheetName val="노飔"/>
      <sheetName val="노뛰"/>
      <sheetName val="계획금액"/>
      <sheetName val="분석대장"/>
      <sheetName val="base"/>
      <sheetName val="배관배선__x0000__x0000_Ԁ_x0000_"/>
      <sheetName val="___________hb___1_____________2"/>
      <sheetName val="1호인버트수량"/>
      <sheetName val="___________hb___1_____________3"/>
      <sheetName val="조사금액"/>
      <sheetName val="토공대비"/>
      <sheetName val="철콘대비"/>
      <sheetName val="견적토갑"/>
      <sheetName val="견적토공(경동)"/>
      <sheetName val="견적철갑"/>
      <sheetName val="견적철콘(경동)"/>
      <sheetName val="하도급사항"/>
      <sheetName val="하도급사항(빈)"/>
      <sheetName val="내역 (7)"/>
      <sheetName val="내역 (3)"/>
      <sheetName val="견적토공"/>
      <sheetName val="견적철콘"/>
      <sheetName val="키스톤옹벽"/>
      <sheetName val="파일공,가시설"/>
      <sheetName val="강교설치"/>
      <sheetName val="안전시설공"/>
      <sheetName val="내역 (4)"/>
      <sheetName val="내역 (5)"/>
      <sheetName val="증감내용"/>
      <sheetName val="JJ"/>
      <sheetName val="밀양(투찰)"/>
      <sheetName val="총공사내역서"/>
      <sheetName val="3차토목내역"/>
      <sheetName val="토질조사"/>
      <sheetName val="CODE(2)"/>
      <sheetName val="부대공수량산출"/>
      <sheetName val="하부철근수량"/>
      <sheetName val="회사정보"/>
      <sheetName val="도로경계ꆾᶩ"/>
      <sheetName val="신고분기설정참고"/>
      <sheetName val="건축원가"/>
      <sheetName val="Summary Sheets"/>
      <sheetName val="용수간선"/>
      <sheetName val="조건입력"/>
      <sheetName val="조건입력(2)"/>
      <sheetName val="장비선정"/>
      <sheetName val="공종별예산조서"/>
      <sheetName val="공종별 집계표"/>
      <sheetName val="11.인공산출"/>
      <sheetName val="6.일위대가목록"/>
      <sheetName val="(당"/>
      <sheetName val="수정시산표"/>
      <sheetName val="석축설면"/>
      <sheetName val="문10"/>
      <sheetName val="각형우수맨홀"/>
      <sheetName val="4.장비손료"/>
      <sheetName val="DK-KH"/>
      <sheetName val="NNgung"/>
      <sheetName val="SPL4"/>
      <sheetName val="BIDDING-SUM"/>
      <sheetName val="Cash2"/>
      <sheetName val="PARAMETER"/>
      <sheetName val="설계서SC"/>
      <sheetName val="공유"/>
      <sheetName val="DC DIST"/>
      <sheetName val="RTU-DI"/>
      <sheetName val="RTU-DO"/>
      <sheetName val="모자익"/>
      <sheetName val="73BF"/>
      <sheetName val="74BF"/>
      <sheetName val="4379VCB"/>
      <sheetName val="4375DS"/>
      <sheetName val="AC DIST"/>
      <sheetName val="6065BUS-PRO"/>
      <sheetName val="6344BAY(#3MTR)"/>
      <sheetName val="6PT집"/>
      <sheetName val="변압기절체반"/>
      <sheetName val="43GPT"/>
      <sheetName val="70BUS-PRO"/>
      <sheetName val="75BUS-PRO"/>
      <sheetName val="7CT집"/>
      <sheetName val="74BAY"/>
      <sheetName val="7FR"/>
      <sheetName val="7PT집"/>
      <sheetName val="RTU-TD"/>
      <sheetName val="MTR3-TCC"/>
      <sheetName val="MTR3"/>
      <sheetName val="MTR3-PRO3"/>
      <sheetName val="MTR SP"/>
      <sheetName val="조"/>
      <sheetName val="산출근거-배전"/>
      <sheetName val="공수관리"/>
      <sheetName val="작업지시"/>
      <sheetName val="공사예산하조서(O.K)"/>
      <sheetName val="내역서을지"/>
      <sheetName val="15 문제점"/>
      <sheetName val="아주기계"/>
      <sheetName val="3_2_집기비품교체주기"/>
      <sheetName val="가스내역서"/>
      <sheetName val="신평리_권리자명부"/>
      <sheetName val="추정공사비_산출내역1_xlsx"/>
      <sheetName val="견적대비_견적서"/>
      <sheetName val="1호-아(오)0_4"/>
      <sheetName val="CONSTRUCTION_COMPONENT"/>
      <sheetName val="접속_SLAB,BRACKET_설계"/>
      <sheetName val="빌딩_안내"/>
      <sheetName val="공정별_수량산출서"/>
      <sheetName val="자재_및_폐기물견적(2008)"/>
      <sheetName val="화단_철거"/>
      <sheetName val="CABLE_SIZE-3"/>
      <sheetName val="cable_data1"/>
      <sheetName val="wk_prgs"/>
      <sheetName val="IMPEADENCE_MAP_취수장"/>
      <sheetName val="일위대가_호표_(계약)"/>
      <sheetName val="2__공원조도"/>
      <sheetName val="대3류_"/>
      <sheetName val="건설사업관리_공제요율"/>
      <sheetName val="건설공사_감리원_배치기준"/>
      <sheetName val="책임감리_공제요율"/>
      <sheetName val="1~9_하중계산"/>
      <sheetName val="_"/>
      <sheetName val="개비온_단위"/>
      <sheetName val="내역서_(변경단가)"/>
      <sheetName val="5_2_6~7공사요율"/>
      <sheetName val="조선용암면"/>
      <sheetName val="건물"/>
      <sheetName val="피벗테이블데이터분석"/>
      <sheetName val="특수기호강도거푸집"/>
      <sheetName val=" 안전관리비 작성(협력사용).xlsx"/>
      <sheetName val="상반기손익차2총괄"/>
      <sheetName val="일위대가9803.xls"/>
      <sheetName val="기준"/>
      <sheetName val="공사현황표"/>
      <sheetName val="1차 매출원가"/>
      <sheetName val="변실"/>
      <sheetName val="이음부"/>
      <sheetName val="배수개거"/>
      <sheetName val="종배수관"/>
      <sheetName val="주소록2000(전화번호부)"/>
      <sheetName val="중간간지 (2)"/>
      <sheetName val="기초수량산출서"/>
      <sheetName val="재료할증"/>
      <sheetName val="48전력선로일위"/>
      <sheetName val="율촌법률사무소2내역"/>
      <sheetName val="원가계산서구조조정"/>
      <sheetName val="AIR SHOWER(3인용)"/>
      <sheetName val="기타 정보통신공사"/>
      <sheetName val="노임,기계경비"/>
      <sheetName val="재료단가"/>
      <sheetName val="기존단가 (2)"/>
      <sheetName val="우수공,맨홀,집수정"/>
      <sheetName val="일위-1"/>
      <sheetName val="중기근거"/>
      <sheetName val="특별땅고르기"/>
      <sheetName val="노무비명세서"/>
      <sheetName val="교수설계"/>
      <sheetName val="국도접속 차도부수량"/>
      <sheetName val="암거날개벽"/>
      <sheetName val="연결관수량 (2)"/>
      <sheetName val="사다리"/>
      <sheetName val="철집"/>
      <sheetName val="앵커(3안)"/>
      <sheetName val="차압계산"/>
      <sheetName val="봉방동근생"/>
      <sheetName val="CALCULATION"/>
      <sheetName val="상수도토공집계표"/>
      <sheetName val="1.수량집계"/>
      <sheetName val="알맹이"/>
      <sheetName val="수습"/>
      <sheetName val="40총괄"/>
      <sheetName val="40집계"/>
      <sheetName val="영창26"/>
      <sheetName val="산출근거1"/>
      <sheetName val="대전(세창동)"/>
      <sheetName val="주차장(T4)"/>
      <sheetName val="공사직종별노임"/>
      <sheetName val="라멘수량"/>
      <sheetName val="면적산출근거(실측)"/>
      <sheetName val="내역기준"/>
      <sheetName val="변경내역"/>
      <sheetName val="포장공사"/>
      <sheetName val="토공집계(rp)"/>
      <sheetName val="입상내역"/>
      <sheetName val="FAB4생산"/>
      <sheetName val="직원자료입력"/>
      <sheetName val="환경보전비B"/>
      <sheetName val="가옥철거(지장물조서)"/>
      <sheetName val="도근좌표"/>
      <sheetName val="보도공제면적"/>
      <sheetName val="계약서"/>
      <sheetName val="수량산출표"/>
      <sheetName val="자재일람"/>
      <sheetName val="1호토공"/>
      <sheetName val="증감대비표"/>
      <sheetName val="4.하중산정"/>
      <sheetName val="종배수관설치현황"/>
      <sheetName val="집계표(용역원실배기)"/>
      <sheetName val="실정보사유서"/>
      <sheetName val="원가계산서 과기원"/>
      <sheetName val="0.내역서  갑지"/>
      <sheetName val="1.내역서 "/>
      <sheetName val="2-1.수량산출근거"/>
      <sheetName val="2-2.노무비산출근거"/>
      <sheetName val="3.단가조사표"/>
      <sheetName val="3.단가대비표"/>
      <sheetName val="4.설변사유"/>
      <sheetName val="2-7.인건비산출근거"/>
      <sheetName val="3-1.설변사유"/>
      <sheetName val="3-2.공사비증감"/>
      <sheetName val="3-3.내역서"/>
      <sheetName val="3-4.단가대비표(기존)"/>
      <sheetName val="3-5.단가대비표(신규)"/>
      <sheetName val="3-6.일위대가목록"/>
      <sheetName val="3-7.일위대가"/>
      <sheetName val="3-8.물량산출근거"/>
      <sheetName val="3-9.인건비산출근거"/>
      <sheetName val="고강도 지수판 스리브업체선정"/>
      <sheetName val="업체구매견적서"/>
      <sheetName val="3.단가대비표 "/>
      <sheetName val="3.단가적용현황"/>
      <sheetName val="기성검사원"/>
      <sheetName val="주공 갑지"/>
      <sheetName val="3-구교-오리지날"/>
      <sheetName val="단가(자재)"/>
      <sheetName val="단가(노임)"/>
      <sheetName val="기초목록"/>
      <sheetName val="자재단가_사급"/>
      <sheetName val="중기적산목록"/>
      <sheetName val="1.토공"/>
      <sheetName val="01노임적용기준"/>
      <sheetName val="WELDING"/>
      <sheetName val="지급어음(일별)"/>
      <sheetName val="범한여행"/>
      <sheetName val="ANCHOR1단"/>
      <sheetName val="unitx_x0000_Ԁ_x0000_"/>
      <sheetName val="내역서(우)"/>
      <sheetName val="내역서-토목"/>
      <sheetName val="시설장비"/>
      <sheetName val="토공사(흙막이)"/>
      <sheetName val="토목순공사비1차분"/>
      <sheetName val="D7(1)"/>
      <sheetName val="구조해석"/>
      <sheetName val="산출서"/>
      <sheetName val="선금급신청서"/>
      <sheetName val="FRP PIPING 일위대가"/>
      <sheetName val="배합비(99-05-25)"/>
      <sheetName val="Field2"/>
      <sheetName val="Field1"/>
      <sheetName val="150227 Master"/>
      <sheetName val="배명(단가)"/>
      <sheetName val="2__x0000__x0000_Ԁ_x0000_"/>
      <sheetName val="교각(P1)수량"/>
      <sheetName val="식자재사용량(4월20일)"/>
      <sheetName val="(당평)자_x0000_"/>
      <sheetName val="(당평)자ꙭ"/>
      <sheetName val="공사일위대가"/>
      <sheetName val="2__x0000__x0000__x0000__x0000_"/>
      <sheetName val="근로자자³_x0000_Ԁ"/>
      <sheetName val="총괄집계표(통합)"/>
      <sheetName val="일식견적목록표"/>
      <sheetName val="합계"/>
      <sheetName val="공기압축기실"/>
      <sheetName val="6월 출고 일일보고"/>
      <sheetName val="기성부분 내역집계표-기계공사"/>
      <sheetName val="하도급원가계산총괄표(식재)"/>
      <sheetName val="목차_"/>
      <sheetName val="4__주형설계"/>
      <sheetName val="세골재__T2_변경_현황"/>
      <sheetName val="0_단가"/>
      <sheetName val="8설7발"/>
      <sheetName val="제수변 수량집계표(보통)"/>
      <sheetName val="현장설명"/>
      <sheetName val="중간"/>
      <sheetName val="수량분배표"/>
      <sheetName val="지역"/>
      <sheetName val="7-1.인건비"/>
      <sheetName val="건축공사집계"/>
      <sheetName val="7급줄떼공"/>
      <sheetName val="노면표지 수량"/>
      <sheetName val="토공사"/>
      <sheetName val="DATA 입력부"/>
      <sheetName val="1Month+Sheet2!"/>
      <sheetName val="내역서(중수)"/>
      <sheetName val="접합수량(피벗)"/>
      <sheetName val="지하"/>
      <sheetName val="당정동공통이수"/>
      <sheetName val="당정동경상이수"/>
      <sheetName val="양수장(기계)"/>
      <sheetName val="전기내역"/>
      <sheetName val="단가파주4"/>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Toolbox"/>
      <sheetName val="(C)원내역"/>
      <sheetName val="Eq. Mobilization"/>
      <sheetName val="전동기"/>
      <sheetName val="노면표시단위수량(안전지대및노상장애물)"/>
      <sheetName val="노면표시단위수량(방향및방면지시)"/>
      <sheetName val="노면표시단위수량(문자및기타기호)"/>
      <sheetName val="노면표시단위수량(차선)"/>
      <sheetName val="노면표시단위수량(횡단보도)"/>
      <sheetName val="옥외등신설"/>
      <sheetName val="저케CV22신설"/>
      <sheetName val="저케CV38신설"/>
      <sheetName val="저케CV8신설"/>
      <sheetName val="접지3종"/>
      <sheetName val="1단계 (2)"/>
      <sheetName val="(1)본선수량집계"/>
      <sheetName val="기초도면제작"/>
      <sheetName val="기본파일"/>
      <sheetName val="일위총괄"/>
      <sheetName val="신림자금"/>
      <sheetName val="직접노무"/>
      <sheetName val="직접재료"/>
      <sheetName val="오수공수량집계표"/>
      <sheetName val="지하시설물작성"/>
      <sheetName val="자재집계 (2)"/>
      <sheetName val="제경비산출서"/>
      <sheetName val="환경평가"/>
      <sheetName val="인구"/>
      <sheetName val="인공산출"/>
      <sheetName val="정거장 설계조건"/>
      <sheetName val="load"/>
      <sheetName val="원"/>
      <sheetName val="교통안전시설집계표"/>
      <sheetName val="#4 PSV"/>
      <sheetName val="일위대가75-1"/>
      <sheetName val="일위대가76-1 "/>
      <sheetName val="일위대가77-1 "/>
      <sheetName val="일위대가78-1 "/>
      <sheetName val="일위대가79-1"/>
      <sheetName val="일위대가80-1"/>
      <sheetName val="일위대가81-1"/>
      <sheetName val="일위대가82-1"/>
      <sheetName val="일위대가92-1"/>
      <sheetName val="토목내역서_(도급단가)"/>
      <sheetName val="내역_ver1_0"/>
      <sheetName val="RAMP_단면(R2)"/>
      <sheetName val="바닥판의_설계"/>
      <sheetName val="노무비_근거"/>
      <sheetName val="_총괄표"/>
      <sheetName val="토공_total"/>
      <sheetName val="암거_제원표"/>
      <sheetName val="암거_제원표-1단계"/>
      <sheetName val="AIR_SHOWER(3인용)"/>
      <sheetName val="시간당중기사용료"/>
      <sheetName val="asd"/>
      <sheetName val="안양동교 1안"/>
      <sheetName val="진입로 지세할증산출(다사분기)"/>
      <sheetName val=" FURNACE현설"/>
      <sheetName val="물푸기"/>
      <sheetName val="eq_data"/>
      <sheetName val="실행(1)"/>
      <sheetName val="C3"/>
      <sheetName val="유림콘도"/>
      <sheetName val="SHEET"/>
      <sheetName val="직종표"/>
      <sheetName val="인원배치"/>
      <sheetName val="선수금"/>
      <sheetName val="부하자료"/>
      <sheetName val="Manmonth(입력)"/>
      <sheetName val="집"/>
      <sheetName val="총괄BOQ"/>
      <sheetName val="16-1"/>
      <sheetName val="인입관수량총괄"/>
      <sheetName val="집 계 표"/>
      <sheetName val="내역서1"/>
      <sheetName val="직접경비호표"/>
      <sheetName val="1공구원가계산서"/>
      <sheetName val="5사남"/>
      <sheetName val="기초수량자료"/>
      <sheetName val="노임DB"/>
      <sheetName val="노임자재단가"/>
      <sheetName val="내역서(도급)"/>
      <sheetName val="BS2"/>
      <sheetName val="1.견적보고서"/>
      <sheetName val="검사원"/>
      <sheetName val="준공조서갑지"/>
      <sheetName val="경율산정.XLS"/>
      <sheetName val="GT 1050x650"/>
      <sheetName val="지역별수출"/>
      <sheetName val="효동종합건설(주)"/>
      <sheetName val="공사비예"/>
      <sheetName val="6.간접공사비 外"/>
      <sheetName val="RE9604"/>
      <sheetName val="토목-물가"/>
      <sheetName val="산출서양식01"/>
      <sheetName val="일용노무비지급명세서(7)"/>
      <sheetName val="중기가동(7)"/>
      <sheetName val="Detail"/>
      <sheetName val="유입량"/>
      <sheetName val="직접재료비데이타"/>
      <sheetName val="부대단위수량"/>
      <sheetName val="조경수목"/>
      <sheetName val="퇴직공제부금"/>
      <sheetName val="평균노임"/>
      <sheetName val="기본가정"/>
      <sheetName val="기별(종합)"/>
      <sheetName val="참조 (2)"/>
      <sheetName val="지장물조서"/>
      <sheetName val="1공구 건정토건 토공"/>
      <sheetName val="발주참고#"/>
      <sheetName val="기준단가현황"/>
      <sheetName val="공사개요(입력)"/>
      <sheetName val="마스터"/>
      <sheetName val="출자한도"/>
      <sheetName val="산출근거(수정)"/>
      <sheetName val="간접비 총괄표"/>
      <sheetName val="옥외외등집계표"/>
      <sheetName val="1안"/>
      <sheetName val="2004일위대가"/>
      <sheetName val="일용노임단가"/>
      <sheetName val="기본사항"/>
      <sheetName val="터파기_x0000__x0000_료"/>
      <sheetName val="출력표-본사"/>
      <sheetName val="기계경비집계"/>
      <sheetName val="단가산출 (2)"/>
      <sheetName val="시중노임"/>
      <sheetName val="설비비3"/>
      <sheetName val="본실행경비"/>
      <sheetName val="건축일"/>
      <sheetName val="수납장배치도"/>
      <sheetName val="울산자금"/>
      <sheetName val="현관비DATA"/>
      <sheetName val="2@ BOX"/>
      <sheetName val="DB구축"/>
      <sheetName val="배수관토공"/>
      <sheetName val="맨홀접합조서"/>
      <sheetName val="TOTAL3"/>
      <sheetName val="2월 노임대장"/>
      <sheetName val="강관 및 부속"/>
      <sheetName val="REACTION(USE평시)"/>
      <sheetName val="REACTION(USD지진시)"/>
      <sheetName val="배력철근"/>
      <sheetName val="소분류목록"/>
      <sheetName val="Output"/>
      <sheetName val="기자재수량"/>
      <sheetName val="설비비4"/>
      <sheetName val="48일위"/>
      <sheetName val="타공종포장공제집계표"/>
      <sheetName val="공틀공사"/>
      <sheetName val="5-3.지급자재수불현황"/>
      <sheetName val="유리"/>
      <sheetName val="공통"/>
      <sheetName val="옹벽1"/>
      <sheetName val="건축(을)"/>
      <sheetName val="조직"/>
      <sheetName val="중기목록"/>
      <sheetName val="설치자재"/>
      <sheetName val="단중"/>
      <sheetName val="산근1"/>
      <sheetName val="L집(수평부)"/>
      <sheetName val="L집(성토부)"/>
      <sheetName val="비탈면보호공수량산출"/>
      <sheetName val="STAND20"/>
      <sheetName val="기성부분액내역서(국고)"/>
      <sheetName val="관로수량총괄집계표"/>
      <sheetName val="준공정산보고서"/>
      <sheetName val="부대"/>
      <sheetName val="도로구조물산근"/>
      <sheetName val="우수맨홀 수량 및 높이 집계"/>
      <sheetName val="우수맨홀(차도측2호)"/>
      <sheetName val="특2호각형맨홀(차도측)"/>
      <sheetName val="특3호각형맨홀(차도측)"/>
      <sheetName val="특4호각형맨홀(차도측)"/>
      <sheetName val="우수맨홀(보도측2호)"/>
      <sheetName val="특2호각형맨홀(보도측)"/>
      <sheetName val="암거맨홀(차도측)"/>
      <sheetName val="터파기"/>
      <sheetName val="FPA"/>
      <sheetName val="순수개발"/>
      <sheetName val="자단"/>
      <sheetName val="L_RPTB~1"/>
      <sheetName val="견적기준"/>
      <sheetName val="E총"/>
      <sheetName val="SKETCH"/>
      <sheetName val="내역(중앙)"/>
      <sheetName val="내역(창신)"/>
      <sheetName val="건축토목내역"/>
      <sheetName val="기타_정보통신공사"/>
      <sheetName val="단가산출_(2)"/>
      <sheetName val="A1"/>
      <sheetName val="터파기_x005f_x0000__x005f_x0000_료"/>
      <sheetName val="보완토적"/>
      <sheetName val="설계변경내역서"/>
      <sheetName val="공사내역(2003년)"/>
      <sheetName val="CCS"/>
      <sheetName val="역T형옹벽단위수량"/>
      <sheetName val="슬래브(PF)(하류)"/>
      <sheetName val="본공사"/>
      <sheetName val="수로교"/>
      <sheetName val="지수적용공사비내역서"/>
      <sheetName val="가설공사"/>
      <sheetName val="심사"/>
      <sheetName val="현금및현금등가물1"/>
      <sheetName val="지장물총괄표"/>
      <sheetName val="BG"/>
      <sheetName val="7월천안현장 집계표"/>
      <sheetName val="장비.자재"/>
      <sheetName val="장비명세서"/>
      <sheetName val=" 노무집계"/>
      <sheetName val="일용노무비"/>
      <sheetName val="Multi-dims"/>
      <sheetName val="2.단면가정 "/>
      <sheetName val="제수"/>
      <sheetName val="252K444"/>
      <sheetName val="수문보고"/>
      <sheetName val="6.단면검토"/>
      <sheetName val="dnc4"/>
      <sheetName val="D-철근총괄"/>
      <sheetName val="PAINT (2)"/>
      <sheetName val="노임단가기준"/>
      <sheetName val="암거공"/>
      <sheetName val="성곽내역서"/>
      <sheetName val="수로교총재료집계"/>
      <sheetName val="자재단가대비표"/>
      <sheetName val="Bìa"/>
      <sheetName val="Bảng KLHT"/>
      <sheetName val="RC WORK"/>
      <sheetName val="2_2_S-Curve1"/>
      <sheetName val="Chiet_tinh_dz35"/>
      <sheetName val="TABLE_DB"/>
      <sheetName val="쌍용_data_base"/>
      <sheetName val="code_HTT_Thap"/>
      <sheetName val="dongia_(2)"/>
      <sheetName val="RAB_AR&amp;STR"/>
      <sheetName val="Civil__Sub-Station_1"/>
      <sheetName val="Thuc_thanh"/>
      <sheetName val="D&amp;W_def_"/>
      <sheetName val="4-Lane_bridge"/>
      <sheetName val="PKKK"/>
      <sheetName val="Kính"/>
      <sheetName val="Bảng Phân Tích Chi Phí"/>
      <sheetName val="AILC004"/>
      <sheetName val="STRA2"/>
      <sheetName val="단가산출총괄표"/>
      <sheetName val="BOX"/>
      <sheetName val="1.폐기물집계표"/>
      <sheetName val="CAUDIT"/>
      <sheetName val="MTP"/>
      <sheetName val="Gia VL,NC,M"/>
      <sheetName val="Phan chung"/>
      <sheetName val="Names"/>
      <sheetName val="Tom tat gia du thau"/>
      <sheetName val="1_MV"/>
      <sheetName val="MTC"/>
      <sheetName val="Tien do TV"/>
      <sheetName val="Ts"/>
      <sheetName val="QD957"/>
      <sheetName val="Config"/>
      <sheetName val="CP Du phong"/>
      <sheetName val="THCP Lap dat"/>
      <sheetName val="THCP xay dung"/>
      <sheetName val="Tong hop kinh phi"/>
      <sheetName val="Earthwork"/>
      <sheetName val="CFS3"/>
      <sheetName val="SITE-E"/>
      <sheetName val="计算稿"/>
      <sheetName val="EQUIP-H"/>
      <sheetName val="내역서(토목)"/>
      <sheetName val="판"/>
      <sheetName val="5지구단위"/>
      <sheetName val="배수공BOQ"/>
      <sheetName val="차선도색수량집계"/>
      <sheetName val="1.일반수량산출근거"/>
      <sheetName val="공사계약현황"/>
      <sheetName val="97 사업추정(WEKI)"/>
      <sheetName val="RCMinput"/>
      <sheetName val="일반수량산출"/>
      <sheetName val="노임단가표"/>
      <sheetName val="총정리"/>
      <sheetName val="간이(갑)"/>
      <sheetName val="산출3-유도등"/>
      <sheetName val="산출2-동력"/>
      <sheetName val="산출2-피뢰침"/>
      <sheetName val="검측감리공제요율"/>
      <sheetName val="시공감리공제요율"/>
      <sheetName val="책임감리공제요율"/>
      <sheetName val="가로등"/>
      <sheetName val="단위집계표"/>
      <sheetName val="15-2)VE제안서(유형3)"/>
      <sheetName val="설계서(동안동)"/>
      <sheetName val="대창토공"/>
      <sheetName val="노임단가(직종번호 순)"/>
      <sheetName val="과거자료"/>
      <sheetName val="포장수량"/>
      <sheetName val="산출서-1"/>
      <sheetName val="산출서-수식"/>
      <sheetName val="상부수량"/>
      <sheetName val="시설국장자료"/>
      <sheetName val="산출집계표"/>
      <sheetName val="참조자료"/>
      <sheetName val="출력"/>
      <sheetName val="근로자명단"/>
      <sheetName val="기계경비산출기준"/>
      <sheetName val="기계경비목록"/>
      <sheetName val="건설기계가격1"/>
      <sheetName val="회사기초자료"/>
      <sheetName val="횡배수관수량집계"/>
      <sheetName val="횡배수관기초"/>
      <sheetName val="수량산출(음암)"/>
      <sheetName val="내역(포장)"/>
      <sheetName val="직접비"/>
      <sheetName val="48수량"/>
      <sheetName val="22수량"/>
      <sheetName val="49일위"/>
      <sheetName val="22일위"/>
      <sheetName val="49수량"/>
      <sheetName val="노임목록"/>
      <sheetName val="01 Summary"/>
      <sheetName val="CW,HW,NW"/>
      <sheetName val="SAN"/>
      <sheetName val="03 Rev.Log"/>
      <sheetName val="설비(제출)"/>
      <sheetName val="친환경주택"/>
      <sheetName val="식재(예송)"/>
      <sheetName val="산업"/>
      <sheetName val="Lr"/>
      <sheetName val="주요자재집계"/>
      <sheetName val="6.7현장운영"/>
      <sheetName val="건설기계"/>
      <sheetName val="결재란"/>
      <sheetName val="2.견적조건 정보"/>
      <sheetName val="공간분류체계"/>
      <sheetName val="부위별항목"/>
      <sheetName val="영향요인"/>
      <sheetName val="동일대내"/>
      <sheetName val="1호맨홀수량산출"/>
      <sheetName val="2.재료비"/>
      <sheetName val="12.보오링"/>
      <sheetName val="18.공내수압탄성자연"/>
      <sheetName val="NN"/>
      <sheetName val="매인"/>
      <sheetName val="97(US,EP,PCT,KR)"/>
      <sheetName val="공사요율"/>
      <sheetName val="PIER토수량"/>
      <sheetName val="궤도연장(종합)"/>
      <sheetName val="궤도연장(2단계)"/>
      <sheetName val="궤도연장(1단계)"/>
      <sheetName val="궤도부설연장1단계"/>
      <sheetName val="슬래브일반(포항방향 B=12.3m)"/>
      <sheetName val="토량산출서"/>
      <sheetName val="차도,토사-150"/>
      <sheetName val="차도,풍화암-150"/>
      <sheetName val="차도,발파암-150"/>
      <sheetName val="차도,토사-200"/>
      <sheetName val="차도,풍화암-200"/>
      <sheetName val="차도,발파암-200"/>
      <sheetName val="차도,토사-300"/>
      <sheetName val="차도,풍화암-300"/>
      <sheetName val="차도,발파암-300"/>
      <sheetName val="차도,토사-400"/>
      <sheetName val="차도,풍화암-400"/>
      <sheetName val="차도,발파암-400"/>
      <sheetName val="상수관연장조서"/>
      <sheetName val="포장자재총집계"/>
      <sheetName val="포장수량총괄표"/>
      <sheetName val="아스콘포장(대로1류)"/>
      <sheetName val="아스콘포장(대로2.3류)"/>
      <sheetName val="아스콘포장(중2,3로)"/>
      <sheetName val="아스콘포장(소로)"/>
      <sheetName val="L형 측구하부(대1류)"/>
      <sheetName val="L형 측구하부(대2.3류)"/>
      <sheetName val="L형 측구하부(중1.2.3류)"/>
      <sheetName val="L형 측구하부(소로)"/>
      <sheetName val="투수콘포장"/>
      <sheetName val="고압브럭포장"/>
      <sheetName val="유도.점자블럭포장"/>
      <sheetName val="L형측구및경계석단위수량"/>
      <sheetName val="L형측구.대로(우수받이부)"/>
      <sheetName val="L형측구.중로(우수받이부)"/>
      <sheetName val="L형측구소로(우수받이부)"/>
      <sheetName val="자전거도로경계석"/>
      <sheetName val="대지경계블럭"/>
      <sheetName val="가로수분단위수량"/>
      <sheetName val="표지판재료단위수량"/>
      <sheetName val="과속방지턱단위수량"/>
      <sheetName val="볼라드단위수량"/>
      <sheetName val="면적입력"/>
      <sheetName val="D-3109"/>
      <sheetName val="ELEC"/>
      <sheetName val="관로조서"/>
      <sheetName val="한성교회 신축공사(050713)_CheckList"/>
      <sheetName val="소야공정계획표"/>
      <sheetName val="배수설비"/>
      <sheetName val="상호있는갑지"/>
      <sheetName val="근로자자료_x0000__x0000_"/>
      <sheetName val="실행예산-변경분"/>
      <sheetName val="제1장"/>
      <sheetName val="9902"/>
      <sheetName val="슬래브일반"/>
      <sheetName val="거리&amp;요금표"/>
      <sheetName val="sand토적"/>
      <sheetName val="06년(예)"/>
      <sheetName val="현장식당(1)"/>
      <sheetName val="배수공_주요자재_집계표2"/>
      <sheetName val="전차선로_물량표2"/>
      <sheetName val="개별직종노임단가(2005_1)1"/>
      <sheetName val="사본___b_balju1"/>
      <sheetName val="2F_회의실견적(5_14_일대)1"/>
      <sheetName val="sum1_(2)"/>
      <sheetName val="Project_Brief1"/>
      <sheetName val="1_설계기준_"/>
      <sheetName val="C1_공사개요"/>
      <sheetName val="A1_스케쥴"/>
      <sheetName val="배수공_내역서_적용수량"/>
      <sheetName val="12)아이디어_목록_및_개략평가"/>
      <sheetName val="11)VE_예비검토서"/>
      <sheetName val="15-3)VE제안서(가치향상_등)"/>
      <sheetName val="일_위_대_가_표"/>
      <sheetName val="BEND_LOSS"/>
      <sheetName val="날개1_5"/>
      <sheetName val="날개토공1_5"/>
      <sheetName val="날개수량1_5"/>
      <sheetName val="2_단면가정1"/>
      <sheetName val="현장별계약현황('98_10_31)"/>
      <sheetName val="배수내역_(2)"/>
      <sheetName val="t-h_HA_THE"/>
      <sheetName val="THPDMoi__(2)"/>
      <sheetName val="DON_GIA"/>
      <sheetName val="CHITIET_VL-NC-TT_-1p1"/>
      <sheetName val="TONG_HOP_VL-NC_TT"/>
      <sheetName val="TH_XL"/>
      <sheetName val="CHITIET_VL-NC-TT-3p"/>
      <sheetName val="KPVC-BD_"/>
      <sheetName val="CHITIET_VL-NC"/>
      <sheetName val="B3A_-_TOWER_A"/>
      <sheetName val="Coax_Designer"/>
      <sheetName val="tong_du_toan"/>
      <sheetName val="MAIN_GATE_HOUSE"/>
      <sheetName val="Bảng_mã_VT"/>
      <sheetName val="N10(미지급)_"/>
      <sheetName val="90_0"/>
      <sheetName val="1_사유서"/>
      <sheetName val="노원열병합__건축공사기성내역서2"/>
      <sheetName val="변경실행(2차)_1"/>
      <sheetName val="5__차단기_용량계산1"/>
      <sheetName val="7_1유효폭1"/>
      <sheetName val="TRE_TABLE1"/>
      <sheetName val="입고장부_(4)1"/>
      <sheetName val="도담구내_개소별_명세1"/>
      <sheetName val="I_설계조건1"/>
      <sheetName val="Cost_bd-&quot;A&quot;1"/>
      <sheetName val="조도계산서_(도서)1"/>
      <sheetName val="IMP_(REACTOR)1"/>
      <sheetName val="E_P_T수량산출서1"/>
      <sheetName val="설산1_나1"/>
      <sheetName val="가로등제어반_설치공사(수량)1"/>
      <sheetName val="단가표_1"/>
      <sheetName val="TYPE-B_평균H"/>
      <sheetName val="전동기_SPEC"/>
      <sheetName val="일반맨홀수량집계(A-7_LINE)"/>
      <sheetName val="토공산출_(아파트)"/>
      <sheetName val="8__내진해석"/>
      <sheetName val="PROJECT_COST_ESTIMATE_(cont)"/>
      <sheetName val="할증_"/>
      <sheetName val="5_정산서"/>
      <sheetName val="아파트_"/>
      <sheetName val="장비당단가_(1)"/>
      <sheetName val="nomi_"/>
      <sheetName val="3-1_CB1"/>
      <sheetName val="SUM_(INQNO_"/>
      <sheetName val="99_6"/>
      <sheetName val="2_내역서"/>
      <sheetName val="BOX_본체"/>
      <sheetName val="6_교좌면보강"/>
      <sheetName val="Design_Q'ty"/>
      <sheetName val="BR_1(원)"/>
      <sheetName val="02_SLAB"/>
      <sheetName val="05_BOX"/>
      <sheetName val="화재_탐지_설비"/>
      <sheetName val="방음벽_기초_일반수량"/>
      <sheetName val="G_R300경비"/>
      <sheetName val="_내역"/>
      <sheetName val="4b_Consolidated_PL"/>
      <sheetName val="Oper_Amount"/>
      <sheetName val="Sheet16_(2)"/>
      <sheetName val="5__설계명세서"/>
      <sheetName val="공종별_집계"/>
      <sheetName val="사토(발파)_(2)1"/>
      <sheetName val="10월철근공_1"/>
      <sheetName val="9월목공_1"/>
      <sheetName val="10월목공_1"/>
      <sheetName val="공사별_사정분석표-ㅌ1"/>
      <sheetName val="CI_GL_Mapping1"/>
      <sheetName val="운영_비용(Infra)-원가1"/>
      <sheetName val="영업_일"/>
      <sheetName val="제출내역_(2)"/>
      <sheetName val="영업_일1"/>
      <sheetName val="CC_Down_load_0716"/>
      <sheetName val="Macro1_(2)"/>
      <sheetName val="1ၒ_x0000_"/>
      <sheetName val="기계공사"/>
      <sheetName val="공사비총"/>
      <sheetName val="내역서2안"/>
      <sheetName val="패널"/>
      <sheetName val="대비2"/>
      <sheetName val="2000년 공정표"/>
      <sheetName val="8.3해석단면 선정"/>
      <sheetName val="125x125"/>
      <sheetName val="Level 2"/>
      <sheetName val="VT190111"/>
      <sheetName val="TH-XL"/>
      <sheetName val="Du toan"/>
      <sheetName val="Keothep"/>
      <sheetName val="Re-bar"/>
      <sheetName val="SEX"/>
      <sheetName val="HS"/>
      <sheetName val="p"/>
      <sheetName val="Define finishing"/>
      <sheetName val="PTĐG"/>
      <sheetName val="RATE"/>
      <sheetName val="MA"/>
      <sheetName val="Chi tiết cấu tạo giá (2)"/>
      <sheetName val="SUMMARY-HT Thô"/>
      <sheetName val="02.PHAT SINH TANG"/>
      <sheetName val="Tiến độ  Rev1 (phói hợp)"/>
      <sheetName val="kpxlc"/>
      <sheetName val="kpxld"/>
      <sheetName val="VTu"/>
      <sheetName val="PNT-QUOT-#3"/>
      <sheetName val="Unit price"/>
      <sheetName val="DANHMUC"/>
      <sheetName val="DT"/>
      <sheetName val="1.R18 BF"/>
      <sheetName val="G"/>
      <sheetName val="F-B"/>
      <sheetName val="H-J"/>
      <sheetName val="6.External works-R18"/>
      <sheetName val="電気設備表"/>
      <sheetName val="May"/>
      <sheetName val="Profile"/>
      <sheetName val="bill 3 - D Wall"/>
      <sheetName val="Parem"/>
      <sheetName val="TONG HOP XIN GIA"/>
      <sheetName val="VO"/>
      <sheetName val="Ref"/>
      <sheetName val="KHOI LUONG15-4"/>
      <sheetName val="NC"/>
      <sheetName val="Tro giup"/>
      <sheetName val="Villa A"/>
      <sheetName val="Div26 - Elect"/>
      <sheetName val="CPTNo"/>
      <sheetName val="COAT&amp;WRAP-QIOT-#3"/>
      <sheetName val="Xuly Data"/>
      <sheetName val="CSVC LD"/>
      <sheetName val="Ten_NVKD"/>
      <sheetName val="Setting"/>
      <sheetName val="MU"/>
      <sheetName val="Buy vs. Lease Car"/>
      <sheetName val="Currency Rate"/>
      <sheetName val="dtct cong"/>
      <sheetName val="GI"/>
      <sheetName val="EE (3)"/>
      <sheetName val="PAVEMENT"/>
      <sheetName val="TRAFFIC"/>
      <sheetName val="관보호공단위수량"/>
      <sheetName val="관경결정"/>
      <sheetName val="공사원가 (3)"/>
      <sheetName val="내역서-2"/>
      <sheetName val="tra VL"/>
      <sheetName val="Phu cap"/>
      <sheetName val="CE(E)"/>
      <sheetName val="CE(M)"/>
      <sheetName val="Project Data"/>
      <sheetName val="Bao cao hao hut VT-TR"/>
      <sheetName val="tifico"/>
      <sheetName val="DTCT"/>
      <sheetName val="2.1 受電設備棟"/>
      <sheetName val="2.2 受・防火水槽"/>
      <sheetName val="2.3 排水処理設備棟"/>
      <sheetName val="2.4 倉庫棟"/>
      <sheetName val="2.5 守衛棟"/>
      <sheetName val="Costmaster"/>
      <sheetName val="Items"/>
      <sheetName val="¥ "/>
      <sheetName val="KLall"/>
      <sheetName val="DTTC CHI TIET"/>
      <sheetName val="MTO REV.2(ARMOR)"/>
      <sheetName val="SP10"/>
      <sheetName val="Gia"/>
      <sheetName val="HRG BHN"/>
      <sheetName val="Bang gia"/>
      <sheetName val="Index"/>
      <sheetName val="TABLE_DB1"/>
      <sheetName val="쌍용_data_base1"/>
      <sheetName val="tong_du_toan1"/>
      <sheetName val="Level_2"/>
      <sheetName val="Bảng_mã_VT1"/>
      <sheetName val="Du_toan"/>
      <sheetName val="Cst_Pkg-Eden"/>
      <sheetName val="Define_finishing"/>
      <sheetName val="Tiến_độ__Rev1_(phói_hợp)"/>
      <sheetName val="Chi_tiết_cấu_tạo_giá_(2)"/>
      <sheetName val="SUMMARY-HT_Thô"/>
      <sheetName val="02_PHAT_SINH_TANG"/>
      <sheetName val="Unit_price"/>
      <sheetName val="TONG_HOP_XIN_GIA"/>
      <sheetName val="1_R18_BF"/>
      <sheetName val="6_External_works-R18"/>
      <sheetName val="bill_3_-_D_Wall"/>
      <sheetName val="KHOI_LUONG15-4"/>
      <sheetName val="Tro_giup"/>
      <sheetName val="Villa_A"/>
      <sheetName val="Div26_-_Elect"/>
      <sheetName val="Xuly_Data"/>
      <sheetName val="CSVC_LD"/>
      <sheetName val="dtct_cong"/>
      <sheetName val="Currency_Rate"/>
      <sheetName val="Buy_vs__Lease_Car"/>
      <sheetName val="tra_VL"/>
      <sheetName val="8_3해석단면_선정"/>
      <sheetName val="현장별"/>
      <sheetName val="대가목록"/>
      <sheetName val="Cash Flow bulanan"/>
      <sheetName val="TEN CONG TRINH"/>
      <sheetName val="D+W"/>
      <sheetName val="INFOR-ST"/>
      <sheetName val="BechLab"/>
      <sheetName val="Rates"/>
      <sheetName val="HE SO DIEU CHINH"/>
      <sheetName val="6PILE__(돌출)3"/>
      <sheetName val="내역서_3"/>
      <sheetName val="1_설계조건3"/>
      <sheetName val="2_2_S-Curve2"/>
      <sheetName val="RAB_AR&amp;STR1"/>
      <sheetName val="Chiet_tinh_dz351"/>
      <sheetName val="플랜트_설치2"/>
      <sheetName val="단면_(2)2"/>
      <sheetName val="code_HTT_Thap1"/>
      <sheetName val="4-Lane_bridge1"/>
      <sheetName val="dongia_(2)1"/>
      <sheetName val="D&amp;W_def_1"/>
      <sheetName val="돌담교_상부수량3"/>
      <sheetName val="8_석축단위(H=1_5M)2"/>
      <sheetName val="설명서_2"/>
      <sheetName val="COMPARISON_TABLE2"/>
      <sheetName val="crude_SLAB_RE-bar2"/>
      <sheetName val="CRUDE_RE-bar2"/>
      <sheetName val="신규_수주분(사용자_정의)2"/>
      <sheetName val="1_2_1_마루높이결정2"/>
      <sheetName val="3_하중산정4_지지력2"/>
      <sheetName val="표지_(2)2"/>
      <sheetName val="2_입력sheet2"/>
      <sheetName val="1_우편집중내역서2"/>
      <sheetName val="Pier_32"/>
      <sheetName val="2_가정단면2"/>
      <sheetName val="pile_bearing_capa_&amp;_arrenge2"/>
      <sheetName val="Thuc_thanh1"/>
      <sheetName val="(3_품질관리_시험_총괄표)2"/>
      <sheetName val="PAD_TR보호대기초2"/>
      <sheetName val="Civil__Sub-Station_11"/>
      <sheetName val="Gia_VL,NC,M"/>
      <sheetName val="Phan_chung"/>
      <sheetName val="Tom_tat_gia_du_thau"/>
      <sheetName val="Bảng_Phân_Tích_Chi_Phí"/>
      <sheetName val="실행내역서_1"/>
      <sheetName val="Tien_do_TV"/>
      <sheetName val="CP_Du_phong"/>
      <sheetName val="THCP_Lap_dat"/>
      <sheetName val="THCP_xay_dung"/>
      <sheetName val="Tong_hop_kinh_phi"/>
      <sheetName val="Bảng_KLHT"/>
      <sheetName val="RC_WORK"/>
      <sheetName val="Bao_cao_hao_hut_VT-TR"/>
      <sheetName val="¥_"/>
      <sheetName val="DTTC_CHI_TIET"/>
      <sheetName val="MTO_REV_2(ARMOR)"/>
      <sheetName val="TEN_CONG_TRINH"/>
      <sheetName val="Cash_Flow_bulanan"/>
      <sheetName val="SH-F"/>
      <sheetName val="Y_WORK"/>
      <sheetName val="Isolasi Luar Dalam"/>
      <sheetName val="Isolasi Luar"/>
      <sheetName val="EARTH WORKS"/>
      <sheetName val="Breakdown (B)"/>
      <sheetName val="THVT"/>
      <sheetName val="IBASE"/>
      <sheetName val="NKC6"/>
      <sheetName val="DeluxeVilla 4"/>
      <sheetName val="Bill No.01"/>
      <sheetName val="Summary - Budget"/>
      <sheetName val="Khoi luong"/>
      <sheetName val="Matls"/>
      <sheetName val="Labor"/>
      <sheetName val="public area"/>
      <sheetName val="02"/>
      <sheetName val=" 03"/>
      <sheetName val="04"/>
      <sheetName val="05"/>
      <sheetName val="06"/>
      <sheetName val="07"/>
      <sheetName val="08"/>
      <sheetName val="09"/>
      <sheetName val="負荷集計（断熱不燃）"/>
      <sheetName val="運転条件一覧"/>
      <sheetName val="daf-3(OK)"/>
      <sheetName val="daf-7(OK)"/>
      <sheetName val="Cash Flow"/>
      <sheetName val="Yield"/>
      <sheetName val="8521"/>
      <sheetName val="Xunit (단위환산)"/>
      <sheetName val="고객사 관리 코드"/>
      <sheetName val="Xunit_(단위환산)"/>
      <sheetName val="고객사_관리_코드"/>
      <sheetName val="인상효1"/>
      <sheetName val="Cover (x)"/>
      <sheetName val="SORT"/>
      <sheetName val="Cor Apt"/>
      <sheetName val="CPBTXM-THUONG"/>
      <sheetName val="VCV-BE-TONG"/>
      <sheetName val="KLDT DIEN"/>
      <sheetName val="PTVT DIEN"/>
      <sheetName val="01AC"/>
      <sheetName val="도로포장면적산출(1)"/>
      <sheetName val="우수관연장및터파기고"/>
      <sheetName val="단가비교"/>
      <sheetName val="구조물토적"/>
      <sheetName val="CAL(1)."/>
      <sheetName val="견적산출"/>
      <sheetName val="3.1.1 마루높이결정"/>
      <sheetName val="콘_재료분리(1)"/>
      <sheetName val="내역-1"/>
      <sheetName val="샤워실위생"/>
      <sheetName val="교량전기"/>
      <sheetName val="기성 (2)"/>
      <sheetName val="실행갑지"/>
      <sheetName val="총(신설)"/>
      <sheetName val="노임단가자료"/>
      <sheetName val="정보요약"/>
      <sheetName val="2월_노임대장"/>
      <sheetName val="강관_및_부속"/>
      <sheetName val="2@_BOX"/>
      <sheetName val="3.바닥판  "/>
      <sheetName val="C_DATA"/>
      <sheetName val="작업내용 (종합)"/>
      <sheetName val="작업사항(추가)"/>
      <sheetName val="계좌입금의뢰서(서암)"/>
      <sheetName val="청구집계"/>
      <sheetName val="계좌입금의뢰서(장안)"/>
      <sheetName val="계좌입금의뢰서(장안) (출력용)"/>
      <sheetName val="1.노무비(직영)-서암"/>
      <sheetName val="1.노무비(직영)-장안"/>
      <sheetName val="노무대장(직영)-서암"/>
      <sheetName val="노무대장(직영)-장안"/>
      <sheetName val="노무대장(직영)-장안(직영)"/>
      <sheetName val="노무대장(직영)-장안(제초)"/>
      <sheetName val="노무대장(직영)-장안(예초)"/>
      <sheetName val="1.노무비 (대영)"/>
      <sheetName val="노무대장(대영)"/>
      <sheetName val="노무대장(직영)-장안 (직영)"/>
      <sheetName val="노무대장(직영)-장안 (제초 및 잔디)"/>
      <sheetName val="노무대장(직영)-장안 (예초)"/>
      <sheetName val="재료비(세부) "/>
      <sheetName val="3.외주비"/>
      <sheetName val="4.운반비"/>
      <sheetName val="4-1운반비기안문서"/>
      <sheetName val="4-2주간운반비"/>
      <sheetName val="5.장비비"/>
      <sheetName val="장비사용내역"/>
      <sheetName val="6.현장관리비"/>
      <sheetName val="전도금사용내역서"/>
      <sheetName val="7.안전관리비"/>
      <sheetName val="7-1안전관리비상세"/>
      <sheetName val="8.간접노무비"/>
      <sheetName val="9.기타경비"/>
      <sheetName val="기타경비 세부"/>
      <sheetName val="적용건축"/>
      <sheetName val="단가입력"/>
      <sheetName val="최종전사PL"/>
      <sheetName val="접속도로집계"/>
      <sheetName val="터파기??료"/>
      <sheetName val="CAL."/>
      <sheetName val="설비비2"/>
      <sheetName val="설비비5"/>
      <sheetName val="설비비6"/>
      <sheetName val="설비비1"/>
      <sheetName val="가로등위치"/>
      <sheetName val="공제량"/>
      <sheetName val="지장물건일위대가"/>
      <sheetName val="자판실행"/>
      <sheetName val="L_RPTB03_01"/>
      <sheetName val="설비원가"/>
      <sheetName val="TEST1"/>
      <sheetName val="국도접속_차도부수량"/>
      <sheetName val="연결관수량_(2)"/>
      <sheetName val="배수공_시멘트_및_골재량_"/>
      <sheetName val="일위대가(당초)"/>
      <sheetName val="변압기 및 발전기 용량"/>
      <sheetName val="BDATA"/>
      <sheetName val="자가"/>
      <sheetName val="노임단"/>
      <sheetName val="노견단위수량"/>
      <sheetName val="7단가"/>
      <sheetName val="원가계산 (2)"/>
      <sheetName val="3연box"/>
      <sheetName val="노무단가"/>
      <sheetName val="투찰금액"/>
      <sheetName val="보호공"/>
      <sheetName val="배수량"/>
      <sheetName val="7급줄떼"/>
      <sheetName val="A1(토공)"/>
      <sheetName val="A1(구조물)"/>
      <sheetName val="수량집계(1)"/>
      <sheetName val="철근집계표"/>
      <sheetName val="공양식"/>
      <sheetName val="8.1.에너지"/>
      <sheetName val="가압장구체수량산출서"/>
      <sheetName val="증명지번목록"/>
      <sheetName val="내역서(기성청구)"/>
      <sheetName val="2설계 (웅촌고연)"/>
      <sheetName val="토목내역서"/>
      <sheetName val="포장총괄집계표"/>
      <sheetName val="주현(해보)"/>
      <sheetName val="주현(영광)"/>
      <sheetName val="1호맨홀가감수량"/>
      <sheetName val="규준틀"/>
      <sheetName val="덧씌우기구간수량산출1"/>
      <sheetName val="교각"/>
      <sheetName val="부안일위"/>
      <sheetName val="전압강하"/>
      <sheetName val="간지(5.04)"/>
      <sheetName val="별첨4_전담운영PM(1)"/>
      <sheetName val="추정설계"/>
      <sheetName val="내부마감"/>
      <sheetName val="영업권조서"/>
      <sheetName val="토지조서"/>
      <sheetName val="계정별실적"/>
      <sheetName val="횡배수관토공수량"/>
      <sheetName val="규격"/>
      <sheetName val="작업금지"/>
      <sheetName val="2공종별예산조서"/>
      <sheetName val="방송(체육관)"/>
      <sheetName val="복주일위대가"/>
      <sheetName val="호안공재료집계표"/>
      <sheetName val="흄관수량"/>
      <sheetName val="노임단가 "/>
      <sheetName val="新철폐복2"/>
      <sheetName val="新철폐복3"/>
      <sheetName val="新철폐복"/>
      <sheetName val="토지가격산출기초"/>
      <sheetName val="공시지가"/>
      <sheetName val="5지진시"/>
      <sheetName val="24분기"/>
      <sheetName val="봉산운반"/>
      <sheetName val="토공산근"/>
      <sheetName val="이설도로유용토"/>
      <sheetName val="투찰판"/>
      <sheetName val="중강당 내跀"/>
      <sheetName val="중기기초자료"/>
      <sheetName val="99노임단_x005f_x0007_"/>
      <sheetName val="철근(전기호)"/>
      <sheetName val="BREAKDOWN(철거설치)"/>
      <sheetName val="앉음벽 (2)"/>
      <sheetName val="전체_1설계"/>
      <sheetName val="공정증감대ㅈ표"/>
      <sheetName val="단면계수(상부)"/>
      <sheetName val="휴지통"/>
      <sheetName val="Resource2"/>
      <sheetName val="표준건축비"/>
      <sheetName val="우석문틀"/>
      <sheetName val="토사절취"/>
      <sheetName val="수량산출서집계"/>
      <sheetName val="4.전기"/>
      <sheetName val="작성방법"/>
      <sheetName val="기성갑지"/>
      <sheetName val="P.M 별"/>
      <sheetName val="인버트단위수량"/>
      <sheetName val="치수표"/>
      <sheetName val="옹벽철근집계표"/>
      <sheetName val="2.1  노무비 평균단가산출"/>
      <sheetName val="반중력식옹벽"/>
      <sheetName val="적점"/>
      <sheetName val="접속도수량집계표"/>
      <sheetName val="동물이동통로"/>
      <sheetName val="편입토지조서"/>
      <sheetName val="내역(가지)"/>
      <sheetName val="YOEMAGUM"/>
      <sheetName val="포장공집"/>
      <sheetName val="오수표시테이프단위수량"/>
      <sheetName val="공사비증감(P4) "/>
      <sheetName val="기구조직"/>
      <sheetName val="TOTAL1"/>
      <sheetName val=" 토목 처리장도급내역서 "/>
      <sheetName val="수목보호틀연장조서"/>
      <sheetName val="콘크리트포장철거"/>
      <sheetName val="공종검토(1순위4공종)"/>
      <sheetName val="공종검토(4순위8공종) "/>
      <sheetName val="공종검토(7순위3공종)"/>
      <sheetName val="공종검토(8순위9공종)"/>
      <sheetName val="공종검토(27순위24공종)"/>
      <sheetName val="제원입력"/>
      <sheetName val="재"/>
      <sheetName val="자"/>
      <sheetName val="실적(휴양)"/>
      <sheetName val="투찰내역서"/>
      <sheetName val="터널패턴구성"/>
      <sheetName val="Macro(조도)"/>
      <sheetName val="받이700"/>
      <sheetName val="분기관표식단위수량"/>
      <sheetName val="토목수량(공정)"/>
      <sheetName val="자금청구"/>
      <sheetName val="5정거장"/>
      <sheetName val="1-3길내기"/>
      <sheetName val="주공기준"/>
      <sheetName val="99 조정금액"/>
      <sheetName val="동일리 권리자명부"/>
      <sheetName val="면적평당공사비"/>
      <sheetName val="말고개터널조명전압강하"/>
      <sheetName val="부관맨홀조서"/>
      <sheetName val="신대방33(적용)"/>
      <sheetName val="터널전기"/>
      <sheetName val="시멘트 및 골재량산출"/>
      <sheetName val="우수받이수량산출"/>
      <sheetName val="집수정수량집계"/>
      <sheetName val="각종측구수량집계"/>
      <sheetName val="401"/>
      <sheetName val="유입수문철근집계"/>
      <sheetName val="구간별"/>
      <sheetName val="여비"/>
      <sheetName val="현황"/>
      <sheetName val="DI_전처리 단가집(GP1 실적가)"/>
      <sheetName val="XXXXXX"/>
      <sheetName val="조도"/>
      <sheetName val="동력"/>
      <sheetName val="변압기"/>
      <sheetName val="발전기"/>
      <sheetName val="간선"/>
      <sheetName val="Sheet8"/>
      <sheetName val="Sheet9"/>
      <sheetName val="Sheet11"/>
      <sheetName val="Sheet12"/>
      <sheetName val="전기자료"/>
      <sheetName val="DUT-BAT1"/>
      <sheetName val="GEN"/>
      <sheetName val="합천내역"/>
      <sheetName val="부재치수입력"/>
      <sheetName val="N10(미지급)_1"/>
      <sheetName val="기준Data"/>
      <sheetName val="의왕F사"/>
      <sheetName val="가공사"/>
      <sheetName val="참조영역"/>
      <sheetName val="신구계정대사표"/>
      <sheetName val="static.cal"/>
      <sheetName val="Total Progress (2)"/>
      <sheetName val="대전노은1차_조적_집계표"/>
      <sheetName val="laroux"/>
      <sheetName val="H-P규격"/>
      <sheetName val="S-P규격"/>
      <sheetName val="H-P＋토류판 수량산출"/>
      <sheetName val="S-P수량산출"/>
      <sheetName val="H-P수량집계"/>
      <sheetName val="총괄H-P수량집계 "/>
      <sheetName val="S-P수량집계"/>
      <sheetName val="총괄S-P수량집계"/>
      <sheetName val="평균h"/>
      <sheetName val="지반개량"/>
      <sheetName val="배수관접합및부설  "/>
      <sheetName val="남양시작동자105노65기1.3화1.2"/>
      <sheetName val="카니발(자105노60)"/>
      <sheetName val="FAB"/>
      <sheetName val="백암비스타내역"/>
      <sheetName val="Hydrant"/>
      <sheetName val="총괄설계내역서"/>
      <sheetName val="노동부"/>
      <sheetName val="Financial impact"/>
      <sheetName val="Sch7a (토요일)"/>
      <sheetName val="거래처자료등록"/>
      <sheetName val="1.일위대가"/>
      <sheetName val="절단표"/>
      <sheetName val="총괄내역서(도급)"/>
      <sheetName val="설명"/>
      <sheetName val="산근cad용"/>
      <sheetName val="산근(계단)"/>
      <sheetName val="건설기계가격"/>
      <sheetName val="보고서"/>
      <sheetName val="현장관리비 산출내역"/>
      <sheetName val="중기가격"/>
      <sheetName val="RDP2"/>
      <sheetName val="신공항A-9(원가수정)"/>
      <sheetName val="산출근거(9)"/>
      <sheetName val="산림조사비"/>
      <sheetName val="요율표"/>
      <sheetName val="폐기물발생(처리)내역-1"/>
      <sheetName val="신당동집계표"/>
      <sheetName val="UNIT"/>
      <sheetName val="결재"/>
      <sheetName val="00임금"/>
      <sheetName val="설원"/>
      <sheetName val="깨기수량집계"/>
      <sheetName val="Tool"/>
      <sheetName val="TOWER 12TON"/>
      <sheetName val="JIB CRANE,HOIST"/>
      <sheetName val="TOWER 10TON"/>
      <sheetName val="재료집계(분수관)"/>
      <sheetName val="폐기물집계표"/>
      <sheetName val="t-h_HA_THE1"/>
      <sheetName val="THPDMoi__(2)1"/>
      <sheetName val="DON_GIA1"/>
      <sheetName val="TONG_HOP_VL-NC_TT1"/>
      <sheetName val="TH_XL1"/>
      <sheetName val="CHITIET_VL-NC-TT-3p1"/>
      <sheetName val="KPVC-BD_1"/>
      <sheetName val="CHITIET_VL-NC1"/>
      <sheetName val="B3A_-_TOWER_A1"/>
      <sheetName val="Coax_Designer1"/>
      <sheetName val="MAIN_GATE_HOUSE1"/>
      <sheetName val="Bảng_Phân_Tích_Chi_Phí1"/>
      <sheetName val="Gia_VL,NC,M1"/>
      <sheetName val="Phan_chung1"/>
      <sheetName val="Tom_tat_gia_du_thau1"/>
      <sheetName val="Tien_do_TV1"/>
      <sheetName val="CP_Du_phong1"/>
      <sheetName val="THCP_Lap_dat1"/>
      <sheetName val="THCP_xay_dung1"/>
      <sheetName val="Tong_hop_kinh_phi1"/>
      <sheetName val="Bao_cao_hao_hut_VT-TR1"/>
      <sheetName val="Cấu tạo giá"/>
      <sheetName val="Cover page"/>
      <sheetName val="Lookups"/>
      <sheetName val="NOTE"/>
      <sheetName val="StaffList-OLD"/>
      <sheetName val="Budget Code"/>
      <sheetName val="마감사양"/>
      <sheetName val="KUNGDEVI"/>
      <sheetName val="Add cost08"/>
      <sheetName val="SumBricks08"/>
      <sheetName val="SCOPE OF WORK"/>
      <sheetName val="PH 5"/>
      <sheetName val="Dầm -4.7m"/>
      <sheetName val="삼홍테크"/>
      <sheetName val="DFA"/>
      <sheetName val="TinhGiaNC"/>
      <sheetName val="Thiet Bi"/>
      <sheetName val="VCBo"/>
      <sheetName val="Phan tich"/>
      <sheetName val="TH Vat tu"/>
      <sheetName val="TH Kinh phi"/>
      <sheetName val="BocXep"/>
      <sheetName val="TinhGiaMTC"/>
      <sheetName val="TH MTC"/>
      <sheetName val="TH N.Cong"/>
      <sheetName val="Bang KL"/>
      <sheetName val="VCThuy"/>
      <sheetName val="Inputs_Sens"/>
      <sheetName val="IS_Sum_CM"/>
      <sheetName val="Daf 1"/>
      <sheetName val="2BOX본체"/>
      <sheetName val="Alat"/>
      <sheetName val="Analisa Gabungan"/>
      <sheetName val="bar"/>
      <sheetName val="table1"/>
      <sheetName val="SGC RATE"/>
      <sheetName val="KINH PHI TONG HOP"/>
      <sheetName val="Dinh muc CP KTCB khac"/>
      <sheetName val="TEN HANG MUC "/>
      <sheetName val="표 지"/>
      <sheetName val="도장수량"/>
      <sheetName val="안정성검토"/>
      <sheetName val="조은나오스빌"/>
      <sheetName val="당초토량산출서"/>
      <sheetName val="변경토량산출서"/>
      <sheetName val="INTRO.(X)"/>
      <sheetName val="2000_x0000__x0000__x0005__x0000_"/>
      <sheetName val="공사원가"/>
      <sheetName val="수량이동"/>
      <sheetName val="허용전류"/>
      <sheetName val="일반수량총괄집계표"/>
      <sheetName val="견적및기타"/>
      <sheetName val="단가산출목록"/>
      <sheetName val="정화조"/>
      <sheetName val="Item-DATA"/>
      <sheetName val="NSA fr Revit"/>
      <sheetName val="PTdam"/>
      <sheetName val="DTICH_OLD"/>
      <sheetName val="07.HT PODIUM"/>
      <sheetName val="04.KC HAM"/>
      <sheetName val="05.KC THAN_OK"/>
      <sheetName val="08.HT CANHO_OK"/>
      <sheetName val="DMVT"/>
      <sheetName val="Loose"/>
      <sheetName val="Main_Mech"/>
      <sheetName val="Sub_Mech"/>
      <sheetName val="BAOCHE A"/>
      <sheetName val="Takeoff"/>
      <sheetName val="Đơn Giá "/>
      <sheetName val="Para"/>
      <sheetName val="Duc_bk"/>
      <sheetName val="Drop Down"/>
      <sheetName val="EFR30696"/>
      <sheetName val="Hệ số"/>
      <sheetName val="Động cơ"/>
      <sheetName val="2. 2공구"/>
      <sheetName val="PROCURE"/>
      <sheetName val="공조"/>
      <sheetName val="L_RPTB16_05"/>
      <sheetName val="맨홀토_x0000__x0000__x0005_"/>
      <sheetName val="전체 내역서(통합)"/>
      <sheetName val="ESTI."/>
      <sheetName val="학생내역"/>
      <sheetName val="入力作成表"/>
      <sheetName val="Ma TP"/>
      <sheetName val="2_1_受電設備棟"/>
      <sheetName val="2_2_受・防火水槽"/>
      <sheetName val="2_3_排水処理設備棟"/>
      <sheetName val="2_4_倉庫棟"/>
      <sheetName val="2_5_守衛棟"/>
      <sheetName val="Xunit_(단위환산)1"/>
      <sheetName val="고객사_관리_코드1"/>
      <sheetName val="SCOPE_OF_WORK"/>
      <sheetName val="Dầm_-4_7m"/>
      <sheetName val="PH_5"/>
      <sheetName val="ESTI_"/>
      <sheetName val="Internal Finish"/>
      <sheetName val="Bill2-Sum-A"/>
      <sheetName val="Bill4-Sum-A"/>
      <sheetName val="Bill5-Sum-A"/>
      <sheetName val="BQ-E20-02(Rp)"/>
      <sheetName val="기계내역서"/>
      <sheetName val="Project, methods &amp; costs"/>
      <sheetName val="Ind. costs. &amp; Closing"/>
      <sheetName val="Main risks"/>
      <sheetName val="Markup"/>
      <sheetName val="PHG"/>
      <sheetName val="7. 교좌받침부검토(연속교)"/>
      <sheetName val="광통신 견적내역서1"/>
      <sheetName val="투찰(하수)"/>
      <sheetName val="케이블수량재료"/>
      <sheetName val="Actual data"/>
      <sheetName val="4.경비 5.영업외수지"/>
      <sheetName val="IW-LIST"/>
      <sheetName val="8. 안정검토"/>
      <sheetName val="산근(목록)"/>
      <sheetName val="이형관중량"/>
      <sheetName val="5CHBDC"/>
      <sheetName val="수량분개내역"/>
      <sheetName val="6PILE__(돌출)4"/>
      <sheetName val="내역서_4"/>
      <sheetName val="1_설계조건4"/>
      <sheetName val="2_2_S-Curve3"/>
      <sheetName val="8_PILE__(돌출)3"/>
      <sheetName val="Chiet_tinh_dz352"/>
      <sheetName val="TABLE_DB2"/>
      <sheetName val="쌍용_data_base2"/>
      <sheetName val="플랜트_설치3"/>
      <sheetName val="단면_(2)3"/>
      <sheetName val="dongia_(2)2"/>
      <sheetName val="t-h_HA_THE2"/>
      <sheetName val="THPDMoi__(2)2"/>
      <sheetName val="DON_GIA2"/>
      <sheetName val="CHITIET_VL-NC-TT_-1p2"/>
      <sheetName val="TONG_HOP_VL-NC_TT2"/>
      <sheetName val="TH_XL2"/>
      <sheetName val="CHITIET_VL-NC-TT-3p2"/>
      <sheetName val="KPVC-BD_2"/>
      <sheetName val="CHITIET_VL-NC2"/>
      <sheetName val="code_HTT_Thap2"/>
      <sheetName val="B3A_-_TOWER_A2"/>
      <sheetName val="RAB_AR&amp;STR2"/>
      <sheetName val="D&amp;W_def_2"/>
      <sheetName val="COMPARISON_TABLE3"/>
      <sheetName val="crude_SLAB_RE-bar3"/>
      <sheetName val="CRUDE_RE-bar3"/>
      <sheetName val="1_설계기준3"/>
      <sheetName val="신규_수주분(사용자_정의)3"/>
      <sheetName val="설명서_3"/>
      <sheetName val="1_2_1_마루높이결정3"/>
      <sheetName val="3_하중산정4_지지력3"/>
      <sheetName val="표지_(2)3"/>
      <sheetName val="3BL공동구_수량4"/>
      <sheetName val="2_입력sheet3"/>
      <sheetName val="DATA_입력란3"/>
      <sheetName val="1_우편집중내역서3"/>
      <sheetName val="Pier_33"/>
      <sheetName val="2_가정단면3"/>
      <sheetName val="7_PILE__(돌출)3"/>
      <sheetName val="plan&amp;section_of_foundation3"/>
      <sheetName val="pile_bearing_capa_&amp;_arrenge3"/>
      <sheetName val="design_load3"/>
      <sheetName val="working_load_at_the_btm_ft_3"/>
      <sheetName val="stability_check3"/>
      <sheetName val="design_criteria3"/>
      <sheetName val="돌담교_상부수량4"/>
      <sheetName val="8_석축단위(H=1_5M)3"/>
      <sheetName val="준검_내역서3"/>
      <sheetName val="3_공통공사대비3"/>
      <sheetName val="방배동내역_(총괄)3"/>
      <sheetName val="MAIN_GATE_HOUSE2"/>
      <sheetName val="4-Lane_bridge2"/>
      <sheetName val="Coax_Designer2"/>
      <sheetName val="tong_du_toan2"/>
      <sheetName val="(3_품질관리_시험_총괄표)3"/>
      <sheetName val="별표_2"/>
      <sheetName val="토공(우물통,기타)_2"/>
      <sheetName val="PAD_TR보호대기초3"/>
      <sheetName val="Civil__Sub-Station_12"/>
      <sheetName val="실행내역서_2"/>
      <sheetName val="Thuc_thanh2"/>
      <sheetName val="Bảng_Phân_Tích_Chi_Phí2"/>
      <sheetName val="Gia_VL,NC,M2"/>
      <sheetName val="Phan_chung2"/>
      <sheetName val="Tom_tat_gia_du_thau2"/>
      <sheetName val="Tien_do_TV2"/>
      <sheetName val="CP_Du_phong2"/>
      <sheetName val="THCP_Lap_dat2"/>
      <sheetName val="THCP_xay_dung2"/>
      <sheetName val="Tong_hop_kinh_phi2"/>
      <sheetName val="Bảng_mã_VT2"/>
      <sheetName val="Bảng_KLHT1"/>
      <sheetName val="RC_WORK1"/>
      <sheetName val="BOX(1_5X1_5)2"/>
      <sheetName val="표__지2"/>
      <sheetName val="배수내역_(2)1"/>
      <sheetName val="Bao_cao_hao_hut_VT-TR2"/>
      <sheetName val="¥_1"/>
      <sheetName val="DTTC_CHI_TIET1"/>
      <sheetName val="Du_toan1"/>
      <sheetName val="MTO_REV_2(ARMOR)1"/>
      <sheetName val="TEN_CONG_TRINH1"/>
      <sheetName val="Currency_Rate1"/>
      <sheetName val="Cash_Flow_bulanan1"/>
      <sheetName val="Isolasi_Luar_Dalam"/>
      <sheetName val="Isolasi_Luar"/>
      <sheetName val="Cash_Flow"/>
      <sheetName val="CONSTRUCTION_COMPONENT1"/>
      <sheetName val="공정별_수량산출서1"/>
      <sheetName val="자재_및_폐기물견적(2008)1"/>
      <sheetName val="cable_data11"/>
      <sheetName val="화단_철거1"/>
      <sheetName val="1호-아(오)0_41"/>
      <sheetName val="추정공사비_산출내역1_xlsx1"/>
      <sheetName val="견적대비_견적서1"/>
      <sheetName val="CABLE_SIZE-31"/>
      <sheetName val="접속_SLAB,BRACKET_설계1"/>
      <sheetName val="IMPEADENCE_MAP_취수장1"/>
      <sheetName val="wk_prgs1"/>
      <sheetName val="일위대가_호표_(계약)1"/>
      <sheetName val="HE_SO_DIEU_CHINH"/>
      <sheetName val="Cover_(x)"/>
      <sheetName val="Cor_Apt"/>
      <sheetName val="Cấu_tạo_giá"/>
      <sheetName val="Cover_page"/>
      <sheetName val="Add_cost08"/>
      <sheetName val="Phu_cap"/>
      <sheetName val="Project_Data"/>
      <sheetName val="EE_(3)"/>
      <sheetName val="중간간지_(2)"/>
      <sheetName val="6_단면검토"/>
      <sheetName val="2_단면가정_"/>
      <sheetName val="7월천안현장_집계표"/>
      <sheetName val="장비_자재"/>
      <sheetName val="_노무집계"/>
      <sheetName val="KLDT_DIEN"/>
      <sheetName val="PTVT_DIEN"/>
      <sheetName val="Budget_Code"/>
      <sheetName val="Thiet_Bi"/>
      <sheetName val="Phan_tich"/>
      <sheetName val="TH_Vat_tu"/>
      <sheetName val="TH_Kinh_phi"/>
      <sheetName val="TH_MTC"/>
      <sheetName val="TH_N_Cong"/>
      <sheetName val="Bang_KL"/>
      <sheetName val="Daf_1"/>
      <sheetName val="6PILE__(돌출)5"/>
      <sheetName val="내역서_5"/>
      <sheetName val="1_설계조건5"/>
      <sheetName val="2_2_S-Curve4"/>
      <sheetName val="돌담교_상부수량5"/>
      <sheetName val="8_석축단위(H=1_5M)4"/>
      <sheetName val="3BL공동구_수량5"/>
      <sheetName val="준검_내역서4"/>
      <sheetName val="3_공통공사대비4"/>
      <sheetName val="방배동내역_(총괄)4"/>
      <sheetName val="설명서_4"/>
      <sheetName val="플랜트_설치4"/>
      <sheetName val="8_PILE__(돌출)4"/>
      <sheetName val="COMPARISON_TABLE4"/>
      <sheetName val="crude_SLAB_RE-bar4"/>
      <sheetName val="CRUDE_RE-bar4"/>
      <sheetName val="1_설계기준4"/>
      <sheetName val="신규_수주분(사용자_정의)4"/>
      <sheetName val="단면_(2)4"/>
      <sheetName val="1_2_1_마루높이결정4"/>
      <sheetName val="3_하중산정4_지지력4"/>
      <sheetName val="표지_(2)4"/>
      <sheetName val="2_입력sheet4"/>
      <sheetName val="DATA_입력란4"/>
      <sheetName val="1_우편집중내역서4"/>
      <sheetName val="Pier_34"/>
      <sheetName val="2_가정단면4"/>
      <sheetName val="7_PILE__(돌출)4"/>
      <sheetName val="plan&amp;section_of_foundation4"/>
      <sheetName val="pile_bearing_capa_&amp;_arrenge4"/>
      <sheetName val="design_load4"/>
      <sheetName val="working_load_at_the_btm_ft_4"/>
      <sheetName val="stability_check4"/>
      <sheetName val="design_criteria4"/>
      <sheetName val="(3_품질관리_시험_총괄표)4"/>
      <sheetName val="별표_3"/>
      <sheetName val="토공(우물통,기타)_3"/>
      <sheetName val="Chiet_tinh_dz353"/>
      <sheetName val="TABLE_DB3"/>
      <sheetName val="쌍용_data_base3"/>
      <sheetName val="PAD_TR보호대기초4"/>
      <sheetName val="code_HTT_Thap3"/>
      <sheetName val="RAB_AR&amp;STR3"/>
      <sheetName val="dongia_(2)3"/>
      <sheetName val="Civil__Sub-Station_13"/>
      <sheetName val="실행내역서_3"/>
      <sheetName val="Thuc_thanh3"/>
      <sheetName val="D&amp;W_def_3"/>
      <sheetName val="4-Lane_bridge3"/>
      <sheetName val="t-h_HA_THE3"/>
      <sheetName val="THPDMoi__(2)3"/>
      <sheetName val="DON_GIA3"/>
      <sheetName val="CHITIET_VL-NC-TT_-1p3"/>
      <sheetName val="TONG_HOP_VL-NC_TT3"/>
      <sheetName val="TH_XL3"/>
      <sheetName val="CHITIET_VL-NC-TT-3p3"/>
      <sheetName val="KPVC-BD_3"/>
      <sheetName val="CHITIET_VL-NC3"/>
      <sheetName val="B3A_-_TOWER_A3"/>
      <sheetName val="Coax_Designer3"/>
      <sheetName val="MAIN_GATE_HOUSE3"/>
      <sheetName val="_냉각수펌프2"/>
      <sheetName val="1062-X방향_2"/>
      <sheetName val="Sheet1_(2)3"/>
      <sheetName val="BOX(1_5X1_5)3"/>
      <sheetName val="표__지3"/>
      <sheetName val="단면__2_2"/>
      <sheetName val="ENE-CAL_12"/>
      <sheetName val="ITB_COST2"/>
      <sheetName val="2011_(4)2"/>
      <sheetName val="11_자재단가2"/>
      <sheetName val="Dike_for_49T03_&amp;_49T042"/>
      <sheetName val="Dike_for_49T02,_05~07,_19_(1)2"/>
      <sheetName val="설계기준_및_하중계산2"/>
      <sheetName val="역T형(H=6_0)_(2)2"/>
      <sheetName val="각사별공사비분개_2"/>
      <sheetName val="Bảng_KLHT2"/>
      <sheetName val="RC_WORK2"/>
      <sheetName val="배수내역_(2)2"/>
      <sheetName val="tong_du_toan3"/>
      <sheetName val="Bảng_Phân_Tích_Chi_Phí3"/>
      <sheetName val="Tien_do_TV3"/>
      <sheetName val="CP_Du_phong3"/>
      <sheetName val="THCP_Lap_dat3"/>
      <sheetName val="THCP_xay_dung3"/>
      <sheetName val="Tong_hop_kinh_phi3"/>
      <sheetName val="Gia_VL,NC,M3"/>
      <sheetName val="Phan_chung3"/>
      <sheetName val="Tom_tat_gia_du_thau3"/>
      <sheetName val="Bảng_mã_VT3"/>
      <sheetName val="Bao_cao_hao_hut_VT-TR3"/>
      <sheetName val="Currency_Rate2"/>
      <sheetName val="TEN_CONG_TRINH2"/>
      <sheetName val="¥_2"/>
      <sheetName val="DTTC_CHI_TIET2"/>
      <sheetName val="Du_toan2"/>
      <sheetName val="Cash_Flow_bulanan2"/>
      <sheetName val="수량산출서_갑지2"/>
      <sheetName val="CONSTRUCTION_COMPONENT2"/>
      <sheetName val="추정공사비_산출내역1_xlsx2"/>
      <sheetName val="견적대비_견적서2"/>
      <sheetName val="접속_SLAB,BRACKET_설계2"/>
      <sheetName val="공정별_수량산출서2"/>
      <sheetName val="자재_및_폐기물견적(2008)2"/>
      <sheetName val="IMPEADENCE_MAP_취수장2"/>
      <sheetName val="화단_철거2"/>
      <sheetName val="1호-아(오)0_42"/>
      <sheetName val="MTO_REV_2(ARMOR)2"/>
      <sheetName val="Isolasi_Luar_Dalam1"/>
      <sheetName val="Isolasi_Luar1"/>
      <sheetName val="1000_DB구축_부표2"/>
      <sheetName val="Cash_Flow1"/>
      <sheetName val="Unit_price1"/>
      <sheetName val="Define_finishing1"/>
      <sheetName val="Tiến_độ__Rev1_(phói_hợp)1"/>
      <sheetName val="Level_21"/>
      <sheetName val="Cst_Pkg-Eden1"/>
      <sheetName val="Chi_tiết_cấu_tạo_giá_(2)1"/>
      <sheetName val="SUMMARY-HT_Thô1"/>
      <sheetName val="02_PHAT_SINH_TANG1"/>
      <sheetName val="TONG_HOP_XIN_GIA1"/>
      <sheetName val="1_R18_BF1"/>
      <sheetName val="6_External_works-R181"/>
      <sheetName val="bill_3_-_D_Wall1"/>
      <sheetName val="KHOI_LUONG15-41"/>
      <sheetName val="Tro_giup1"/>
      <sheetName val="Villa_A1"/>
      <sheetName val="Div26_-_Elect1"/>
      <sheetName val="Xuly_Data1"/>
      <sheetName val="CSVC_LD1"/>
      <sheetName val="HE_SO_DIEU_CHINH1"/>
      <sheetName val="dtct_cong1"/>
      <sheetName val="Buy_vs__Lease_Car1"/>
      <sheetName val="2_1_受電設備棟1"/>
      <sheetName val="2_2_受・防火水槽1"/>
      <sheetName val="2_3_排水処理設備棟1"/>
      <sheetName val="2_4_倉庫棟1"/>
      <sheetName val="2_5_守衛棟1"/>
      <sheetName val="cable_data12"/>
      <sheetName val="자재_집계표1"/>
      <sheetName val="CABLE_SIZE-32"/>
      <sheetName val="2__공원조도1"/>
      <sheetName val="wk_prgs2"/>
      <sheetName val="현장별계약현황('98_10_31)1"/>
      <sheetName val="빌딩_안내1"/>
      <sheetName val="일위대가_호표_(계약)2"/>
      <sheetName val="97년_추정1"/>
      <sheetName val="내역_ver1_01"/>
      <sheetName val="RAMP_단면(R2)1"/>
      <sheetName val="토목내역서_(도급단가)1"/>
      <sheetName val="목차_1"/>
      <sheetName val="세골재__T2_변경_현황1"/>
      <sheetName val="0_단가1"/>
      <sheetName val="토공_total1"/>
      <sheetName val="4__주형설계1"/>
      <sheetName val="노무비_근거1"/>
      <sheetName val="_총괄표1"/>
      <sheetName val="바닥판의_설계1"/>
      <sheetName val="Cover_(x)1"/>
      <sheetName val="Cor_Apt1"/>
      <sheetName val="Cấu_tạo_giá1"/>
      <sheetName val="Cover_page1"/>
      <sheetName val="tra_VL1"/>
      <sheetName val="8_3해석단면_선정1"/>
      <sheetName val="Add_cost081"/>
      <sheetName val="SCOPE_OF_WORK1"/>
      <sheetName val="Xunit_(단위환산)2"/>
      <sheetName val="고객사_관리_코드2"/>
      <sheetName val="PH_51"/>
      <sheetName val="Dầm_-4_7m1"/>
      <sheetName val="Phu_cap1"/>
      <sheetName val="Project_Data1"/>
      <sheetName val="EE_(3)1"/>
      <sheetName val="중간간지_(2)1"/>
      <sheetName val="6_단면검토1"/>
      <sheetName val="암거_제원표1"/>
      <sheetName val="2_단면가정_1"/>
      <sheetName val="7월천안현장_집계표1"/>
      <sheetName val="장비_자재1"/>
      <sheetName val="_노무집계1"/>
      <sheetName val="KLDT_DIEN1"/>
      <sheetName val="PTVT_DIEN1"/>
      <sheetName val="Budget_Code1"/>
      <sheetName val="Thiet_Bi1"/>
      <sheetName val="Phan_tich1"/>
      <sheetName val="TH_Vat_tu1"/>
      <sheetName val="TH_Kinh_phi1"/>
      <sheetName val="TH_MTC1"/>
      <sheetName val="TH_N_Cong1"/>
      <sheetName val="Bang_KL1"/>
      <sheetName val="Daf_11"/>
      <sheetName val="공사개요-C"/>
      <sheetName val="노무DB"/>
      <sheetName val="Variable"/>
      <sheetName val="정보매체A동"/>
      <sheetName val="N10(미지급)_2"/>
      <sheetName val="1_폐기물집계표"/>
      <sheetName val="PAINT_(2)"/>
      <sheetName val="static_cal"/>
      <sheetName val="Total_Progress_(2)"/>
      <sheetName val="1_일반수량산출근거"/>
      <sheetName val="DI_전처리_단가집(GP1_실적가)"/>
      <sheetName val="Financial_impact"/>
      <sheetName val="Sch7a_(토요일)"/>
      <sheetName val="남양시작동자105노65기1_3화1_2"/>
      <sheetName val="97_사업추정(WEKI)"/>
      <sheetName val="HSA"/>
      <sheetName val="VXXXXXXX"/>
      <sheetName val="CAP"/>
      <sheetName val="Var."/>
      <sheetName val="R"/>
      <sheetName val="정리"/>
      <sheetName val="dV&amp;Cl"/>
      <sheetName val="F4-F7"/>
      <sheetName val="출하생산일보"/>
      <sheetName val="COA-17"/>
      <sheetName val="C-18"/>
      <sheetName val="목공사품의서"/>
      <sheetName val="IMPEADENCE H_x0000_Ԁ_x0000_怀ȅ㨍"/>
      <sheetName val="IMPEADENCE é_x0000_Ԁ_x0000__x0000_ᛅ_xde17_"/>
      <sheetName val="DATA-2 장비LIST"/>
      <sheetName val="D200"/>
      <sheetName val="name"/>
      <sheetName val="PC, G.Slab"/>
      <sheetName val="documentation"/>
      <sheetName val="CB"/>
      <sheetName val="XZLC004_PART2"/>
      <sheetName val="자재(원원+원대)"/>
      <sheetName val="MATRLDATA"/>
      <sheetName val="INPUT_TABLE"/>
      <sheetName val="CODE1"/>
      <sheetName val="CODE2"/>
      <sheetName val="무근깨기"/>
      <sheetName val="견적의뢰"/>
      <sheetName val="CostDB"/>
      <sheetName val="계산중"/>
      <sheetName val="자  재"/>
      <sheetName val="건축외주"/>
      <sheetName val="electrical"/>
      <sheetName val="상부공"/>
      <sheetName val="공비대비"/>
      <sheetName val="4.1DNR기계(공법)"/>
      <sheetName val="아스팔트 포장총괄집계표"/>
      <sheetName val="단가 "/>
      <sheetName val="일위총괄표"/>
      <sheetName val="식대장부"/>
      <sheetName val="부가세별도"/>
      <sheetName val="업체자료"/>
      <sheetName val="블록(들고리8개)"/>
      <sheetName val="CUB结算式"/>
      <sheetName val="FAB B01计算式"/>
      <sheetName val="室外计算式"/>
      <sheetName val="5.물량산출서"/>
      <sheetName val="입력용"/>
      <sheetName val="입력용집계"/>
      <sheetName val="단가조사표(노무비)"/>
      <sheetName val="주공_갑지"/>
      <sheetName val="경율산정_XLS"/>
      <sheetName val="1_토공"/>
      <sheetName val="GT_1050x650"/>
      <sheetName val="Bldg_Brkdown"/>
      <sheetName val="junggi"/>
      <sheetName val="수목조서 "/>
      <sheetName val="제수,우수,통신,소화전물건조서"/>
      <sheetName val="한전주물건조서"/>
      <sheetName val="지장물적용유무"/>
      <sheetName val="SP-B1"/>
      <sheetName val="기준비용"/>
      <sheetName val="MAT_N048"/>
      <sheetName val="견적(02.07)"/>
      <sheetName val="개인토지"/>
      <sheetName val="12CGOU"/>
      <sheetName val="IMF Code"/>
      <sheetName val="Gia VLNCMTC"/>
      <sheetName val="WT-LIST"/>
      <sheetName val="스케즐"/>
      <sheetName val="VALUATESheet13"/>
      <sheetName val="노임단가(직종번호_순)"/>
      <sheetName val="L형집계"/>
      <sheetName val="전도금정산집계"/>
      <sheetName val="은행코드"/>
      <sheetName val="게비온"/>
      <sheetName val="관정"/>
      <sheetName val="배수관 날개벽"/>
      <sheetName val="box날개"/>
      <sheetName val="방호벽"/>
      <sheetName val="절단"/>
      <sheetName val="아스팔트포장"/>
      <sheetName val="U형측구"/>
      <sheetName val="J형측구"/>
      <sheetName val="진입로"/>
      <sheetName val="판매.DAT"/>
      <sheetName val="4.04건축(건축-주계약내역서)"/>
      <sheetName val="예정공정표 "/>
      <sheetName val="4.고용보험"/>
      <sheetName val="암센터"/>
      <sheetName val="수정계획3"/>
      <sheetName val="부재별산출서"/>
      <sheetName val="구체단위"/>
      <sheetName val="수목일위"/>
      <sheetName val="1호맨홀자연토공"/>
      <sheetName val="G2설비도급"/>
      <sheetName val="월별수입"/>
      <sheetName val="k2 foundation"/>
      <sheetName val="노면표시1"/>
      <sheetName val="산출3-전등"/>
      <sheetName val="산출4-조명제어"/>
      <sheetName val="산출5-전열"/>
      <sheetName val="산출7-유도등"/>
      <sheetName val="15-3)VE제안서(가치향_x0000_隒_x0000__x0000_"/>
      <sheetName val="대3류_1"/>
      <sheetName val="1~9_하중계산1"/>
      <sheetName val="1_견적보고서"/>
      <sheetName val="건설사업관리_공제요율1"/>
      <sheetName val="건설공사_감리원_배치기준1"/>
      <sheetName val="책임감리_공제요율1"/>
      <sheetName val="단가산출서_(2)1"/>
      <sheetName val="01_Summary"/>
      <sheetName val="03_Rev_Log"/>
      <sheetName val="FAB_B01计算式"/>
      <sheetName val="5_물량산출서"/>
      <sheetName val="2_재료비"/>
      <sheetName val="12_보오링"/>
      <sheetName val="18_공내수압탄성자연"/>
      <sheetName val="2_견적조건_정보"/>
      <sheetName val="슬래브일반(포항방향_B=12_3m)"/>
      <sheetName val="6_7현장운영"/>
      <sheetName val="Module1"/>
      <sheetName val="Module2"/>
      <sheetName val="Module3"/>
      <sheetName val="Module4"/>
      <sheetName val="Module5"/>
      <sheetName val="Module6"/>
      <sheetName val="Module8"/>
      <sheetName val="Module9"/>
      <sheetName val="Module7"/>
      <sheetName val="Module11"/>
      <sheetName val="단면(RW1)"/>
      <sheetName val="YES"/>
      <sheetName val="DATA1"/>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2000.11월설계내역"/>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복구량산정 및 전용회선 사용"/>
      <sheetName val="호계"/>
      <sheetName val="제암"/>
      <sheetName val="월마트"/>
      <sheetName val="월드컵"/>
      <sheetName val="Sheet7"/>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주상도"/>
      <sheetName val="수목데이타 "/>
      <sheetName val="일위대가(목록)"/>
      <sheetName val="- INFORMATION -"/>
      <sheetName val="관급내역서"/>
      <sheetName val="이전비내역서"/>
      <sheetName val="물량"/>
      <sheetName val="배선설계"/>
      <sheetName val="부하계산"/>
      <sheetName val="기초산출서"/>
      <sheetName val="장비단가산출"/>
      <sheetName val="t형"/>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설 계"/>
      <sheetName val="ASP포장"/>
      <sheetName val="에너지동"/>
      <sheetName val="견적조건(을지)"/>
      <sheetName val="3차설계"/>
      <sheetName val="3.바닥판설계"/>
      <sheetName val="일위대가표 (2)"/>
      <sheetName val="Testing"/>
      <sheetName val="IP좌표"/>
      <sheetName val="부재력정리"/>
      <sheetName val="NEYOK"/>
      <sheetName val="NOMUBI"/>
      <sheetName val="원가계산서 (총괄)"/>
      <sheetName val="원가계산서 (건축)"/>
      <sheetName val="(총괄집계)"/>
      <sheetName val="단위세대"/>
      <sheetName val="가설공사내역"/>
      <sheetName val="General Data"/>
      <sheetName val="차도조도계산"/>
      <sheetName val="자재단가표"/>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0.집계"/>
      <sheetName val="가로등부표"/>
      <sheetName val="매립"/>
      <sheetName val="BID-도로"/>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Áö"/>
      <sheetName val="°ßÀû¼­"/>
      <sheetName val="³»¿ª¼­"/>
      <sheetName val="Ç¥Áö"/>
      <sheetName val="º¯°æ»çÀ¯"/>
      <sheetName val="°¡¿ÁÁ¶¸í¿ø°¡°è"/>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ÀÏÀ§´ë°¡"/>
      <sheetName val="¼³°è¿¹»ê¼­"/>
      <sheetName val="¼ö·®Áý°è"/>
      <sheetName val="ÃÑ°ý"/>
      <sheetName val="Åä¸ñ"/>
      <sheetName val="°¡·Îµî³»¿ª¼­"/>
      <sheetName val="¼ö·®»êÃâ¼­"/>
      <sheetName val="2000.11¿ù¼³°è³»¿ª"/>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손료목록"/>
      <sheetName val="돌망태단위수량"/>
      <sheetName val="공사원가계산서)"/>
      <sheetName val="내역집계표"/>
      <sheetName val="대가집계표"/>
      <sheetName val="대가전기"/>
      <sheetName val="집계표(관급)"/>
      <sheetName val="전기내역관급"/>
      <sheetName val="도급예정1199"/>
      <sheetName val="외주대비"/>
      <sheetName val="수정실행"/>
      <sheetName val="단가산출근거"/>
      <sheetName val="현장인원투입"/>
      <sheetName val="장비투입계획"/>
      <sheetName val="외주대비-구조물"/>
      <sheetName val="외주대비 -석축"/>
      <sheetName val="외주대비-구조물 (2)"/>
      <sheetName val="견적표지 (3)"/>
      <sheetName val="정태현"/>
      <sheetName val="입찰결과(DATA)"/>
      <sheetName val="발주설계서(당초)"/>
      <sheetName val="일위대가 집계표"/>
      <sheetName val="제원.설계조건"/>
      <sheetName val="가공비"/>
      <sheetName val="투자효율분석"/>
      <sheetName val="단락전류-A"/>
      <sheetName val="DPRKMHDT"/>
      <sheetName val="출력-내역서"/>
      <sheetName val="날개벽(TYPE1)"/>
      <sheetName val="견적서세부내용"/>
      <sheetName val="견적내용입력"/>
      <sheetName val="집1"/>
      <sheetName val="일반맨홀수량집계"/>
      <sheetName val="EUPDAT2"/>
      <sheetName val="공사비내역서"/>
      <sheetName val="공사비 내역 (가)"/>
      <sheetName val="Top PO"/>
      <sheetName val="공종"/>
      <sheetName val="방송노임"/>
      <sheetName val="날개벽(좌,우=45도,75도)"/>
      <sheetName val="모델링"/>
      <sheetName val="mcc일위대가"/>
      <sheetName val="원본"/>
      <sheetName val="2006기계경비산출표"/>
      <sheetName val="총괄집계표"/>
      <sheetName val="고창터널(고창방향)"/>
      <sheetName val="아파트기별"/>
      <sheetName val="공리일"/>
      <sheetName val="예산갑지"/>
      <sheetName val="토목원가계산서"/>
      <sheetName val="토목원가"/>
      <sheetName val="집계장"/>
      <sheetName val="제외공종"/>
      <sheetName val="기계원가계산서"/>
      <sheetName val="기계원가"/>
      <sheetName val="가설내역"/>
      <sheetName val="갑지(가로)"/>
      <sheetName val="표지목차간지"/>
      <sheetName val="예산조서-총괄"/>
      <sheetName val="예산조서-신공항1"/>
      <sheetName val="가설물"/>
      <sheetName val="내역구성"/>
      <sheetName val="4원가"/>
      <sheetName val="임시급식"/>
      <sheetName val="옥외가스"/>
      <sheetName val="임시급식 (2)"/>
      <sheetName val="unit 4"/>
      <sheetName val="일위목록-기"/>
      <sheetName val="6동"/>
      <sheetName val="Chart1"/>
      <sheetName val="단위내역목록"/>
      <sheetName val="원가(1)"/>
      <sheetName val="원가(2)"/>
      <sheetName val="통장출금액"/>
      <sheetName val="VA_code"/>
      <sheetName val="공종별원가계산"/>
      <sheetName val="연결관산출조서"/>
      <sheetName val="외주"/>
      <sheetName val="BASIC (2)"/>
      <sheetName val="참조-(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일집"/>
      <sheetName val="Tot-sum"/>
      <sheetName val="노원열병합  건축렀こ렀䡟ԯ_x0000_缀"/>
      <sheetName val="노원열병합  건축렀䡟ԯ_x0000_缀_x0000__x0000_"/>
      <sheetName val="노원열병합  건축︀ᇕ԰_x0000_缀_x0000__x0000_"/>
      <sheetName val="노원열병합  건축ﻕᇕ԰_x0000_缀_x0000__x0000_"/>
      <sheetName val="2.노무비명세서(난간대)"/>
      <sheetName val="2.사진대지"/>
      <sheetName val=" 견적서"/>
      <sheetName val="(2)"/>
      <sheetName val="3.사진대지"/>
      <sheetName val="22단가(철거)"/>
      <sheetName val="49단가"/>
      <sheetName val="49단가(철거)"/>
      <sheetName val="22단가"/>
      <sheetName val="적용공정"/>
      <sheetName val="금리계산"/>
      <sheetName val="맨홀"/>
      <sheetName val="49-119"/>
      <sheetName val="관로"/>
      <sheetName val="공기변수량"/>
      <sheetName val="PO-BOQ"/>
      <sheetName val="의왕내역"/>
      <sheetName val="중총괄"/>
      <sheetName val="소총괄"/>
      <sheetName val="사용내역"/>
      <sheetName val="안전세부"/>
      <sheetName val="총급여"/>
      <sheetName val="급여"/>
      <sheetName val="안전사진"/>
      <sheetName val="계좌"/>
      <sheetName val="작업일지"/>
      <sheetName val="계획"/>
      <sheetName val="계획세부"/>
      <sheetName val="사용내역서"/>
      <sheetName val="항목별내역서"/>
      <sheetName val="안전담당자"/>
      <sheetName val="유도원"/>
      <sheetName val="검사조서"/>
      <sheetName val="집계(총괄)"/>
      <sheetName val="실적보고"/>
      <sheetName val="표준안전집계"/>
      <sheetName val="표준안전내역"/>
      <sheetName val="A갑지"/>
      <sheetName val="공정"/>
      <sheetName val="보도경계블럭"/>
      <sheetName val="L형옹벽"/>
      <sheetName val="내부부하"/>
      <sheetName val="Mc1"/>
      <sheetName val="2000,9월 일위"/>
      <sheetName val="과천MAIN"/>
      <sheetName val="관급총괄"/>
      <sheetName val="2007일위 "/>
      <sheetName val="토목일위 (83~)"/>
      <sheetName val="표지판일위(105~"/>
      <sheetName val="장비일위"/>
      <sheetName val="재료1월호"/>
      <sheetName val="노무비 "/>
      <sheetName val="00000000"/>
      <sheetName val="고등학교"/>
      <sheetName val="제2장"/>
      <sheetName val="제3장"/>
      <sheetName val="견적내역"/>
      <sheetName val="주관사업"/>
      <sheetName val="진우+대광"/>
      <sheetName val="옥외"/>
      <sheetName val="가드레일산근"/>
      <sheetName val="적용2002"/>
      <sheetName val="본선토량운반계산서(1)0"/>
      <sheetName val="°ø»çºñ¿¹»ê¼­(Åä¸ñºÐ)"/>
      <sheetName val="°¢Çü¸ÇÈ¦"/>
      <sheetName val="¼ö¸ñ´Ü°¡"/>
      <sheetName val="½Ã¼³¼ö·®Ç¥"/>
      <sheetName val="½ÄÀç¼ö·®Ç¥"/>
      <sheetName val="ÀÏÀ§¸ñ·Ï"/>
      <sheetName val="ÀÚÀç´Ü°¡"/>
      <sheetName val="°¡·Îµî"/>
      <sheetName val="정화조동내역"/>
      <sheetName val="배"/>
      <sheetName val="단위별 일위대가표"/>
      <sheetName val="제4장"/>
      <sheetName val="5장공내역서"/>
      <sheetName val="제6장"/>
      <sheetName val="직불동의서"/>
      <sheetName val="전자입찰"/>
      <sheetName val="7작업장인수인계서"/>
      <sheetName val="3특기시방서"/>
      <sheetName val="일위대가목록(1)"/>
      <sheetName val="단가대비표(1)"/>
      <sheetName val="금액결정"/>
      <sheetName val="견적의뢰서"/>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배수문수량산출(3)"/>
      <sheetName val="기본단가"/>
      <sheetName val="LP-S"/>
      <sheetName val="보합"/>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철거집계"/>
      <sheetName val="12월31일"/>
      <sheetName val="EQUIPMENT -2"/>
      <sheetName val="고분전시관"/>
      <sheetName val="전기2005"/>
      <sheetName val="통신2005"/>
      <sheetName val="계산식"/>
      <sheetName val="1._x0018_변전설비"/>
      <sheetName val="Macro3"/>
      <sheetName val="대구-교대(A1-A2)"/>
      <sheetName val="3.자재비(총괄)"/>
      <sheetName val="LD일"/>
      <sheetName val="SULKEA"/>
      <sheetName val="아파트건축"/>
      <sheetName val="잔수량(작성)"/>
      <sheetName val="BOQ(전체)"/>
      <sheetName val="48평단가"/>
      <sheetName val="57단가"/>
      <sheetName val="54평단가"/>
      <sheetName val="66평단가"/>
      <sheetName val="61단가"/>
      <sheetName val="89평단가"/>
      <sheetName val="84평단가"/>
      <sheetName val="적상기초자료"/>
      <sheetName val="효동"/>
      <sheetName val="전체철근집계"/>
      <sheetName val="CIVIL"/>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재정비직인"/>
      <sheetName val="재정비내역"/>
      <sheetName val="지적고시내역"/>
      <sheetName val="시공계획"/>
      <sheetName val="현장설명서"/>
      <sheetName val="견적조건서"/>
      <sheetName val="시공일반사항"/>
      <sheetName val="현장설명서갑지"/>
      <sheetName val="하도급선정의뢰서(습식공사)"/>
      <sheetName val="36신설수량"/>
      <sheetName val="제품별"/>
      <sheetName val="사전공사"/>
      <sheetName val="소포내역 (2)"/>
      <sheetName val="성서방향-교대(A2)"/>
      <sheetName val="상행-교대(A1)"/>
      <sheetName val="매매"/>
      <sheetName val="전신"/>
      <sheetName val="기간등록"/>
      <sheetName val="신공"/>
      <sheetName val="저리조양"/>
      <sheetName val="기자재대비표"/>
      <sheetName val="경산(을)"/>
      <sheetName val="정화조방수미장"/>
      <sheetName val="접속슬라브"/>
      <sheetName val="공사별 가중치 산출근거(토목)"/>
      <sheetName val="가중치근거(조경)"/>
      <sheetName val="Inquiry"/>
      <sheetName val="제진기"/>
      <sheetName val="1.범위"/>
      <sheetName val="2.편성"/>
      <sheetName val="3개요"/>
      <sheetName val="5내역"/>
      <sheetName val="6.GAS"/>
      <sheetName val="7임급실"/>
      <sheetName val="미제출"/>
      <sheetName val="소방1"/>
      <sheetName val="소방2"/>
      <sheetName val="왜UP"/>
      <sheetName val="적현로"/>
      <sheetName val="산출(전주P7)"/>
      <sheetName val="H PILE수량"/>
      <sheetName val="철근량 검토"/>
      <sheetName val="TC표지"/>
      <sheetName val="유기공정"/>
      <sheetName val="변경서식"/>
      <sheetName val="STBOX"/>
      <sheetName val="공사진행"/>
      <sheetName val="Piping Design Data"/>
      <sheetName val="연습장소"/>
      <sheetName val="MACRO(전선관)"/>
      <sheetName val="기준액"/>
      <sheetName val="상세내역,전력산출서"/>
      <sheetName val="Ampecity Data"/>
      <sheetName val="3_바닥판설계"/>
      <sheetName val="교통량조사"/>
      <sheetName val="EQ-R1"/>
      <sheetName val="품목"/>
      <sheetName val="기성"/>
      <sheetName val="기성내역 진짜"/>
      <sheetName val="2회기성사정"/>
      <sheetName val="3회기성갑지"/>
      <sheetName val="3회총괄"/>
      <sheetName val="3회기성"/>
      <sheetName val="Á¡°ËÃÑ°ý"/>
      <sheetName val="»ó¼öµµÅä°øÁý°èÇ¥"/>
      <sheetName val="°ßÀû´ëºñ"/>
      <sheetName val="ÀÏÀ§´ë°¡Ç¥(À¯´Ü°¡)"/>
      <sheetName val="ÀÚÀç¸ñ·Ï"/>
      <sheetName val="20°ü¸®ºñÀ²"/>
      <sheetName val="담장산출"/>
      <sheetName val="일위대가(출입)"/>
      <sheetName val="현장관리비 "/>
      <sheetName val="aa"/>
      <sheetName val="시멘트"/>
      <sheetName val="과세표준율-2"/>
      <sheetName val="면적분양가"/>
      <sheetName val="분양면적(1123)"/>
      <sheetName val="출력소스"/>
      <sheetName val="평교-내역"/>
      <sheetName val="노임(1차)"/>
      <sheetName val="관리,부대비"/>
      <sheetName val="실행(표지,갑,을)"/>
      <sheetName val="basic"/>
      <sheetName val="메서,변+증"/>
      <sheetName val="공사별 가중치 산출근거(건축)"/>
      <sheetName val="FAX"/>
      <sheetName val="건축개요"/>
      <sheetName val="버스운행안내"/>
      <sheetName val="예방접종계획"/>
      <sheetName val="근태계획서"/>
      <sheetName val="MIJIBI"/>
      <sheetName val="건축직"/>
      <sheetName val="과세내역(세부)"/>
      <sheetName val="기타시설"/>
      <sheetName val="주민복지관"/>
      <sheetName val="지하주차장"/>
      <sheetName val="SCHEDULE"/>
      <sheetName val="2000_11월설계내역"/>
      <sheetName val="대,유,램"/>
      <sheetName val="목동1절주.bh01"/>
      <sheetName val="송우내역서"/>
      <sheetName val="증감분석"/>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산재 안전"/>
      <sheetName val="노무비 경비"/>
      <sheetName val="T6-6(2)"/>
      <sheetName val="Upgrades pricing"/>
      <sheetName val="주방환기"/>
      <sheetName val="경상직원"/>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수목데이타_"/>
      <sheetName val="변압기_및_발전기_용량"/>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사원등록"/>
      <sheetName val="호봉 (2)"/>
      <sheetName val="하도급변경대비표"/>
      <sheetName val="경상"/>
      <sheetName val="3.내역서"/>
      <sheetName val="통신물량"/>
      <sheetName val="매입세"/>
      <sheetName val="표층포설및다짐"/>
      <sheetName val="별표"/>
      <sheetName val="균열"/>
      <sheetName val="암거날개벽재료집계"/>
      <sheetName val="단가및재료비"/>
      <sheetName val="노᠀⁷"/>
      <sheetName val="1공구(입찰내역)"/>
      <sheetName val="유첨#2"/>
      <sheetName val="교각별수량"/>
      <sheetName val="원가산출서"/>
      <sheetName val="자동 철거"/>
      <sheetName val="자동 설치"/>
      <sheetName val="토목 철주"/>
      <sheetName val="철거 일위대가(1-19)"/>
      <sheetName val="철거 일위대가(20-22)"/>
      <sheetName val="설치 일위대가(23-45호)"/>
      <sheetName val="설치 일위대가(46~78호)"/>
      <sheetName val="CS2"/>
      <sheetName val="실행예산서"/>
      <sheetName val="급명"/>
      <sheetName val="단  가  대  비  표"/>
      <sheetName val="일  위  대  가  목  록"/>
      <sheetName val="교각별철근수량집계표"/>
      <sheetName val="const."/>
      <sheetName val="변경내역을"/>
      <sheetName val="펌프장수량산출(토)"/>
      <sheetName val="남양구조시험동"/>
      <sheetName val="본부소개"/>
      <sheetName val="통합내역"/>
      <sheetName val="대외공문"/>
      <sheetName val="DWPM"/>
      <sheetName val="자재집계"/>
      <sheetName val="투입(관수_건축)"/>
      <sheetName val="투입(APT500)"/>
      <sheetName val="투입(분당)"/>
      <sheetName val="작성지침서2)"/>
      <sheetName val="투입스케쥴양식"/>
      <sheetName val="투입(APT1200)"/>
      <sheetName val="투입(평촌)"/>
      <sheetName val="투입(APT1000)"/>
      <sheetName val="계약내역서(을지)"/>
      <sheetName val="TOT"/>
      <sheetName val="가시설흙막이"/>
      <sheetName val="전선"/>
      <sheetName val="강북라우터"/>
      <sheetName val="노무비산출"/>
      <sheetName val="보할공정"/>
      <sheetName val="220 (2)"/>
      <sheetName val="총인원"/>
      <sheetName val="직급인원"/>
      <sheetName val="차종별"/>
      <sheetName val="OPGW기별"/>
      <sheetName val="관기성공.내"/>
      <sheetName val="중동상가"/>
      <sheetName val="평균높이산출근거"/>
      <sheetName val="횡배수관위치조서"/>
      <sheetName val="기본설계도급항목"/>
      <sheetName val="8.현장관리비"/>
      <sheetName val="견적율"/>
      <sheetName val="승용"/>
      <sheetName val="Recovered_Sheet1"/>
      <sheetName val="원가상세내역"/>
      <sheetName val="2004경영(비목별)"/>
      <sheetName val="2004경영"/>
      <sheetName val="입적표"/>
      <sheetName val="단가조사-1"/>
      <sheetName val="Man Power &amp; Comp"/>
      <sheetName val="손익집계(공장별)"/>
      <sheetName val="설계명세서(선로)"/>
      <sheetName val="현장관리비데이타"/>
      <sheetName val="1)fs"/>
      <sheetName val="구조     ."/>
      <sheetName val="본부장"/>
      <sheetName val="공조기"/>
      <sheetName val="EKOG10건축"/>
      <sheetName val="내역서(전체)"/>
      <sheetName val="내역(토목)"/>
      <sheetName val="5.공종별예산내역서"/>
      <sheetName val="두앙"/>
      <sheetName val="깨기수량"/>
      <sheetName val="하중산정"/>
      <sheetName val="세부견적서(DAS Call Back)"/>
      <sheetName val="단중표-ST"/>
      <sheetName val="PIPE"/>
      <sheetName val="VALVE"/>
      <sheetName val="투찰내역"/>
      <sheetName val="COVER-P"/>
      <sheetName val="Piping(Methanol)"/>
      <sheetName val="재료집계"/>
      <sheetName val="인수공총괄"/>
      <sheetName val="덕소내역"/>
      <sheetName val="종합기별"/>
      <sheetName val="개보수공사BM"/>
      <sheetName val="장문교(대전)"/>
      <sheetName val="CLAUSE"/>
      <sheetName val="약품설︀"/>
      <sheetName val="1공구 건정토건 철콘"/>
      <sheetName val="건축내역(진해석동)"/>
      <sheetName val="KMT물량"/>
      <sheetName val="Working(wo WTs)"/>
      <sheetName val="주조정실"/>
      <sheetName val="Requirements"/>
      <sheetName val="loading"/>
      <sheetName val="단가보완"/>
      <sheetName val="단위가격"/>
      <sheetName val="P-산#1-1(WOWA1)"/>
      <sheetName val="인공(100P,배선반)"/>
      <sheetName val="전기공사"/>
      <sheetName val="납부서"/>
      <sheetName val="일위대가(여기까지)"/>
      <sheetName val="단위_xdc00_ὗ␀"/>
      <sheetName val="수성페인트도장 내역서"/>
      <sheetName val="도급내역5+800"/>
      <sheetName val="변경내역서"/>
      <sheetName val="전체도급"/>
      <sheetName val="입찰"/>
      <sheetName val="현경"/>
      <sheetName val="전화번호DATA (2001)"/>
      <sheetName val="106C0300"/>
      <sheetName val="통로box전기"/>
      <sheetName val="밧데리"/>
      <sheetName val="진접"/>
      <sheetName val="사급자재(1단계)"/>
      <sheetName val="조명투자및환수계획"/>
      <sheetName val="제조중간결과"/>
      <sheetName val="J01"/>
      <sheetName val="공내ᰖ"/>
      <sheetName val="단면"/>
      <sheetName val="탑(을지)"/>
      <sheetName val="열린교실"/>
      <sheetName val="경산锼_x0013_閄"/>
      <sheetName val="단면瑌)"/>
      <sheetName val="22단"/>
      <sheetName val="22단锼"/>
      <sheetName val="기초자료입력및 K치 확인"/>
      <sheetName val="AS_x0005__x0000_"/>
      <sheetName val="진주䈀ᅪ"/>
      <sheetName val="사업수지"/>
      <sheetName val="기계경비단가"/>
      <sheetName val="지주설치제원"/>
      <sheetName val="퍼스트"/>
      <sheetName val="역집계1"/>
      <sheetName val="삼보지질"/>
      <sheetName val="7.전산해석결과"/>
      <sheetName val="4.하중"/>
      <sheetName val="우각부검토"/>
      <sheetName val="기초입력"/>
      <sheetName val="공주-교대(A1)"/>
      <sheetName val="보호"/>
      <sheetName val="성남여성복지내역"/>
      <sheetName val="안양1공구_건축"/>
      <sheetName val="기술자료 (연수)"/>
      <sheetName val="등록업체"/>
      <sheetName val="esc"/>
      <sheetName val="영흥TL(UP,DOWN) "/>
      <sheetName val="sheets"/>
      <sheetName val="내역아"/>
      <sheetName val="울타리"/>
      <sheetName val="2002계약현황"/>
      <sheetName val="w't table"/>
      <sheetName val="UR2-Calculation"/>
      <sheetName val="노임변동률"/>
      <sheetName val="품종별-이름"/>
      <sheetName val="부서현황"/>
      <sheetName val="Option"/>
      <sheetName val="사업계획1안"/>
      <sheetName val="VENDOR LIST"/>
      <sheetName val="공통비"/>
      <sheetName val="도장 및 용접 수량"/>
      <sheetName val="경율산정"/>
      <sheetName val="위성"/>
      <sheetName val="Vari by Vendor"/>
      <sheetName val="원내역서3"/>
      <sheetName val="3도로"/>
      <sheetName val="세동별비상"/>
      <sheetName val="대비내역"/>
      <sheetName val="9."/>
      <sheetName val="견적서1"/>
      <sheetName val="가CP"/>
      <sheetName val="기초및구체공"/>
      <sheetName val="금긋기 및 절단"/>
      <sheetName val="변경품셈총괄"/>
      <sheetName val="내역."/>
      <sheetName val="기계설비"/>
      <sheetName val="설계변경내역 98"/>
      <sheetName val="공제구간조서"/>
      <sheetName val="설계일반"/>
      <sheetName val="수압집계"/>
      <sheetName val="결합부검토"/>
      <sheetName val="신규 품"/>
      <sheetName val="변수데이타"/>
      <sheetName val="15100"/>
      <sheetName val="예산M6-B"/>
      <sheetName val="동원인원산출"/>
      <sheetName val="품셈기준"/>
      <sheetName val="대,怀፵"/>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22단헾"/>
      <sheetName val="단가적용(터널)"/>
      <sheetName val="단위가격_할증"/>
      <sheetName val="전선_및_전선ࠝ"/>
      <sheetName val="연동내역서"/>
      <sheetName val="제"/>
      <sheetName val="총괄집䠄ᡏ"/>
      <sheetName val="산출2-기기동력"/>
      <sheetName val="통신단가조사"/>
      <sheetName val="105,106,107동"/>
      <sheetName val="수로교총재료齘_x0013_"/>
      <sheetName val="산출및내역"/>
      <sheetName val="적용(기尜_x0013_"/>
      <sheetName val="1-11조직표"/>
      <sheetName val="96.12"/>
      <sheetName val="22단丵"/>
      <sheetName val="광혁기성"/>
      <sheetName val="일반부표집계표"/>
      <sheetName val="매출단가"/>
      <sheetName val="M-EQPT-Z"/>
      <sheetName val="현장대리인계"/>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copy"/>
      <sheetName val="서식"/>
      <sheetName val="2000,咘೿踇⽟_x0000_"/>
      <sheetName val="2000,ﳨǬ踇⾣_x0000_"/>
      <sheetName val="실행변경(1차)"/>
      <sheetName val="2000,缈,罌,헾"/>
      <sheetName val="2000,薸!藼!헾"/>
      <sheetName val="2000,螨_x0013_蟬_x0013_헾"/>
      <sheetName val="2000,午_x0013_꾈ૂ䡲"/>
      <sheetName val="2000,午_x0013_ॢ䡲"/>
      <sheetName val="전체내저፺"/>
      <sheetName val="인건비堀"/>
      <sheetName val="전체내堀᎟"/>
      <sheetName val="전체내︀ᇕ"/>
      <sheetName val="전체내怀፵"/>
      <sheetName val="변경비鰀፰"/>
      <sheetName val="㰀"/>
      <sheetName val="전체내ᓈባ"/>
      <sheetName val="전체내죃፺"/>
      <sheetName val="주관锼_x0013_"/>
      <sheetName val="전체내쀀ፐ"/>
      <sheetName val="堀"/>
      <sheetName val="주관사堀"/>
      <sheetName val="전체내壈᎟"/>
      <sheetName val="전체내惇፵"/>
      <sheetName val="주관사저"/>
      <sheetName val="견적ꀀፐ"/>
      <sheetName val="전체내惈፵"/>
      <sheetName val="일위대가(계측ꀀፐቇ"/>
      <sheetName val="경ꀀፐ"/>
      <sheetName val="전체내죈፺"/>
      <sheetName val="교육종류"/>
      <sheetName val="견적堀᎟"/>
      <sheetName val="4렀቟԰"/>
      <sheetName val="4︀ᇕ԰"/>
      <sheetName val="자재조사표(참고용)"/>
      <sheetName val="제품"/>
      <sheetName val="3련 B姨#"/>
      <sheetName val="경로,구간현황"/>
      <sheetName val="자탐수량산출서"/>
      <sheetName val="CAPVC"/>
      <sheetName val="일반수량집계"/>
      <sheetName val="OCM"/>
      <sheetName val="AH-1 "/>
      <sheetName val="OHU"/>
      <sheetName val="형식별 개략공사비"/>
      <sheetName val="01_ 원가계산서"/>
      <sheetName val="등록׃】"/>
      <sheetName val="등록_x0010__x0000_"/>
      <sheetName val="PART_DISCOUNT"/>
      <sheetName val="등록_x0000__x0000_"/>
      <sheetName val="소상 &quot;1&quot;"/>
      <sheetName val="원가총괄"/>
      <sheetName val="매입세율"/>
      <sheetName val="회로내역(승인)"/>
      <sheetName val="»êÃ렀䡟ԯ_x0000_缀"/>
      <sheetName val="»êÃ︀ᇕ԰_x0000_缀"/>
      <sheetName val="갈현동"/>
      <sheetName val="4/_x0000_䠀"/>
      <sheetName val="4쌇栅/"/>
      <sheetName val="4က_x0000_က"/>
      <sheetName val="증栀ᙿ가"/>
      <sheetName val="수안보-헾】_x0005__x0000_"/>
      <sheetName val="일위목차"/>
      <sheetName val="견적사양비교표"/>
      <sheetName val="송전재료비"/>
      <sheetName val="FIN TUBE"/>
      <sheetName val="HED. &amp; PIPE"/>
      <sheetName val="PUMP SHT"/>
      <sheetName val="한전고리-을"/>
      <sheetName val="MW-BM"/>
      <sheetName val="평가내역"/>
      <sheetName val="-15.0"/>
      <sheetName val="사리부설"/>
      <sheetName val="임대견적서"/>
      <sheetName val="36신丵〒_x0005_"/>
      <sheetName val="물량집계"/>
      <sheetName val="현장설က_x0000_蠀ᛟ"/>
      <sheetName val="환"/>
      <sheetName val="적용기준표(98년상반기)"/>
      <sheetName val="설계명세_x0005_"/>
      <sheetName val="DATA 입᠒ᎍ"/>
      <sheetName val="설계명세揄"/>
      <sheetName val="설계명세䡲"/>
      <sheetName val="견적서(1)"/>
      <sheetName val="2234"/>
      <sheetName val="조립1부실적"/>
      <sheetName val="5월"/>
      <sheetName val="능률"/>
      <sheetName val="Despacho (c.civil)"/>
      <sheetName val="인원"/>
      <sheetName val="견적의ᰀ፜"/>
      <sheetName val="사각맨᠜"/>
      <sheetName val="공기԰_x0000_缀"/>
      <sheetName val="설계睮め_x0005_"/>
      <sheetName val="사각맨0"/>
      <sheetName val="오억미만"/>
      <sheetName val="사각맨퀀"/>
      <sheetName val="사각맨堀"/>
      <sheetName val="사각맨䈀"/>
      <sheetName val="CF"/>
      <sheetName val="거푸집물량"/>
      <sheetName val="UPDATA"/>
      <sheetName val="원가계산서(남측)"/>
      <sheetName val="제조 경영"/>
      <sheetName val="금광1터널"/>
      <sheetName val="세부狇譈"/>
      <sheetName val="사각맨ﻇ"/>
      <sheetName val="몰탈재븧܊"/>
      <sheetName val="견적의"/>
      <sheetName val="견적의烇彰"/>
      <sheetName val="하도급선정의뢰서(습식공_x0000__x0000_"/>
      <sheetName val="2터널시점"/>
      <sheetName val="짉譥"/>
      <sheetName val="ᣉᎍ"/>
      <sheetName val="금액내렀቟"/>
      <sheetName val="금액내԰_x0000_"/>
      <sheetName val="성내동"/>
      <sheetName val="인원계획"/>
      <sheetName val="시행예산"/>
      <sheetName val="자압1"/>
      <sheetName val="조경내역"/>
      <sheetName val="물墸᎟鰀"/>
      <sheetName val="화재 탐지_x0005__x0000_"/>
      <sheetName val="전신환매도徸"/>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萀⅜"/>
      <sheetName val="貭♘"/>
      <sheetName val="산#2-1 (2)"/>
      <sheetName val="자재목록표"/>
      <sheetName val="2002상반기노임기준"/>
      <sheetName val="단중聀"/>
      <sheetName val="예산조서(무선)"/>
      <sheetName val="사급자재총괄"/>
      <sheetName val="구성1"/>
      <sheetName val="구성2"/>
      <sheetName val="구성3"/>
      <sheetName val="구성4"/>
      <sheetName val="69.03%"/>
      <sheetName val="변경내역100%"/>
      <sheetName val="변경내역98%"/>
      <sheetName val="변경내역96%"/>
      <sheetName val="변경내역92%"/>
      <sheetName val="변경내역88%"/>
      <sheetName val="변경내역84.52%"/>
      <sheetName val="산출0"/>
      <sheetName val="5.공종별尜_x0013_層_x0013_闰"/>
      <sheetName val="평3"/>
      <sheetName val="2.펌프장(사급자재)"/>
      <sheetName val="A1_본체_수량산출서"/>
      <sheetName val="내역총괄"/>
      <sheetName val="내역서(삼호)"/>
      <sheetName val="지하1층"/>
      <sheetName val="공비대䠚"/>
      <sheetName val="금액내㔀቎"/>
      <sheetName val="본사인상전"/>
      <sheetName val="단가산출-기,교"/>
      <sheetName val="당사"/>
      <sheetName val="내역총괄2"/>
      <sheetName val="내역총괄3"/>
      <sheetName val="0001(arch)"/>
      <sheetName val="FO"/>
      <sheetName val="Summary Sheet"/>
      <sheetName val="일위대가내역"/>
      <sheetName val="대전-교대(A1-A2)"/>
      <sheetName val="만수배관단가"/>
      <sheetName val="FRP배관단가(만수)"/>
      <sheetName val="STD"/>
      <sheetName val="10월"/>
      <sheetName val="연면적"/>
      <sheetName val="991029UTP용 M.D.F"/>
      <sheetName val="현장점검 1"/>
      <sheetName val="상가을 "/>
      <sheetName val="3.사용전검사(1000KW이상)(본동-수정)"/>
      <sheetName val="계획예산입력자료"/>
      <sheetName val="전압"/>
      <sheetName val="가공2원도"/>
      <sheetName val="일(4)"/>
      <sheetName val="1F"/>
      <sheetName val="손익계산서"/>
      <sheetName val="대차대조표"/>
      <sheetName val="폐토수익화 "/>
      <sheetName val="수량산출1"/>
      <sheetName val="수전기기DATA"/>
      <sheetName val="(전체발주,금회3차공사)내역서"/>
      <sheetName val="정산내역서"/>
      <sheetName val="98수금사업"/>
      <sheetName val="FRT_O"/>
      <sheetName val="FAB_I"/>
      <sheetName val="RING WALL"/>
      <sheetName val="공사비PK5월"/>
      <sheetName val="간접비(1)"/>
      <sheetName val="터널(토공)"/>
      <sheetName val="리터팬내장형"/>
      <sheetName val="내역총괄표"/>
      <sheetName val="5차설계"/>
      <sheetName val="경비산출"/>
      <sheetName val="FUSE_MCB"/>
      <sheetName val="full (2)"/>
      <sheetName val="BREAKDOWN"/>
      <sheetName val="REINF."/>
      <sheetName val="IPS0823"/>
      <sheetName val="공조기(삭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산출목록표"/>
      <sheetName val="수원공"/>
      <sheetName val="DATA-UPS"/>
      <sheetName val="건설장비기초단가"/>
      <sheetName val="Macro"/>
      <sheetName val="9-1차이내역."/>
      <sheetName val="총괄표(1)"/>
      <sheetName val="공종별집계표"/>
      <sheetName val="부산4"/>
      <sheetName val="계약표지"/>
      <sheetName val="내역서-전체낙찰율"/>
      <sheetName val="개봉3동하수관"/>
      <sheetName val="장비부하"/>
      <sheetName val="내역5"/>
      <sheetName val="역간(덕_동)"/>
      <sheetName val="역간(의-덕)"/>
      <sheetName val="단가대비표(SYS)"/>
      <sheetName val="제조노임"/>
      <sheetName val="변품8-37"/>
      <sheetName val="현장일보"/>
      <sheetName val="보집계표"/>
      <sheetName val="ISBL-CIV"/>
      <sheetName val="단가대비"/>
      <sheetName val="전류"/>
      <sheetName val="일위단가"/>
      <sheetName val="일위(설)"/>
      <sheetName val="전기공사일위대가"/>
      <sheetName val="일위대가표_(2)"/>
      <sheetName val="General_Data"/>
      <sheetName val="5호광장_(만점)"/>
      <sheetName val="인천국제_(만점)_(2)"/>
      <sheetName val="설_계"/>
      <sheetName val="원가계산서_(총괄)"/>
      <sheetName val="원가계산서_(건축)"/>
      <sheetName val="제원_설계조건"/>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º¹±¸·®»êÁ¤_¹×_Àü¿ëÈ¸¼±_»ç¿ë"/>
      <sheetName val="4¿ù_½ÇÀûÃßÁ¤(°ÇÃà+Åä¸ñ)"/>
      <sheetName val="4¿ù_½ÇÀûÃßÁ¤(°ÇÃà)"/>
      <sheetName val="2000_11¿ù¼³°è³»¿ª"/>
      <sheetName val="Àü¼±_¹×_Àü¼±°ü"/>
      <sheetName val="ÁØ°Ë_³»¿ª¼­"/>
      <sheetName val="¼ö¸ñµ¥ÀÌÅ¸_"/>
      <sheetName val="º¯¾Ð±â_¹×_¹ßÀü±â_¿ë·®"/>
      <sheetName val="1_¼öÀÎÅÍ³Î"/>
      <sheetName val="외주대비_-석축"/>
      <sheetName val="외주대비-구조물_(2)"/>
      <sheetName val="견적표지_(3)"/>
      <sheetName val="일위대가_집계표"/>
      <sheetName val="공사비_내역_(가)"/>
      <sheetName val="임시급식_(2)"/>
      <sheetName val="unit_4"/>
      <sheetName val="Summary_Sheets"/>
      <sheetName val="맨홀물량"/>
      <sheetName val="열차제어동"/>
      <sheetName val="전기성능동"/>
      <sheetName val="차량시스템인자"/>
      <sheetName val="차량부품동"/>
      <sheetName val="신.분"/>
      <sheetName val="96노임기준"/>
      <sheetName val="시중노임(공사)"/>
      <sheetName val="기성공제요청서"/>
      <sheetName val="하도기성내역 수정"/>
      <sheetName val="기성공제 동의서"/>
      <sheetName val="기성공제 합의서(쓰레기처리비)"/>
      <sheetName val="정보"/>
      <sheetName val="현대물량"/>
      <sheetName val="한화 둔산 내역서"/>
      <sheetName val="적격점수&lt;300억미만&gt;"/>
      <sheetName val="간이영수증"/>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데이터북"/>
      <sheetName val="조명참고자료"/>
      <sheetName val="Cable schedule"/>
      <sheetName val="V-data"/>
      <sheetName val="L-data"/>
      <sheetName val="P-data"/>
      <sheetName val="pbs_lambda"/>
      <sheetName val="Matériel embarqué PVC"/>
      <sheetName val="기지국"/>
      <sheetName val="4월"/>
      <sheetName val="8월"/>
      <sheetName val="12월"/>
      <sheetName val="2월"/>
      <sheetName val="7월"/>
      <sheetName val="6월"/>
      <sheetName val="3월"/>
      <sheetName val="11월"/>
      <sheetName val="9월"/>
      <sheetName val="교실"/>
      <sheetName val="꣈፺"/>
      <sheetName val="¼ö·®»êÃÈ"/>
      <sheetName val="저፺"/>
      <sheetName val="¼ö·®»êÃX"/>
      <sheetName val="壈᎟"/>
      <sheetName val="쀀ፐ"/>
      <sheetName val="죈፺"/>
      <sheetName val="惈፵"/>
      <sheetName val="48신설수량"/>
      <sheetName val="품셈(기초)"/>
      <sheetName val="대가단최종"/>
      <sheetName val="부丵〒"/>
      <sheetName val="부司2"/>
      <sheetName val="성원계약"/>
      <sheetName val="2000.11¿ù¼³餀㢘ԯ_x0000_缀_x0000_"/>
      <sheetName val="총괄집렇♑"/>
      <sheetName val="아산경희980422"/>
      <sheetName val="총괄집桶青"/>
      <sheetName val="01상노임"/>
      <sheetName val="Instruction"/>
      <sheetName val="22단가(철完9"/>
      <sheetName val="T1"/>
      <sheetName val="총체보활공정표"/>
      <sheetName val="1차배부(JB포함)"/>
      <sheetName val="원내역서 그대로"/>
      <sheetName val="설계내역일위"/>
      <sheetName val="969910( R)"/>
      <sheetName val="전장품(관리용)"/>
      <sheetName val="박스토공"/>
      <sheetName val="남대문빌딩"/>
      <sheetName val="PUMP"/>
      <sheetName val="각종장비전압강하계산"/>
      <sheetName val="거래명세서"/>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재경"/>
      <sheetName val="5.일위대가"/>
      <sheetName val="6.철거발생품예정조서"/>
      <sheetName val="7.지급자재조서"/>
      <sheetName val="8.가격조사서"/>
      <sheetName val="준설량산정표"/>
      <sheetName val="01하반기노임"/>
      <sheetName val="울진항공등화 내역서"/>
      <sheetName val="단가견적조사표"/>
      <sheetName val="공무공A"/>
      <sheetName val="36신설수翇"/>
      <sheetName val="36신설수︀"/>
      <sheetName val="견적꓀᥻"/>
      <sheetName val="수안보-_x0005__x0000__x0000_"/>
      <sheetName val="36신설수Ç"/>
      <sheetName val="36신설수資"/>
      <sheetName val="수안보-徸〒_x0005__x0000_"/>
      <sheetName val="비목군분류일위"/>
      <sheetName val="입출재고현⩿〚_x0005__x0000_"/>
      <sheetName val="º¯°æ»çÀ_x0000_"/>
      <sheetName val="백호헾】_x0005_"/>
      <sheetName val="수안보-娐&gt;闰⿑"/>
      <sheetName val="수안보-ꮸ⿥_x0005__x0000_"/>
      <sheetName val="백호丵〒_x0005_"/>
      <sheetName val="공작물조직표(용배수)"/>
      <sheetName val="투찰가"/>
      <sheetName val="구조대가"/>
      <sheetName val="포설대가1"/>
      <sheetName val="부대대가"/>
      <sheetName val="철근총괄집계표"/>
      <sheetName val="홈통받이수량"/>
      <sheetName val="공사수행방안"/>
      <sheetName val="Data2"/>
      <sheetName val="참조 DATA"/>
      <sheetName val="program"/>
      <sheetName val="studbolt no."/>
      <sheetName val="studbolt size"/>
      <sheetName val="item sort no"/>
      <sheetName val="파이프"/>
      <sheetName val="8__안정검토"/>
      <sheetName val="철근량_검토"/>
      <sheetName val="기술자료_(연수)"/>
      <sheetName val="실행비교"/>
      <sheetName val="지입재료비"/>
      <sheetName val="산출명세서"/>
      <sheetName val="조정내역"/>
      <sheetName val="조정_x0014__x0008_"/>
      <sheetName val="_x0000__x0008__x0000__x0008__x0000__x0006__x0000__x0004_"/>
      <sheetName val="상가지급현황"/>
      <sheetName val="13LPMCC"/>
      <sheetName val="마장"/>
      <sheetName val="3_바닥판설계1"/>
      <sheetName val="Piping_Design_Data"/>
      <sheetName val="H_PILE수량"/>
      <sheetName val="Ampecity_Data"/>
      <sheetName val="BASIC_(2)"/>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산재_안전"/>
      <sheetName val="노무비_경비"/>
      <sheetName val="소상_&quot;1&quot;"/>
      <sheetName val="개요입력"/>
      <sheetName val="수량기준"/>
      <sheetName val="단가기준"/>
      <sheetName val="결재판"/>
      <sheetName val="변경총괄지(1)"/>
      <sheetName val="기계경비(旉る_x0000__x0000_"/>
      <sheetName val="기계경비(贘_x0013_짘ࣅ"/>
      <sheetName val="MANUFACTORY"/>
      <sheetName val="일위대가서식"/>
      <sheetName val="일위대가양식"/>
      <sheetName val="O＆P"/>
      <sheetName val="결재판(삭제하지말아주세요)"/>
      <sheetName val="케이블"/>
      <sheetName val="유첨䈀ᅪ"/>
      <sheetName val="토공,기초"/>
      <sheetName val="자재 단가표"/>
      <sheetName val="주간계획"/>
      <sheetName val="선택"/>
      <sheetName val="총괄원가 "/>
      <sheetName val="TG9504"/>
      <sheetName val="1995년 섹터별 매출"/>
      <sheetName val="master(total)"/>
      <sheetName val="99년신청"/>
      <sheetName val="아수배전(1회)"/>
      <sheetName val="인건비_조사"/>
      <sheetName val="일위1"/>
      <sheetName val="층"/>
      <sheetName val="배수내역(총수량)"/>
      <sheetName val="3련 B_x0005__x0000_"/>
      <sheetName val="기성수금(단단위)"/>
      <sheetName val="원가매출(단단위)"/>
      <sheetName val="설치 일위대가(4԰_x0000_缀_x0000__x0000__x0000_"/>
      <sheetName val="프로젝트"/>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Condition"/>
      <sheetName val="choose"/>
      <sheetName val="별표(48~75)"/>
      <sheetName val="제3장 기술업무"/>
      <sheetName val="일반전기C"/>
      <sheetName val="POOM_MOTO"/>
      <sheetName val="기초코徸"/>
      <sheetName val="예산조서(︀ᇕ԰"/>
      <sheetName val="205동"/>
      <sheetName val="과세면세표"/>
      <sheetName val="세부내역(직접인건비)"/>
      <sheetName val="현장지䀀ኀ㠀ኃ"/>
      <sheetName val="집계(세부총괄)"/>
      <sheetName val="물가변동잔여물량세부내역서"/>
      <sheetName val="신규(방류시설)"/>
      <sheetName val="덤프트럭계수"/>
      <sheetName val="미지급내역"/>
      <sheetName val="첨부1"/>
      <sheetName val="재료표"/>
      <sheetName val="금액결揄"/>
      <sheetName val="공사비 내역"/>
      <sheetName val="매입내역 "/>
      <sheetName val="거래처별지출내역"/>
      <sheetName val="㩷"/>
      <sheetName val="렀ⵘ"/>
      <sheetName val="֭_x0000_"/>
      <sheetName val="Param"/>
      <sheetName val="입찰보Ⳡ"/>
      <sheetName val="총(철거)"/>
      <sheetName val="RangeObject"/>
      <sheetName val="등록자료"/>
      <sheetName val="방음벽기초(H_xd8d4_ㆂᰀㆃ"/>
      <sheetName val="입찰준비계획안(부대)"/>
      <sheetName val="입찰준비계획안(외주)"/>
      <sheetName val="입찰준비계획안(기타견적)"/>
      <sheetName val="장항선4공구직접비집계"/>
      <sheetName val="노무비(첨부4-4)"/>
      <sheetName val="왕십리방향"/>
      <sheetName val="︀ᇕ"/>
      <sheetName val="怀፵"/>
      <sheetName val="주사무실︀ᇕ"/>
      <sheetName val="주사무실ꠀ፺"/>
      <sheetName val="BOX ꠀ፺"/>
      <sheetName val="㗈቎"/>
      <sheetName val="¼ö·®»êÃ¨"/>
      <sheetName val="주관사_x0000_"/>
      <sheetName val="주관사提"/>
      <sheetName val="주관사㌈"/>
      <sheetName val="주관사㧨"/>
      <sheetName val="전부인쇄"/>
      <sheetName val="1.외주공사"/>
      <sheetName val="2.직영공사"/>
      <sheetName val="첨부"/>
      <sheetName val="계산DATA입력"/>
      <sheetName val="계좌번호"/>
      <sheetName val="청하배수"/>
      <sheetName val="원가집계"/>
      <sheetName val="파이프류"/>
      <sheetName val="점검내역서(data) (2)"/>
      <sheetName val="2.주요계수총괄"/>
      <sheetName val="입찰사유서 제4공종 (흙깎기)"/>
      <sheetName val="D16"/>
      <sheetName val="D25"/>
      <sheetName val="D22"/>
      <sheetName val="단위세대물량"/>
      <sheetName val="변경품셈"/>
      <sheetName val="OCT.FDN"/>
      <sheetName val="HANDHOLE(2)"/>
      <sheetName val="N頀ᚃ"/>
      <sheetName val="N"/>
      <sheetName val="AHU집계"/>
      <sheetName val="삼성전기"/>
      <sheetName val="B부대공"/>
      <sheetName val="분양가격표"/>
      <sheetName val="일목"/>
      <sheetName val="기준표"/>
      <sheetName val="º¯°æ»çÀþ"/>
      <sheetName val="제수변︀ᇕ"/>
      <sheetName val="결과조Ⴚ"/>
      <sheetName val="결과조º"/>
      <sheetName val="º¯°æ»çÀ¸"/>
      <sheetName val="º¯°æ»çÀ5"/>
      <sheetName val="º¯°æ»çÀ "/>
      <sheetName val="제수변﹔ᇕ"/>
      <sheetName val="º¯°æ»çÀB"/>
      <sheetName val="단가일䊱"/>
      <sheetName val="전체내ﰀ⁗"/>
      <sheetName val="제수변䊱ᅪ"/>
      <sheetName val="A(Rev.3)"/>
      <sheetName val="부총"/>
      <sheetName val="원가계墬ᥓ"/>
      <sheetName val="원가계Ⴌ_x0000_"/>
      <sheetName val="관로토공집계표"/>
      <sheetName val="토 적 표"/>
      <sheetName val="3회기성헾】"/>
      <sheetName val="변경비교헾】"/>
      <sheetName val="몰탈㔀቎԰_x0000_"/>
      <sheetName val="몰탈䠊ፓ倀놡"/>
      <sheetName val="몰탈䠋ፓ頀뫻"/>
      <sheetName val="몰탈䠠ፓ瀀멗"/>
      <sheetName val="몰탈䠊ፓ "/>
      <sheetName val="몰탈䠉ፓ退"/>
      <sheetName val="몰탈䠉ፓ退ꠍ"/>
      <sheetName val="몰탈䠑ፓ뀀짅"/>
      <sheetName val="TOEC"/>
      <sheetName val="몰탈䠊ፓ㠀擞"/>
      <sheetName val="bdata-출력안함"/>
      <sheetName val="공리공제"/>
      <sheetName val="자재ᰀ፜搀"/>
      <sheetName val="부대공집계표"/>
      <sheetName val="노무비(DB)_이후 출력XXXXXX"/>
      <sheetName val="3회기성䃸〒"/>
      <sheetName val="3회기성_x0005__x0000_"/>
      <sheetName val="3회기성吸("/>
      <sheetName val="3회기성ⱂ⿌"/>
      <sheetName val="3회기성埀0"/>
      <sheetName val="철거산출헾】"/>
      <sheetName val="철거산출午_x0013_"/>
      <sheetName val="평균터파기고(1-2,ASP)"/>
      <sheetName val="남양주부대"/>
      <sheetName val="단위목헾"/>
      <sheetName val="지입집계"/>
      <sheetName val="11+040(통로)"/>
      <sheetName val="일별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지불내역1"/>
      <sheetName val="집수정(1)"/>
      <sheetName val="공사비명세서"/>
      <sheetName val="사용성검토"/>
      <sheetName val="PAC"/>
      <sheetName val="행거,슈,볼트,펌프,잡재"/>
      <sheetName val="을-ATYPE"/>
      <sheetName val="동력부하계산"/>
      <sheetName val="단가표 (2)"/>
      <sheetName val="소각장스케줄"/>
      <sheetName val="단__가__대__비__표"/>
      <sheetName val="일__위__대__가__목__록"/>
      <sheetName val="페인트"/>
      <sheetName val="30신설일위대가"/>
      <sheetName val="30집계표"/>
      <sheetName val="00노임기준"/>
      <sheetName val="소일위대가코드표"/>
      <sheetName val="일위대가(가설԰"/>
      <sheetName val="TYPE집계표"/>
      <sheetName val="포쐀䑣"/>
      <sheetName val="포䠟⥏"/>
      <sheetName val="포䠠⥏"/>
      <sheetName val="포䈀㙪"/>
      <sheetName val="栍ᾆ"/>
      <sheetName val="시초1교"/>
      <sheetName val="대구-교대(A1)"/>
      <sheetName val="ꀀ"/>
      <sheetName val="공정량산출내역서 "/>
      <sheetName val="제철"/>
      <sheetName val="조정금액결과표 (차수별)"/>
      <sheetName val="토공실행"/>
      <sheetName val="구간산출"/>
      <sheetName val="Ext. Stone-P"/>
      <sheetName val="단위_x0000__x0000_尀"/>
      <sheetName val="단위ࠀᎄ䰀"/>
      <sheetName val="단위倀❹缀"/>
      <sheetName val="단위耀ὡ"/>
      <sheetName val="호표"/>
      <sheetName val="B767"/>
      <sheetName val="0.갑지"/>
      <sheetName val="건축공사 집계표"/>
      <sheetName val="토공대가"/>
      <sheetName val="B.O.M"/>
      <sheetName val="설변물량"/>
      <sheetName val="예비품"/>
      <sheetName val="제丵"/>
      <sheetName val="PW3"/>
      <sheetName val="PW4"/>
      <sheetName val="SC1"/>
      <sheetName val="PE"/>
      <sheetName val="PM"/>
      <sheetName val="TR"/>
      <sheetName val="금호산업"/>
      <sheetName val="총괄갑 "/>
      <sheetName val="5.동별횡주관경"/>
      <sheetName val="154TW"/>
      <sheetName val="수주실적0709"/>
      <sheetName val="제4절-1"/>
      <sheetName val="PANEL"/>
      <sheetName val="일위(시설)"/>
      <sheetName val="공통대가"/>
      <sheetName val="특기사항"/>
      <sheetName val="하도내역 (철콘)"/>
      <sheetName val="대가 (보완)"/>
      <sheetName val="토목원가계窨_x0013_"/>
      <sheetName val="신공항A-9헾】_x0005__x0000__x0000_"/>
      <sheetName val="기존구조물철거집계계표"/>
      <sheetName val="내역서(교량)전체"/>
      <sheetName val="장비경비"/>
      <sheetName val="건공실"/>
      <sheetName val="총괄집㸁䧾"/>
      <sheetName val="허용전류-IEC DATA"/>
      <sheetName val="배관내역"/>
      <sheetName val="POWER"/>
      <sheetName val="교대일반수량"/>
      <sheetName val="WO"/>
      <sheetName val="비용"/>
      <sheetName val="적용환율"/>
      <sheetName val="DS-최종"/>
      <sheetName val="PREFACE"/>
      <sheetName val="DATA-1"/>
      <sheetName val="간접총괄"/>
      <sheetName val="960318-1"/>
      <sheetName val="2006기계䈌ᅪ԰_x0000_缀"/>
      <sheetName val="기타공"/>
      <sheetName val="재원표"/>
      <sheetName val="FCU (2)"/>
      <sheetName val="장비분석"/>
      <sheetName val="석재장조사"/>
      <sheetName val="기성청구현황"/>
      <sheetName val="JUCK֕_x0000_缀"/>
      <sheetName val="전체실적"/>
      <sheetName val="도급FORM"/>
      <sheetName val="귀래방향"/>
      <sheetName val="운반비산정"/>
      <sheetName val="을 2"/>
      <sheetName val="을 1"/>
      <sheetName val="재1"/>
      <sheetName val="장비가동"/>
      <sheetName val="IN"/>
      <sheetName val="CT "/>
      <sheetName val="정거장"/>
      <sheetName val="길내기"/>
      <sheetName val="강관산출"/>
      <sheetName val="master(2차)"/>
      <sheetName val="내역통합"/>
      <sheetName val="성토도수로현황"/>
      <sheetName val="구조물"/>
      <sheetName val="당사실시1"/>
      <sheetName val="하도급선정의뢰_x0000__x0000_螨_x0000__x0000__x0000_ۈ"/>
      <sheetName val="48전력선로일挔"/>
      <sheetName val="콘센트신설"/>
      <sheetName val="FWBS7000,8000"/>
      <sheetName val="ANALYSER"/>
      <sheetName val="ring wall thickness"/>
      <sheetName val="Change rate"/>
      <sheetName val="B3.PERSONEL-Ucret"/>
      <sheetName val="공정표(전체)"/>
      <sheetName val="무전표"/>
      <sheetName val="NOTE ALL"/>
      <sheetName val="내역서(당초변경)"/>
      <sheetName val="2.조명기구철거(일괄철거분)"/>
      <sheetName val="대운반(철재)"/>
      <sheetName val="설계수량"/>
      <sheetName val="3.2.1 마루높이결정"/>
      <sheetName val="제품橂"/>
      <sheetName val="피스표"/>
      <sheetName val="산업개발안내서"/>
      <sheetName val="작성양식"/>
      <sheetName val="품-(주)코①"/>
      <sheetName val="자재단가리스트"/>
      <sheetName val="공사내역(총괄)"/>
      <sheetName val="대보~세기"/>
      <sheetName val="8.수량산출 (2)"/>
      <sheetName val="일위대가표 (⠋ᡏ"/>
      <sheetName val="일위대가표 (䀀⅒"/>
      <sheetName val="ÀÏÀ§´ë°¡Ç¥(1@"/>
      <sheetName val="일위대가표 (ԯ_x0000_"/>
      <sheetName val="관헾"/>
      <sheetName val="원가(1︀"/>
      <sheetName val="원가(1䠀"/>
      <sheetName val="관聈"/>
      <sheetName val="관_x0005_"/>
      <sheetName val="제수午_x0013_ὐ"/>
      <sheetName val="수안보-墰5壼5"/>
      <sheetName val="5.3 단면가정"/>
      <sheetName val="시추주상도"/>
      <sheetName val="일위집계(기존)"/>
      <sheetName val="북제주-표지"/>
      <sheetName val="COVERSHEET"/>
      <sheetName val="[YES.XLS][YES.XLS]4/_x0000_䠀"/>
      <sheetName val="[YES.XLS][YES.XLS]4쌇栅/"/>
      <sheetName val="05년"/>
      <sheetName val="내역서(총괄)"/>
      <sheetName val="철콘집계"/>
      <sheetName val="5회기성03월"/>
      <sheetName val="공통가설_8"/>
      <sheetName val="아파트_9"/>
      <sheetName val="직접공사비집계표_7"/>
      <sheetName val="GTG TR PIT"/>
      <sheetName val="BLR-S"/>
      <sheetName val="일위대가표(무)"/>
      <sheetName val="일위대가산출기초"/>
      <sheetName val="장비명"/>
      <sheetName val="cable-data"/>
      <sheetName val="1._x005f_x0018_변전설비"/>
      <sheetName val="입렀"/>
      <sheetName val="입栀"/>
      <sheetName val="입ꠀ"/>
      <sheetName val="평균환율-USD"/>
      <sheetName val="인원동원계획"/>
      <sheetName val="입︀"/>
      <sheetName val=" 소방공사 산출근거"/>
      <sheetName val="YES.XLS"/>
      <sheetName val="물량증감"/>
      <sheetName val="적격"/>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역삼"/>
      <sheetName val="배수관연장산출서"/>
      <sheetName val="기초ա_x0000_"/>
      <sheetName val="물량尜"/>
      <sheetName val="토공,철콘"/>
      <sheetName val="변경비丵〒_x0005_"/>
      <sheetName val="물량丵"/>
      <sheetName val="AILC005"/>
      <sheetName val="AILC00_x0000_"/>
      <sheetName val="AILC00_x0010_"/>
      <sheetName val="우,오수"/>
      <sheetName val="팔당터널(1공구)"/>
      <sheetName val="흙쌓기도수로설치현황(1)"/>
      <sheetName val="식재-외주 (2)"/>
      <sheetName val="자(3.0m)"/>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자재노임단가"/>
      <sheetName val="크레인5ton"/>
      <sheetName val="단가산출-2"/>
      <sheetName val="기초수량-1"/>
      <sheetName val="단가산출-1"/>
      <sheetName val="작용하중산정"/>
      <sheetName val="倀ᑙ"/>
      <sheetName val="1x"/>
      <sheetName val="栈᲋"/>
      <sheetName val="_xd810_᱓"/>
      <sheetName val="자재단가_x0005_"/>
      <sheetName val="물塠"/>
      <sheetName val="물徸"/>
      <sheetName val="guard(mac¸"/>
      <sheetName val="물嬼"/>
      <sheetName val="물闰"/>
      <sheetName val="guard(macð"/>
      <sheetName val="물呈"/>
      <sheetName val="guard(macH"/>
      <sheetName val="[YES.XLS][YES.XLS]신표司/"/>
      <sheetName val="변경비_x0000__x0000_Ѡ"/>
      <sheetName val="°ø»ç¿ø°¡°è牨-犬-"/>
      <sheetName val="전체내역갑지"/>
      <sheetName val="실행내역서 (조경)"/>
      <sheetName val="형틀공사"/>
      <sheetName val="주소록"/>
      <sheetName val="전체내ꀀፐ"/>
      <sheetName val="교대(A1挔"/>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
      <sheetName val="[YES.XLS][YES.XLS][YES.XLS]신표司/"/>
      <sheetName val="[YES.XLS]신표司/"/>
      <sheetName val="총괄분 설계서용지"/>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Macro(부하)"/>
      <sheetName val="밀양노선별공사비명세서"/>
      <sheetName val="일위산출근거"/>
      <sheetName val="적격심사표"/>
      <sheetName val="실내건축일위대가"/>
      <sheetName val="5.전사투자계획종함안"/>
      <sheetName val="기성신청"/>
      <sheetName val="방음벽 기초 일반헾】"/>
      <sheetName val="단가비교표 (계측제어)"/>
      <sheetName val="카렌스센터계량기설치공사"/>
      <sheetName val="지입자재"/>
      <sheetName val="배전반용량계산"/>
      <sheetName val="세정탑 설계"/>
      <sheetName val="기계설비-물가변동"/>
      <sheetName val="[YES.XLS][YES.XLS][YES.XLS]4/_x0000_䠀"/>
      <sheetName val="[YES.XLS][YES.XLS][YES.XLS]4쌇栅/"/>
      <sheetName val="교사기준면적(초등)"/>
      <sheetName val="새공통"/>
      <sheetName val="3절_CheckList_구분"/>
      <sheetName val="적정성평가표(8번)(1순위)"/>
      <sheetName val="적정성평가표(12번)(6순위)"/>
      <sheetName val="가옥조"/>
      <sheetName val="기계경비산출"/>
      <sheetName val="1_x0005_"/>
      <sheetName val="도면자료제출일정"/>
      <sheetName val="시공계_x0005_"/>
      <sheetName val="변경비_x0005__x0000_"/>
      <sheetName val="교대시점"/>
      <sheetName val="8. 안_x0000__x0000__x0005_"/>
      <sheetName val="경비공통"/>
      <sheetName val="동원인원계획표"/>
      <sheetName val="총괄집ᨈꥬ"/>
      <sheetName val="총괄집_x0000__x0000_"/>
      <sheetName val="VS P-Q"/>
      <sheetName val="KSHAHU-6"/>
      <sheetName val="LANGUAGE"/>
      <sheetName val="전기내역서(총계)"/>
      <sheetName val="1-최종안"/>
      <sheetName val="사업분석-분양가결정"/>
      <sheetName val="할丵〒"/>
      <sheetName val="부하집계"/>
      <sheetName val="영구峤"/>
      <sheetName val="단가_x0005__x0000_"/>
      <sheetName val="영구_x0005_"/>
      <sheetName val="영구射"/>
      <sheetName val="영구嶄"/>
      <sheetName val="설계(안)"/>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견적 (2)"/>
      <sheetName val="수곡내역"/>
      <sheetName val="전체내역 (2)"/>
      <sheetName val="Formulas &amp; Tables"/>
      <sheetName val="±âÀÚÀç´ëºñÇ¥"/>
      <sheetName val="¿¬°áÀÓ½Ã"/>
      <sheetName val="°ü±Þ"/>
      <sheetName val="일위대가 (PM)"/>
      <sheetName val="임시전기공사설계서"/>
      <sheetName val="토적계산"/>
      <sheetName val="96 능제취입"/>
      <sheetName val="M+1"/>
      <sheetName val="광,철광석 사용량(2000)"/>
      <sheetName val="포,철광석 사용량(2000)"/>
      <sheetName val="91,92황산"/>
      <sheetName val="도급단가-아파트"/>
      <sheetName val="변경후원본2"/>
      <sheetName val="LABTOTAL"/>
      <sheetName val="경성자금"/>
      <sheetName val="SUB일위대가"/>
      <sheetName val="평자재단가"/>
      <sheetName val="95년12월말"/>
      <sheetName val="DRAIN DRUM PIT D-301"/>
      <sheetName val="목록1"/>
      <sheetName val="목록2"/>
      <sheetName val="요약"/>
      <sheetName val="전체총괄"/>
      <sheetName val="세목별"/>
      <sheetName val="소개"/>
      <sheetName val="#REF!"/>
      <sheetName val="계열사현황종합"/>
      <sheetName val="basic_info"/>
      <sheetName val="총공사비"/>
      <sheetName val="INS-SHEET"/>
      <sheetName val="shtOpr"/>
      <sheetName val="증감䈀ᅪ"/>
      <sheetName val="원가계산(2)"/>
      <sheetName val="/_x0000_"/>
      <sheetName val="က_x0000_"/>
      <sheetName val="포장쌅"/>
      <sheetName val="예산내역"/>
      <sheetName val="총괄수지표"/>
      <sheetName val="9GN邷㭘"/>
      <sheetName val="¹׃】_x0000_"/>
      <sheetName val="전등부하"/>
      <sheetName val="_x0005__x0006__x0008__x0003_"/>
      <sheetName val="_x0000_ _x0000__x0006__x0000__x0006_"/>
      <sheetName val="날개벽(좌,우=60도-4개)"/>
      <sheetName val="건0_x0000_蠀"/>
      <sheetName val="금0_x0000_䠀"/>
      <sheetName val="금蠣㡎耀"/>
      <sheetName val="재료집계표3"/>
      <sheetName val="범용개발순소요비용"/>
      <sheetName val="산#3-1"/>
      <sheetName val="산#3-2"/>
      <sheetName val="배관BM(일반)"/>
      <sheetName val="산#3-2-2"/>
      <sheetName val="수출가격"/>
      <sheetName val="IBL-C"/>
      <sheetName val="Architecture Work"/>
      <sheetName val="6.2.1 지하차도 조도계산"/>
      <sheetName val="8공구 강재 수량"/>
      <sheetName val="EVALUATE물량산출서"/>
      <sheetName val="스라브"/>
      <sheetName val="Stem Footing"/>
      <sheetName val="변경_x0005__x0006__x0004__x0004_"/>
      <sheetName val="_x0000__x0002__x0000__x0007__x0000__x0004__x0000__x0007__x0000_"/>
      <sheetName val="(14)전기품셈정산"/>
      <sheetName val="(12)전기경비"/>
      <sheetName val="8. _x0005__x0000__x0000_"/>
      <sheetName val="바이오"/>
      <sheetName val="잡철물"/>
      <sheetName val="도급내역서"/>
      <sheetName val="지급자재대"/>
      <sheetName val="5."/>
      <sheetName val="12."/>
      <sheetName val="14."/>
      <sheetName val="7."/>
      <sheetName val="8."/>
      <sheetName val="10."/>
      <sheetName val="PI蒨9"/>
      <sheetName val="겉장"/>
      <sheetName val="율림"/>
      <sheetName val="화진"/>
      <sheetName val="가설(내부수평비계)"/>
      <sheetName val="건축물현장정리"/>
      <sheetName val="공통가설공사(공통)"/>
      <sheetName val="골재대"/>
      <sheetName val="폐기물 (2)"/>
      <sheetName val="경로당내역건축"/>
      <sheetName val="노임단가(08.01)"/>
      <sheetName val="몰탈단가"/>
      <sheetName val="기능공인적사항"/>
      <sheetName val="5.단가대비표"/>
      <sheetName val="노임,자재"/>
      <sheetName val="기계경비(맨홀)"/>
      <sheetName val="4.일위대가목차"/>
      <sheetName val="가도䠀"/>
      <sheetName val="가도ԯ"/>
      <sheetName val="가도저"/>
      <sheetName val="절감계산"/>
      <sheetName val="ML"/>
      <sheetName val="기초"/>
      <sheetName val="가시설"/>
      <sheetName val="´_x0005__x0000_"/>
      <sheetName val="103동"/>
      <sheetName val="D.B"/>
      <sheetName val="기계경비(시"/>
      <sheetName val="ÀÏÀ§´ë헾】_x0005__x0000__x0000__x0000_"/>
      <sheetName val="고창터널(고창방향䈀"/>
      <sheetName val="영구청af헾"/>
      <sheetName val="영구청af薸"/>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단위"/>
      <sheetName val="총괄집계 "/>
      <sheetName val="기က_x0000_退"/>
      <sheetName val="_x0001__x0000_"/>
      <sheetName val="1-"/>
      <sheetName val="1"/>
      <sheetName val="1_x0008_"/>
      <sheetName val="1þ"/>
      <sheetName val="1¨"/>
      <sheetName val="1g"/>
      <sheetName val="㠈⎗"/>
      <sheetName val="⢔"/>
      <sheetName val="᠇Ẓ"/>
      <sheetName val="1ì"/>
      <sheetName val="1º"/>
      <sheetName val="謂ⷄ"/>
      <sheetName val="ꠀ⢄"/>
      <sheetName val="⠊⢌"/>
      <sheetName val="ꠀ฀"/>
      <sheetName val="了"/>
      <sheetName val="1"/>
      <sheetName val="1_x0018_"/>
      <sheetName val="1ð"/>
      <sheetName val="栉ᶆ"/>
      <sheetName val=" ᧡"/>
      <sheetName val="1P"/>
      <sheetName val="1("/>
      <sheetName val="1@"/>
      <sheetName val="1 "/>
      <sheetName val="⠖㔺"/>
      <sheetName val="砖㖌"/>
      <sheetName val="1è"/>
      <sheetName val="1_x001e_"/>
      <sheetName val="1`"/>
      <sheetName val="1"/>
      <sheetName val="1°"/>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목창호"/>
      <sheetName val="전체내԰_x0000_"/>
      <sheetName val="원안"/>
      <sheetName val="암거치수표"/>
      <sheetName val="재료집계표빽업"/>
      <sheetName val="암거수리계산서"/>
      <sheetName val="◀암거위치"/>
      <sheetName val="최종단면▶"/>
      <sheetName val="◀평균높이▶"/>
      <sheetName val="전체내저ᚙ"/>
      <sheetName val="전체내ꠀ᪘"/>
      <sheetName val="주관⩿〚"/>
      <sheetName val="1¸"/>
      <sheetName val="b_balju_ch"/>
      <sheetName val="b_balju_chÈ"/>
      <sheetName val="b_balju_ch_x0005_"/>
      <sheetName val="b_balju_chÛ"/>
      <sheetName val="b_balju_ch("/>
      <sheetName val="N賃率_職"/>
      <sheetName val="기본DATԯ"/>
      <sheetName val="기본DAT頀"/>
      <sheetName val="REDUCER"/>
      <sheetName val="WE'T"/>
      <sheetName val="실︀ԯ"/>
      <sheetName val="하수급견적대䧨"/>
      <sheetName val="SHUTDOWN VALVE"/>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Summar헾】_x0005__x0000__x0000__x0000__x0000_"/>
      <sheetName val="부대공(집계)"/>
      <sheetName val="포장단면별단위수량"/>
      <sheetName val="공사비집_x0005_"/>
      <sheetName val="bCord공정"/>
      <sheetName val="d수량"/>
      <sheetName val="e대가"/>
      <sheetName val="g단가"/>
      <sheetName val="h집계"/>
      <sheetName val="8.일위대가표(1)"/>
      <sheetName val="8.일위대가표(2)"/>
      <sheetName val="7.청제공기계기구조서"/>
      <sheetName val="횡분배정리(DB)"/>
      <sheetName val="방음벽기초-수량"/>
      <sheetName val="수량산출기초(케블등)"/>
      <sheetName val="2.노무비명세서(수직보垰7埼"/>
      <sheetName val="제안서"/>
      <sheetName val="행정표준(1)"/>
      <sheetName val="행정표준(2)"/>
      <sheetName val="수량산출내역1115"/>
      <sheetName val="아파트저᝾"/>
      <sheetName val="아파트㾅"/>
      <sheetName val="관급원내역"/>
      <sheetName val="7.경제성결과"/>
      <sheetName val=" 갑지"/>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자재단가徸"/>
      <sheetName val="수안보-๿〚_x0005__x0000_"/>
      <sheetName val="금액내역헾"/>
      <sheetName val="자재단가尜"/>
      <sheetName val="NAIL단가산출"/>
      <sheetName val="수안보-挔_x0012_竖め"/>
      <sheetName val="자재단가헾"/>
      <sheetName val="자재단가丵"/>
      <sheetName val="수량산출(통신선로)"/>
      <sheetName val="수량산출(여객장치)"/>
      <sheetName val="수량산출(전화)"/>
      <sheetName val="사업부배부A"/>
      <sheetName val="입력값1"/>
      <sheetName val="insulation"/>
      <sheetName val="PipWT"/>
      <sheetName val="뜃맟뭁돽띿맟?-BLDG"/>
      <sheetName val="PBS"/>
      <sheetName val="검색"/>
      <sheetName val="INSTR"/>
      <sheetName val="수지표"/>
      <sheetName val="셀명"/>
      <sheetName val="공통단가"/>
      <sheetName val="1.동력공사"/>
      <sheetName val="청주-교대(A1)"/>
      <sheetName val="감시제어"/>
      <sheetName val="목차임시"/>
      <sheetName val="선로의 %임피던스 "/>
      <sheetName val="동력배선"/>
      <sheetName val="본선동력배선"/>
      <sheetName val="본선조명"/>
      <sheetName val="전력간선배선"/>
      <sheetName val="전열배선"/>
      <sheetName val="전체-원가분리내역"/>
      <sheetName val="계화배수(3대)"/>
      <sheetName val="익산"/>
      <sheetName val="가격표"/>
      <sheetName val="Sheet1(X)"/>
      <sheetName val="인원조직표"/>
      <sheetName val="냉천부속동"/>
      <sheetName val="국별인원"/>
      <sheetName val="산출기초"/>
      <sheetName val="DATA(광속)"/>
      <sheetName val="REACTION芨.헾⿁_x0005__x0000_"/>
      <sheetName val="REACTION鴘E鵜E헾⼼_x0005_"/>
      <sheetName val="정산내역"/>
      <sheetName val="변경ᛅ⾒_x0005_"/>
      <sheetName val="무시"/>
      <sheetName val="電磁弁LIST"/>
      <sheetName val="PLG"/>
      <sheetName val="외자배분"/>
      <sheetName val="외자내역"/>
      <sheetName val="관리비"/>
      <sheetName val="3-1.일위대가집계표(교통시설물1)"/>
      <sheetName val="직_x0005__x0000_"/>
      <sheetName val="임시급식ֿ_x0000_缀_x0000_"/>
      <sheetName val="직원자료"/>
      <sheetName val="업종분류"/>
      <sheetName val="장비분류"/>
      <sheetName val="단가산출목록표"/>
      <sheetName val="정문내역"/>
      <sheetName val="도시가스현황"/>
      <sheetName val="2차공사"/>
      <sheetName val="Imp-Data"/>
      <sheetName val="내역서 (1차)"/>
      <sheetName val="¿¹Á¤(3က"/>
      <sheetName val="SAMPLE"/>
      <sheetName val="건축공정"/>
      <sheetName val="방진공정"/>
      <sheetName val="조경공정"/>
      <sheetName val="전자"/>
      <sheetName val="환산"/>
      <sheetName val="금강견적"/>
      <sheetName val="D-RMIL"/>
      <sheetName val="3차준공"/>
      <sheetName val="옹벽수량집계표"/>
      <sheetName val="수종별인자"/>
      <sheetName val="BH-1 (2)"/>
      <sheetName val="공종코드"/>
      <sheetName val="가시설공(광장부)"/>
      <sheetName val="ÀÏÀ§´ë°¡Ç¥(_x0005__x0000_"/>
      <sheetName val="일위藨-헾"/>
      <sheetName val="AHU-1"/>
      <sheetName val="급탕설비"/>
      <sheetName val="화장실배기팬"/>
      <sheetName val="직급별"/>
      <sheetName val="S1099기장선행WOP"/>
      <sheetName val="방지책개소별명세"/>
      <sheetName val="단위량"/>
      <sheetName val="재료집계표2"/>
      <sheetName val="토적집계표"/>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3_내역서"/>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자동_철거"/>
      <sheetName val="자동_설치"/>
      <sheetName val="토목_철주"/>
      <sheetName val="철거_일위대가(1-19)"/>
      <sheetName val="철거_일위대가(20-22)"/>
      <sheetName val="설치_일위대가(23-45호)"/>
      <sheetName val="설치_일위대가(46~78호)"/>
      <sheetName val="const_"/>
      <sheetName val="220_(2)"/>
      <sheetName val="1공구_건정토건_토공"/>
      <sheetName val="2000년_공정표"/>
      <sheetName val="호봉_(2)"/>
      <sheetName val="69_03%"/>
      <sheetName val="변경내역84_52%"/>
      <sheetName val="_견적서"/>
      <sheetName val="5_공종별예산내역서"/>
      <sheetName val="단가_"/>
      <sheetName val="총괄원가_"/>
      <sheetName val="_갑__지_"/>
      <sheetName val="기성내역_진짜"/>
      <sheetName val="PUMP_SHT"/>
      <sheetName val="FIN_TUBE"/>
      <sheetName val="HED__&amp;_PIPE"/>
      <sheetName val="0_Áý°è"/>
      <sheetName val="Ç¥Áö_(2)"/>
      <sheetName val="DATA_입력부"/>
      <sheetName val="기존단가_(2)"/>
      <sheetName val="9_"/>
      <sheetName val="세부견적서(DAS_Call_Back)"/>
      <sheetName val="2_펌프장(사급자재)"/>
      <sheetName val="5_"/>
      <sheetName val="12_"/>
      <sheetName val="14_"/>
      <sheetName val="7_"/>
      <sheetName val="8_"/>
      <sheetName val="10_"/>
      <sheetName val="추천서"/>
      <sheetName val="설계변경내역"/>
      <sheetName val="월별"/>
      <sheetName val="48산출"/>
      <sheetName val="단가대조"/>
      <sheetName val="INMD1198"/>
      <sheetName val="INFG1198"/>
      <sheetName val="M5_S"/>
      <sheetName val="M6_S"/>
      <sheetName val="SRAM_CHIP"/>
      <sheetName val="SRAM_생산"/>
      <sheetName val="YLD"/>
      <sheetName val="설치 일위대가(46~԰_x0000_缀_x0000_"/>
      <sheetName val="라멘교일반수량"/>
      <sheetName val="타견적(을)"/>
      <sheetName val="기성내역(건축)"/>
      <sheetName val="Á¤»ê¹°·®︀웕"/>
      <sheetName val="조도계산서1"/>
      <sheetName val="5.1단가조사"/>
      <sheetName val="표준ፙ렀ᑟ"/>
      <sheetName val="7.3.1 전력간선 굵기"/>
      <sheetName val="1단계_견적내역서"/>
      <sheetName val="내부수지예산"/>
      <sheetName val="15.공량산출근거서"/>
      <sheetName val="교각토공"/>
      <sheetName val="data_dci"/>
      <sheetName val="data_mci"/>
      <sheetName val="behind"/>
      <sheetName val="2.노무비명세서(수직보_x0005__x0000_"/>
      <sheetName val="2.노무비명세서(수직보丵⿰_x0005_"/>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2007일위_"/>
      <sheetName val="토목일위_(83~)"/>
      <sheetName val="노무비_"/>
      <sheetName val="2_노무비명세서(수직보丵⿰"/>
      <sheetName val="combi(wall)"/>
      <sheetName val="제잡비(주공종)"/>
      <sheetName val="유첨헾】"/>
      <sheetName val="철탑공사"/>
      <sheetName val="시점부교대"/>
      <sheetName val="48전력선_x0002__x0000_㣸"/>
      <sheetName val="주사무실ֳ_x0000_"/>
      <sheetName val="¼ö·®»êÃ "/>
      <sheetName val="¼ö·®»êÃ_x0005_"/>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주재료비"/>
      <sheetName val="설계요율"/>
      <sheetName val="유첨_x0005__x0000_"/>
      <sheetName val="일_x0007__x0006__x0003__x0004__x0007_"/>
      <sheetName val="_x0000__x0005__x0000__x0004__x0000__x0008__x0000__x0005__x0000__x0008_"/>
      <sheetName val="간이연락"/>
      <sheetName val="견적을지"/>
      <sheetName val="불변현금흐름표"/>
      <sheetName val="기타유틸리티설비"/>
      <sheetName val="PANEL 내역"/>
      <sheetName val="ALINE"/>
      <sheetName val="횡배수관설치현황"/>
      <sheetName val="96월별PL"/>
      <sheetName val="양식(직판용)"/>
      <sheetName val="본사업"/>
      <sheetName val="수장"/>
      <sheetName val="단가표(전산)"/>
      <sheetName val="2219-SPOOL BOM"/>
      <sheetName val="설명서"/>
      <sheetName val="x주형보 설계(3차로)"/>
      <sheetName val="은평작업지시대장"/>
      <sheetName val="옥외배관기본공량"/>
      <sheetName val="선우통상(을)"/>
      <sheetName val="견적서-골조공사"/>
      <sheetName val="건축2"/>
      <sheetName val="3-4호기 내역서"/>
      <sheetName val="인원계획-미화"/>
      <sheetName val="토공검토G"/>
      <sheetName val="미지급금"/>
      <sheetName val="CABdata"/>
      <sheetName val="기별수량산출서"/>
      <sheetName val="광양방향"/>
      <sheetName val="남양시작동010313100%"/>
      <sheetName val="98비정기소모"/>
      <sheetName val="도급및 실행내역"/>
      <sheetName val="참고자료등록"/>
      <sheetName val="하자보수보증자료"/>
      <sheetName val="재료-CODE"/>
      <sheetName val="9.2단가산출서"/>
      <sheetName val="손료"/>
      <sheetName val="General DaS_x0000_"/>
      <sheetName val="설비공사"/>
      <sheetName val="원가계산서 (2)"/>
      <sheetName val="내역(설계,도급)정이준"/>
      <sheetName val="실행단가철(ems코드적용)"/>
      <sheetName val="기초대가"/>
      <sheetName val="차도부연장현황"/>
      <sheetName val="원곡IC교 내진성능보강공사 실시설계 용역.xlsx"/>
      <sheetName val="キ⩙"/>
      <sheetName val="첨부파일"/>
      <sheetName val="도장"/>
      <sheetName val="1._x005f_x005f_x005f_x0018_변전설비"/>
      <sheetName val="부대토목"/>
      <sheetName val="토목공종세부"/>
      <sheetName val="견적회신"/>
      <sheetName val="1. 가로등 설비 공사(산출)"/>
      <sheetName val="일대-1"/>
      <sheetName val="종료분석"/>
      <sheetName val="중질쓰레기"/>
      <sheetName val="장비단가"/>
      <sheetName val="1.관로"/>
      <sheetName val="입찰결과(DATA_x0000_"/>
      <sheetName val="화재 颮㍓씀넖ԯ"/>
      <sheetName val="SPM(13.84)"/>
      <sheetName val="ᰀ፜"/>
      <sheetName val="N炬≹"/>
      <sheetName val="KS-301_WBS"/>
      <sheetName val="MixBed"/>
      <sheetName val="CondPol"/>
      <sheetName val="ꠀ᪘"/>
      <sheetName val="︀盕"/>
      <sheetName val="ᓈባ"/>
      <sheetName val="壈▞"/>
      <sheetName val="대창(장ԯ_x0000_"/>
      <sheetName val="전기일ꙭÀ_x0000_"/>
      <sheetName val="전체내蠀ᒗ"/>
      <sheetName val="전체내︀盕"/>
      <sheetName val="일위대가(계측︩盕ԯ_x0000_"/>
      <sheetName val="전체내壈▞"/>
      <sheetName val="1호철근량"/>
      <sheetName val="진행 DATA (2)"/>
      <sheetName val="외화계약"/>
      <sheetName val="J直_x0004__x0005_"/>
      <sheetName val="ༀༀ̀ఀЀ"/>
      <sheetName val="³²¾ç½ÃÀÛµ¿ÀÚ105³ë65±_x0000__x0000__x0005__x0000_慀ȡ_x0000__x0000__x0000_"/>
      <sheetName val="단  가  垨4奜4睮⿩_x0005_"/>
      <sheetName val="1._x0018_변︀ᇕ԰"/>
      <sheetName val="골재丵〒"/>
      <sheetName val="내역총渀腷"/>
      <sheetName val="현지검측내역"/>
      <sheetName val="구주,중아,CIS"/>
      <sheetName val="EL90"/>
      <sheetName val="역T형교대栄⿇_x0000__x0000_庨_x0000_"/>
      <sheetName val="역T형교대栄⿇_x0000__x0000__x0000_"/>
      <sheetName val="펌프장수량䈀嵪ԯ_x0000_缀"/>
      <sheetName val="펌프장수량㔀቎԰_x0000_缀"/>
      <sheetName val="교량현황"/>
      <sheetName val="커튼월(pfg)"/>
      <sheetName val="ࠀ᎚"/>
      <sheetName val="평균물량산출서"/>
      <sheetName val="합의서"/>
      <sheetName val="낙석방지책"/>
      <sheetName val="금액︀⣕"/>
      <sheetName val="상수도토공_x0005__x0000_"/>
      <sheetName val="설직재0_x0000_"/>
      <sheetName val="설직재餀㒘"/>
      <sheetName val="싱가폴(실지급+인상율)"/>
      <sheetName val="UB2"/>
      <sheetName val="b_gunmul"/>
      <sheetName val="b_balju (2)"/>
      <sheetName val="갑(전기)"/>
      <sheetName val="갑(계장)"/>
      <sheetName val="010101"/>
      <sheetName val="심의대상"/>
      <sheetName val="내역금액적용"/>
      <sheetName val="비목코드"/>
      <sheetName val="철거산출徸〒"/>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가속도응답스펙트럼(Sa)및속도응답스펙트럼(Sv)"/>
      <sheetName val="4,5,6,7,8"/>
      <sheetName val="설계흐름도"/>
      <sheetName val="배수및구조물공1"/>
      <sheetName val="앨범표지"/>
      <sheetName val="B1(반포1차)"/>
      <sheetName val="esc(건축)"/>
      <sheetName val="일위대가집계표"/>
      <sheetName val="공예을"/>
      <sheetName val="골재및자재집계표"/>
      <sheetName val="현장유지관리비"/>
      <sheetName val="수안보-纈!헾『"/>
      <sheetName val="수안보-丵〒_x0005__x0000_"/>
      <sheetName val="수안보-橂】_x0005__x0000_"/>
      <sheetName val="9-1차_x0005__x0000_"/>
      <sheetName val="변경비懸_x0013_颙"/>
      <sheetName val="변경비颙〒_x0005_"/>
      <sheetName val="일위집԰_x0000_"/>
      <sheetName val="변경비窨_x0013_竬"/>
      <sheetName val="시공계ⱂ"/>
      <sheetName val="조명시헾"/>
      <sheetName val="8. 안吐呜"/>
      <sheetName val="전선관"/>
      <sheetName val="5.정산ﵠ"/>
      <sheetName val="실행내역 "/>
      <sheetName val="교량data"/>
      <sheetName val="파일구성"/>
      <sheetName val="분전반"/>
      <sheetName val="Priorities"/>
      <sheetName val="Paint,Fire-Proof,Insul(48)"/>
      <sheetName val="No.2LAB Unit"/>
      <sheetName val="약ྀ︁"/>
      <sheetName val="1.1 본체"/>
      <sheetName val="March"/>
      <sheetName val="토목 (2)"/>
      <sheetName val="인력터파기"/>
      <sheetName val="9G࠯_x0015__x0000__x0000_"/>
      <sheetName val="94"/>
      <sheetName val="20-25"/>
      <sheetName val="몰탈쐀/_x0000_"/>
      <sheetName val="실행ࠏE"/>
      <sheetName val="실행ဏ_x0000_"/>
      <sheetName val="시멘트,모래"/>
      <sheetName val="CHIP_O"/>
      <sheetName val="FAB_O"/>
      <sheetName val="PKG_I"/>
      <sheetName val="FT_금액"/>
      <sheetName val="Key assumption"/>
      <sheetName val="토목׃⿄"/>
      <sheetName val="토목׃⽴"/>
      <sheetName val="토목嘘_x001b_"/>
      <sheetName val="토목ꮸ⽤"/>
      <sheetName val="토목垐%"/>
      <sheetName val="토목狈6"/>
      <sheetName val="토목妀6"/>
      <sheetName val="토목枵〛"/>
      <sheetName val="의왕실행"/>
      <sheetName val="LCS-SEAT"/>
      <sheetName val="집계표(건축전기)"/>
      <sheetName val="품목현황"/>
      <sheetName val="PO-BOB"/>
      <sheetName val="보차도경계석수량"/>
      <sheetName val="48일위(기존)"/>
      <sheetName val="하도급선정의뢰_x0005__x0000__x0000__x0000__x0000_吝"/>
      <sheetName val="하도급선정의뢰唈_x001f_ᛅ⾠_x0005__x0000_"/>
      <sheetName val="하도급선정의뢰ᛅ⼝_x0005__x0000__x0000__x0000_"/>
      <sheetName val="음성(cable)"/>
      <sheetName val="제조부문배부"/>
      <sheetName val="XREF"/>
      <sheetName val="시공업체명부"/>
      <sheetName val="Direct (공사비대비)"/>
      <sheetName val="제출"/>
      <sheetName val="공사비예비관리공감측설산출내역"/>
      <sheetName val="TCDB"/>
      <sheetName val="1À"/>
      <sheetName val="1 "/>
      <sheetName val="ꀀ㇞"/>
      <sheetName val="1r"/>
      <sheetName val="　⮒"/>
      <sheetName val="산출서집계"/>
      <sheetName val="집계표(수정)"/>
      <sheetName val="잔여공사월별내역"/>
      <sheetName val="대비(최종이사회)"/>
      <sheetName val="표지세로"/>
      <sheetName val="5.소모재료비"/>
      <sheetName val="က"/>
      <sheetName val="⠈ⱒ"/>
      <sheetName val="1Ø"/>
      <sheetName val="1_x0004_"/>
      <sheetName val="MEMBER"/>
      <sheetName val="공사별 가중치0_x0000_ꀀâ_x0000__x0000_鬀ӊ㰞"/>
      <sheetName val="제수_x0000__x0000_"/>
      <sheetName val="제수午_x0013_뺨"/>
      <sheetName val="제수午_x0013_㸀"/>
      <sheetName val="제수午_x0013_㐨"/>
      <sheetName val="제수午_x0013_㺨"/>
      <sheetName val="제수午_x0013_绠"/>
      <sheetName val="제수午_x0013_떰"/>
      <sheetName val="제수午_x0013_"/>
      <sheetName val="옥내소화전계산서"/>
      <sheetName val="심사계산"/>
      <sheetName val="기타"/>
      <sheetName val="BID FORM"/>
      <sheetName val="Form of Bid"/>
      <sheetName val="이관문서목록표"/>
      <sheetName val="국내"/>
      <sheetName val="member design"/>
      <sheetName val="soil bearing check"/>
      <sheetName val="도급,하도급 예정금액"/>
      <sheetName val="산출(전기)"/>
      <sheetName val="DWG-CAB-I"/>
      <sheetName val="공감비"/>
      <sheetName val="재무가정"/>
      <sheetName val="건물현황"/>
      <sheetName val="대목"/>
      <sheetName val="간접재료비산출표-27-30"/>
      <sheetName val="공사원가계산蚘_x0013_"/>
      <sheetName val="도급예정1ီ_x0000_䀀"/>
      <sheetName val="도급예정1犢呄/"/>
      <sheetName val="도급예정1犢/"/>
      <sheetName val="도급예정1Ⴂ_x0000_䀀"/>
      <sheetName val="도급예정1ﻰᇕ԰"/>
      <sheetName val="도급예정1犢ፄ/"/>
      <sheetName val="도급예정1ჰ_x0000_䀀"/>
      <sheetName val="도급예정1ၪ_x0000_　"/>
      <sheetName val="도급예정1Ⴕ_x0000_"/>
      <sheetName val="도급예정1႒_x0000_က"/>
      <sheetName val="Macr_x0010__x0000_ፈদ䑲⼚"/>
      <sheetName val="Macr枵〺_x0000__x0000_揰_x0000_"/>
      <sheetName val="Macr枵〺_x0000__x0000_丸_x0000_"/>
      <sheetName val="Macr枵〺_x0000__x0000_㦠_x0000_"/>
      <sheetName val="Macr㑘_x001b_둠੆枵⿚"/>
      <sheetName val="Macr㑘_x001b_ञ枵⿚"/>
      <sheetName val="단위ה_x0000_"/>
      <sheetName val="__HAIWOOK_____hb___1__________2"/>
      <sheetName val="옥상바닥산출서"/>
      <sheetName val="외부비계산출서"/>
      <sheetName val="단열재산출서"/>
      <sheetName val="지하외부비계산출서"/>
      <sheetName val="내부강관비계산출서"/>
      <sheetName val="내부수평비계산출서"/>
      <sheetName val="내역집계(전체)"/>
      <sheetName val="______PROJECT_hb___1__________2"/>
      <sheetName val="집행내역(190403)"/>
      <sheetName val="환율및유가"/>
      <sheetName val="99년하반기"/>
      <sheetName val="일반전기(가설, 접지)"/>
      <sheetName val="0. 인명부"/>
      <sheetName val="총괄철근집계표"/>
      <sheetName val="제조원가"/>
      <sheetName val="주안3차A-A"/>
      <sheetName val="A5"/>
      <sheetName val="사용설명서"/>
      <sheetName val="근로자명부"/>
      <sheetName val="출력작업일보"/>
      <sheetName val="전공종통합-퇴직공제부"/>
      <sheetName val="전공종통합-퇴직공제부1"/>
      <sheetName val="퇴직공제부금1"/>
      <sheetName val="노임총괄"/>
      <sheetName val="복사기본시트(삭제금지)"/>
      <sheetName val="관리(삭제금지)"/>
      <sheetName val="직영(삭제금지)"/>
      <sheetName val="용역"/>
      <sheetName val="노무신고용"/>
      <sheetName val="p-master"/>
      <sheetName val="데이터"/>
      <sheetName val="사업총괄"/>
      <sheetName val="전등설비"/>
      <sheetName val="LD TX"/>
      <sheetName val="YANG"/>
      <sheetName val="Team 종합"/>
      <sheetName val="수량산출서 (2)"/>
      <sheetName val="동방설계서"/>
      <sheetName val="2-2.매출분석"/>
      <sheetName val="수수료율표"/>
      <sheetName val="총중목"/>
      <sheetName val="노임 단가"/>
      <sheetName val="비주거용"/>
      <sheetName val="load(지하층)"/>
      <sheetName val="우수공,맨홀,집수_x0000_"/>
      <sheetName val="콘크리트"/>
      <sheetName val="Rate Analysis"/>
      <sheetName val="산출내역서_IWC"/>
      <sheetName val="진단세부현황"/>
      <sheetName val="임대손익"/>
      <sheetName val="토지산정"/>
      <sheetName val="구조물집계"/>
      <sheetName val="토공집계"/>
      <sheetName val="제잡비(전체)"/>
      <sheetName val="배관단가"/>
      <sheetName val="이자율"/>
      <sheetName val="기본자료 "/>
      <sheetName val="      "/>
      <sheetName val="전기실-1"/>
      <sheetName val="경비대가"/>
      <sheetName val="0.9x0.9"/>
      <sheetName val="L측형구집계"/>
      <sheetName val="suk(mac)"/>
      <sheetName val="고양동1"/>
      <sheetName val="0.9토공"/>
      <sheetName val="광양 3기 유입수"/>
      <sheetName val="SHEET PILE단가"/>
      <sheetName val="노 무 비"/>
      <sheetName val="양식기준표"/>
      <sheetName val="자재_계약일(2013_09_16)"/>
      <sheetName val="공통_계약일(2013_09_16)"/>
      <sheetName val="암거_제원표-1단계1"/>
      <sheetName val="C_배수관공1"/>
      <sheetName val="1_수량집계"/>
      <sheetName val="원가계산서_과기원"/>
      <sheetName val="0_내역서__갑지"/>
      <sheetName val="1_내역서_"/>
      <sheetName val="2-1_수량산출근거"/>
      <sheetName val="2-2_노무비산출근거"/>
      <sheetName val="3_단가조사표"/>
      <sheetName val="3_단가대비표"/>
      <sheetName val="4_설변사유"/>
      <sheetName val="2-7_인건비산출근거"/>
      <sheetName val="3-1_설변사유"/>
      <sheetName val="3-2_공사비증감"/>
      <sheetName val="3-3_내역서"/>
      <sheetName val="3-4_단가대비표(기존)"/>
      <sheetName val="3-5_단가대비표(신규)"/>
      <sheetName val="3-6_일위대가목록"/>
      <sheetName val="3-7_일위대가"/>
      <sheetName val="3-8_물량산출근거"/>
      <sheetName val="3-9_인건비산출근거"/>
      <sheetName val="고강도_지수판_스리브업체선정"/>
      <sheetName val="3_단가대비표_"/>
      <sheetName val="3_단가적용현황"/>
      <sheetName val="4_하중산정"/>
      <sheetName val="6월_출고_일일보고"/>
      <sheetName val="기성부분_내역집계표-기계공사"/>
      <sheetName val="제수변_수량집계표(보통)"/>
      <sheetName val="일위대가56-1_"/>
      <sheetName val="일위대가71-1_"/>
      <sheetName val="일위대가74-1_"/>
      <sheetName val="7-1_인건비"/>
      <sheetName val="2_2_2입적표"/>
      <sheetName val="Eq__Mobilization"/>
      <sheetName val="#4_PSV"/>
      <sheetName val="일위대가76-1_"/>
      <sheetName val="일위대가77-1_"/>
      <sheetName val="일위대가78-1_"/>
      <sheetName val="자재집계_(2)"/>
      <sheetName val="정거장_설계조건"/>
      <sheetName val="노면표지_수량"/>
      <sheetName val="노임대장"/>
      <sheetName val="승인도Main"/>
      <sheetName val="배관배선_"/>
      <sheetName val="石炭性状"/>
      <sheetName val="공정자료"/>
      <sheetName val="현장조사"/>
      <sheetName val="관세구분시트"/>
      <sheetName val="직원"/>
      <sheetName val="4원가계산"/>
      <sheetName val="SAL"/>
      <sheetName val="CAMPO &amp; PC_BC"/>
      <sheetName val="확인서"/>
      <sheetName val="직접데이타입력"/>
      <sheetName val="2)관접합"/>
      <sheetName val="품셈단가"/>
      <sheetName val="④애자"/>
      <sheetName val="건축공사이월"/>
      <sheetName val="14灩"/>
      <sheetName val="코스모공장_(어음)1"/>
      <sheetName val="원가계산서_1"/>
      <sheetName val="90_03실행_1"/>
      <sheetName val="1_1설계기준1"/>
      <sheetName val="입출재고현황_(2)1"/>
      <sheetName val="A_견적1"/>
      <sheetName val="흙막이_개산견적1"/>
      <sheetName val="1_3_1절점좌표1"/>
      <sheetName val="일위대가_1"/>
      <sheetName val="일위대가9803_xls"/>
      <sheetName val="2019_단가내역"/>
      <sheetName val="본관_관리동_공동구_1순위"/>
      <sheetName val="3계열_침전지_공동구_1순위"/>
      <sheetName val="착수정_공동구_1순위"/>
      <sheetName val="송수실_공동구_1순위"/>
      <sheetName val="선급금"/>
      <sheetName val="폐기물내역"/>
      <sheetName val="기준데이타"/>
      <sheetName val="노_x0000_"/>
      <sheetName val="용집"/>
      <sheetName val="3.보유토지 신규공급 조사표"/>
      <sheetName val="투입및미불현황"/>
      <sheetName val="그림모음"/>
      <sheetName val="사당"/>
      <sheetName val="설계기별"/>
      <sheetName val="수지예산서"/>
      <sheetName val="배수관조서"/>
      <sheetName val="일위대가(가설_x0005_"/>
      <sheetName val="-흄관က_x0000_"/>
      <sheetName val="-철근집푘"/>
      <sheetName val="-철근집"/>
      <sheetName val="-철근집쉨"/>
      <sheetName val="배수공_시멘트_및_골재량_x0000__x0000_Ā"/>
      <sheetName val="물푸기(용수로) (소요시간)"/>
      <sheetName val="작성기준"/>
      <sheetName val="토적단위"/>
      <sheetName val="착공계"/>
      <sheetName val="96-08모음"/>
      <sheetName val="구조물_x0000__x0000__x0005_"/>
      <sheetName val="2_단면穀&amp;"/>
      <sheetName val="2_단면헾⽧"/>
      <sheetName val="2_단면宔&amp;"/>
      <sheetName val="2_단면莈"/>
      <sheetName val="7IFS-5A"/>
      <sheetName val="10-Sewer"/>
      <sheetName val="9-Drains"/>
      <sheetName val="8A-Road"/>
      <sheetName val="6-DW &amp; SC"/>
      <sheetName val="Step-Down"/>
      <sheetName val="SECT15-N- Builder's W &amp; S"/>
      <sheetName val="SECT8-Upper Floor"/>
      <sheetName val="SECT9-Roof"/>
      <sheetName val="calc_menu_déroulant"/>
      <sheetName val="CBD-PRICE"/>
      <sheetName val="sub sturc"/>
      <sheetName val="steel works"/>
      <sheetName val="Key Assumptions"/>
      <sheetName val="PAYWORK"/>
      <sheetName val="Block"/>
      <sheetName val="Carparks"/>
      <sheetName val="Sp Wks (Sub)"/>
      <sheetName val="css_inpatient_day_surg_sub"/>
      <sheetName val="DW ok"/>
      <sheetName val="0000"/>
      <sheetName val="주요물량"/>
      <sheetName val="F 월별기성수금현황 "/>
      <sheetName val="受注エクセル作成クエリ（１月）"/>
      <sheetName val="解析データ（５月用の５月）"/>
      <sheetName val="受注エクセル作成クエリ（１２月）"/>
      <sheetName val="7.공정표"/>
      <sheetName val="予算実績データ"/>
      <sheetName val="Door&amp; Window"/>
      <sheetName val="뚝_x0000__x0000_"/>
      <sheetName val="공토공단위당"/>
      <sheetName val="라인업-1"/>
      <sheetName val="라인업-2"/>
      <sheetName val="라인업-3"/>
      <sheetName val="우ퟐ"/>
      <sheetName val="평가대상조서"/>
      <sheetName val="부대t薐"/>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ow r="1">
          <cell r="A1" t="str">
            <v>시멘트,모래,자갈 산출표</v>
          </cell>
        </row>
      </sheetData>
      <sheetData sheetId="1544">
        <row r="1">
          <cell r="A1" t="str">
            <v>시멘트,모래,자갈 산출표</v>
          </cell>
        </row>
      </sheetData>
      <sheetData sheetId="1545"/>
      <sheetData sheetId="1546">
        <row r="1">
          <cell r="A1" t="str">
            <v>시멘트,모래,자갈 산출표</v>
          </cell>
        </row>
      </sheetData>
      <sheetData sheetId="1547"/>
      <sheetData sheetId="1548"/>
      <sheetData sheetId="1549"/>
      <sheetData sheetId="1550"/>
      <sheetData sheetId="1551"/>
      <sheetData sheetId="1552"/>
      <sheetData sheetId="1553"/>
      <sheetData sheetId="1554">
        <row r="1">
          <cell r="A1" t="str">
            <v>시멘트,모래,자갈 산출표</v>
          </cell>
        </row>
      </sheetData>
      <sheetData sheetId="1555">
        <row r="1">
          <cell r="A1" t="str">
            <v>시멘트,모래,자갈 산출표</v>
          </cell>
        </row>
      </sheetData>
      <sheetData sheetId="1556">
        <row r="1">
          <cell r="A1" t="str">
            <v>시멘트,모래,자갈 산출표</v>
          </cell>
        </row>
      </sheetData>
      <sheetData sheetId="1557">
        <row r="1">
          <cell r="A1" t="str">
            <v>시멘트,모래,자갈 산출표</v>
          </cell>
        </row>
      </sheetData>
      <sheetData sheetId="1558">
        <row r="1">
          <cell r="A1" t="str">
            <v>시멘트,모래,자갈 산출표</v>
          </cell>
        </row>
      </sheetData>
      <sheetData sheetId="1559">
        <row r="1">
          <cell r="A1" t="str">
            <v>시멘트,모래,자갈 산출표</v>
          </cell>
        </row>
      </sheetData>
      <sheetData sheetId="1560">
        <row r="1">
          <cell r="A1" t="str">
            <v>시멘트,모래,자갈 산출표</v>
          </cell>
        </row>
      </sheetData>
      <sheetData sheetId="1561">
        <row r="1">
          <cell r="A1" t="str">
            <v>시멘트,모래,자갈 산출표</v>
          </cell>
        </row>
      </sheetData>
      <sheetData sheetId="1562">
        <row r="1">
          <cell r="A1" t="str">
            <v>시멘트,모래,자갈 산출표</v>
          </cell>
        </row>
      </sheetData>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sheetData sheetId="1627" refreshError="1"/>
      <sheetData sheetId="1628" refreshError="1"/>
      <sheetData sheetId="1629" refreshError="1"/>
      <sheetData sheetId="1630" refreshError="1"/>
      <sheetData sheetId="1631" refreshError="1"/>
      <sheetData sheetId="1632"/>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sheetData sheetId="1786"/>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sheetData sheetId="1996"/>
      <sheetData sheetId="1997"/>
      <sheetData sheetId="1998"/>
      <sheetData sheetId="1999"/>
      <sheetData sheetId="2000"/>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sheetData sheetId="2058"/>
      <sheetData sheetId="2059"/>
      <sheetData sheetId="2060"/>
      <sheetData sheetId="2061"/>
      <sheetData sheetId="2062"/>
      <sheetData sheetId="2063"/>
      <sheetData sheetId="2064"/>
      <sheetData sheetId="2065"/>
      <sheetData sheetId="2066"/>
      <sheetData sheetId="2067"/>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sheetData sheetId="2266"/>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row r="1">
          <cell r="A1" t="str">
            <v>시멘트,모래,자갈 산출표</v>
          </cell>
        </row>
      </sheetData>
      <sheetData sheetId="2594">
        <row r="1">
          <cell r="A1" t="str">
            <v>시멘트,모래,자갈 산출표</v>
          </cell>
        </row>
      </sheetData>
      <sheetData sheetId="2595">
        <row r="1">
          <cell r="A1" t="str">
            <v>시멘트,모래,자갈 산출표</v>
          </cell>
        </row>
      </sheetData>
      <sheetData sheetId="2596">
        <row r="1">
          <cell r="A1" t="str">
            <v>시멘트,모래,자갈 산출표</v>
          </cell>
        </row>
      </sheetData>
      <sheetData sheetId="2597"/>
      <sheetData sheetId="2598"/>
      <sheetData sheetId="2599"/>
      <sheetData sheetId="2600"/>
      <sheetData sheetId="2601"/>
      <sheetData sheetId="2602"/>
      <sheetData sheetId="2603"/>
      <sheetData sheetId="2604">
        <row r="1">
          <cell r="A1" t="str">
            <v>시멘트,모래,자갈 산출표</v>
          </cell>
        </row>
      </sheetData>
      <sheetData sheetId="2605">
        <row r="1">
          <cell r="A1" t="str">
            <v>시멘트,모래,자갈 산출표</v>
          </cell>
        </row>
      </sheetData>
      <sheetData sheetId="2606">
        <row r="1">
          <cell r="A1" t="str">
            <v>시멘트,모래,자갈 산출표</v>
          </cell>
        </row>
      </sheetData>
      <sheetData sheetId="2607">
        <row r="1">
          <cell r="A1" t="str">
            <v>시멘트,모래,자갈 산출표</v>
          </cell>
        </row>
      </sheetData>
      <sheetData sheetId="2608">
        <row r="1">
          <cell r="A1" t="str">
            <v>시멘트,모래,자갈 산출표</v>
          </cell>
        </row>
      </sheetData>
      <sheetData sheetId="2609">
        <row r="1">
          <cell r="A1" t="str">
            <v>시멘트,모래,자갈 산출표</v>
          </cell>
        </row>
      </sheetData>
      <sheetData sheetId="2610">
        <row r="1">
          <cell r="A1" t="str">
            <v>시멘트,모래,자갈 산출표</v>
          </cell>
        </row>
      </sheetData>
      <sheetData sheetId="2611">
        <row r="1">
          <cell r="A1" t="str">
            <v>시멘트,모래,자갈 산출표</v>
          </cell>
        </row>
      </sheetData>
      <sheetData sheetId="2612"/>
      <sheetData sheetId="2613">
        <row r="1">
          <cell r="A1" t="str">
            <v>시멘트,모래,자갈 산출표</v>
          </cell>
        </row>
      </sheetData>
      <sheetData sheetId="2614">
        <row r="1">
          <cell r="A1" t="str">
            <v>시멘트,모래,자갈 산출표</v>
          </cell>
        </row>
      </sheetData>
      <sheetData sheetId="2615"/>
      <sheetData sheetId="2616">
        <row r="1">
          <cell r="A1" t="str">
            <v>시멘트,모래,자갈 산출표</v>
          </cell>
        </row>
      </sheetData>
      <sheetData sheetId="2617">
        <row r="1">
          <cell r="A1" t="str">
            <v>시멘트,모래,자갈 산출표</v>
          </cell>
        </row>
      </sheetData>
      <sheetData sheetId="2618">
        <row r="1">
          <cell r="A1" t="str">
            <v>시멘트,모래,자갈 산출표</v>
          </cell>
        </row>
      </sheetData>
      <sheetData sheetId="2619">
        <row r="1">
          <cell r="A1" t="str">
            <v>시멘트,모래,자갈 산출표</v>
          </cell>
        </row>
      </sheetData>
      <sheetData sheetId="2620">
        <row r="1">
          <cell r="A1" t="str">
            <v>시멘트,모래,자갈 산출표</v>
          </cell>
        </row>
      </sheetData>
      <sheetData sheetId="2621">
        <row r="1">
          <cell r="A1" t="str">
            <v>시멘트,모래,자갈 산출표</v>
          </cell>
        </row>
      </sheetData>
      <sheetData sheetId="2622">
        <row r="1">
          <cell r="A1" t="str">
            <v>시멘트,모래,자갈 산출표</v>
          </cell>
        </row>
      </sheetData>
      <sheetData sheetId="2623">
        <row r="1">
          <cell r="A1" t="str">
            <v>시멘트,모래,자갈 산출표</v>
          </cell>
        </row>
      </sheetData>
      <sheetData sheetId="2624">
        <row r="1">
          <cell r="A1" t="str">
            <v>시멘트,모래,자갈 산출표</v>
          </cell>
        </row>
      </sheetData>
      <sheetData sheetId="2625">
        <row r="1">
          <cell r="A1" t="str">
            <v>시멘트,모래,자갈 산출표</v>
          </cell>
        </row>
      </sheetData>
      <sheetData sheetId="2626">
        <row r="1">
          <cell r="A1" t="str">
            <v>시멘트,모래,자갈 산출표</v>
          </cell>
        </row>
      </sheetData>
      <sheetData sheetId="2627">
        <row r="1">
          <cell r="A1" t="str">
            <v>시멘트,모래,자갈 산출표</v>
          </cell>
        </row>
      </sheetData>
      <sheetData sheetId="2628">
        <row r="1">
          <cell r="A1" t="str">
            <v>시멘트,모래,자갈 산출표</v>
          </cell>
        </row>
      </sheetData>
      <sheetData sheetId="2629">
        <row r="1">
          <cell r="A1" t="str">
            <v>시멘트,모래,자갈 산출표</v>
          </cell>
        </row>
      </sheetData>
      <sheetData sheetId="2630">
        <row r="1">
          <cell r="A1" t="str">
            <v>시멘트,모래,자갈 산출표</v>
          </cell>
        </row>
      </sheetData>
      <sheetData sheetId="2631"/>
      <sheetData sheetId="2632">
        <row r="1">
          <cell r="A1" t="str">
            <v>시멘트,모래,자갈 산출표</v>
          </cell>
        </row>
      </sheetData>
      <sheetData sheetId="2633">
        <row r="1">
          <cell r="A1" t="str">
            <v>시멘트,모래,자갈 산출표</v>
          </cell>
        </row>
      </sheetData>
      <sheetData sheetId="2634">
        <row r="1">
          <cell r="A1" t="str">
            <v>시멘트,모래,자갈 산출표</v>
          </cell>
        </row>
      </sheetData>
      <sheetData sheetId="2635">
        <row r="1">
          <cell r="A1" t="str">
            <v>시멘트,모래,자갈 산출표</v>
          </cell>
        </row>
      </sheetData>
      <sheetData sheetId="2636">
        <row r="1">
          <cell r="A1" t="str">
            <v>시멘트,모래,자갈 산출표</v>
          </cell>
        </row>
      </sheetData>
      <sheetData sheetId="2637">
        <row r="1">
          <cell r="A1" t="str">
            <v>시멘트,모래,자갈 산출표</v>
          </cell>
        </row>
      </sheetData>
      <sheetData sheetId="2638">
        <row r="1">
          <cell r="A1" t="str">
            <v>시멘트,모래,자갈 산출표</v>
          </cell>
        </row>
      </sheetData>
      <sheetData sheetId="2639">
        <row r="1">
          <cell r="A1" t="str">
            <v>시멘트,모래,자갈 산출표</v>
          </cell>
        </row>
      </sheetData>
      <sheetData sheetId="2640">
        <row r="1">
          <cell r="A1" t="str">
            <v>시멘트,모래,자갈 산출표</v>
          </cell>
        </row>
      </sheetData>
      <sheetData sheetId="2641">
        <row r="1">
          <cell r="A1" t="str">
            <v>시멘트,모래,자갈 산출표</v>
          </cell>
        </row>
      </sheetData>
      <sheetData sheetId="2642">
        <row r="1">
          <cell r="A1" t="str">
            <v>시멘트,모래,자갈 산출표</v>
          </cell>
        </row>
      </sheetData>
      <sheetData sheetId="2643">
        <row r="1">
          <cell r="A1" t="str">
            <v>시멘트,모래,자갈 산출표</v>
          </cell>
        </row>
      </sheetData>
      <sheetData sheetId="2644">
        <row r="1">
          <cell r="A1" t="str">
            <v>시멘트,모래,자갈 산출표</v>
          </cell>
        </row>
      </sheetData>
      <sheetData sheetId="2645">
        <row r="1">
          <cell r="A1" t="str">
            <v>시멘트,모래,자갈 산출표</v>
          </cell>
        </row>
      </sheetData>
      <sheetData sheetId="2646">
        <row r="1">
          <cell r="A1" t="str">
            <v>시멘트,모래,자갈 산출표</v>
          </cell>
        </row>
      </sheetData>
      <sheetData sheetId="2647">
        <row r="1">
          <cell r="A1" t="str">
            <v>시멘트,모래,자갈 산출표</v>
          </cell>
        </row>
      </sheetData>
      <sheetData sheetId="2648">
        <row r="1">
          <cell r="A1" t="str">
            <v>시멘트,모래,자갈 산출표</v>
          </cell>
        </row>
      </sheetData>
      <sheetData sheetId="2649">
        <row r="1">
          <cell r="A1" t="str">
            <v>시멘트,모래,자갈 산출표</v>
          </cell>
        </row>
      </sheetData>
      <sheetData sheetId="2650">
        <row r="1">
          <cell r="A1" t="str">
            <v>시멘트,모래,자갈 산출표</v>
          </cell>
        </row>
      </sheetData>
      <sheetData sheetId="2651">
        <row r="1">
          <cell r="A1" t="str">
            <v>시멘트,모래,자갈 산출표</v>
          </cell>
        </row>
      </sheetData>
      <sheetData sheetId="2652">
        <row r="1">
          <cell r="A1" t="str">
            <v>시멘트,모래,자갈 산출표</v>
          </cell>
        </row>
      </sheetData>
      <sheetData sheetId="2653">
        <row r="1">
          <cell r="A1" t="str">
            <v>시멘트,모래,자갈 산출표</v>
          </cell>
        </row>
      </sheetData>
      <sheetData sheetId="2654">
        <row r="1">
          <cell r="A1" t="str">
            <v>시멘트,모래,자갈 산출표</v>
          </cell>
        </row>
      </sheetData>
      <sheetData sheetId="2655">
        <row r="1">
          <cell r="A1" t="str">
            <v>시멘트,모래,자갈 산출표</v>
          </cell>
        </row>
      </sheetData>
      <sheetData sheetId="2656">
        <row r="1">
          <cell r="A1" t="str">
            <v>시멘트,모래,자갈 산출표</v>
          </cell>
        </row>
      </sheetData>
      <sheetData sheetId="2657">
        <row r="1">
          <cell r="A1" t="str">
            <v>시멘트,모래,자갈 산출표</v>
          </cell>
        </row>
      </sheetData>
      <sheetData sheetId="2658">
        <row r="1">
          <cell r="A1" t="str">
            <v>시멘트,모래,자갈 산출표</v>
          </cell>
        </row>
      </sheetData>
      <sheetData sheetId="2659">
        <row r="1">
          <cell r="A1" t="str">
            <v>시멘트,모래,자갈 산출표</v>
          </cell>
        </row>
      </sheetData>
      <sheetData sheetId="2660">
        <row r="1">
          <cell r="A1" t="str">
            <v>시멘트,모래,자갈 산출표</v>
          </cell>
        </row>
      </sheetData>
      <sheetData sheetId="2661">
        <row r="1">
          <cell r="A1" t="str">
            <v>시멘트,모래,자갈 산출표</v>
          </cell>
        </row>
      </sheetData>
      <sheetData sheetId="2662">
        <row r="1">
          <cell r="A1" t="str">
            <v>시멘트,모래,자갈 산출표</v>
          </cell>
        </row>
      </sheetData>
      <sheetData sheetId="2663">
        <row r="1">
          <cell r="A1" t="str">
            <v>시멘트,모래,자갈 산출표</v>
          </cell>
        </row>
      </sheetData>
      <sheetData sheetId="2664">
        <row r="1">
          <cell r="A1" t="str">
            <v>시멘트,모래,자갈 산출표</v>
          </cell>
        </row>
      </sheetData>
      <sheetData sheetId="2665"/>
      <sheetData sheetId="2666">
        <row r="1">
          <cell r="A1" t="str">
            <v>시멘트,모래,자갈 산출표</v>
          </cell>
        </row>
      </sheetData>
      <sheetData sheetId="2667">
        <row r="1">
          <cell r="A1" t="str">
            <v>시멘트,모래,자갈 산출표</v>
          </cell>
        </row>
      </sheetData>
      <sheetData sheetId="2668">
        <row r="1">
          <cell r="A1" t="str">
            <v>시멘트,모래,자갈 산출표</v>
          </cell>
        </row>
      </sheetData>
      <sheetData sheetId="2669">
        <row r="1">
          <cell r="A1" t="str">
            <v>시멘트,모래,자갈 산출표</v>
          </cell>
        </row>
      </sheetData>
      <sheetData sheetId="2670">
        <row r="1">
          <cell r="A1" t="str">
            <v>시멘트,모래,자갈 산출표</v>
          </cell>
        </row>
      </sheetData>
      <sheetData sheetId="2671">
        <row r="1">
          <cell r="A1" t="str">
            <v>시멘트,모래,자갈 산출표</v>
          </cell>
        </row>
      </sheetData>
      <sheetData sheetId="2672">
        <row r="1">
          <cell r="A1" t="str">
            <v>시멘트,모래,자갈 산출표</v>
          </cell>
        </row>
      </sheetData>
      <sheetData sheetId="2673">
        <row r="1">
          <cell r="A1" t="str">
            <v>시멘트,모래,자갈 산출표</v>
          </cell>
        </row>
      </sheetData>
      <sheetData sheetId="2674">
        <row r="1">
          <cell r="A1" t="str">
            <v>시멘트,모래,자갈 산출표</v>
          </cell>
        </row>
      </sheetData>
      <sheetData sheetId="2675">
        <row r="1">
          <cell r="A1" t="str">
            <v>시멘트,모래,자갈 산출표</v>
          </cell>
        </row>
      </sheetData>
      <sheetData sheetId="2676">
        <row r="1">
          <cell r="A1" t="str">
            <v>시멘트,모래,자갈 산출표</v>
          </cell>
        </row>
      </sheetData>
      <sheetData sheetId="2677"/>
      <sheetData sheetId="2678">
        <row r="1">
          <cell r="A1" t="str">
            <v>시멘트,모래,자갈 산출표</v>
          </cell>
        </row>
      </sheetData>
      <sheetData sheetId="2679">
        <row r="1">
          <cell r="A1" t="str">
            <v>시멘트,모래,자갈 산출표</v>
          </cell>
        </row>
      </sheetData>
      <sheetData sheetId="2680"/>
      <sheetData sheetId="2681">
        <row r="1">
          <cell r="A1" t="str">
            <v>시멘트,모래,자갈 산출표</v>
          </cell>
        </row>
      </sheetData>
      <sheetData sheetId="2682">
        <row r="1">
          <cell r="A1" t="str">
            <v>시멘트,모래,자갈 산출표</v>
          </cell>
        </row>
      </sheetData>
      <sheetData sheetId="2683">
        <row r="1">
          <cell r="A1" t="str">
            <v>시멘트,모래,자갈 산출표</v>
          </cell>
        </row>
      </sheetData>
      <sheetData sheetId="2684">
        <row r="1">
          <cell r="A1" t="str">
            <v>시멘트,모래,자갈 산출표</v>
          </cell>
        </row>
      </sheetData>
      <sheetData sheetId="2685">
        <row r="1">
          <cell r="A1" t="str">
            <v>시멘트,모래,자갈 산출표</v>
          </cell>
        </row>
      </sheetData>
      <sheetData sheetId="2686">
        <row r="1">
          <cell r="A1" t="str">
            <v>시멘트,모래,자갈 산출표</v>
          </cell>
        </row>
      </sheetData>
      <sheetData sheetId="2687">
        <row r="1">
          <cell r="A1" t="str">
            <v>시멘트,모래,자갈 산출표</v>
          </cell>
        </row>
      </sheetData>
      <sheetData sheetId="2688">
        <row r="1">
          <cell r="A1" t="str">
            <v>시멘트,모래,자갈 산출표</v>
          </cell>
        </row>
      </sheetData>
      <sheetData sheetId="2689">
        <row r="1">
          <cell r="A1" t="str">
            <v>시멘트,모래,자갈 산출표</v>
          </cell>
        </row>
      </sheetData>
      <sheetData sheetId="2690">
        <row r="1">
          <cell r="A1" t="str">
            <v>시멘트,모래,자갈 산출표</v>
          </cell>
        </row>
      </sheetData>
      <sheetData sheetId="2691">
        <row r="1">
          <cell r="A1" t="str">
            <v>시멘트,모래,자갈 산출표</v>
          </cell>
        </row>
      </sheetData>
      <sheetData sheetId="2692">
        <row r="1">
          <cell r="A1" t="str">
            <v>시멘트,모래,자갈 산출표</v>
          </cell>
        </row>
      </sheetData>
      <sheetData sheetId="2693">
        <row r="1">
          <cell r="A1" t="str">
            <v>시멘트,모래,자갈 산출표</v>
          </cell>
        </row>
      </sheetData>
      <sheetData sheetId="2694">
        <row r="1">
          <cell r="A1" t="str">
            <v>시멘트,모래,자갈 산출표</v>
          </cell>
        </row>
      </sheetData>
      <sheetData sheetId="2695">
        <row r="1">
          <cell r="A1" t="str">
            <v>시멘트,모래,자갈 산출표</v>
          </cell>
        </row>
      </sheetData>
      <sheetData sheetId="2696">
        <row r="1">
          <cell r="A1" t="str">
            <v>시멘트,모래,자갈 산출표</v>
          </cell>
        </row>
      </sheetData>
      <sheetData sheetId="2697">
        <row r="1">
          <cell r="A1" t="str">
            <v>시멘트,모래,자갈 산출표</v>
          </cell>
        </row>
      </sheetData>
      <sheetData sheetId="2698">
        <row r="1">
          <cell r="A1" t="str">
            <v>시멘트,모래,자갈 산출표</v>
          </cell>
        </row>
      </sheetData>
      <sheetData sheetId="2699">
        <row r="1">
          <cell r="A1" t="str">
            <v>시멘트,모래,자갈 산출표</v>
          </cell>
        </row>
      </sheetData>
      <sheetData sheetId="2700">
        <row r="1">
          <cell r="A1" t="str">
            <v>시멘트,모래,자갈 산출표</v>
          </cell>
        </row>
      </sheetData>
      <sheetData sheetId="2701">
        <row r="1">
          <cell r="A1" t="str">
            <v>시멘트,모래,자갈 산출표</v>
          </cell>
        </row>
      </sheetData>
      <sheetData sheetId="2702"/>
      <sheetData sheetId="2703">
        <row r="1">
          <cell r="A1" t="str">
            <v>시멘트,모래,자갈 산출표</v>
          </cell>
        </row>
      </sheetData>
      <sheetData sheetId="2704">
        <row r="1">
          <cell r="A1" t="str">
            <v>시멘트,모래,자갈 산출표</v>
          </cell>
        </row>
      </sheetData>
      <sheetData sheetId="2705">
        <row r="1">
          <cell r="A1" t="str">
            <v>시멘트,모래,자갈 산출표</v>
          </cell>
        </row>
      </sheetData>
      <sheetData sheetId="2706">
        <row r="1">
          <cell r="A1" t="str">
            <v>시멘트,모래,자갈 산출표</v>
          </cell>
        </row>
      </sheetData>
      <sheetData sheetId="2707">
        <row r="1">
          <cell r="A1" t="str">
            <v>시멘트,모래,자갈 산출표</v>
          </cell>
        </row>
      </sheetData>
      <sheetData sheetId="2708">
        <row r="1">
          <cell r="A1" t="str">
            <v>시멘트,모래,자갈 산출표</v>
          </cell>
        </row>
      </sheetData>
      <sheetData sheetId="2709">
        <row r="1">
          <cell r="A1" t="str">
            <v>시멘트,모래,자갈 산출표</v>
          </cell>
        </row>
      </sheetData>
      <sheetData sheetId="2710">
        <row r="1">
          <cell r="A1" t="str">
            <v>시멘트,모래,자갈 산출표</v>
          </cell>
        </row>
      </sheetData>
      <sheetData sheetId="2711">
        <row r="1">
          <cell r="A1" t="str">
            <v>시멘트,모래,자갈 산출표</v>
          </cell>
        </row>
      </sheetData>
      <sheetData sheetId="2712"/>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ow r="1">
          <cell r="A1" t="str">
            <v>시멘트,모래,자갈 산출표</v>
          </cell>
        </row>
      </sheetData>
      <sheetData sheetId="2941">
        <row r="1">
          <cell r="A1" t="str">
            <v>시멘트,모래,자갈 산출표</v>
          </cell>
        </row>
      </sheetData>
      <sheetData sheetId="2942">
        <row r="1">
          <cell r="A1" t="str">
            <v>시멘트,모래,자갈 산출표</v>
          </cell>
        </row>
      </sheetData>
      <sheetData sheetId="2943">
        <row r="1">
          <cell r="A1" t="str">
            <v>시멘트,모래,자갈 산출표</v>
          </cell>
        </row>
      </sheetData>
      <sheetData sheetId="2944">
        <row r="1">
          <cell r="A1" t="str">
            <v>시멘트,모래,자갈 산출표</v>
          </cell>
        </row>
      </sheetData>
      <sheetData sheetId="2945">
        <row r="1">
          <cell r="A1" t="str">
            <v>시멘트,모래,자갈 산출표</v>
          </cell>
        </row>
      </sheetData>
      <sheetData sheetId="2946">
        <row r="1">
          <cell r="A1" t="str">
            <v>시멘트,모래,자갈 산출표</v>
          </cell>
        </row>
      </sheetData>
      <sheetData sheetId="2947">
        <row r="1">
          <cell r="A1" t="str">
            <v>시멘트,모래,자갈 산출표</v>
          </cell>
        </row>
      </sheetData>
      <sheetData sheetId="2948">
        <row r="1">
          <cell r="A1" t="str">
            <v>시멘트,모래,자갈 산출표</v>
          </cell>
        </row>
      </sheetData>
      <sheetData sheetId="2949">
        <row r="1">
          <cell r="A1" t="str">
            <v>시멘트,모래,자갈 산출표</v>
          </cell>
        </row>
      </sheetData>
      <sheetData sheetId="2950">
        <row r="1">
          <cell r="A1" t="str">
            <v>시멘트,모래,자갈 산출표</v>
          </cell>
        </row>
      </sheetData>
      <sheetData sheetId="2951">
        <row r="1">
          <cell r="A1" t="str">
            <v>시멘트,모래,자갈 산출표</v>
          </cell>
        </row>
      </sheetData>
      <sheetData sheetId="2952">
        <row r="1">
          <cell r="A1" t="str">
            <v>시멘트,모래,자갈 산출표</v>
          </cell>
        </row>
      </sheetData>
      <sheetData sheetId="2953">
        <row r="1">
          <cell r="A1" t="str">
            <v>시멘트,모래,자갈 산출표</v>
          </cell>
        </row>
      </sheetData>
      <sheetData sheetId="2954">
        <row r="1">
          <cell r="A1" t="str">
            <v>시멘트,모래,자갈 산출표</v>
          </cell>
        </row>
      </sheetData>
      <sheetData sheetId="2955">
        <row r="1">
          <cell r="A1" t="str">
            <v>시멘트,모래,자갈 산출표</v>
          </cell>
        </row>
      </sheetData>
      <sheetData sheetId="2956">
        <row r="1">
          <cell r="A1" t="str">
            <v>시멘트,모래,자갈 산출표</v>
          </cell>
        </row>
      </sheetData>
      <sheetData sheetId="2957">
        <row r="1">
          <cell r="A1" t="str">
            <v>시멘트,모래,자갈 산출표</v>
          </cell>
        </row>
      </sheetData>
      <sheetData sheetId="2958">
        <row r="1">
          <cell r="A1" t="str">
            <v>시멘트,모래,자갈 산출표</v>
          </cell>
        </row>
      </sheetData>
      <sheetData sheetId="2959">
        <row r="1">
          <cell r="A1" t="str">
            <v>시멘트,모래,자갈 산출표</v>
          </cell>
        </row>
      </sheetData>
      <sheetData sheetId="2960">
        <row r="1">
          <cell r="A1" t="str">
            <v>시멘트,모래,자갈 산출표</v>
          </cell>
        </row>
      </sheetData>
      <sheetData sheetId="2961">
        <row r="1">
          <cell r="A1" t="str">
            <v>시멘트,모래,자갈 산출표</v>
          </cell>
        </row>
      </sheetData>
      <sheetData sheetId="2962">
        <row r="1">
          <cell r="A1" t="str">
            <v>시멘트,모래,자갈 산출표</v>
          </cell>
        </row>
      </sheetData>
      <sheetData sheetId="2963">
        <row r="1">
          <cell r="A1" t="str">
            <v>시멘트,모래,자갈 산출표</v>
          </cell>
        </row>
      </sheetData>
      <sheetData sheetId="2964">
        <row r="1">
          <cell r="A1" t="str">
            <v>시멘트,모래,자갈 산출표</v>
          </cell>
        </row>
      </sheetData>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ow r="1">
          <cell r="A1" t="str">
            <v>시멘트,모래,자갈 산출표</v>
          </cell>
        </row>
      </sheetData>
      <sheetData sheetId="3151">
        <row r="1">
          <cell r="A1" t="str">
            <v>시멘트,모래,자갈 산출표</v>
          </cell>
        </row>
      </sheetData>
      <sheetData sheetId="3152">
        <row r="1">
          <cell r="A1" t="str">
            <v>시멘트,모래,자갈 산출표</v>
          </cell>
        </row>
      </sheetData>
      <sheetData sheetId="3153">
        <row r="1">
          <cell r="A1" t="str">
            <v>시멘트,모래,자갈 산출표</v>
          </cell>
        </row>
      </sheetData>
      <sheetData sheetId="3154">
        <row r="1">
          <cell r="A1" t="str">
            <v>시멘트,모래,자갈 산출표</v>
          </cell>
        </row>
      </sheetData>
      <sheetData sheetId="3155">
        <row r="1">
          <cell r="A1" t="str">
            <v>시멘트,모래,자갈 산출표</v>
          </cell>
        </row>
      </sheetData>
      <sheetData sheetId="3156">
        <row r="1">
          <cell r="A1" t="str">
            <v>시멘트,모래,자갈 산출표</v>
          </cell>
        </row>
      </sheetData>
      <sheetData sheetId="3157">
        <row r="1">
          <cell r="A1" t="str">
            <v>시멘트,모래,자갈 산출표</v>
          </cell>
        </row>
      </sheetData>
      <sheetData sheetId="3158">
        <row r="1">
          <cell r="A1" t="str">
            <v>시멘트,모래,자갈 산출표</v>
          </cell>
        </row>
      </sheetData>
      <sheetData sheetId="3159">
        <row r="1">
          <cell r="A1" t="str">
            <v>시멘트,모래,자갈 산출표</v>
          </cell>
        </row>
      </sheetData>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ow r="1">
          <cell r="A1" t="str">
            <v>시멘트,모래,자갈 산출표</v>
          </cell>
        </row>
      </sheetData>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sheetData sheetId="3274"/>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sheetData sheetId="3312">
        <row r="1">
          <cell r="A1" t="str">
            <v>시멘트,모래,자갈 산출표</v>
          </cell>
        </row>
      </sheetData>
      <sheetData sheetId="3313">
        <row r="1">
          <cell r="A1" t="str">
            <v>시멘트,모래,자갈 산출표</v>
          </cell>
        </row>
      </sheetData>
      <sheetData sheetId="3314">
        <row r="1">
          <cell r="A1" t="str">
            <v>시멘트,모래,자갈 산출표</v>
          </cell>
        </row>
      </sheetData>
      <sheetData sheetId="3315">
        <row r="1">
          <cell r="A1" t="str">
            <v>시멘트,모래,자갈 산출표</v>
          </cell>
        </row>
      </sheetData>
      <sheetData sheetId="3316">
        <row r="1">
          <cell r="A1" t="str">
            <v>시멘트,모래,자갈 산출표</v>
          </cell>
        </row>
      </sheetData>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sheetData sheetId="3404" refreshError="1"/>
      <sheetData sheetId="3405"/>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ow r="1">
          <cell r="A1" t="str">
            <v>시멘트,모래,자갈 산출표</v>
          </cell>
        </row>
      </sheetData>
      <sheetData sheetId="3425">
        <row r="1">
          <cell r="A1" t="str">
            <v>시멘트,모래,자갈 산출표</v>
          </cell>
        </row>
      </sheetData>
      <sheetData sheetId="3426">
        <row r="1">
          <cell r="A1" t="str">
            <v>시멘트,모래,자갈 산출표</v>
          </cell>
        </row>
      </sheetData>
      <sheetData sheetId="3427">
        <row r="1">
          <cell r="A1" t="str">
            <v>시멘트,모래,자갈 산출표</v>
          </cell>
        </row>
      </sheetData>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sheetData sheetId="3511"/>
      <sheetData sheetId="3512"/>
      <sheetData sheetId="3513"/>
      <sheetData sheetId="3514"/>
      <sheetData sheetId="3515"/>
      <sheetData sheetId="3516"/>
      <sheetData sheetId="3517"/>
      <sheetData sheetId="3518"/>
      <sheetData sheetId="3519"/>
      <sheetData sheetId="3520"/>
      <sheetData sheetId="3521">
        <row r="1">
          <cell r="A1" t="str">
            <v>시멘트,모래,자갈 산출표</v>
          </cell>
        </row>
      </sheetData>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sheetData sheetId="3640"/>
      <sheetData sheetId="3641"/>
      <sheetData sheetId="3642"/>
      <sheetData sheetId="3643"/>
      <sheetData sheetId="3644" refreshError="1"/>
      <sheetData sheetId="3645"/>
      <sheetData sheetId="3646"/>
      <sheetData sheetId="3647"/>
      <sheetData sheetId="3648" refreshError="1"/>
      <sheetData sheetId="3649"/>
      <sheetData sheetId="3650"/>
      <sheetData sheetId="3651"/>
      <sheetData sheetId="3652"/>
      <sheetData sheetId="3653"/>
      <sheetData sheetId="3654"/>
      <sheetData sheetId="3655"/>
      <sheetData sheetId="3656"/>
      <sheetData sheetId="3657"/>
      <sheetData sheetId="3658"/>
      <sheetData sheetId="3659"/>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row r="1">
          <cell r="A1" t="str">
            <v>시멘트,모래,자갈 산출표</v>
          </cell>
        </row>
      </sheetData>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sheetData sheetId="3846"/>
      <sheetData sheetId="3847"/>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ow r="1">
          <cell r="A1" t="str">
            <v>시멘트,모래,자갈 산출표</v>
          </cell>
        </row>
      </sheetData>
      <sheetData sheetId="3900">
        <row r="1">
          <cell r="A1" t="str">
            <v>시멘트,모래,자갈 산출표</v>
          </cell>
        </row>
      </sheetData>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refreshError="1"/>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row r="1">
          <cell r="A1" t="str">
            <v>시멘트,모래,자갈 산출표</v>
          </cell>
        </row>
      </sheetData>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row r="1">
          <cell r="A1" t="str">
            <v>시멘트,모래,자갈 산출표</v>
          </cell>
        </row>
      </sheetData>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설계"/>
      <sheetName val="수량"/>
      <sheetName val="부표단가,총괄표"/>
      <sheetName val="내역서"/>
      <sheetName val="OPGW기별"/>
      <sheetName val="사.연간 면적 산출표"/>
      <sheetName val="증감대비"/>
      <sheetName val="대창(장성)"/>
      <sheetName val="창녕산출"/>
      <sheetName val="설계명세"/>
      <sheetName val="토목수량(공정)"/>
      <sheetName val="지시서"/>
      <sheetName val="기초자료입력"/>
      <sheetName val="참고입력자료"/>
      <sheetName val="자산번호"/>
      <sheetName val="발안전력구"/>
      <sheetName val="인상효1"/>
      <sheetName val="설계명세서"/>
      <sheetName val="준공머리"/>
      <sheetName val="단위수량"/>
      <sheetName val="DISTANCE"/>
      <sheetName val="설계서"/>
      <sheetName val="품셈"/>
      <sheetName val="공사설계서"/>
      <sheetName val="설계서SC"/>
      <sheetName val="제작운반변경"/>
      <sheetName val="운반비변경"/>
      <sheetName val="제작운반"/>
      <sheetName val="노임단가"/>
      <sheetName val="원가계산"/>
      <sheetName val="운반비 (2)"/>
      <sheetName val="기초물량"/>
      <sheetName val="경비"/>
      <sheetName val="재료비"/>
      <sheetName val="공사예산"/>
      <sheetName val="총괄표"/>
      <sheetName val="노임코드"/>
      <sheetName val="진고설계"/>
      <sheetName val="토공(우물통,기타) "/>
      <sheetName val="공예을"/>
      <sheetName val="총괄"/>
      <sheetName val="공예율"/>
      <sheetName val="기초"/>
      <sheetName val="16년하반기 노임단가"/>
      <sheetName val="12호기내역서(건축분)"/>
      <sheetName val="MANUFACTORY"/>
      <sheetName val="맨홀수량산출"/>
      <sheetName val="동방설계서"/>
      <sheetName val="Sheet1 (2)"/>
      <sheetName val="7-3.송전도급분"/>
      <sheetName val="SLAB"/>
      <sheetName val="노무산출서(신설)"/>
      <sheetName val="일위대가표"/>
      <sheetName val="#REF"/>
      <sheetName val="설계서(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창"/>
      <sheetName val="기초입력"/>
      <sheetName val="계획-검토서"/>
      <sheetName val="표지-계획-설명"/>
      <sheetName val="총괄표"/>
      <sheetName val="공사예산"/>
      <sheetName val="공정표"/>
      <sheetName val="재료비"/>
      <sheetName val="노무비"/>
      <sheetName val="품셈"/>
      <sheetName val="경비일반이윤"/>
      <sheetName val="원가계산"/>
      <sheetName val="재료변경"/>
      <sheetName val="노무변경"/>
      <sheetName val="경비일반이윤변경"/>
      <sheetName val="변경집계표"/>
      <sheetName val="설계변경표지"/>
      <sheetName val="운반비"/>
      <sheetName val="운반비변경"/>
      <sheetName val="중량산출"/>
      <sheetName val="중량산출변경"/>
      <sheetName val="154kV MTR중량"/>
      <sheetName val="170kV GIS중량"/>
      <sheetName val="23kV GIS중량"/>
      <sheetName val="제작운반"/>
      <sheetName val="제작운반변경"/>
      <sheetName val="굴토량"/>
      <sheetName val="방재집계표"/>
      <sheetName val="방재물량(총괄)"/>
      <sheetName val="대형개구부"/>
      <sheetName val="일반개구부"/>
      <sheetName val="RTU개구부"/>
      <sheetName val="앵글물량"/>
      <sheetName val="철판물량"/>
      <sheetName val="수입집계"/>
      <sheetName val="수입원가계산"/>
      <sheetName val="공사통보서"/>
      <sheetName val="계약지불의뢰"/>
      <sheetName val="부표-내역"/>
      <sheetName val="소내반"/>
      <sheetName val="포설리스트"/>
      <sheetName val="자산번호"/>
      <sheetName val="참고입력자료"/>
      <sheetName val="노임단가"/>
      <sheetName val="적용기준표(98년상반기)"/>
      <sheetName val="토목수량(공정)"/>
      <sheetName val="#REF"/>
      <sheetName val="준공정산"/>
      <sheetName val="기초자료입력"/>
      <sheetName val="설계"/>
      <sheetName val="설계서"/>
      <sheetName val="20_10_100"/>
      <sheetName val="설계명세서"/>
      <sheetName val="257A1"/>
      <sheetName val="계통도"/>
      <sheetName val="설계명세,97품셈"/>
      <sheetName val="설계명세,99품셈"/>
      <sheetName val="소운반"/>
      <sheetName val="참고사항"/>
      <sheetName val="간이공사"/>
      <sheetName val="345kV MTR중량"/>
      <sheetName val="345kV GIS중량"/>
      <sheetName val="154kV GIS중량"/>
      <sheetName val="기본입력표"/>
      <sheetName val="간공설계서"/>
      <sheetName val="설계서SC"/>
      <sheetName val="설계명세"/>
      <sheetName val="내역서(2)"/>
      <sheetName val="준공머리"/>
      <sheetName val="발안전력구"/>
      <sheetName val="정산"/>
      <sheetName val="신 설계서1"/>
      <sheetName val="산출내역서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row r="3">
          <cell r="B3" t="str">
            <v>자 산 명(선택)</v>
          </cell>
        </row>
        <row r="4">
          <cell r="B4" t="str">
            <v>철         구</v>
          </cell>
        </row>
        <row r="5">
          <cell r="B5" t="str">
            <v>기 기  기 초</v>
          </cell>
        </row>
        <row r="6">
          <cell r="B6" t="str">
            <v>축   전   지</v>
          </cell>
        </row>
        <row r="7">
          <cell r="B7" t="str">
            <v>충 전 장 치</v>
          </cell>
        </row>
        <row r="8">
          <cell r="B8" t="str">
            <v>345kV 유니트 궤전 장치</v>
          </cell>
        </row>
        <row r="9">
          <cell r="B9" t="str">
            <v>154kV 유니트 궤전 장치</v>
          </cell>
        </row>
        <row r="10">
          <cell r="B10" t="str">
            <v>23kV 유니트 궤전 장치</v>
          </cell>
        </row>
        <row r="11">
          <cell r="B11" t="str">
            <v>345kV 주 변 압 기</v>
          </cell>
        </row>
        <row r="12">
          <cell r="B12" t="str">
            <v>154kV 주 변 압 기</v>
          </cell>
        </row>
        <row r="13">
          <cell r="B13" t="str">
            <v>66kV 주 변 압 기</v>
          </cell>
        </row>
        <row r="14">
          <cell r="B14" t="str">
            <v>154kV S.C</v>
          </cell>
        </row>
        <row r="15">
          <cell r="B15" t="str">
            <v>23kV S.C</v>
          </cell>
        </row>
        <row r="16">
          <cell r="B16" t="str">
            <v>345kV Sh.R</v>
          </cell>
        </row>
        <row r="17">
          <cell r="B17" t="str">
            <v>154kV Sh.R</v>
          </cell>
        </row>
        <row r="18">
          <cell r="B18" t="str">
            <v>23kV Sh.R</v>
          </cell>
        </row>
        <row r="19">
          <cell r="B19" t="str">
            <v>모 선 배 선</v>
          </cell>
        </row>
        <row r="20">
          <cell r="B20" t="str">
            <v>보안용 조명 장치</v>
          </cell>
        </row>
        <row r="21">
          <cell r="B21" t="str">
            <v>접 지 장 치</v>
          </cell>
        </row>
        <row r="22">
          <cell r="B22" t="str">
            <v>소호선륜 ( NGR )</v>
          </cell>
        </row>
        <row r="24">
          <cell r="B24" t="str">
            <v>소내 설비관로(Steel Hot Dip Galvanizing)</v>
          </cell>
        </row>
        <row r="25">
          <cell r="B25" t="str">
            <v>22kV 피뢰기(모선용)</v>
          </cell>
        </row>
        <row r="26">
          <cell r="B26" t="str">
            <v>66kV 피뢰기(모선용)</v>
          </cell>
        </row>
        <row r="27">
          <cell r="B27" t="str">
            <v>154kV 피뢰기(모선용)</v>
          </cell>
        </row>
        <row r="28">
          <cell r="B28" t="str">
            <v>345kV 피뢰기(모선용)</v>
          </cell>
        </row>
        <row r="29">
          <cell r="B29" t="str">
            <v>22kV 피뢰기(변전용)</v>
          </cell>
        </row>
        <row r="30">
          <cell r="B30" t="str">
            <v>66kV 피뢰기(변전용)</v>
          </cell>
        </row>
        <row r="31">
          <cell r="B31" t="str">
            <v>154kV 피뢰기(변전용)</v>
          </cell>
        </row>
        <row r="32">
          <cell r="B32" t="str">
            <v>345kV 피뢰기(변전용)</v>
          </cell>
        </row>
        <row r="33">
          <cell r="B33" t="str">
            <v>22kV  차단기 장치</v>
          </cell>
        </row>
        <row r="34">
          <cell r="B34" t="str">
            <v>66kV  차단기 장치</v>
          </cell>
        </row>
        <row r="35">
          <cell r="B35" t="str">
            <v>154kV  차단기 장치</v>
          </cell>
        </row>
        <row r="36">
          <cell r="B36" t="str">
            <v>345kV  차단기 장치</v>
          </cell>
        </row>
        <row r="37">
          <cell r="B37" t="str">
            <v>22kV   전위변성기</v>
          </cell>
        </row>
        <row r="38">
          <cell r="B38" t="str">
            <v>66kV   전위변성기</v>
          </cell>
        </row>
        <row r="39">
          <cell r="B39" t="str">
            <v>154kV   전위변성기</v>
          </cell>
        </row>
        <row r="40">
          <cell r="B40" t="str">
            <v>345kV   전위변성기</v>
          </cell>
        </row>
        <row r="41">
          <cell r="B41" t="str">
            <v>22kV 선로개폐기장치</v>
          </cell>
        </row>
        <row r="42">
          <cell r="B42" t="str">
            <v>66kV 선로개폐기장치</v>
          </cell>
        </row>
        <row r="43">
          <cell r="B43" t="str">
            <v>154kV 선로개폐기장치</v>
          </cell>
        </row>
        <row r="44">
          <cell r="B44" t="str">
            <v>345kV 선로개폐기장치</v>
          </cell>
        </row>
        <row r="45">
          <cell r="B45" t="str">
            <v>제      어      반</v>
          </cell>
        </row>
        <row r="46">
          <cell r="B46" t="str">
            <v>변압기 보호 배전반</v>
          </cell>
        </row>
        <row r="47">
          <cell r="B47" t="str">
            <v>모선 보호    배전반</v>
          </cell>
        </row>
        <row r="48">
          <cell r="B48" t="str">
            <v>선로 보호    배전반</v>
          </cell>
        </row>
        <row r="49">
          <cell r="B49" t="str">
            <v>S.C 보호     배전반</v>
          </cell>
        </row>
        <row r="50">
          <cell r="B50" t="str">
            <v>Sh.R 보호   배전반</v>
          </cell>
        </row>
        <row r="51">
          <cell r="B51" t="str">
            <v>기   타        배전반</v>
          </cell>
        </row>
        <row r="52">
          <cell r="B52" t="str">
            <v>조  작  용     전  선</v>
          </cell>
        </row>
        <row r="53">
          <cell r="B53" t="str">
            <v>소내변압기  50kVA</v>
          </cell>
        </row>
        <row r="54">
          <cell r="B54" t="str">
            <v>소내변압기  100kVA</v>
          </cell>
        </row>
        <row r="55">
          <cell r="B55" t="str">
            <v>소내변압기  150kVA</v>
          </cell>
        </row>
        <row r="56">
          <cell r="B56" t="str">
            <v>선로 보호    배전반</v>
          </cell>
        </row>
        <row r="57">
          <cell r="B57" t="str">
            <v>선로 보호    배전반</v>
          </cell>
        </row>
        <row r="58">
          <cell r="B58" t="str">
            <v>선로 보호    배전반</v>
          </cell>
        </row>
        <row r="59">
          <cell r="B59" t="str">
            <v>S.C 보호     배전반</v>
          </cell>
        </row>
      </sheetData>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간이공사지시서"/>
      <sheetName val="산출명세서"/>
      <sheetName val="표지"/>
      <sheetName val="보강공사"/>
      <sheetName val="설계명세서"/>
      <sheetName val="적용기준표(98년상반기)"/>
      <sheetName val="산출기준"/>
      <sheetName val="노임단가(2000하반기)"/>
      <sheetName val="주부응대"/>
      <sheetName val="참고입력자료"/>
      <sheetName val="자산번호"/>
      <sheetName val="BACKDATA"/>
      <sheetName val="257A1"/>
      <sheetName val="#REF"/>
      <sheetName val="Sheet1"/>
      <sheetName val="셀별_SNR_통계200754135055"/>
      <sheetName val="물량기준표"/>
      <sheetName val="예산내역서"/>
      <sheetName val="노임단가표"/>
      <sheetName val="부평HFC&lt;--&gt;북인천SO"/>
      <sheetName val="기별"/>
      <sheetName val="준공정산보고서"/>
      <sheetName val="인부임"/>
      <sheetName val="자료사전"/>
      <sheetName val="정산"/>
      <sheetName val="첨)시중노임단가"/>
      <sheetName val="인건-측정"/>
      <sheetName val="설계서"/>
      <sheetName val="선로수량집계"/>
      <sheetName val="장비수량집계"/>
      <sheetName val="지장수량집계"/>
      <sheetName val="철거"/>
      <sheetName val="서울"/>
      <sheetName val="환"/>
      <sheetName val="Total"/>
      <sheetName val="계통도"/>
      <sheetName val="추가 품셈표"/>
      <sheetName val="예정(3)"/>
      <sheetName val="Sheet2"/>
      <sheetName val="사급자재단가"/>
      <sheetName val="비고"/>
      <sheetName val="9GNG운반"/>
      <sheetName val="별첨 #2."/>
      <sheetName val="노임단가"/>
      <sheetName val="목록_수정금지"/>
      <sheetName val="Baby일위대가"/>
      <sheetName val="일위대가표"/>
      <sheetName val="공정량(MC이설)"/>
      <sheetName val="설계기별"/>
      <sheetName val="일위대가"/>
      <sheetName val="설계명세서(종합)"/>
      <sheetName val="수도권지사"/>
      <sheetName val="IN"/>
      <sheetName val="Macro2"/>
      <sheetName val="정산내역서"/>
      <sheetName val="전자"/>
      <sheetName val="공공"/>
      <sheetName val="기존"/>
      <sheetName val="투자,임차지표"/>
      <sheetName val="CCTV"/>
      <sheetName val="MPLS"/>
      <sheetName val="설계"/>
      <sheetName val="설계명세,97품셈"/>
      <sheetName val="소요자재"/>
      <sheetName val="노무산출서"/>
      <sheetName val="산출내역서집계표"/>
      <sheetName val="rate"/>
      <sheetName val="품셈표"/>
      <sheetName val="공리공제"/>
      <sheetName val="앞표지"/>
      <sheetName val="설계서(1)"/>
      <sheetName val="인수공규격"/>
      <sheetName val="조명시설"/>
      <sheetName val="DB구축"/>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내역서"/>
      <sheetName val="원가계산서"/>
      <sheetName val="원가서"/>
      <sheetName val="조명시설"/>
      <sheetName val="단가"/>
      <sheetName val="12호기내역서(건축분)"/>
    </sheetNames>
    <sheetDataSet>
      <sheetData sheetId="0" refreshError="1"/>
      <sheetData sheetId="1"/>
      <sheetData sheetId="2">
        <row r="4">
          <cell r="D4">
            <v>266493739</v>
          </cell>
        </row>
      </sheetData>
      <sheetData sheetId="3" refreshError="1"/>
      <sheetData sheetId="4" refreshError="1"/>
      <sheetData sheetId="5"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합천내역"/>
      <sheetName val="설계명세서"/>
      <sheetName val="N賃率-職"/>
      <sheetName val="일위"/>
      <sheetName val="일위(PN)"/>
      <sheetName val="설직재-1"/>
      <sheetName val="갑지(추정)"/>
      <sheetName val="일위대가"/>
      <sheetName val="데이타"/>
      <sheetName val="Total"/>
      <sheetName val="집계표(OPTION)"/>
      <sheetName val="I一般比"/>
      <sheetName val="금액내역서"/>
      <sheetName val="6호기"/>
      <sheetName val="거래처"/>
      <sheetName val="Sheet2"/>
      <sheetName val="김포IO"/>
      <sheetName val="FD"/>
      <sheetName val="약전닥트"/>
      <sheetName val="건축부하"/>
      <sheetName val="처리단락"/>
      <sheetName val="99관저"/>
      <sheetName val="일지-H"/>
      <sheetName val="LD"/>
      <sheetName val="FA설치명세"/>
      <sheetName val="일위대가 "/>
      <sheetName val="FB25JN"/>
      <sheetName val="준공정산"/>
      <sheetName val="마건사1"/>
      <sheetName val="마검수1"/>
      <sheetName val="마공기1"/>
      <sheetName val="마변전소1"/>
      <sheetName val="마승무1"/>
      <sheetName val="마쓰레기1"/>
      <sheetName val="마운전1"/>
      <sheetName val="마전삭고1"/>
      <sheetName val="마정문1"/>
      <sheetName val="마중앙1"/>
      <sheetName val="마차륜1"/>
      <sheetName val="마차체1"/>
      <sheetName val="마폐수1"/>
      <sheetName val="마환경정비1"/>
      <sheetName val="마후문1"/>
      <sheetName val="수량산출"/>
      <sheetName val="Sheet13"/>
      <sheetName val="Sheet14"/>
      <sheetName val="D-경비1"/>
      <sheetName val="CTEMCOST"/>
      <sheetName val="(참고)계정"/>
      <sheetName val="(참고)재무코드"/>
      <sheetName val="재료율"/>
      <sheetName val="정산리스트(서브탭)"/>
      <sheetName val="#REF"/>
      <sheetName val="정산리스트"/>
      <sheetName val="항목"/>
      <sheetName val="항목명"/>
      <sheetName val="갑지"/>
      <sheetName val="2.26"/>
      <sheetName val="설계명세"/>
      <sheetName val="시행후면적"/>
      <sheetName val="수지예산"/>
      <sheetName val="dt0301"/>
      <sheetName val="dtt0301"/>
      <sheetName val="인건비 "/>
      <sheetName val="내역서"/>
      <sheetName val="직재"/>
      <sheetName val="아파트 "/>
      <sheetName val="연돌일위집계"/>
      <sheetName val="집계표"/>
      <sheetName val="TYPE-A"/>
      <sheetName val="TYPE-B"/>
      <sheetName val="단가표"/>
      <sheetName val="일위목록"/>
      <sheetName val="잡비"/>
      <sheetName val="증감대비"/>
      <sheetName val="프랜트면허"/>
      <sheetName val="토목주소"/>
      <sheetName val="J直材4"/>
      <sheetName val="9GNG운반"/>
      <sheetName val="위치"/>
      <sheetName val="40총괄"/>
      <sheetName val="40집계"/>
      <sheetName val="SAM"/>
      <sheetName val="총괄내역서"/>
      <sheetName val="고유코드_설계"/>
      <sheetName val="노임단가표"/>
      <sheetName val="통합배선반내역서"/>
      <sheetName val="품목구분"/>
      <sheetName val="표지"/>
      <sheetName val="결과조달"/>
      <sheetName val="조명시설"/>
      <sheetName val="차액보증"/>
      <sheetName val="단"/>
      <sheetName val="내역서1999.8최종"/>
      <sheetName val="심사계산"/>
      <sheetName val="심사물량"/>
      <sheetName val="기초자료입력"/>
      <sheetName val="xSeries255"/>
      <sheetName val="Edit"/>
      <sheetName val="Master Data"/>
      <sheetName val="Edit(01)"/>
      <sheetName val="손익분석"/>
      <sheetName val="공사개요"/>
      <sheetName val="기초단가"/>
      <sheetName val="실행철강하도"/>
      <sheetName val="견적대비"/>
      <sheetName val="Sheet4"/>
      <sheetName val="역T형"/>
      <sheetName val="6PILE  (돌출)"/>
      <sheetName val="DATE"/>
      <sheetName val="구성비"/>
      <sheetName val="남양내역"/>
      <sheetName val="wall"/>
      <sheetName val="출입자명단"/>
      <sheetName val="식재인부"/>
      <sheetName val="관접합및부설"/>
      <sheetName val="단가"/>
      <sheetName val="data"/>
      <sheetName val="BID"/>
      <sheetName val="노임단가"/>
      <sheetName val="일위산출"/>
      <sheetName val="노임"/>
      <sheetName val="건축내역"/>
      <sheetName val="철골공사"/>
      <sheetName val="DNT OSBL"/>
      <sheetName val="실행내역"/>
      <sheetName val="소요자재"/>
      <sheetName val="(A)내역서"/>
      <sheetName val="일위대가(1)"/>
      <sheetName val="경영상태"/>
      <sheetName val="LOB"/>
      <sheetName val="덕전리"/>
      <sheetName val="광고유형"/>
      <sheetName val=""/>
      <sheetName val="Sheet1 (2)"/>
      <sheetName val="인건비"/>
      <sheetName val="산거각호표"/>
      <sheetName val="내역서적용"/>
      <sheetName val="값목록(Do not touch)"/>
      <sheetName val="일위대가목차"/>
      <sheetName val="날개벽수량표"/>
      <sheetName val="입찰안"/>
      <sheetName val="고객사 관리 코드"/>
      <sheetName val="XXXXXX"/>
      <sheetName val="조도"/>
      <sheetName val="부하"/>
      <sheetName val="동력"/>
      <sheetName val="0.6-1kV 케이블 (전동기)"/>
      <sheetName val="변압기"/>
      <sheetName val="발전기"/>
      <sheetName val="간선"/>
      <sheetName val="APT"/>
      <sheetName val="도체상수"/>
      <sheetName val="Sheet8"/>
      <sheetName val="Sheet9"/>
      <sheetName val="Sheet10"/>
      <sheetName val="Sheet11"/>
      <sheetName val="Sheet12"/>
      <sheetName val="Sheet15"/>
      <sheetName val="Sheet16"/>
      <sheetName val="도체종-상수표"/>
      <sheetName val="전기자료"/>
      <sheetName val="GEN"/>
      <sheetName val="DUT-BAT1"/>
      <sheetName val="동부하-L"/>
      <sheetName val="비상용"/>
      <sheetName val="상가"/>
      <sheetName val="병원동"/>
      <sheetName val="수변전설비용량계산서"/>
      <sheetName val="변압기E"/>
      <sheetName val="LE"/>
      <sheetName val="지하주차장"/>
      <sheetName val="부속동"/>
      <sheetName val="부속동 (1)"/>
      <sheetName val="동력1"/>
      <sheetName val="접지"/>
      <sheetName val="전화"/>
      <sheetName val="방송"/>
      <sheetName val="Sheet1"/>
      <sheetName val="세대부하"/>
      <sheetName val="동간선"/>
      <sheetName val="코아별부하"/>
      <sheetName val="변압기 "/>
      <sheetName val="P"/>
      <sheetName val="UTILITY"/>
      <sheetName val="환경및유틸리티"/>
      <sheetName val="밧,충전기"/>
      <sheetName val="변압기 용량 계산"/>
      <sheetName val="부하집계"/>
      <sheetName val="변압기별부하집계"/>
      <sheetName val="지하층비상"/>
      <sheetName val="물량표S"/>
      <sheetName val="시화점실행"/>
      <sheetName val="파이프류"/>
      <sheetName val="XL4Poppy"/>
      <sheetName val="8.식재일위"/>
      <sheetName val="B시설가격"/>
      <sheetName val="Supplement2"/>
      <sheetName val="도급b_balju"/>
      <sheetName val="재고list"/>
      <sheetName val="아수배전(1회)"/>
      <sheetName val="공문"/>
      <sheetName val="전기단가조사서"/>
      <sheetName val="기초입력 DATA"/>
      <sheetName val="용수량(생활용수)"/>
      <sheetName val="설계내역서"/>
      <sheetName val="대비"/>
      <sheetName val="연결임시"/>
      <sheetName val="점수계산1-2"/>
      <sheetName val="제-노임"/>
      <sheetName val="제직재"/>
      <sheetName val="개요"/>
      <sheetName val="건축원가계산서"/>
      <sheetName val="전기"/>
      <sheetName val="유림골조"/>
      <sheetName val="제품별"/>
      <sheetName val="금융비용"/>
      <sheetName val="견적대비표"/>
      <sheetName val="견적율"/>
      <sheetName val="증감내역서"/>
      <sheetName val="O＆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refreshError="1"/>
      <sheetData sheetId="145" refreshError="1"/>
      <sheetData sheetId="146" refreshError="1"/>
      <sheetData sheetId="147"/>
      <sheetData sheetId="148" refreshError="1"/>
      <sheetData sheetId="149"/>
      <sheetData sheetId="150" refreshError="1"/>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e1"/>
      <sheetName val="지시서"/>
      <sheetName val="지시서(보관)"/>
      <sheetName val="계통도"/>
      <sheetName val="피스표"/>
      <sheetName val="소요자재명세서"/>
      <sheetName val="노무비명세서"/>
      <sheetName val="기안"/>
      <sheetName val="공사설명서"/>
      <sheetName val="공사계획서"/>
      <sheetName val="공사비예산서"/>
      <sheetName val="설계명세서(선로)"/>
      <sheetName val="기본요율"/>
      <sheetName val="cost9801"/>
      <sheetName val="#REF"/>
      <sheetName val="준공정산"/>
      <sheetName val="기초자료입력"/>
      <sheetName val="투자효율분석"/>
      <sheetName val="자산번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공사비예산서"/>
      <sheetName val="재료비"/>
      <sheetName val="노무비"/>
      <sheetName val="일위대가 "/>
      <sheetName val="품셈"/>
      <sheetName val="고동,고철"/>
      <sheetName val="견적비교(수배전반)"/>
      <sheetName val="견적비교(조명기구)"/>
      <sheetName val="산출총괄표"/>
      <sheetName val="집계표"/>
      <sheetName val="기성율 산출"/>
      <sheetName val="익산설계"/>
      <sheetName val="총괄내역서"/>
      <sheetName val="기초단가"/>
      <sheetName val="원가계산서"/>
      <sheetName val="2공구산출내역"/>
      <sheetName val="증감대비"/>
      <sheetName val="설계서"/>
      <sheetName val="설계실행투찰"/>
      <sheetName val="1,2공구원가계산서"/>
      <sheetName val="1공구산출내역서"/>
      <sheetName val="기본설계기준"/>
      <sheetName val="산수배수"/>
      <sheetName val="실행내역서(DCU)"/>
      <sheetName val="단중표"/>
      <sheetName val="일위대가"/>
      <sheetName val="실행철강하도"/>
      <sheetName val="원가서"/>
      <sheetName val="코드관리"/>
      <sheetName val="자재단가"/>
      <sheetName val="맨홀수량산출"/>
      <sheetName val="단위중량"/>
      <sheetName val=""/>
      <sheetName val="단가산출"/>
      <sheetName val="단가"/>
      <sheetName val="덕전리"/>
      <sheetName val=" 갑지"/>
      <sheetName val="내역서"/>
      <sheetName val="날개벽수량표"/>
      <sheetName val="단위수량"/>
      <sheetName val="조명시설"/>
      <sheetName val="단면치수"/>
      <sheetName val="1.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서"/>
      <sheetName val="품셈표 "/>
      <sheetName val="수량산출명세서"/>
      <sheetName val="도면"/>
      <sheetName val="Sheet15"/>
      <sheetName val="Sheet16"/>
      <sheetName val="2000년1차"/>
      <sheetName val="기둥(원형)"/>
      <sheetName val="기초공"/>
      <sheetName val="내역서"/>
      <sheetName val="공사예산하조서(O.K)"/>
      <sheetName val="별표 "/>
      <sheetName val="2공구산출내역"/>
      <sheetName val="포장총괄집계표"/>
      <sheetName val="수량산출"/>
      <sheetName val="단가조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e1"/>
      <sheetName val="지시서"/>
      <sheetName val="지시서(보관)"/>
      <sheetName val="계통도"/>
      <sheetName val="피스표"/>
      <sheetName val="소요자재명세서"/>
      <sheetName val="노무비명세서"/>
      <sheetName val="기안"/>
      <sheetName val="공사설명서"/>
      <sheetName val="공사계획서"/>
      <sheetName val="공사비예산서"/>
      <sheetName val="설계명세서(선로)"/>
      <sheetName val="기본요율"/>
      <sheetName val="cost98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초자료입력"/>
      <sheetName val="표 지"/>
      <sheetName val="계획서"/>
      <sheetName val="설명서"/>
      <sheetName val="예산서"/>
      <sheetName val="공정표"/>
      <sheetName val="설계명세서"/>
      <sheetName val="공량설계표"/>
      <sheetName val="출력창"/>
      <sheetName val="준공정산"/>
      <sheetName val="준공보고"/>
      <sheetName val="산출명세"/>
      <sheetName val="정산표지"/>
      <sheetName val="취득조서(취득)"/>
      <sheetName val="취득정산"/>
      <sheetName val="배분내역"/>
      <sheetName val="제각표지"/>
      <sheetName val="취득조서(제각)"/>
      <sheetName val="제각정산"/>
      <sheetName val="제각보고(을)"/>
      <sheetName val="간이공사"/>
      <sheetName val="간이예산"/>
      <sheetName val="간이준공보고"/>
      <sheetName val="일반시방서"/>
      <sheetName val="공종단가"/>
      <sheetName val="표준공종"/>
      <sheetName val="특기시방서"/>
      <sheetName val="사용방법"/>
      <sheetName val="Module1"/>
      <sheetName val="Module2"/>
      <sheetName val="Module3"/>
      <sheetName val="Module4"/>
      <sheetName val="Module5"/>
      <sheetName val="설계명세서(선로)"/>
    </sheetNames>
    <sheetDataSet>
      <sheetData sheetId="0">
        <row r="19">
          <cell r="B19" t="str">
            <v>박 수 복</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낙석방지집계표"/>
      <sheetName val="낙석방지책연장"/>
      <sheetName val="가드레일연장"/>
      <sheetName val="guard(mac)"/>
      <sheetName val="박기사-부대공"/>
      <sheetName val="경비일반이윤변경"/>
      <sheetName val="노무변경"/>
      <sheetName val="단가산출"/>
      <sheetName val="내역서 "/>
      <sheetName val="1,2공구원가계산서"/>
      <sheetName val="1공구산출내역서"/>
      <sheetName val="조명시설"/>
      <sheetName val="보차도경계석"/>
      <sheetName val="주beam"/>
      <sheetName val="내역서적용수량집계표"/>
      <sheetName val="설계예산서"/>
      <sheetName val="가시설(TYPE-A)"/>
      <sheetName val="1-1평균터파기고(1)"/>
      <sheetName val="3BL공동구 수량"/>
      <sheetName val="교통표지판수량집계표"/>
      <sheetName val="Sheet1"/>
      <sheetName val="3.하중산정4.지지력"/>
      <sheetName val="SLAB&quot;1&quot;"/>
      <sheetName val="2공구산출내역"/>
      <sheetName val="자재단가"/>
      <sheetName val="00상노임"/>
      <sheetName val="8.석축단위(H=1.5M)"/>
      <sheetName val="배수통관(좌)"/>
      <sheetName val="가도공"/>
      <sheetName val="토공총괄표"/>
      <sheetName val="평균터파기고(1-2,ASP)"/>
      <sheetName val="guard_mac_"/>
      <sheetName val="수량산출서"/>
      <sheetName val="기본설계기준"/>
      <sheetName val="배수장토목공사비"/>
      <sheetName val="신규식재수량"/>
      <sheetName val="포장(수량)-관로부"/>
      <sheetName val="별표집계"/>
      <sheetName val="단면치수"/>
      <sheetName val="포장공"/>
      <sheetName val="토공 total"/>
      <sheetName val="코드표"/>
      <sheetName val="용소리교"/>
      <sheetName val="평야부"/>
      <sheetName val="시설물기초"/>
      <sheetName val="포장공사"/>
      <sheetName val="정렬"/>
      <sheetName val="70%"/>
      <sheetName val="세목전체"/>
      <sheetName val="실행철강하도"/>
      <sheetName val="DATE"/>
      <sheetName val="단위수량"/>
      <sheetName val="내역서"/>
      <sheetName val="토공"/>
      <sheetName val="입찰안"/>
      <sheetName val="조명율표"/>
      <sheetName val="sw1"/>
      <sheetName val="NOMUBI"/>
      <sheetName val="교각1"/>
      <sheetName val="용수량(생활용수)"/>
      <sheetName val="#REF"/>
      <sheetName val="역T형교대(말뚝기초)"/>
      <sheetName val="퇴직공제부금산출근거"/>
      <sheetName val="건축"/>
      <sheetName val="우수맨홀공제단위수량"/>
      <sheetName val="을지"/>
      <sheetName val="자료"/>
      <sheetName val="단가 및 재료비"/>
      <sheetName val="견적서"/>
      <sheetName val="4.2.1 마루높이 검토"/>
      <sheetName val="증감대비"/>
      <sheetName val="총괄내역서"/>
      <sheetName val="신고조서"/>
      <sheetName val="건설산출"/>
      <sheetName val="조명일위"/>
      <sheetName val="교각계산"/>
      <sheetName val="부대단위수량"/>
      <sheetName val="식재인부"/>
      <sheetName val="DANGA"/>
      <sheetName val="맨홀수량산출"/>
      <sheetName val="단가대비표"/>
      <sheetName val="창녕산출"/>
      <sheetName val="전체"/>
      <sheetName val="수량산출"/>
      <sheetName val="원가계산서"/>
      <sheetName val="배수내역"/>
      <sheetName val="관리,공감"/>
      <sheetName val="-배수구조총재료"/>
      <sheetName val="지급자재"/>
      <sheetName val="VXXXXX"/>
      <sheetName val="일위대가"/>
      <sheetName val="6PILE  (돌출)"/>
      <sheetName val="200"/>
      <sheetName val="요율"/>
      <sheetName val="공사개요"/>
      <sheetName val="시중노임단가"/>
      <sheetName val="4.장비손료"/>
      <sheetName val="부대내역"/>
      <sheetName val="직노"/>
      <sheetName val="샌딩 에폭시 도장"/>
      <sheetName val="스텐문틀설치"/>
      <sheetName val="일반문틀 설치"/>
      <sheetName val="단가"/>
      <sheetName val="집계표"/>
      <sheetName val="토공사"/>
      <sheetName val="인건-측정"/>
      <sheetName val="토공(우물통,기타) "/>
      <sheetName val="진흥지역조서(구역밖)"/>
      <sheetName val="자재집계표"/>
      <sheetName val="품셈TABLE"/>
      <sheetName val="공기압축기실"/>
      <sheetName val="포장단면별단위수량"/>
      <sheetName val="내역"/>
      <sheetName val="tggwan(mac)"/>
      <sheetName val="지구단위계획 수립"/>
      <sheetName val="설계명세서"/>
      <sheetName val="하조서"/>
      <sheetName val="데리네이타현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DATE"/>
      <sheetName val="터파기및재료"/>
      <sheetName val="예산"/>
      <sheetName val="조명시설"/>
      <sheetName val="원남울진낙찰내역(99.4.13 부산청)"/>
      <sheetName val="총괄내역서"/>
      <sheetName val="#REF"/>
      <sheetName val="원가서"/>
      <sheetName val="기본단가표"/>
      <sheetName val="우수토적(진입도로)"/>
      <sheetName val="날개벽수량표"/>
      <sheetName val="인건비"/>
      <sheetName val="목차"/>
      <sheetName val="원도급"/>
      <sheetName val="하도급"/>
      <sheetName val="공정보할"/>
      <sheetName val="단가"/>
      <sheetName val=""/>
      <sheetName val="수량산출"/>
      <sheetName val="자재단가"/>
      <sheetName val="N賃率-職"/>
      <sheetName val="프랜트면허"/>
      <sheetName val="토목주소"/>
      <sheetName val="12호기내역서(건축분)"/>
      <sheetName val="토사(PE)"/>
      <sheetName val="본댐설계"/>
      <sheetName val="물가자료"/>
      <sheetName val="기안"/>
      <sheetName val="추가예산"/>
      <sheetName val="원가"/>
      <sheetName val="공통(20-91)"/>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성내역"/>
      <sheetName val="산출내역서"/>
    </sheetNames>
    <sheetDataSet>
      <sheetData sheetId="0">
        <row r="8">
          <cell r="J8">
            <v>1065967101</v>
          </cell>
        </row>
      </sheetData>
      <sheetData sheetId="1"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7일반시방서 "/>
      <sheetName val="8특기시방서 "/>
      <sheetName val="10설계명세서"/>
      <sheetName val="11품셈표"/>
      <sheetName val="2004상"/>
      <sheetName val="도면"/>
      <sheetName val="12수량산출서"/>
      <sheetName val="간이공사통보서"/>
      <sheetName val="산출명세"/>
      <sheetName val="준공검사보고서"/>
      <sheetName val="준공정산내역"/>
      <sheetName val="준공정산보고서"/>
      <sheetName val="고정자산변동조서"/>
      <sheetName val="기초자료입력"/>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단가표"/>
      <sheetName val="품셈"/>
      <sheetName val="10설계명세서"/>
    </sheetNames>
    <sheetDataSet>
      <sheetData sheetId="0">
        <row r="9">
          <cell r="D9">
            <v>60607</v>
          </cell>
        </row>
      </sheetData>
      <sheetData sheetId="1"/>
      <sheetData sheetId="2"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실장내역"/>
      <sheetName val="배치도 작업후"/>
      <sheetName val="배치도 작업전 "/>
      <sheetName val="간이설계(4-15)"/>
      <sheetName val="품셈"/>
      <sheetName val="공사지시(4-15)"/>
      <sheetName val="통신노임 (01하반기)"/>
      <sheetName val="Sheet6"/>
      <sheetName val="Sheet7"/>
      <sheetName val="Sheet8"/>
      <sheetName val="Sheet9"/>
      <sheetName val="Sheet10"/>
      <sheetName val="Sheet11"/>
      <sheetName val="Sheet12"/>
      <sheetName val="Sheet13"/>
      <sheetName val="Sheet14"/>
      <sheetName val="Sheet15"/>
      <sheetName val="Sheet16"/>
      <sheetName val="노임단가표"/>
      <sheetName val="노무비명세서2"/>
      <sheetName val="기초자료입력"/>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내역표지"/>
      <sheetName val=" HIT-&gt;HMC 견적(3900)"/>
      <sheetName val="품셈TABLE"/>
      <sheetName val="토공사"/>
      <sheetName val="집계표"/>
      <sheetName val="단가"/>
      <sheetName val="자재테이블"/>
      <sheetName val="기성집계"/>
      <sheetName val="SLAB&quot;1&quot;"/>
      <sheetName val="TB-내역서"/>
      <sheetName val="오억미만"/>
      <sheetName val="손익분석"/>
      <sheetName val="대림경상68억"/>
      <sheetName val="종단계산"/>
      <sheetName val="정렬"/>
      <sheetName val="당초"/>
      <sheetName val="별표 "/>
      <sheetName val="기성내역"/>
      <sheetName val="데리네이타현황"/>
      <sheetName val="적용토목"/>
      <sheetName val="설계내역서"/>
      <sheetName val="일위대가"/>
      <sheetName val="내역"/>
      <sheetName val="인건비"/>
      <sheetName val="ACUNIT"/>
      <sheetName val="입찰안"/>
      <sheetName val="플랜트 설치"/>
      <sheetName val="3BL공동구 수량"/>
      <sheetName val="전체제잡비"/>
      <sheetName val="직노"/>
      <sheetName val="요율"/>
      <sheetName val="포장수량집계"/>
      <sheetName val="산출내역서"/>
      <sheetName val="설계명세"/>
      <sheetName val="토목주소"/>
      <sheetName val="#REF"/>
      <sheetName val="기초자료입력"/>
      <sheetName val="조명시설"/>
      <sheetName val="내역서"/>
      <sheetName val="노임단가"/>
      <sheetName val="월별수입"/>
      <sheetName val="일위대가 집계표"/>
      <sheetName val="증감대비"/>
      <sheetName val="자료입력"/>
      <sheetName val="갑지"/>
      <sheetName val="공정코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안1"/>
      <sheetName val="공사설명서"/>
      <sheetName val="망계통도"/>
      <sheetName val="공사계획서"/>
      <sheetName val="예정공정표"/>
      <sheetName val="공사비예산서"/>
      <sheetName val="설계명세서 (장비)"/>
      <sheetName val="설계명세서(선로)"/>
      <sheetName val="소요자재명세서"/>
      <sheetName val="노무비명세서"/>
      <sheetName val="일위대가"/>
      <sheetName val="관로시설"/>
      <sheetName val="노무비명세서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작업절차서"/>
      <sheetName val="케이블 계통도(입면도)"/>
      <sheetName val="pc현황"/>
      <sheetName val="정산명세서"/>
      <sheetName val="예정가산출"/>
      <sheetName val="산출명세"/>
      <sheetName val="산출명세내역"/>
      <sheetName val="노무단가산정"/>
      <sheetName val="노무단가"/>
      <sheetName val="준공검사보고서(정산)"/>
      <sheetName val="준공검사보고서"/>
      <sheetName val="준공사진철"/>
      <sheetName val="간이설계(4-1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수시트"/>
      <sheetName val="산출내역서"/>
      <sheetName val="원가"/>
    </sheetNames>
    <sheetDataSet>
      <sheetData sheetId="0"/>
      <sheetData sheetId="1"/>
      <sheetData sheetId="2">
        <row r="3">
          <cell r="H3">
            <v>463842064.03999996</v>
          </cell>
          <cell r="J3">
            <v>925731989</v>
          </cell>
        </row>
      </sheetData>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초자료입력"/>
      <sheetName val="표 지"/>
      <sheetName val="계획서"/>
      <sheetName val="설명서"/>
      <sheetName val="예산서"/>
      <sheetName val="공정표"/>
      <sheetName val="설계명세서"/>
      <sheetName val="공량설계표"/>
      <sheetName val="출력창"/>
      <sheetName val="준공정산"/>
      <sheetName val="준공보고"/>
      <sheetName val="산출명세"/>
      <sheetName val="정산표지"/>
      <sheetName val="취득조서(취득)"/>
      <sheetName val="취득정산"/>
      <sheetName val="배분내역"/>
      <sheetName val="제각표지"/>
      <sheetName val="취득조서(제각)"/>
      <sheetName val="제각정산"/>
      <sheetName val="제각보고(을)"/>
      <sheetName val="간이공사"/>
      <sheetName val="간이예산"/>
      <sheetName val="간이준공보고"/>
      <sheetName val="일반시방서"/>
      <sheetName val="공종단가"/>
      <sheetName val="표준공종"/>
      <sheetName val="특기시방서"/>
      <sheetName val="사용방법"/>
      <sheetName val="Module1"/>
      <sheetName val="적용기준표(98년상반기)"/>
      <sheetName val="7.설계명세서"/>
      <sheetName val="노무단가산정"/>
    </sheetNames>
    <sheetDataSet>
      <sheetData sheetId="0"/>
      <sheetData sheetId="1"/>
      <sheetData sheetId="2"/>
      <sheetData sheetId="3"/>
      <sheetData sheetId="4"/>
      <sheetData sheetId="5"/>
      <sheetData sheetId="6">
        <row r="9">
          <cell r="H9">
            <v>0</v>
          </cell>
        </row>
        <row r="11">
          <cell r="H11">
            <v>0</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합천내역"/>
      <sheetName val="95_1차_시스템"/>
      <sheetName val="합천원가"/>
      <sheetName val="기초자료입력"/>
      <sheetName val="별첨1-4"/>
      <sheetName val="설계명세서"/>
      <sheetName val="7.설계명세서"/>
      <sheetName val="손익분석"/>
      <sheetName val="노무단가산정"/>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1.설계조건 "/>
      <sheetName val="설계기준설명"/>
      <sheetName val="총괄표"/>
      <sheetName val="2.단면가정 (BASE)"/>
      <sheetName val="2.단면가정  (2)"/>
      <sheetName val="2.단면가정  (3)"/>
      <sheetName val="2.단면가정  (4)"/>
      <sheetName val="2.단면가정  (5)"/>
      <sheetName val="2.단면가정  (6)"/>
      <sheetName val="3.하중및토압(탄성,가동)"/>
      <sheetName val="4.하중 5.안정검토(가동)(탄성)"/>
      <sheetName val="3.하중및토압 (고정)"/>
      <sheetName val="4.하중 5.안정검토(고정)"/>
      <sheetName val="6.벽체계산"/>
      <sheetName val="7.흉벽계산(구식)"/>
      <sheetName val="7.흉벽계산(ASCON)"/>
      <sheetName val="7.흉벽계산(CON)"/>
      <sheetName val="8.PILE (원지반)"/>
      <sheetName val="8.PILE  (돌출)"/>
      <sheetName val="두부보강(허용)"/>
      <sheetName val="9.FOOTING(2)"/>
      <sheetName val="9.FOOTING(3)"/>
      <sheetName val="9.FOOTING(4)"/>
      <sheetName val="9.FOOTING(5)"/>
      <sheetName val="9.FOOTING(6)"/>
      <sheetName val="10.날개벽 (A)"/>
      <sheetName val="10.날개벽(B)"/>
      <sheetName val="10.날개벽 (C)"/>
      <sheetName val="11.고정슈교좌면검토"/>
      <sheetName val="11.가동슈교좌면검토 "/>
      <sheetName val="11.탄성슈교좌면검토 "/>
      <sheetName val="12.접속슬라브CON) "/>
      <sheetName val="12.접속슬라브(ASCON)"/>
      <sheetName val="주철근조립도"/>
      <sheetName val="Sheet3"/>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예산서 (2)"/>
      <sheetName val="설계 내역서 (2)"/>
      <sheetName val="공사비예산서"/>
      <sheetName val="설계 내역서"/>
      <sheetName val="품셈총괄표"/>
      <sheetName val=" 품셈"/>
      <sheetName val="장비부표총괄표"/>
      <sheetName val="부표총괄표"/>
      <sheetName val="일반부표"/>
      <sheetName val="별표총괄표"/>
      <sheetName val="별표 (2)"/>
      <sheetName val="사급자재"/>
      <sheetName val="지입자재"/>
      <sheetName val="자재수량"/>
      <sheetName val="토량총괄"/>
      <sheetName val="토적계산"/>
      <sheetName val="구조물토량"/>
      <sheetName val="우수평균깊이"/>
      <sheetName val="구조물수량산출"/>
      <sheetName val="자료"/>
      <sheetName val="단가"/>
      <sheetName val="Sheet11"/>
      <sheetName val="Sheet12"/>
      <sheetName val="Sheet13"/>
      <sheetName val="Sheet14"/>
      <sheetName val="Sheet15"/>
      <sheetName val="Sheet16"/>
      <sheetName val="일반부표총괄"/>
      <sheetName val="별 표"/>
      <sheetName val="별표총괄"/>
      <sheetName val="품셈TABLE"/>
      <sheetName val="견적 조건 변경사항"/>
      <sheetName val="단지내-공내역"/>
      <sheetName val="Sheet2"/>
      <sheetName val="Sheet3"/>
      <sheetName val="별표집계"/>
      <sheetName val="합계금액"/>
      <sheetName val="00상노임"/>
      <sheetName val="내역표지"/>
      <sheetName val="원가계산서(총괄)"/>
      <sheetName val="산출내역집계"/>
      <sheetName val="건축집계"/>
      <sheetName val="건축내역"/>
      <sheetName val="토목집계"/>
      <sheetName val="토목내역"/>
      <sheetName val="설비집계"/>
      <sheetName val="설비내역"/>
      <sheetName val="3BL공동구 수량"/>
      <sheetName val="자재집계표"/>
      <sheetName val="실행내역"/>
      <sheetName val="별표 "/>
      <sheetName val="품셈표"/>
      <sheetName val="품 셈"/>
      <sheetName val="부표"/>
      <sheetName val="부표 TABLE"/>
      <sheetName val="Sheet4"/>
      <sheetName val="Sheet5"/>
      <sheetName val="Sheet6"/>
      <sheetName val="정렬"/>
      <sheetName val="금액내역서"/>
      <sheetName val="원가계산서(남측)"/>
      <sheetName val="별표내역"/>
      <sheetName val="공통가설(현장검토안)"/>
      <sheetName val="노임단가"/>
      <sheetName val="JOIN(2span)"/>
      <sheetName val="값"/>
      <sheetName val="일위"/>
      <sheetName val="자료입력"/>
      <sheetName val="견적서"/>
      <sheetName val="도급"/>
      <sheetName val="총괄-1"/>
      <sheetName val="일위대가표"/>
      <sheetName val="토목"/>
      <sheetName val="TB-내역서"/>
      <sheetName val="PIPE(UG)내역"/>
      <sheetName val="원가계산"/>
      <sheetName val="시설물기초"/>
      <sheetName val="단가표"/>
      <sheetName val="EJ"/>
      <sheetName val="우,오수"/>
      <sheetName val="종단계산"/>
      <sheetName val="간접경상비"/>
      <sheetName val="을지"/>
      <sheetName val="플랜트 설치"/>
      <sheetName val="별총"/>
      <sheetName val="부표총괄"/>
      <sheetName val="품셈1-"/>
      <sheetName val="중기"/>
      <sheetName val="일위대가"/>
      <sheetName val="2000년1차"/>
      <sheetName val="AABS내역"/>
      <sheetName val="보차도경계석"/>
      <sheetName val="시멘트"/>
      <sheetName val="총물량"/>
      <sheetName val="오억미만"/>
      <sheetName val="접속도로1"/>
      <sheetName val="실행"/>
      <sheetName val="부대내역"/>
      <sheetName val="표준단면수량(출력안함)"/>
      <sheetName val="공예을"/>
      <sheetName val="#REF"/>
      <sheetName val="자재단가조사표-수목"/>
      <sheetName val="6-1. 관개량조서"/>
      <sheetName val="단중"/>
      <sheetName val="접속도로"/>
      <sheetName val="Ⅴ-2.공종별내역"/>
      <sheetName val="LIST"/>
      <sheetName val="갑지"/>
      <sheetName val="토목내역서"/>
      <sheetName val="투찰(하수)"/>
      <sheetName val="건축"/>
      <sheetName val="인건비"/>
      <sheetName val="경비_원본"/>
      <sheetName val="공사개요"/>
      <sheetName val="입고장부 (4)"/>
      <sheetName val="구조물"/>
      <sheetName val="자재단가"/>
      <sheetName val="포장(수량)-관로부"/>
      <sheetName val="품셈"/>
      <sheetName val="노임"/>
      <sheetName val="일위대가목록"/>
      <sheetName val="가시설(TYPE-A)"/>
      <sheetName val="1-1평균터파기고(1)"/>
      <sheetName val="sw1"/>
      <sheetName val="NOMUBI"/>
      <sheetName val="내역"/>
      <sheetName val="내역서"/>
      <sheetName val="소방"/>
      <sheetName val="설계예시"/>
      <sheetName val="PUMP"/>
      <sheetName val="VENDOR LIST"/>
      <sheetName val="공통비"/>
      <sheetName val="6동"/>
      <sheetName val="프랜트면허"/>
      <sheetName val="예산M2"/>
      <sheetName val="견적의뢰"/>
      <sheetName val="2.품제O호표"/>
      <sheetName val="기성내역서표지"/>
      <sheetName val="잡설비내역"/>
      <sheetName val="에너지요금"/>
      <sheetName val="토공사"/>
      <sheetName val="제품별절단길이-0628"/>
      <sheetName val="절단길이-CODE4"/>
      <sheetName val="색상코드-CODE5,6,7,8"/>
      <sheetName val="참조-(1)"/>
      <sheetName val="NYS"/>
      <sheetName val="기초일위"/>
      <sheetName val="일위대가목차"/>
      <sheetName val="집계"/>
      <sheetName val="Macro1"/>
      <sheetName val="DATE"/>
      <sheetName val="외주비"/>
      <sheetName val="BID"/>
      <sheetName val="대구칠곡5전기"/>
      <sheetName val="단중표"/>
      <sheetName val="Sheet1"/>
      <sheetName val="1월"/>
      <sheetName val="지질조사"/>
      <sheetName val="하수급견적대비"/>
      <sheetName val="관계주식"/>
      <sheetName val="평균터파기고(1-2,ASP)"/>
      <sheetName val="국내"/>
      <sheetName val="중소기업"/>
      <sheetName val="노임대가"/>
      <sheetName val="정부노임"/>
      <sheetName val="교통대책내역"/>
      <sheetName val="원가계산서"/>
      <sheetName val="전기"/>
      <sheetName val="일위대가표집계표"/>
      <sheetName val="마감"/>
      <sheetName val="분수장비시설수량"/>
      <sheetName val="부대공(집계)"/>
      <sheetName val="guard(mac)"/>
      <sheetName val="단가 및 재료비"/>
      <sheetName val="식재수량표"/>
      <sheetName val="수량산출서"/>
      <sheetName val="이자율"/>
      <sheetName val="이익영"/>
      <sheetName val="접속도로집계"/>
      <sheetName val="장비별표(오거보링)(Ø400)(12M)"/>
      <sheetName val="명단"/>
      <sheetName val="P.M 별"/>
      <sheetName val="우수맨홀공제단위수량"/>
      <sheetName val="공정코드"/>
      <sheetName val="data"/>
      <sheetName val="몰탈재료산출"/>
      <sheetName val="INPUT"/>
      <sheetName val="BD운반거리"/>
      <sheetName val="-배수구조총재료"/>
      <sheetName val="기본일위"/>
      <sheetName val="공사설명서"/>
      <sheetName val="200"/>
      <sheetName val="총괄원가계산서"/>
      <sheetName val="SLAB&quot;1&quot;"/>
      <sheetName val="식생블럭단위수량"/>
      <sheetName val="사다리"/>
      <sheetName val="시중노임단가"/>
      <sheetName val="기본단가표"/>
      <sheetName val="총괄표"/>
      <sheetName val="수량산출"/>
      <sheetName val="1062-X방향 "/>
      <sheetName val="차수공개요"/>
      <sheetName val="내역서(기성청구)"/>
      <sheetName val="laroux"/>
      <sheetName val="전기관급내역서"/>
      <sheetName val="전기관급내역총계"/>
      <sheetName val="목차"/>
      <sheetName val="전기토목총괄"/>
      <sheetName val="토목내역총계"/>
      <sheetName val="전기내역총계"/>
      <sheetName val="전기내역서"/>
      <sheetName val="일위대가표-1"/>
      <sheetName val="일위대가표-2"/>
      <sheetName val="일위대가표-3"/>
      <sheetName val="일위대가표-4"/>
      <sheetName val="일위대가표-5"/>
      <sheetName val="일위대가표-4 (2)"/>
      <sheetName val="단가산출서"/>
      <sheetName val="재료비 "/>
      <sheetName val="중기총괄"/>
      <sheetName val="중기손료"/>
      <sheetName val="중기단가"/>
      <sheetName val="계수"/>
      <sheetName val="환율"/>
      <sheetName val="유류대"/>
      <sheetName val="중시노임"/>
      <sheetName val="관급내역서"/>
      <sheetName val="관급내역총계"/>
      <sheetName val="설계기준"/>
      <sheetName val="포장단면별단위수량"/>
      <sheetName val="포장공사"/>
      <sheetName val="정부노임단가"/>
      <sheetName val="골조시행"/>
      <sheetName val="부대공Ⅱ"/>
      <sheetName val="원본"/>
      <sheetName val="건축직"/>
      <sheetName val="공사내역"/>
      <sheetName val="남양내역"/>
      <sheetName val="물량표"/>
      <sheetName val="내역_ver1.0"/>
      <sheetName val="AP1"/>
      <sheetName val="조명율표"/>
      <sheetName val="갑지(요약)"/>
      <sheetName val="대가표(품셈)"/>
      <sheetName val="청주(철골발주의뢰서)"/>
      <sheetName val="정공공사"/>
      <sheetName val="평자재단가"/>
      <sheetName val="품목"/>
      <sheetName val="직노"/>
      <sheetName val="A3.공사비 검토"/>
      <sheetName val="품셈목록"/>
      <sheetName val="제잡비(주공종)"/>
      <sheetName val="별표 (1)"/>
      <sheetName val="변경총괄표"/>
      <sheetName val="식재일위"/>
      <sheetName val="밸브설치"/>
      <sheetName val="잡비"/>
      <sheetName val="6호기"/>
      <sheetName val="터파기및재료"/>
      <sheetName val="공통가설"/>
      <sheetName val="유림골조"/>
      <sheetName val="갑지(추정)"/>
      <sheetName val="원가"/>
      <sheetName val="설계예산서"/>
      <sheetName val="inputdata"/>
      <sheetName val="2002상반기노임기준"/>
      <sheetName val="SG"/>
      <sheetName val="설 계"/>
      <sheetName val="견"/>
      <sheetName val="지급자재"/>
      <sheetName val="기계경비(시간당)"/>
      <sheetName val="토공집계표"/>
      <sheetName val="공사비산출내역"/>
      <sheetName val="선수금"/>
      <sheetName val="출자한도"/>
      <sheetName val="MIJIBI"/>
      <sheetName val="인건-측정"/>
      <sheetName val="MOTOR"/>
      <sheetName val="건축공사"/>
      <sheetName val="세부내역"/>
      <sheetName val="전기일위대가"/>
      <sheetName val="공사비예산서_(2)"/>
      <sheetName val="설계_내역서_(2)"/>
      <sheetName val="설계_내역서"/>
      <sheetName val="_품셈"/>
      <sheetName val="별표_(2)"/>
      <sheetName val="별_표"/>
      <sheetName val="견적_조건_변경사항"/>
      <sheetName val="3BL공동구_수량"/>
      <sheetName val="별표_"/>
      <sheetName val="품_셈"/>
      <sheetName val="부표_TABLE"/>
      <sheetName val="6-1__관개량조서"/>
      <sheetName val="플랜트_설치"/>
      <sheetName val="Ⅴ-2_공종별내역"/>
      <sheetName val="VENDOR_LIST"/>
      <sheetName val="2_품제O호표"/>
      <sheetName val="P_M_별"/>
      <sheetName val="A3_공사비_검토"/>
      <sheetName val="내역_ver1_0"/>
      <sheetName val="조명시설"/>
      <sheetName val="주차구획선수량"/>
      <sheetName val="공주방향"/>
      <sheetName val="배수공 시멘트 및 골재량 산출"/>
      <sheetName val="인건비 "/>
      <sheetName val="견적대비표"/>
      <sheetName val="가시설흙막이"/>
      <sheetName val="제잡비"/>
      <sheetName val="06-BATCH "/>
      <sheetName val="산출(열차무선)"/>
      <sheetName val="산출(역무통신)"/>
      <sheetName val="C3.토목_옹벽"/>
      <sheetName val="A6.샤시등"/>
      <sheetName val="내역조적"/>
      <sheetName val="I一般比"/>
      <sheetName val="직재"/>
      <sheetName val="Customer Databas"/>
      <sheetName val="비탈면보호공수량산출"/>
      <sheetName val="표지"/>
      <sheetName val="101동"/>
      <sheetName val="우수받이"/>
      <sheetName val="최종견"/>
      <sheetName val="산출내역서"/>
      <sheetName val="산출근거"/>
      <sheetName val="1F"/>
      <sheetName val="감가상각"/>
      <sheetName val="부분별수량산출(조합기초)"/>
      <sheetName val="노무비"/>
      <sheetName val="(C)원내역"/>
      <sheetName val="견적대비"/>
      <sheetName val="9-1차이내역"/>
      <sheetName val="연습"/>
      <sheetName val="단양 00 아파트-세부내역"/>
      <sheetName val="재료"/>
      <sheetName val="자재단가비교표"/>
      <sheetName val="포장복구집계"/>
      <sheetName val="3.3수량집계"/>
      <sheetName val="하조서"/>
      <sheetName val="#3E1_GCR"/>
      <sheetName val="MAIN_TABLE"/>
      <sheetName val="예정공정-전체"/>
      <sheetName val="총공사내역서"/>
      <sheetName val="기초자료입력"/>
      <sheetName val="현장"/>
      <sheetName val="1.취수장"/>
      <sheetName val="98지급계획"/>
      <sheetName val="수량산출서 갑지"/>
      <sheetName val="SIL98"/>
      <sheetName val="개요"/>
      <sheetName val="Y-WORK"/>
      <sheetName val="재공품"/>
      <sheetName val="입력자료(노무비)"/>
      <sheetName val="DB"/>
      <sheetName val="입찰"/>
      <sheetName val="현경"/>
      <sheetName val="관리,공감"/>
      <sheetName val="집계표"/>
      <sheetName val="출력X"/>
      <sheetName val="빙장비사양"/>
      <sheetName val="장비사양"/>
      <sheetName val="99노임기준"/>
      <sheetName val="용소리교"/>
      <sheetName val="대로근거"/>
      <sheetName val="금융비용"/>
      <sheetName val="여과지동"/>
      <sheetName val="범용개발순소요비용"/>
      <sheetName val="품목현황"/>
      <sheetName val="경비일반이윤변경"/>
      <sheetName val="재료변경"/>
      <sheetName val="단위단가"/>
      <sheetName val="교대(A1)"/>
      <sheetName val="중기사용료"/>
      <sheetName val="22인공"/>
      <sheetName val="배수통관(좌)"/>
      <sheetName val="rate"/>
      <sheetName val="설계명세서"/>
      <sheetName val="6.이토처리시간"/>
      <sheetName val="별표(1)"/>
      <sheetName val="설계명세"/>
      <sheetName val="일위목차"/>
      <sheetName val="품셈총괄"/>
      <sheetName val="총괄내역서"/>
      <sheetName val="공사품의서"/>
      <sheetName val="변화치수"/>
      <sheetName val="지수링 단위수량"/>
      <sheetName val="맨홀천공및반구연결거푸집집계"/>
      <sheetName val="오수맨홀평균높이"/>
      <sheetName val="수량명세서"/>
      <sheetName val="폐기물"/>
      <sheetName val="요율"/>
      <sheetName val="보호"/>
      <sheetName val="95년12월말"/>
      <sheetName val="#3_일위대가목록"/>
      <sheetName val="우배수"/>
      <sheetName val="Total"/>
      <sheetName val="BOX전기내역"/>
      <sheetName val="퇴직금(울산천상)"/>
      <sheetName val="방수"/>
      <sheetName val="손익분석"/>
      <sheetName val="장비임대료"/>
      <sheetName val="1"/>
      <sheetName val="BEND LOSS"/>
      <sheetName val="견적을지"/>
      <sheetName val="당초"/>
      <sheetName val="기계경비목록"/>
      <sheetName val="부총"/>
      <sheetName val="관개"/>
      <sheetName val="관리비"/>
      <sheetName val="준검 내역서"/>
      <sheetName val="노임단가명세표"/>
      <sheetName val="노무비집계"/>
      <sheetName val="(A)내역서"/>
      <sheetName val="2호맨홀공제수량"/>
      <sheetName val="인부노임"/>
      <sheetName val="신규일위대가"/>
      <sheetName val="6PILE  (돌출)"/>
      <sheetName val="품목테이블"/>
      <sheetName val="골재산출"/>
      <sheetName val="내역기준"/>
      <sheetName val="설계내역서"/>
      <sheetName val="개산공사비"/>
      <sheetName val="각종양식"/>
      <sheetName val="토목노임단가"/>
      <sheetName val="TABLE"/>
      <sheetName val="4.2.1 마루높이 검토"/>
      <sheetName val="Macro(전선)"/>
      <sheetName val="사본 - b_balju"/>
      <sheetName val="ABUT수량-A1"/>
      <sheetName val="일위대가1"/>
      <sheetName val="주요수량증감"/>
      <sheetName val="지구단위계획"/>
      <sheetName val="전기단가조사서"/>
      <sheetName val="공종별적용단가"/>
      <sheetName val="품셈(기초)"/>
      <sheetName val="동원인원"/>
      <sheetName val="토공총괄표"/>
      <sheetName val="일위목록"/>
      <sheetName val="자재테이블"/>
      <sheetName val="주beam"/>
      <sheetName val="교각1"/>
      <sheetName val="재료집계표"/>
      <sheetName val="신천3호용수로"/>
      <sheetName val="수량-77m)"/>
      <sheetName val="바닥판"/>
      <sheetName val="입력DATA"/>
      <sheetName val="증감대비"/>
      <sheetName val="각종단가"/>
      <sheetName val="토사(PE)"/>
      <sheetName val="단가_및_재료비"/>
      <sheetName val="공사비예산서_(2)1"/>
      <sheetName val="설계_내역서_(2)1"/>
      <sheetName val="설계_내역서1"/>
      <sheetName val="_품셈1"/>
      <sheetName val="별표_(2)1"/>
      <sheetName val="별_표1"/>
      <sheetName val="견적_조건_변경사항1"/>
      <sheetName val="별표_1"/>
      <sheetName val="품_셈1"/>
      <sheetName val="부표_TABLE1"/>
      <sheetName val="3BL공동구_수량1"/>
      <sheetName val="단가_및_재료비1"/>
      <sheetName val="6-1__관개량조서1"/>
      <sheetName val="플랜트_설치1"/>
      <sheetName val="Ⅴ-2_공종별내역1"/>
      <sheetName val="VENDOR_LIST1"/>
      <sheetName val="단위중량"/>
      <sheetName val="중로근거"/>
      <sheetName val="단면치수"/>
      <sheetName val="dongia (2)"/>
      <sheetName val="단가비교표"/>
      <sheetName val="말뚝지지력산정"/>
      <sheetName val="중기근거"/>
      <sheetName val="기계경비"/>
      <sheetName val="예산명세서"/>
      <sheetName val="영창26"/>
      <sheetName val="1차증가원가계산"/>
      <sheetName val="REINF."/>
      <sheetName val="LOADS"/>
      <sheetName val="SCHEDULE"/>
      <sheetName val="ELECTRIC"/>
      <sheetName val="퇴직공제부금산출근거"/>
      <sheetName val="SCH"/>
      <sheetName val="골조공사"/>
      <sheetName val="DATA 입력란"/>
      <sheetName val="명세서"/>
      <sheetName val="공통부대비"/>
      <sheetName val="견적"/>
      <sheetName val="장비가동"/>
      <sheetName val="설계내역"/>
      <sheetName val="3본사"/>
      <sheetName val="삼보지질"/>
      <sheetName val="총집계"/>
      <sheetName val="집계표 (2)"/>
      <sheetName val="VXXXXXXX"/>
      <sheetName val="2002공임"/>
      <sheetName val="2002자재가격"/>
      <sheetName val="천안IP공장자100노100물량110할증"/>
      <sheetName val="주관사업"/>
      <sheetName val="전체내역"/>
      <sheetName val="품목단가"/>
      <sheetName val="기계설비"/>
      <sheetName val="단가대비표"/>
      <sheetName val="별표"/>
      <sheetName val="평3"/>
      <sheetName val="토공(우물통,기타) "/>
      <sheetName val="Baby일위대가"/>
      <sheetName val="교각별철근수량집계표"/>
      <sheetName val="데이타"/>
      <sheetName val="1.수인터널"/>
      <sheetName val="산출내역서집계표"/>
      <sheetName val="철집"/>
      <sheetName val="내역(가지)"/>
      <sheetName val="입찰안"/>
      <sheetName val="실행철강하도"/>
      <sheetName val="WEIGHT"/>
      <sheetName val="cable산출"/>
      <sheetName val="입찰보고"/>
      <sheetName val="대가호표"/>
      <sheetName val="철골"/>
      <sheetName val="입상내역"/>
      <sheetName val="세골재  T2 변경 현황"/>
      <sheetName val="토목공사"/>
      <sheetName val="저"/>
      <sheetName val="산출표"/>
      <sheetName val="대치판정"/>
      <sheetName val="관급"/>
      <sheetName val="설비"/>
      <sheetName val="fursys"/>
      <sheetName val="근로자자료입력"/>
      <sheetName val="참고자료"/>
      <sheetName val="실행단가"/>
      <sheetName val="년도별시공"/>
      <sheetName val="TB_내역서"/>
      <sheetName val="우주화성공장"/>
      <sheetName val="성서방향-교대(A2)"/>
      <sheetName val="토적계산서"/>
      <sheetName val="2축기둥해석"/>
      <sheetName val="VXXXXX"/>
      <sheetName val="현장관리비데이타"/>
      <sheetName val="설계조건"/>
      <sheetName val="말뚝설계"/>
      <sheetName val="대비"/>
      <sheetName val="잡철물"/>
      <sheetName val="98수문일위"/>
      <sheetName val="연습장소"/>
      <sheetName val="산출기초"/>
      <sheetName val="7. 현장관리비 "/>
      <sheetName val="6. 안전관리비"/>
      <sheetName val="단면"/>
      <sheetName val="기성2"/>
      <sheetName val="입력자료"/>
      <sheetName val="건축비목군분류"/>
      <sheetName val="자단"/>
      <sheetName val="품셈표-환경공사"/>
      <sheetName val="969910( R)"/>
      <sheetName val="신우"/>
      <sheetName val="APT"/>
      <sheetName val="총괄"/>
      <sheetName val="일위대가(1)"/>
      <sheetName val="기계공사비집계(원안)"/>
      <sheetName val="새공통"/>
      <sheetName val="찍기"/>
      <sheetName val="건재양식"/>
      <sheetName val="삭제금지단가"/>
      <sheetName val="기계경비일람"/>
      <sheetName val="DANGA"/>
      <sheetName val="Dae_Jiju"/>
      <sheetName val="T13(P68~72,78)"/>
      <sheetName val="별첨1"/>
      <sheetName val="공사비"/>
      <sheetName val="날개벽(시점좌측)"/>
      <sheetName val="차액보증"/>
      <sheetName val="SRC-B3U2"/>
      <sheetName val="적용토목"/>
      <sheetName val="건축내역서"/>
      <sheetName val="-기성청구내역서.xlsx"/>
      <sheetName val="3.하중산정4.지지력"/>
      <sheetName val="직영2"/>
      <sheetName val="6.일위목록"/>
      <sheetName val="9.단가조사서"/>
      <sheetName val="토공"/>
      <sheetName val="동측급수"/>
      <sheetName val="배수장토목공사비"/>
      <sheetName val="특수조명기구 단가조사서"/>
      <sheetName val="1호맨홀토공"/>
      <sheetName val="내역서1"/>
      <sheetName val="대가목록"/>
      <sheetName val="2공구산출내역"/>
      <sheetName val="기본가정"/>
      <sheetName val="장외반출및폐기물 "/>
      <sheetName val="부대단위수량"/>
      <sheetName val="지수"/>
      <sheetName val="15100"/>
      <sheetName val="공사비총괄표"/>
      <sheetName val="원가계산 (2)"/>
      <sheetName val="제잡비계산"/>
      <sheetName val="0217상가미분양자산"/>
      <sheetName val="내용"/>
      <sheetName val="YC구입"/>
      <sheetName val="코드표"/>
      <sheetName val="구조물총"/>
      <sheetName val="단면 (2)"/>
      <sheetName val="인사자료총집계"/>
      <sheetName val="상하차비용"/>
      <sheetName val="ilch"/>
      <sheetName val="하수처리장"/>
      <sheetName val="2000전체분"/>
      <sheetName val="전체"/>
      <sheetName val="퍼스트"/>
      <sheetName val="경비공통"/>
      <sheetName val="포장수량집계"/>
      <sheetName val="XL4Poppy"/>
      <sheetName val="샌딩 에폭시 도장"/>
      <sheetName val="스텐문틀설치"/>
      <sheetName val="일반문틀 설치"/>
      <sheetName val="장비집계"/>
      <sheetName val="기계사급자재"/>
      <sheetName val="4.전기"/>
      <sheetName val="태안9)3-2)원내역"/>
      <sheetName val="코드"/>
      <sheetName val="공종목록표"/>
      <sheetName val="공사설계서"/>
      <sheetName val="총수량집계표"/>
      <sheetName val="3.공통공사대비"/>
      <sheetName val="성과심사(총괄)"/>
      <sheetName val="퇴비산출근거"/>
      <sheetName val="기계시공"/>
      <sheetName val="000000"/>
      <sheetName val="PBS"/>
      <sheetName val="기계"/>
      <sheetName val="정화조"/>
      <sheetName val="조경"/>
      <sheetName val="중기조종사 단위단가"/>
      <sheetName val="포장공"/>
      <sheetName val="앉음벽 (2)"/>
      <sheetName val="MC-01"/>
      <sheetName val="07년12월까지실정산분"/>
      <sheetName val="맨홀수량산출"/>
      <sheetName val="전기_x0002__x0000_韈G"/>
      <sheetName val=""/>
      <sheetName val="이름"/>
      <sheetName val="배수관공"/>
      <sheetName val="대구파크쿨링타워"/>
      <sheetName val="총괄집계표"/>
      <sheetName val="대림경상68억"/>
      <sheetName val="일영수간선"/>
      <sheetName val="설계서"/>
      <sheetName val="대가2(원본)"/>
      <sheetName val="수량산출(2공구)"/>
      <sheetName val="수량산출 (3공구)"/>
      <sheetName val="설계"/>
      <sheetName val="종배수관면벽구"/>
      <sheetName val="교각계산"/>
      <sheetName val="15설계GIS"/>
      <sheetName val="토량산출서"/>
      <sheetName val="자재대"/>
      <sheetName val="실행예산"/>
      <sheetName val="PACKING을지(5)"/>
      <sheetName val="ɉ_x0000_က㞀"/>
      <sheetName val="단가및재료비"/>
      <sheetName val="10현장조직"/>
      <sheetName val="4.장비손료"/>
      <sheetName val="기성부분내역(한빛-영조)"/>
      <sheetName val="세부내역(한빛-영조)"/>
      <sheetName val="포장재료(1)"/>
      <sheetName val="교통표지판기초자료"/>
      <sheetName val="Major Shareholder"/>
      <sheetName val="노임이"/>
      <sheetName val="일위대가(건축)"/>
      <sheetName val="FILE1"/>
      <sheetName val="노임단가(직종번호 순)"/>
      <sheetName val="품산출서"/>
      <sheetName val="철근량"/>
      <sheetName val="상시"/>
      <sheetName val="데리네이타현황"/>
      <sheetName val="Sheet1 (2)"/>
      <sheetName val="BOM"/>
      <sheetName val="포장공수량집계표"/>
      <sheetName val="제출내역 (2)"/>
      <sheetName val="고분전시관"/>
      <sheetName val="관로토공"/>
      <sheetName val="기계경비 (2)"/>
      <sheetName val="(직접시공)제경비(인쇄하지마세요)"/>
      <sheetName val="SORCE1"/>
      <sheetName val="1공구산출내역서"/>
      <sheetName val="자재근거"/>
      <sheetName val="1.설계조건"/>
      <sheetName val="1.설계기준"/>
      <sheetName val="개별직종노임단가(2003.9)"/>
      <sheetName val="하중계산"/>
      <sheetName val="폐기물운반"/>
      <sheetName val="2.입력sheet"/>
      <sheetName val="복갑"/>
      <sheetName val="경비단가"/>
      <sheetName val="말뚝기초(안정검토)-외측"/>
      <sheetName val="실행내역 (2)"/>
      <sheetName val="골조"/>
      <sheetName val="99년하반기"/>
      <sheetName val="날개벽수량표"/>
      <sheetName val="전신환매도율"/>
      <sheetName val="공통가설공사"/>
      <sheetName val="unit 4"/>
      <sheetName val="1,2공구원가계산서"/>
      <sheetName val="견적대비 견적서"/>
      <sheetName val="열린교실"/>
      <sheetName val="220 (2)"/>
      <sheetName val="교수설계"/>
      <sheetName val="물가시세"/>
      <sheetName val="작성"/>
      <sheetName val="WORK"/>
      <sheetName val="FRP산출근거"/>
      <sheetName val="강재단중표"/>
      <sheetName val="설계명세서(선로)"/>
      <sheetName val="음성방향"/>
      <sheetName val="형틀"/>
      <sheetName val="일위대가(계측기설치)"/>
      <sheetName val="PAC"/>
      <sheetName val="표지 (2)"/>
      <sheetName val="무시"/>
      <sheetName val="2000년 공정표"/>
      <sheetName val="단가비교"/>
      <sheetName val="48전력선로일위"/>
      <sheetName val="공량산출서"/>
      <sheetName val="변경총괄지(1)"/>
      <sheetName val="단위수량"/>
      <sheetName val="FACTOR"/>
      <sheetName val="입력"/>
      <sheetName val="변경내역서"/>
      <sheetName val="차수"/>
      <sheetName val="NP-총정리"/>
      <sheetName val="비목군분류일위"/>
      <sheetName val="위치조서"/>
      <sheetName val="TYPE(B-1)"/>
      <sheetName val="견적조건"/>
      <sheetName val="L_RPTA05_목록"/>
      <sheetName val="집"/>
      <sheetName val="평야부총"/>
      <sheetName val="기둥(원형)"/>
      <sheetName val="산근"/>
      <sheetName val="공사직종별노임"/>
      <sheetName val="3련 BOX"/>
      <sheetName val="CC16-내역서"/>
      <sheetName val="4.2유효폭의 계산"/>
      <sheetName val="이토변실"/>
      <sheetName val="건축공사실행"/>
      <sheetName val="연결관암거"/>
      <sheetName val="가시설수량"/>
      <sheetName val="뚝토공"/>
      <sheetName val="단가조사서"/>
      <sheetName val="기존단가 (2)"/>
      <sheetName val="단면가정"/>
      <sheetName val="전체분2회변경"/>
      <sheetName val="자재코드"/>
      <sheetName val="심사"/>
      <sheetName val="백암비스타내역"/>
      <sheetName val="조경내역"/>
      <sheetName val="해평견적"/>
      <sheetName val="5.소모재료비"/>
      <sheetName val="작용하중산정"/>
      <sheetName val="동해묵호1내역"/>
      <sheetName val="경비"/>
      <sheetName val="실행(1)"/>
      <sheetName val="양식_자재단가조사표"/>
      <sheetName val="산#8"/>
      <sheetName val="JIG"/>
      <sheetName val="TIE-IN"/>
      <sheetName val="아파트"/>
      <sheetName val="1차설계변경내역"/>
      <sheetName val="가시설단위수량"/>
      <sheetName val="약품공급2"/>
      <sheetName val="102역사"/>
      <sheetName val="산근(지하COL)"/>
      <sheetName val="DATA1"/>
      <sheetName val="오동"/>
      <sheetName val="대조"/>
      <sheetName val="나한"/>
      <sheetName val="1.설계설명서"/>
      <sheetName val="공통(20-91)"/>
      <sheetName val="설계산출표지"/>
      <sheetName val="설계변경"/>
      <sheetName val="준공정산"/>
      <sheetName val="설계명세01"/>
      <sheetName val="빌딩 안내"/>
      <sheetName val="지하1층"/>
      <sheetName val="Apt내역"/>
      <sheetName val="부대시설"/>
      <sheetName val="CABLE SIZE-1"/>
      <sheetName val="plan&amp;section of foundation"/>
      <sheetName val="단가입력창"/>
      <sheetName val="통계연보"/>
      <sheetName val="깨기"/>
      <sheetName val="표건"/>
      <sheetName val="결재갑지"/>
      <sheetName val="C_DATA"/>
      <sheetName val="일위(시설)"/>
      <sheetName val="현장관리비"/>
      <sheetName val="현장관리비참조"/>
      <sheetName val="실행내역서 "/>
      <sheetName val="가시설"/>
      <sheetName val="기초자료"/>
      <sheetName val="참조"/>
      <sheetName val="직원자료입력"/>
      <sheetName val="광주운남을"/>
      <sheetName val="총물량표"/>
      <sheetName val="2.단면가정"/>
      <sheetName val="crude.SLAB RE-bar"/>
      <sheetName val="9GNG운반"/>
      <sheetName val="수입"/>
      <sheetName val="신호등일위대가"/>
      <sheetName val="suk(mac)"/>
      <sheetName val="유동표"/>
      <sheetName val="석축산"/>
      <sheetName val="경상비"/>
      <sheetName val="전기혼잡제경비(45)"/>
      <sheetName val="BT2"/>
      <sheetName val="에너지"/>
      <sheetName val="스포회원매출"/>
      <sheetName val="예산M11A"/>
      <sheetName val="96정변2"/>
      <sheetName val="노무비산출근거"/>
      <sheetName val="내역서 (2)"/>
      <sheetName val="단가산출"/>
      <sheetName val="품조정율(97-99)"/>
      <sheetName val="공종산출내역서"/>
      <sheetName val="시운전연료"/>
      <sheetName val="TYPE-1"/>
      <sheetName val="회사정보"/>
      <sheetName val="철거산출근거"/>
      <sheetName val="C.S.A"/>
      <sheetName val="음료실행"/>
      <sheetName val="품셈(2)"/>
      <sheetName val="SUMMARY(S)"/>
      <sheetName val="편성절차"/>
      <sheetName val="기준단가현황"/>
      <sheetName val="공사개요(입력)"/>
      <sheetName val="식재"/>
      <sheetName val="시설물"/>
      <sheetName val="식재출력용"/>
      <sheetName val="유지관리"/>
      <sheetName val="중기사용료산출근거"/>
      <sheetName val="2.단면가정3.모델링4.하중"/>
      <sheetName val="진주방향"/>
      <sheetName val="을"/>
      <sheetName val="우석문틀"/>
      <sheetName val="SAKUB"/>
      <sheetName val="0226"/>
      <sheetName val="소비자가"/>
      <sheetName val="2.대외공문"/>
      <sheetName val="N賃率-職"/>
      <sheetName val="재"/>
      <sheetName val="DAN"/>
      <sheetName val="5.모델링"/>
      <sheetName val="유입량"/>
      <sheetName val="보고서"/>
      <sheetName val="카렌스센터계량기설치공사"/>
      <sheetName val="3"/>
      <sheetName val="물류최종8월7"/>
      <sheetName val="세대난방"/>
      <sheetName val="일위대가집계표"/>
      <sheetName val="INSTR"/>
      <sheetName val="노무비명세서"/>
      <sheetName val="소요자재명세서"/>
      <sheetName val="설계명세서 (장비)"/>
      <sheetName val="하자전장"/>
      <sheetName val="data_dci"/>
      <sheetName val="작성기준"/>
      <sheetName val="data_mci"/>
      <sheetName val="behind"/>
      <sheetName val="Main"/>
      <sheetName val="U형수로수량TYPE1"/>
      <sheetName val="8.PILE  (돌출)"/>
      <sheetName val="직접인건비"/>
      <sheetName val="DC-O-4-S(설명서)"/>
      <sheetName val="부안일위"/>
      <sheetName val="요약배부"/>
      <sheetName val="내역서적용수량집계표(가로)"/>
      <sheetName val="접지수량"/>
      <sheetName val="공종별집계표"/>
      <sheetName val="과천MAIN"/>
      <sheetName val="단가목록"/>
      <sheetName val="B"/>
      <sheetName val="사토"/>
      <sheetName val="마산월령동골조물량변경"/>
      <sheetName val="공문"/>
      <sheetName val="원가계산 (29"/>
      <sheetName val="간지"/>
      <sheetName val="CAT_5"/>
      <sheetName val="2F 회의실견적(5_14 일대)"/>
      <sheetName val="98'자재"/>
      <sheetName val="8-1"/>
      <sheetName val="분석가정"/>
      <sheetName val="자재"/>
      <sheetName val="예비비계산표"/>
      <sheetName val="덕전리"/>
      <sheetName val="노임단가 "/>
      <sheetName val="2003년내역"/>
      <sheetName val="LINE1L형0+30."/>
      <sheetName val="투찰내역"/>
      <sheetName val="TOTAL_BOQ"/>
      <sheetName val="7기초"/>
      <sheetName val="구조물공"/>
      <sheetName val="단가조사"/>
      <sheetName val="간접1"/>
      <sheetName val="공사원가계산서"/>
      <sheetName val="교각(현타1500,고정단,비대칭,강합성,P12-14"/>
      <sheetName val="맨홀"/>
      <sheetName val="추천서"/>
      <sheetName val="목록1"/>
      <sheetName val="대포2교접속"/>
      <sheetName val="천방교접속"/>
      <sheetName val="CIVIL4"/>
      <sheetName val="TYPE-B 평균H"/>
      <sheetName val="노면표시-조"/>
      <sheetName val="기별(종합)"/>
      <sheetName val="보성조서"/>
      <sheetName val="수주추정"/>
      <sheetName val="아스콘포장(T=650mm)"/>
      <sheetName val="설계예산서(토목,전기)"/>
      <sheetName val="고등학교"/>
      <sheetName val="직종단가 (2)"/>
      <sheetName val="붙임2검측감리비"/>
      <sheetName val="종합장비부표"/>
      <sheetName val="토공 total"/>
      <sheetName val="대공종"/>
      <sheetName val="가공2원도"/>
      <sheetName val="초"/>
      <sheetName val="제경비율"/>
      <sheetName val="맨홀조서"/>
      <sheetName val="공용시설내역"/>
      <sheetName val="정거장"/>
      <sheetName val="아산경희980422"/>
      <sheetName val="공사비투입-데이타"/>
      <sheetName val="XXXXXX"/>
      <sheetName val="구분자"/>
      <sheetName val="ACUNIT"/>
      <sheetName val="2"/>
      <sheetName val="4"/>
      <sheetName val="5"/>
      <sheetName val="6"/>
      <sheetName val="7"/>
      <sheetName val="8"/>
      <sheetName val="70%"/>
      <sheetName val="도근좌표"/>
      <sheetName val="하천제원"/>
      <sheetName val="아파트 "/>
      <sheetName val="결과조달"/>
      <sheetName val="금액"/>
      <sheetName val="토목내역서 (도급단가) (2)"/>
      <sheetName val="토목내역서 (도급단가)"/>
      <sheetName val="기초단가"/>
      <sheetName val="콘센트신설"/>
      <sheetName val="단가비교표(전기)"/>
      <sheetName val="Tiepdia"/>
      <sheetName val="가정급수관"/>
      <sheetName val="원형1호맨홀토공수량"/>
      <sheetName val="내역총괄"/>
      <sheetName val="내역총괄2"/>
      <sheetName val="내역총괄3"/>
      <sheetName val="공내역"/>
      <sheetName val="C1 (2)"/>
      <sheetName val="C지구"/>
      <sheetName val="참조자료"/>
      <sheetName val="조명일위"/>
      <sheetName val="내   역"/>
      <sheetName val="도장물량산출"/>
      <sheetName val="재료표"/>
      <sheetName val="공사비예산서_(2)2"/>
      <sheetName val="설계_내역서_(2)2"/>
      <sheetName val="설계_내역서2"/>
      <sheetName val="_품셈2"/>
      <sheetName val="별표_(2)2"/>
      <sheetName val="별_표2"/>
      <sheetName val="견적_조건_변경사항2"/>
      <sheetName val="3BL공동구_수량2"/>
      <sheetName val="6-1__관개량조서2"/>
      <sheetName val="별표_2"/>
      <sheetName val="품_셈2"/>
      <sheetName val="부표_TABLE2"/>
      <sheetName val="Ⅴ-2_공종별내역2"/>
      <sheetName val="플랜트_설치2"/>
      <sheetName val="VENDOR_LIST2"/>
      <sheetName val="2_품제O호표1"/>
      <sheetName val="P_M_별1"/>
      <sheetName val="내역_ver1_01"/>
      <sheetName val="A3_공사비_검토1"/>
      <sheetName val="설_계"/>
      <sheetName val="입고장부_(4)"/>
      <sheetName val="인건비_"/>
      <sheetName val="06-BATCH_"/>
      <sheetName val="1062-X방향_"/>
      <sheetName val="C3_토목_옹벽"/>
      <sheetName val="A6_샤시등"/>
      <sheetName val="일위대가표-4_(2)"/>
      <sheetName val="재료비_"/>
      <sheetName val="Customer_Databas"/>
      <sheetName val="별표_(1)"/>
      <sheetName val="단가_및_재료비2"/>
      <sheetName val="수량산출서_갑지"/>
      <sheetName val="3_3수량집계"/>
      <sheetName val="1_취수장"/>
      <sheetName val="배수공_시멘트_및_골재량_산출"/>
      <sheetName val="단양_00_아파트-세부내역"/>
      <sheetName val="4_2_1_마루높이_검토"/>
      <sheetName val="BEND_LOSS"/>
      <sheetName val="준검_내역서"/>
      <sheetName val="REINF_"/>
      <sheetName val="토공(우물통,기타)_"/>
      <sheetName val="1_수인터널"/>
      <sheetName val="DATA_입력란"/>
      <sheetName val="세골재__T2_변경_현황"/>
      <sheetName val="사본_-_b_balju"/>
      <sheetName val="집계표_(2)"/>
      <sheetName val="7__현장관리비_"/>
      <sheetName val="6__안전관리비"/>
      <sheetName val="6_이토처리시간"/>
      <sheetName val="969910(_R)"/>
      <sheetName val="-기성청구내역서_xlsx"/>
      <sheetName val="3_하중산정4_지지력"/>
      <sheetName val="6PILE__(돌출)"/>
      <sheetName val="6_일위목록"/>
      <sheetName val="9_단가조사서"/>
      <sheetName val="단면_(2)"/>
      <sheetName val="장외반출및폐기물_"/>
      <sheetName val="중기조종사_단위단가"/>
      <sheetName val="3_공통공사대비"/>
      <sheetName val="제출내역_(2)"/>
      <sheetName val="앉음벽_(2)"/>
      <sheetName val="지수링_단위수량"/>
      <sheetName val="unit_4"/>
      <sheetName val="원가계산_(2)"/>
      <sheetName val="기존단가_(2)"/>
      <sheetName val="샌딩_에폭시_도장"/>
      <sheetName val="일반문틀_설치"/>
      <sheetName val="4_전기"/>
      <sheetName val="2000년_공정표"/>
      <sheetName val="수량산출_(3공구)"/>
      <sheetName val="Major_Shareholder"/>
      <sheetName val="220_(2)"/>
      <sheetName val="2_입력sheet"/>
      <sheetName val="4_장비손료"/>
      <sheetName val="견적대비_견적서"/>
      <sheetName val="C_S_A"/>
      <sheetName val="1_설계조건"/>
      <sheetName val="표지_(2)"/>
      <sheetName val="특수조명기구_단가조사서"/>
      <sheetName val="5_소모재료비"/>
      <sheetName val="기계경비_(2)"/>
      <sheetName val="실행내역서_"/>
      <sheetName val="CABLE_SIZE-1"/>
      <sheetName val="plan&amp;section_of_foundation"/>
      <sheetName val="항목등록"/>
      <sheetName val="미장"/>
      <sheetName val="전선or케이블"/>
      <sheetName val="임대견적서"/>
      <sheetName val="기본단가"/>
      <sheetName val="대운산출"/>
      <sheetName val="Sheet17"/>
      <sheetName val="본사업"/>
      <sheetName val="사유서제출현황-2"/>
      <sheetName val="공비대비"/>
      <sheetName val="전계가"/>
      <sheetName val="h-013211-2"/>
      <sheetName val="목록"/>
      <sheetName val="물집"/>
      <sheetName val="방수공사 집계표"/>
      <sheetName val="공장3월 종합"/>
      <sheetName val=" HIT-&gt;HMC 견적(3900)"/>
      <sheetName val="반기PL"/>
      <sheetName val="기준"/>
      <sheetName val="총 원가계산"/>
      <sheetName val="식재인부"/>
      <sheetName val="도"/>
      <sheetName val="노임,재료비"/>
      <sheetName val="공사비집계표"/>
      <sheetName val="잔여세부내역"/>
      <sheetName val="1호철근량"/>
      <sheetName val="교통표지판수량집계표"/>
      <sheetName val="3월연장근무"/>
      <sheetName val="M-EQPT-Z"/>
      <sheetName val="날개벽(시점좌측_x0005_"/>
      <sheetName val="Macro(MCC)"/>
      <sheetName val="시설일위"/>
      <sheetName val="FM"/>
      <sheetName val="남대문빌딩"/>
      <sheetName val="횡배수관토공수량"/>
      <sheetName val="1호맨홀수량산출"/>
      <sheetName val="A-4"/>
      <sheetName val="GAEYO"/>
      <sheetName val="bm-marine"/>
      <sheetName val="맨홀수량집계"/>
      <sheetName val="가도공"/>
      <sheetName val="원가계산서(변경)"/>
      <sheetName val="5.개인보호구지급"/>
      <sheetName val="접속집계"/>
      <sheetName val="직공비"/>
      <sheetName val="파일의이용"/>
      <sheetName val="토지평가조서"/>
      <sheetName val="산출"/>
      <sheetName val="표준지"/>
      <sheetName val="편입용지조서"/>
      <sheetName val="관광안내(편지식)"/>
      <sheetName val="99년신청"/>
      <sheetName val="표준차도부연장조서-ASP"/>
      <sheetName val="Balance Sheet(AR)"/>
      <sheetName val="Income Statement(AR)"/>
      <sheetName val="2.1"/>
      <sheetName val="입력변수"/>
      <sheetName val="지중자재단가"/>
      <sheetName val="재정비내역"/>
      <sheetName val="지적고시내역"/>
      <sheetName val="중기목록"/>
      <sheetName val="세금자료"/>
      <sheetName val="예산서"/>
      <sheetName val="차선도색현황"/>
      <sheetName val="기성내역"/>
      <sheetName val="ITEM"/>
      <sheetName val="일반맨홀수량집계"/>
      <sheetName val="일반맨홀수량집계(A-7 LINE)"/>
      <sheetName val="기계내역"/>
      <sheetName val="총집계표"/>
      <sheetName val="BM"/>
      <sheetName val="별첨#2_임금"/>
      <sheetName val="년도별실"/>
      <sheetName val="명세서(을)"/>
      <sheetName val="1호맨홀_x0000__x0000_"/>
      <sheetName val="예산"/>
      <sheetName val="shTemp"/>
      <sheetName val="소화실적"/>
      <sheetName val="연수원"/>
      <sheetName val="13.품질관리계획"/>
      <sheetName val="경상"/>
      <sheetName val="구동"/>
      <sheetName val="신규 품"/>
      <sheetName val="1단계"/>
      <sheetName val="과세내역(세부)"/>
      <sheetName val="청천내"/>
      <sheetName val="중갑지"/>
      <sheetName val="현설내역서"/>
      <sheetName val="기타#9"/>
      <sheetName val="참조 (2)"/>
      <sheetName val="코드일람표"/>
      <sheetName val="수문일1"/>
      <sheetName val="터널조도"/>
      <sheetName val="노무단가"/>
      <sheetName val="해안산2"/>
      <sheetName val="보할"/>
      <sheetName val="전선 및 전선관"/>
      <sheetName val="손익계산서"/>
      <sheetName val="이익잉여금처분계산서"/>
      <sheetName val="제조원가명세서"/>
      <sheetName val="현금흐름표"/>
      <sheetName val="수익성분석"/>
      <sheetName val="낙찰표"/>
      <sheetName val="코드2"/>
      <sheetName val="상정안건"/>
      <sheetName val="CALCULATION"/>
      <sheetName val="공종별내역서"/>
      <sheetName val="E총15"/>
      <sheetName val="현장경비"/>
      <sheetName val="실행내역(현대)"/>
      <sheetName val="산3_4"/>
      <sheetName val="piping"/>
      <sheetName val="납부서"/>
      <sheetName val="BATCH"/>
      <sheetName val="포장연장"/>
      <sheetName val="총괄메뉴"/>
      <sheetName val="1.기안지"/>
      <sheetName val="원본(갑지)"/>
      <sheetName val="건축원가"/>
      <sheetName val="총괄내역"/>
      <sheetName val="간접비계산"/>
      <sheetName val="실행(표지,갑,을)"/>
      <sheetName val="차량별운반집계(2월)"/>
      <sheetName val="wall"/>
      <sheetName val="급수관경"/>
      <sheetName val="부대_x0005__x0000__x0000_"/>
      <sheetName val="설비내역서"/>
      <sheetName val="산출서"/>
      <sheetName val="총재료집계"/>
      <sheetName val="일위대가(가설)"/>
      <sheetName val="COST"/>
      <sheetName val="COPING"/>
      <sheetName val="기본DATA"/>
      <sheetName val="기초공"/>
      <sheetName val="반중력식옹벽"/>
      <sheetName val="개별직종노임단가(2007하)"/>
      <sheetName val="시설물일위"/>
      <sheetName val="기초입력 DATA"/>
      <sheetName val="적용기준표(98년상반기)"/>
      <sheetName val="기초(중마오수)"/>
      <sheetName val="종배수관"/>
      <sheetName val="개별직종노임단가(2005.1)"/>
      <sheetName val="A 견적"/>
      <sheetName val="지하"/>
      <sheetName val="공종구간"/>
      <sheetName val="퇴비산奔Ⰰ"/>
      <sheetName val="sub"/>
      <sheetName val="횡배수관집현황(2공구)"/>
      <sheetName val="시중노임"/>
      <sheetName val="수토공단위당"/>
      <sheetName val="배수관연장산출서"/>
      <sheetName val="6.교좌면보강"/>
      <sheetName val="차량별점검"/>
      <sheetName val="단가산출1"/>
      <sheetName val="JUCKEYK"/>
      <sheetName val="기술부대조건"/>
      <sheetName val="토목검측서"/>
      <sheetName val="합계"/>
      <sheetName val="2-2.매출분석"/>
      <sheetName val="생산판매 7"/>
      <sheetName val="FAX"/>
      <sheetName val="제경비"/>
      <sheetName val="PAY"/>
      <sheetName val="화설내"/>
      <sheetName val="수량"/>
      <sheetName val="상여_(2)"/>
      <sheetName val="20-25"/>
      <sheetName val="5사남"/>
      <sheetName val="RE9604"/>
      <sheetName val="철탑공사"/>
      <sheetName val="국도접속 차도부수량"/>
      <sheetName val="수목표준대가"/>
      <sheetName val="b_balju"/>
      <sheetName val="한강운반비"/>
      <sheetName val="4)유동표"/>
      <sheetName val="피벗테이블데이터분석"/>
      <sheetName val="적용단위길이"/>
      <sheetName val="BSD (2)"/>
      <sheetName val="기계ּ_x0000_缀_x0000_"/>
      <sheetName val="48평단가"/>
      <sheetName val="57단가"/>
      <sheetName val="54평단가"/>
      <sheetName val="66평단가"/>
      <sheetName val="61단가"/>
      <sheetName val="89평단가"/>
      <sheetName val="84평단가"/>
      <sheetName val="건축기술부대조건"/>
      <sheetName val="주요량(96)"/>
      <sheetName val="재고자산명세"/>
      <sheetName val="건축토목내역"/>
      <sheetName val="태안9)3何Ⰰ佖✀訒"/>
      <sheetName val="현금"/>
      <sheetName val="신림APT"/>
      <sheetName val="관급자재"/>
      <sheetName val="당진1,2호기전선관설치및접지4차공사내역서-을지"/>
      <sheetName val="Tension"/>
      <sheetName val="내역서(총)"/>
      <sheetName val="수량산출근거(관급)"/>
      <sheetName val="내역1"/>
      <sheetName val="서산일위대가수정분010603"/>
      <sheetName val="에너지절감량산출근거"/>
      <sheetName val=" 총괄표"/>
      <sheetName val="재집"/>
      <sheetName val="견적 (2)"/>
      <sheetName val="남양주부대"/>
      <sheetName val="도급b_balju"/>
      <sheetName val="적격심사표"/>
      <sheetName val="한일양산"/>
      <sheetName val="사업분석"/>
      <sheetName val="Summary Sheets"/>
      <sheetName val="48일위"/>
      <sheetName val="49일위"/>
      <sheetName val="22일위"/>
      <sheetName val="벽체면적당일위대가"/>
      <sheetName val="102동 지하실보수공사"/>
      <sheetName val="물량내역"/>
      <sheetName val="13LPMCC"/>
      <sheetName val="자재운반단가일람표"/>
      <sheetName val="공사비명세서"/>
      <sheetName val="준설량산정표"/>
      <sheetName val="TCDB"/>
      <sheetName val="hvac(제어동)"/>
      <sheetName val="8월"/>
      <sheetName val="전도금"/>
      <sheetName val="일반공사"/>
      <sheetName val="내역서(전기)"/>
      <sheetName val="내역갑지"/>
      <sheetName val="자료넣기"/>
      <sheetName val="원가총괄"/>
      <sheetName val="조회서"/>
      <sheetName val="A1_교대"/>
      <sheetName val="주배관TYPE현황"/>
      <sheetName val="3.9월공정표"/>
      <sheetName val="표준단"/>
      <sheetName val="건설산출"/>
      <sheetName val="하수처È_x0000_"/>
      <sheetName val="고객검색(본부)"/>
      <sheetName val="직종단ԯ_x0000_缀_x0000__x0000_"/>
      <sheetName val="내역서2안"/>
      <sheetName val="최종"/>
      <sheetName val="경산"/>
      <sheetName val="총공사비"/>
      <sheetName val="예산내역서"/>
      <sheetName val="연결임시"/>
      <sheetName val="1호구조물"/>
      <sheetName val="총괄BOQ"/>
      <sheetName val="현장조사"/>
      <sheetName val="관접합및부설"/>
      <sheetName val="내역서적용수량집계표"/>
      <sheetName val="모래기초"/>
      <sheetName val="ɉ"/>
      <sheetName val="단가적용"/>
      <sheetName val="외화금융(97-03)"/>
      <sheetName val="인원계획-미화"/>
      <sheetName val="FAB별"/>
      <sheetName val="수량_x0006__x0008_"/>
      <sheetName val="수량_x0006__x0000_"/>
      <sheetName val="_x0000__x0004__x0000__x0000_"/>
      <sheetName val="97 사업추정(WEKI)"/>
      <sheetName val="계수시트"/>
      <sheetName val="기준액"/>
      <sheetName val="토지조서"/>
      <sheetName val="CODE"/>
      <sheetName val="세부분류"/>
      <sheetName val="분류등록"/>
      <sheetName val="테이블"/>
      <sheetName val="CalcuSheet"/>
      <sheetName val="전기_x0002_"/>
      <sheetName val="우수"/>
      <sheetName val="내역서적용수량 (지방도893)"/>
      <sheetName val="결합부검토"/>
      <sheetName val="수안보-MBR1"/>
      <sheetName val="우각부보강"/>
      <sheetName val="조건표 (2)"/>
      <sheetName val="총수량多〈_x0005_"/>
      <sheetName val="구리토평1전기"/>
      <sheetName val="조직표"/>
      <sheetName val="시화점실행"/>
      <sheetName val="제작비추산총괄표"/>
      <sheetName val="갑"/>
      <sheetName val="육각볼트"/>
      <sheetName val="개거총"/>
      <sheetName val="연결관토피(토사)"/>
      <sheetName val="관로(미출력)"/>
      <sheetName val="가감수량"/>
      <sheetName val="배수공"/>
      <sheetName val="견적실행대비표(을지) "/>
      <sheetName val="타현장견적비교(개별)"/>
      <sheetName val="타현장견적비교(지역)"/>
      <sheetName val="asd"/>
      <sheetName val="전차선로 물량표"/>
      <sheetName val="특수조명기구 단莘7菜7"/>
      <sheetName val="특수조명기구 단_x0005__x0000__x0000_"/>
      <sheetName val="특수조명기구 단헾⿥_x0005__x0000_"/>
      <sheetName val="토목단가"/>
      <sheetName val="2.펌프장(사급자재)"/>
      <sheetName val="[별표내역.XLS]________XX__________2"/>
      <sheetName val="공사비예산서_(2)3"/>
      <sheetName val="설계_내역서_(2)3"/>
      <sheetName val="설계_내역서3"/>
      <sheetName val="_품셈3"/>
      <sheetName val="별표_(2)3"/>
      <sheetName val="별_표3"/>
      <sheetName val="견적_조건_변경사항3"/>
      <sheetName val="3BL공동구_수량3"/>
      <sheetName val="별표_3"/>
      <sheetName val="품_셈3"/>
      <sheetName val="부표_TABLE3"/>
      <sheetName val="6-1__관개량조서3"/>
      <sheetName val="플랜트_설치3"/>
      <sheetName val="Ⅴ-2_공종별내역3"/>
      <sheetName val="VENDOR_LIST3"/>
      <sheetName val="2_품제O호표2"/>
      <sheetName val="P_M_별2"/>
      <sheetName val="내역_ver1_02"/>
      <sheetName val="A3_공사비_검토2"/>
      <sheetName val="별표_(1)1"/>
      <sheetName val="입고장부_(4)1"/>
      <sheetName val="설_계1"/>
      <sheetName val="Customer_Databas1"/>
      <sheetName val="일위대가표-4_(2)1"/>
      <sheetName val="재료비_1"/>
      <sheetName val="단가_및_재료비3"/>
      <sheetName val="1062-X방향_1"/>
      <sheetName val="인건비_1"/>
      <sheetName val="06-BATCH_1"/>
      <sheetName val="C3_토목_옹벽1"/>
      <sheetName val="A6_샤시등1"/>
      <sheetName val="단양_00_아파트-세부내역1"/>
      <sheetName val="DATA_입력란1"/>
      <sheetName val="수량산출서_갑지1"/>
      <sheetName val="3_3수량집계1"/>
      <sheetName val="배수공_시멘트_및_골재량_산출1"/>
      <sheetName val="1_취수장1"/>
      <sheetName val="준검_내역서1"/>
      <sheetName val="REINF_1"/>
      <sheetName val="4_2_1_마루높이_검토1"/>
      <sheetName val="BEND_LOSS1"/>
      <sheetName val="토공(우물통,기타)_1"/>
      <sheetName val="1_수인터널1"/>
      <sheetName val="세골재__T2_변경_현황1"/>
      <sheetName val="사본_-_b_balju1"/>
      <sheetName val="집계표_(2)1"/>
      <sheetName val="-기성청구내역서_xlsx1"/>
      <sheetName val="3_하중산정4_지지력1"/>
      <sheetName val="6_이토처리시간1"/>
      <sheetName val="7__현장관리비_1"/>
      <sheetName val="6__안전관리비1"/>
      <sheetName val="969910(_R)1"/>
      <sheetName val="단면_(2)1"/>
      <sheetName val="6PILE__(돌출)1"/>
      <sheetName val="6_일위목록1"/>
      <sheetName val="9_단가조사서1"/>
      <sheetName val="지수링_단위수량1"/>
      <sheetName val="3_공통공사대비1"/>
      <sheetName val="제출내역_(2)1"/>
      <sheetName val="unit_41"/>
      <sheetName val="수량산출_(3공구)1"/>
      <sheetName val="220_(2)1"/>
      <sheetName val="장외반출및폐기물_1"/>
      <sheetName val="원가계산_(2)1"/>
      <sheetName val="중기조종사_단위단가1"/>
      <sheetName val="앉음벽_(2)1"/>
      <sheetName val="샌딩_에폭시_도장1"/>
      <sheetName val="일반문틀_설치1"/>
      <sheetName val="4_전기1"/>
      <sheetName val="기존단가_(2)1"/>
      <sheetName val="견적대비_견적서1"/>
      <sheetName val="C_S_A1"/>
      <sheetName val="2000년_공정표1"/>
      <sheetName val="4_장비손료1"/>
      <sheetName val="특수조명기구_단가조사서1"/>
      <sheetName val="표지_(2)1"/>
      <sheetName val="2_입력sheet1"/>
      <sheetName val="Major_Shareholder1"/>
      <sheetName val="5_소모재료비1"/>
      <sheetName val="원가계산_(29"/>
      <sheetName val="1_설계조건1"/>
      <sheetName val="기계경비_(2)1"/>
      <sheetName val="실행내역서_1"/>
      <sheetName val="CABLE_SIZE-11"/>
      <sheetName val="plan&amp;section_of_foundation1"/>
      <sheetName val="빌딩_안내"/>
      <sheetName val="2_대외공문"/>
      <sheetName val="Balance_Sheet(AR)"/>
      <sheetName val="Income_Statement(AR)"/>
      <sheetName val="2F_회의실견적(5_14_일대)"/>
      <sheetName val="1_설계설명서"/>
      <sheetName val="내역서_(2)"/>
      <sheetName val="3련_BOX"/>
      <sheetName val="4_2유효폭의_계산"/>
      <sheetName val="실행내역_(2)"/>
      <sheetName val="내___역"/>
      <sheetName val="Sheet1_(2)"/>
      <sheetName val="5_모델링"/>
      <sheetName val="1_설계기준"/>
      <sheetName val="설계명세서_(장비)"/>
      <sheetName val="TYPE-B_평균H"/>
      <sheetName val="8_PILE__(돌출)"/>
      <sheetName val="개별직종노임단가(2003_9)"/>
      <sheetName val="2_단면가정3_모델링4_하중"/>
      <sheetName val="dongia_(2)"/>
      <sheetName val="전기韈G"/>
      <sheetName val="노임단가_"/>
      <sheetName val="방수공사_집계표"/>
      <sheetName val="공장3월_종합"/>
      <sheetName val="_HIT-&gt;HMC_견적(3900)"/>
      <sheetName val="총_원가계산"/>
      <sheetName val="C1_(2)"/>
      <sheetName val="참조_(2)"/>
      <sheetName val="토공_total"/>
      <sheetName val="BASIC단가"/>
      <sheetName val="출입통제설비(console 외) (본관동)"/>
      <sheetName val="변경내_x0000__x0000_"/>
      <sheetName val="수량산출내역1115"/>
      <sheetName val="용수로단위수량"/>
      <sheetName val="교량하부공"/>
      <sheetName val="일대-1"/>
      <sheetName val="YC_xdf98_"/>
      <sheetName val="연부97-1"/>
      <sheetName val="갑지1"/>
      <sheetName val="교육종류"/>
      <sheetName val="CWP"/>
      <sheetName val="고동산출"/>
      <sheetName val="노임단가 (Print 불필요)"/>
      <sheetName val="1.2. 도장 변경작업 상세내역"/>
      <sheetName val="예산M4A"/>
      <sheetName val="영흥TL(UP,DOWN) "/>
      <sheetName val="Proposal"/>
      <sheetName val="가BM"/>
      <sheetName val="문학간접"/>
      <sheetName val="포장공(집계)"/>
      <sheetName val="기본사항"/>
      <sheetName val="7.경제성결과"/>
      <sheetName val="중간부"/>
      <sheetName val="단가塀/墌/"/>
      <sheetName val="개인별조서"/>
      <sheetName val="총괄¬_x0000__x0000_"/>
      <sheetName val="설직재-1"/>
      <sheetName val="현장별계약현황('98.10.31)"/>
      <sheetName val="유출계수"/>
      <sheetName val="노임산재"/>
      <sheetName val="토공산근"/>
      <sheetName val="원형맨홀수량"/>
      <sheetName val=" 원본"/>
      <sheetName val="Working HR_20180930"/>
      <sheetName val="현황표-원래"/>
      <sheetName val="토목주소"/>
      <sheetName val="CTEMCOST"/>
      <sheetName val="Xunit (단위환산)"/>
      <sheetName val="SHAPE "/>
      <sheetName val="조도계산서 (도서)"/>
      <sheetName val="2.1  노무비 평균단가산출"/>
      <sheetName val="기계_x0000__x0000_Ԁ_x0000_"/>
      <sheetName val="카"/>
      <sheetName val="심_x0000_"/>
      <sheetName val="심ⴀ"/>
      <sheetName val="Front"/>
      <sheetName val="gyun"/>
      <sheetName val="2공구산출내"/>
      <sheetName val="热力"/>
      <sheetName val="C"/>
      <sheetName val="7월"/>
      <sheetName val="C.배수관공"/>
      <sheetName val="R.C RAHMEN 해석"/>
      <sheetName val="본체 설 계"/>
      <sheetName val="단위량당중기"/>
      <sheetName val="역사이펀평균높이"/>
      <sheetName val="구조물철거타공정이월"/>
      <sheetName val="우수공,맨홀,집수정"/>
      <sheetName val="철거현황"/>
      <sheetName val="계약서"/>
      <sheetName val="내역서(1)"/>
      <sheetName val="실행간접비용"/>
      <sheetName val="단가조정"/>
      <sheetName val="말뚝기초"/>
      <sheetName val="결과치"/>
      <sheetName val="공급집계 (현대-우림)"/>
      <sheetName val="작성방법"/>
      <sheetName val="본체철근표"/>
      <sheetName val="CONCRETE"/>
      <sheetName val="001"/>
      <sheetName val="PIPE"/>
      <sheetName val="가설공사"/>
      <sheetName val="대창(함평)"/>
      <sheetName val="대창(장성)"/>
      <sheetName val="대창(함평)-창열"/>
      <sheetName val="유지_x0000_̛"/>
      <sheetName val="단위수량(출력X)"/>
      <sheetName val="수량집계"/>
      <sheetName val="빗물받이(910-510-410)"/>
      <sheetName val="장외반출및폐기물°"/>
      <sheetName val="장외반출및폐기물_x0000_"/>
      <sheetName val="구역화물"/>
      <sheetName val="단가일람"/>
      <sheetName val="앨범표지"/>
      <sheetName val="청학계"/>
      <sheetName val="득점현황"/>
      <sheetName val="#2_일위대가목록"/>
      <sheetName val="공사비내역"/>
      <sheetName val="전주조서"/>
      <sheetName val="부대공"/>
      <sheetName val="월별수입"/>
      <sheetName val="월별손익"/>
      <sheetName val="PI"/>
      <sheetName val="PAINT"/>
      <sheetName val="1차 내역서"/>
      <sheetName val="물량내역서"/>
      <sheetName val="기초목"/>
      <sheetName val="database"/>
      <sheetName val="적용건축"/>
      <sheetName val="Macro2"/>
      <sheetName val="장비분류"/>
      <sheetName val="투찰추정"/>
      <sheetName val="신공항A-9(원가수정)"/>
      <sheetName val="고지전심사청구서"/>
      <sheetName val="96보완계획7.12"/>
      <sheetName val="기초1"/>
      <sheetName val="카메라"/>
      <sheetName val="이름표"/>
      <sheetName val="축산기준"/>
      <sheetName val="명세표"/>
      <sheetName val="변수"/>
      <sheetName val="지장물"/>
      <sheetName val="토지"/>
      <sheetName val="수수료_합산"/>
      <sheetName val="신흥교"/>
      <sheetName val="물건조서"/>
      <sheetName val="토지산출"/>
      <sheetName val="중_x0000__x0000_Ā"/>
      <sheetName val="평형공사비"/>
      <sheetName val="견적서-자동"/>
      <sheetName val="산출(토공)"/>
      <sheetName val="노동98년 (2)"/>
      <sheetName val="1호맨"/>
      <sheetName val="자재조서"/>
      <sheetName val="기본1"/>
      <sheetName val="수정일위대가"/>
      <sheetName val="품셈표-환錈_x0015_塚"/>
      <sheetName val="품셈표-환錈_x0015_뺨"/>
      <sheetName val="ISU"/>
      <sheetName val="하도급계약 내역"/>
      <sheetName val="단가비교표_공통1"/>
      <sheetName val="자재가격"/>
      <sheetName val="반포2차"/>
      <sheetName val="미드수량"/>
      <sheetName val="구성1"/>
      <sheetName val="구성2"/>
      <sheetName val="구성3"/>
      <sheetName val="구성4"/>
      <sheetName val="그림2"/>
      <sheetName val="DATA2000"/>
      <sheetName val="전화번호부"/>
      <sheetName val="전화번호DB"/>
      <sheetName val="Lr"/>
      <sheetName val="감액총괄표"/>
      <sheetName val="세부내역서"/>
      <sheetName val="집계표(공종별)"/>
      <sheetName val="b_balju_cho"/>
      <sheetName val="B1(반포1차)"/>
      <sheetName val="49-119"/>
      <sheetName val="b_balju-단가단가단가"/>
      <sheetName val="물가자료"/>
      <sheetName val="암거날개벽"/>
      <sheetName val="본공사"/>
      <sheetName val="투자예산"/>
      <sheetName val="초과사유"/>
      <sheetName val="tggwan(mac)"/>
      <sheetName val="건설성적"/>
      <sheetName val="비주거용"/>
      <sheetName val="변경증감내역서"/>
      <sheetName val="제품원재"/>
      <sheetName val="부재예실"/>
      <sheetName val="지부전체"/>
      <sheetName val="예산실적전체당월"/>
      <sheetName val="GC산출"/>
      <sheetName val="케이블"/>
      <sheetName val="총원"/>
      <sheetName val="특별땅고르기"/>
      <sheetName val="구羳稪ԯ"/>
      <sheetName val="기본설계기준"/>
      <sheetName val="2차계약"/>
      <sheetName val="일위(수원)"/>
      <sheetName val="평택분"/>
      <sheetName val="22수량"/>
      <sheetName val="05.전기"/>
      <sheetName val="감리을"/>
      <sheetName val="연돌일위집계"/>
      <sheetName val="도수로수량산출"/>
      <sheetName val="공사비예산서_(2)4"/>
      <sheetName val="설계_내역서_(2)4"/>
      <sheetName val="설계_내역서4"/>
      <sheetName val="_품셈4"/>
      <sheetName val="별표_(2)4"/>
      <sheetName val="별_표4"/>
      <sheetName val="견적_조건_변경사항4"/>
      <sheetName val="3BL공동구_수량4"/>
      <sheetName val="별표_4"/>
      <sheetName val="품_셈4"/>
      <sheetName val="부표_TABLE4"/>
      <sheetName val="6-1__관개량조서4"/>
      <sheetName val="플랜트_설치4"/>
      <sheetName val="Ⅴ-2_공종별내역4"/>
      <sheetName val="VENDOR_LIST4"/>
      <sheetName val="2_품제O호표3"/>
      <sheetName val="P_M_별3"/>
      <sheetName val="단가_및_재료비4"/>
      <sheetName val="Customer_Databas2"/>
      <sheetName val="내역_ver1_03"/>
      <sheetName val="일위대가표-4_(2)2"/>
      <sheetName val="재료비_2"/>
      <sheetName val="설_계2"/>
      <sheetName val="A3_공사비_검토3"/>
      <sheetName val="입고장부_(4)2"/>
      <sheetName val="별표_(1)2"/>
      <sheetName val="1062-X방향_2"/>
      <sheetName val="인건비_2"/>
      <sheetName val="06-BATCH_2"/>
      <sheetName val="C3_토목_옹벽2"/>
      <sheetName val="A6_샤시등2"/>
      <sheetName val="단양_00_아파트-세부내역2"/>
      <sheetName val="REINF_2"/>
      <sheetName val="수량산출서_갑지2"/>
      <sheetName val="3_3수량집계2"/>
      <sheetName val="1_취수장2"/>
      <sheetName val="배수공_시멘트_및_골재량_산출2"/>
      <sheetName val="4_2_1_마루높이_검토2"/>
      <sheetName val="BEND_LOSS2"/>
      <sheetName val="6_이토처리시간2"/>
      <sheetName val="준검_내역서2"/>
      <sheetName val="DATA_입력란2"/>
      <sheetName val="집계표_(2)2"/>
      <sheetName val="토공(우물통,기타)_2"/>
      <sheetName val="1_수인터널2"/>
      <sheetName val="세골재__T2_변경_현황2"/>
      <sheetName val="사본_-_b_balju2"/>
      <sheetName val="7__현장관리비_2"/>
      <sheetName val="6__안전관리비2"/>
      <sheetName val="969910(_R)2"/>
      <sheetName val="-기성청구내역서_xlsx2"/>
      <sheetName val="3_하중산정4_지지력2"/>
      <sheetName val="6_일위목록2"/>
      <sheetName val="9_단가조사서2"/>
      <sheetName val="지수링_단위수량2"/>
      <sheetName val="6PILE__(돌출)2"/>
      <sheetName val="특수조명기구_단가조사서2"/>
      <sheetName val="장외반출및폐기물_2"/>
      <sheetName val="원가계산_(2)2"/>
      <sheetName val="단면_(2)2"/>
      <sheetName val="샌딩_에폭시_도장2"/>
      <sheetName val="일반문틀_설치2"/>
      <sheetName val="4_전기2"/>
      <sheetName val="3_공통공사대비2"/>
      <sheetName val="중기조종사_단위단가2"/>
      <sheetName val="앉음벽_(2)2"/>
      <sheetName val="제출내역_(2)2"/>
      <sheetName val="2000년_공정표2"/>
      <sheetName val="unit_42"/>
      <sheetName val="수량산출_(3공구)2"/>
      <sheetName val="기존단가_(2)2"/>
      <sheetName val="2_입력sheet2"/>
      <sheetName val="4_장비손료2"/>
      <sheetName val="견적대비_견적서2"/>
      <sheetName val="C_S_A2"/>
      <sheetName val="1_설계조건2"/>
      <sheetName val="표지_(2)2"/>
      <sheetName val="220_(2)2"/>
      <sheetName val="Major_Shareholder2"/>
      <sheetName val="5_소모재료비2"/>
      <sheetName val="기계경비_(2)2"/>
      <sheetName val="실행내역서_2"/>
      <sheetName val="CABLE_SIZE-12"/>
      <sheetName val="plan&amp;section_of_foundation2"/>
      <sheetName val="2_대외공문2"/>
      <sheetName val="Sheet1_(2)2"/>
      <sheetName val="노임단가(직종번호_순)2"/>
      <sheetName val="1_설계기준2"/>
      <sheetName val="개별직종노임단가(2003_9)2"/>
      <sheetName val="실행내역_(2)2"/>
      <sheetName val="dongia_(2)2"/>
      <sheetName val="노임단가(직종번호_순)"/>
      <sheetName val="2_대외공문1"/>
      <sheetName val="Sheet1_(2)1"/>
      <sheetName val="노임단가(직종번호_순)1"/>
      <sheetName val="1_설계기준1"/>
      <sheetName val="개별직종노임단가(2003_9)1"/>
      <sheetName val="실행내역_(2)1"/>
      <sheetName val="dongia_(2)1"/>
      <sheetName val="공사비예산서_(2)5"/>
      <sheetName val="설계_내역서_(2)5"/>
      <sheetName val="설계_내역서5"/>
      <sheetName val="_품셈5"/>
      <sheetName val="별표_(2)5"/>
      <sheetName val="별_표5"/>
      <sheetName val="견적_조건_변경사항5"/>
      <sheetName val="3BL공동구_수량5"/>
      <sheetName val="별표_5"/>
      <sheetName val="품_셈5"/>
      <sheetName val="부표_TABLE5"/>
      <sheetName val="6-1__관개량조서5"/>
      <sheetName val="플랜트_설치5"/>
      <sheetName val="Ⅴ-2_공종별내역5"/>
      <sheetName val="VENDOR_LIST5"/>
      <sheetName val="2_품제O호표4"/>
      <sheetName val="P_M_별4"/>
      <sheetName val="단가_및_재료비5"/>
      <sheetName val="Customer_Databas3"/>
      <sheetName val="내역_ver1_04"/>
      <sheetName val="일위대가표-4_(2)3"/>
      <sheetName val="재료비_3"/>
      <sheetName val="설_계3"/>
      <sheetName val="A3_공사비_검토4"/>
      <sheetName val="입고장부_(4)3"/>
      <sheetName val="별표_(1)3"/>
      <sheetName val="1062-X방향_3"/>
      <sheetName val="인건비_3"/>
      <sheetName val="06-BATCH_3"/>
      <sheetName val="C3_토목_옹벽3"/>
      <sheetName val="A6_샤시등3"/>
      <sheetName val="단양_00_아파트-세부내역3"/>
      <sheetName val="REINF_3"/>
      <sheetName val="수량산출서_갑지3"/>
      <sheetName val="3_3수량집계3"/>
      <sheetName val="1_취수장3"/>
      <sheetName val="배수공_시멘트_및_골재량_산출3"/>
      <sheetName val="4_2_1_마루높이_검토3"/>
      <sheetName val="BEND_LOSS3"/>
      <sheetName val="6_이토처리시간3"/>
      <sheetName val="준검_내역서3"/>
      <sheetName val="DATA_입력란3"/>
      <sheetName val="집계표_(2)3"/>
      <sheetName val="토공(우물통,기타)_3"/>
      <sheetName val="1_수인터널3"/>
      <sheetName val="세골재__T2_변경_현황3"/>
      <sheetName val="사본_-_b_balju3"/>
      <sheetName val="7__현장관리비_3"/>
      <sheetName val="6__안전관리비3"/>
      <sheetName val="969910(_R)3"/>
      <sheetName val="-기성청구내역서_xlsx3"/>
      <sheetName val="3_하중산정4_지지력3"/>
      <sheetName val="6_일위목록3"/>
      <sheetName val="9_단가조사서3"/>
      <sheetName val="지수링_단위수량3"/>
      <sheetName val="6PILE__(돌출)3"/>
      <sheetName val="특수조명기구_단가조사서3"/>
      <sheetName val="장외반출및폐기물_3"/>
      <sheetName val="원가계산_(2)3"/>
      <sheetName val="단면_(2)3"/>
      <sheetName val="샌딩_에폭시_도장3"/>
      <sheetName val="일반문틀_설치3"/>
      <sheetName val="4_전기3"/>
      <sheetName val="3_공통공사대비3"/>
      <sheetName val="중기조종사_단위단가3"/>
      <sheetName val="앉음벽_(2)3"/>
      <sheetName val="제출내역_(2)3"/>
      <sheetName val="2000년_공정표3"/>
      <sheetName val="unit_43"/>
      <sheetName val="수량산출_(3공구)3"/>
      <sheetName val="기존단가_(2)3"/>
      <sheetName val="2_입력sheet3"/>
      <sheetName val="4_장비손료3"/>
      <sheetName val="견적대비_견적서3"/>
      <sheetName val="C_S_A3"/>
      <sheetName val="1_설계조건3"/>
      <sheetName val="표지_(2)3"/>
      <sheetName val="220_(2)3"/>
      <sheetName val="Major_Shareholder3"/>
      <sheetName val="5_소모재료비3"/>
      <sheetName val="기계경비_(2)3"/>
      <sheetName val="실행내역서_3"/>
      <sheetName val="CABLE_SIZE-13"/>
      <sheetName val="plan&amp;section_of_foundation3"/>
      <sheetName val="2_대외공문3"/>
      <sheetName val="Sheet1_(2)3"/>
      <sheetName val="노임단가(직종번호_순)3"/>
      <sheetName val="1_설계기준3"/>
      <sheetName val="개별직종노임단가(2003_9)3"/>
      <sheetName val="실행내역_(2)3"/>
      <sheetName val="dongia_(2)3"/>
      <sheetName val="공사비예산서_(2)6"/>
      <sheetName val="설계_내역서_(2)6"/>
      <sheetName val="설계_내역서6"/>
      <sheetName val="_품셈6"/>
      <sheetName val="별표_(2)6"/>
      <sheetName val="별_표6"/>
      <sheetName val="견적_조건_변경사항6"/>
      <sheetName val="3BL공동구_수량6"/>
      <sheetName val="별표_6"/>
      <sheetName val="품_셈6"/>
      <sheetName val="부표_TABLE6"/>
      <sheetName val="6-1__관개량조서6"/>
      <sheetName val="플랜트_설치6"/>
      <sheetName val="Ⅴ-2_공종별내역6"/>
      <sheetName val="VENDOR_LIST6"/>
      <sheetName val="2_품제O호표5"/>
      <sheetName val="P_M_별5"/>
      <sheetName val="단가_및_재료비6"/>
      <sheetName val="Customer_Databas4"/>
      <sheetName val="내역_ver1_05"/>
      <sheetName val="일위대가표-4_(2)4"/>
      <sheetName val="재료비_4"/>
      <sheetName val="설_계4"/>
      <sheetName val="A3_공사비_검토5"/>
      <sheetName val="입고장부_(4)4"/>
      <sheetName val="별표_(1)4"/>
      <sheetName val="1062-X방향_4"/>
      <sheetName val="인건비_4"/>
      <sheetName val="06-BATCH_4"/>
      <sheetName val="C3_토목_옹벽4"/>
      <sheetName val="A6_샤시등4"/>
      <sheetName val="단양_00_아파트-세부내역4"/>
      <sheetName val="REINF_4"/>
      <sheetName val="수량산출서_갑지4"/>
      <sheetName val="3_3수량집계4"/>
      <sheetName val="1_취수장4"/>
      <sheetName val="배수공_시멘트_및_골재량_산출4"/>
      <sheetName val="4_2_1_마루높이_검토4"/>
      <sheetName val="BEND_LOSS4"/>
      <sheetName val="6_이토처리시간4"/>
      <sheetName val="준검_내역서4"/>
      <sheetName val="DATA_입력란4"/>
      <sheetName val="집계표_(2)4"/>
      <sheetName val="토공(우물통,기타)_4"/>
      <sheetName val="1_수인터널4"/>
      <sheetName val="세골재__T2_변경_현황4"/>
      <sheetName val="사본_-_b_balju4"/>
      <sheetName val="7__현장관리비_4"/>
      <sheetName val="6__안전관리비4"/>
      <sheetName val="969910(_R)4"/>
      <sheetName val="-기성청구내역서_xlsx4"/>
      <sheetName val="3_하중산정4_지지력4"/>
      <sheetName val="6_일위목록4"/>
      <sheetName val="9_단가조사서4"/>
      <sheetName val="지수링_단위수량4"/>
      <sheetName val="6PILE__(돌출)4"/>
      <sheetName val="특수조명기구_단가조사서4"/>
      <sheetName val="장외반출및폐기물_4"/>
      <sheetName val="원가계산_(2)4"/>
      <sheetName val="단면_(2)4"/>
      <sheetName val="샌딩_에폭시_도장4"/>
      <sheetName val="일반문틀_설치4"/>
      <sheetName val="4_전기4"/>
      <sheetName val="3_공통공사대비4"/>
      <sheetName val="중기조종사_단위단가4"/>
      <sheetName val="앉음벽_(2)4"/>
      <sheetName val="제출내역_(2)4"/>
      <sheetName val="2000년_공정표4"/>
      <sheetName val="unit_44"/>
      <sheetName val="수량산출_(3공구)4"/>
      <sheetName val="기존단가_(2)4"/>
      <sheetName val="2_입력sheet4"/>
      <sheetName val="4_장비손료4"/>
      <sheetName val="견적대비_견적서4"/>
      <sheetName val="C_S_A4"/>
      <sheetName val="1_설계조건4"/>
      <sheetName val="표지_(2)4"/>
      <sheetName val="220_(2)4"/>
      <sheetName val="Major_Shareholder4"/>
      <sheetName val="5_소모재료비4"/>
      <sheetName val="기계경비_(2)4"/>
      <sheetName val="실행내역서_4"/>
      <sheetName val="CABLE_SIZE-14"/>
      <sheetName val="plan&amp;section_of_foundation4"/>
      <sheetName val="2_대외공문4"/>
      <sheetName val="Sheet1_(2)4"/>
      <sheetName val="노임단가(직종번호_순)4"/>
      <sheetName val="1_설계기준4"/>
      <sheetName val="개별직종노임단가(2003_9)4"/>
      <sheetName val="실행내역_(2)4"/>
      <sheetName val="dongia_(2)4"/>
      <sheetName val="정산내역서"/>
      <sheetName val="유입맨홀산출"/>
      <sheetName val="S0"/>
      <sheetName val="시추조사비"/>
      <sheetName val="9509"/>
      <sheetName val="건축기계설비표선정수장"/>
      <sheetName val="2터널시점"/>
      <sheetName val="3지구단위"/>
      <sheetName val="전기내역"/>
      <sheetName val="C.포설"/>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row r="2">
          <cell r="C2" t="str">
            <v>철골공</v>
          </cell>
          <cell r="D2">
            <v>58845</v>
          </cell>
        </row>
        <row r="3">
          <cell r="C3" t="str">
            <v>콘크리트공</v>
          </cell>
          <cell r="D3">
            <v>57135</v>
          </cell>
        </row>
        <row r="4">
          <cell r="C4" t="str">
            <v>용 접 공</v>
          </cell>
          <cell r="D4">
            <v>52064</v>
          </cell>
        </row>
        <row r="5">
          <cell r="C5" t="str">
            <v>보통인부</v>
          </cell>
          <cell r="D5">
            <v>29933</v>
          </cell>
        </row>
        <row r="6">
          <cell r="C6" t="str">
            <v>특별인부</v>
          </cell>
          <cell r="D6">
            <v>43490</v>
          </cell>
        </row>
        <row r="7">
          <cell r="C7" t="str">
            <v>형틀목공</v>
          </cell>
          <cell r="D7">
            <v>61835</v>
          </cell>
        </row>
        <row r="8">
          <cell r="C8" t="str">
            <v>철근공</v>
          </cell>
          <cell r="D8">
            <v>61510</v>
          </cell>
        </row>
        <row r="9">
          <cell r="C9" t="str">
            <v>철    공</v>
          </cell>
          <cell r="D9">
            <v>58947</v>
          </cell>
        </row>
        <row r="10">
          <cell r="C10" t="str">
            <v>강판구멍뚫기</v>
          </cell>
          <cell r="D10">
            <v>85339.7</v>
          </cell>
        </row>
        <row r="11">
          <cell r="C11" t="str">
            <v>조   수</v>
          </cell>
          <cell r="D11">
            <v>29933</v>
          </cell>
        </row>
        <row r="12">
          <cell r="C12" t="str">
            <v>풀기</v>
          </cell>
          <cell r="D12">
            <v>609</v>
          </cell>
        </row>
        <row r="13">
          <cell r="C13" t="str">
            <v>보 링 공</v>
          </cell>
          <cell r="D13">
            <v>44584</v>
          </cell>
        </row>
        <row r="14">
          <cell r="C14" t="str">
            <v>비  트</v>
          </cell>
          <cell r="D14">
            <v>627000</v>
          </cell>
        </row>
        <row r="15">
          <cell r="C15" t="str">
            <v>TRACK CRANE</v>
          </cell>
          <cell r="D15">
            <v>2817</v>
          </cell>
        </row>
        <row r="16">
          <cell r="C16" t="str">
            <v>TRACK CRANE(인)</v>
          </cell>
          <cell r="D16">
            <v>15742</v>
          </cell>
        </row>
        <row r="17">
          <cell r="C17" t="str">
            <v>TRACK CRANE(경비)</v>
          </cell>
          <cell r="D17">
            <v>17824</v>
          </cell>
        </row>
        <row r="18">
          <cell r="C18" t="str">
            <v>VIBRO HAMMER</v>
          </cell>
          <cell r="D18">
            <v>11458</v>
          </cell>
        </row>
        <row r="19">
          <cell r="C19" t="str">
            <v>TRUCK CRANE</v>
          </cell>
          <cell r="D19">
            <v>2114</v>
          </cell>
        </row>
        <row r="20">
          <cell r="C20" t="str">
            <v>TRUCK CRANE(인)</v>
          </cell>
          <cell r="D20">
            <v>15742</v>
          </cell>
        </row>
        <row r="21">
          <cell r="C21" t="str">
            <v>TRUCK CRANE(경)</v>
          </cell>
          <cell r="D21">
            <v>22450</v>
          </cell>
        </row>
        <row r="22">
          <cell r="C22" t="str">
            <v>수작업반장</v>
          </cell>
          <cell r="D22">
            <v>57103</v>
          </cell>
        </row>
        <row r="23">
          <cell r="C23" t="str">
            <v>비 계 공</v>
          </cell>
          <cell r="D23">
            <v>65265</v>
          </cell>
        </row>
        <row r="24">
          <cell r="C24" t="str">
            <v>대 장 공</v>
          </cell>
          <cell r="D24">
            <v>47273</v>
          </cell>
        </row>
        <row r="25">
          <cell r="C25" t="str">
            <v>판 재(100×150×1,700m/m)</v>
          </cell>
          <cell r="D25">
            <v>152694</v>
          </cell>
        </row>
        <row r="26">
          <cell r="C26" t="str">
            <v>철    판</v>
          </cell>
        </row>
        <row r="27">
          <cell r="C27" t="str">
            <v>강판절단(수동)</v>
          </cell>
        </row>
        <row r="28">
          <cell r="C28" t="str">
            <v>용접(FILLET)</v>
          </cell>
        </row>
        <row r="29">
          <cell r="C29" t="str">
            <v>더블롯드</v>
          </cell>
        </row>
        <row r="30">
          <cell r="C30" t="str">
            <v>특수첨단장치</v>
          </cell>
        </row>
        <row r="31">
          <cell r="C31" t="str">
            <v>크라운비트</v>
          </cell>
        </row>
        <row r="32">
          <cell r="C32" t="str">
            <v>중급기술자</v>
          </cell>
        </row>
        <row r="33">
          <cell r="C33" t="str">
            <v>기 계 공</v>
          </cell>
          <cell r="D33">
            <v>51132</v>
          </cell>
        </row>
        <row r="34">
          <cell r="C34" t="str">
            <v>전    공</v>
          </cell>
          <cell r="D34">
            <v>54702</v>
          </cell>
        </row>
        <row r="35">
          <cell r="C35" t="str">
            <v>배 관 공</v>
          </cell>
        </row>
        <row r="36">
          <cell r="C36" t="str">
            <v>중급기능사</v>
          </cell>
        </row>
        <row r="37">
          <cell r="C37" t="str">
            <v>중기운전사</v>
          </cell>
          <cell r="D37">
            <v>41444</v>
          </cell>
        </row>
      </sheetData>
      <sheetData sheetId="31">
        <row r="2">
          <cell r="C2" t="str">
            <v>철골공</v>
          </cell>
        </row>
      </sheetData>
      <sheetData sheetId="32">
        <row r="2">
          <cell r="C2" t="str">
            <v>철골공</v>
          </cell>
        </row>
      </sheetData>
      <sheetData sheetId="33">
        <row r="2">
          <cell r="C2" t="str">
            <v>철골공</v>
          </cell>
        </row>
      </sheetData>
      <sheetData sheetId="34">
        <row r="2">
          <cell r="C2" t="str">
            <v>철골공</v>
          </cell>
        </row>
      </sheetData>
      <sheetData sheetId="35" refreshError="1"/>
      <sheetData sheetId="36" refreshError="1"/>
      <sheetData sheetId="37" refreshError="1"/>
      <sheetData sheetId="38"/>
      <sheetData sheetId="39"/>
      <sheetData sheetId="40"/>
      <sheetData sheetId="41"/>
      <sheetData sheetId="42"/>
      <sheetData sheetId="43">
        <row r="4">
          <cell r="C4" t="str">
            <v>1 LINE</v>
          </cell>
        </row>
      </sheetData>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sheetData sheetId="603" refreshError="1"/>
      <sheetData sheetId="604"/>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ow r="2">
          <cell r="C2" t="str">
            <v>철골공</v>
          </cell>
        </row>
      </sheetData>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ow r="2">
          <cell r="C2" t="str">
            <v>철골공</v>
          </cell>
        </row>
      </sheetData>
      <sheetData sheetId="966">
        <row r="2">
          <cell r="C2" t="str">
            <v>철골공</v>
          </cell>
        </row>
      </sheetData>
      <sheetData sheetId="967">
        <row r="2">
          <cell r="C2" t="str">
            <v>철골공</v>
          </cell>
        </row>
      </sheetData>
      <sheetData sheetId="968">
        <row r="2">
          <cell r="C2" t="str">
            <v>철골공</v>
          </cell>
        </row>
      </sheetData>
      <sheetData sheetId="969">
        <row r="2">
          <cell r="C2" t="str">
            <v>철골공</v>
          </cell>
        </row>
      </sheetData>
      <sheetData sheetId="970">
        <row r="2">
          <cell r="C2" t="str">
            <v>철골공</v>
          </cell>
        </row>
      </sheetData>
      <sheetData sheetId="971">
        <row r="2">
          <cell r="C2" t="str">
            <v>철골공</v>
          </cell>
        </row>
      </sheetData>
      <sheetData sheetId="972">
        <row r="2">
          <cell r="C2" t="str">
            <v>철골공</v>
          </cell>
        </row>
      </sheetData>
      <sheetData sheetId="973">
        <row r="2">
          <cell r="C2" t="str">
            <v>철골공</v>
          </cell>
        </row>
      </sheetData>
      <sheetData sheetId="974">
        <row r="2">
          <cell r="C2" t="str">
            <v>철골공</v>
          </cell>
        </row>
      </sheetData>
      <sheetData sheetId="975">
        <row r="2">
          <cell r="C2" t="str">
            <v>철골공</v>
          </cell>
        </row>
      </sheetData>
      <sheetData sheetId="976">
        <row r="2">
          <cell r="C2" t="str">
            <v>철골공</v>
          </cell>
        </row>
      </sheetData>
      <sheetData sheetId="977">
        <row r="2">
          <cell r="C2" t="str">
            <v>철골공</v>
          </cell>
        </row>
      </sheetData>
      <sheetData sheetId="978">
        <row r="2">
          <cell r="C2" t="str">
            <v>철골공</v>
          </cell>
        </row>
      </sheetData>
      <sheetData sheetId="979">
        <row r="2">
          <cell r="C2" t="str">
            <v>철골공</v>
          </cell>
        </row>
      </sheetData>
      <sheetData sheetId="980">
        <row r="2">
          <cell r="C2" t="str">
            <v>철골공</v>
          </cell>
        </row>
      </sheetData>
      <sheetData sheetId="981">
        <row r="2">
          <cell r="C2" t="str">
            <v>철골공</v>
          </cell>
        </row>
      </sheetData>
      <sheetData sheetId="982">
        <row r="2">
          <cell r="C2" t="str">
            <v>철골공</v>
          </cell>
        </row>
      </sheetData>
      <sheetData sheetId="983">
        <row r="2">
          <cell r="C2" t="str">
            <v>철골공</v>
          </cell>
        </row>
      </sheetData>
      <sheetData sheetId="984">
        <row r="2">
          <cell r="C2" t="str">
            <v>철골공</v>
          </cell>
        </row>
      </sheetData>
      <sheetData sheetId="985">
        <row r="2">
          <cell r="C2" t="str">
            <v>철골공</v>
          </cell>
        </row>
      </sheetData>
      <sheetData sheetId="986">
        <row r="2">
          <cell r="C2" t="str">
            <v>철골공</v>
          </cell>
        </row>
      </sheetData>
      <sheetData sheetId="987">
        <row r="2">
          <cell r="C2" t="str">
            <v>철골공</v>
          </cell>
        </row>
      </sheetData>
      <sheetData sheetId="988">
        <row r="2">
          <cell r="C2" t="str">
            <v>철골공</v>
          </cell>
        </row>
      </sheetData>
      <sheetData sheetId="989">
        <row r="2">
          <cell r="C2" t="str">
            <v>철골공</v>
          </cell>
        </row>
      </sheetData>
      <sheetData sheetId="990">
        <row r="2">
          <cell r="C2" t="str">
            <v>철골공</v>
          </cell>
        </row>
      </sheetData>
      <sheetData sheetId="991">
        <row r="2">
          <cell r="C2" t="str">
            <v>철골공</v>
          </cell>
        </row>
      </sheetData>
      <sheetData sheetId="992">
        <row r="2">
          <cell r="C2" t="str">
            <v>철골공</v>
          </cell>
        </row>
      </sheetData>
      <sheetData sheetId="993">
        <row r="2">
          <cell r="C2" t="str">
            <v>철골공</v>
          </cell>
        </row>
      </sheetData>
      <sheetData sheetId="994">
        <row r="2">
          <cell r="C2" t="str">
            <v>철골공</v>
          </cell>
        </row>
      </sheetData>
      <sheetData sheetId="995">
        <row r="2">
          <cell r="C2" t="str">
            <v>철골공</v>
          </cell>
        </row>
      </sheetData>
      <sheetData sheetId="996">
        <row r="2">
          <cell r="C2" t="str">
            <v>철골공</v>
          </cell>
        </row>
      </sheetData>
      <sheetData sheetId="997">
        <row r="2">
          <cell r="C2" t="str">
            <v>철골공</v>
          </cell>
        </row>
      </sheetData>
      <sheetData sheetId="998">
        <row r="2">
          <cell r="C2" t="str">
            <v>철골공</v>
          </cell>
        </row>
      </sheetData>
      <sheetData sheetId="999">
        <row r="2">
          <cell r="C2" t="str">
            <v>철골공</v>
          </cell>
        </row>
      </sheetData>
      <sheetData sheetId="1000">
        <row r="2">
          <cell r="C2" t="str">
            <v>철골공</v>
          </cell>
        </row>
      </sheetData>
      <sheetData sheetId="1001">
        <row r="2">
          <cell r="C2" t="str">
            <v>철골공</v>
          </cell>
        </row>
      </sheetData>
      <sheetData sheetId="1002">
        <row r="2">
          <cell r="C2" t="str">
            <v>철골공</v>
          </cell>
        </row>
      </sheetData>
      <sheetData sheetId="1003">
        <row r="2">
          <cell r="C2" t="str">
            <v>철골공</v>
          </cell>
        </row>
      </sheetData>
      <sheetData sheetId="1004">
        <row r="2">
          <cell r="C2" t="str">
            <v>철골공</v>
          </cell>
        </row>
      </sheetData>
      <sheetData sheetId="1005">
        <row r="2">
          <cell r="C2" t="str">
            <v>철골공</v>
          </cell>
        </row>
      </sheetData>
      <sheetData sheetId="1006">
        <row r="2">
          <cell r="C2" t="str">
            <v>철골공</v>
          </cell>
        </row>
      </sheetData>
      <sheetData sheetId="1007">
        <row r="2">
          <cell r="C2" t="str">
            <v>철골공</v>
          </cell>
        </row>
      </sheetData>
      <sheetData sheetId="1008">
        <row r="2">
          <cell r="C2" t="str">
            <v>철골공</v>
          </cell>
        </row>
      </sheetData>
      <sheetData sheetId="1009">
        <row r="2">
          <cell r="C2" t="str">
            <v>철골공</v>
          </cell>
        </row>
      </sheetData>
      <sheetData sheetId="1010" refreshError="1"/>
      <sheetData sheetId="1011">
        <row r="2">
          <cell r="C2" t="str">
            <v>철골공</v>
          </cell>
        </row>
      </sheetData>
      <sheetData sheetId="1012">
        <row r="2">
          <cell r="C2" t="str">
            <v>철골공</v>
          </cell>
        </row>
      </sheetData>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ow r="2">
          <cell r="C2" t="str">
            <v>철골공</v>
          </cell>
        </row>
      </sheetData>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ow r="2">
          <cell r="C2" t="str">
            <v>철골공</v>
          </cell>
        </row>
      </sheetData>
      <sheetData sheetId="1046">
        <row r="2">
          <cell r="C2" t="str">
            <v>철골공</v>
          </cell>
        </row>
      </sheetData>
      <sheetData sheetId="1047">
        <row r="2">
          <cell r="C2" t="str">
            <v>철골공</v>
          </cell>
        </row>
      </sheetData>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ow r="2">
          <cell r="C2" t="str">
            <v>철골공</v>
          </cell>
        </row>
      </sheetData>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sheetData sheetId="1272"/>
      <sheetData sheetId="1273" refreshError="1"/>
      <sheetData sheetId="1274" refreshError="1"/>
      <sheetData sheetId="1275" refreshError="1"/>
      <sheetData sheetId="1276" refreshError="1"/>
      <sheetData sheetId="1277"/>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ow r="2">
          <cell r="C2" t="str">
            <v>철골공</v>
          </cell>
        </row>
      </sheetData>
      <sheetData sheetId="1337">
        <row r="2">
          <cell r="C2">
            <v>0</v>
          </cell>
        </row>
      </sheetData>
      <sheetData sheetId="1338">
        <row r="2">
          <cell r="C2">
            <v>0</v>
          </cell>
        </row>
      </sheetData>
      <sheetData sheetId="1339">
        <row r="2">
          <cell r="C2" t="str">
            <v>철골공</v>
          </cell>
        </row>
      </sheetData>
      <sheetData sheetId="1340" refreshError="1"/>
      <sheetData sheetId="1341" refreshError="1"/>
      <sheetData sheetId="1342"/>
      <sheetData sheetId="1343" refreshError="1"/>
      <sheetData sheetId="1344" refreshError="1"/>
      <sheetData sheetId="1345" refreshError="1"/>
      <sheetData sheetId="1346"/>
      <sheetData sheetId="1347">
        <row r="2">
          <cell r="C2" t="str">
            <v>철골공</v>
          </cell>
        </row>
      </sheetData>
      <sheetData sheetId="1348">
        <row r="2">
          <cell r="C2" t="str">
            <v>철골공</v>
          </cell>
        </row>
      </sheetData>
      <sheetData sheetId="1349">
        <row r="2">
          <cell r="C2" t="str">
            <v>철골공</v>
          </cell>
        </row>
      </sheetData>
      <sheetData sheetId="1350">
        <row r="2">
          <cell r="C2" t="str">
            <v>철골공</v>
          </cell>
        </row>
      </sheetData>
      <sheetData sheetId="1351">
        <row r="2">
          <cell r="C2" t="str">
            <v>철골공</v>
          </cell>
        </row>
      </sheetData>
      <sheetData sheetId="1352">
        <row r="2">
          <cell r="C2" t="str">
            <v>철골공</v>
          </cell>
        </row>
      </sheetData>
      <sheetData sheetId="1353">
        <row r="2">
          <cell r="C2" t="str">
            <v>철골공</v>
          </cell>
        </row>
      </sheetData>
      <sheetData sheetId="1354">
        <row r="2">
          <cell r="C2" t="str">
            <v>철골공</v>
          </cell>
        </row>
      </sheetData>
      <sheetData sheetId="1355">
        <row r="2">
          <cell r="C2" t="str">
            <v>철골공</v>
          </cell>
        </row>
      </sheetData>
      <sheetData sheetId="1356">
        <row r="2">
          <cell r="C2" t="str">
            <v>철골공</v>
          </cell>
        </row>
      </sheetData>
      <sheetData sheetId="1357">
        <row r="2">
          <cell r="C2" t="str">
            <v>철골공</v>
          </cell>
        </row>
      </sheetData>
      <sheetData sheetId="1358">
        <row r="2">
          <cell r="C2" t="str">
            <v>철골공</v>
          </cell>
        </row>
      </sheetData>
      <sheetData sheetId="1359">
        <row r="2">
          <cell r="C2" t="str">
            <v>철골공</v>
          </cell>
        </row>
      </sheetData>
      <sheetData sheetId="1360">
        <row r="2">
          <cell r="C2" t="str">
            <v>철골공</v>
          </cell>
        </row>
      </sheetData>
      <sheetData sheetId="1361">
        <row r="2">
          <cell r="C2" t="str">
            <v>철골공</v>
          </cell>
        </row>
      </sheetData>
      <sheetData sheetId="1362">
        <row r="2">
          <cell r="C2" t="str">
            <v>철골공</v>
          </cell>
        </row>
      </sheetData>
      <sheetData sheetId="1363">
        <row r="2">
          <cell r="C2" t="str">
            <v>철골공</v>
          </cell>
        </row>
      </sheetData>
      <sheetData sheetId="1364">
        <row r="2">
          <cell r="C2" t="str">
            <v>철골공</v>
          </cell>
        </row>
      </sheetData>
      <sheetData sheetId="1365">
        <row r="2">
          <cell r="C2" t="str">
            <v>철골공</v>
          </cell>
        </row>
      </sheetData>
      <sheetData sheetId="1366">
        <row r="2">
          <cell r="C2" t="str">
            <v>철골공</v>
          </cell>
        </row>
      </sheetData>
      <sheetData sheetId="1367">
        <row r="2">
          <cell r="C2" t="str">
            <v>철골공</v>
          </cell>
        </row>
      </sheetData>
      <sheetData sheetId="1368">
        <row r="2">
          <cell r="C2" t="str">
            <v>철골공</v>
          </cell>
        </row>
      </sheetData>
      <sheetData sheetId="1369">
        <row r="2">
          <cell r="C2" t="str">
            <v>철골공</v>
          </cell>
        </row>
      </sheetData>
      <sheetData sheetId="1370">
        <row r="2">
          <cell r="C2" t="str">
            <v>철골공</v>
          </cell>
        </row>
      </sheetData>
      <sheetData sheetId="1371">
        <row r="2">
          <cell r="C2" t="str">
            <v>철골공</v>
          </cell>
        </row>
      </sheetData>
      <sheetData sheetId="1372">
        <row r="2">
          <cell r="C2" t="str">
            <v>철골공</v>
          </cell>
        </row>
      </sheetData>
      <sheetData sheetId="1373">
        <row r="2">
          <cell r="C2" t="str">
            <v>철골공</v>
          </cell>
        </row>
      </sheetData>
      <sheetData sheetId="1374">
        <row r="2">
          <cell r="C2" t="str">
            <v>철골공</v>
          </cell>
        </row>
      </sheetData>
      <sheetData sheetId="1375">
        <row r="2">
          <cell r="C2" t="str">
            <v>철골공</v>
          </cell>
        </row>
      </sheetData>
      <sheetData sheetId="1376">
        <row r="2">
          <cell r="C2" t="str">
            <v>철골공</v>
          </cell>
        </row>
      </sheetData>
      <sheetData sheetId="1377">
        <row r="2">
          <cell r="C2" t="str">
            <v>철골공</v>
          </cell>
        </row>
      </sheetData>
      <sheetData sheetId="1378">
        <row r="2">
          <cell r="C2" t="str">
            <v>철골공</v>
          </cell>
        </row>
      </sheetData>
      <sheetData sheetId="1379">
        <row r="2">
          <cell r="C2" t="str">
            <v>철골공</v>
          </cell>
        </row>
      </sheetData>
      <sheetData sheetId="1380">
        <row r="2">
          <cell r="C2" t="str">
            <v>철골공</v>
          </cell>
        </row>
      </sheetData>
      <sheetData sheetId="1381">
        <row r="2">
          <cell r="C2" t="str">
            <v>철골공</v>
          </cell>
        </row>
      </sheetData>
      <sheetData sheetId="1382">
        <row r="2">
          <cell r="C2" t="str">
            <v>철골공</v>
          </cell>
        </row>
      </sheetData>
      <sheetData sheetId="1383">
        <row r="2">
          <cell r="C2" t="str">
            <v>철골공</v>
          </cell>
        </row>
      </sheetData>
      <sheetData sheetId="1384">
        <row r="2">
          <cell r="C2" t="str">
            <v>철골공</v>
          </cell>
        </row>
      </sheetData>
      <sheetData sheetId="1385">
        <row r="2">
          <cell r="C2" t="str">
            <v>철골공</v>
          </cell>
        </row>
      </sheetData>
      <sheetData sheetId="1386">
        <row r="2">
          <cell r="C2" t="str">
            <v>철골공</v>
          </cell>
        </row>
      </sheetData>
      <sheetData sheetId="1387">
        <row r="2">
          <cell r="C2" t="str">
            <v>철골공</v>
          </cell>
        </row>
      </sheetData>
      <sheetData sheetId="1388">
        <row r="2">
          <cell r="C2" t="str">
            <v>철골공</v>
          </cell>
        </row>
      </sheetData>
      <sheetData sheetId="1389">
        <row r="2">
          <cell r="C2" t="str">
            <v>철골공</v>
          </cell>
        </row>
      </sheetData>
      <sheetData sheetId="1390">
        <row r="2">
          <cell r="C2" t="str">
            <v>철골공</v>
          </cell>
        </row>
      </sheetData>
      <sheetData sheetId="1391">
        <row r="2">
          <cell r="C2" t="str">
            <v>철골공</v>
          </cell>
        </row>
      </sheetData>
      <sheetData sheetId="1392">
        <row r="2">
          <cell r="C2" t="str">
            <v>철골공</v>
          </cell>
        </row>
      </sheetData>
      <sheetData sheetId="1393">
        <row r="2">
          <cell r="C2" t="str">
            <v>철골공</v>
          </cell>
        </row>
      </sheetData>
      <sheetData sheetId="1394">
        <row r="2">
          <cell r="C2" t="str">
            <v>철골공</v>
          </cell>
        </row>
      </sheetData>
      <sheetData sheetId="1395">
        <row r="2">
          <cell r="C2" t="str">
            <v>철골공</v>
          </cell>
        </row>
      </sheetData>
      <sheetData sheetId="1396">
        <row r="2">
          <cell r="C2" t="str">
            <v>철골공</v>
          </cell>
        </row>
      </sheetData>
      <sheetData sheetId="1397">
        <row r="2">
          <cell r="C2" t="str">
            <v>철골공</v>
          </cell>
        </row>
      </sheetData>
      <sheetData sheetId="1398">
        <row r="2">
          <cell r="C2" t="str">
            <v>철골공</v>
          </cell>
        </row>
      </sheetData>
      <sheetData sheetId="1399">
        <row r="2">
          <cell r="C2" t="str">
            <v>철골공</v>
          </cell>
        </row>
      </sheetData>
      <sheetData sheetId="1400">
        <row r="2">
          <cell r="C2" t="str">
            <v>철골공</v>
          </cell>
        </row>
      </sheetData>
      <sheetData sheetId="1401">
        <row r="2">
          <cell r="C2" t="str">
            <v>철골공</v>
          </cell>
        </row>
      </sheetData>
      <sheetData sheetId="1402">
        <row r="2">
          <cell r="C2" t="str">
            <v>철골공</v>
          </cell>
        </row>
      </sheetData>
      <sheetData sheetId="1403">
        <row r="2">
          <cell r="C2" t="str">
            <v>철골공</v>
          </cell>
        </row>
      </sheetData>
      <sheetData sheetId="1404">
        <row r="2">
          <cell r="C2" t="str">
            <v>철골공</v>
          </cell>
        </row>
      </sheetData>
      <sheetData sheetId="1405">
        <row r="2">
          <cell r="C2" t="str">
            <v>철골공</v>
          </cell>
        </row>
      </sheetData>
      <sheetData sheetId="1406">
        <row r="2">
          <cell r="C2" t="str">
            <v>철골공</v>
          </cell>
        </row>
      </sheetData>
      <sheetData sheetId="1407">
        <row r="2">
          <cell r="C2" t="str">
            <v>철골공</v>
          </cell>
        </row>
      </sheetData>
      <sheetData sheetId="1408">
        <row r="2">
          <cell r="C2" t="str">
            <v>철골공</v>
          </cell>
        </row>
      </sheetData>
      <sheetData sheetId="1409">
        <row r="2">
          <cell r="C2" t="str">
            <v>철골공</v>
          </cell>
        </row>
      </sheetData>
      <sheetData sheetId="1410">
        <row r="2">
          <cell r="C2" t="str">
            <v>철골공</v>
          </cell>
        </row>
      </sheetData>
      <sheetData sheetId="1411">
        <row r="2">
          <cell r="C2" t="str">
            <v>철골공</v>
          </cell>
        </row>
      </sheetData>
      <sheetData sheetId="1412">
        <row r="2">
          <cell r="C2" t="str">
            <v>철골공</v>
          </cell>
        </row>
      </sheetData>
      <sheetData sheetId="1413">
        <row r="2">
          <cell r="C2" t="str">
            <v>철골공</v>
          </cell>
        </row>
      </sheetData>
      <sheetData sheetId="1414">
        <row r="2">
          <cell r="C2" t="str">
            <v>철골공</v>
          </cell>
        </row>
      </sheetData>
      <sheetData sheetId="1415">
        <row r="2">
          <cell r="C2" t="str">
            <v>철골공</v>
          </cell>
        </row>
      </sheetData>
      <sheetData sheetId="1416">
        <row r="2">
          <cell r="C2" t="str">
            <v>철골공</v>
          </cell>
        </row>
      </sheetData>
      <sheetData sheetId="1417">
        <row r="2">
          <cell r="C2" t="str">
            <v>철골공</v>
          </cell>
        </row>
      </sheetData>
      <sheetData sheetId="1418">
        <row r="2">
          <cell r="C2" t="str">
            <v>철골공</v>
          </cell>
        </row>
      </sheetData>
      <sheetData sheetId="1419">
        <row r="2">
          <cell r="C2" t="str">
            <v>철골공</v>
          </cell>
        </row>
      </sheetData>
      <sheetData sheetId="1420">
        <row r="2">
          <cell r="C2" t="str">
            <v>철골공</v>
          </cell>
        </row>
      </sheetData>
      <sheetData sheetId="1421">
        <row r="2">
          <cell r="C2" t="str">
            <v>철골공</v>
          </cell>
        </row>
      </sheetData>
      <sheetData sheetId="1422">
        <row r="2">
          <cell r="C2" t="str">
            <v>철골공</v>
          </cell>
        </row>
      </sheetData>
      <sheetData sheetId="1423">
        <row r="2">
          <cell r="C2" t="str">
            <v>철골공</v>
          </cell>
        </row>
      </sheetData>
      <sheetData sheetId="1424">
        <row r="2">
          <cell r="C2" t="str">
            <v>철골공</v>
          </cell>
        </row>
      </sheetData>
      <sheetData sheetId="1425">
        <row r="2">
          <cell r="C2" t="str">
            <v>철골공</v>
          </cell>
        </row>
      </sheetData>
      <sheetData sheetId="1426">
        <row r="2">
          <cell r="C2" t="str">
            <v>철골공</v>
          </cell>
        </row>
      </sheetData>
      <sheetData sheetId="1427">
        <row r="2">
          <cell r="C2" t="str">
            <v>철골공</v>
          </cell>
        </row>
      </sheetData>
      <sheetData sheetId="1428">
        <row r="2">
          <cell r="C2" t="str">
            <v>철골공</v>
          </cell>
        </row>
      </sheetData>
      <sheetData sheetId="1429">
        <row r="2">
          <cell r="C2" t="str">
            <v>철골공</v>
          </cell>
        </row>
      </sheetData>
      <sheetData sheetId="1430">
        <row r="2">
          <cell r="C2" t="str">
            <v>철골공</v>
          </cell>
        </row>
      </sheetData>
      <sheetData sheetId="1431">
        <row r="2">
          <cell r="C2" t="str">
            <v>철골공</v>
          </cell>
        </row>
      </sheetData>
      <sheetData sheetId="1432">
        <row r="2">
          <cell r="C2" t="str">
            <v>철골공</v>
          </cell>
        </row>
      </sheetData>
      <sheetData sheetId="1433">
        <row r="2">
          <cell r="C2" t="str">
            <v>철골공</v>
          </cell>
        </row>
      </sheetData>
      <sheetData sheetId="1434">
        <row r="2">
          <cell r="C2" t="str">
            <v>철골공</v>
          </cell>
        </row>
      </sheetData>
      <sheetData sheetId="1435">
        <row r="2">
          <cell r="C2" t="str">
            <v>철골공</v>
          </cell>
        </row>
      </sheetData>
      <sheetData sheetId="1436">
        <row r="2">
          <cell r="C2" t="str">
            <v>철골공</v>
          </cell>
        </row>
      </sheetData>
      <sheetData sheetId="1437">
        <row r="2">
          <cell r="C2" t="str">
            <v>철골공</v>
          </cell>
        </row>
      </sheetData>
      <sheetData sheetId="1438">
        <row r="2">
          <cell r="C2" t="str">
            <v>철골공</v>
          </cell>
        </row>
      </sheetData>
      <sheetData sheetId="1439">
        <row r="2">
          <cell r="C2" t="str">
            <v>철골공</v>
          </cell>
        </row>
      </sheetData>
      <sheetData sheetId="1440">
        <row r="2">
          <cell r="C2" t="str">
            <v>철골공</v>
          </cell>
        </row>
      </sheetData>
      <sheetData sheetId="1441">
        <row r="2">
          <cell r="C2" t="str">
            <v>철골공</v>
          </cell>
        </row>
      </sheetData>
      <sheetData sheetId="1442">
        <row r="2">
          <cell r="C2" t="str">
            <v>철골공</v>
          </cell>
        </row>
      </sheetData>
      <sheetData sheetId="1443">
        <row r="2">
          <cell r="C2" t="str">
            <v>철골공</v>
          </cell>
        </row>
      </sheetData>
      <sheetData sheetId="1444">
        <row r="2">
          <cell r="C2" t="str">
            <v>철골공</v>
          </cell>
        </row>
      </sheetData>
      <sheetData sheetId="1445">
        <row r="2">
          <cell r="C2" t="str">
            <v>철골공</v>
          </cell>
        </row>
      </sheetData>
      <sheetData sheetId="1446">
        <row r="2">
          <cell r="C2" t="str">
            <v>철골공</v>
          </cell>
        </row>
      </sheetData>
      <sheetData sheetId="1447">
        <row r="2">
          <cell r="C2" t="str">
            <v>철골공</v>
          </cell>
        </row>
      </sheetData>
      <sheetData sheetId="1448">
        <row r="2">
          <cell r="C2" t="str">
            <v>철골공</v>
          </cell>
        </row>
      </sheetData>
      <sheetData sheetId="1449">
        <row r="2">
          <cell r="C2" t="str">
            <v>철골공</v>
          </cell>
        </row>
      </sheetData>
      <sheetData sheetId="1450">
        <row r="2">
          <cell r="C2" t="str">
            <v>철골공</v>
          </cell>
        </row>
      </sheetData>
      <sheetData sheetId="1451">
        <row r="2">
          <cell r="C2" t="str">
            <v>철골공</v>
          </cell>
        </row>
      </sheetData>
      <sheetData sheetId="1452">
        <row r="2">
          <cell r="C2" t="str">
            <v>철골공</v>
          </cell>
        </row>
      </sheetData>
      <sheetData sheetId="1453">
        <row r="2">
          <cell r="C2" t="str">
            <v>철골공</v>
          </cell>
        </row>
      </sheetData>
      <sheetData sheetId="1454">
        <row r="2">
          <cell r="C2" t="str">
            <v>철골공</v>
          </cell>
        </row>
      </sheetData>
      <sheetData sheetId="1455">
        <row r="2">
          <cell r="C2" t="str">
            <v>철골공</v>
          </cell>
        </row>
      </sheetData>
      <sheetData sheetId="1456">
        <row r="2">
          <cell r="C2" t="str">
            <v>철골공</v>
          </cell>
        </row>
      </sheetData>
      <sheetData sheetId="1457">
        <row r="2">
          <cell r="C2" t="str">
            <v>철골공</v>
          </cell>
        </row>
      </sheetData>
      <sheetData sheetId="1458">
        <row r="2">
          <cell r="C2" t="str">
            <v>철골공</v>
          </cell>
        </row>
      </sheetData>
      <sheetData sheetId="1459">
        <row r="2">
          <cell r="C2" t="str">
            <v>철골공</v>
          </cell>
        </row>
      </sheetData>
      <sheetData sheetId="1460">
        <row r="2">
          <cell r="C2" t="str">
            <v>철골공</v>
          </cell>
        </row>
      </sheetData>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ow r="2">
          <cell r="C2" t="str">
            <v>철골공</v>
          </cell>
        </row>
      </sheetData>
      <sheetData sheetId="1470">
        <row r="2">
          <cell r="C2" t="str">
            <v>철골공</v>
          </cell>
        </row>
      </sheetData>
      <sheetData sheetId="1471">
        <row r="2">
          <cell r="C2" t="str">
            <v>철골공</v>
          </cell>
        </row>
      </sheetData>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ow r="2">
          <cell r="C2" t="str">
            <v>철골공</v>
          </cell>
        </row>
      </sheetData>
      <sheetData sheetId="1582" refreshError="1"/>
      <sheetData sheetId="1583" refreshError="1"/>
      <sheetData sheetId="1584" refreshError="1"/>
      <sheetData sheetId="1585">
        <row r="2">
          <cell r="C2" t="str">
            <v>철골공</v>
          </cell>
        </row>
      </sheetData>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sheetData sheetId="1640"/>
      <sheetData sheetId="1641"/>
      <sheetData sheetId="1642"/>
      <sheetData sheetId="1643"/>
      <sheetData sheetId="1644"/>
      <sheetData sheetId="1645">
        <row r="2">
          <cell r="C2" t="str">
            <v>철골공</v>
          </cell>
        </row>
      </sheetData>
      <sheetData sheetId="1646"/>
      <sheetData sheetId="1647"/>
      <sheetData sheetId="1648"/>
      <sheetData sheetId="1649"/>
      <sheetData sheetId="1650"/>
      <sheetData sheetId="1651"/>
      <sheetData sheetId="1652"/>
      <sheetData sheetId="1653"/>
      <sheetData sheetId="1654"/>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ow r="2">
          <cell r="C2" t="str">
            <v>철골공</v>
          </cell>
        </row>
      </sheetData>
      <sheetData sheetId="1673">
        <row r="2">
          <cell r="C2" t="str">
            <v>철골공</v>
          </cell>
        </row>
      </sheetData>
      <sheetData sheetId="1674" refreshError="1"/>
      <sheetData sheetId="1675">
        <row r="2">
          <cell r="C2" t="str">
            <v>철골공</v>
          </cell>
        </row>
      </sheetData>
      <sheetData sheetId="1676">
        <row r="2">
          <cell r="C2" t="str">
            <v>철골공</v>
          </cell>
        </row>
      </sheetData>
      <sheetData sheetId="1677" refreshError="1"/>
      <sheetData sheetId="1678" refreshError="1"/>
      <sheetData sheetId="1679" refreshError="1"/>
      <sheetData sheetId="1680">
        <row r="2">
          <cell r="C2" t="str">
            <v>철골공</v>
          </cell>
        </row>
      </sheetData>
      <sheetData sheetId="1681" refreshError="1"/>
      <sheetData sheetId="1682" refreshError="1"/>
      <sheetData sheetId="1683" refreshError="1"/>
      <sheetData sheetId="1684" refreshError="1"/>
      <sheetData sheetId="1685" refreshError="1"/>
      <sheetData sheetId="1686">
        <row r="2">
          <cell r="C2" t="str">
            <v>철골공</v>
          </cell>
        </row>
      </sheetData>
      <sheetData sheetId="1687">
        <row r="2">
          <cell r="C2" t="str">
            <v>철골공</v>
          </cell>
        </row>
      </sheetData>
      <sheetData sheetId="1688">
        <row r="2">
          <cell r="C2" t="str">
            <v>철골공</v>
          </cell>
        </row>
      </sheetData>
      <sheetData sheetId="1689">
        <row r="2">
          <cell r="C2" t="str">
            <v>철골공</v>
          </cell>
        </row>
      </sheetData>
      <sheetData sheetId="1690">
        <row r="2">
          <cell r="C2" t="str">
            <v>철골공</v>
          </cell>
        </row>
      </sheetData>
      <sheetData sheetId="1691">
        <row r="2">
          <cell r="C2" t="str">
            <v>철골공</v>
          </cell>
        </row>
      </sheetData>
      <sheetData sheetId="1692">
        <row r="2">
          <cell r="C2" t="str">
            <v>철골공</v>
          </cell>
        </row>
      </sheetData>
      <sheetData sheetId="1693">
        <row r="2">
          <cell r="C2" t="str">
            <v>철골공</v>
          </cell>
        </row>
      </sheetData>
      <sheetData sheetId="1694">
        <row r="2">
          <cell r="C2" t="str">
            <v>철골공</v>
          </cell>
        </row>
      </sheetData>
      <sheetData sheetId="1695">
        <row r="2">
          <cell r="C2" t="str">
            <v>철골공</v>
          </cell>
        </row>
      </sheetData>
      <sheetData sheetId="1696">
        <row r="2">
          <cell r="C2" t="str">
            <v>철골공</v>
          </cell>
        </row>
      </sheetData>
      <sheetData sheetId="1697">
        <row r="2">
          <cell r="C2" t="str">
            <v>철골공</v>
          </cell>
        </row>
      </sheetData>
      <sheetData sheetId="1698">
        <row r="2">
          <cell r="C2" t="str">
            <v>철골공</v>
          </cell>
        </row>
      </sheetData>
      <sheetData sheetId="1699">
        <row r="2">
          <cell r="C2" t="str">
            <v>철골공</v>
          </cell>
        </row>
      </sheetData>
      <sheetData sheetId="1700">
        <row r="2">
          <cell r="C2" t="str">
            <v>철골공</v>
          </cell>
        </row>
      </sheetData>
      <sheetData sheetId="1701">
        <row r="2">
          <cell r="C2" t="str">
            <v>철골공</v>
          </cell>
        </row>
      </sheetData>
      <sheetData sheetId="1702">
        <row r="2">
          <cell r="C2" t="str">
            <v>철골공</v>
          </cell>
        </row>
      </sheetData>
      <sheetData sheetId="1703">
        <row r="2">
          <cell r="C2" t="str">
            <v>철골공</v>
          </cell>
        </row>
      </sheetData>
      <sheetData sheetId="1704">
        <row r="2">
          <cell r="C2" t="str">
            <v>철골공</v>
          </cell>
        </row>
      </sheetData>
      <sheetData sheetId="1705">
        <row r="2">
          <cell r="C2" t="str">
            <v>철골공</v>
          </cell>
        </row>
      </sheetData>
      <sheetData sheetId="1706">
        <row r="2">
          <cell r="C2" t="str">
            <v>철골공</v>
          </cell>
        </row>
      </sheetData>
      <sheetData sheetId="1707">
        <row r="2">
          <cell r="C2" t="str">
            <v>철골공</v>
          </cell>
        </row>
      </sheetData>
      <sheetData sheetId="1708">
        <row r="2">
          <cell r="C2" t="str">
            <v>철골공</v>
          </cell>
        </row>
      </sheetData>
      <sheetData sheetId="1709"/>
      <sheetData sheetId="1710">
        <row r="2">
          <cell r="C2" t="str">
            <v>철골공</v>
          </cell>
        </row>
      </sheetData>
      <sheetData sheetId="1711"/>
      <sheetData sheetId="1712">
        <row r="2">
          <cell r="C2" t="str">
            <v>철골공</v>
          </cell>
        </row>
      </sheetData>
      <sheetData sheetId="1713">
        <row r="2">
          <cell r="C2" t="str">
            <v>철골공</v>
          </cell>
        </row>
      </sheetData>
      <sheetData sheetId="1714">
        <row r="2">
          <cell r="C2" t="str">
            <v>철골공</v>
          </cell>
        </row>
      </sheetData>
      <sheetData sheetId="1715">
        <row r="2">
          <cell r="C2" t="str">
            <v>철골공</v>
          </cell>
        </row>
      </sheetData>
      <sheetData sheetId="1716"/>
      <sheetData sheetId="1717"/>
      <sheetData sheetId="1718">
        <row r="2">
          <cell r="C2" t="str">
            <v>철골공</v>
          </cell>
        </row>
      </sheetData>
      <sheetData sheetId="1719">
        <row r="2">
          <cell r="C2" t="str">
            <v>철골공</v>
          </cell>
        </row>
      </sheetData>
      <sheetData sheetId="1720">
        <row r="2">
          <cell r="C2" t="str">
            <v>철골공</v>
          </cell>
        </row>
      </sheetData>
      <sheetData sheetId="1721">
        <row r="2">
          <cell r="C2" t="str">
            <v>철골공</v>
          </cell>
        </row>
      </sheetData>
      <sheetData sheetId="1722">
        <row r="2">
          <cell r="C2" t="str">
            <v>철골공</v>
          </cell>
        </row>
      </sheetData>
      <sheetData sheetId="1723">
        <row r="2">
          <cell r="C2" t="str">
            <v>철골공</v>
          </cell>
        </row>
      </sheetData>
      <sheetData sheetId="1724">
        <row r="2">
          <cell r="C2" t="str">
            <v>철골공</v>
          </cell>
        </row>
      </sheetData>
      <sheetData sheetId="1725"/>
      <sheetData sheetId="1726">
        <row r="2">
          <cell r="C2" t="str">
            <v>철골공</v>
          </cell>
        </row>
      </sheetData>
      <sheetData sheetId="1727"/>
      <sheetData sheetId="1728"/>
      <sheetData sheetId="1729"/>
      <sheetData sheetId="1730"/>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sheetData sheetId="1863"/>
      <sheetData sheetId="1864">
        <row r="2">
          <cell r="C2" t="str">
            <v>철골공</v>
          </cell>
        </row>
      </sheetData>
      <sheetData sheetId="1865">
        <row r="2">
          <cell r="C2" t="str">
            <v>철골공</v>
          </cell>
        </row>
      </sheetData>
      <sheetData sheetId="1866"/>
      <sheetData sheetId="1867"/>
      <sheetData sheetId="1868"/>
      <sheetData sheetId="1869"/>
      <sheetData sheetId="1870"/>
      <sheetData sheetId="1871">
        <row r="2">
          <cell r="C2" t="str">
            <v>철골공</v>
          </cell>
        </row>
      </sheetData>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refreshError="1"/>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1년 투융자1"/>
      <sheetName val="기초자료입력"/>
      <sheetName val="#REF"/>
      <sheetName val="설계명세서"/>
      <sheetName val="설계서"/>
      <sheetName val="준공정산"/>
      <sheetName val="설명서"/>
      <sheetName val="12품셈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공통보서"/>
      <sheetName val="시공통보서 (2)"/>
      <sheetName val="공사비예산서"/>
      <sheetName val="설계명세서"/>
      <sheetName val="기별명세서 (2)"/>
      <sheetName val="지입자재검수요청"/>
      <sheetName val="본사구입재료비"/>
      <sheetName val="사업소구입재료비"/>
      <sheetName val="지입재료비"/>
      <sheetName val="기준단가표"/>
      <sheetName val="종합기별"/>
      <sheetName val="기별명세서"/>
      <sheetName val="준공검사요청서"/>
      <sheetName val="준공검사보고서"/>
      <sheetName val="변경내역서"/>
      <sheetName val="준공종합기별"/>
      <sheetName val="준공기별명세서"/>
      <sheetName val="입찰서"/>
      <sheetName val="노임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표지"/>
      <sheetName val="목차"/>
      <sheetName val="공사계획서"/>
      <sheetName val="공사설명서"/>
      <sheetName val="시방서"/>
      <sheetName val="예정공정표"/>
      <sheetName val="공사비예산서"/>
      <sheetName val="설계명세서"/>
      <sheetName val="품산출서"/>
      <sheetName val="물량집계표"/>
      <sheetName val="노임단가"/>
      <sheetName val="작업부산물"/>
      <sheetName val="핸드홀부표"/>
      <sheetName val="옥외관로집계"/>
      <sheetName val="터파기량집계"/>
      <sheetName val="터파기(진입로)"/>
      <sheetName val="터파기(차도)"/>
      <sheetName val="터파기(외곽)"/>
      <sheetName val="터파기(창고)"/>
      <sheetName val="터파기(테니스장)"/>
      <sheetName val="터파기(망루)"/>
      <sheetName val="터파기(경비실)"/>
      <sheetName val="터파기( 출입감시A)"/>
      <sheetName val="터파기( 출입감시B)"/>
      <sheetName val="터파기(765스트락쳐)"/>
      <sheetName val="터파기(345스트락쳐)"/>
      <sheetName val="적용근거"/>
      <sheetName val="기별명세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2">
          <cell r="A12" t="str">
            <v>무선안테나공</v>
          </cell>
          <cell r="B12">
            <v>97216</v>
          </cell>
          <cell r="C12">
            <v>47355</v>
          </cell>
          <cell r="D12">
            <v>91475</v>
          </cell>
          <cell r="E12">
            <v>-5.8999999999999997E-2</v>
          </cell>
          <cell r="F12">
            <v>44561</v>
          </cell>
        </row>
        <row r="13">
          <cell r="A13" t="str">
            <v>배관공</v>
          </cell>
          <cell r="B13">
            <v>52004</v>
          </cell>
          <cell r="C13">
            <v>45073</v>
          </cell>
          <cell r="D13">
            <v>48833</v>
          </cell>
          <cell r="E13">
            <v>-6.0900000000000003E-2</v>
          </cell>
          <cell r="F13">
            <v>42328</v>
          </cell>
        </row>
        <row r="14">
          <cell r="A14" t="str">
            <v>보통인부</v>
          </cell>
          <cell r="B14">
            <v>34098</v>
          </cell>
          <cell r="C14">
            <v>28824</v>
          </cell>
          <cell r="D14">
            <v>33755</v>
          </cell>
          <cell r="E14">
            <v>-0.01</v>
          </cell>
          <cell r="F14">
            <v>28535</v>
          </cell>
        </row>
        <row r="15">
          <cell r="A15" t="str">
            <v>저압케이블전공</v>
          </cell>
          <cell r="B15">
            <v>55486</v>
          </cell>
          <cell r="C15">
            <v>53646</v>
          </cell>
          <cell r="D15">
            <v>59146</v>
          </cell>
          <cell r="E15">
            <v>6.59E-2</v>
          </cell>
          <cell r="F15">
            <v>57181</v>
          </cell>
        </row>
        <row r="16">
          <cell r="A16" t="str">
            <v>통신기사2급</v>
          </cell>
          <cell r="B16">
            <v>78519</v>
          </cell>
          <cell r="C16">
            <v>52031</v>
          </cell>
          <cell r="D16">
            <v>79642</v>
          </cell>
          <cell r="E16">
            <v>1.43E-2</v>
          </cell>
          <cell r="F16">
            <v>52775</v>
          </cell>
        </row>
        <row r="17">
          <cell r="A17" t="str">
            <v>통신내선공</v>
          </cell>
          <cell r="B17">
            <v>63738</v>
          </cell>
          <cell r="C17">
            <v>44413</v>
          </cell>
          <cell r="D17">
            <v>60168</v>
          </cell>
          <cell r="E17">
            <v>-5.6000000000000001E-2</v>
          </cell>
          <cell r="F17">
            <v>41925</v>
          </cell>
        </row>
        <row r="18">
          <cell r="A18" t="str">
            <v>통신설비공</v>
          </cell>
          <cell r="B18">
            <v>66296</v>
          </cell>
          <cell r="C18">
            <v>43363</v>
          </cell>
          <cell r="D18">
            <v>64758</v>
          </cell>
          <cell r="E18">
            <v>-2.3099999999999999E-2</v>
          </cell>
          <cell r="F18">
            <v>42361</v>
          </cell>
        </row>
        <row r="19">
          <cell r="A19" t="str">
            <v>통신외선공</v>
          </cell>
          <cell r="B19">
            <v>77946</v>
          </cell>
          <cell r="C19">
            <v>54481</v>
          </cell>
          <cell r="D19">
            <v>73980</v>
          </cell>
          <cell r="E19">
            <v>-5.0799999999999998E-2</v>
          </cell>
          <cell r="F19">
            <v>51713</v>
          </cell>
        </row>
        <row r="20">
          <cell r="A20" t="str">
            <v>통신케이블공</v>
          </cell>
          <cell r="B20">
            <v>80042</v>
          </cell>
          <cell r="C20">
            <v>60665</v>
          </cell>
          <cell r="D20">
            <v>75788</v>
          </cell>
          <cell r="E20">
            <v>-5.3100000000000001E-2</v>
          </cell>
          <cell r="F20">
            <v>57443</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명서"/>
      <sheetName val="자금"/>
      <sheetName val="공사비예산서"/>
      <sheetName val="설계명세서"/>
      <sheetName val="품셈표"/>
      <sheetName val="종합기별"/>
      <sheetName val="본사구입재료비"/>
      <sheetName val="산출내역"/>
      <sheetName val="노임단가표"/>
      <sheetName val="공정표"/>
      <sheetName val="공사시방서"/>
      <sheetName val="시방서"/>
      <sheetName val="구성코아"/>
      <sheetName val="구성코아 (2)"/>
      <sheetName val="소요자재"/>
      <sheetName val="토목수량(공정)"/>
      <sheetName val="DISTANCE"/>
      <sheetName val="노임단가"/>
      <sheetName val="기별명세서"/>
      <sheetName val="추가 품셈표"/>
      <sheetName val="산출명세서"/>
      <sheetName val="품셈(기초)"/>
      <sheetName val="한눌~상록"/>
      <sheetName val="입찰서"/>
      <sheetName val="환"/>
      <sheetName val="변경당시노임단가표"/>
      <sheetName val="설계서"/>
      <sheetName val="예산내역서"/>
      <sheetName val="#REF"/>
      <sheetName val="준공정산"/>
      <sheetName val="기초자료입력"/>
      <sheetName val="인건비"/>
      <sheetName val="LOPCALC"/>
      <sheetName val="J直材4"/>
      <sheetName val="전체"/>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x0000_ÿ"/>
      <sheetName val="laroux"/>
      <sheetName val="공사설명서"/>
      <sheetName val="지입재료구입내역서"/>
      <sheetName val="재료비산출자료"/>
      <sheetName val="인부사역계획표"/>
      <sheetName val="노무비"/>
      <sheetName val="테이블표"/>
      <sheetName val="내역서"/>
      <sheetName val="설계명세서"/>
      <sheetName val="품셈표"/>
      <sheetName val="노임단가"/>
      <sheetName val="11설계명세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Book1"/>
      <sheetName val="3BL공동구 수량"/>
      <sheetName val="말뚝지지력산정"/>
      <sheetName val="대로근거"/>
      <sheetName val="중로근거"/>
      <sheetName val="맨홀수량"/>
      <sheetName val="#REF"/>
      <sheetName val="터파기및재료"/>
      <sheetName val="수안보-MBR1"/>
      <sheetName val="3.하중산정4.지지력"/>
      <sheetName val="3련 BOX"/>
      <sheetName val="수량산출"/>
      <sheetName val="INPUT"/>
      <sheetName val="식생블럭단위수량"/>
      <sheetName val="장비집계"/>
      <sheetName val="수량3"/>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목차"/>
      <sheetName val="1.공사계획서"/>
      <sheetName val="2.공사설명서"/>
      <sheetName val="2-1.계통도(전력통신)"/>
      <sheetName val="2-2.계통도(무인보안)"/>
      <sheetName val="3.공사비총괄표"/>
      <sheetName val="4.자금계획서"/>
      <sheetName val="5.예정공정표"/>
      <sheetName val="6.공사비예산서"/>
      <sheetName val="7.설계명세서"/>
      <sheetName val="집계표"/>
      <sheetName val="8-4.일위대가표"/>
      <sheetName val="8-1.설비자재산출(전력통신)"/>
      <sheetName val="8-2.설비자재산출(무인보안)"/>
      <sheetName val="8-3.노무산출"/>
      <sheetName val="8-5.2025하노임"/>
      <sheetName val="8-6.자재단가비교표"/>
      <sheetName val="8-7.적용근거"/>
      <sheetName val="8-8. 공구손료"/>
      <sheetName val="9.시방서표지"/>
      <sheetName val="10.시설도면"/>
      <sheetName val="10-2. 광단말(도일CT)"/>
      <sheetName val="10-2 광단말(서안성)"/>
      <sheetName val="10-2. 광단말도면(고덕2)"/>
      <sheetName val="10-1.송변전단말 구성도"/>
      <sheetName val="10-2전원설비,LAN,IP계통 시설도"/>
      <sheetName val="10-3-3. 전원PIALAN물량(동강)"/>
      <sheetName val="10-2-1. 전원_PIA_LAN물량(ICT실)_동해안"/>
      <sheetName val="10-2-2. 전원_PIA_LAN물량_동강"/>
      <sheetName val="10-4-4. 단말케이블LIST(동강)"/>
      <sheetName val="10-3-1. 송광단말케이블LIST(동해안)"/>
      <sheetName val="10-3-2. 송광단말케이블LIST(동강)"/>
      <sheetName val="10-3-3. 송광단말케이블LIST(신태백)"/>
      <sheetName val="10-4-1. 충전기 용량산출_동해안#1"/>
      <sheetName val="10-4-2. UPS 용량산출_동해안#1"/>
      <sheetName val="10-4-3. 충전기 용량산출_동강"/>
      <sheetName val="10-4-4.  UPS 용량산출_동강"/>
      <sheetName val="부표1. 가설비산출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A6" t="str">
            <v>1. 일반공사직종</v>
          </cell>
        </row>
        <row r="7">
          <cell r="A7" t="str">
            <v>보통인부</v>
          </cell>
          <cell r="B7">
            <v>167081</v>
          </cell>
          <cell r="C7">
            <v>169804</v>
          </cell>
          <cell r="D7">
            <v>171037</v>
          </cell>
          <cell r="E7">
            <v>7.3000000000000001E-3</v>
          </cell>
          <cell r="F7">
            <v>171037</v>
          </cell>
        </row>
        <row r="8">
          <cell r="A8" t="str">
            <v>특별인부</v>
          </cell>
          <cell r="B8">
            <v>219321</v>
          </cell>
          <cell r="C8">
            <v>221506</v>
          </cell>
          <cell r="D8">
            <v>224490</v>
          </cell>
          <cell r="E8">
            <v>1.35E-2</v>
          </cell>
          <cell r="F8">
            <v>224490</v>
          </cell>
        </row>
        <row r="9">
          <cell r="A9" t="str">
            <v>비계공</v>
          </cell>
          <cell r="B9">
            <v>282352</v>
          </cell>
          <cell r="C9">
            <v>279433</v>
          </cell>
          <cell r="D9">
            <v>279613</v>
          </cell>
          <cell r="E9">
            <v>5.9999999999999995E-4</v>
          </cell>
          <cell r="F9">
            <v>279613</v>
          </cell>
        </row>
        <row r="10">
          <cell r="A10" t="str">
            <v>콘크리트공</v>
          </cell>
          <cell r="B10">
            <v>264080</v>
          </cell>
          <cell r="C10">
            <v>266361</v>
          </cell>
          <cell r="D10">
            <v>271064</v>
          </cell>
          <cell r="E10">
            <v>1.77E-2</v>
          </cell>
          <cell r="F10">
            <v>271064</v>
          </cell>
        </row>
        <row r="11">
          <cell r="A11" t="str">
            <v>착암공</v>
          </cell>
          <cell r="B11">
            <v>212500</v>
          </cell>
          <cell r="C11">
            <v>220081</v>
          </cell>
          <cell r="D11">
            <v>220354</v>
          </cell>
          <cell r="E11">
            <v>1.1999999999999999E-3</v>
          </cell>
          <cell r="F11">
            <v>220354</v>
          </cell>
        </row>
        <row r="12">
          <cell r="A12" t="str">
            <v>방수공</v>
          </cell>
          <cell r="B12">
            <v>219996</v>
          </cell>
          <cell r="C12">
            <v>220722</v>
          </cell>
          <cell r="D12">
            <v>226204</v>
          </cell>
          <cell r="E12">
            <v>2.4799999999999999E-2</v>
          </cell>
          <cell r="F12">
            <v>226204</v>
          </cell>
        </row>
        <row r="13">
          <cell r="A13" t="str">
            <v>미장공</v>
          </cell>
          <cell r="B13">
            <v>274502</v>
          </cell>
          <cell r="C13">
            <v>272354</v>
          </cell>
          <cell r="D13">
            <v>278998</v>
          </cell>
          <cell r="E13">
            <v>2.4400000000000002E-2</v>
          </cell>
          <cell r="F13">
            <v>278998</v>
          </cell>
        </row>
        <row r="14">
          <cell r="A14" t="str">
            <v>내장공</v>
          </cell>
          <cell r="B14">
            <v>245524</v>
          </cell>
          <cell r="C14">
            <v>252249</v>
          </cell>
          <cell r="D14">
            <v>255231</v>
          </cell>
          <cell r="E14">
            <v>1.18E-2</v>
          </cell>
          <cell r="F14">
            <v>255231</v>
          </cell>
        </row>
        <row r="15">
          <cell r="A15" t="str">
            <v>배관공</v>
          </cell>
          <cell r="B15">
            <v>229664</v>
          </cell>
          <cell r="C15">
            <v>238145</v>
          </cell>
          <cell r="D15">
            <v>239439</v>
          </cell>
          <cell r="E15">
            <v>5.4000000000000003E-3</v>
          </cell>
          <cell r="F15">
            <v>239439</v>
          </cell>
        </row>
        <row r="16">
          <cell r="A16" t="str">
            <v>화물차운전사</v>
          </cell>
          <cell r="B16">
            <v>233960</v>
          </cell>
          <cell r="C16">
            <v>237500</v>
          </cell>
          <cell r="D16">
            <v>240685</v>
          </cell>
          <cell r="E16">
            <v>1.34E-2</v>
          </cell>
          <cell r="F16">
            <v>240685</v>
          </cell>
        </row>
        <row r="17">
          <cell r="A17" t="str">
            <v>기계설비공</v>
          </cell>
          <cell r="B17">
            <v>242281</v>
          </cell>
          <cell r="C17">
            <v>237652</v>
          </cell>
          <cell r="D17">
            <v>241550</v>
          </cell>
          <cell r="E17">
            <v>1.6400000000000001E-2</v>
          </cell>
          <cell r="F17">
            <v>241550</v>
          </cell>
          <cell r="G17" t="str">
            <v>구)기계설치공</v>
          </cell>
        </row>
        <row r="18">
          <cell r="A18" t="str">
            <v>플랜트기계설치공</v>
          </cell>
          <cell r="B18">
            <v>238910</v>
          </cell>
          <cell r="C18">
            <v>236640</v>
          </cell>
          <cell r="D18">
            <v>238846</v>
          </cell>
          <cell r="E18">
            <v>9.2999999999999992E-3</v>
          </cell>
          <cell r="F18">
            <v>238846</v>
          </cell>
        </row>
        <row r="19">
          <cell r="A19" t="str">
            <v>지적기사</v>
          </cell>
          <cell r="B19">
            <v>256260</v>
          </cell>
          <cell r="C19">
            <v>263991</v>
          </cell>
          <cell r="D19">
            <v>274286</v>
          </cell>
          <cell r="E19">
            <v>3.9E-2</v>
          </cell>
          <cell r="F19">
            <v>274286</v>
          </cell>
        </row>
        <row r="20">
          <cell r="A20" t="str">
            <v>지적산업기사</v>
          </cell>
          <cell r="B20">
            <v>234723</v>
          </cell>
          <cell r="C20">
            <v>236718</v>
          </cell>
          <cell r="D20">
            <v>242724</v>
          </cell>
          <cell r="E20">
            <v>2.5399999999999999E-2</v>
          </cell>
          <cell r="F20">
            <v>242724</v>
          </cell>
        </row>
        <row r="21">
          <cell r="A21" t="str">
            <v>지적기능사</v>
          </cell>
          <cell r="B21">
            <v>185830</v>
          </cell>
          <cell r="C21">
            <v>181822</v>
          </cell>
          <cell r="D21">
            <v>180875</v>
          </cell>
          <cell r="E21">
            <v>-5.1999999999999998E-3</v>
          </cell>
          <cell r="F21">
            <v>180875</v>
          </cell>
        </row>
        <row r="22">
          <cell r="A22" t="str">
            <v>내선전공</v>
          </cell>
          <cell r="B22">
            <v>272860</v>
          </cell>
          <cell r="C22">
            <v>268915</v>
          </cell>
          <cell r="D22">
            <v>273539</v>
          </cell>
          <cell r="E22">
            <v>1.72E-2</v>
          </cell>
          <cell r="F22">
            <v>273539</v>
          </cell>
        </row>
        <row r="23">
          <cell r="A23" t="str">
            <v>특고압케이블전공</v>
          </cell>
          <cell r="B23">
            <v>414989</v>
          </cell>
          <cell r="C23">
            <v>436458</v>
          </cell>
          <cell r="D23">
            <v>439248</v>
          </cell>
          <cell r="E23">
            <v>6.4000000000000003E-3</v>
          </cell>
          <cell r="F23">
            <v>439248</v>
          </cell>
        </row>
        <row r="24">
          <cell r="A24" t="str">
            <v>고압케이블전공</v>
          </cell>
          <cell r="B24">
            <v>354400</v>
          </cell>
          <cell r="C24">
            <v>370529</v>
          </cell>
          <cell r="D24">
            <v>372997</v>
          </cell>
          <cell r="E24">
            <v>6.7000000000000002E-3</v>
          </cell>
          <cell r="F24">
            <v>372997</v>
          </cell>
        </row>
        <row r="25">
          <cell r="A25" t="str">
            <v>저압케이블전공</v>
          </cell>
          <cell r="B25">
            <v>301374</v>
          </cell>
          <cell r="C25">
            <v>300337</v>
          </cell>
          <cell r="D25">
            <v>303632</v>
          </cell>
          <cell r="E25">
            <v>1.0999999999999999E-2</v>
          </cell>
          <cell r="F25">
            <v>303632</v>
          </cell>
        </row>
        <row r="26">
          <cell r="A26" t="str">
            <v>송전전공</v>
          </cell>
          <cell r="B26">
            <v>621630</v>
          </cell>
          <cell r="C26">
            <v>627960</v>
          </cell>
          <cell r="D26">
            <v>637453</v>
          </cell>
          <cell r="E26">
            <v>1.5100000000000001E-2</v>
          </cell>
          <cell r="F26">
            <v>637453</v>
          </cell>
        </row>
        <row r="27">
          <cell r="A27" t="str">
            <v>배전전공</v>
          </cell>
          <cell r="B27">
            <v>402995</v>
          </cell>
          <cell r="C27">
            <v>408559</v>
          </cell>
          <cell r="D27">
            <v>413173</v>
          </cell>
          <cell r="E27">
            <v>1.1299999999999999E-2</v>
          </cell>
          <cell r="F27">
            <v>413173</v>
          </cell>
        </row>
        <row r="28">
          <cell r="A28" t="str">
            <v>플랜트전공</v>
          </cell>
          <cell r="B28">
            <v>262536</v>
          </cell>
          <cell r="C28">
            <v>266062</v>
          </cell>
          <cell r="D28">
            <v>271800</v>
          </cell>
          <cell r="E28">
            <v>2.1600000000000001E-2</v>
          </cell>
          <cell r="F28">
            <v>271800</v>
          </cell>
        </row>
        <row r="29">
          <cell r="A29" t="str">
            <v>계장공</v>
          </cell>
          <cell r="B29">
            <v>310890</v>
          </cell>
          <cell r="C29">
            <v>315484</v>
          </cell>
          <cell r="D29">
            <v>318902</v>
          </cell>
          <cell r="E29">
            <v>1.0800000000000001E-2</v>
          </cell>
          <cell r="F29">
            <v>318902</v>
          </cell>
        </row>
        <row r="30">
          <cell r="A30" t="str">
            <v>통신내선공</v>
          </cell>
          <cell r="B30">
            <v>275107</v>
          </cell>
          <cell r="C30">
            <v>278565</v>
          </cell>
          <cell r="D30">
            <v>283607</v>
          </cell>
          <cell r="E30">
            <v>1.8100000000000002E-2</v>
          </cell>
          <cell r="F30">
            <v>283607</v>
          </cell>
        </row>
        <row r="31">
          <cell r="A31" t="str">
            <v>통신설비공</v>
          </cell>
          <cell r="B31">
            <v>305050</v>
          </cell>
          <cell r="C31">
            <v>308930</v>
          </cell>
          <cell r="D31">
            <v>314787</v>
          </cell>
          <cell r="E31">
            <v>1.9E-2</v>
          </cell>
          <cell r="F31">
            <v>314787</v>
          </cell>
        </row>
        <row r="32">
          <cell r="A32" t="str">
            <v>통신외선공</v>
          </cell>
          <cell r="B32">
            <v>397952</v>
          </cell>
          <cell r="C32">
            <v>405235</v>
          </cell>
          <cell r="D32">
            <v>407342</v>
          </cell>
          <cell r="E32">
            <v>5.1999999999999998E-3</v>
          </cell>
          <cell r="F32">
            <v>407342</v>
          </cell>
        </row>
        <row r="33">
          <cell r="A33" t="str">
            <v>통신케이블공</v>
          </cell>
          <cell r="B33">
            <v>423830</v>
          </cell>
          <cell r="C33">
            <v>433400</v>
          </cell>
          <cell r="D33">
            <v>440868</v>
          </cell>
          <cell r="E33">
            <v>1.72E-2</v>
          </cell>
          <cell r="F33">
            <v>440868</v>
          </cell>
        </row>
        <row r="34">
          <cell r="A34" t="str">
            <v>무선안테나공</v>
          </cell>
          <cell r="B34">
            <v>347927</v>
          </cell>
          <cell r="C34">
            <v>350908</v>
          </cell>
          <cell r="D34">
            <v>354977</v>
          </cell>
          <cell r="E34">
            <v>1.1599999999999999E-2</v>
          </cell>
          <cell r="F34">
            <v>354977</v>
          </cell>
        </row>
        <row r="35">
          <cell r="A35" t="str">
            <v>노임변동율평균</v>
          </cell>
          <cell r="E35">
            <v>1.3435714285714285E-2</v>
          </cell>
        </row>
        <row r="36">
          <cell r="A36" t="str">
            <v>2. 광전자직종</v>
          </cell>
        </row>
        <row r="37">
          <cell r="A37" t="str">
            <v>광케이블설치사</v>
          </cell>
          <cell r="B37">
            <v>455593</v>
          </cell>
          <cell r="C37">
            <v>460429</v>
          </cell>
          <cell r="D37">
            <v>467653</v>
          </cell>
          <cell r="E37">
            <v>1.5699999999999999E-2</v>
          </cell>
          <cell r="F37">
            <v>467653</v>
          </cell>
        </row>
        <row r="38">
          <cell r="A38" t="str">
            <v>H/W시험사</v>
          </cell>
          <cell r="B38">
            <v>381052</v>
          </cell>
          <cell r="C38">
            <v>384609</v>
          </cell>
          <cell r="D38">
            <v>390048</v>
          </cell>
          <cell r="E38">
            <v>1.41E-2</v>
          </cell>
          <cell r="F38">
            <v>390048</v>
          </cell>
        </row>
        <row r="39">
          <cell r="A39" t="str">
            <v>S/W시험사</v>
          </cell>
          <cell r="B39">
            <v>444532</v>
          </cell>
          <cell r="C39">
            <v>445000</v>
          </cell>
          <cell r="D39">
            <v>446000</v>
          </cell>
          <cell r="E39">
            <v>2.2000000000000001E-3</v>
          </cell>
          <cell r="F39">
            <v>446000</v>
          </cell>
        </row>
        <row r="40">
          <cell r="A40" t="str">
            <v>노임변동율평균</v>
          </cell>
          <cell r="E40">
            <v>1.0666666666666666E-2</v>
          </cell>
        </row>
        <row r="41">
          <cell r="A41" t="str">
            <v>3. 기타직종</v>
          </cell>
        </row>
        <row r="42">
          <cell r="A42" t="str">
            <v>통신관련기사</v>
          </cell>
          <cell r="B42">
            <v>315804</v>
          </cell>
          <cell r="C42">
            <v>316183</v>
          </cell>
          <cell r="D42">
            <v>318479</v>
          </cell>
          <cell r="E42">
            <v>7.3000000000000001E-3</v>
          </cell>
          <cell r="F42">
            <v>318479</v>
          </cell>
        </row>
        <row r="43">
          <cell r="A43" t="str">
            <v>통신관련산업기사</v>
          </cell>
          <cell r="B43">
            <v>296036</v>
          </cell>
          <cell r="C43">
            <v>297137</v>
          </cell>
          <cell r="D43">
            <v>303262</v>
          </cell>
          <cell r="E43">
            <v>2.06E-2</v>
          </cell>
          <cell r="F43">
            <v>303262</v>
          </cell>
        </row>
        <row r="44">
          <cell r="A44" t="str">
            <v>통신관련기능사</v>
          </cell>
          <cell r="B44">
            <v>243776</v>
          </cell>
          <cell r="C44">
            <v>244717</v>
          </cell>
          <cell r="D44">
            <v>249360</v>
          </cell>
          <cell r="E44">
            <v>1.9E-2</v>
          </cell>
          <cell r="F44">
            <v>249360</v>
          </cell>
        </row>
        <row r="45">
          <cell r="A45" t="str">
            <v>전기공사기사</v>
          </cell>
          <cell r="B45">
            <v>322514</v>
          </cell>
          <cell r="C45">
            <v>327381</v>
          </cell>
          <cell r="D45">
            <v>333866</v>
          </cell>
          <cell r="E45">
            <v>1.9800000000000002E-2</v>
          </cell>
          <cell r="F45">
            <v>333866</v>
          </cell>
        </row>
        <row r="46">
          <cell r="A46" t="str">
            <v>노임변동율평균</v>
          </cell>
          <cell r="E46">
            <v>1.6674999999999999E-2</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표지"/>
      <sheetName val="목차"/>
      <sheetName val="1.공사계획서"/>
      <sheetName val="2.공사설명서"/>
      <sheetName val="3.공사비총괄표"/>
      <sheetName val="4.자금계획서"/>
      <sheetName val="5.예정공정표"/>
      <sheetName val="6.공사비예산서"/>
      <sheetName val="7.설계명세서"/>
      <sheetName val="8-1-1.설비자재산출(전력통신)"/>
      <sheetName val="8-1-2.설비자재산출(무인보안)"/>
      <sheetName val="녹화 용량"/>
      <sheetName val="8-1-3. 설비자재산출(과학보안)"/>
      <sheetName val="8-2. 기별(광케이블)"/>
      <sheetName val="8-3.노무산출"/>
      <sheetName val="8-4. 일위대가표"/>
      <sheetName val="8-5.2025상노임"/>
      <sheetName val="8-6-1.자재단가비교표"/>
      <sheetName val="8-7.적용근거"/>
      <sheetName val="8-8. 공구손료"/>
      <sheetName val="9.시방서표지"/>
      <sheetName val="10.시설도면"/>
      <sheetName val="10-1. 전원설비, LAN, IP계통 시설도"/>
      <sheetName val="10-2. 전원, LAN, PIA 물량(ICT실)"/>
      <sheetName val="10-3. UPS 용량산출(AC설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6">
          <cell r="A6" t="str">
            <v>1. 일반공사직종</v>
          </cell>
        </row>
        <row r="7">
          <cell r="A7" t="str">
            <v>보통인부</v>
          </cell>
          <cell r="B7">
            <v>165545</v>
          </cell>
          <cell r="C7">
            <v>167081</v>
          </cell>
          <cell r="D7">
            <v>169804</v>
          </cell>
          <cell r="E7">
            <v>1.6299999999999999E-2</v>
          </cell>
          <cell r="F7">
            <v>169804</v>
          </cell>
        </row>
        <row r="8">
          <cell r="A8" t="str">
            <v>특별인부</v>
          </cell>
          <cell r="B8">
            <v>214222</v>
          </cell>
          <cell r="C8">
            <v>219321</v>
          </cell>
          <cell r="D8">
            <v>221506</v>
          </cell>
          <cell r="E8">
            <v>0.01</v>
          </cell>
          <cell r="F8">
            <v>221506</v>
          </cell>
        </row>
        <row r="9">
          <cell r="A9" t="str">
            <v>비계공</v>
          </cell>
          <cell r="B9">
            <v>280472</v>
          </cell>
          <cell r="C9">
            <v>282352</v>
          </cell>
          <cell r="D9">
            <v>279433</v>
          </cell>
          <cell r="E9">
            <v>-1.03E-2</v>
          </cell>
          <cell r="F9">
            <v>279433</v>
          </cell>
        </row>
        <row r="10">
          <cell r="A10" t="str">
            <v>콘크리트공</v>
          </cell>
          <cell r="B10">
            <v>261283</v>
          </cell>
          <cell r="C10">
            <v>264080</v>
          </cell>
          <cell r="D10">
            <v>266361</v>
          </cell>
          <cell r="E10">
            <v>8.6E-3</v>
          </cell>
          <cell r="F10">
            <v>266361</v>
          </cell>
        </row>
        <row r="11">
          <cell r="A11" t="str">
            <v>착암공</v>
          </cell>
          <cell r="B11">
            <v>210152</v>
          </cell>
          <cell r="C11">
            <v>212500</v>
          </cell>
          <cell r="D11">
            <v>220081</v>
          </cell>
          <cell r="E11">
            <v>3.5700000000000003E-2</v>
          </cell>
          <cell r="F11">
            <v>220081</v>
          </cell>
        </row>
        <row r="12">
          <cell r="A12" t="str">
            <v>방수공</v>
          </cell>
          <cell r="B12">
            <v>212562</v>
          </cell>
          <cell r="C12">
            <v>219996</v>
          </cell>
          <cell r="D12">
            <v>220722</v>
          </cell>
          <cell r="E12">
            <v>3.3E-3</v>
          </cell>
          <cell r="F12">
            <v>220722</v>
          </cell>
        </row>
        <row r="13">
          <cell r="A13" t="str">
            <v>미장공</v>
          </cell>
          <cell r="B13">
            <v>266787</v>
          </cell>
          <cell r="C13">
            <v>274502</v>
          </cell>
          <cell r="D13">
            <v>272354</v>
          </cell>
          <cell r="E13">
            <v>-7.7999999999999996E-3</v>
          </cell>
          <cell r="F13">
            <v>272354</v>
          </cell>
        </row>
        <row r="14">
          <cell r="A14" t="str">
            <v>내장공</v>
          </cell>
          <cell r="B14">
            <v>243538</v>
          </cell>
          <cell r="C14">
            <v>245524</v>
          </cell>
          <cell r="D14">
            <v>252249</v>
          </cell>
          <cell r="E14">
            <v>2.7400000000000001E-2</v>
          </cell>
          <cell r="F14">
            <v>252249</v>
          </cell>
        </row>
        <row r="15">
          <cell r="A15" t="str">
            <v>배관공</v>
          </cell>
          <cell r="B15">
            <v>229482</v>
          </cell>
          <cell r="C15">
            <v>229664</v>
          </cell>
          <cell r="D15">
            <v>238145</v>
          </cell>
          <cell r="E15">
            <v>3.6900000000000002E-2</v>
          </cell>
          <cell r="F15">
            <v>238145</v>
          </cell>
        </row>
        <row r="16">
          <cell r="A16" t="str">
            <v>화물차운전사</v>
          </cell>
          <cell r="B16">
            <v>226709</v>
          </cell>
          <cell r="C16">
            <v>233960</v>
          </cell>
          <cell r="D16">
            <v>237500</v>
          </cell>
          <cell r="E16">
            <v>1.5100000000000001E-2</v>
          </cell>
          <cell r="F16">
            <v>237500</v>
          </cell>
        </row>
        <row r="17">
          <cell r="A17" t="str">
            <v>기계설비공</v>
          </cell>
          <cell r="B17">
            <v>233722</v>
          </cell>
          <cell r="C17">
            <v>242281</v>
          </cell>
          <cell r="D17">
            <v>237652</v>
          </cell>
          <cell r="E17">
            <v>-1.9099999999999999E-2</v>
          </cell>
          <cell r="F17">
            <v>237652</v>
          </cell>
          <cell r="G17" t="str">
            <v>구)기계설치공</v>
          </cell>
        </row>
        <row r="18">
          <cell r="A18" t="str">
            <v>플랜트기계설치공</v>
          </cell>
          <cell r="B18">
            <v>240652</v>
          </cell>
          <cell r="C18">
            <v>238910</v>
          </cell>
          <cell r="D18">
            <v>236640</v>
          </cell>
          <cell r="E18">
            <v>-9.4999999999999998E-3</v>
          </cell>
          <cell r="F18">
            <v>236640</v>
          </cell>
        </row>
        <row r="19">
          <cell r="A19" t="str">
            <v>지적기사</v>
          </cell>
          <cell r="B19">
            <v>256928</v>
          </cell>
          <cell r="C19">
            <v>256260</v>
          </cell>
          <cell r="D19">
            <v>263991</v>
          </cell>
          <cell r="E19">
            <v>3.0200000000000001E-2</v>
          </cell>
          <cell r="F19">
            <v>263991</v>
          </cell>
        </row>
        <row r="20">
          <cell r="A20" t="str">
            <v>지적산업기사</v>
          </cell>
          <cell r="B20">
            <v>233365</v>
          </cell>
          <cell r="C20">
            <v>234723</v>
          </cell>
          <cell r="D20">
            <v>236718</v>
          </cell>
          <cell r="E20">
            <v>8.5000000000000006E-3</v>
          </cell>
          <cell r="F20">
            <v>236718</v>
          </cell>
        </row>
        <row r="21">
          <cell r="A21" t="str">
            <v>지적기능사</v>
          </cell>
          <cell r="B21">
            <v>192899</v>
          </cell>
          <cell r="C21">
            <v>185830</v>
          </cell>
          <cell r="D21">
            <v>181822</v>
          </cell>
          <cell r="E21">
            <v>-2.1600000000000001E-2</v>
          </cell>
          <cell r="F21">
            <v>181822</v>
          </cell>
        </row>
        <row r="22">
          <cell r="A22" t="str">
            <v>내선전공</v>
          </cell>
          <cell r="B22">
            <v>270251</v>
          </cell>
          <cell r="C22">
            <v>272860</v>
          </cell>
          <cell r="D22">
            <v>268915</v>
          </cell>
          <cell r="E22">
            <v>-1.4500000000000001E-2</v>
          </cell>
          <cell r="F22">
            <v>268915</v>
          </cell>
        </row>
        <row r="23">
          <cell r="A23" t="str">
            <v>특고압케이블전공</v>
          </cell>
          <cell r="B23">
            <v>431830</v>
          </cell>
          <cell r="C23">
            <v>414989</v>
          </cell>
          <cell r="D23">
            <v>436458</v>
          </cell>
          <cell r="E23">
            <v>5.1700000000000003E-2</v>
          </cell>
          <cell r="F23">
            <v>436458</v>
          </cell>
        </row>
        <row r="24">
          <cell r="A24" t="str">
            <v>고압케이블전공</v>
          </cell>
          <cell r="B24">
            <v>363241</v>
          </cell>
          <cell r="C24">
            <v>354400</v>
          </cell>
          <cell r="D24">
            <v>370529</v>
          </cell>
          <cell r="E24">
            <v>4.5499999999999999E-2</v>
          </cell>
          <cell r="F24">
            <v>370529</v>
          </cell>
        </row>
        <row r="25">
          <cell r="A25" t="str">
            <v>저압케이블전공</v>
          </cell>
          <cell r="B25">
            <v>295784</v>
          </cell>
          <cell r="C25">
            <v>301374</v>
          </cell>
          <cell r="D25">
            <v>300337</v>
          </cell>
          <cell r="E25">
            <v>-3.3999999999999998E-3</v>
          </cell>
          <cell r="F25">
            <v>300337</v>
          </cell>
        </row>
        <row r="26">
          <cell r="A26" t="str">
            <v>송전전공</v>
          </cell>
          <cell r="B26">
            <v>597707</v>
          </cell>
          <cell r="C26">
            <v>621630</v>
          </cell>
          <cell r="D26">
            <v>627960</v>
          </cell>
          <cell r="E26">
            <v>1.0200000000000001E-2</v>
          </cell>
          <cell r="F26">
            <v>627960</v>
          </cell>
        </row>
        <row r="27">
          <cell r="A27" t="str">
            <v>배전전공</v>
          </cell>
          <cell r="B27">
            <v>402085</v>
          </cell>
          <cell r="C27">
            <v>402995</v>
          </cell>
          <cell r="D27">
            <v>408559</v>
          </cell>
          <cell r="E27">
            <v>1.38E-2</v>
          </cell>
          <cell r="F27">
            <v>408559</v>
          </cell>
        </row>
        <row r="28">
          <cell r="A28" t="str">
            <v>플랜트전공</v>
          </cell>
          <cell r="B28">
            <v>250164</v>
          </cell>
          <cell r="C28">
            <v>262536</v>
          </cell>
          <cell r="D28">
            <v>266062</v>
          </cell>
          <cell r="E28">
            <v>1.34E-2</v>
          </cell>
          <cell r="F28">
            <v>266062</v>
          </cell>
        </row>
        <row r="29">
          <cell r="A29" t="str">
            <v>계장공</v>
          </cell>
          <cell r="B29">
            <v>302065</v>
          </cell>
          <cell r="C29">
            <v>310890</v>
          </cell>
          <cell r="D29">
            <v>315484</v>
          </cell>
          <cell r="E29">
            <v>1.4800000000000001E-2</v>
          </cell>
          <cell r="F29">
            <v>315484</v>
          </cell>
        </row>
        <row r="30">
          <cell r="A30" t="str">
            <v>통신내선공</v>
          </cell>
          <cell r="B30">
            <v>267277</v>
          </cell>
          <cell r="C30">
            <v>275107</v>
          </cell>
          <cell r="D30">
            <v>278565</v>
          </cell>
          <cell r="E30">
            <v>1.26E-2</v>
          </cell>
          <cell r="F30">
            <v>278565</v>
          </cell>
        </row>
        <row r="31">
          <cell r="A31" t="str">
            <v>통신설비공</v>
          </cell>
          <cell r="B31">
            <v>296882</v>
          </cell>
          <cell r="C31">
            <v>305050</v>
          </cell>
          <cell r="D31">
            <v>308930</v>
          </cell>
          <cell r="E31">
            <v>1.2699999999999999E-2</v>
          </cell>
          <cell r="F31">
            <v>308930</v>
          </cell>
        </row>
        <row r="32">
          <cell r="A32" t="str">
            <v>통신외선공</v>
          </cell>
          <cell r="B32">
            <v>387376</v>
          </cell>
          <cell r="C32">
            <v>397952</v>
          </cell>
          <cell r="D32">
            <v>405235</v>
          </cell>
          <cell r="E32">
            <v>1.83E-2</v>
          </cell>
          <cell r="F32">
            <v>405235</v>
          </cell>
        </row>
        <row r="33">
          <cell r="A33" t="str">
            <v>통신케이블공</v>
          </cell>
          <cell r="B33">
            <v>414944</v>
          </cell>
          <cell r="C33">
            <v>423830</v>
          </cell>
          <cell r="D33">
            <v>433400</v>
          </cell>
          <cell r="E33">
            <v>2.2599999999999999E-2</v>
          </cell>
          <cell r="F33">
            <v>433400</v>
          </cell>
        </row>
        <row r="34">
          <cell r="A34" t="str">
            <v>무선안테나공</v>
          </cell>
          <cell r="B34">
            <v>339642</v>
          </cell>
          <cell r="C34">
            <v>347927</v>
          </cell>
          <cell r="D34">
            <v>350908</v>
          </cell>
          <cell r="E34">
            <v>8.6E-3</v>
          </cell>
          <cell r="F34">
            <v>350908</v>
          </cell>
        </row>
        <row r="35">
          <cell r="A35" t="str">
            <v>노임변동율평균</v>
          </cell>
          <cell r="E35">
            <v>1.1785714285714285E-2</v>
          </cell>
        </row>
        <row r="36">
          <cell r="A36" t="str">
            <v>2. 광전자직종</v>
          </cell>
        </row>
        <row r="37">
          <cell r="A37" t="str">
            <v>광케이블설치사</v>
          </cell>
          <cell r="B37">
            <v>444142</v>
          </cell>
          <cell r="C37">
            <v>455593</v>
          </cell>
          <cell r="D37">
            <v>460429</v>
          </cell>
          <cell r="E37">
            <v>1.06E-2</v>
          </cell>
          <cell r="F37">
            <v>460429</v>
          </cell>
        </row>
        <row r="38">
          <cell r="A38" t="str">
            <v>H/W시험사</v>
          </cell>
          <cell r="B38">
            <v>375020</v>
          </cell>
          <cell r="C38">
            <v>381052</v>
          </cell>
          <cell r="D38">
            <v>384609</v>
          </cell>
          <cell r="E38">
            <v>9.2999999999999992E-3</v>
          </cell>
          <cell r="F38">
            <v>384609</v>
          </cell>
        </row>
        <row r="39">
          <cell r="A39" t="str">
            <v>S/W시험사</v>
          </cell>
          <cell r="B39">
            <v>433747</v>
          </cell>
          <cell r="C39">
            <v>444532</v>
          </cell>
          <cell r="D39">
            <v>445000</v>
          </cell>
          <cell r="E39">
            <v>1.1000000000000001E-3</v>
          </cell>
          <cell r="F39">
            <v>445000</v>
          </cell>
        </row>
        <row r="40">
          <cell r="A40" t="str">
            <v>노임변동율평균</v>
          </cell>
          <cell r="E40">
            <v>7.0000000000000001E-3</v>
          </cell>
        </row>
        <row r="41">
          <cell r="A41" t="str">
            <v>3. 기타직종</v>
          </cell>
        </row>
        <row r="42">
          <cell r="A42" t="str">
            <v>통신관련기사</v>
          </cell>
          <cell r="B42">
            <v>305806</v>
          </cell>
          <cell r="C42">
            <v>315804</v>
          </cell>
          <cell r="D42">
            <v>316183</v>
          </cell>
          <cell r="E42">
            <v>1.1999999999999999E-3</v>
          </cell>
          <cell r="F42">
            <v>316183</v>
          </cell>
        </row>
        <row r="43">
          <cell r="A43" t="str">
            <v>통신관련산업기사</v>
          </cell>
          <cell r="B43">
            <v>294019</v>
          </cell>
          <cell r="C43">
            <v>296036</v>
          </cell>
          <cell r="D43">
            <v>297137</v>
          </cell>
          <cell r="E43">
            <v>3.7000000000000002E-3</v>
          </cell>
          <cell r="F43">
            <v>297137</v>
          </cell>
        </row>
        <row r="44">
          <cell r="A44" t="str">
            <v>통신관련기능사</v>
          </cell>
          <cell r="B44">
            <v>242587</v>
          </cell>
          <cell r="C44">
            <v>243776</v>
          </cell>
          <cell r="D44">
            <v>244717</v>
          </cell>
          <cell r="E44">
            <v>3.8999999999999998E-3</v>
          </cell>
          <cell r="F44">
            <v>244717</v>
          </cell>
        </row>
        <row r="45">
          <cell r="A45" t="str">
            <v>전기공사기사</v>
          </cell>
          <cell r="B45">
            <v>316876</v>
          </cell>
          <cell r="C45">
            <v>322514</v>
          </cell>
          <cell r="D45">
            <v>327381</v>
          </cell>
          <cell r="E45">
            <v>1.5100000000000001E-2</v>
          </cell>
          <cell r="F45">
            <v>327381</v>
          </cell>
        </row>
        <row r="46">
          <cell r="A46" t="str">
            <v>노임변동율평균</v>
          </cell>
          <cell r="E46">
            <v>5.9749999999999994E-3</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목차"/>
      <sheetName val="1.공사계획서"/>
      <sheetName val="2.설명서"/>
      <sheetName val="2-1.계통도(전력통신)"/>
      <sheetName val="2-2.계통도(무인보안)"/>
      <sheetName val="3.공사비총괄표"/>
      <sheetName val="4.자금계획서"/>
      <sheetName val="5.예정공정표"/>
      <sheetName val="6.공사비예산서"/>
      <sheetName val="집계표"/>
      <sheetName val="7.설계명세서"/>
      <sheetName val="8.공사비산출자료"/>
      <sheetName val="8-1.설비자재산출(광)"/>
      <sheetName val="8-1.설비자재산출(단국)"/>
      <sheetName val="8-1.설비자재산출(전원_무인 등)"/>
      <sheetName val="8-1-2.자재산출표(무인)"/>
      <sheetName val="8-2-1.자재산출표(서측)"/>
      <sheetName val="8-2.조장명세서"/>
      <sheetName val="8-3.기별(광케이블)"/>
      <sheetName val="8-4.노무산출"/>
      <sheetName val="10-4. 단말케이블LIST(공공)"/>
      <sheetName val="8-4-1동시포설"/>
      <sheetName val="8-5.일위대가표"/>
      <sheetName val="8-6.2023하반기노임"/>
      <sheetName val="8-7.자재단가비교표"/>
      <sheetName val="8-8.적용근거"/>
      <sheetName val="8-9-1.교통안전시설 방법,물량"/>
      <sheetName val="8-9-2.교통안전시설물 재료비내역"/>
      <sheetName val="8-9-3.교통안전시설물 재료비 산출-토목준용"/>
      <sheetName val="말비계(일위대가)"/>
      <sheetName val="말비계 단가표"/>
      <sheetName val="9.시방서표지"/>
      <sheetName val="10-3. 전원PIALAN물량"/>
      <sheetName val="10-4. 단말케이블LIST(금암)"/>
      <sheetName val="10-4. 단말케이블LIST(세교)"/>
      <sheetName val="10-4. 단말케이블LIST(숨김)"/>
      <sheetName val="10-4. 단말케이블LIST(공)"/>
      <sheetName val="10-5. PIU LIST(금암_세교계)"/>
      <sheetName val="10-5. PIU LIST(금암_숨김계)"/>
      <sheetName val="10-5. PIU LIST(세교_금암계)"/>
      <sheetName val="10-5. PIU LIST(숨김)"/>
      <sheetName val="Sheet1"/>
      <sheetName val="10-5. PIU LIST(동)"/>
      <sheetName val="10-5. PIU LIST(서)"/>
      <sheetName val="10-5. PITR LIST(신시화)"/>
      <sheetName val="10-5. PITR LIST(영흥#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목차"/>
      <sheetName val="1.공사계획서"/>
      <sheetName val="2.설명서"/>
      <sheetName val="3.공사비총괄표"/>
      <sheetName val="4.자금계획서"/>
      <sheetName val="5.예정공정표"/>
      <sheetName val="6.공사비예산서"/>
      <sheetName val="7.설계명세서"/>
      <sheetName val="8.공사비산출자료"/>
      <sheetName val="8-1.수량산출서"/>
      <sheetName val="8-1-1.수량집계"/>
      <sheetName val="8-1-1-1.보안집계"/>
      <sheetName val="8-1-2.목록별산출서"/>
      <sheetName val="CCTV-산출"/>
      <sheetName val="출입-산출"/>
      <sheetName val="침투-산출"/>
      <sheetName val="8-2.품셈적용내역"/>
      <sheetName val="8-3.일위대가표"/>
      <sheetName val="8_3_1일위대가_집계"/>
      <sheetName val="8_3_2일위대가"/>
      <sheetName val="8-4.2024 상노임"/>
      <sheetName val="8-5.자재단가비교"/>
      <sheetName val="8-5-1.견적서"/>
      <sheetName val="8-6.적용근거"/>
      <sheetName val="8-7.터파기"/>
      <sheetName val="8-7-1.중기사용료_기계경비"/>
      <sheetName val="8-7-2.중기사용료목록"/>
      <sheetName val="8-7-3.중기작업시간산출"/>
      <sheetName val="부표1. 가설비산출서"/>
      <sheetName val="Sheet2"/>
      <sheetName val="Sheet1"/>
    </sheetNames>
    <sheetDataSet>
      <sheetData sheetId="0">
        <row r="13">
          <cell r="A13" t="str">
            <v>공 사 명 : 동해안#1 변환소 구내통신설비 시설공사</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4.vml"/><Relationship Id="rId7" Type="http://schemas.openxmlformats.org/officeDocument/2006/relationships/image" Target="../media/image50.emf"/><Relationship Id="rId2" Type="http://schemas.openxmlformats.org/officeDocument/2006/relationships/drawing" Target="../drawings/drawing12.xml"/><Relationship Id="rId1" Type="http://schemas.openxmlformats.org/officeDocument/2006/relationships/printerSettings" Target="../printerSettings/printerSettings27.bin"/><Relationship Id="rId6" Type="http://schemas.openxmlformats.org/officeDocument/2006/relationships/oleObject" Target="../embeddings/oleObject2.bin"/><Relationship Id="rId5" Type="http://schemas.openxmlformats.org/officeDocument/2006/relationships/image" Target="../media/image49.emf"/><Relationship Id="rId4" Type="http://schemas.openxmlformats.org/officeDocument/2006/relationships/oleObject" Target="../embeddings/oleObject1.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3.xml"/><Relationship Id="rId1" Type="http://schemas.openxmlformats.org/officeDocument/2006/relationships/printerSettings" Target="../printerSettings/printerSettings28.bin"/><Relationship Id="rId4" Type="http://schemas.openxmlformats.org/officeDocument/2006/relationships/comments" Target="../comments4.x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4.xml"/><Relationship Id="rId1" Type="http://schemas.openxmlformats.org/officeDocument/2006/relationships/printerSettings" Target="../printerSettings/printerSettings29.bin"/><Relationship Id="rId4" Type="http://schemas.openxmlformats.org/officeDocument/2006/relationships/comments" Target="../comments5.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6.xml"/><Relationship Id="rId1" Type="http://schemas.openxmlformats.org/officeDocument/2006/relationships/printerSettings" Target="../printerSettings/printerSettings32.bin"/><Relationship Id="rId4" Type="http://schemas.openxmlformats.org/officeDocument/2006/relationships/comments" Target="../comments6.xml"/></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7.xml"/><Relationship Id="rId1" Type="http://schemas.openxmlformats.org/officeDocument/2006/relationships/printerSettings" Target="../printerSettings/printerSettings33.bin"/><Relationship Id="rId4" Type="http://schemas.openxmlformats.org/officeDocument/2006/relationships/comments" Target="../comments7.xm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5:H42"/>
  <sheetViews>
    <sheetView showGridLines="0" view="pageBreakPreview" zoomScale="85" zoomScaleNormal="100" zoomScaleSheetLayoutView="85" workbookViewId="0">
      <selection activeCell="L24" sqref="L24"/>
    </sheetView>
  </sheetViews>
  <sheetFormatPr defaultRowHeight="13.5"/>
  <cols>
    <col min="1" max="2" width="12.875" style="109" customWidth="1"/>
    <col min="3" max="3" width="5.125" style="109" customWidth="1"/>
    <col min="4" max="6" width="9" style="109"/>
    <col min="7" max="7" width="12.875" style="109" customWidth="1"/>
    <col min="8" max="8" width="11.875" style="109" customWidth="1"/>
    <col min="9" max="256" width="9" style="109"/>
    <col min="257" max="258" width="12.125" style="109" customWidth="1"/>
    <col min="259" max="259" width="5.875" style="109" customWidth="1"/>
    <col min="260" max="262" width="9" style="109"/>
    <col min="263" max="264" width="12.125" style="109" customWidth="1"/>
    <col min="265" max="512" width="9" style="109"/>
    <col min="513" max="514" width="12.125" style="109" customWidth="1"/>
    <col min="515" max="515" width="5.875" style="109" customWidth="1"/>
    <col min="516" max="518" width="9" style="109"/>
    <col min="519" max="520" width="12.125" style="109" customWidth="1"/>
    <col min="521" max="768" width="9" style="109"/>
    <col min="769" max="770" width="12.125" style="109" customWidth="1"/>
    <col min="771" max="771" width="5.875" style="109" customWidth="1"/>
    <col min="772" max="774" width="9" style="109"/>
    <col min="775" max="776" width="12.125" style="109" customWidth="1"/>
    <col min="777" max="1024" width="9" style="109"/>
    <col min="1025" max="1026" width="12.125" style="109" customWidth="1"/>
    <col min="1027" max="1027" width="5.875" style="109" customWidth="1"/>
    <col min="1028" max="1030" width="9" style="109"/>
    <col min="1031" max="1032" width="12.125" style="109" customWidth="1"/>
    <col min="1033" max="1280" width="9" style="109"/>
    <col min="1281" max="1282" width="12.125" style="109" customWidth="1"/>
    <col min="1283" max="1283" width="5.875" style="109" customWidth="1"/>
    <col min="1284" max="1286" width="9" style="109"/>
    <col min="1287" max="1288" width="12.125" style="109" customWidth="1"/>
    <col min="1289" max="1536" width="9" style="109"/>
    <col min="1537" max="1538" width="12.125" style="109" customWidth="1"/>
    <col min="1539" max="1539" width="5.875" style="109" customWidth="1"/>
    <col min="1540" max="1542" width="9" style="109"/>
    <col min="1543" max="1544" width="12.125" style="109" customWidth="1"/>
    <col min="1545" max="1792" width="9" style="109"/>
    <col min="1793" max="1794" width="12.125" style="109" customWidth="1"/>
    <col min="1795" max="1795" width="5.875" style="109" customWidth="1"/>
    <col min="1796" max="1798" width="9" style="109"/>
    <col min="1799" max="1800" width="12.125" style="109" customWidth="1"/>
    <col min="1801" max="2048" width="9" style="109"/>
    <col min="2049" max="2050" width="12.125" style="109" customWidth="1"/>
    <col min="2051" max="2051" width="5.875" style="109" customWidth="1"/>
    <col min="2052" max="2054" width="9" style="109"/>
    <col min="2055" max="2056" width="12.125" style="109" customWidth="1"/>
    <col min="2057" max="2304" width="9" style="109"/>
    <col min="2305" max="2306" width="12.125" style="109" customWidth="1"/>
    <col min="2307" max="2307" width="5.875" style="109" customWidth="1"/>
    <col min="2308" max="2310" width="9" style="109"/>
    <col min="2311" max="2312" width="12.125" style="109" customWidth="1"/>
    <col min="2313" max="2560" width="9" style="109"/>
    <col min="2561" max="2562" width="12.125" style="109" customWidth="1"/>
    <col min="2563" max="2563" width="5.875" style="109" customWidth="1"/>
    <col min="2564" max="2566" width="9" style="109"/>
    <col min="2567" max="2568" width="12.125" style="109" customWidth="1"/>
    <col min="2569" max="2816" width="9" style="109"/>
    <col min="2817" max="2818" width="12.125" style="109" customWidth="1"/>
    <col min="2819" max="2819" width="5.875" style="109" customWidth="1"/>
    <col min="2820" max="2822" width="9" style="109"/>
    <col min="2823" max="2824" width="12.125" style="109" customWidth="1"/>
    <col min="2825" max="3072" width="9" style="109"/>
    <col min="3073" max="3074" width="12.125" style="109" customWidth="1"/>
    <col min="3075" max="3075" width="5.875" style="109" customWidth="1"/>
    <col min="3076" max="3078" width="9" style="109"/>
    <col min="3079" max="3080" width="12.125" style="109" customWidth="1"/>
    <col min="3081" max="3328" width="9" style="109"/>
    <col min="3329" max="3330" width="12.125" style="109" customWidth="1"/>
    <col min="3331" max="3331" width="5.875" style="109" customWidth="1"/>
    <col min="3332" max="3334" width="9" style="109"/>
    <col min="3335" max="3336" width="12.125" style="109" customWidth="1"/>
    <col min="3337" max="3584" width="9" style="109"/>
    <col min="3585" max="3586" width="12.125" style="109" customWidth="1"/>
    <col min="3587" max="3587" width="5.875" style="109" customWidth="1"/>
    <col min="3588" max="3590" width="9" style="109"/>
    <col min="3591" max="3592" width="12.125" style="109" customWidth="1"/>
    <col min="3593" max="3840" width="9" style="109"/>
    <col min="3841" max="3842" width="12.125" style="109" customWidth="1"/>
    <col min="3843" max="3843" width="5.875" style="109" customWidth="1"/>
    <col min="3844" max="3846" width="9" style="109"/>
    <col min="3847" max="3848" width="12.125" style="109" customWidth="1"/>
    <col min="3849" max="4096" width="9" style="109"/>
    <col min="4097" max="4098" width="12.125" style="109" customWidth="1"/>
    <col min="4099" max="4099" width="5.875" style="109" customWidth="1"/>
    <col min="4100" max="4102" width="9" style="109"/>
    <col min="4103" max="4104" width="12.125" style="109" customWidth="1"/>
    <col min="4105" max="4352" width="9" style="109"/>
    <col min="4353" max="4354" width="12.125" style="109" customWidth="1"/>
    <col min="4355" max="4355" width="5.875" style="109" customWidth="1"/>
    <col min="4356" max="4358" width="9" style="109"/>
    <col min="4359" max="4360" width="12.125" style="109" customWidth="1"/>
    <col min="4361" max="4608" width="9" style="109"/>
    <col min="4609" max="4610" width="12.125" style="109" customWidth="1"/>
    <col min="4611" max="4611" width="5.875" style="109" customWidth="1"/>
    <col min="4612" max="4614" width="9" style="109"/>
    <col min="4615" max="4616" width="12.125" style="109" customWidth="1"/>
    <col min="4617" max="4864" width="9" style="109"/>
    <col min="4865" max="4866" width="12.125" style="109" customWidth="1"/>
    <col min="4867" max="4867" width="5.875" style="109" customWidth="1"/>
    <col min="4868" max="4870" width="9" style="109"/>
    <col min="4871" max="4872" width="12.125" style="109" customWidth="1"/>
    <col min="4873" max="5120" width="9" style="109"/>
    <col min="5121" max="5122" width="12.125" style="109" customWidth="1"/>
    <col min="5123" max="5123" width="5.875" style="109" customWidth="1"/>
    <col min="5124" max="5126" width="9" style="109"/>
    <col min="5127" max="5128" width="12.125" style="109" customWidth="1"/>
    <col min="5129" max="5376" width="9" style="109"/>
    <col min="5377" max="5378" width="12.125" style="109" customWidth="1"/>
    <col min="5379" max="5379" width="5.875" style="109" customWidth="1"/>
    <col min="5380" max="5382" width="9" style="109"/>
    <col min="5383" max="5384" width="12.125" style="109" customWidth="1"/>
    <col min="5385" max="5632" width="9" style="109"/>
    <col min="5633" max="5634" width="12.125" style="109" customWidth="1"/>
    <col min="5635" max="5635" width="5.875" style="109" customWidth="1"/>
    <col min="5636" max="5638" width="9" style="109"/>
    <col min="5639" max="5640" width="12.125" style="109" customWidth="1"/>
    <col min="5641" max="5888" width="9" style="109"/>
    <col min="5889" max="5890" width="12.125" style="109" customWidth="1"/>
    <col min="5891" max="5891" width="5.875" style="109" customWidth="1"/>
    <col min="5892" max="5894" width="9" style="109"/>
    <col min="5895" max="5896" width="12.125" style="109" customWidth="1"/>
    <col min="5897" max="6144" width="9" style="109"/>
    <col min="6145" max="6146" width="12.125" style="109" customWidth="1"/>
    <col min="6147" max="6147" width="5.875" style="109" customWidth="1"/>
    <col min="6148" max="6150" width="9" style="109"/>
    <col min="6151" max="6152" width="12.125" style="109" customWidth="1"/>
    <col min="6153" max="6400" width="9" style="109"/>
    <col min="6401" max="6402" width="12.125" style="109" customWidth="1"/>
    <col min="6403" max="6403" width="5.875" style="109" customWidth="1"/>
    <col min="6404" max="6406" width="9" style="109"/>
    <col min="6407" max="6408" width="12.125" style="109" customWidth="1"/>
    <col min="6409" max="6656" width="9" style="109"/>
    <col min="6657" max="6658" width="12.125" style="109" customWidth="1"/>
    <col min="6659" max="6659" width="5.875" style="109" customWidth="1"/>
    <col min="6660" max="6662" width="9" style="109"/>
    <col min="6663" max="6664" width="12.125" style="109" customWidth="1"/>
    <col min="6665" max="6912" width="9" style="109"/>
    <col min="6913" max="6914" width="12.125" style="109" customWidth="1"/>
    <col min="6915" max="6915" width="5.875" style="109" customWidth="1"/>
    <col min="6916" max="6918" width="9" style="109"/>
    <col min="6919" max="6920" width="12.125" style="109" customWidth="1"/>
    <col min="6921" max="7168" width="9" style="109"/>
    <col min="7169" max="7170" width="12.125" style="109" customWidth="1"/>
    <col min="7171" max="7171" width="5.875" style="109" customWidth="1"/>
    <col min="7172" max="7174" width="9" style="109"/>
    <col min="7175" max="7176" width="12.125" style="109" customWidth="1"/>
    <col min="7177" max="7424" width="9" style="109"/>
    <col min="7425" max="7426" width="12.125" style="109" customWidth="1"/>
    <col min="7427" max="7427" width="5.875" style="109" customWidth="1"/>
    <col min="7428" max="7430" width="9" style="109"/>
    <col min="7431" max="7432" width="12.125" style="109" customWidth="1"/>
    <col min="7433" max="7680" width="9" style="109"/>
    <col min="7681" max="7682" width="12.125" style="109" customWidth="1"/>
    <col min="7683" max="7683" width="5.875" style="109" customWidth="1"/>
    <col min="7684" max="7686" width="9" style="109"/>
    <col min="7687" max="7688" width="12.125" style="109" customWidth="1"/>
    <col min="7689" max="7936" width="9" style="109"/>
    <col min="7937" max="7938" width="12.125" style="109" customWidth="1"/>
    <col min="7939" max="7939" width="5.875" style="109" customWidth="1"/>
    <col min="7940" max="7942" width="9" style="109"/>
    <col min="7943" max="7944" width="12.125" style="109" customWidth="1"/>
    <col min="7945" max="8192" width="9" style="109"/>
    <col min="8193" max="8194" width="12.125" style="109" customWidth="1"/>
    <col min="8195" max="8195" width="5.875" style="109" customWidth="1"/>
    <col min="8196" max="8198" width="9" style="109"/>
    <col min="8199" max="8200" width="12.125" style="109" customWidth="1"/>
    <col min="8201" max="8448" width="9" style="109"/>
    <col min="8449" max="8450" width="12.125" style="109" customWidth="1"/>
    <col min="8451" max="8451" width="5.875" style="109" customWidth="1"/>
    <col min="8452" max="8454" width="9" style="109"/>
    <col min="8455" max="8456" width="12.125" style="109" customWidth="1"/>
    <col min="8457" max="8704" width="9" style="109"/>
    <col min="8705" max="8706" width="12.125" style="109" customWidth="1"/>
    <col min="8707" max="8707" width="5.875" style="109" customWidth="1"/>
    <col min="8708" max="8710" width="9" style="109"/>
    <col min="8711" max="8712" width="12.125" style="109" customWidth="1"/>
    <col min="8713" max="8960" width="9" style="109"/>
    <col min="8961" max="8962" width="12.125" style="109" customWidth="1"/>
    <col min="8963" max="8963" width="5.875" style="109" customWidth="1"/>
    <col min="8964" max="8966" width="9" style="109"/>
    <col min="8967" max="8968" width="12.125" style="109" customWidth="1"/>
    <col min="8969" max="9216" width="9" style="109"/>
    <col min="9217" max="9218" width="12.125" style="109" customWidth="1"/>
    <col min="9219" max="9219" width="5.875" style="109" customWidth="1"/>
    <col min="9220" max="9222" width="9" style="109"/>
    <col min="9223" max="9224" width="12.125" style="109" customWidth="1"/>
    <col min="9225" max="9472" width="9" style="109"/>
    <col min="9473" max="9474" width="12.125" style="109" customWidth="1"/>
    <col min="9475" max="9475" width="5.875" style="109" customWidth="1"/>
    <col min="9476" max="9478" width="9" style="109"/>
    <col min="9479" max="9480" width="12.125" style="109" customWidth="1"/>
    <col min="9481" max="9728" width="9" style="109"/>
    <col min="9729" max="9730" width="12.125" style="109" customWidth="1"/>
    <col min="9731" max="9731" width="5.875" style="109" customWidth="1"/>
    <col min="9732" max="9734" width="9" style="109"/>
    <col min="9735" max="9736" width="12.125" style="109" customWidth="1"/>
    <col min="9737" max="9984" width="9" style="109"/>
    <col min="9985" max="9986" width="12.125" style="109" customWidth="1"/>
    <col min="9987" max="9987" width="5.875" style="109" customWidth="1"/>
    <col min="9988" max="9990" width="9" style="109"/>
    <col min="9991" max="9992" width="12.125" style="109" customWidth="1"/>
    <col min="9993" max="10240" width="9" style="109"/>
    <col min="10241" max="10242" width="12.125" style="109" customWidth="1"/>
    <col min="10243" max="10243" width="5.875" style="109" customWidth="1"/>
    <col min="10244" max="10246" width="9" style="109"/>
    <col min="10247" max="10248" width="12.125" style="109" customWidth="1"/>
    <col min="10249" max="10496" width="9" style="109"/>
    <col min="10497" max="10498" width="12.125" style="109" customWidth="1"/>
    <col min="10499" max="10499" width="5.875" style="109" customWidth="1"/>
    <col min="10500" max="10502" width="9" style="109"/>
    <col min="10503" max="10504" width="12.125" style="109" customWidth="1"/>
    <col min="10505" max="10752" width="9" style="109"/>
    <col min="10753" max="10754" width="12.125" style="109" customWidth="1"/>
    <col min="10755" max="10755" width="5.875" style="109" customWidth="1"/>
    <col min="10756" max="10758" width="9" style="109"/>
    <col min="10759" max="10760" width="12.125" style="109" customWidth="1"/>
    <col min="10761" max="11008" width="9" style="109"/>
    <col min="11009" max="11010" width="12.125" style="109" customWidth="1"/>
    <col min="11011" max="11011" width="5.875" style="109" customWidth="1"/>
    <col min="11012" max="11014" width="9" style="109"/>
    <col min="11015" max="11016" width="12.125" style="109" customWidth="1"/>
    <col min="11017" max="11264" width="9" style="109"/>
    <col min="11265" max="11266" width="12.125" style="109" customWidth="1"/>
    <col min="11267" max="11267" width="5.875" style="109" customWidth="1"/>
    <col min="11268" max="11270" width="9" style="109"/>
    <col min="11271" max="11272" width="12.125" style="109" customWidth="1"/>
    <col min="11273" max="11520" width="9" style="109"/>
    <col min="11521" max="11522" width="12.125" style="109" customWidth="1"/>
    <col min="11523" max="11523" width="5.875" style="109" customWidth="1"/>
    <col min="11524" max="11526" width="9" style="109"/>
    <col min="11527" max="11528" width="12.125" style="109" customWidth="1"/>
    <col min="11529" max="11776" width="9" style="109"/>
    <col min="11777" max="11778" width="12.125" style="109" customWidth="1"/>
    <col min="11779" max="11779" width="5.875" style="109" customWidth="1"/>
    <col min="11780" max="11782" width="9" style="109"/>
    <col min="11783" max="11784" width="12.125" style="109" customWidth="1"/>
    <col min="11785" max="12032" width="9" style="109"/>
    <col min="12033" max="12034" width="12.125" style="109" customWidth="1"/>
    <col min="12035" max="12035" width="5.875" style="109" customWidth="1"/>
    <col min="12036" max="12038" width="9" style="109"/>
    <col min="12039" max="12040" width="12.125" style="109" customWidth="1"/>
    <col min="12041" max="12288" width="9" style="109"/>
    <col min="12289" max="12290" width="12.125" style="109" customWidth="1"/>
    <col min="12291" max="12291" width="5.875" style="109" customWidth="1"/>
    <col min="12292" max="12294" width="9" style="109"/>
    <col min="12295" max="12296" width="12.125" style="109" customWidth="1"/>
    <col min="12297" max="12544" width="9" style="109"/>
    <col min="12545" max="12546" width="12.125" style="109" customWidth="1"/>
    <col min="12547" max="12547" width="5.875" style="109" customWidth="1"/>
    <col min="12548" max="12550" width="9" style="109"/>
    <col min="12551" max="12552" width="12.125" style="109" customWidth="1"/>
    <col min="12553" max="12800" width="9" style="109"/>
    <col min="12801" max="12802" width="12.125" style="109" customWidth="1"/>
    <col min="12803" max="12803" width="5.875" style="109" customWidth="1"/>
    <col min="12804" max="12806" width="9" style="109"/>
    <col min="12807" max="12808" width="12.125" style="109" customWidth="1"/>
    <col min="12809" max="13056" width="9" style="109"/>
    <col min="13057" max="13058" width="12.125" style="109" customWidth="1"/>
    <col min="13059" max="13059" width="5.875" style="109" customWidth="1"/>
    <col min="13060" max="13062" width="9" style="109"/>
    <col min="13063" max="13064" width="12.125" style="109" customWidth="1"/>
    <col min="13065" max="13312" width="9" style="109"/>
    <col min="13313" max="13314" width="12.125" style="109" customWidth="1"/>
    <col min="13315" max="13315" width="5.875" style="109" customWidth="1"/>
    <col min="13316" max="13318" width="9" style="109"/>
    <col min="13319" max="13320" width="12.125" style="109" customWidth="1"/>
    <col min="13321" max="13568" width="9" style="109"/>
    <col min="13569" max="13570" width="12.125" style="109" customWidth="1"/>
    <col min="13571" max="13571" width="5.875" style="109" customWidth="1"/>
    <col min="13572" max="13574" width="9" style="109"/>
    <col min="13575" max="13576" width="12.125" style="109" customWidth="1"/>
    <col min="13577" max="13824" width="9" style="109"/>
    <col min="13825" max="13826" width="12.125" style="109" customWidth="1"/>
    <col min="13827" max="13827" width="5.875" style="109" customWidth="1"/>
    <col min="13828" max="13830" width="9" style="109"/>
    <col min="13831" max="13832" width="12.125" style="109" customWidth="1"/>
    <col min="13833" max="14080" width="9" style="109"/>
    <col min="14081" max="14082" width="12.125" style="109" customWidth="1"/>
    <col min="14083" max="14083" width="5.875" style="109" customWidth="1"/>
    <col min="14084" max="14086" width="9" style="109"/>
    <col min="14087" max="14088" width="12.125" style="109" customWidth="1"/>
    <col min="14089" max="14336" width="9" style="109"/>
    <col min="14337" max="14338" width="12.125" style="109" customWidth="1"/>
    <col min="14339" max="14339" width="5.875" style="109" customWidth="1"/>
    <col min="14340" max="14342" width="9" style="109"/>
    <col min="14343" max="14344" width="12.125" style="109" customWidth="1"/>
    <col min="14345" max="14592" width="9" style="109"/>
    <col min="14593" max="14594" width="12.125" style="109" customWidth="1"/>
    <col min="14595" max="14595" width="5.875" style="109" customWidth="1"/>
    <col min="14596" max="14598" width="9" style="109"/>
    <col min="14599" max="14600" width="12.125" style="109" customWidth="1"/>
    <col min="14601" max="14848" width="9" style="109"/>
    <col min="14849" max="14850" width="12.125" style="109" customWidth="1"/>
    <col min="14851" max="14851" width="5.875" style="109" customWidth="1"/>
    <col min="14852" max="14854" width="9" style="109"/>
    <col min="14855" max="14856" width="12.125" style="109" customWidth="1"/>
    <col min="14857" max="15104" width="9" style="109"/>
    <col min="15105" max="15106" width="12.125" style="109" customWidth="1"/>
    <col min="15107" max="15107" width="5.875" style="109" customWidth="1"/>
    <col min="15108" max="15110" width="9" style="109"/>
    <col min="15111" max="15112" width="12.125" style="109" customWidth="1"/>
    <col min="15113" max="15360" width="9" style="109"/>
    <col min="15361" max="15362" width="12.125" style="109" customWidth="1"/>
    <col min="15363" max="15363" width="5.875" style="109" customWidth="1"/>
    <col min="15364" max="15366" width="9" style="109"/>
    <col min="15367" max="15368" width="12.125" style="109" customWidth="1"/>
    <col min="15369" max="15616" width="9" style="109"/>
    <col min="15617" max="15618" width="12.125" style="109" customWidth="1"/>
    <col min="15619" max="15619" width="5.875" style="109" customWidth="1"/>
    <col min="15620" max="15622" width="9" style="109"/>
    <col min="15623" max="15624" width="12.125" style="109" customWidth="1"/>
    <col min="15625" max="15872" width="9" style="109"/>
    <col min="15873" max="15874" width="12.125" style="109" customWidth="1"/>
    <col min="15875" max="15875" width="5.875" style="109" customWidth="1"/>
    <col min="15876" max="15878" width="9" style="109"/>
    <col min="15879" max="15880" width="12.125" style="109" customWidth="1"/>
    <col min="15881" max="16128" width="9" style="109"/>
    <col min="16129" max="16130" width="12.125" style="109" customWidth="1"/>
    <col min="16131" max="16131" width="5.875" style="109" customWidth="1"/>
    <col min="16132" max="16134" width="9" style="109"/>
    <col min="16135" max="16136" width="12.125" style="109" customWidth="1"/>
    <col min="16137" max="16384" width="9" style="109"/>
  </cols>
  <sheetData>
    <row r="5" spans="1:8" s="108" customFormat="1" ht="48.75">
      <c r="A5" s="1765"/>
      <c r="B5" s="1765"/>
      <c r="C5" s="1765"/>
      <c r="D5" s="1765"/>
      <c r="E5" s="1765"/>
      <c r="F5" s="1765"/>
      <c r="G5" s="1765"/>
      <c r="H5" s="1765"/>
    </row>
    <row r="6" spans="1:8">
      <c r="A6" s="109" t="s">
        <v>54</v>
      </c>
    </row>
    <row r="13" spans="1:8" s="108" customFormat="1" ht="30" customHeight="1">
      <c r="A13" s="1771" t="str">
        <f>'3.공사비총괄표'!A4</f>
        <v>공사명 : 동해안#1 변환소 전력통신설비 시설공사</v>
      </c>
      <c r="B13" s="1771"/>
      <c r="C13" s="1771"/>
      <c r="D13" s="1771"/>
      <c r="E13" s="1771"/>
      <c r="F13" s="1771"/>
      <c r="G13" s="1771"/>
      <c r="H13" s="1771"/>
    </row>
    <row r="24" spans="1:8" s="110" customFormat="1" ht="25.5">
      <c r="A24" s="1766" t="s">
        <v>3219</v>
      </c>
      <c r="B24" s="1766"/>
      <c r="C24" s="1766"/>
      <c r="D24" s="1766"/>
      <c r="E24" s="1766"/>
      <c r="F24" s="1766"/>
      <c r="G24" s="1766"/>
      <c r="H24" s="1766"/>
    </row>
    <row r="25" spans="1:8" s="110" customFormat="1" ht="13.5" customHeight="1">
      <c r="A25" s="111"/>
      <c r="B25" s="111"/>
      <c r="C25" s="801"/>
      <c r="D25" s="801"/>
      <c r="E25" s="801"/>
      <c r="F25" s="801"/>
      <c r="G25" s="801"/>
      <c r="H25" s="111"/>
    </row>
    <row r="26" spans="1:8" s="110" customFormat="1" ht="13.5" customHeight="1">
      <c r="A26" s="111"/>
      <c r="B26" s="111"/>
      <c r="C26" s="801"/>
      <c r="D26" s="801"/>
      <c r="E26" s="801"/>
      <c r="F26" s="801"/>
      <c r="G26" s="801"/>
      <c r="H26" s="111"/>
    </row>
    <row r="27" spans="1:8">
      <c r="C27" s="802"/>
      <c r="D27" s="802"/>
      <c r="E27" s="802"/>
      <c r="F27" s="802"/>
      <c r="G27" s="802"/>
    </row>
    <row r="28" spans="1:8" ht="22.5">
      <c r="B28" s="799"/>
      <c r="C28" s="801"/>
      <c r="D28" s="801"/>
      <c r="E28" s="801"/>
      <c r="F28" s="802"/>
      <c r="G28" s="802"/>
    </row>
    <row r="29" spans="1:8" ht="24.95" customHeight="1">
      <c r="B29" s="800"/>
      <c r="C29" s="1768" t="s">
        <v>1379</v>
      </c>
      <c r="D29" s="1731" t="s">
        <v>1380</v>
      </c>
      <c r="E29" s="1731" t="s">
        <v>1381</v>
      </c>
      <c r="F29" s="1731" t="s">
        <v>3334</v>
      </c>
      <c r="G29" s="802"/>
    </row>
    <row r="30" spans="1:8" ht="13.5" customHeight="1">
      <c r="B30" s="800"/>
      <c r="C30" s="1769"/>
      <c r="D30" s="1770"/>
      <c r="E30" s="1770"/>
      <c r="F30" s="1770"/>
      <c r="G30" s="802"/>
    </row>
    <row r="31" spans="1:8" ht="13.5" customHeight="1">
      <c r="B31" s="800"/>
      <c r="C31" s="1769"/>
      <c r="D31" s="1770"/>
      <c r="E31" s="1770"/>
      <c r="F31" s="1770"/>
      <c r="G31" s="802"/>
    </row>
    <row r="32" spans="1:8" ht="13.5" customHeight="1">
      <c r="B32" s="800"/>
      <c r="C32" s="1769"/>
      <c r="D32" s="1770"/>
      <c r="E32" s="1770"/>
      <c r="F32" s="1770"/>
      <c r="G32" s="802"/>
    </row>
    <row r="33" spans="1:8">
      <c r="B33" s="800"/>
      <c r="C33" s="802"/>
      <c r="D33" s="802"/>
      <c r="E33" s="802"/>
      <c r="F33" s="802"/>
      <c r="G33" s="802"/>
    </row>
    <row r="34" spans="1:8">
      <c r="B34" s="800"/>
      <c r="C34" s="800"/>
      <c r="D34" s="800"/>
      <c r="E34" s="800"/>
      <c r="F34" s="800"/>
      <c r="G34" s="800"/>
    </row>
    <row r="35" spans="1:8">
      <c r="B35" s="800"/>
      <c r="C35" s="800"/>
      <c r="D35" s="800"/>
      <c r="E35" s="800"/>
      <c r="F35" s="800"/>
      <c r="G35" s="800"/>
    </row>
    <row r="40" spans="1:8" s="112" customFormat="1" ht="27">
      <c r="A40" s="1767"/>
      <c r="B40" s="1767"/>
      <c r="C40" s="1767"/>
      <c r="D40" s="1767"/>
      <c r="E40" s="1767"/>
      <c r="F40" s="1767"/>
      <c r="G40" s="1767"/>
      <c r="H40" s="1767"/>
    </row>
    <row r="42" spans="1:8" s="112" customFormat="1" ht="27">
      <c r="A42" s="1764" t="s">
        <v>2402</v>
      </c>
      <c r="B42" s="1764"/>
      <c r="C42" s="1764"/>
      <c r="D42" s="1764"/>
      <c r="E42" s="1764"/>
      <c r="F42" s="1764"/>
      <c r="G42" s="1764"/>
      <c r="H42" s="1764"/>
    </row>
  </sheetData>
  <mergeCells count="9">
    <mergeCell ref="A42:H42"/>
    <mergeCell ref="A5:H5"/>
    <mergeCell ref="A24:H24"/>
    <mergeCell ref="A40:H40"/>
    <mergeCell ref="C29:C32"/>
    <mergeCell ref="D30:D32"/>
    <mergeCell ref="E30:E32"/>
    <mergeCell ref="F30:F32"/>
    <mergeCell ref="A13:H13"/>
  </mergeCells>
  <phoneticPr fontId="6" type="noConversion"/>
  <printOptions horizontalCentered="1"/>
  <pageMargins left="0.39370078740157483" right="0.39370078740157483" top="0.98425196850393704" bottom="0.39370078740157483" header="0.31496062992125984" footer="0.31496062992125984"/>
  <pageSetup paperSize="9" scale="10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I47"/>
  <sheetViews>
    <sheetView view="pageBreakPreview" zoomScale="70" zoomScaleNormal="100" zoomScaleSheetLayoutView="70" workbookViewId="0">
      <selection activeCell="L24" sqref="L24"/>
    </sheetView>
  </sheetViews>
  <sheetFormatPr defaultRowHeight="31.5"/>
  <cols>
    <col min="1" max="1" width="20.625" style="4" customWidth="1"/>
    <col min="2" max="2" width="9" style="4" customWidth="1"/>
    <col min="3" max="6" width="9" style="4"/>
    <col min="7" max="7" width="9" style="4" customWidth="1"/>
    <col min="8" max="8" width="9" style="4"/>
    <col min="9" max="256" width="9" style="5"/>
    <col min="257" max="257" width="9.375" style="5" customWidth="1"/>
    <col min="258" max="258" width="20.75" style="5" bestFit="1" customWidth="1"/>
    <col min="259" max="262" width="9" style="5"/>
    <col min="263" max="263" width="5.625" style="5" customWidth="1"/>
    <col min="264" max="512" width="9" style="5"/>
    <col min="513" max="513" width="9.375" style="5" customWidth="1"/>
    <col min="514" max="514" width="20.75" style="5" bestFit="1" customWidth="1"/>
    <col min="515" max="518" width="9" style="5"/>
    <col min="519" max="519" width="5.625" style="5" customWidth="1"/>
    <col min="520" max="768" width="9" style="5"/>
    <col min="769" max="769" width="9.375" style="5" customWidth="1"/>
    <col min="770" max="770" width="20.75" style="5" bestFit="1" customWidth="1"/>
    <col min="771" max="774" width="9" style="5"/>
    <col min="775" max="775" width="5.625" style="5" customWidth="1"/>
    <col min="776" max="1024" width="9" style="5"/>
    <col min="1025" max="1025" width="9.375" style="5" customWidth="1"/>
    <col min="1026" max="1026" width="20.75" style="5" bestFit="1" customWidth="1"/>
    <col min="1027" max="1030" width="9" style="5"/>
    <col min="1031" max="1031" width="5.625" style="5" customWidth="1"/>
    <col min="1032" max="1280" width="9" style="5"/>
    <col min="1281" max="1281" width="9.375" style="5" customWidth="1"/>
    <col min="1282" max="1282" width="20.75" style="5" bestFit="1" customWidth="1"/>
    <col min="1283" max="1286" width="9" style="5"/>
    <col min="1287" max="1287" width="5.625" style="5" customWidth="1"/>
    <col min="1288" max="1536" width="9" style="5"/>
    <col min="1537" max="1537" width="9.375" style="5" customWidth="1"/>
    <col min="1538" max="1538" width="20.75" style="5" bestFit="1" customWidth="1"/>
    <col min="1539" max="1542" width="9" style="5"/>
    <col min="1543" max="1543" width="5.625" style="5" customWidth="1"/>
    <col min="1544" max="1792" width="9" style="5"/>
    <col min="1793" max="1793" width="9.375" style="5" customWidth="1"/>
    <col min="1794" max="1794" width="20.75" style="5" bestFit="1" customWidth="1"/>
    <col min="1795" max="1798" width="9" style="5"/>
    <col min="1799" max="1799" width="5.625" style="5" customWidth="1"/>
    <col min="1800" max="2048" width="9" style="5"/>
    <col min="2049" max="2049" width="9.375" style="5" customWidth="1"/>
    <col min="2050" max="2050" width="20.75" style="5" bestFit="1" customWidth="1"/>
    <col min="2051" max="2054" width="9" style="5"/>
    <col min="2055" max="2055" width="5.625" style="5" customWidth="1"/>
    <col min="2056" max="2304" width="9" style="5"/>
    <col min="2305" max="2305" width="9.375" style="5" customWidth="1"/>
    <col min="2306" max="2306" width="20.75" style="5" bestFit="1" customWidth="1"/>
    <col min="2307" max="2310" width="9" style="5"/>
    <col min="2311" max="2311" width="5.625" style="5" customWidth="1"/>
    <col min="2312" max="2560" width="9" style="5"/>
    <col min="2561" max="2561" width="9.375" style="5" customWidth="1"/>
    <col min="2562" max="2562" width="20.75" style="5" bestFit="1" customWidth="1"/>
    <col min="2563" max="2566" width="9" style="5"/>
    <col min="2567" max="2567" width="5.625" style="5" customWidth="1"/>
    <col min="2568" max="2816" width="9" style="5"/>
    <col min="2817" max="2817" width="9.375" style="5" customWidth="1"/>
    <col min="2818" max="2818" width="20.75" style="5" bestFit="1" customWidth="1"/>
    <col min="2819" max="2822" width="9" style="5"/>
    <col min="2823" max="2823" width="5.625" style="5" customWidth="1"/>
    <col min="2824" max="3072" width="9" style="5"/>
    <col min="3073" max="3073" width="9.375" style="5" customWidth="1"/>
    <col min="3074" max="3074" width="20.75" style="5" bestFit="1" customWidth="1"/>
    <col min="3075" max="3078" width="9" style="5"/>
    <col min="3079" max="3079" width="5.625" style="5" customWidth="1"/>
    <col min="3080" max="3328" width="9" style="5"/>
    <col min="3329" max="3329" width="9.375" style="5" customWidth="1"/>
    <col min="3330" max="3330" width="20.75" style="5" bestFit="1" customWidth="1"/>
    <col min="3331" max="3334" width="9" style="5"/>
    <col min="3335" max="3335" width="5.625" style="5" customWidth="1"/>
    <col min="3336" max="3584" width="9" style="5"/>
    <col min="3585" max="3585" width="9.375" style="5" customWidth="1"/>
    <col min="3586" max="3586" width="20.75" style="5" bestFit="1" customWidth="1"/>
    <col min="3587" max="3590" width="9" style="5"/>
    <col min="3591" max="3591" width="5.625" style="5" customWidth="1"/>
    <col min="3592" max="3840" width="9" style="5"/>
    <col min="3841" max="3841" width="9.375" style="5" customWidth="1"/>
    <col min="3842" max="3842" width="20.75" style="5" bestFit="1" customWidth="1"/>
    <col min="3843" max="3846" width="9" style="5"/>
    <col min="3847" max="3847" width="5.625" style="5" customWidth="1"/>
    <col min="3848" max="4096" width="9" style="5"/>
    <col min="4097" max="4097" width="9.375" style="5" customWidth="1"/>
    <col min="4098" max="4098" width="20.75" style="5" bestFit="1" customWidth="1"/>
    <col min="4099" max="4102" width="9" style="5"/>
    <col min="4103" max="4103" width="5.625" style="5" customWidth="1"/>
    <col min="4104" max="4352" width="9" style="5"/>
    <col min="4353" max="4353" width="9.375" style="5" customWidth="1"/>
    <col min="4354" max="4354" width="20.75" style="5" bestFit="1" customWidth="1"/>
    <col min="4355" max="4358" width="9" style="5"/>
    <col min="4359" max="4359" width="5.625" style="5" customWidth="1"/>
    <col min="4360" max="4608" width="9" style="5"/>
    <col min="4609" max="4609" width="9.375" style="5" customWidth="1"/>
    <col min="4610" max="4610" width="20.75" style="5" bestFit="1" customWidth="1"/>
    <col min="4611" max="4614" width="9" style="5"/>
    <col min="4615" max="4615" width="5.625" style="5" customWidth="1"/>
    <col min="4616" max="4864" width="9" style="5"/>
    <col min="4865" max="4865" width="9.375" style="5" customWidth="1"/>
    <col min="4866" max="4866" width="20.75" style="5" bestFit="1" customWidth="1"/>
    <col min="4867" max="4870" width="9" style="5"/>
    <col min="4871" max="4871" width="5.625" style="5" customWidth="1"/>
    <col min="4872" max="5120" width="9" style="5"/>
    <col min="5121" max="5121" width="9.375" style="5" customWidth="1"/>
    <col min="5122" max="5122" width="20.75" style="5" bestFit="1" customWidth="1"/>
    <col min="5123" max="5126" width="9" style="5"/>
    <col min="5127" max="5127" width="5.625" style="5" customWidth="1"/>
    <col min="5128" max="5376" width="9" style="5"/>
    <col min="5377" max="5377" width="9.375" style="5" customWidth="1"/>
    <col min="5378" max="5378" width="20.75" style="5" bestFit="1" customWidth="1"/>
    <col min="5379" max="5382" width="9" style="5"/>
    <col min="5383" max="5383" width="5.625" style="5" customWidth="1"/>
    <col min="5384" max="5632" width="9" style="5"/>
    <col min="5633" max="5633" width="9.375" style="5" customWidth="1"/>
    <col min="5634" max="5634" width="20.75" style="5" bestFit="1" customWidth="1"/>
    <col min="5635" max="5638" width="9" style="5"/>
    <col min="5639" max="5639" width="5.625" style="5" customWidth="1"/>
    <col min="5640" max="5888" width="9" style="5"/>
    <col min="5889" max="5889" width="9.375" style="5" customWidth="1"/>
    <col min="5890" max="5890" width="20.75" style="5" bestFit="1" customWidth="1"/>
    <col min="5891" max="5894" width="9" style="5"/>
    <col min="5895" max="5895" width="5.625" style="5" customWidth="1"/>
    <col min="5896" max="6144" width="9" style="5"/>
    <col min="6145" max="6145" width="9.375" style="5" customWidth="1"/>
    <col min="6146" max="6146" width="20.75" style="5" bestFit="1" customWidth="1"/>
    <col min="6147" max="6150" width="9" style="5"/>
    <col min="6151" max="6151" width="5.625" style="5" customWidth="1"/>
    <col min="6152" max="6400" width="9" style="5"/>
    <col min="6401" max="6401" width="9.375" style="5" customWidth="1"/>
    <col min="6402" max="6402" width="20.75" style="5" bestFit="1" customWidth="1"/>
    <col min="6403" max="6406" width="9" style="5"/>
    <col min="6407" max="6407" width="5.625" style="5" customWidth="1"/>
    <col min="6408" max="6656" width="9" style="5"/>
    <col min="6657" max="6657" width="9.375" style="5" customWidth="1"/>
    <col min="6658" max="6658" width="20.75" style="5" bestFit="1" customWidth="1"/>
    <col min="6659" max="6662" width="9" style="5"/>
    <col min="6663" max="6663" width="5.625" style="5" customWidth="1"/>
    <col min="6664" max="6912" width="9" style="5"/>
    <col min="6913" max="6913" width="9.375" style="5" customWidth="1"/>
    <col min="6914" max="6914" width="20.75" style="5" bestFit="1" customWidth="1"/>
    <col min="6915" max="6918" width="9" style="5"/>
    <col min="6919" max="6919" width="5.625" style="5" customWidth="1"/>
    <col min="6920" max="7168" width="9" style="5"/>
    <col min="7169" max="7169" width="9.375" style="5" customWidth="1"/>
    <col min="7170" max="7170" width="20.75" style="5" bestFit="1" customWidth="1"/>
    <col min="7171" max="7174" width="9" style="5"/>
    <col min="7175" max="7175" width="5.625" style="5" customWidth="1"/>
    <col min="7176" max="7424" width="9" style="5"/>
    <col min="7425" max="7425" width="9.375" style="5" customWidth="1"/>
    <col min="7426" max="7426" width="20.75" style="5" bestFit="1" customWidth="1"/>
    <col min="7427" max="7430" width="9" style="5"/>
    <col min="7431" max="7431" width="5.625" style="5" customWidth="1"/>
    <col min="7432" max="7680" width="9" style="5"/>
    <col min="7681" max="7681" width="9.375" style="5" customWidth="1"/>
    <col min="7682" max="7682" width="20.75" style="5" bestFit="1" customWidth="1"/>
    <col min="7683" max="7686" width="9" style="5"/>
    <col min="7687" max="7687" width="5.625" style="5" customWidth="1"/>
    <col min="7688" max="7936" width="9" style="5"/>
    <col min="7937" max="7937" width="9.375" style="5" customWidth="1"/>
    <col min="7938" max="7938" width="20.75" style="5" bestFit="1" customWidth="1"/>
    <col min="7939" max="7942" width="9" style="5"/>
    <col min="7943" max="7943" width="5.625" style="5" customWidth="1"/>
    <col min="7944" max="8192" width="9" style="5"/>
    <col min="8193" max="8193" width="9.375" style="5" customWidth="1"/>
    <col min="8194" max="8194" width="20.75" style="5" bestFit="1" customWidth="1"/>
    <col min="8195" max="8198" width="9" style="5"/>
    <col min="8199" max="8199" width="5.625" style="5" customWidth="1"/>
    <col min="8200" max="8448" width="9" style="5"/>
    <col min="8449" max="8449" width="9.375" style="5" customWidth="1"/>
    <col min="8450" max="8450" width="20.75" style="5" bestFit="1" customWidth="1"/>
    <col min="8451" max="8454" width="9" style="5"/>
    <col min="8455" max="8455" width="5.625" style="5" customWidth="1"/>
    <col min="8456" max="8704" width="9" style="5"/>
    <col min="8705" max="8705" width="9.375" style="5" customWidth="1"/>
    <col min="8706" max="8706" width="20.75" style="5" bestFit="1" customWidth="1"/>
    <col min="8707" max="8710" width="9" style="5"/>
    <col min="8711" max="8711" width="5.625" style="5" customWidth="1"/>
    <col min="8712" max="8960" width="9" style="5"/>
    <col min="8961" max="8961" width="9.375" style="5" customWidth="1"/>
    <col min="8962" max="8962" width="20.75" style="5" bestFit="1" customWidth="1"/>
    <col min="8963" max="8966" width="9" style="5"/>
    <col min="8967" max="8967" width="5.625" style="5" customWidth="1"/>
    <col min="8968" max="9216" width="9" style="5"/>
    <col min="9217" max="9217" width="9.375" style="5" customWidth="1"/>
    <col min="9218" max="9218" width="20.75" style="5" bestFit="1" customWidth="1"/>
    <col min="9219" max="9222" width="9" style="5"/>
    <col min="9223" max="9223" width="5.625" style="5" customWidth="1"/>
    <col min="9224" max="9472" width="9" style="5"/>
    <col min="9473" max="9473" width="9.375" style="5" customWidth="1"/>
    <col min="9474" max="9474" width="20.75" style="5" bestFit="1" customWidth="1"/>
    <col min="9475" max="9478" width="9" style="5"/>
    <col min="9479" max="9479" width="5.625" style="5" customWidth="1"/>
    <col min="9480" max="9728" width="9" style="5"/>
    <col min="9729" max="9729" width="9.375" style="5" customWidth="1"/>
    <col min="9730" max="9730" width="20.75" style="5" bestFit="1" customWidth="1"/>
    <col min="9731" max="9734" width="9" style="5"/>
    <col min="9735" max="9735" width="5.625" style="5" customWidth="1"/>
    <col min="9736" max="9984" width="9" style="5"/>
    <col min="9985" max="9985" width="9.375" style="5" customWidth="1"/>
    <col min="9986" max="9986" width="20.75" style="5" bestFit="1" customWidth="1"/>
    <col min="9987" max="9990" width="9" style="5"/>
    <col min="9991" max="9991" width="5.625" style="5" customWidth="1"/>
    <col min="9992" max="10240" width="9" style="5"/>
    <col min="10241" max="10241" width="9.375" style="5" customWidth="1"/>
    <col min="10242" max="10242" width="20.75" style="5" bestFit="1" customWidth="1"/>
    <col min="10243" max="10246" width="9" style="5"/>
    <col min="10247" max="10247" width="5.625" style="5" customWidth="1"/>
    <col min="10248" max="10496" width="9" style="5"/>
    <col min="10497" max="10497" width="9.375" style="5" customWidth="1"/>
    <col min="10498" max="10498" width="20.75" style="5" bestFit="1" customWidth="1"/>
    <col min="10499" max="10502" width="9" style="5"/>
    <col min="10503" max="10503" width="5.625" style="5" customWidth="1"/>
    <col min="10504" max="10752" width="9" style="5"/>
    <col min="10753" max="10753" width="9.375" style="5" customWidth="1"/>
    <col min="10754" max="10754" width="20.75" style="5" bestFit="1" customWidth="1"/>
    <col min="10755" max="10758" width="9" style="5"/>
    <col min="10759" max="10759" width="5.625" style="5" customWidth="1"/>
    <col min="10760" max="11008" width="9" style="5"/>
    <col min="11009" max="11009" width="9.375" style="5" customWidth="1"/>
    <col min="11010" max="11010" width="20.75" style="5" bestFit="1" customWidth="1"/>
    <col min="11011" max="11014" width="9" style="5"/>
    <col min="11015" max="11015" width="5.625" style="5" customWidth="1"/>
    <col min="11016" max="11264" width="9" style="5"/>
    <col min="11265" max="11265" width="9.375" style="5" customWidth="1"/>
    <col min="11266" max="11266" width="20.75" style="5" bestFit="1" customWidth="1"/>
    <col min="11267" max="11270" width="9" style="5"/>
    <col min="11271" max="11271" width="5.625" style="5" customWidth="1"/>
    <col min="11272" max="11520" width="9" style="5"/>
    <col min="11521" max="11521" width="9.375" style="5" customWidth="1"/>
    <col min="11522" max="11522" width="20.75" style="5" bestFit="1" customWidth="1"/>
    <col min="11523" max="11526" width="9" style="5"/>
    <col min="11527" max="11527" width="5.625" style="5" customWidth="1"/>
    <col min="11528" max="11776" width="9" style="5"/>
    <col min="11777" max="11777" width="9.375" style="5" customWidth="1"/>
    <col min="11778" max="11778" width="20.75" style="5" bestFit="1" customWidth="1"/>
    <col min="11779" max="11782" width="9" style="5"/>
    <col min="11783" max="11783" width="5.625" style="5" customWidth="1"/>
    <col min="11784" max="12032" width="9" style="5"/>
    <col min="12033" max="12033" width="9.375" style="5" customWidth="1"/>
    <col min="12034" max="12034" width="20.75" style="5" bestFit="1" customWidth="1"/>
    <col min="12035" max="12038" width="9" style="5"/>
    <col min="12039" max="12039" width="5.625" style="5" customWidth="1"/>
    <col min="12040" max="12288" width="9" style="5"/>
    <col min="12289" max="12289" width="9.375" style="5" customWidth="1"/>
    <col min="12290" max="12290" width="20.75" style="5" bestFit="1" customWidth="1"/>
    <col min="12291" max="12294" width="9" style="5"/>
    <col min="12295" max="12295" width="5.625" style="5" customWidth="1"/>
    <col min="12296" max="12544" width="9" style="5"/>
    <col min="12545" max="12545" width="9.375" style="5" customWidth="1"/>
    <col min="12546" max="12546" width="20.75" style="5" bestFit="1" customWidth="1"/>
    <col min="12547" max="12550" width="9" style="5"/>
    <col min="12551" max="12551" width="5.625" style="5" customWidth="1"/>
    <col min="12552" max="12800" width="9" style="5"/>
    <col min="12801" max="12801" width="9.375" style="5" customWidth="1"/>
    <col min="12802" max="12802" width="20.75" style="5" bestFit="1" customWidth="1"/>
    <col min="12803" max="12806" width="9" style="5"/>
    <col min="12807" max="12807" width="5.625" style="5" customWidth="1"/>
    <col min="12808" max="13056" width="9" style="5"/>
    <col min="13057" max="13057" width="9.375" style="5" customWidth="1"/>
    <col min="13058" max="13058" width="20.75" style="5" bestFit="1" customWidth="1"/>
    <col min="13059" max="13062" width="9" style="5"/>
    <col min="13063" max="13063" width="5.625" style="5" customWidth="1"/>
    <col min="13064" max="13312" width="9" style="5"/>
    <col min="13313" max="13313" width="9.375" style="5" customWidth="1"/>
    <col min="13314" max="13314" width="20.75" style="5" bestFit="1" customWidth="1"/>
    <col min="13315" max="13318" width="9" style="5"/>
    <col min="13319" max="13319" width="5.625" style="5" customWidth="1"/>
    <col min="13320" max="13568" width="9" style="5"/>
    <col min="13569" max="13569" width="9.375" style="5" customWidth="1"/>
    <col min="13570" max="13570" width="20.75" style="5" bestFit="1" customWidth="1"/>
    <col min="13571" max="13574" width="9" style="5"/>
    <col min="13575" max="13575" width="5.625" style="5" customWidth="1"/>
    <col min="13576" max="13824" width="9" style="5"/>
    <col min="13825" max="13825" width="9.375" style="5" customWidth="1"/>
    <col min="13826" max="13826" width="20.75" style="5" bestFit="1" customWidth="1"/>
    <col min="13827" max="13830" width="9" style="5"/>
    <col min="13831" max="13831" width="5.625" style="5" customWidth="1"/>
    <col min="13832" max="14080" width="9" style="5"/>
    <col min="14081" max="14081" width="9.375" style="5" customWidth="1"/>
    <col min="14082" max="14082" width="20.75" style="5" bestFit="1" customWidth="1"/>
    <col min="14083" max="14086" width="9" style="5"/>
    <col min="14087" max="14087" width="5.625" style="5" customWidth="1"/>
    <col min="14088" max="14336" width="9" style="5"/>
    <col min="14337" max="14337" width="9.375" style="5" customWidth="1"/>
    <col min="14338" max="14338" width="20.75" style="5" bestFit="1" customWidth="1"/>
    <col min="14339" max="14342" width="9" style="5"/>
    <col min="14343" max="14343" width="5.625" style="5" customWidth="1"/>
    <col min="14344" max="14592" width="9" style="5"/>
    <col min="14593" max="14593" width="9.375" style="5" customWidth="1"/>
    <col min="14594" max="14594" width="20.75" style="5" bestFit="1" customWidth="1"/>
    <col min="14595" max="14598" width="9" style="5"/>
    <col min="14599" max="14599" width="5.625" style="5" customWidth="1"/>
    <col min="14600" max="14848" width="9" style="5"/>
    <col min="14849" max="14849" width="9.375" style="5" customWidth="1"/>
    <col min="14850" max="14850" width="20.75" style="5" bestFit="1" customWidth="1"/>
    <col min="14851" max="14854" width="9" style="5"/>
    <col min="14855" max="14855" width="5.625" style="5" customWidth="1"/>
    <col min="14856" max="15104" width="9" style="5"/>
    <col min="15105" max="15105" width="9.375" style="5" customWidth="1"/>
    <col min="15106" max="15106" width="20.75" style="5" bestFit="1" customWidth="1"/>
    <col min="15107" max="15110" width="9" style="5"/>
    <col min="15111" max="15111" width="5.625" style="5" customWidth="1"/>
    <col min="15112" max="15360" width="9" style="5"/>
    <col min="15361" max="15361" width="9.375" style="5" customWidth="1"/>
    <col min="15362" max="15362" width="20.75" style="5" bestFit="1" customWidth="1"/>
    <col min="15363" max="15366" width="9" style="5"/>
    <col min="15367" max="15367" width="5.625" style="5" customWidth="1"/>
    <col min="15368" max="15616" width="9" style="5"/>
    <col min="15617" max="15617" width="9.375" style="5" customWidth="1"/>
    <col min="15618" max="15618" width="20.75" style="5" bestFit="1" customWidth="1"/>
    <col min="15619" max="15622" width="9" style="5"/>
    <col min="15623" max="15623" width="5.625" style="5" customWidth="1"/>
    <col min="15624" max="15872" width="9" style="5"/>
    <col min="15873" max="15873" width="9.375" style="5" customWidth="1"/>
    <col min="15874" max="15874" width="20.75" style="5" bestFit="1" customWidth="1"/>
    <col min="15875" max="15878" width="9" style="5"/>
    <col min="15879" max="15879" width="5.625" style="5" customWidth="1"/>
    <col min="15880" max="16128" width="9" style="5"/>
    <col min="16129" max="16129" width="9.375" style="5" customWidth="1"/>
    <col min="16130" max="16130" width="20.75" style="5" bestFit="1" customWidth="1"/>
    <col min="16131" max="16134" width="9" style="5"/>
    <col min="16135" max="16135" width="5.625" style="5" customWidth="1"/>
    <col min="16136" max="16384" width="9" style="5"/>
  </cols>
  <sheetData>
    <row r="1" spans="1:9" ht="5.0999999999999996" customHeight="1"/>
    <row r="2" spans="1:9" ht="27.95" customHeight="1"/>
    <row r="3" spans="1:9" s="4" customFormat="1" ht="27.95" customHeight="1"/>
    <row r="4" spans="1:9" s="4" customFormat="1" ht="27.95" customHeight="1">
      <c r="A4" s="1772"/>
      <c r="B4" s="1772"/>
      <c r="C4" s="1772"/>
      <c r="D4" s="1772"/>
      <c r="E4" s="1772"/>
      <c r="F4" s="1772"/>
      <c r="G4" s="1772"/>
      <c r="H4" s="1772"/>
      <c r="I4" s="23"/>
    </row>
    <row r="5" spans="1:9" s="4" customFormat="1" ht="27.95" customHeight="1">
      <c r="A5" s="24"/>
      <c r="B5" s="24"/>
      <c r="C5" s="24"/>
      <c r="D5" s="24"/>
      <c r="E5" s="24"/>
      <c r="F5" s="24"/>
      <c r="G5" s="24"/>
      <c r="H5" s="24"/>
      <c r="I5" s="23"/>
    </row>
    <row r="6" spans="1:9" s="4" customFormat="1" ht="27.95" customHeight="1"/>
    <row r="7" spans="1:9" s="136" customFormat="1" ht="27.95" customHeight="1">
      <c r="B7" s="137" t="str">
        <f>'1.공사계획서'!A2</f>
        <v>1.  공  사  계  획  서</v>
      </c>
    </row>
    <row r="8" spans="1:9" s="136" customFormat="1" ht="27.95" customHeight="1">
      <c r="C8" s="136" t="s">
        <v>249</v>
      </c>
    </row>
    <row r="9" spans="1:9" s="136" customFormat="1" ht="27.95" customHeight="1">
      <c r="B9" s="136" t="str">
        <f>'2.공사설명서'!A2</f>
        <v>2.  공  사  설  명  서</v>
      </c>
    </row>
    <row r="10" spans="1:9" s="136" customFormat="1" ht="27.95" customHeight="1">
      <c r="B10" s="137"/>
    </row>
    <row r="11" spans="1:9" s="136" customFormat="1" ht="27.95" customHeight="1">
      <c r="B11" s="136" t="str">
        <f>'3.공사비총괄표'!A2</f>
        <v>3.  공  사  비  총  괄  표</v>
      </c>
    </row>
    <row r="12" spans="1:9" s="139" customFormat="1" ht="27.95" customHeight="1">
      <c r="A12" s="136"/>
      <c r="B12" s="136"/>
      <c r="C12" s="136"/>
      <c r="D12" s="136"/>
      <c r="E12" s="136"/>
      <c r="F12" s="136"/>
      <c r="G12" s="136"/>
      <c r="H12" s="136"/>
    </row>
    <row r="13" spans="1:9" s="136" customFormat="1" ht="27.95" customHeight="1">
      <c r="B13" s="136" t="str">
        <f>'4.자금계획서'!A2</f>
        <v>4.  자  금  계  획  서</v>
      </c>
    </row>
    <row r="14" spans="1:9" s="136" customFormat="1" ht="27.95" customHeight="1">
      <c r="B14" s="136" t="s">
        <v>250</v>
      </c>
    </row>
    <row r="15" spans="1:9" s="136" customFormat="1" ht="27.95" customHeight="1">
      <c r="B15" s="136" t="str">
        <f>'5.예정공정표'!A2</f>
        <v>5.  예  정  공  정  표</v>
      </c>
    </row>
    <row r="16" spans="1:9" s="136" customFormat="1" ht="27.95" customHeight="1">
      <c r="B16" s="137"/>
    </row>
    <row r="17" spans="1:8" s="139" customFormat="1" ht="27.95" customHeight="1">
      <c r="A17" s="136"/>
      <c r="B17" s="136" t="str">
        <f>'6.공사비예산서'!B2</f>
        <v>6.  공 사 비 예 산 서</v>
      </c>
      <c r="C17" s="136"/>
      <c r="D17" s="136"/>
      <c r="E17" s="136"/>
      <c r="F17" s="136"/>
      <c r="G17" s="136"/>
      <c r="H17" s="136"/>
    </row>
    <row r="18" spans="1:8" s="140" customFormat="1" ht="27.95" customHeight="1">
      <c r="A18" s="136"/>
      <c r="B18" s="136"/>
      <c r="C18" s="136"/>
      <c r="D18" s="136"/>
      <c r="E18" s="136"/>
      <c r="F18" s="136"/>
      <c r="G18" s="136"/>
      <c r="H18" s="136"/>
    </row>
    <row r="19" spans="1:8" s="139" customFormat="1" ht="27.95" customHeight="1">
      <c r="A19" s="136"/>
      <c r="B19" s="136" t="str">
        <f>'7.설계명세서'!A2</f>
        <v>7.  설  계  명  세  서</v>
      </c>
      <c r="C19" s="136"/>
      <c r="D19" s="136"/>
      <c r="E19" s="136"/>
      <c r="F19" s="136"/>
      <c r="G19" s="136"/>
      <c r="H19" s="136"/>
    </row>
    <row r="20" spans="1:8" s="139" customFormat="1" ht="27.95" customHeight="1">
      <c r="A20" s="136"/>
      <c r="B20" s="138"/>
      <c r="C20" s="136"/>
      <c r="D20" s="136"/>
      <c r="E20" s="136"/>
      <c r="F20" s="136"/>
      <c r="G20" s="136"/>
      <c r="H20" s="136"/>
    </row>
    <row r="21" spans="1:8" s="140" customFormat="1" ht="27.95" customHeight="1">
      <c r="A21" s="136"/>
      <c r="B21" s="136" t="s">
        <v>2619</v>
      </c>
      <c r="C21" s="136"/>
      <c r="D21" s="136"/>
      <c r="E21" s="136"/>
      <c r="F21" s="136"/>
      <c r="G21" s="136"/>
      <c r="H21" s="136"/>
    </row>
    <row r="22" spans="1:8" s="139" customFormat="1" ht="27.95" customHeight="1">
      <c r="A22" s="136"/>
      <c r="B22" s="138"/>
      <c r="C22" s="136"/>
      <c r="D22" s="136"/>
      <c r="E22" s="136"/>
      <c r="F22" s="136"/>
      <c r="G22" s="136"/>
      <c r="H22" s="136"/>
    </row>
    <row r="23" spans="1:8" s="140" customFormat="1" ht="27.95" customHeight="1">
      <c r="A23" s="136"/>
      <c r="B23" s="136" t="str">
        <f>'9.시방서표지'!A3</f>
        <v>9.  공  사  시  방  서</v>
      </c>
      <c r="C23" s="136"/>
      <c r="D23" s="136"/>
      <c r="E23" s="136"/>
      <c r="F23" s="136"/>
      <c r="G23" s="136"/>
      <c r="H23" s="136"/>
    </row>
    <row r="24" spans="1:8" s="140" customFormat="1" ht="27.95" customHeight="1">
      <c r="A24" s="136"/>
      <c r="B24" s="136"/>
      <c r="C24" s="136"/>
      <c r="D24" s="136"/>
      <c r="E24" s="136"/>
      <c r="F24" s="136"/>
      <c r="G24" s="136"/>
      <c r="H24" s="136"/>
    </row>
    <row r="25" spans="1:8" s="140" customFormat="1" ht="27.95" customHeight="1">
      <c r="A25" s="136"/>
      <c r="B25" s="136" t="str">
        <f>'10.시설도면'!A3</f>
        <v>10.  시   설   도   면</v>
      </c>
      <c r="C25" s="136"/>
      <c r="D25" s="136"/>
      <c r="E25" s="136"/>
      <c r="F25" s="136"/>
      <c r="G25" s="136"/>
      <c r="H25" s="136"/>
    </row>
    <row r="26" spans="1:8" s="140" customFormat="1" ht="27.95" customHeight="1">
      <c r="A26" s="136"/>
      <c r="B26" s="136"/>
      <c r="C26" s="136"/>
      <c r="D26" s="136"/>
      <c r="E26" s="136"/>
      <c r="F26" s="136"/>
      <c r="G26" s="136"/>
      <c r="H26" s="136"/>
    </row>
    <row r="27" spans="1:8" ht="27.95" customHeight="1"/>
    <row r="28" spans="1:8" ht="24.95" hidden="1" customHeight="1"/>
    <row r="35" spans="9:9">
      <c r="I35" s="4"/>
    </row>
    <row r="36" spans="9:9">
      <c r="I36" s="4"/>
    </row>
    <row r="37" spans="9:9">
      <c r="I37" s="4"/>
    </row>
    <row r="38" spans="9:9">
      <c r="I38" s="4"/>
    </row>
    <row r="39" spans="9:9">
      <c r="I39" s="4"/>
    </row>
    <row r="40" spans="9:9">
      <c r="I40" s="4"/>
    </row>
    <row r="41" spans="9:9">
      <c r="I41" s="4"/>
    </row>
    <row r="42" spans="9:9">
      <c r="I42" s="4"/>
    </row>
    <row r="43" spans="9:9">
      <c r="I43" s="4"/>
    </row>
    <row r="44" spans="9:9">
      <c r="I44" s="4"/>
    </row>
    <row r="45" spans="9:9">
      <c r="I45" s="4"/>
    </row>
    <row r="46" spans="9:9">
      <c r="I46" s="4"/>
    </row>
    <row r="47" spans="9:9">
      <c r="I47" s="4"/>
    </row>
  </sheetData>
  <mergeCells count="1">
    <mergeCell ref="A4:H4"/>
  </mergeCells>
  <phoneticPr fontId="35" type="noConversion"/>
  <printOptions horizontalCentered="1"/>
  <pageMargins left="0.39370078740157483" right="0.39370078740157483" top="0.78740157480314965" bottom="0.39370078740157483" header="0.31496062992125984" footer="0.31496062992125984"/>
  <pageSetup paperSize="9" scale="94"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F63"/>
  <sheetViews>
    <sheetView view="pageBreakPreview" topLeftCell="A13" zoomScale="85" zoomScaleNormal="100" zoomScaleSheetLayoutView="85" workbookViewId="0">
      <selection activeCell="L24" sqref="L24"/>
    </sheetView>
  </sheetViews>
  <sheetFormatPr defaultRowHeight="13.5"/>
  <cols>
    <col min="1" max="1" width="14.125" style="13" customWidth="1"/>
    <col min="2" max="5" width="21.625" style="13" customWidth="1"/>
    <col min="6" max="253" width="9" style="13"/>
    <col min="254" max="254" width="15.375" style="13" customWidth="1"/>
    <col min="255" max="255" width="10.625" style="13" customWidth="1"/>
    <col min="256" max="256" width="17.25" style="13" customWidth="1"/>
    <col min="257" max="257" width="15.875" style="13" bestFit="1" customWidth="1"/>
    <col min="258" max="258" width="10.125" style="13" customWidth="1"/>
    <col min="259" max="259" width="18.125" style="13" customWidth="1"/>
    <col min="260" max="509" width="9" style="13"/>
    <col min="510" max="510" width="15.375" style="13" customWidth="1"/>
    <col min="511" max="511" width="10.625" style="13" customWidth="1"/>
    <col min="512" max="512" width="17.25" style="13" customWidth="1"/>
    <col min="513" max="513" width="15.875" style="13" bestFit="1" customWidth="1"/>
    <col min="514" max="514" width="10.125" style="13" customWidth="1"/>
    <col min="515" max="515" width="18.125" style="13" customWidth="1"/>
    <col min="516" max="765" width="9" style="13"/>
    <col min="766" max="766" width="15.375" style="13" customWidth="1"/>
    <col min="767" max="767" width="10.625" style="13" customWidth="1"/>
    <col min="768" max="768" width="17.25" style="13" customWidth="1"/>
    <col min="769" max="769" width="15.875" style="13" bestFit="1" customWidth="1"/>
    <col min="770" max="770" width="10.125" style="13" customWidth="1"/>
    <col min="771" max="771" width="18.125" style="13" customWidth="1"/>
    <col min="772" max="1021" width="9" style="13"/>
    <col min="1022" max="1022" width="15.375" style="13" customWidth="1"/>
    <col min="1023" max="1023" width="10.625" style="13" customWidth="1"/>
    <col min="1024" max="1024" width="17.25" style="13" customWidth="1"/>
    <col min="1025" max="1025" width="15.875" style="13" bestFit="1" customWidth="1"/>
    <col min="1026" max="1026" width="10.125" style="13" customWidth="1"/>
    <col min="1027" max="1027" width="18.125" style="13" customWidth="1"/>
    <col min="1028" max="1277" width="9" style="13"/>
    <col min="1278" max="1278" width="15.375" style="13" customWidth="1"/>
    <col min="1279" max="1279" width="10.625" style="13" customWidth="1"/>
    <col min="1280" max="1280" width="17.25" style="13" customWidth="1"/>
    <col min="1281" max="1281" width="15.875" style="13" bestFit="1" customWidth="1"/>
    <col min="1282" max="1282" width="10.125" style="13" customWidth="1"/>
    <col min="1283" max="1283" width="18.125" style="13" customWidth="1"/>
    <col min="1284" max="1533" width="9" style="13"/>
    <col min="1534" max="1534" width="15.375" style="13" customWidth="1"/>
    <col min="1535" max="1535" width="10.625" style="13" customWidth="1"/>
    <col min="1536" max="1536" width="17.25" style="13" customWidth="1"/>
    <col min="1537" max="1537" width="15.875" style="13" bestFit="1" customWidth="1"/>
    <col min="1538" max="1538" width="10.125" style="13" customWidth="1"/>
    <col min="1539" max="1539" width="18.125" style="13" customWidth="1"/>
    <col min="1540" max="1789" width="9" style="13"/>
    <col min="1790" max="1790" width="15.375" style="13" customWidth="1"/>
    <col min="1791" max="1791" width="10.625" style="13" customWidth="1"/>
    <col min="1792" max="1792" width="17.25" style="13" customWidth="1"/>
    <col min="1793" max="1793" width="15.875" style="13" bestFit="1" customWidth="1"/>
    <col min="1794" max="1794" width="10.125" style="13" customWidth="1"/>
    <col min="1795" max="1795" width="18.125" style="13" customWidth="1"/>
    <col min="1796" max="2045" width="9" style="13"/>
    <col min="2046" max="2046" width="15.375" style="13" customWidth="1"/>
    <col min="2047" max="2047" width="10.625" style="13" customWidth="1"/>
    <col min="2048" max="2048" width="17.25" style="13" customWidth="1"/>
    <col min="2049" max="2049" width="15.875" style="13" bestFit="1" customWidth="1"/>
    <col min="2050" max="2050" width="10.125" style="13" customWidth="1"/>
    <col min="2051" max="2051" width="18.125" style="13" customWidth="1"/>
    <col min="2052" max="2301" width="9" style="13"/>
    <col min="2302" max="2302" width="15.375" style="13" customWidth="1"/>
    <col min="2303" max="2303" width="10.625" style="13" customWidth="1"/>
    <col min="2304" max="2304" width="17.25" style="13" customWidth="1"/>
    <col min="2305" max="2305" width="15.875" style="13" bestFit="1" customWidth="1"/>
    <col min="2306" max="2306" width="10.125" style="13" customWidth="1"/>
    <col min="2307" max="2307" width="18.125" style="13" customWidth="1"/>
    <col min="2308" max="2557" width="9" style="13"/>
    <col min="2558" max="2558" width="15.375" style="13" customWidth="1"/>
    <col min="2559" max="2559" width="10.625" style="13" customWidth="1"/>
    <col min="2560" max="2560" width="17.25" style="13" customWidth="1"/>
    <col min="2561" max="2561" width="15.875" style="13" bestFit="1" customWidth="1"/>
    <col min="2562" max="2562" width="10.125" style="13" customWidth="1"/>
    <col min="2563" max="2563" width="18.125" style="13" customWidth="1"/>
    <col min="2564" max="2813" width="9" style="13"/>
    <col min="2814" max="2814" width="15.375" style="13" customWidth="1"/>
    <col min="2815" max="2815" width="10.625" style="13" customWidth="1"/>
    <col min="2816" max="2816" width="17.25" style="13" customWidth="1"/>
    <col min="2817" max="2817" width="15.875" style="13" bestFit="1" customWidth="1"/>
    <col min="2818" max="2818" width="10.125" style="13" customWidth="1"/>
    <col min="2819" max="2819" width="18.125" style="13" customWidth="1"/>
    <col min="2820" max="3069" width="9" style="13"/>
    <col min="3070" max="3070" width="15.375" style="13" customWidth="1"/>
    <col min="3071" max="3071" width="10.625" style="13" customWidth="1"/>
    <col min="3072" max="3072" width="17.25" style="13" customWidth="1"/>
    <col min="3073" max="3073" width="15.875" style="13" bestFit="1" customWidth="1"/>
    <col min="3074" max="3074" width="10.125" style="13" customWidth="1"/>
    <col min="3075" max="3075" width="18.125" style="13" customWidth="1"/>
    <col min="3076" max="3325" width="9" style="13"/>
    <col min="3326" max="3326" width="15.375" style="13" customWidth="1"/>
    <col min="3327" max="3327" width="10.625" style="13" customWidth="1"/>
    <col min="3328" max="3328" width="17.25" style="13" customWidth="1"/>
    <col min="3329" max="3329" width="15.875" style="13" bestFit="1" customWidth="1"/>
    <col min="3330" max="3330" width="10.125" style="13" customWidth="1"/>
    <col min="3331" max="3331" width="18.125" style="13" customWidth="1"/>
    <col min="3332" max="3581" width="9" style="13"/>
    <col min="3582" max="3582" width="15.375" style="13" customWidth="1"/>
    <col min="3583" max="3583" width="10.625" style="13" customWidth="1"/>
    <col min="3584" max="3584" width="17.25" style="13" customWidth="1"/>
    <col min="3585" max="3585" width="15.875" style="13" bestFit="1" customWidth="1"/>
    <col min="3586" max="3586" width="10.125" style="13" customWidth="1"/>
    <col min="3587" max="3587" width="18.125" style="13" customWidth="1"/>
    <col min="3588" max="3837" width="9" style="13"/>
    <col min="3838" max="3838" width="15.375" style="13" customWidth="1"/>
    <col min="3839" max="3839" width="10.625" style="13" customWidth="1"/>
    <col min="3840" max="3840" width="17.25" style="13" customWidth="1"/>
    <col min="3841" max="3841" width="15.875" style="13" bestFit="1" customWidth="1"/>
    <col min="3842" max="3842" width="10.125" style="13" customWidth="1"/>
    <col min="3843" max="3843" width="18.125" style="13" customWidth="1"/>
    <col min="3844" max="4093" width="9" style="13"/>
    <col min="4094" max="4094" width="15.375" style="13" customWidth="1"/>
    <col min="4095" max="4095" width="10.625" style="13" customWidth="1"/>
    <col min="4096" max="4096" width="17.25" style="13" customWidth="1"/>
    <col min="4097" max="4097" width="15.875" style="13" bestFit="1" customWidth="1"/>
    <col min="4098" max="4098" width="10.125" style="13" customWidth="1"/>
    <col min="4099" max="4099" width="18.125" style="13" customWidth="1"/>
    <col min="4100" max="4349" width="9" style="13"/>
    <col min="4350" max="4350" width="15.375" style="13" customWidth="1"/>
    <col min="4351" max="4351" width="10.625" style="13" customWidth="1"/>
    <col min="4352" max="4352" width="17.25" style="13" customWidth="1"/>
    <col min="4353" max="4353" width="15.875" style="13" bestFit="1" customWidth="1"/>
    <col min="4354" max="4354" width="10.125" style="13" customWidth="1"/>
    <col min="4355" max="4355" width="18.125" style="13" customWidth="1"/>
    <col min="4356" max="4605" width="9" style="13"/>
    <col min="4606" max="4606" width="15.375" style="13" customWidth="1"/>
    <col min="4607" max="4607" width="10.625" style="13" customWidth="1"/>
    <col min="4608" max="4608" width="17.25" style="13" customWidth="1"/>
    <col min="4609" max="4609" width="15.875" style="13" bestFit="1" customWidth="1"/>
    <col min="4610" max="4610" width="10.125" style="13" customWidth="1"/>
    <col min="4611" max="4611" width="18.125" style="13" customWidth="1"/>
    <col min="4612" max="4861" width="9" style="13"/>
    <col min="4862" max="4862" width="15.375" style="13" customWidth="1"/>
    <col min="4863" max="4863" width="10.625" style="13" customWidth="1"/>
    <col min="4864" max="4864" width="17.25" style="13" customWidth="1"/>
    <col min="4865" max="4865" width="15.875" style="13" bestFit="1" customWidth="1"/>
    <col min="4866" max="4866" width="10.125" style="13" customWidth="1"/>
    <col min="4867" max="4867" width="18.125" style="13" customWidth="1"/>
    <col min="4868" max="5117" width="9" style="13"/>
    <col min="5118" max="5118" width="15.375" style="13" customWidth="1"/>
    <col min="5119" max="5119" width="10.625" style="13" customWidth="1"/>
    <col min="5120" max="5120" width="17.25" style="13" customWidth="1"/>
    <col min="5121" max="5121" width="15.875" style="13" bestFit="1" customWidth="1"/>
    <col min="5122" max="5122" width="10.125" style="13" customWidth="1"/>
    <col min="5123" max="5123" width="18.125" style="13" customWidth="1"/>
    <col min="5124" max="5373" width="9" style="13"/>
    <col min="5374" max="5374" width="15.375" style="13" customWidth="1"/>
    <col min="5375" max="5375" width="10.625" style="13" customWidth="1"/>
    <col min="5376" max="5376" width="17.25" style="13" customWidth="1"/>
    <col min="5377" max="5377" width="15.875" style="13" bestFit="1" customWidth="1"/>
    <col min="5378" max="5378" width="10.125" style="13" customWidth="1"/>
    <col min="5379" max="5379" width="18.125" style="13" customWidth="1"/>
    <col min="5380" max="5629" width="9" style="13"/>
    <col min="5630" max="5630" width="15.375" style="13" customWidth="1"/>
    <col min="5631" max="5631" width="10.625" style="13" customWidth="1"/>
    <col min="5632" max="5632" width="17.25" style="13" customWidth="1"/>
    <col min="5633" max="5633" width="15.875" style="13" bestFit="1" customWidth="1"/>
    <col min="5634" max="5634" width="10.125" style="13" customWidth="1"/>
    <col min="5635" max="5635" width="18.125" style="13" customWidth="1"/>
    <col min="5636" max="5885" width="9" style="13"/>
    <col min="5886" max="5886" width="15.375" style="13" customWidth="1"/>
    <col min="5887" max="5887" width="10.625" style="13" customWidth="1"/>
    <col min="5888" max="5888" width="17.25" style="13" customWidth="1"/>
    <col min="5889" max="5889" width="15.875" style="13" bestFit="1" customWidth="1"/>
    <col min="5890" max="5890" width="10.125" style="13" customWidth="1"/>
    <col min="5891" max="5891" width="18.125" style="13" customWidth="1"/>
    <col min="5892" max="6141" width="9" style="13"/>
    <col min="6142" max="6142" width="15.375" style="13" customWidth="1"/>
    <col min="6143" max="6143" width="10.625" style="13" customWidth="1"/>
    <col min="6144" max="6144" width="17.25" style="13" customWidth="1"/>
    <col min="6145" max="6145" width="15.875" style="13" bestFit="1" customWidth="1"/>
    <col min="6146" max="6146" width="10.125" style="13" customWidth="1"/>
    <col min="6147" max="6147" width="18.125" style="13" customWidth="1"/>
    <col min="6148" max="6397" width="9" style="13"/>
    <col min="6398" max="6398" width="15.375" style="13" customWidth="1"/>
    <col min="6399" max="6399" width="10.625" style="13" customWidth="1"/>
    <col min="6400" max="6400" width="17.25" style="13" customWidth="1"/>
    <col min="6401" max="6401" width="15.875" style="13" bestFit="1" customWidth="1"/>
    <col min="6402" max="6402" width="10.125" style="13" customWidth="1"/>
    <col min="6403" max="6403" width="18.125" style="13" customWidth="1"/>
    <col min="6404" max="6653" width="9" style="13"/>
    <col min="6654" max="6654" width="15.375" style="13" customWidth="1"/>
    <col min="6655" max="6655" width="10.625" style="13" customWidth="1"/>
    <col min="6656" max="6656" width="17.25" style="13" customWidth="1"/>
    <col min="6657" max="6657" width="15.875" style="13" bestFit="1" customWidth="1"/>
    <col min="6658" max="6658" width="10.125" style="13" customWidth="1"/>
    <col min="6659" max="6659" width="18.125" style="13" customWidth="1"/>
    <col min="6660" max="6909" width="9" style="13"/>
    <col min="6910" max="6910" width="15.375" style="13" customWidth="1"/>
    <col min="6911" max="6911" width="10.625" style="13" customWidth="1"/>
    <col min="6912" max="6912" width="17.25" style="13" customWidth="1"/>
    <col min="6913" max="6913" width="15.875" style="13" bestFit="1" customWidth="1"/>
    <col min="6914" max="6914" width="10.125" style="13" customWidth="1"/>
    <col min="6915" max="6915" width="18.125" style="13" customWidth="1"/>
    <col min="6916" max="7165" width="9" style="13"/>
    <col min="7166" max="7166" width="15.375" style="13" customWidth="1"/>
    <col min="7167" max="7167" width="10.625" style="13" customWidth="1"/>
    <col min="7168" max="7168" width="17.25" style="13" customWidth="1"/>
    <col min="7169" max="7169" width="15.875" style="13" bestFit="1" customWidth="1"/>
    <col min="7170" max="7170" width="10.125" style="13" customWidth="1"/>
    <col min="7171" max="7171" width="18.125" style="13" customWidth="1"/>
    <col min="7172" max="7421" width="9" style="13"/>
    <col min="7422" max="7422" width="15.375" style="13" customWidth="1"/>
    <col min="7423" max="7423" width="10.625" style="13" customWidth="1"/>
    <col min="7424" max="7424" width="17.25" style="13" customWidth="1"/>
    <col min="7425" max="7425" width="15.875" style="13" bestFit="1" customWidth="1"/>
    <col min="7426" max="7426" width="10.125" style="13" customWidth="1"/>
    <col min="7427" max="7427" width="18.125" style="13" customWidth="1"/>
    <col min="7428" max="7677" width="9" style="13"/>
    <col min="7678" max="7678" width="15.375" style="13" customWidth="1"/>
    <col min="7679" max="7679" width="10.625" style="13" customWidth="1"/>
    <col min="7680" max="7680" width="17.25" style="13" customWidth="1"/>
    <col min="7681" max="7681" width="15.875" style="13" bestFit="1" customWidth="1"/>
    <col min="7682" max="7682" width="10.125" style="13" customWidth="1"/>
    <col min="7683" max="7683" width="18.125" style="13" customWidth="1"/>
    <col min="7684" max="7933" width="9" style="13"/>
    <col min="7934" max="7934" width="15.375" style="13" customWidth="1"/>
    <col min="7935" max="7935" width="10.625" style="13" customWidth="1"/>
    <col min="7936" max="7936" width="17.25" style="13" customWidth="1"/>
    <col min="7937" max="7937" width="15.875" style="13" bestFit="1" customWidth="1"/>
    <col min="7938" max="7938" width="10.125" style="13" customWidth="1"/>
    <col min="7939" max="7939" width="18.125" style="13" customWidth="1"/>
    <col min="7940" max="8189" width="9" style="13"/>
    <col min="8190" max="8190" width="15.375" style="13" customWidth="1"/>
    <col min="8191" max="8191" width="10.625" style="13" customWidth="1"/>
    <col min="8192" max="8192" width="17.25" style="13" customWidth="1"/>
    <col min="8193" max="8193" width="15.875" style="13" bestFit="1" customWidth="1"/>
    <col min="8194" max="8194" width="10.125" style="13" customWidth="1"/>
    <col min="8195" max="8195" width="18.125" style="13" customWidth="1"/>
    <col min="8196" max="8445" width="9" style="13"/>
    <col min="8446" max="8446" width="15.375" style="13" customWidth="1"/>
    <col min="8447" max="8447" width="10.625" style="13" customWidth="1"/>
    <col min="8448" max="8448" width="17.25" style="13" customWidth="1"/>
    <col min="8449" max="8449" width="15.875" style="13" bestFit="1" customWidth="1"/>
    <col min="8450" max="8450" width="10.125" style="13" customWidth="1"/>
    <col min="8451" max="8451" width="18.125" style="13" customWidth="1"/>
    <col min="8452" max="8701" width="9" style="13"/>
    <col min="8702" max="8702" width="15.375" style="13" customWidth="1"/>
    <col min="8703" max="8703" width="10.625" style="13" customWidth="1"/>
    <col min="8704" max="8704" width="17.25" style="13" customWidth="1"/>
    <col min="8705" max="8705" width="15.875" style="13" bestFit="1" customWidth="1"/>
    <col min="8706" max="8706" width="10.125" style="13" customWidth="1"/>
    <col min="8707" max="8707" width="18.125" style="13" customWidth="1"/>
    <col min="8708" max="8957" width="9" style="13"/>
    <col min="8958" max="8958" width="15.375" style="13" customWidth="1"/>
    <col min="8959" max="8959" width="10.625" style="13" customWidth="1"/>
    <col min="8960" max="8960" width="17.25" style="13" customWidth="1"/>
    <col min="8961" max="8961" width="15.875" style="13" bestFit="1" customWidth="1"/>
    <col min="8962" max="8962" width="10.125" style="13" customWidth="1"/>
    <col min="8963" max="8963" width="18.125" style="13" customWidth="1"/>
    <col min="8964" max="9213" width="9" style="13"/>
    <col min="9214" max="9214" width="15.375" style="13" customWidth="1"/>
    <col min="9215" max="9215" width="10.625" style="13" customWidth="1"/>
    <col min="9216" max="9216" width="17.25" style="13" customWidth="1"/>
    <col min="9217" max="9217" width="15.875" style="13" bestFit="1" customWidth="1"/>
    <col min="9218" max="9218" width="10.125" style="13" customWidth="1"/>
    <col min="9219" max="9219" width="18.125" style="13" customWidth="1"/>
    <col min="9220" max="9469" width="9" style="13"/>
    <col min="9470" max="9470" width="15.375" style="13" customWidth="1"/>
    <col min="9471" max="9471" width="10.625" style="13" customWidth="1"/>
    <col min="9472" max="9472" width="17.25" style="13" customWidth="1"/>
    <col min="9473" max="9473" width="15.875" style="13" bestFit="1" customWidth="1"/>
    <col min="9474" max="9474" width="10.125" style="13" customWidth="1"/>
    <col min="9475" max="9475" width="18.125" style="13" customWidth="1"/>
    <col min="9476" max="9725" width="9" style="13"/>
    <col min="9726" max="9726" width="15.375" style="13" customWidth="1"/>
    <col min="9727" max="9727" width="10.625" style="13" customWidth="1"/>
    <col min="9728" max="9728" width="17.25" style="13" customWidth="1"/>
    <col min="9729" max="9729" width="15.875" style="13" bestFit="1" customWidth="1"/>
    <col min="9730" max="9730" width="10.125" style="13" customWidth="1"/>
    <col min="9731" max="9731" width="18.125" style="13" customWidth="1"/>
    <col min="9732" max="9981" width="9" style="13"/>
    <col min="9982" max="9982" width="15.375" style="13" customWidth="1"/>
    <col min="9983" max="9983" width="10.625" style="13" customWidth="1"/>
    <col min="9984" max="9984" width="17.25" style="13" customWidth="1"/>
    <col min="9985" max="9985" width="15.875" style="13" bestFit="1" customWidth="1"/>
    <col min="9986" max="9986" width="10.125" style="13" customWidth="1"/>
    <col min="9987" max="9987" width="18.125" style="13" customWidth="1"/>
    <col min="9988" max="10237" width="9" style="13"/>
    <col min="10238" max="10238" width="15.375" style="13" customWidth="1"/>
    <col min="10239" max="10239" width="10.625" style="13" customWidth="1"/>
    <col min="10240" max="10240" width="17.25" style="13" customWidth="1"/>
    <col min="10241" max="10241" width="15.875" style="13" bestFit="1" customWidth="1"/>
    <col min="10242" max="10242" width="10.125" style="13" customWidth="1"/>
    <col min="10243" max="10243" width="18.125" style="13" customWidth="1"/>
    <col min="10244" max="10493" width="9" style="13"/>
    <col min="10494" max="10494" width="15.375" style="13" customWidth="1"/>
    <col min="10495" max="10495" width="10.625" style="13" customWidth="1"/>
    <col min="10496" max="10496" width="17.25" style="13" customWidth="1"/>
    <col min="10497" max="10497" width="15.875" style="13" bestFit="1" customWidth="1"/>
    <col min="10498" max="10498" width="10.125" style="13" customWidth="1"/>
    <col min="10499" max="10499" width="18.125" style="13" customWidth="1"/>
    <col min="10500" max="10749" width="9" style="13"/>
    <col min="10750" max="10750" width="15.375" style="13" customWidth="1"/>
    <col min="10751" max="10751" width="10.625" style="13" customWidth="1"/>
    <col min="10752" max="10752" width="17.25" style="13" customWidth="1"/>
    <col min="10753" max="10753" width="15.875" style="13" bestFit="1" customWidth="1"/>
    <col min="10754" max="10754" width="10.125" style="13" customWidth="1"/>
    <col min="10755" max="10755" width="18.125" style="13" customWidth="1"/>
    <col min="10756" max="11005" width="9" style="13"/>
    <col min="11006" max="11006" width="15.375" style="13" customWidth="1"/>
    <col min="11007" max="11007" width="10.625" style="13" customWidth="1"/>
    <col min="11008" max="11008" width="17.25" style="13" customWidth="1"/>
    <col min="11009" max="11009" width="15.875" style="13" bestFit="1" customWidth="1"/>
    <col min="11010" max="11010" width="10.125" style="13" customWidth="1"/>
    <col min="11011" max="11011" width="18.125" style="13" customWidth="1"/>
    <col min="11012" max="11261" width="9" style="13"/>
    <col min="11262" max="11262" width="15.375" style="13" customWidth="1"/>
    <col min="11263" max="11263" width="10.625" style="13" customWidth="1"/>
    <col min="11264" max="11264" width="17.25" style="13" customWidth="1"/>
    <col min="11265" max="11265" width="15.875" style="13" bestFit="1" customWidth="1"/>
    <col min="11266" max="11266" width="10.125" style="13" customWidth="1"/>
    <col min="11267" max="11267" width="18.125" style="13" customWidth="1"/>
    <col min="11268" max="11517" width="9" style="13"/>
    <col min="11518" max="11518" width="15.375" style="13" customWidth="1"/>
    <col min="11519" max="11519" width="10.625" style="13" customWidth="1"/>
    <col min="11520" max="11520" width="17.25" style="13" customWidth="1"/>
    <col min="11521" max="11521" width="15.875" style="13" bestFit="1" customWidth="1"/>
    <col min="11522" max="11522" width="10.125" style="13" customWidth="1"/>
    <col min="11523" max="11523" width="18.125" style="13" customWidth="1"/>
    <col min="11524" max="11773" width="9" style="13"/>
    <col min="11774" max="11774" width="15.375" style="13" customWidth="1"/>
    <col min="11775" max="11775" width="10.625" style="13" customWidth="1"/>
    <col min="11776" max="11776" width="17.25" style="13" customWidth="1"/>
    <col min="11777" max="11777" width="15.875" style="13" bestFit="1" customWidth="1"/>
    <col min="11778" max="11778" width="10.125" style="13" customWidth="1"/>
    <col min="11779" max="11779" width="18.125" style="13" customWidth="1"/>
    <col min="11780" max="12029" width="9" style="13"/>
    <col min="12030" max="12030" width="15.375" style="13" customWidth="1"/>
    <col min="12031" max="12031" width="10.625" style="13" customWidth="1"/>
    <col min="12032" max="12032" width="17.25" style="13" customWidth="1"/>
    <col min="12033" max="12033" width="15.875" style="13" bestFit="1" customWidth="1"/>
    <col min="12034" max="12034" width="10.125" style="13" customWidth="1"/>
    <col min="12035" max="12035" width="18.125" style="13" customWidth="1"/>
    <col min="12036" max="12285" width="9" style="13"/>
    <col min="12286" max="12286" width="15.375" style="13" customWidth="1"/>
    <col min="12287" max="12287" width="10.625" style="13" customWidth="1"/>
    <col min="12288" max="12288" width="17.25" style="13" customWidth="1"/>
    <col min="12289" max="12289" width="15.875" style="13" bestFit="1" customWidth="1"/>
    <col min="12290" max="12290" width="10.125" style="13" customWidth="1"/>
    <col min="12291" max="12291" width="18.125" style="13" customWidth="1"/>
    <col min="12292" max="12541" width="9" style="13"/>
    <col min="12542" max="12542" width="15.375" style="13" customWidth="1"/>
    <col min="12543" max="12543" width="10.625" style="13" customWidth="1"/>
    <col min="12544" max="12544" width="17.25" style="13" customWidth="1"/>
    <col min="12545" max="12545" width="15.875" style="13" bestFit="1" customWidth="1"/>
    <col min="12546" max="12546" width="10.125" style="13" customWidth="1"/>
    <col min="12547" max="12547" width="18.125" style="13" customWidth="1"/>
    <col min="12548" max="12797" width="9" style="13"/>
    <col min="12798" max="12798" width="15.375" style="13" customWidth="1"/>
    <col min="12799" max="12799" width="10.625" style="13" customWidth="1"/>
    <col min="12800" max="12800" width="17.25" style="13" customWidth="1"/>
    <col min="12801" max="12801" width="15.875" style="13" bestFit="1" customWidth="1"/>
    <col min="12802" max="12802" width="10.125" style="13" customWidth="1"/>
    <col min="12803" max="12803" width="18.125" style="13" customWidth="1"/>
    <col min="12804" max="13053" width="9" style="13"/>
    <col min="13054" max="13054" width="15.375" style="13" customWidth="1"/>
    <col min="13055" max="13055" width="10.625" style="13" customWidth="1"/>
    <col min="13056" max="13056" width="17.25" style="13" customWidth="1"/>
    <col min="13057" max="13057" width="15.875" style="13" bestFit="1" customWidth="1"/>
    <col min="13058" max="13058" width="10.125" style="13" customWidth="1"/>
    <col min="13059" max="13059" width="18.125" style="13" customWidth="1"/>
    <col min="13060" max="13309" width="9" style="13"/>
    <col min="13310" max="13310" width="15.375" style="13" customWidth="1"/>
    <col min="13311" max="13311" width="10.625" style="13" customWidth="1"/>
    <col min="13312" max="13312" width="17.25" style="13" customWidth="1"/>
    <col min="13313" max="13313" width="15.875" style="13" bestFit="1" customWidth="1"/>
    <col min="13314" max="13314" width="10.125" style="13" customWidth="1"/>
    <col min="13315" max="13315" width="18.125" style="13" customWidth="1"/>
    <col min="13316" max="13565" width="9" style="13"/>
    <col min="13566" max="13566" width="15.375" style="13" customWidth="1"/>
    <col min="13567" max="13567" width="10.625" style="13" customWidth="1"/>
    <col min="13568" max="13568" width="17.25" style="13" customWidth="1"/>
    <col min="13569" max="13569" width="15.875" style="13" bestFit="1" customWidth="1"/>
    <col min="13570" max="13570" width="10.125" style="13" customWidth="1"/>
    <col min="13571" max="13571" width="18.125" style="13" customWidth="1"/>
    <col min="13572" max="13821" width="9" style="13"/>
    <col min="13822" max="13822" width="15.375" style="13" customWidth="1"/>
    <col min="13823" max="13823" width="10.625" style="13" customWidth="1"/>
    <col min="13824" max="13824" width="17.25" style="13" customWidth="1"/>
    <col min="13825" max="13825" width="15.875" style="13" bestFit="1" customWidth="1"/>
    <col min="13826" max="13826" width="10.125" style="13" customWidth="1"/>
    <col min="13827" max="13827" width="18.125" style="13" customWidth="1"/>
    <col min="13828" max="14077" width="9" style="13"/>
    <col min="14078" max="14078" width="15.375" style="13" customWidth="1"/>
    <col min="14079" max="14079" width="10.625" style="13" customWidth="1"/>
    <col min="14080" max="14080" width="17.25" style="13" customWidth="1"/>
    <col min="14081" max="14081" width="15.875" style="13" bestFit="1" customWidth="1"/>
    <col min="14082" max="14082" width="10.125" style="13" customWidth="1"/>
    <col min="14083" max="14083" width="18.125" style="13" customWidth="1"/>
    <col min="14084" max="14333" width="9" style="13"/>
    <col min="14334" max="14334" width="15.375" style="13" customWidth="1"/>
    <col min="14335" max="14335" width="10.625" style="13" customWidth="1"/>
    <col min="14336" max="14336" width="17.25" style="13" customWidth="1"/>
    <col min="14337" max="14337" width="15.875" style="13" bestFit="1" customWidth="1"/>
    <col min="14338" max="14338" width="10.125" style="13" customWidth="1"/>
    <col min="14339" max="14339" width="18.125" style="13" customWidth="1"/>
    <col min="14340" max="14589" width="9" style="13"/>
    <col min="14590" max="14590" width="15.375" style="13" customWidth="1"/>
    <col min="14591" max="14591" width="10.625" style="13" customWidth="1"/>
    <col min="14592" max="14592" width="17.25" style="13" customWidth="1"/>
    <col min="14593" max="14593" width="15.875" style="13" bestFit="1" customWidth="1"/>
    <col min="14594" max="14594" width="10.125" style="13" customWidth="1"/>
    <col min="14595" max="14595" width="18.125" style="13" customWidth="1"/>
    <col min="14596" max="14845" width="9" style="13"/>
    <col min="14846" max="14846" width="15.375" style="13" customWidth="1"/>
    <col min="14847" max="14847" width="10.625" style="13" customWidth="1"/>
    <col min="14848" max="14848" width="17.25" style="13" customWidth="1"/>
    <col min="14849" max="14849" width="15.875" style="13" bestFit="1" customWidth="1"/>
    <col min="14850" max="14850" width="10.125" style="13" customWidth="1"/>
    <col min="14851" max="14851" width="18.125" style="13" customWidth="1"/>
    <col min="14852" max="15101" width="9" style="13"/>
    <col min="15102" max="15102" width="15.375" style="13" customWidth="1"/>
    <col min="15103" max="15103" width="10.625" style="13" customWidth="1"/>
    <col min="15104" max="15104" width="17.25" style="13" customWidth="1"/>
    <col min="15105" max="15105" width="15.875" style="13" bestFit="1" customWidth="1"/>
    <col min="15106" max="15106" width="10.125" style="13" customWidth="1"/>
    <col min="15107" max="15107" width="18.125" style="13" customWidth="1"/>
    <col min="15108" max="15357" width="9" style="13"/>
    <col min="15358" max="15358" width="15.375" style="13" customWidth="1"/>
    <col min="15359" max="15359" width="10.625" style="13" customWidth="1"/>
    <col min="15360" max="15360" width="17.25" style="13" customWidth="1"/>
    <col min="15361" max="15361" width="15.875" style="13" bestFit="1" customWidth="1"/>
    <col min="15362" max="15362" width="10.125" style="13" customWidth="1"/>
    <col min="15363" max="15363" width="18.125" style="13" customWidth="1"/>
    <col min="15364" max="15613" width="9" style="13"/>
    <col min="15614" max="15614" width="15.375" style="13" customWidth="1"/>
    <col min="15615" max="15615" width="10.625" style="13" customWidth="1"/>
    <col min="15616" max="15616" width="17.25" style="13" customWidth="1"/>
    <col min="15617" max="15617" width="15.875" style="13" bestFit="1" customWidth="1"/>
    <col min="15618" max="15618" width="10.125" style="13" customWidth="1"/>
    <col min="15619" max="15619" width="18.125" style="13" customWidth="1"/>
    <col min="15620" max="15869" width="9" style="13"/>
    <col min="15870" max="15870" width="15.375" style="13" customWidth="1"/>
    <col min="15871" max="15871" width="10.625" style="13" customWidth="1"/>
    <col min="15872" max="15872" width="17.25" style="13" customWidth="1"/>
    <col min="15873" max="15873" width="15.875" style="13" bestFit="1" customWidth="1"/>
    <col min="15874" max="15874" width="10.125" style="13" customWidth="1"/>
    <col min="15875" max="15875" width="18.125" style="13" customWidth="1"/>
    <col min="15876" max="16125" width="9" style="13"/>
    <col min="16126" max="16126" width="15.375" style="13" customWidth="1"/>
    <col min="16127" max="16127" width="10.625" style="13" customWidth="1"/>
    <col min="16128" max="16128" width="17.25" style="13" customWidth="1"/>
    <col min="16129" max="16129" width="15.875" style="13" bestFit="1" customWidth="1"/>
    <col min="16130" max="16130" width="10.125" style="13" customWidth="1"/>
    <col min="16131" max="16131" width="18.125" style="13" customWidth="1"/>
    <col min="16132" max="16384" width="9" style="13"/>
  </cols>
  <sheetData>
    <row r="1" spans="1:6" ht="5.0999999999999996" customHeight="1"/>
    <row r="2" spans="1:6" s="96" customFormat="1" ht="39.950000000000003" customHeight="1">
      <c r="A2" s="1773" t="s">
        <v>2612</v>
      </c>
      <c r="B2" s="1774"/>
      <c r="C2" s="1774"/>
      <c r="D2" s="1774"/>
      <c r="E2" s="1774"/>
    </row>
    <row r="3" spans="1:6" s="21" customFormat="1" ht="9.9499999999999993" customHeight="1"/>
    <row r="4" spans="1:6" s="10" customFormat="1" ht="30" customHeight="1">
      <c r="A4" s="70" t="s">
        <v>245</v>
      </c>
      <c r="B4" s="700" t="s">
        <v>2629</v>
      </c>
      <c r="C4" s="97"/>
      <c r="D4" s="97"/>
      <c r="E4" s="98"/>
    </row>
    <row r="5" spans="1:6" s="10" customFormat="1" ht="30" customHeight="1">
      <c r="A5" s="271" t="s">
        <v>317</v>
      </c>
      <c r="B5" s="273">
        <f>C9+C10</f>
        <v>1559803143.8800001</v>
      </c>
      <c r="C5" s="274" t="s">
        <v>760</v>
      </c>
      <c r="D5" s="275"/>
      <c r="E5" s="272"/>
      <c r="F5" s="157"/>
    </row>
    <row r="6" spans="1:6" s="10" customFormat="1" ht="30" customHeight="1">
      <c r="A6" s="271" t="s">
        <v>761</v>
      </c>
      <c r="B6" s="273">
        <f>ROUND((C9+C10)*1.1,1)</f>
        <v>1715783458.3</v>
      </c>
      <c r="C6" s="274" t="s">
        <v>1411</v>
      </c>
      <c r="D6" s="275"/>
      <c r="E6" s="272"/>
      <c r="F6" s="157"/>
    </row>
    <row r="7" spans="1:6" s="10" customFormat="1" ht="30" customHeight="1">
      <c r="A7" s="276" t="s">
        <v>762</v>
      </c>
      <c r="B7" s="277">
        <f>'6.공사비예산서'!$E9</f>
        <v>502844090.88</v>
      </c>
      <c r="C7" s="278" t="s">
        <v>763</v>
      </c>
      <c r="D7" s="279"/>
      <c r="E7" s="280"/>
      <c r="F7" s="157"/>
    </row>
    <row r="8" spans="1:6" s="10" customFormat="1" ht="30" customHeight="1">
      <c r="A8" s="1787" t="s">
        <v>247</v>
      </c>
      <c r="B8" s="281"/>
      <c r="C8" s="282"/>
      <c r="D8" s="279" t="s">
        <v>319</v>
      </c>
      <c r="E8" s="283">
        <f>'6.공사비예산서'!$E14</f>
        <v>1125295538.8800001</v>
      </c>
    </row>
    <row r="9" spans="1:6" s="10" customFormat="1" ht="30" customHeight="1">
      <c r="A9" s="1788"/>
      <c r="B9" s="101" t="s">
        <v>764</v>
      </c>
      <c r="C9" s="154">
        <f>'6.공사비예산서'!$E8</f>
        <v>1056959053</v>
      </c>
      <c r="D9" s="41" t="s">
        <v>765</v>
      </c>
      <c r="E9" s="155">
        <f>'6.공사비예산서'!$E30</f>
        <v>276203502</v>
      </c>
    </row>
    <row r="10" spans="1:6" s="10" customFormat="1" ht="30" customHeight="1">
      <c r="A10" s="1788"/>
      <c r="B10" s="101" t="s">
        <v>766</v>
      </c>
      <c r="C10" s="154">
        <f>'6.공사비예산서'!$E9</f>
        <v>502844090.88</v>
      </c>
      <c r="D10" s="41" t="s">
        <v>767</v>
      </c>
      <c r="E10" s="155">
        <f>'6.공사비예산서'!$J14</f>
        <v>73421721</v>
      </c>
    </row>
    <row r="11" spans="1:6" s="10" customFormat="1" ht="30" customHeight="1">
      <c r="A11" s="1788"/>
      <c r="B11" s="101" t="s">
        <v>768</v>
      </c>
      <c r="C11" s="154">
        <f>'6.공사비예산서'!$E10</f>
        <v>50284409</v>
      </c>
      <c r="D11" s="41" t="s">
        <v>769</v>
      </c>
      <c r="E11" s="155">
        <f>'6.공사비예산서'!$J30</f>
        <v>33436936</v>
      </c>
    </row>
    <row r="12" spans="1:6" s="10" customFormat="1" ht="30" customHeight="1">
      <c r="A12" s="1789"/>
      <c r="B12" s="105"/>
      <c r="C12" s="156"/>
      <c r="D12" s="106" t="s">
        <v>320</v>
      </c>
      <c r="E12" s="630">
        <f>'6.공사비예산서'!$J32</f>
        <v>51445446</v>
      </c>
    </row>
    <row r="13" spans="1:6" s="10" customFormat="1" ht="30" customHeight="1">
      <c r="A13" s="1783" t="s">
        <v>3225</v>
      </c>
      <c r="B13" s="1784" t="s">
        <v>3212</v>
      </c>
      <c r="C13" s="1785"/>
      <c r="D13" s="1785"/>
      <c r="E13" s="1786"/>
    </row>
    <row r="14" spans="1:6" s="10" customFormat="1" ht="30" customHeight="1">
      <c r="A14" s="1783"/>
      <c r="B14" s="1784" t="s">
        <v>3213</v>
      </c>
      <c r="C14" s="1785"/>
      <c r="D14" s="1785"/>
      <c r="E14" s="1786"/>
    </row>
    <row r="15" spans="1:6" s="10" customFormat="1" ht="30" customHeight="1">
      <c r="A15" s="1783"/>
      <c r="B15" s="1784" t="s">
        <v>3211</v>
      </c>
      <c r="C15" s="1785"/>
      <c r="D15" s="1785"/>
      <c r="E15" s="1786"/>
    </row>
    <row r="16" spans="1:6" s="10" customFormat="1" ht="30" customHeight="1">
      <c r="A16" s="1783"/>
      <c r="B16" s="1784" t="s">
        <v>3210</v>
      </c>
      <c r="C16" s="1785"/>
      <c r="D16" s="1785"/>
      <c r="E16" s="1786"/>
    </row>
    <row r="17" spans="1:5" s="10" customFormat="1" ht="30" customHeight="1">
      <c r="A17" s="1783"/>
      <c r="B17" s="1784" t="s">
        <v>3374</v>
      </c>
      <c r="C17" s="1785"/>
      <c r="D17" s="1785"/>
      <c r="E17" s="1786"/>
    </row>
    <row r="18" spans="1:5" s="10" customFormat="1" ht="30" customHeight="1">
      <c r="A18" s="70" t="s">
        <v>244</v>
      </c>
      <c r="B18" s="698"/>
      <c r="C18" s="97"/>
      <c r="D18" s="97"/>
      <c r="E18" s="98"/>
    </row>
    <row r="19" spans="1:5" s="10" customFormat="1" ht="30" customHeight="1">
      <c r="A19" s="1780" t="s">
        <v>243</v>
      </c>
      <c r="B19" s="697" t="s">
        <v>3220</v>
      </c>
      <c r="C19" s="104"/>
      <c r="D19" s="99"/>
      <c r="E19" s="100"/>
    </row>
    <row r="20" spans="1:5" s="10" customFormat="1" ht="17.25">
      <c r="A20" s="1781"/>
      <c r="B20" s="101"/>
      <c r="C20" s="41"/>
      <c r="D20" s="41" t="s">
        <v>3222</v>
      </c>
      <c r="E20" s="102"/>
    </row>
    <row r="21" spans="1:5" s="10" customFormat="1" ht="30" customHeight="1">
      <c r="A21" s="1782"/>
      <c r="B21" s="105" t="s">
        <v>3221</v>
      </c>
      <c r="C21" s="747"/>
      <c r="D21" s="106"/>
      <c r="E21" s="107"/>
    </row>
    <row r="22" spans="1:5" s="10" customFormat="1" ht="30" customHeight="1">
      <c r="A22" s="70" t="s">
        <v>242</v>
      </c>
      <c r="B22" s="103" t="s">
        <v>125</v>
      </c>
      <c r="C22" s="97"/>
      <c r="D22" s="97"/>
      <c r="E22" s="98"/>
    </row>
    <row r="23" spans="1:5" s="10" customFormat="1" ht="30" customHeight="1">
      <c r="A23" s="70" t="s">
        <v>126</v>
      </c>
      <c r="B23" s="653" t="s">
        <v>2409</v>
      </c>
      <c r="C23" s="97"/>
      <c r="D23" s="97"/>
      <c r="E23" s="98"/>
    </row>
    <row r="24" spans="1:5" s="10" customFormat="1" ht="30" customHeight="1">
      <c r="A24" s="70" t="s">
        <v>127</v>
      </c>
      <c r="B24" s="654" t="s">
        <v>2410</v>
      </c>
      <c r="C24" s="97"/>
      <c r="D24" s="97"/>
      <c r="E24" s="98"/>
    </row>
    <row r="25" spans="1:5" s="10" customFormat="1" ht="30" customHeight="1">
      <c r="A25" s="70" t="s">
        <v>128</v>
      </c>
      <c r="B25" s="654" t="s">
        <v>2410</v>
      </c>
      <c r="C25" s="97"/>
      <c r="D25" s="97"/>
      <c r="E25" s="98"/>
    </row>
    <row r="26" spans="1:5" s="10" customFormat="1" ht="30" customHeight="1">
      <c r="A26" s="70" t="s">
        <v>129</v>
      </c>
      <c r="B26" s="1712" t="s">
        <v>3224</v>
      </c>
      <c r="C26" s="97"/>
      <c r="D26" s="97"/>
      <c r="E26" s="98"/>
    </row>
    <row r="27" spans="1:5" s="10" customFormat="1" ht="69.95" customHeight="1">
      <c r="A27" s="70" t="s">
        <v>246</v>
      </c>
      <c r="B27" s="1775" t="s">
        <v>318</v>
      </c>
      <c r="C27" s="1775"/>
      <c r="D27" s="1775"/>
      <c r="E27" s="1776"/>
    </row>
    <row r="28" spans="1:5" s="10" customFormat="1" ht="63.75" customHeight="1">
      <c r="A28" s="70" t="s">
        <v>248</v>
      </c>
      <c r="B28" s="1777"/>
      <c r="C28" s="1778"/>
      <c r="D28" s="1778"/>
      <c r="E28" s="1779"/>
    </row>
    <row r="29" spans="1:5" ht="9.9499999999999993" customHeight="1">
      <c r="A29" s="21"/>
      <c r="B29" s="21"/>
      <c r="C29" s="21"/>
      <c r="D29" s="21"/>
      <c r="E29" s="21"/>
    </row>
    <row r="30" spans="1:5">
      <c r="A30" s="21"/>
      <c r="B30" s="21"/>
      <c r="C30" s="21"/>
      <c r="D30" s="21"/>
      <c r="E30" s="21"/>
    </row>
    <row r="31" spans="1:5">
      <c r="A31" s="21"/>
      <c r="B31" s="21"/>
      <c r="C31" s="21"/>
      <c r="D31" s="21"/>
      <c r="E31" s="21"/>
    </row>
    <row r="32" spans="1:5">
      <c r="A32" s="21"/>
      <c r="B32" s="21"/>
      <c r="C32" s="21"/>
      <c r="D32" s="21"/>
      <c r="E32" s="21"/>
    </row>
    <row r="33" spans="1:5">
      <c r="A33" s="21"/>
      <c r="B33" s="21"/>
      <c r="C33" s="21"/>
      <c r="D33" s="21"/>
      <c r="E33" s="21"/>
    </row>
    <row r="34" spans="1:5">
      <c r="A34" s="21"/>
      <c r="B34" s="21"/>
      <c r="C34" s="21"/>
      <c r="D34" s="21"/>
      <c r="E34" s="21"/>
    </row>
    <row r="35" spans="1:5">
      <c r="A35" s="21"/>
      <c r="B35" s="21"/>
      <c r="C35" s="21"/>
      <c r="D35" s="21"/>
      <c r="E35" s="21"/>
    </row>
    <row r="36" spans="1:5">
      <c r="A36" s="21"/>
      <c r="B36" s="21"/>
      <c r="C36" s="21"/>
      <c r="D36" s="21"/>
      <c r="E36" s="21"/>
    </row>
    <row r="37" spans="1:5">
      <c r="A37" s="21"/>
      <c r="B37" s="21"/>
      <c r="C37" s="21"/>
      <c r="D37" s="21"/>
      <c r="E37" s="21"/>
    </row>
    <row r="38" spans="1:5">
      <c r="A38" s="21"/>
      <c r="B38" s="21"/>
      <c r="C38" s="21"/>
      <c r="D38" s="21"/>
      <c r="E38" s="21"/>
    </row>
    <row r="39" spans="1:5">
      <c r="A39" s="21"/>
      <c r="B39" s="21"/>
      <c r="C39" s="21"/>
      <c r="D39" s="21"/>
      <c r="E39" s="21"/>
    </row>
    <row r="40" spans="1:5">
      <c r="A40" s="21"/>
      <c r="B40" s="21"/>
      <c r="C40" s="21"/>
      <c r="D40" s="21"/>
      <c r="E40" s="21"/>
    </row>
    <row r="41" spans="1:5">
      <c r="A41" s="21"/>
      <c r="B41" s="21"/>
      <c r="C41" s="21"/>
      <c r="D41" s="21"/>
      <c r="E41" s="21"/>
    </row>
    <row r="42" spans="1:5">
      <c r="A42" s="21"/>
      <c r="B42" s="21"/>
      <c r="C42" s="21"/>
      <c r="D42" s="21"/>
      <c r="E42" s="21"/>
    </row>
    <row r="43" spans="1:5">
      <c r="A43" s="21"/>
      <c r="B43" s="21"/>
      <c r="C43" s="21"/>
      <c r="D43" s="21"/>
      <c r="E43" s="21"/>
    </row>
    <row r="44" spans="1:5">
      <c r="A44" s="21"/>
      <c r="B44" s="21"/>
      <c r="C44" s="21"/>
      <c r="D44" s="21"/>
      <c r="E44" s="21"/>
    </row>
    <row r="45" spans="1:5">
      <c r="A45" s="21"/>
      <c r="B45" s="21"/>
      <c r="C45" s="21"/>
      <c r="D45" s="21"/>
      <c r="E45" s="21"/>
    </row>
    <row r="46" spans="1:5">
      <c r="A46" s="21"/>
      <c r="B46" s="21"/>
      <c r="C46" s="21"/>
      <c r="D46" s="21"/>
      <c r="E46" s="21"/>
    </row>
    <row r="47" spans="1:5">
      <c r="A47" s="21"/>
      <c r="B47" s="21"/>
      <c r="C47" s="21"/>
      <c r="D47" s="21"/>
      <c r="E47" s="21"/>
    </row>
    <row r="48" spans="1:5">
      <c r="A48" s="21"/>
      <c r="B48" s="21"/>
      <c r="C48" s="21"/>
      <c r="D48" s="21"/>
      <c r="E48" s="21"/>
    </row>
    <row r="49" spans="1:5">
      <c r="A49" s="21"/>
      <c r="B49" s="21"/>
      <c r="C49" s="21"/>
      <c r="D49" s="21"/>
      <c r="E49" s="21"/>
    </row>
    <row r="50" spans="1:5">
      <c r="A50" s="21"/>
      <c r="B50" s="21"/>
      <c r="C50" s="21"/>
      <c r="D50" s="21"/>
      <c r="E50" s="21"/>
    </row>
    <row r="51" spans="1:5">
      <c r="A51" s="21"/>
      <c r="B51" s="21"/>
      <c r="C51" s="21"/>
      <c r="D51" s="21"/>
      <c r="E51" s="21"/>
    </row>
    <row r="52" spans="1:5">
      <c r="A52" s="21"/>
      <c r="B52" s="21"/>
      <c r="C52" s="21"/>
      <c r="D52" s="21"/>
      <c r="E52" s="21"/>
    </row>
    <row r="53" spans="1:5">
      <c r="A53" s="21"/>
      <c r="B53" s="21"/>
      <c r="C53" s="21"/>
      <c r="D53" s="21"/>
      <c r="E53" s="21"/>
    </row>
    <row r="54" spans="1:5">
      <c r="A54" s="21"/>
      <c r="B54" s="21"/>
      <c r="C54" s="21"/>
      <c r="D54" s="21"/>
      <c r="E54" s="21"/>
    </row>
    <row r="55" spans="1:5">
      <c r="A55" s="21"/>
      <c r="B55" s="21"/>
      <c r="C55" s="21"/>
      <c r="D55" s="21"/>
      <c r="E55" s="21"/>
    </row>
    <row r="56" spans="1:5">
      <c r="A56" s="21"/>
      <c r="B56" s="21"/>
      <c r="C56" s="21"/>
      <c r="D56" s="21"/>
      <c r="E56" s="21"/>
    </row>
    <row r="57" spans="1:5">
      <c r="A57" s="21"/>
      <c r="B57" s="21"/>
      <c r="C57" s="21"/>
      <c r="D57" s="21"/>
      <c r="E57" s="21"/>
    </row>
    <row r="58" spans="1:5">
      <c r="A58" s="21"/>
      <c r="B58" s="21"/>
      <c r="C58" s="21"/>
      <c r="D58" s="21"/>
      <c r="E58" s="21"/>
    </row>
    <row r="59" spans="1:5">
      <c r="A59" s="21"/>
      <c r="B59" s="21"/>
      <c r="C59" s="21"/>
      <c r="D59" s="21"/>
      <c r="E59" s="21"/>
    </row>
    <row r="60" spans="1:5">
      <c r="A60" s="21"/>
      <c r="B60" s="21"/>
      <c r="C60" s="21"/>
      <c r="D60" s="21"/>
      <c r="E60" s="21"/>
    </row>
    <row r="61" spans="1:5">
      <c r="A61" s="21"/>
      <c r="B61" s="21"/>
      <c r="C61" s="21"/>
      <c r="D61" s="21"/>
      <c r="E61" s="21"/>
    </row>
    <row r="62" spans="1:5">
      <c r="A62" s="21"/>
      <c r="B62" s="21"/>
      <c r="C62" s="21"/>
      <c r="D62" s="21"/>
      <c r="E62" s="21"/>
    </row>
    <row r="63" spans="1:5">
      <c r="A63" s="21"/>
      <c r="B63" s="21"/>
      <c r="C63" s="21"/>
      <c r="D63" s="21"/>
      <c r="E63" s="21"/>
    </row>
  </sheetData>
  <mergeCells count="11">
    <mergeCell ref="A2:E2"/>
    <mergeCell ref="B27:E27"/>
    <mergeCell ref="B28:E28"/>
    <mergeCell ref="A19:A21"/>
    <mergeCell ref="A13:A17"/>
    <mergeCell ref="B13:E13"/>
    <mergeCell ref="B14:E14"/>
    <mergeCell ref="B15:E15"/>
    <mergeCell ref="B16:E16"/>
    <mergeCell ref="B17:E17"/>
    <mergeCell ref="A8:A12"/>
  </mergeCells>
  <phoneticPr fontId="28" type="noConversion"/>
  <printOptions horizontalCentered="1"/>
  <pageMargins left="0.39370078740157483" right="0.39370078740157483" top="0.78740157480314965" bottom="0.39370078740157483" header="0.31496062992125984" footer="0.31496062992125984"/>
  <pageSetup paperSize="9" scale="86" orientation="portrait" r:id="rId1"/>
  <rowBreaks count="1" manualBreakCount="1">
    <brk id="28" max="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P38"/>
  <sheetViews>
    <sheetView view="pageBreakPreview" zoomScaleNormal="100" zoomScaleSheetLayoutView="100" workbookViewId="0">
      <selection activeCell="L24" sqref="L24"/>
    </sheetView>
  </sheetViews>
  <sheetFormatPr defaultRowHeight="16.5"/>
  <cols>
    <col min="1" max="1" width="3.625" style="383" customWidth="1"/>
    <col min="2" max="2" width="4.375" style="40" customWidth="1"/>
    <col min="3" max="3" width="11.375" style="40" customWidth="1"/>
    <col min="4" max="4" width="4.25" style="40" customWidth="1"/>
    <col min="5" max="5" width="6.5" style="40" customWidth="1"/>
    <col min="6" max="6" width="16.5" style="40" customWidth="1"/>
    <col min="7" max="7" width="23.25" style="40" customWidth="1"/>
    <col min="8" max="8" width="20.375" style="40" customWidth="1"/>
    <col min="9" max="9" width="4.75" style="40" customWidth="1"/>
    <col min="10" max="257" width="9" style="383"/>
    <col min="258" max="258" width="5.5" style="383" customWidth="1"/>
    <col min="259" max="259" width="10.625" style="383" customWidth="1"/>
    <col min="260" max="260" width="4.25" style="383" customWidth="1"/>
    <col min="261" max="261" width="11" style="383" customWidth="1"/>
    <col min="262" max="262" width="15.125" style="383" customWidth="1"/>
    <col min="263" max="263" width="14.75" style="383" customWidth="1"/>
    <col min="264" max="264" width="14.375" style="383" customWidth="1"/>
    <col min="265" max="265" width="11.125" style="383" customWidth="1"/>
    <col min="266" max="513" width="9" style="383"/>
    <col min="514" max="514" width="5.5" style="383" customWidth="1"/>
    <col min="515" max="515" width="10.625" style="383" customWidth="1"/>
    <col min="516" max="516" width="4.25" style="383" customWidth="1"/>
    <col min="517" max="517" width="11" style="383" customWidth="1"/>
    <col min="518" max="518" width="15.125" style="383" customWidth="1"/>
    <col min="519" max="519" width="14.75" style="383" customWidth="1"/>
    <col min="520" max="520" width="14.375" style="383" customWidth="1"/>
    <col min="521" max="521" width="11.125" style="383" customWidth="1"/>
    <col min="522" max="769" width="9" style="383"/>
    <col min="770" max="770" width="5.5" style="383" customWidth="1"/>
    <col min="771" max="771" width="10.625" style="383" customWidth="1"/>
    <col min="772" max="772" width="4.25" style="383" customWidth="1"/>
    <col min="773" max="773" width="11" style="383" customWidth="1"/>
    <col min="774" max="774" width="15.125" style="383" customWidth="1"/>
    <col min="775" max="775" width="14.75" style="383" customWidth="1"/>
    <col min="776" max="776" width="14.375" style="383" customWidth="1"/>
    <col min="777" max="777" width="11.125" style="383" customWidth="1"/>
    <col min="778" max="1025" width="9" style="383"/>
    <col min="1026" max="1026" width="5.5" style="383" customWidth="1"/>
    <col min="1027" max="1027" width="10.625" style="383" customWidth="1"/>
    <col min="1028" max="1028" width="4.25" style="383" customWidth="1"/>
    <col min="1029" max="1029" width="11" style="383" customWidth="1"/>
    <col min="1030" max="1030" width="15.125" style="383" customWidth="1"/>
    <col min="1031" max="1031" width="14.75" style="383" customWidth="1"/>
    <col min="1032" max="1032" width="14.375" style="383" customWidth="1"/>
    <col min="1033" max="1033" width="11.125" style="383" customWidth="1"/>
    <col min="1034" max="1281" width="9" style="383"/>
    <col min="1282" max="1282" width="5.5" style="383" customWidth="1"/>
    <col min="1283" max="1283" width="10.625" style="383" customWidth="1"/>
    <col min="1284" max="1284" width="4.25" style="383" customWidth="1"/>
    <col min="1285" max="1285" width="11" style="383" customWidth="1"/>
    <col min="1286" max="1286" width="15.125" style="383" customWidth="1"/>
    <col min="1287" max="1287" width="14.75" style="383" customWidth="1"/>
    <col min="1288" max="1288" width="14.375" style="383" customWidth="1"/>
    <col min="1289" max="1289" width="11.125" style="383" customWidth="1"/>
    <col min="1290" max="1537" width="9" style="383"/>
    <col min="1538" max="1538" width="5.5" style="383" customWidth="1"/>
    <col min="1539" max="1539" width="10.625" style="383" customWidth="1"/>
    <col min="1540" max="1540" width="4.25" style="383" customWidth="1"/>
    <col min="1541" max="1541" width="11" style="383" customWidth="1"/>
    <col min="1542" max="1542" width="15.125" style="383" customWidth="1"/>
    <col min="1543" max="1543" width="14.75" style="383" customWidth="1"/>
    <col min="1544" max="1544" width="14.375" style="383" customWidth="1"/>
    <col min="1545" max="1545" width="11.125" style="383" customWidth="1"/>
    <col min="1546" max="1793" width="9" style="383"/>
    <col min="1794" max="1794" width="5.5" style="383" customWidth="1"/>
    <col min="1795" max="1795" width="10.625" style="383" customWidth="1"/>
    <col min="1796" max="1796" width="4.25" style="383" customWidth="1"/>
    <col min="1797" max="1797" width="11" style="383" customWidth="1"/>
    <col min="1798" max="1798" width="15.125" style="383" customWidth="1"/>
    <col min="1799" max="1799" width="14.75" style="383" customWidth="1"/>
    <col min="1800" max="1800" width="14.375" style="383" customWidth="1"/>
    <col min="1801" max="1801" width="11.125" style="383" customWidth="1"/>
    <col min="1802" max="2049" width="9" style="383"/>
    <col min="2050" max="2050" width="5.5" style="383" customWidth="1"/>
    <col min="2051" max="2051" width="10.625" style="383" customWidth="1"/>
    <col min="2052" max="2052" width="4.25" style="383" customWidth="1"/>
    <col min="2053" max="2053" width="11" style="383" customWidth="1"/>
    <col min="2054" max="2054" width="15.125" style="383" customWidth="1"/>
    <col min="2055" max="2055" width="14.75" style="383" customWidth="1"/>
    <col min="2056" max="2056" width="14.375" style="383" customWidth="1"/>
    <col min="2057" max="2057" width="11.125" style="383" customWidth="1"/>
    <col min="2058" max="2305" width="9" style="383"/>
    <col min="2306" max="2306" width="5.5" style="383" customWidth="1"/>
    <col min="2307" max="2307" width="10.625" style="383" customWidth="1"/>
    <col min="2308" max="2308" width="4.25" style="383" customWidth="1"/>
    <col min="2309" max="2309" width="11" style="383" customWidth="1"/>
    <col min="2310" max="2310" width="15.125" style="383" customWidth="1"/>
    <col min="2311" max="2311" width="14.75" style="383" customWidth="1"/>
    <col min="2312" max="2312" width="14.375" style="383" customWidth="1"/>
    <col min="2313" max="2313" width="11.125" style="383" customWidth="1"/>
    <col min="2314" max="2561" width="9" style="383"/>
    <col min="2562" max="2562" width="5.5" style="383" customWidth="1"/>
    <col min="2563" max="2563" width="10.625" style="383" customWidth="1"/>
    <col min="2564" max="2564" width="4.25" style="383" customWidth="1"/>
    <col min="2565" max="2565" width="11" style="383" customWidth="1"/>
    <col min="2566" max="2566" width="15.125" style="383" customWidth="1"/>
    <col min="2567" max="2567" width="14.75" style="383" customWidth="1"/>
    <col min="2568" max="2568" width="14.375" style="383" customWidth="1"/>
    <col min="2569" max="2569" width="11.125" style="383" customWidth="1"/>
    <col min="2570" max="2817" width="9" style="383"/>
    <col min="2818" max="2818" width="5.5" style="383" customWidth="1"/>
    <col min="2819" max="2819" width="10.625" style="383" customWidth="1"/>
    <col min="2820" max="2820" width="4.25" style="383" customWidth="1"/>
    <col min="2821" max="2821" width="11" style="383" customWidth="1"/>
    <col min="2822" max="2822" width="15.125" style="383" customWidth="1"/>
    <col min="2823" max="2823" width="14.75" style="383" customWidth="1"/>
    <col min="2824" max="2824" width="14.375" style="383" customWidth="1"/>
    <col min="2825" max="2825" width="11.125" style="383" customWidth="1"/>
    <col min="2826" max="3073" width="9" style="383"/>
    <col min="3074" max="3074" width="5.5" style="383" customWidth="1"/>
    <col min="3075" max="3075" width="10.625" style="383" customWidth="1"/>
    <col min="3076" max="3076" width="4.25" style="383" customWidth="1"/>
    <col min="3077" max="3077" width="11" style="383" customWidth="1"/>
    <col min="3078" max="3078" width="15.125" style="383" customWidth="1"/>
    <col min="3079" max="3079" width="14.75" style="383" customWidth="1"/>
    <col min="3080" max="3080" width="14.375" style="383" customWidth="1"/>
    <col min="3081" max="3081" width="11.125" style="383" customWidth="1"/>
    <col min="3082" max="3329" width="9" style="383"/>
    <col min="3330" max="3330" width="5.5" style="383" customWidth="1"/>
    <col min="3331" max="3331" width="10.625" style="383" customWidth="1"/>
    <col min="3332" max="3332" width="4.25" style="383" customWidth="1"/>
    <col min="3333" max="3333" width="11" style="383" customWidth="1"/>
    <col min="3334" max="3334" width="15.125" style="383" customWidth="1"/>
    <col min="3335" max="3335" width="14.75" style="383" customWidth="1"/>
    <col min="3336" max="3336" width="14.375" style="383" customWidth="1"/>
    <col min="3337" max="3337" width="11.125" style="383" customWidth="1"/>
    <col min="3338" max="3585" width="9" style="383"/>
    <col min="3586" max="3586" width="5.5" style="383" customWidth="1"/>
    <col min="3587" max="3587" width="10.625" style="383" customWidth="1"/>
    <col min="3588" max="3588" width="4.25" style="383" customWidth="1"/>
    <col min="3589" max="3589" width="11" style="383" customWidth="1"/>
    <col min="3590" max="3590" width="15.125" style="383" customWidth="1"/>
    <col min="3591" max="3591" width="14.75" style="383" customWidth="1"/>
    <col min="3592" max="3592" width="14.375" style="383" customWidth="1"/>
    <col min="3593" max="3593" width="11.125" style="383" customWidth="1"/>
    <col min="3594" max="3841" width="9" style="383"/>
    <col min="3842" max="3842" width="5.5" style="383" customWidth="1"/>
    <col min="3843" max="3843" width="10.625" style="383" customWidth="1"/>
    <col min="3844" max="3844" width="4.25" style="383" customWidth="1"/>
    <col min="3845" max="3845" width="11" style="383" customWidth="1"/>
    <col min="3846" max="3846" width="15.125" style="383" customWidth="1"/>
    <col min="3847" max="3847" width="14.75" style="383" customWidth="1"/>
    <col min="3848" max="3848" width="14.375" style="383" customWidth="1"/>
    <col min="3849" max="3849" width="11.125" style="383" customWidth="1"/>
    <col min="3850" max="4097" width="9" style="383"/>
    <col min="4098" max="4098" width="5.5" style="383" customWidth="1"/>
    <col min="4099" max="4099" width="10.625" style="383" customWidth="1"/>
    <col min="4100" max="4100" width="4.25" style="383" customWidth="1"/>
    <col min="4101" max="4101" width="11" style="383" customWidth="1"/>
    <col min="4102" max="4102" width="15.125" style="383" customWidth="1"/>
    <col min="4103" max="4103" width="14.75" style="383" customWidth="1"/>
    <col min="4104" max="4104" width="14.375" style="383" customWidth="1"/>
    <col min="4105" max="4105" width="11.125" style="383" customWidth="1"/>
    <col min="4106" max="4353" width="9" style="383"/>
    <col min="4354" max="4354" width="5.5" style="383" customWidth="1"/>
    <col min="4355" max="4355" width="10.625" style="383" customWidth="1"/>
    <col min="4356" max="4356" width="4.25" style="383" customWidth="1"/>
    <col min="4357" max="4357" width="11" style="383" customWidth="1"/>
    <col min="4358" max="4358" width="15.125" style="383" customWidth="1"/>
    <col min="4359" max="4359" width="14.75" style="383" customWidth="1"/>
    <col min="4360" max="4360" width="14.375" style="383" customWidth="1"/>
    <col min="4361" max="4361" width="11.125" style="383" customWidth="1"/>
    <col min="4362" max="4609" width="9" style="383"/>
    <col min="4610" max="4610" width="5.5" style="383" customWidth="1"/>
    <col min="4611" max="4611" width="10.625" style="383" customWidth="1"/>
    <col min="4612" max="4612" width="4.25" style="383" customWidth="1"/>
    <col min="4613" max="4613" width="11" style="383" customWidth="1"/>
    <col min="4614" max="4614" width="15.125" style="383" customWidth="1"/>
    <col min="4615" max="4615" width="14.75" style="383" customWidth="1"/>
    <col min="4616" max="4616" width="14.375" style="383" customWidth="1"/>
    <col min="4617" max="4617" width="11.125" style="383" customWidth="1"/>
    <col min="4618" max="4865" width="9" style="383"/>
    <col min="4866" max="4866" width="5.5" style="383" customWidth="1"/>
    <col min="4867" max="4867" width="10.625" style="383" customWidth="1"/>
    <col min="4868" max="4868" width="4.25" style="383" customWidth="1"/>
    <col min="4869" max="4869" width="11" style="383" customWidth="1"/>
    <col min="4870" max="4870" width="15.125" style="383" customWidth="1"/>
    <col min="4871" max="4871" width="14.75" style="383" customWidth="1"/>
    <col min="4872" max="4872" width="14.375" style="383" customWidth="1"/>
    <col min="4873" max="4873" width="11.125" style="383" customWidth="1"/>
    <col min="4874" max="5121" width="9" style="383"/>
    <col min="5122" max="5122" width="5.5" style="383" customWidth="1"/>
    <col min="5123" max="5123" width="10.625" style="383" customWidth="1"/>
    <col min="5124" max="5124" width="4.25" style="383" customWidth="1"/>
    <col min="5125" max="5125" width="11" style="383" customWidth="1"/>
    <col min="5126" max="5126" width="15.125" style="383" customWidth="1"/>
    <col min="5127" max="5127" width="14.75" style="383" customWidth="1"/>
    <col min="5128" max="5128" width="14.375" style="383" customWidth="1"/>
    <col min="5129" max="5129" width="11.125" style="383" customWidth="1"/>
    <col min="5130" max="5377" width="9" style="383"/>
    <col min="5378" max="5378" width="5.5" style="383" customWidth="1"/>
    <col min="5379" max="5379" width="10.625" style="383" customWidth="1"/>
    <col min="5380" max="5380" width="4.25" style="383" customWidth="1"/>
    <col min="5381" max="5381" width="11" style="383" customWidth="1"/>
    <col min="5382" max="5382" width="15.125" style="383" customWidth="1"/>
    <col min="5383" max="5383" width="14.75" style="383" customWidth="1"/>
    <col min="5384" max="5384" width="14.375" style="383" customWidth="1"/>
    <col min="5385" max="5385" width="11.125" style="383" customWidth="1"/>
    <col min="5386" max="5633" width="9" style="383"/>
    <col min="5634" max="5634" width="5.5" style="383" customWidth="1"/>
    <col min="5635" max="5635" width="10.625" style="383" customWidth="1"/>
    <col min="5636" max="5636" width="4.25" style="383" customWidth="1"/>
    <col min="5637" max="5637" width="11" style="383" customWidth="1"/>
    <col min="5638" max="5638" width="15.125" style="383" customWidth="1"/>
    <col min="5639" max="5639" width="14.75" style="383" customWidth="1"/>
    <col min="5640" max="5640" width="14.375" style="383" customWidth="1"/>
    <col min="5641" max="5641" width="11.125" style="383" customWidth="1"/>
    <col min="5642" max="5889" width="9" style="383"/>
    <col min="5890" max="5890" width="5.5" style="383" customWidth="1"/>
    <col min="5891" max="5891" width="10.625" style="383" customWidth="1"/>
    <col min="5892" max="5892" width="4.25" style="383" customWidth="1"/>
    <col min="5893" max="5893" width="11" style="383" customWidth="1"/>
    <col min="5894" max="5894" width="15.125" style="383" customWidth="1"/>
    <col min="5895" max="5895" width="14.75" style="383" customWidth="1"/>
    <col min="5896" max="5896" width="14.375" style="383" customWidth="1"/>
    <col min="5897" max="5897" width="11.125" style="383" customWidth="1"/>
    <col min="5898" max="6145" width="9" style="383"/>
    <col min="6146" max="6146" width="5.5" style="383" customWidth="1"/>
    <col min="6147" max="6147" width="10.625" style="383" customWidth="1"/>
    <col min="6148" max="6148" width="4.25" style="383" customWidth="1"/>
    <col min="6149" max="6149" width="11" style="383" customWidth="1"/>
    <col min="6150" max="6150" width="15.125" style="383" customWidth="1"/>
    <col min="6151" max="6151" width="14.75" style="383" customWidth="1"/>
    <col min="6152" max="6152" width="14.375" style="383" customWidth="1"/>
    <col min="6153" max="6153" width="11.125" style="383" customWidth="1"/>
    <col min="6154" max="6401" width="9" style="383"/>
    <col min="6402" max="6402" width="5.5" style="383" customWidth="1"/>
    <col min="6403" max="6403" width="10.625" style="383" customWidth="1"/>
    <col min="6404" max="6404" width="4.25" style="383" customWidth="1"/>
    <col min="6405" max="6405" width="11" style="383" customWidth="1"/>
    <col min="6406" max="6406" width="15.125" style="383" customWidth="1"/>
    <col min="6407" max="6407" width="14.75" style="383" customWidth="1"/>
    <col min="6408" max="6408" width="14.375" style="383" customWidth="1"/>
    <col min="6409" max="6409" width="11.125" style="383" customWidth="1"/>
    <col min="6410" max="6657" width="9" style="383"/>
    <col min="6658" max="6658" width="5.5" style="383" customWidth="1"/>
    <col min="6659" max="6659" width="10.625" style="383" customWidth="1"/>
    <col min="6660" max="6660" width="4.25" style="383" customWidth="1"/>
    <col min="6661" max="6661" width="11" style="383" customWidth="1"/>
    <col min="6662" max="6662" width="15.125" style="383" customWidth="1"/>
    <col min="6663" max="6663" width="14.75" style="383" customWidth="1"/>
    <col min="6664" max="6664" width="14.375" style="383" customWidth="1"/>
    <col min="6665" max="6665" width="11.125" style="383" customWidth="1"/>
    <col min="6666" max="6913" width="9" style="383"/>
    <col min="6914" max="6914" width="5.5" style="383" customWidth="1"/>
    <col min="6915" max="6915" width="10.625" style="383" customWidth="1"/>
    <col min="6916" max="6916" width="4.25" style="383" customWidth="1"/>
    <col min="6917" max="6917" width="11" style="383" customWidth="1"/>
    <col min="6918" max="6918" width="15.125" style="383" customWidth="1"/>
    <col min="6919" max="6919" width="14.75" style="383" customWidth="1"/>
    <col min="6920" max="6920" width="14.375" style="383" customWidth="1"/>
    <col min="6921" max="6921" width="11.125" style="383" customWidth="1"/>
    <col min="6922" max="7169" width="9" style="383"/>
    <col min="7170" max="7170" width="5.5" style="383" customWidth="1"/>
    <col min="7171" max="7171" width="10.625" style="383" customWidth="1"/>
    <col min="7172" max="7172" width="4.25" style="383" customWidth="1"/>
    <col min="7173" max="7173" width="11" style="383" customWidth="1"/>
    <col min="7174" max="7174" width="15.125" style="383" customWidth="1"/>
    <col min="7175" max="7175" width="14.75" style="383" customWidth="1"/>
    <col min="7176" max="7176" width="14.375" style="383" customWidth="1"/>
    <col min="7177" max="7177" width="11.125" style="383" customWidth="1"/>
    <col min="7178" max="7425" width="9" style="383"/>
    <col min="7426" max="7426" width="5.5" style="383" customWidth="1"/>
    <col min="7427" max="7427" width="10.625" style="383" customWidth="1"/>
    <col min="7428" max="7428" width="4.25" style="383" customWidth="1"/>
    <col min="7429" max="7429" width="11" style="383" customWidth="1"/>
    <col min="7430" max="7430" width="15.125" style="383" customWidth="1"/>
    <col min="7431" max="7431" width="14.75" style="383" customWidth="1"/>
    <col min="7432" max="7432" width="14.375" style="383" customWidth="1"/>
    <col min="7433" max="7433" width="11.125" style="383" customWidth="1"/>
    <col min="7434" max="7681" width="9" style="383"/>
    <col min="7682" max="7682" width="5.5" style="383" customWidth="1"/>
    <col min="7683" max="7683" width="10.625" style="383" customWidth="1"/>
    <col min="7684" max="7684" width="4.25" style="383" customWidth="1"/>
    <col min="7685" max="7685" width="11" style="383" customWidth="1"/>
    <col min="7686" max="7686" width="15.125" style="383" customWidth="1"/>
    <col min="7687" max="7687" width="14.75" style="383" customWidth="1"/>
    <col min="7688" max="7688" width="14.375" style="383" customWidth="1"/>
    <col min="7689" max="7689" width="11.125" style="383" customWidth="1"/>
    <col min="7690" max="7937" width="9" style="383"/>
    <col min="7938" max="7938" width="5.5" style="383" customWidth="1"/>
    <col min="7939" max="7939" width="10.625" style="383" customWidth="1"/>
    <col min="7940" max="7940" width="4.25" style="383" customWidth="1"/>
    <col min="7941" max="7941" width="11" style="383" customWidth="1"/>
    <col min="7942" max="7942" width="15.125" style="383" customWidth="1"/>
    <col min="7943" max="7943" width="14.75" style="383" customWidth="1"/>
    <col min="7944" max="7944" width="14.375" style="383" customWidth="1"/>
    <col min="7945" max="7945" width="11.125" style="383" customWidth="1"/>
    <col min="7946" max="8193" width="9" style="383"/>
    <col min="8194" max="8194" width="5.5" style="383" customWidth="1"/>
    <col min="8195" max="8195" width="10.625" style="383" customWidth="1"/>
    <col min="8196" max="8196" width="4.25" style="383" customWidth="1"/>
    <col min="8197" max="8197" width="11" style="383" customWidth="1"/>
    <col min="8198" max="8198" width="15.125" style="383" customWidth="1"/>
    <col min="8199" max="8199" width="14.75" style="383" customWidth="1"/>
    <col min="8200" max="8200" width="14.375" style="383" customWidth="1"/>
    <col min="8201" max="8201" width="11.125" style="383" customWidth="1"/>
    <col min="8202" max="8449" width="9" style="383"/>
    <col min="8450" max="8450" width="5.5" style="383" customWidth="1"/>
    <col min="8451" max="8451" width="10.625" style="383" customWidth="1"/>
    <col min="8452" max="8452" width="4.25" style="383" customWidth="1"/>
    <col min="8453" max="8453" width="11" style="383" customWidth="1"/>
    <col min="8454" max="8454" width="15.125" style="383" customWidth="1"/>
    <col min="8455" max="8455" width="14.75" style="383" customWidth="1"/>
    <col min="8456" max="8456" width="14.375" style="383" customWidth="1"/>
    <col min="8457" max="8457" width="11.125" style="383" customWidth="1"/>
    <col min="8458" max="8705" width="9" style="383"/>
    <col min="8706" max="8706" width="5.5" style="383" customWidth="1"/>
    <col min="8707" max="8707" width="10.625" style="383" customWidth="1"/>
    <col min="8708" max="8708" width="4.25" style="383" customWidth="1"/>
    <col min="8709" max="8709" width="11" style="383" customWidth="1"/>
    <col min="8710" max="8710" width="15.125" style="383" customWidth="1"/>
    <col min="8711" max="8711" width="14.75" style="383" customWidth="1"/>
    <col min="8712" max="8712" width="14.375" style="383" customWidth="1"/>
    <col min="8713" max="8713" width="11.125" style="383" customWidth="1"/>
    <col min="8714" max="8961" width="9" style="383"/>
    <col min="8962" max="8962" width="5.5" style="383" customWidth="1"/>
    <col min="8963" max="8963" width="10.625" style="383" customWidth="1"/>
    <col min="8964" max="8964" width="4.25" style="383" customWidth="1"/>
    <col min="8965" max="8965" width="11" style="383" customWidth="1"/>
    <col min="8966" max="8966" width="15.125" style="383" customWidth="1"/>
    <col min="8967" max="8967" width="14.75" style="383" customWidth="1"/>
    <col min="8968" max="8968" width="14.375" style="383" customWidth="1"/>
    <col min="8969" max="8969" width="11.125" style="383" customWidth="1"/>
    <col min="8970" max="9217" width="9" style="383"/>
    <col min="9218" max="9218" width="5.5" style="383" customWidth="1"/>
    <col min="9219" max="9219" width="10.625" style="383" customWidth="1"/>
    <col min="9220" max="9220" width="4.25" style="383" customWidth="1"/>
    <col min="9221" max="9221" width="11" style="383" customWidth="1"/>
    <col min="9222" max="9222" width="15.125" style="383" customWidth="1"/>
    <col min="9223" max="9223" width="14.75" style="383" customWidth="1"/>
    <col min="9224" max="9224" width="14.375" style="383" customWidth="1"/>
    <col min="9225" max="9225" width="11.125" style="383" customWidth="1"/>
    <col min="9226" max="9473" width="9" style="383"/>
    <col min="9474" max="9474" width="5.5" style="383" customWidth="1"/>
    <col min="9475" max="9475" width="10.625" style="383" customWidth="1"/>
    <col min="9476" max="9476" width="4.25" style="383" customWidth="1"/>
    <col min="9477" max="9477" width="11" style="383" customWidth="1"/>
    <col min="9478" max="9478" width="15.125" style="383" customWidth="1"/>
    <col min="9479" max="9479" width="14.75" style="383" customWidth="1"/>
    <col min="9480" max="9480" width="14.375" style="383" customWidth="1"/>
    <col min="9481" max="9481" width="11.125" style="383" customWidth="1"/>
    <col min="9482" max="9729" width="9" style="383"/>
    <col min="9730" max="9730" width="5.5" style="383" customWidth="1"/>
    <col min="9731" max="9731" width="10.625" style="383" customWidth="1"/>
    <col min="9732" max="9732" width="4.25" style="383" customWidth="1"/>
    <col min="9733" max="9733" width="11" style="383" customWidth="1"/>
    <col min="9734" max="9734" width="15.125" style="383" customWidth="1"/>
    <col min="9735" max="9735" width="14.75" style="383" customWidth="1"/>
    <col min="9736" max="9736" width="14.375" style="383" customWidth="1"/>
    <col min="9737" max="9737" width="11.125" style="383" customWidth="1"/>
    <col min="9738" max="9985" width="9" style="383"/>
    <col min="9986" max="9986" width="5.5" style="383" customWidth="1"/>
    <col min="9987" max="9987" width="10.625" style="383" customWidth="1"/>
    <col min="9988" max="9988" width="4.25" style="383" customWidth="1"/>
    <col min="9989" max="9989" width="11" style="383" customWidth="1"/>
    <col min="9990" max="9990" width="15.125" style="383" customWidth="1"/>
    <col min="9991" max="9991" width="14.75" style="383" customWidth="1"/>
    <col min="9992" max="9992" width="14.375" style="383" customWidth="1"/>
    <col min="9993" max="9993" width="11.125" style="383" customWidth="1"/>
    <col min="9994" max="10241" width="9" style="383"/>
    <col min="10242" max="10242" width="5.5" style="383" customWidth="1"/>
    <col min="10243" max="10243" width="10.625" style="383" customWidth="1"/>
    <col min="10244" max="10244" width="4.25" style="383" customWidth="1"/>
    <col min="10245" max="10245" width="11" style="383" customWidth="1"/>
    <col min="10246" max="10246" width="15.125" style="383" customWidth="1"/>
    <col min="10247" max="10247" width="14.75" style="383" customWidth="1"/>
    <col min="10248" max="10248" width="14.375" style="383" customWidth="1"/>
    <col min="10249" max="10249" width="11.125" style="383" customWidth="1"/>
    <col min="10250" max="10497" width="9" style="383"/>
    <col min="10498" max="10498" width="5.5" style="383" customWidth="1"/>
    <col min="10499" max="10499" width="10.625" style="383" customWidth="1"/>
    <col min="10500" max="10500" width="4.25" style="383" customWidth="1"/>
    <col min="10501" max="10501" width="11" style="383" customWidth="1"/>
    <col min="10502" max="10502" width="15.125" style="383" customWidth="1"/>
    <col min="10503" max="10503" width="14.75" style="383" customWidth="1"/>
    <col min="10504" max="10504" width="14.375" style="383" customWidth="1"/>
    <col min="10505" max="10505" width="11.125" style="383" customWidth="1"/>
    <col min="10506" max="10753" width="9" style="383"/>
    <col min="10754" max="10754" width="5.5" style="383" customWidth="1"/>
    <col min="10755" max="10755" width="10.625" style="383" customWidth="1"/>
    <col min="10756" max="10756" width="4.25" style="383" customWidth="1"/>
    <col min="10757" max="10757" width="11" style="383" customWidth="1"/>
    <col min="10758" max="10758" width="15.125" style="383" customWidth="1"/>
    <col min="10759" max="10759" width="14.75" style="383" customWidth="1"/>
    <col min="10760" max="10760" width="14.375" style="383" customWidth="1"/>
    <col min="10761" max="10761" width="11.125" style="383" customWidth="1"/>
    <col min="10762" max="11009" width="9" style="383"/>
    <col min="11010" max="11010" width="5.5" style="383" customWidth="1"/>
    <col min="11011" max="11011" width="10.625" style="383" customWidth="1"/>
    <col min="11012" max="11012" width="4.25" style="383" customWidth="1"/>
    <col min="11013" max="11013" width="11" style="383" customWidth="1"/>
    <col min="11014" max="11014" width="15.125" style="383" customWidth="1"/>
    <col min="11015" max="11015" width="14.75" style="383" customWidth="1"/>
    <col min="11016" max="11016" width="14.375" style="383" customWidth="1"/>
    <col min="11017" max="11017" width="11.125" style="383" customWidth="1"/>
    <col min="11018" max="11265" width="9" style="383"/>
    <col min="11266" max="11266" width="5.5" style="383" customWidth="1"/>
    <col min="11267" max="11267" width="10.625" style="383" customWidth="1"/>
    <col min="11268" max="11268" width="4.25" style="383" customWidth="1"/>
    <col min="11269" max="11269" width="11" style="383" customWidth="1"/>
    <col min="11270" max="11270" width="15.125" style="383" customWidth="1"/>
    <col min="11271" max="11271" width="14.75" style="383" customWidth="1"/>
    <col min="11272" max="11272" width="14.375" style="383" customWidth="1"/>
    <col min="11273" max="11273" width="11.125" style="383" customWidth="1"/>
    <col min="11274" max="11521" width="9" style="383"/>
    <col min="11522" max="11522" width="5.5" style="383" customWidth="1"/>
    <col min="11523" max="11523" width="10.625" style="383" customWidth="1"/>
    <col min="11524" max="11524" width="4.25" style="383" customWidth="1"/>
    <col min="11525" max="11525" width="11" style="383" customWidth="1"/>
    <col min="11526" max="11526" width="15.125" style="383" customWidth="1"/>
    <col min="11527" max="11527" width="14.75" style="383" customWidth="1"/>
    <col min="11528" max="11528" width="14.375" style="383" customWidth="1"/>
    <col min="11529" max="11529" width="11.125" style="383" customWidth="1"/>
    <col min="11530" max="11777" width="9" style="383"/>
    <col min="11778" max="11778" width="5.5" style="383" customWidth="1"/>
    <col min="11779" max="11779" width="10.625" style="383" customWidth="1"/>
    <col min="11780" max="11780" width="4.25" style="383" customWidth="1"/>
    <col min="11781" max="11781" width="11" style="383" customWidth="1"/>
    <col min="11782" max="11782" width="15.125" style="383" customWidth="1"/>
    <col min="11783" max="11783" width="14.75" style="383" customWidth="1"/>
    <col min="11784" max="11784" width="14.375" style="383" customWidth="1"/>
    <col min="11785" max="11785" width="11.125" style="383" customWidth="1"/>
    <col min="11786" max="12033" width="9" style="383"/>
    <col min="12034" max="12034" width="5.5" style="383" customWidth="1"/>
    <col min="12035" max="12035" width="10.625" style="383" customWidth="1"/>
    <col min="12036" max="12036" width="4.25" style="383" customWidth="1"/>
    <col min="12037" max="12037" width="11" style="383" customWidth="1"/>
    <col min="12038" max="12038" width="15.125" style="383" customWidth="1"/>
    <col min="12039" max="12039" width="14.75" style="383" customWidth="1"/>
    <col min="12040" max="12040" width="14.375" style="383" customWidth="1"/>
    <col min="12041" max="12041" width="11.125" style="383" customWidth="1"/>
    <col min="12042" max="12289" width="9" style="383"/>
    <col min="12290" max="12290" width="5.5" style="383" customWidth="1"/>
    <col min="12291" max="12291" width="10.625" style="383" customWidth="1"/>
    <col min="12292" max="12292" width="4.25" style="383" customWidth="1"/>
    <col min="12293" max="12293" width="11" style="383" customWidth="1"/>
    <col min="12294" max="12294" width="15.125" style="383" customWidth="1"/>
    <col min="12295" max="12295" width="14.75" style="383" customWidth="1"/>
    <col min="12296" max="12296" width="14.375" style="383" customWidth="1"/>
    <col min="12297" max="12297" width="11.125" style="383" customWidth="1"/>
    <col min="12298" max="12545" width="9" style="383"/>
    <col min="12546" max="12546" width="5.5" style="383" customWidth="1"/>
    <col min="12547" max="12547" width="10.625" style="383" customWidth="1"/>
    <col min="12548" max="12548" width="4.25" style="383" customWidth="1"/>
    <col min="12549" max="12549" width="11" style="383" customWidth="1"/>
    <col min="12550" max="12550" width="15.125" style="383" customWidth="1"/>
    <col min="12551" max="12551" width="14.75" style="383" customWidth="1"/>
    <col min="12552" max="12552" width="14.375" style="383" customWidth="1"/>
    <col min="12553" max="12553" width="11.125" style="383" customWidth="1"/>
    <col min="12554" max="12801" width="9" style="383"/>
    <col min="12802" max="12802" width="5.5" style="383" customWidth="1"/>
    <col min="12803" max="12803" width="10.625" style="383" customWidth="1"/>
    <col min="12804" max="12804" width="4.25" style="383" customWidth="1"/>
    <col min="12805" max="12805" width="11" style="383" customWidth="1"/>
    <col min="12806" max="12806" width="15.125" style="383" customWidth="1"/>
    <col min="12807" max="12807" width="14.75" style="383" customWidth="1"/>
    <col min="12808" max="12808" width="14.375" style="383" customWidth="1"/>
    <col min="12809" max="12809" width="11.125" style="383" customWidth="1"/>
    <col min="12810" max="13057" width="9" style="383"/>
    <col min="13058" max="13058" width="5.5" style="383" customWidth="1"/>
    <col min="13059" max="13059" width="10.625" style="383" customWidth="1"/>
    <col min="13060" max="13060" width="4.25" style="383" customWidth="1"/>
    <col min="13061" max="13061" width="11" style="383" customWidth="1"/>
    <col min="13062" max="13062" width="15.125" style="383" customWidth="1"/>
    <col min="13063" max="13063" width="14.75" style="383" customWidth="1"/>
    <col min="13064" max="13064" width="14.375" style="383" customWidth="1"/>
    <col min="13065" max="13065" width="11.125" style="383" customWidth="1"/>
    <col min="13066" max="13313" width="9" style="383"/>
    <col min="13314" max="13314" width="5.5" style="383" customWidth="1"/>
    <col min="13315" max="13315" width="10.625" style="383" customWidth="1"/>
    <col min="13316" max="13316" width="4.25" style="383" customWidth="1"/>
    <col min="13317" max="13317" width="11" style="383" customWidth="1"/>
    <col min="13318" max="13318" width="15.125" style="383" customWidth="1"/>
    <col min="13319" max="13319" width="14.75" style="383" customWidth="1"/>
    <col min="13320" max="13320" width="14.375" style="383" customWidth="1"/>
    <col min="13321" max="13321" width="11.125" style="383" customWidth="1"/>
    <col min="13322" max="13569" width="9" style="383"/>
    <col min="13570" max="13570" width="5.5" style="383" customWidth="1"/>
    <col min="13571" max="13571" width="10.625" style="383" customWidth="1"/>
    <col min="13572" max="13572" width="4.25" style="383" customWidth="1"/>
    <col min="13573" max="13573" width="11" style="383" customWidth="1"/>
    <col min="13574" max="13574" width="15.125" style="383" customWidth="1"/>
    <col min="13575" max="13575" width="14.75" style="383" customWidth="1"/>
    <col min="13576" max="13576" width="14.375" style="383" customWidth="1"/>
    <col min="13577" max="13577" width="11.125" style="383" customWidth="1"/>
    <col min="13578" max="13825" width="9" style="383"/>
    <col min="13826" max="13826" width="5.5" style="383" customWidth="1"/>
    <col min="13827" max="13827" width="10.625" style="383" customWidth="1"/>
    <col min="13828" max="13828" width="4.25" style="383" customWidth="1"/>
    <col min="13829" max="13829" width="11" style="383" customWidth="1"/>
    <col min="13830" max="13830" width="15.125" style="383" customWidth="1"/>
    <col min="13831" max="13831" width="14.75" style="383" customWidth="1"/>
    <col min="13832" max="13832" width="14.375" style="383" customWidth="1"/>
    <col min="13833" max="13833" width="11.125" style="383" customWidth="1"/>
    <col min="13834" max="14081" width="9" style="383"/>
    <col min="14082" max="14082" width="5.5" style="383" customWidth="1"/>
    <col min="14083" max="14083" width="10.625" style="383" customWidth="1"/>
    <col min="14084" max="14084" width="4.25" style="383" customWidth="1"/>
    <col min="14085" max="14085" width="11" style="383" customWidth="1"/>
    <col min="14086" max="14086" width="15.125" style="383" customWidth="1"/>
    <col min="14087" max="14087" width="14.75" style="383" customWidth="1"/>
    <col min="14088" max="14088" width="14.375" style="383" customWidth="1"/>
    <col min="14089" max="14089" width="11.125" style="383" customWidth="1"/>
    <col min="14090" max="14337" width="9" style="383"/>
    <col min="14338" max="14338" width="5.5" style="383" customWidth="1"/>
    <col min="14339" max="14339" width="10.625" style="383" customWidth="1"/>
    <col min="14340" max="14340" width="4.25" style="383" customWidth="1"/>
    <col min="14341" max="14341" width="11" style="383" customWidth="1"/>
    <col min="14342" max="14342" width="15.125" style="383" customWidth="1"/>
    <col min="14343" max="14343" width="14.75" style="383" customWidth="1"/>
    <col min="14344" max="14344" width="14.375" style="383" customWidth="1"/>
    <col min="14345" max="14345" width="11.125" style="383" customWidth="1"/>
    <col min="14346" max="14593" width="9" style="383"/>
    <col min="14594" max="14594" width="5.5" style="383" customWidth="1"/>
    <col min="14595" max="14595" width="10.625" style="383" customWidth="1"/>
    <col min="14596" max="14596" width="4.25" style="383" customWidth="1"/>
    <col min="14597" max="14597" width="11" style="383" customWidth="1"/>
    <col min="14598" max="14598" width="15.125" style="383" customWidth="1"/>
    <col min="14599" max="14599" width="14.75" style="383" customWidth="1"/>
    <col min="14600" max="14600" width="14.375" style="383" customWidth="1"/>
    <col min="14601" max="14601" width="11.125" style="383" customWidth="1"/>
    <col min="14602" max="14849" width="9" style="383"/>
    <col min="14850" max="14850" width="5.5" style="383" customWidth="1"/>
    <col min="14851" max="14851" width="10.625" style="383" customWidth="1"/>
    <col min="14852" max="14852" width="4.25" style="383" customWidth="1"/>
    <col min="14853" max="14853" width="11" style="383" customWidth="1"/>
    <col min="14854" max="14854" width="15.125" style="383" customWidth="1"/>
    <col min="14855" max="14855" width="14.75" style="383" customWidth="1"/>
    <col min="14856" max="14856" width="14.375" style="383" customWidth="1"/>
    <col min="14857" max="14857" width="11.125" style="383" customWidth="1"/>
    <col min="14858" max="15105" width="9" style="383"/>
    <col min="15106" max="15106" width="5.5" style="383" customWidth="1"/>
    <col min="15107" max="15107" width="10.625" style="383" customWidth="1"/>
    <col min="15108" max="15108" width="4.25" style="383" customWidth="1"/>
    <col min="15109" max="15109" width="11" style="383" customWidth="1"/>
    <col min="15110" max="15110" width="15.125" style="383" customWidth="1"/>
    <col min="15111" max="15111" width="14.75" style="383" customWidth="1"/>
    <col min="15112" max="15112" width="14.375" style="383" customWidth="1"/>
    <col min="15113" max="15113" width="11.125" style="383" customWidth="1"/>
    <col min="15114" max="15361" width="9" style="383"/>
    <col min="15362" max="15362" width="5.5" style="383" customWidth="1"/>
    <col min="15363" max="15363" width="10.625" style="383" customWidth="1"/>
    <col min="15364" max="15364" width="4.25" style="383" customWidth="1"/>
    <col min="15365" max="15365" width="11" style="383" customWidth="1"/>
    <col min="15366" max="15366" width="15.125" style="383" customWidth="1"/>
    <col min="15367" max="15367" width="14.75" style="383" customWidth="1"/>
    <col min="15368" max="15368" width="14.375" style="383" customWidth="1"/>
    <col min="15369" max="15369" width="11.125" style="383" customWidth="1"/>
    <col min="15370" max="15617" width="9" style="383"/>
    <col min="15618" max="15618" width="5.5" style="383" customWidth="1"/>
    <col min="15619" max="15619" width="10.625" style="383" customWidth="1"/>
    <col min="15620" max="15620" width="4.25" style="383" customWidth="1"/>
    <col min="15621" max="15621" width="11" style="383" customWidth="1"/>
    <col min="15622" max="15622" width="15.125" style="383" customWidth="1"/>
    <col min="15623" max="15623" width="14.75" style="383" customWidth="1"/>
    <col min="15624" max="15624" width="14.375" style="383" customWidth="1"/>
    <col min="15625" max="15625" width="11.125" style="383" customWidth="1"/>
    <col min="15626" max="15873" width="9" style="383"/>
    <col min="15874" max="15874" width="5.5" style="383" customWidth="1"/>
    <col min="15875" max="15875" width="10.625" style="383" customWidth="1"/>
    <col min="15876" max="15876" width="4.25" style="383" customWidth="1"/>
    <col min="15877" max="15877" width="11" style="383" customWidth="1"/>
    <col min="15878" max="15878" width="15.125" style="383" customWidth="1"/>
    <col min="15879" max="15879" width="14.75" style="383" customWidth="1"/>
    <col min="15880" max="15880" width="14.375" style="383" customWidth="1"/>
    <col min="15881" max="15881" width="11.125" style="383" customWidth="1"/>
    <col min="15882" max="16129" width="9" style="383"/>
    <col min="16130" max="16130" width="5.5" style="383" customWidth="1"/>
    <col min="16131" max="16131" width="10.625" style="383" customWidth="1"/>
    <col min="16132" max="16132" width="4.25" style="383" customWidth="1"/>
    <col min="16133" max="16133" width="11" style="383" customWidth="1"/>
    <col min="16134" max="16134" width="15.125" style="383" customWidth="1"/>
    <col min="16135" max="16135" width="14.75" style="383" customWidth="1"/>
    <col min="16136" max="16136" width="14.375" style="383" customWidth="1"/>
    <col min="16137" max="16137" width="11.125" style="383" customWidth="1"/>
    <col min="16138" max="16384" width="9" style="383"/>
  </cols>
  <sheetData>
    <row r="1" spans="1:9" s="40" customFormat="1" ht="5.0999999999999996" customHeight="1">
      <c r="C1" s="91"/>
      <c r="D1" s="91"/>
      <c r="E1" s="91"/>
      <c r="F1" s="91"/>
      <c r="G1" s="91"/>
      <c r="H1" s="91"/>
      <c r="I1" s="91"/>
    </row>
    <row r="2" spans="1:9" s="40" customFormat="1" ht="34.5" customHeight="1">
      <c r="A2" s="1791" t="s">
        <v>2613</v>
      </c>
      <c r="B2" s="1791"/>
      <c r="C2" s="1791"/>
      <c r="D2" s="1791"/>
      <c r="E2" s="1791"/>
      <c r="F2" s="1791"/>
      <c r="G2" s="1791"/>
      <c r="H2" s="1791"/>
      <c r="I2" s="113"/>
    </row>
    <row r="3" spans="1:9" s="40" customFormat="1" ht="33" customHeight="1">
      <c r="B3" s="92"/>
      <c r="C3" s="92"/>
      <c r="D3" s="92"/>
      <c r="E3" s="92"/>
      <c r="F3" s="92"/>
      <c r="G3" s="92"/>
      <c r="H3" s="92"/>
      <c r="I3" s="92"/>
    </row>
    <row r="4" spans="1:9" s="41" customFormat="1" ht="24" customHeight="1">
      <c r="B4" s="69" t="s">
        <v>732</v>
      </c>
      <c r="D4" s="69" t="str">
        <f>'1.공사계획서'!B4</f>
        <v xml:space="preserve"> 동해안#1 변환소 전력통신설비 시설공사</v>
      </c>
    </row>
    <row r="5" spans="1:9" s="41" customFormat="1" ht="13.5" customHeight="1">
      <c r="B5" s="69"/>
      <c r="D5" s="69"/>
    </row>
    <row r="6" spans="1:9" s="41" customFormat="1" ht="24" customHeight="1">
      <c r="B6" s="69" t="s">
        <v>120</v>
      </c>
    </row>
    <row r="7" spans="1:9" s="667" customFormat="1" ht="24" customHeight="1">
      <c r="B7" s="1510"/>
      <c r="C7" s="667" t="s">
        <v>2578</v>
      </c>
    </row>
    <row r="8" spans="1:9" s="667" customFormat="1" ht="24" customHeight="1">
      <c r="B8" s="1510"/>
      <c r="C8" s="667" t="s">
        <v>2972</v>
      </c>
    </row>
    <row r="9" spans="1:9" s="41" customFormat="1" ht="13.5" customHeight="1">
      <c r="D9" s="93"/>
      <c r="E9" s="10"/>
      <c r="F9" s="10"/>
      <c r="G9" s="10"/>
      <c r="H9" s="10"/>
      <c r="I9" s="10"/>
    </row>
    <row r="10" spans="1:9" s="41" customFormat="1" ht="24" customHeight="1">
      <c r="B10" s="1295" t="s">
        <v>121</v>
      </c>
      <c r="C10" s="1296"/>
      <c r="D10" s="1296"/>
      <c r="E10" s="1296"/>
      <c r="F10" s="1296"/>
      <c r="G10" s="1296"/>
    </row>
    <row r="11" spans="1:9" s="41" customFormat="1" ht="24" customHeight="1">
      <c r="B11" s="1295"/>
      <c r="C11" s="1296" t="s">
        <v>3233</v>
      </c>
      <c r="D11" s="1296"/>
      <c r="E11" s="1296"/>
      <c r="F11" s="1296"/>
      <c r="G11" s="1296"/>
      <c r="H11" s="1296"/>
    </row>
    <row r="12" spans="1:9" s="41" customFormat="1" ht="24" customHeight="1">
      <c r="B12" s="1295"/>
      <c r="C12" s="1296" t="s">
        <v>122</v>
      </c>
      <c r="D12" s="1296"/>
      <c r="E12" s="1296"/>
      <c r="F12" s="1296"/>
      <c r="G12" s="1296"/>
      <c r="H12" s="1296"/>
    </row>
    <row r="13" spans="1:9" s="667" customFormat="1" ht="24" customHeight="1">
      <c r="B13" s="1297"/>
      <c r="C13" s="1297" t="s">
        <v>3177</v>
      </c>
      <c r="D13" s="1297"/>
      <c r="E13" s="1297"/>
      <c r="F13" s="1297"/>
      <c r="G13" s="1297"/>
      <c r="H13" s="1297"/>
    </row>
    <row r="14" spans="1:9" s="667" customFormat="1" ht="24" customHeight="1">
      <c r="B14" s="1297"/>
      <c r="C14" s="1297" t="s">
        <v>3226</v>
      </c>
      <c r="D14" s="1297"/>
      <c r="E14" s="1297"/>
      <c r="F14" s="1297"/>
      <c r="G14" s="1297"/>
      <c r="H14" s="1297"/>
    </row>
    <row r="15" spans="1:9" s="667" customFormat="1" ht="24" customHeight="1">
      <c r="B15" s="1297"/>
      <c r="C15" s="1296" t="s">
        <v>3328</v>
      </c>
      <c r="D15" s="1297"/>
      <c r="E15" s="1297"/>
      <c r="F15" s="1297"/>
      <c r="G15" s="1297"/>
    </row>
    <row r="16" spans="1:9" s="41" customFormat="1" ht="24" customHeight="1">
      <c r="B16" s="1296"/>
      <c r="C16" s="1296" t="s">
        <v>3159</v>
      </c>
      <c r="D16" s="1296"/>
      <c r="E16" s="1296"/>
      <c r="F16" s="1296"/>
      <c r="G16" s="1296"/>
    </row>
    <row r="17" spans="2:16" s="41" customFormat="1" ht="13.5" customHeight="1">
      <c r="B17" s="1296"/>
      <c r="C17" s="1296"/>
      <c r="D17" s="1298"/>
      <c r="E17" s="1296"/>
      <c r="F17" s="1296"/>
      <c r="G17" s="1296"/>
    </row>
    <row r="18" spans="2:16" s="10" customFormat="1" ht="17.25">
      <c r="B18" s="1295" t="s">
        <v>1441</v>
      </c>
      <c r="C18" s="1295"/>
      <c r="D18" s="1299"/>
      <c r="E18" s="1299"/>
      <c r="F18" s="1296"/>
      <c r="G18" s="1296"/>
      <c r="H18" s="41"/>
      <c r="I18" s="41"/>
      <c r="L18" s="41"/>
    </row>
    <row r="19" spans="2:16" s="10" customFormat="1" ht="23.25" customHeight="1">
      <c r="B19" s="1295"/>
      <c r="C19" s="1296" t="str">
        <f>'1.공사계획서'!B13</f>
        <v xml:space="preserve"> ○ 광단말장치 (411200102250011)</v>
      </c>
      <c r="D19" s="1296"/>
      <c r="E19" s="1299"/>
      <c r="F19" s="1296"/>
      <c r="G19" s="1296"/>
      <c r="H19" s="41"/>
      <c r="I19" s="41"/>
      <c r="L19" s="41"/>
      <c r="M19" s="41"/>
      <c r="N19" s="41"/>
      <c r="O19" s="41"/>
      <c r="P19" s="41"/>
    </row>
    <row r="20" spans="2:16" s="10" customFormat="1" ht="23.25" customHeight="1">
      <c r="B20" s="1295"/>
      <c r="C20" s="1296" t="str">
        <f>'1.공사계획서'!B14</f>
        <v xml:space="preserve"> ○ LAN설비 (421100101250010)</v>
      </c>
      <c r="D20" s="1296"/>
      <c r="E20" s="1299"/>
      <c r="F20" s="1296"/>
      <c r="G20" s="1296"/>
      <c r="H20" s="41"/>
      <c r="I20" s="41"/>
      <c r="L20" s="41"/>
    </row>
    <row r="21" spans="2:16" s="10" customFormat="1" ht="23.25" customHeight="1">
      <c r="B21" s="1295"/>
      <c r="C21" s="1296" t="str">
        <f>'1.공사계획서'!B15</f>
        <v xml:space="preserve"> ○ 급전전화 (421100105250004)</v>
      </c>
      <c r="D21" s="1296"/>
      <c r="E21" s="1299"/>
      <c r="F21" s="1296"/>
      <c r="G21" s="1296"/>
      <c r="H21" s="41"/>
      <c r="I21" s="41"/>
      <c r="L21" s="41"/>
      <c r="M21" s="41"/>
      <c r="N21" s="41"/>
      <c r="O21" s="41"/>
      <c r="P21" s="41"/>
    </row>
    <row r="22" spans="2:16" s="10" customFormat="1" ht="23.25" customHeight="1">
      <c r="B22" s="1295"/>
      <c r="C22" s="1296" t="str">
        <f>'1.공사계획서'!B16</f>
        <v xml:space="preserve"> ○ 전원설비 (421300103250036)</v>
      </c>
      <c r="D22" s="1296"/>
      <c r="E22" s="1299"/>
      <c r="F22" s="1296"/>
      <c r="G22" s="1296"/>
      <c r="H22" s="41"/>
      <c r="I22" s="41"/>
      <c r="L22" s="41"/>
    </row>
    <row r="23" spans="2:16" s="10" customFormat="1" ht="23.25" customHeight="1">
      <c r="B23" s="1295"/>
      <c r="C23" s="1296" t="str">
        <f>'1.공사계획서'!B17</f>
        <v xml:space="preserve"> ○ 시설보안 (421300102250021)</v>
      </c>
      <c r="D23" s="1295"/>
      <c r="E23" s="1296"/>
      <c r="F23" s="1296"/>
      <c r="G23" s="1296"/>
      <c r="H23" s="41"/>
      <c r="I23" s="41"/>
    </row>
    <row r="24" spans="2:16" s="10" customFormat="1" ht="13.5" customHeight="1">
      <c r="B24" s="1295"/>
      <c r="C24" s="1296"/>
      <c r="D24" s="1295"/>
      <c r="E24" s="1296"/>
      <c r="F24" s="1296"/>
      <c r="G24" s="1296"/>
      <c r="H24" s="41"/>
      <c r="I24" s="41"/>
    </row>
    <row r="25" spans="2:16" s="10" customFormat="1" ht="24" customHeight="1">
      <c r="B25" s="69" t="s">
        <v>123</v>
      </c>
      <c r="C25" s="69"/>
      <c r="D25" s="93" t="s">
        <v>313</v>
      </c>
      <c r="F25" s="41"/>
      <c r="G25" s="41"/>
      <c r="H25" s="41"/>
      <c r="I25" s="41"/>
    </row>
    <row r="26" spans="2:16" s="10" customFormat="1" ht="13.5" customHeight="1">
      <c r="B26" s="69"/>
      <c r="C26" s="69"/>
      <c r="D26" s="69"/>
      <c r="E26" s="93"/>
      <c r="F26" s="41"/>
      <c r="G26" s="41"/>
      <c r="H26" s="41"/>
      <c r="I26" s="41"/>
    </row>
    <row r="27" spans="2:16" s="10" customFormat="1" ht="24" customHeight="1">
      <c r="B27" s="69" t="s">
        <v>276</v>
      </c>
      <c r="C27" s="69"/>
      <c r="E27" s="1790">
        <f>SUM(F29:F30)</f>
        <v>1559803143.8800001</v>
      </c>
      <c r="F27" s="1790"/>
      <c r="G27" s="94"/>
      <c r="H27" s="95"/>
      <c r="I27" s="41"/>
    </row>
    <row r="28" spans="2:16" s="10" customFormat="1" ht="24" customHeight="1">
      <c r="B28" s="41" t="s">
        <v>1410</v>
      </c>
      <c r="D28" s="69"/>
      <c r="E28" s="95"/>
      <c r="F28" s="153">
        <f>ROUND((F29+F30)*1.1,1)</f>
        <v>1715783458.3</v>
      </c>
      <c r="G28" s="382"/>
      <c r="H28" s="41"/>
      <c r="I28" s="41"/>
    </row>
    <row r="29" spans="2:16" s="10" customFormat="1" ht="24" customHeight="1">
      <c r="B29" s="41" t="s">
        <v>1407</v>
      </c>
      <c r="D29" s="69"/>
      <c r="E29" s="95"/>
      <c r="F29" s="153">
        <f>'6.공사비예산서'!E8</f>
        <v>1056959053</v>
      </c>
      <c r="G29" s="382"/>
      <c r="H29" s="41"/>
      <c r="I29" s="41"/>
    </row>
    <row r="30" spans="2:16" s="10" customFormat="1" ht="24" customHeight="1">
      <c r="B30" s="41" t="s">
        <v>1408</v>
      </c>
      <c r="D30" s="69"/>
      <c r="E30" s="95"/>
      <c r="F30" s="153">
        <f>'6.공사비예산서'!E9</f>
        <v>502844090.88</v>
      </c>
      <c r="G30" s="382"/>
      <c r="H30" s="41"/>
      <c r="I30" s="41"/>
    </row>
    <row r="31" spans="2:16" s="10" customFormat="1" ht="24" customHeight="1">
      <c r="B31" s="41" t="s">
        <v>1409</v>
      </c>
      <c r="D31" s="69"/>
      <c r="E31" s="95"/>
      <c r="F31" s="153">
        <f>'6.공사비예산서'!E10</f>
        <v>50284409</v>
      </c>
      <c r="G31" s="382"/>
      <c r="H31" s="41"/>
      <c r="I31" s="41"/>
    </row>
    <row r="32" spans="2:16" s="10" customFormat="1" ht="13.5" customHeight="1">
      <c r="B32" s="69"/>
      <c r="C32" s="41"/>
      <c r="D32" s="69"/>
      <c r="E32" s="150"/>
      <c r="F32" s="150"/>
      <c r="G32" s="382"/>
      <c r="H32" s="41"/>
      <c r="I32" s="41"/>
    </row>
    <row r="33" spans="2:11" s="10" customFormat="1" ht="24" customHeight="1">
      <c r="B33" s="69" t="s">
        <v>124</v>
      </c>
      <c r="C33" s="69"/>
      <c r="D33" s="93" t="s">
        <v>3223</v>
      </c>
      <c r="F33" s="41"/>
      <c r="G33" s="41"/>
      <c r="H33" s="41"/>
      <c r="I33" s="41"/>
    </row>
    <row r="34" spans="2:11" s="10" customFormat="1" ht="13.5" customHeight="1">
      <c r="B34" s="69"/>
      <c r="C34" s="41"/>
      <c r="D34" s="69"/>
      <c r="E34" s="150"/>
      <c r="F34" s="150"/>
      <c r="G34" s="382"/>
      <c r="H34" s="41"/>
      <c r="I34" s="41"/>
    </row>
    <row r="35" spans="2:11" s="10" customFormat="1" ht="24" customHeight="1">
      <c r="B35" s="69" t="s">
        <v>314</v>
      </c>
      <c r="C35" s="69"/>
      <c r="D35" s="93" t="s">
        <v>854</v>
      </c>
      <c r="F35" s="41"/>
      <c r="G35" s="41"/>
      <c r="H35" s="41"/>
      <c r="I35" s="41"/>
      <c r="K35" s="10" t="s">
        <v>879</v>
      </c>
    </row>
    <row r="36" spans="2:11" s="10" customFormat="1" ht="13.5" customHeight="1">
      <c r="B36" s="69"/>
      <c r="C36" s="41"/>
      <c r="D36" s="69"/>
      <c r="E36" s="150"/>
      <c r="F36" s="150"/>
      <c r="G36" s="382"/>
      <c r="H36" s="41"/>
      <c r="I36" s="41"/>
      <c r="K36" s="10" t="s">
        <v>880</v>
      </c>
    </row>
    <row r="37" spans="2:11" s="10" customFormat="1" ht="24" customHeight="1">
      <c r="B37" s="69" t="s">
        <v>315</v>
      </c>
      <c r="C37" s="69"/>
      <c r="D37" s="93" t="s">
        <v>316</v>
      </c>
      <c r="F37" s="41"/>
      <c r="G37" s="41"/>
      <c r="H37" s="41"/>
      <c r="I37" s="41"/>
    </row>
    <row r="38" spans="2:11" s="10" customFormat="1" ht="9.9499999999999993" customHeight="1">
      <c r="B38" s="93"/>
      <c r="C38" s="93"/>
      <c r="D38" s="93"/>
      <c r="E38" s="93"/>
      <c r="F38" s="41"/>
      <c r="G38" s="41"/>
      <c r="H38" s="41"/>
      <c r="I38" s="41"/>
    </row>
  </sheetData>
  <mergeCells count="2">
    <mergeCell ref="E27:F27"/>
    <mergeCell ref="A2:H2"/>
  </mergeCells>
  <phoneticPr fontId="35" type="noConversion"/>
  <pageMargins left="0.69" right="0.45" top="0.78740157480314965" bottom="0.31496062992125984" header="0.31496062992125984" footer="0.19685039370078741"/>
  <pageSetup paperSize="9" scale="92"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CF538-AEEE-4766-8474-0B32037E4B28}">
  <dimension ref="A1:R38"/>
  <sheetViews>
    <sheetView showGridLines="0" view="pageBreakPreview" topLeftCell="A10" zoomScale="85" zoomScaleNormal="55" zoomScaleSheetLayoutView="85" workbookViewId="0">
      <selection activeCell="L24" sqref="L24"/>
    </sheetView>
  </sheetViews>
  <sheetFormatPr defaultColWidth="9" defaultRowHeight="16.5"/>
  <cols>
    <col min="1" max="1" width="11.125" style="1263" customWidth="1"/>
    <col min="2" max="6" width="11" style="1263" customWidth="1"/>
    <col min="7" max="7" width="11.625" style="1263" customWidth="1"/>
    <col min="8" max="9" width="6.5" style="1263" customWidth="1"/>
    <col min="10" max="16" width="11" style="1263" hidden="1" customWidth="1"/>
    <col min="17" max="18" width="11.125" style="1263" hidden="1" customWidth="1"/>
    <col min="19" max="16384" width="9" style="159"/>
  </cols>
  <sheetData>
    <row r="1" spans="1:18" ht="9.9499999999999993" customHeight="1"/>
    <row r="2" spans="1:18" ht="24.95" customHeight="1">
      <c r="A2" s="1792"/>
      <c r="B2" s="1792"/>
      <c r="C2" s="1792"/>
      <c r="D2" s="1792"/>
      <c r="E2" s="1792"/>
      <c r="F2" s="1792"/>
      <c r="G2" s="1792"/>
      <c r="H2" s="1792"/>
      <c r="I2" s="1792"/>
      <c r="J2" s="1792"/>
      <c r="K2" s="1792"/>
      <c r="L2" s="1792"/>
      <c r="M2" s="1792"/>
      <c r="N2" s="1792"/>
      <c r="O2" s="1792"/>
      <c r="P2" s="1792"/>
      <c r="Q2" s="1792"/>
      <c r="R2" s="1792"/>
    </row>
    <row r="3" spans="1:18" ht="24.95" customHeight="1">
      <c r="A3" s="1792"/>
      <c r="B3" s="1792"/>
      <c r="C3" s="1792"/>
      <c r="D3" s="1792"/>
      <c r="E3" s="1792"/>
      <c r="F3" s="1792"/>
      <c r="G3" s="1792"/>
      <c r="H3" s="1792"/>
      <c r="I3" s="1792"/>
      <c r="J3" s="1792"/>
      <c r="K3" s="1792"/>
      <c r="L3" s="1792"/>
      <c r="M3" s="1792"/>
      <c r="N3" s="1792"/>
      <c r="O3" s="1792"/>
      <c r="P3" s="1792"/>
      <c r="Q3" s="1792"/>
      <c r="R3" s="1792"/>
    </row>
    <row r="4" spans="1:18" s="160" customFormat="1" ht="35.1" customHeight="1">
      <c r="A4" s="1264" t="s">
        <v>2628</v>
      </c>
      <c r="B4" s="1265"/>
      <c r="C4" s="1265"/>
      <c r="D4" s="1265"/>
      <c r="E4" s="1265"/>
      <c r="F4" s="1265"/>
      <c r="G4" s="1265"/>
      <c r="H4" s="1265"/>
      <c r="I4" s="1265"/>
      <c r="J4" s="1264" t="s">
        <v>2403</v>
      </c>
      <c r="K4" s="1265"/>
      <c r="L4" s="1265"/>
      <c r="M4" s="1265"/>
      <c r="N4" s="1265"/>
      <c r="O4" s="1265"/>
      <c r="P4" s="1265"/>
      <c r="Q4" s="1265"/>
      <c r="R4" s="1265"/>
    </row>
    <row r="5" spans="1:18" s="161" customFormat="1" ht="29.1" customHeight="1">
      <c r="A5" s="1267" t="s">
        <v>140</v>
      </c>
      <c r="B5" s="1793" t="s">
        <v>324</v>
      </c>
      <c r="C5" s="1794"/>
      <c r="D5" s="1794"/>
      <c r="E5" s="1794"/>
      <c r="F5" s="1794"/>
      <c r="G5" s="1795"/>
      <c r="H5" s="1793" t="s">
        <v>39</v>
      </c>
      <c r="I5" s="1795"/>
      <c r="J5" s="1266" t="s">
        <v>140</v>
      </c>
      <c r="K5" s="1796" t="s">
        <v>324</v>
      </c>
      <c r="L5" s="1796"/>
      <c r="M5" s="1796"/>
      <c r="N5" s="1796"/>
      <c r="O5" s="1796"/>
      <c r="P5" s="1796"/>
      <c r="Q5" s="1794" t="s">
        <v>325</v>
      </c>
      <c r="R5" s="1795"/>
    </row>
    <row r="6" spans="1:18" s="161" customFormat="1" ht="29.1" customHeight="1">
      <c r="A6" s="1803" t="s">
        <v>326</v>
      </c>
      <c r="B6" s="1268"/>
      <c r="C6" s="1268"/>
      <c r="D6" s="1268"/>
      <c r="E6" s="1268"/>
      <c r="F6" s="1268"/>
      <c r="G6" s="1268"/>
      <c r="H6" s="1269"/>
      <c r="I6" s="1270"/>
      <c r="J6" s="1806" t="s">
        <v>326</v>
      </c>
      <c r="K6" s="1268"/>
      <c r="L6" s="1268"/>
      <c r="M6" s="1268"/>
      <c r="N6" s="1268"/>
      <c r="O6" s="1268"/>
      <c r="P6" s="1268"/>
      <c r="Q6" s="1271"/>
      <c r="R6" s="1270"/>
    </row>
    <row r="7" spans="1:18" s="161" customFormat="1" ht="29.1" customHeight="1">
      <c r="A7" s="1804"/>
      <c r="B7" s="1272"/>
      <c r="C7" s="1272"/>
      <c r="D7" s="1272"/>
      <c r="E7" s="1272"/>
      <c r="F7" s="1272"/>
      <c r="G7" s="1272"/>
      <c r="H7" s="1273"/>
      <c r="I7" s="1274"/>
      <c r="J7" s="1807"/>
      <c r="K7" s="1272"/>
      <c r="L7" s="1272"/>
      <c r="M7" s="1272"/>
      <c r="N7" s="1272"/>
      <c r="O7" s="1272"/>
      <c r="P7" s="1272"/>
      <c r="Q7" s="1275"/>
      <c r="R7" s="1274"/>
    </row>
    <row r="8" spans="1:18" s="161" customFormat="1" ht="29.1" customHeight="1">
      <c r="A8" s="1804"/>
      <c r="B8" s="1272"/>
      <c r="C8" s="1272"/>
      <c r="D8" s="1272"/>
      <c r="E8" s="1272"/>
      <c r="F8" s="1272"/>
      <c r="G8" s="1272"/>
      <c r="H8" s="1273"/>
      <c r="I8" s="1274"/>
      <c r="J8" s="1807"/>
      <c r="K8" s="1272"/>
      <c r="L8" s="1272"/>
      <c r="M8" s="1272"/>
      <c r="N8" s="1272"/>
      <c r="O8" s="1272"/>
      <c r="P8" s="1272"/>
      <c r="Q8" s="1275"/>
      <c r="R8" s="1274"/>
    </row>
    <row r="9" spans="1:18" s="161" customFormat="1" ht="29.1" customHeight="1">
      <c r="A9" s="1804"/>
      <c r="B9" s="1272"/>
      <c r="C9" s="1272"/>
      <c r="D9" s="1272"/>
      <c r="E9" s="1272"/>
      <c r="F9" s="1272"/>
      <c r="G9" s="1272"/>
      <c r="H9" s="1273"/>
      <c r="I9" s="1274"/>
      <c r="J9" s="1807"/>
      <c r="K9" s="1272"/>
      <c r="L9" s="1272"/>
      <c r="M9" s="1272"/>
      <c r="N9" s="1272"/>
      <c r="O9" s="1272"/>
      <c r="P9" s="1272"/>
      <c r="Q9" s="1275"/>
      <c r="R9" s="1274"/>
    </row>
    <row r="10" spans="1:18" s="161" customFormat="1" ht="29.1" customHeight="1">
      <c r="A10" s="1804"/>
      <c r="B10" s="1272"/>
      <c r="C10" s="1272"/>
      <c r="D10" s="1272"/>
      <c r="E10" s="1272"/>
      <c r="F10" s="1272"/>
      <c r="G10" s="1272"/>
      <c r="H10" s="1273"/>
      <c r="I10" s="1274"/>
      <c r="J10" s="1807"/>
      <c r="K10" s="1272"/>
      <c r="L10" s="1272"/>
      <c r="N10" s="1272"/>
      <c r="O10" s="1272"/>
      <c r="P10" s="1272"/>
      <c r="Q10" s="1275"/>
      <c r="R10" s="1274"/>
    </row>
    <row r="11" spans="1:18" s="161" customFormat="1" ht="29.1" customHeight="1">
      <c r="A11" s="1804"/>
      <c r="B11" s="1272"/>
      <c r="C11" s="1272"/>
      <c r="D11" s="1272"/>
      <c r="E11" s="1272"/>
      <c r="F11" s="1272"/>
      <c r="G11" s="1272"/>
      <c r="H11" s="1273"/>
      <c r="I11" s="1274"/>
      <c r="J11" s="1807"/>
      <c r="K11" s="1272"/>
      <c r="L11" s="1272"/>
      <c r="M11" s="1272"/>
      <c r="N11" s="1272"/>
      <c r="O11" s="1272"/>
      <c r="P11" s="1272"/>
      <c r="Q11" s="1275"/>
      <c r="R11" s="1274"/>
    </row>
    <row r="12" spans="1:18" s="161" customFormat="1" ht="29.1" customHeight="1">
      <c r="A12" s="1804"/>
      <c r="B12" s="1272"/>
      <c r="C12" s="1272"/>
      <c r="D12" s="1272"/>
      <c r="E12" s="1272"/>
      <c r="F12" s="1272"/>
      <c r="G12"/>
      <c r="H12" s="1273"/>
      <c r="I12" s="1274"/>
      <c r="J12" s="1807"/>
      <c r="K12" s="1272"/>
      <c r="L12" s="1272"/>
      <c r="M12" s="1272"/>
      <c r="N12" s="1272"/>
      <c r="O12" s="1272"/>
      <c r="P12" s="1272"/>
      <c r="Q12" s="1275"/>
      <c r="R12" s="1274"/>
    </row>
    <row r="13" spans="1:18" s="161" customFormat="1" ht="29.1" customHeight="1">
      <c r="A13" s="1804"/>
      <c r="B13" s="1272"/>
      <c r="C13" s="1272"/>
      <c r="D13" s="1272"/>
      <c r="E13" s="1272"/>
      <c r="F13" s="1272"/>
      <c r="G13" s="1272"/>
      <c r="H13" s="1273"/>
      <c r="I13" s="1274"/>
      <c r="J13" s="1807"/>
      <c r="K13" s="1272"/>
      <c r="L13" s="1272"/>
      <c r="M13" s="1272"/>
      <c r="N13" s="1272"/>
      <c r="O13" s="1272"/>
      <c r="P13" s="1272"/>
      <c r="Q13" s="1275"/>
      <c r="R13" s="1274"/>
    </row>
    <row r="14" spans="1:18" s="161" customFormat="1" ht="29.1" customHeight="1">
      <c r="A14" s="1804"/>
      <c r="B14" s="1272"/>
      <c r="C14" s="1272"/>
      <c r="D14" s="1272"/>
      <c r="E14" s="1272"/>
      <c r="F14" s="1272"/>
      <c r="G14" s="1272"/>
      <c r="H14" s="1276"/>
      <c r="I14" s="1274"/>
      <c r="J14" s="1807"/>
      <c r="K14" s="1272"/>
      <c r="L14" s="1272"/>
      <c r="M14" s="1272" t="s">
        <v>1</v>
      </c>
      <c r="N14" s="1272"/>
      <c r="O14" s="1272"/>
      <c r="P14" s="1272"/>
      <c r="Q14" s="1275"/>
      <c r="R14" s="1274"/>
    </row>
    <row r="15" spans="1:18" s="161" customFormat="1" ht="29.1" customHeight="1">
      <c r="A15" s="1805"/>
      <c r="B15" s="1277"/>
      <c r="C15" s="1278"/>
      <c r="D15" s="1278"/>
      <c r="E15" s="1278"/>
      <c r="F15" s="1278"/>
      <c r="G15" s="1278"/>
      <c r="H15" s="1279"/>
      <c r="I15" s="1280"/>
      <c r="J15" s="1808"/>
      <c r="K15" s="1277"/>
      <c r="L15" s="1278"/>
      <c r="M15" s="1278"/>
      <c r="N15" s="1278"/>
      <c r="O15" s="1278"/>
      <c r="P15" s="1278"/>
      <c r="Q15" s="1281"/>
      <c r="R15" s="1280"/>
    </row>
    <row r="16" spans="1:18" s="161" customFormat="1" ht="29.1" customHeight="1">
      <c r="A16" s="1803" t="s">
        <v>327</v>
      </c>
      <c r="B16" s="1272"/>
      <c r="C16" s="1272"/>
      <c r="D16" s="1272"/>
      <c r="E16" s="1272"/>
      <c r="F16" s="1272"/>
      <c r="G16" s="1272"/>
      <c r="H16" s="1282"/>
      <c r="I16" s="1559"/>
      <c r="J16" s="1558"/>
      <c r="K16" s="1272"/>
      <c r="L16" s="1272"/>
      <c r="M16" s="1272"/>
      <c r="N16" s="1272"/>
      <c r="O16" s="1272"/>
      <c r="P16" s="1272"/>
      <c r="Q16" s="1275"/>
      <c r="R16" s="1274"/>
    </row>
    <row r="17" spans="1:18" s="161" customFormat="1" ht="29.1" customHeight="1">
      <c r="A17" s="1809"/>
      <c r="B17" s="1272"/>
      <c r="C17" s="1272"/>
      <c r="D17" s="1272"/>
      <c r="E17" s="1272"/>
      <c r="F17" s="1272"/>
      <c r="G17" s="1272"/>
      <c r="H17" s="1551"/>
      <c r="I17" s="1552"/>
      <c r="J17" s="1803" t="s">
        <v>327</v>
      </c>
      <c r="K17" s="631"/>
      <c r="L17" s="631"/>
      <c r="M17" s="631"/>
      <c r="N17" s="631"/>
      <c r="O17" s="631"/>
      <c r="P17" s="1272"/>
      <c r="Q17" s="1276" t="s">
        <v>2405</v>
      </c>
      <c r="R17" s="1270"/>
    </row>
    <row r="18" spans="1:18" s="161" customFormat="1" ht="29.1" customHeight="1">
      <c r="A18" s="1809"/>
      <c r="B18" s="1272"/>
      <c r="C18" s="1272"/>
      <c r="D18" s="1272"/>
      <c r="E18" s="1272"/>
      <c r="F18" s="1272"/>
      <c r="G18" s="1272"/>
      <c r="H18" s="1551"/>
      <c r="I18" s="1552"/>
      <c r="J18" s="1804"/>
      <c r="K18" s="631"/>
      <c r="L18" s="631"/>
      <c r="M18" s="631"/>
      <c r="N18" s="631"/>
      <c r="O18" s="631"/>
      <c r="P18" s="1272"/>
      <c r="Q18" s="1282" t="s">
        <v>2406</v>
      </c>
      <c r="R18" s="1274"/>
    </row>
    <row r="19" spans="1:18" s="161" customFormat="1" ht="29.1" customHeight="1">
      <c r="A19" s="1809"/>
      <c r="B19" s="1272"/>
      <c r="C19" s="1272"/>
      <c r="D19" s="1272"/>
      <c r="E19" s="1272"/>
      <c r="F19" s="1272"/>
      <c r="G19" s="1272"/>
      <c r="H19" s="1551"/>
      <c r="I19" s="1553"/>
      <c r="J19" s="1807"/>
      <c r="K19" s="631"/>
      <c r="L19" s="631"/>
      <c r="M19" s="631"/>
      <c r="N19" s="631"/>
      <c r="O19" s="631"/>
      <c r="P19" s="1272"/>
      <c r="Q19" s="1282"/>
      <c r="R19" s="1283"/>
    </row>
    <row r="20" spans="1:18" s="161" customFormat="1" ht="29.1" customHeight="1">
      <c r="A20" s="1809"/>
      <c r="B20" s="1272"/>
      <c r="C20"/>
      <c r="D20" s="1272"/>
      <c r="E20" s="1272"/>
      <c r="F20" s="1272"/>
      <c r="G20" s="1272"/>
      <c r="H20" s="1551"/>
      <c r="I20" s="1553"/>
      <c r="J20" s="1807"/>
      <c r="K20" s="631"/>
      <c r="L20" s="631"/>
      <c r="M20" s="631"/>
      <c r="N20" s="631"/>
      <c r="O20" s="631"/>
      <c r="P20" s="1272"/>
      <c r="Q20" s="1276" t="s">
        <v>2404</v>
      </c>
      <c r="R20" s="1283"/>
    </row>
    <row r="21" spans="1:18" s="161" customFormat="1" ht="29.1" customHeight="1">
      <c r="A21" s="1809"/>
      <c r="B21" s="1272"/>
      <c r="C21" s="1272"/>
      <c r="D21" s="1272"/>
      <c r="E21" s="1272"/>
      <c r="F21" s="1272"/>
      <c r="G21" s="1272"/>
      <c r="H21" s="1551"/>
      <c r="I21" s="1552"/>
      <c r="J21" s="1807"/>
      <c r="K21" s="631"/>
      <c r="L21" s="631"/>
      <c r="M21" s="631"/>
      <c r="N21" s="631"/>
      <c r="O21" s="631"/>
      <c r="P21" s="1272"/>
      <c r="Q21" s="1282" t="s">
        <v>2406</v>
      </c>
      <c r="R21" s="1274"/>
    </row>
    <row r="22" spans="1:18" s="161" customFormat="1" ht="29.1" customHeight="1">
      <c r="A22" s="1809"/>
      <c r="B22" s="1272"/>
      <c r="C22" s="1272"/>
      <c r="D22" s="1272"/>
      <c r="E22" s="1272"/>
      <c r="F22" s="1272"/>
      <c r="G22" s="1272"/>
      <c r="H22" s="1554"/>
      <c r="I22" s="1552"/>
      <c r="J22" s="1807"/>
      <c r="K22" s="631"/>
      <c r="L22" s="631"/>
      <c r="M22" s="631"/>
      <c r="N22" s="631"/>
      <c r="O22" s="631"/>
      <c r="P22" s="1272"/>
      <c r="Q22" s="1282"/>
      <c r="R22" s="1284"/>
    </row>
    <row r="23" spans="1:18" s="161" customFormat="1" ht="29.1" customHeight="1">
      <c r="A23" s="1809"/>
      <c r="B23" s="1272"/>
      <c r="C23" s="1272"/>
      <c r="D23" s="1272"/>
      <c r="E23" s="1272"/>
      <c r="F23" s="1272"/>
      <c r="G23" s="1272"/>
      <c r="H23" s="1551"/>
      <c r="I23" s="1555"/>
      <c r="J23" s="1807"/>
      <c r="K23" s="631"/>
      <c r="L23" s="631"/>
      <c r="M23" s="631"/>
      <c r="N23" s="631"/>
      <c r="O23" s="631"/>
      <c r="P23" s="1272"/>
      <c r="Q23" s="1276"/>
      <c r="R23" s="1274"/>
    </row>
    <row r="24" spans="1:18" s="161" customFormat="1" ht="29.1" customHeight="1">
      <c r="A24" s="1809"/>
      <c r="B24" s="1272"/>
      <c r="C24" s="1272"/>
      <c r="D24" s="1272"/>
      <c r="E24" s="1272"/>
      <c r="F24" s="1272"/>
      <c r="G24" s="1272"/>
      <c r="H24" s="1551"/>
      <c r="I24" s="1552"/>
      <c r="J24" s="1807"/>
      <c r="K24" s="631"/>
      <c r="L24" s="631"/>
      <c r="M24" s="631"/>
      <c r="N24" s="631"/>
      <c r="O24" s="631"/>
      <c r="P24" s="1272"/>
      <c r="Q24" s="1282"/>
      <c r="R24" s="1274"/>
    </row>
    <row r="25" spans="1:18" s="161" customFormat="1" ht="29.1" customHeight="1">
      <c r="A25" s="1809"/>
      <c r="B25" s="1272"/>
      <c r="C25" s="1272"/>
      <c r="D25" s="1272"/>
      <c r="E25" s="1272"/>
      <c r="F25" s="1272"/>
      <c r="G25" s="1272"/>
      <c r="H25" s="1551"/>
      <c r="I25" s="1552"/>
      <c r="J25" s="1807"/>
      <c r="K25" s="631"/>
      <c r="L25" s="631"/>
      <c r="M25" s="631"/>
      <c r="N25" s="631"/>
      <c r="O25" s="631"/>
      <c r="P25" s="1272"/>
      <c r="Q25" s="1276"/>
      <c r="R25" s="1284"/>
    </row>
    <row r="26" spans="1:18" s="161" customFormat="1" ht="29.1" customHeight="1">
      <c r="A26" s="1810"/>
      <c r="B26" s="1277"/>
      <c r="C26" s="1278"/>
      <c r="D26" s="1278"/>
      <c r="E26" s="1278"/>
      <c r="F26" s="1278"/>
      <c r="G26" s="1285"/>
      <c r="H26" s="1556"/>
      <c r="I26" s="1557"/>
      <c r="J26" s="1808"/>
      <c r="K26" s="632"/>
      <c r="L26" s="633"/>
      <c r="M26" s="633"/>
      <c r="N26" s="633"/>
      <c r="O26" s="634"/>
      <c r="P26" s="1286"/>
      <c r="Q26" s="1276"/>
      <c r="R26" s="1274"/>
    </row>
    <row r="27" spans="1:18" s="161" customFormat="1" ht="29.1" customHeight="1">
      <c r="A27" s="1797" t="s">
        <v>0</v>
      </c>
      <c r="B27" s="1282" t="s">
        <v>3139</v>
      </c>
      <c r="C27" s="1287"/>
      <c r="D27" s="1287"/>
      <c r="E27" s="1287"/>
      <c r="F27" s="1287"/>
      <c r="G27" s="1287"/>
      <c r="H27" s="1288"/>
      <c r="I27" s="1274"/>
      <c r="J27" s="1800" t="s">
        <v>0</v>
      </c>
      <c r="K27" s="1287" t="s">
        <v>1266</v>
      </c>
      <c r="L27" s="1287"/>
      <c r="M27" s="1287"/>
      <c r="N27" s="1287"/>
      <c r="O27" s="1287"/>
      <c r="P27" s="1287"/>
      <c r="Q27" s="1287"/>
      <c r="R27" s="1270"/>
    </row>
    <row r="28" spans="1:18" s="161" customFormat="1" ht="29.1" customHeight="1">
      <c r="A28" s="1798"/>
      <c r="B28" s="1282" t="s">
        <v>3207</v>
      </c>
      <c r="C28" s="1289"/>
      <c r="D28" s="1289"/>
      <c r="E28" s="1289"/>
      <c r="F28" s="1289"/>
      <c r="G28" s="1289"/>
      <c r="H28" s="1282"/>
      <c r="I28" s="1274"/>
      <c r="J28" s="1801"/>
      <c r="K28" s="1289" t="s">
        <v>2407</v>
      </c>
      <c r="L28" s="1289"/>
      <c r="M28" s="1289"/>
      <c r="N28" s="1289"/>
      <c r="O28" s="1289"/>
      <c r="P28" s="1289"/>
      <c r="Q28" s="1289"/>
      <c r="R28" s="1274"/>
    </row>
    <row r="29" spans="1:18" s="161" customFormat="1" ht="29.1" customHeight="1">
      <c r="A29" s="1798"/>
      <c r="B29" s="1282" t="s">
        <v>3208</v>
      </c>
      <c r="C29" s="1289"/>
      <c r="D29" s="1289"/>
      <c r="E29" s="1289"/>
      <c r="F29" s="1289"/>
      <c r="G29" s="1289"/>
      <c r="H29" s="1282"/>
      <c r="I29" s="1274"/>
      <c r="J29" s="1801"/>
      <c r="K29" s="1289"/>
      <c r="L29" s="1289"/>
      <c r="M29" s="1289"/>
      <c r="N29" s="1289"/>
      <c r="O29" s="1289"/>
      <c r="P29" s="1289"/>
      <c r="Q29" s="1289"/>
      <c r="R29" s="1274"/>
    </row>
    <row r="30" spans="1:18" s="161" customFormat="1" ht="29.1" customHeight="1">
      <c r="A30" s="1799"/>
      <c r="B30" s="1282"/>
      <c r="C30" s="1290"/>
      <c r="D30" s="1290"/>
      <c r="E30" s="1290"/>
      <c r="F30" s="1290"/>
      <c r="G30" s="1290"/>
      <c r="H30" s="1279"/>
      <c r="I30" s="1280"/>
      <c r="J30" s="1802"/>
      <c r="K30" s="1291"/>
      <c r="L30" s="1290"/>
      <c r="M30" s="1290"/>
      <c r="N30" s="1290"/>
      <c r="O30" s="1290"/>
      <c r="P30" s="1290"/>
      <c r="Q30" s="1290"/>
      <c r="R30" s="1280"/>
    </row>
    <row r="31" spans="1:18" ht="27.95" customHeight="1">
      <c r="A31" s="1292"/>
      <c r="B31" s="1262"/>
      <c r="C31" s="1262"/>
      <c r="D31" s="1262"/>
      <c r="E31" s="1262"/>
      <c r="F31" s="1262"/>
      <c r="G31" s="1262"/>
      <c r="H31" s="1262"/>
      <c r="I31" s="1262"/>
      <c r="K31" s="1289"/>
      <c r="L31" s="1289"/>
      <c r="M31" s="1289"/>
      <c r="N31" s="1289"/>
      <c r="O31" s="1289"/>
    </row>
    <row r="32" spans="1:18" ht="26.45" customHeight="1">
      <c r="A32" s="1293"/>
      <c r="K32" s="1289"/>
      <c r="L32" s="1289"/>
      <c r="M32" s="1289"/>
      <c r="N32" s="1289"/>
      <c r="O32" s="1289"/>
    </row>
    <row r="33" spans="1:15" ht="16.5" customHeight="1">
      <c r="A33" s="1293"/>
      <c r="K33" s="1289"/>
      <c r="L33" s="1289"/>
      <c r="M33" s="1289"/>
      <c r="N33" s="1289"/>
      <c r="O33" s="1289"/>
    </row>
    <row r="38" spans="1:15">
      <c r="H38" s="1289"/>
    </row>
  </sheetData>
  <mergeCells count="12">
    <mergeCell ref="A27:A30"/>
    <mergeCell ref="J27:J30"/>
    <mergeCell ref="A6:A15"/>
    <mergeCell ref="J6:J15"/>
    <mergeCell ref="J17:J26"/>
    <mergeCell ref="A16:A26"/>
    <mergeCell ref="A2:I3"/>
    <mergeCell ref="J2:R3"/>
    <mergeCell ref="B5:G5"/>
    <mergeCell ref="H5:I5"/>
    <mergeCell ref="K5:P5"/>
    <mergeCell ref="Q5:R5"/>
  </mergeCells>
  <phoneticPr fontId="60" type="noConversion"/>
  <printOptions horizontalCentered="1"/>
  <pageMargins left="0.23622047244094491" right="0.31496062992125984" top="0.78740157480314965" bottom="0.19685039370078741" header="0.31496062992125984" footer="0.31496062992125984"/>
  <pageSetup paperSize="9" scale="8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40CAD-86A0-4EB4-AB1A-B91FD194976C}">
  <sheetPr>
    <pageSetUpPr fitToPage="1"/>
  </sheetPr>
  <dimension ref="B2:BE45"/>
  <sheetViews>
    <sheetView view="pageBreakPreview" zoomScale="70" zoomScaleNormal="100" zoomScaleSheetLayoutView="70" workbookViewId="0">
      <selection activeCell="L24" sqref="L24"/>
    </sheetView>
  </sheetViews>
  <sheetFormatPr defaultRowHeight="16.5"/>
  <cols>
    <col min="1" max="1" width="1.25" customWidth="1"/>
    <col min="2" max="57" width="3.5" customWidth="1"/>
    <col min="58" max="58" width="1.375" customWidth="1"/>
  </cols>
  <sheetData>
    <row r="2" spans="2:57" ht="27">
      <c r="B2" s="1811" t="s">
        <v>2408</v>
      </c>
      <c r="C2" s="1812"/>
      <c r="D2" s="1812"/>
      <c r="E2" s="1812"/>
      <c r="F2" s="1812"/>
      <c r="G2" s="1812"/>
      <c r="H2" s="1812"/>
      <c r="I2" s="1812"/>
      <c r="J2" s="1812"/>
      <c r="K2" s="1812"/>
      <c r="L2" s="1812"/>
      <c r="M2" s="1812"/>
      <c r="N2" s="1812"/>
      <c r="O2" s="1812"/>
      <c r="P2" s="1812"/>
      <c r="Q2" s="1812"/>
      <c r="R2" s="1812"/>
      <c r="S2" s="1812"/>
      <c r="T2" s="1812"/>
      <c r="U2" s="1812"/>
      <c r="V2" s="1812"/>
      <c r="W2" s="1812"/>
      <c r="X2" s="1812"/>
      <c r="Y2" s="1812"/>
      <c r="Z2" s="1812"/>
      <c r="AA2" s="1812"/>
      <c r="AB2" s="1812"/>
      <c r="AC2" s="1812"/>
      <c r="AD2" s="1812"/>
      <c r="AE2" s="1812"/>
      <c r="AF2" s="1812"/>
      <c r="AG2" s="1812"/>
      <c r="AH2" s="1812"/>
      <c r="AI2" s="1812"/>
      <c r="AJ2" s="1812"/>
      <c r="AK2" s="1812"/>
      <c r="AL2" s="1812"/>
      <c r="AM2" s="1812"/>
      <c r="AN2" s="1812"/>
      <c r="AO2" s="1812"/>
      <c r="AP2" s="1812"/>
      <c r="AQ2" s="1812"/>
      <c r="AR2" s="1812"/>
      <c r="AS2" s="1812"/>
      <c r="AT2" s="1812"/>
      <c r="AU2" s="1812"/>
      <c r="AV2" s="1812"/>
      <c r="AW2" s="1812"/>
      <c r="AX2" s="1812"/>
      <c r="AY2" s="1812"/>
      <c r="AZ2" s="1812"/>
      <c r="BA2" s="1812"/>
      <c r="BB2" s="1812"/>
      <c r="BC2" s="1812"/>
      <c r="BD2" s="1812"/>
      <c r="BE2" s="1812"/>
    </row>
    <row r="4" spans="2:57" ht="17.25" thickBot="1"/>
    <row r="5" spans="2:57">
      <c r="B5" s="805"/>
      <c r="C5" s="164"/>
      <c r="D5" s="164"/>
      <c r="E5" s="164"/>
      <c r="F5" s="164"/>
      <c r="G5" s="164"/>
      <c r="H5" s="164"/>
      <c r="I5" s="164"/>
      <c r="J5" s="164"/>
      <c r="K5" s="164"/>
      <c r="L5" s="164"/>
      <c r="M5" s="164"/>
      <c r="N5" s="164"/>
      <c r="O5" s="164"/>
      <c r="P5" s="164"/>
      <c r="Q5" s="164"/>
      <c r="R5" s="164"/>
      <c r="S5" s="164"/>
      <c r="T5" s="164"/>
      <c r="U5" s="164"/>
      <c r="V5" s="164"/>
      <c r="W5" s="164"/>
      <c r="X5" s="164"/>
      <c r="Y5" s="164"/>
      <c r="Z5" s="164"/>
      <c r="AA5" s="164"/>
      <c r="AB5" s="164"/>
      <c r="AC5" s="164"/>
      <c r="AD5" s="164"/>
      <c r="AE5" s="164"/>
      <c r="AF5" s="164"/>
      <c r="AG5" s="164"/>
      <c r="AH5" s="164"/>
      <c r="AI5" s="164"/>
      <c r="AJ5" s="164"/>
      <c r="AK5" s="164"/>
      <c r="AL5" s="164"/>
      <c r="AM5" s="164"/>
      <c r="AN5" s="164"/>
      <c r="AO5" s="164"/>
      <c r="AP5" s="164"/>
      <c r="AQ5" s="164"/>
      <c r="AR5" s="164"/>
      <c r="AS5" s="164"/>
      <c r="AT5" s="164"/>
      <c r="AU5" s="164"/>
      <c r="AV5" s="164"/>
      <c r="AW5" s="164"/>
      <c r="AX5" s="164"/>
      <c r="AY5" s="164"/>
      <c r="AZ5" s="164"/>
      <c r="BA5" s="164"/>
      <c r="BB5" s="164"/>
      <c r="BC5" s="164"/>
      <c r="BD5" s="164"/>
      <c r="BE5" s="165"/>
    </row>
    <row r="6" spans="2:57">
      <c r="B6" s="166"/>
      <c r="C6" s="167"/>
      <c r="D6" s="167"/>
      <c r="E6" s="167"/>
      <c r="F6" s="167"/>
      <c r="G6" s="167"/>
      <c r="H6" s="167"/>
      <c r="I6" s="167"/>
      <c r="J6" s="167"/>
      <c r="K6" s="167"/>
      <c r="L6" s="167"/>
      <c r="M6" s="167"/>
      <c r="N6" s="167"/>
      <c r="O6" s="167"/>
      <c r="P6" s="167"/>
      <c r="Q6" s="167"/>
      <c r="R6" s="167"/>
      <c r="S6" s="167"/>
      <c r="T6" s="167"/>
      <c r="U6" s="167"/>
      <c r="V6" s="167"/>
      <c r="W6" s="167"/>
      <c r="X6" s="167"/>
      <c r="Y6" s="167"/>
      <c r="Z6" s="167"/>
      <c r="AA6" s="167"/>
      <c r="AB6" s="167"/>
      <c r="AC6" s="167"/>
      <c r="AD6" s="167"/>
      <c r="AE6" s="167"/>
      <c r="AF6" s="167"/>
      <c r="AG6" s="167"/>
      <c r="AH6" s="167"/>
      <c r="AI6" s="167"/>
      <c r="AJ6" s="167"/>
      <c r="AK6" s="167"/>
      <c r="AL6" s="167"/>
      <c r="AM6" s="167"/>
      <c r="AN6" s="167"/>
      <c r="AO6" s="167"/>
      <c r="AP6" s="167"/>
      <c r="AQ6" s="167"/>
      <c r="AR6" s="167"/>
      <c r="AS6" s="167"/>
      <c r="AT6" s="167"/>
      <c r="AU6" s="167"/>
      <c r="AV6" s="167"/>
      <c r="AW6" s="167"/>
      <c r="AX6" s="167"/>
      <c r="AY6" s="167"/>
      <c r="AZ6" s="167"/>
      <c r="BA6" s="167"/>
      <c r="BB6" s="167"/>
      <c r="BC6" s="167"/>
      <c r="BD6" s="167"/>
      <c r="BE6" s="168"/>
    </row>
    <row r="7" spans="2:57">
      <c r="B7" s="166"/>
      <c r="C7" s="167"/>
      <c r="D7" s="167"/>
      <c r="E7" s="167"/>
      <c r="F7" s="167"/>
      <c r="G7" s="167"/>
      <c r="H7" s="167"/>
      <c r="I7" s="167"/>
      <c r="J7" s="167"/>
      <c r="K7" s="167"/>
      <c r="L7" s="167"/>
      <c r="M7" s="167"/>
      <c r="N7" s="167"/>
      <c r="O7" s="167"/>
      <c r="P7" s="167"/>
      <c r="Q7" s="167"/>
      <c r="R7" s="167"/>
      <c r="S7" s="167"/>
      <c r="T7" s="167"/>
      <c r="U7" s="167"/>
      <c r="V7" s="167"/>
      <c r="W7" s="167"/>
      <c r="X7" s="167"/>
      <c r="Y7" s="167"/>
      <c r="Z7" s="167"/>
      <c r="AA7" s="167"/>
      <c r="AB7" s="167"/>
      <c r="AC7" s="167"/>
      <c r="AD7" s="167"/>
      <c r="AE7" s="167"/>
      <c r="AF7" s="167"/>
      <c r="AG7" s="167"/>
      <c r="AH7" s="167"/>
      <c r="AI7" s="167"/>
      <c r="AJ7" s="167"/>
      <c r="AK7" s="167"/>
      <c r="AL7" s="167"/>
      <c r="AM7" s="167"/>
      <c r="AN7" s="167"/>
      <c r="AO7" s="167"/>
      <c r="AP7" s="167"/>
      <c r="AQ7" s="167"/>
      <c r="AR7" s="167"/>
      <c r="AS7" s="167"/>
      <c r="AT7" s="167"/>
      <c r="AU7" s="167"/>
      <c r="AV7" s="167"/>
      <c r="AW7" s="167"/>
      <c r="AX7" s="167"/>
      <c r="AY7" s="167"/>
      <c r="AZ7" s="167"/>
      <c r="BA7" s="167"/>
      <c r="BB7" s="167"/>
      <c r="BC7" s="167"/>
      <c r="BD7" s="167"/>
      <c r="BE7" s="168"/>
    </row>
    <row r="8" spans="2:57">
      <c r="B8" s="166"/>
      <c r="C8" s="167"/>
      <c r="D8" s="167"/>
      <c r="E8" s="167"/>
      <c r="F8" s="167"/>
      <c r="G8" s="167"/>
      <c r="H8" s="167"/>
      <c r="I8" s="167"/>
      <c r="J8" s="167"/>
      <c r="K8" s="167"/>
      <c r="L8" s="167"/>
      <c r="M8" s="167"/>
      <c r="N8" s="167"/>
      <c r="O8" s="167"/>
      <c r="P8" s="167"/>
      <c r="Q8" s="167"/>
      <c r="R8" s="167"/>
      <c r="S8" s="167"/>
      <c r="T8" s="167"/>
      <c r="U8" s="167"/>
      <c r="V8" s="167"/>
      <c r="W8" s="167"/>
      <c r="X8" s="167"/>
      <c r="Y8" s="167"/>
      <c r="Z8" s="167"/>
      <c r="AA8" s="167"/>
      <c r="AB8" s="167"/>
      <c r="AC8" s="167"/>
      <c r="AD8" s="167"/>
      <c r="AE8" s="167"/>
      <c r="AF8" s="167"/>
      <c r="AG8" s="167"/>
      <c r="AH8" s="167"/>
      <c r="AI8" s="167"/>
      <c r="AJ8" s="167"/>
      <c r="AK8" s="167"/>
      <c r="AL8" s="167"/>
      <c r="AM8" s="167"/>
      <c r="AN8" s="167"/>
      <c r="AO8" s="167"/>
      <c r="AP8" s="167"/>
      <c r="AQ8" s="167"/>
      <c r="AR8" s="167"/>
      <c r="AS8" s="167"/>
      <c r="AT8" s="167"/>
      <c r="AU8" s="167"/>
      <c r="AV8" s="167"/>
      <c r="AW8" s="167"/>
      <c r="AX8" s="167"/>
      <c r="AY8" s="167"/>
      <c r="AZ8" s="167"/>
      <c r="BA8" s="167"/>
      <c r="BB8" s="167"/>
      <c r="BC8" s="167"/>
      <c r="BD8" s="167"/>
      <c r="BE8" s="168"/>
    </row>
    <row r="9" spans="2:57">
      <c r="B9" s="166"/>
      <c r="C9" s="167"/>
      <c r="D9" s="167"/>
      <c r="E9" s="167"/>
      <c r="F9" s="167"/>
      <c r="G9" s="167"/>
      <c r="H9" s="167"/>
      <c r="I9" s="167"/>
      <c r="J9" s="167"/>
      <c r="K9" s="167"/>
      <c r="L9" s="167"/>
      <c r="M9" s="167"/>
      <c r="N9" s="167"/>
      <c r="O9" s="167"/>
      <c r="P9" s="167"/>
      <c r="Q9" s="167"/>
      <c r="R9" s="167"/>
      <c r="S9" s="167"/>
      <c r="T9" s="167"/>
      <c r="U9" s="167"/>
      <c r="V9" s="167"/>
      <c r="W9" s="167"/>
      <c r="X9" s="167"/>
      <c r="Y9" s="167"/>
      <c r="Z9" s="167"/>
      <c r="AA9" s="167"/>
      <c r="AB9" s="167"/>
      <c r="AC9" s="167"/>
      <c r="AD9" s="167"/>
      <c r="AE9" s="167"/>
      <c r="AF9" s="167"/>
      <c r="AG9" s="167"/>
      <c r="AH9" s="167"/>
      <c r="AI9" s="167"/>
      <c r="AJ9" s="167"/>
      <c r="AK9" s="167"/>
      <c r="AL9" s="167"/>
      <c r="AM9" s="167"/>
      <c r="AN9" s="167"/>
      <c r="AO9" s="167"/>
      <c r="AP9" s="167"/>
      <c r="AQ9" s="167"/>
      <c r="AR9" s="167"/>
      <c r="AS9" s="167"/>
      <c r="AT9" s="167"/>
      <c r="AU9" s="167"/>
      <c r="AV9" s="167"/>
      <c r="AW9" s="167"/>
      <c r="AX9" s="167"/>
      <c r="AY9" s="167"/>
      <c r="AZ9" s="167"/>
      <c r="BA9" s="167"/>
      <c r="BB9" s="167"/>
      <c r="BC9" s="167"/>
      <c r="BD9" s="167"/>
      <c r="BE9" s="168"/>
    </row>
    <row r="10" spans="2:57">
      <c r="B10" s="166"/>
      <c r="C10" s="167"/>
      <c r="D10" s="167"/>
      <c r="E10" s="167"/>
      <c r="F10" s="167"/>
      <c r="G10" s="167"/>
      <c r="H10" s="167"/>
      <c r="I10" s="167"/>
      <c r="J10" s="167"/>
      <c r="K10" s="167"/>
      <c r="L10" s="167"/>
      <c r="M10" s="167"/>
      <c r="N10" s="167"/>
      <c r="O10" s="167"/>
      <c r="P10" s="167"/>
      <c r="Q10" s="167"/>
      <c r="R10" s="167"/>
      <c r="S10" s="167"/>
      <c r="T10" s="167"/>
      <c r="U10" s="167"/>
      <c r="V10" s="167"/>
      <c r="W10" s="167"/>
      <c r="X10" s="167"/>
      <c r="Y10" s="167"/>
      <c r="Z10" s="167"/>
      <c r="AA10" s="167"/>
      <c r="AB10" s="167"/>
      <c r="AC10" s="167"/>
      <c r="AD10" s="167"/>
      <c r="AE10" s="167"/>
      <c r="AF10" s="167"/>
      <c r="AG10" s="167"/>
      <c r="AH10" s="167"/>
      <c r="AI10" s="167"/>
      <c r="AJ10" s="167"/>
      <c r="AK10" s="167"/>
      <c r="AL10" s="167"/>
      <c r="AM10" s="167"/>
      <c r="AN10" s="167"/>
      <c r="AO10" s="167"/>
      <c r="AP10" s="167"/>
      <c r="AQ10" s="167"/>
      <c r="AR10" s="167"/>
      <c r="AS10" s="167"/>
      <c r="AT10" s="167"/>
      <c r="AU10" s="167"/>
      <c r="AV10" s="167"/>
      <c r="AW10" s="167"/>
      <c r="AX10" s="167"/>
      <c r="AY10" s="167"/>
      <c r="AZ10" s="167"/>
      <c r="BA10" s="167"/>
      <c r="BB10" s="167"/>
      <c r="BC10" s="167"/>
      <c r="BD10" s="167"/>
      <c r="BE10" s="168"/>
    </row>
    <row r="11" spans="2:57">
      <c r="B11" s="166"/>
      <c r="C11" s="167"/>
      <c r="D11" s="167"/>
      <c r="E11" s="167"/>
      <c r="F11" s="167"/>
      <c r="G11" s="167"/>
      <c r="H11" s="167"/>
      <c r="I11" s="167"/>
      <c r="J11" s="167"/>
      <c r="K11" s="167"/>
      <c r="L11" s="167"/>
      <c r="M11" s="167"/>
      <c r="N11" s="167"/>
      <c r="O11" s="167"/>
      <c r="P11" s="167"/>
      <c r="Q11" s="167"/>
      <c r="R11" s="167"/>
      <c r="S11" s="167"/>
      <c r="T11" s="167"/>
      <c r="U11" s="167"/>
      <c r="V11" s="167"/>
      <c r="W11" s="167"/>
      <c r="X11" s="167"/>
      <c r="Y11" s="167"/>
      <c r="Z11" s="167"/>
      <c r="AA11" s="167"/>
      <c r="AB11" s="167"/>
      <c r="AC11" s="167"/>
      <c r="AD11" s="167"/>
      <c r="AE11" s="167"/>
      <c r="AF11" s="167"/>
      <c r="AG11" s="167"/>
      <c r="AH11" s="167"/>
      <c r="AI11" s="167"/>
      <c r="AJ11" s="167"/>
      <c r="AK11" s="167"/>
      <c r="AL11" s="167"/>
      <c r="AM11" s="167"/>
      <c r="AN11" s="167"/>
      <c r="AO11" s="167"/>
      <c r="AP11" s="167"/>
      <c r="AQ11" s="167"/>
      <c r="AR11" s="167"/>
      <c r="AS11" s="167"/>
      <c r="AT11" s="167"/>
      <c r="AU11" s="167"/>
      <c r="AV11" s="167"/>
      <c r="AW11" s="167"/>
      <c r="AX11" s="167"/>
      <c r="AY11" s="167"/>
      <c r="AZ11" s="167"/>
      <c r="BA11" s="167"/>
      <c r="BB11" s="167"/>
      <c r="BC11" s="167"/>
      <c r="BD11" s="167"/>
      <c r="BE11" s="168"/>
    </row>
    <row r="12" spans="2:57">
      <c r="B12" s="166"/>
      <c r="C12" s="167"/>
      <c r="D12" s="167"/>
      <c r="E12" s="167"/>
      <c r="F12" s="167"/>
      <c r="G12" s="167"/>
      <c r="H12" s="167"/>
      <c r="I12" s="167"/>
      <c r="J12" s="167"/>
      <c r="K12" s="167"/>
      <c r="L12" s="167"/>
      <c r="M12" s="167"/>
      <c r="N12" s="167"/>
      <c r="O12" s="167"/>
      <c r="P12" s="167"/>
      <c r="Q12" s="167"/>
      <c r="R12" s="167"/>
      <c r="S12" s="167"/>
      <c r="T12" s="167"/>
      <c r="U12" s="167"/>
      <c r="V12" s="167"/>
      <c r="W12" s="167"/>
      <c r="X12" s="167"/>
      <c r="Y12" s="167"/>
      <c r="Z12" s="167"/>
      <c r="AA12" s="167"/>
      <c r="AB12" s="167"/>
      <c r="AC12" s="167"/>
      <c r="AD12" s="167"/>
      <c r="AE12" s="167"/>
      <c r="AF12" s="167"/>
      <c r="AG12" s="167"/>
      <c r="AH12" s="167"/>
      <c r="AI12" s="167"/>
      <c r="AJ12" s="167"/>
      <c r="AK12" s="167"/>
      <c r="AL12" s="167"/>
      <c r="AM12" s="167"/>
      <c r="AN12" s="167"/>
      <c r="AO12" s="167"/>
      <c r="AP12" s="167"/>
      <c r="AQ12" s="167"/>
      <c r="AR12" s="167"/>
      <c r="AS12" s="167"/>
      <c r="AT12" s="167"/>
      <c r="AU12" s="167"/>
      <c r="AV12" s="167"/>
      <c r="AW12" s="167"/>
      <c r="AX12" s="167"/>
      <c r="AY12" s="167"/>
      <c r="AZ12" s="167"/>
      <c r="BA12" s="167"/>
      <c r="BB12" s="167"/>
      <c r="BC12" s="167"/>
      <c r="BD12" s="167"/>
      <c r="BE12" s="168"/>
    </row>
    <row r="13" spans="2:57">
      <c r="B13" s="166"/>
      <c r="C13" s="167"/>
      <c r="D13" s="167"/>
      <c r="E13" s="167"/>
      <c r="F13" s="167"/>
      <c r="G13" s="167"/>
      <c r="H13" s="167"/>
      <c r="I13" s="167"/>
      <c r="J13" s="167"/>
      <c r="K13" s="167"/>
      <c r="L13" s="167"/>
      <c r="M13" s="167"/>
      <c r="N13" s="167"/>
      <c r="O13" s="167"/>
      <c r="P13" s="167"/>
      <c r="Q13" s="167"/>
      <c r="R13" s="167"/>
      <c r="S13" s="167"/>
      <c r="T13" s="167"/>
      <c r="U13" s="167"/>
      <c r="V13" s="167"/>
      <c r="W13" s="167"/>
      <c r="X13" s="167"/>
      <c r="Y13" s="167"/>
      <c r="Z13" s="167"/>
      <c r="AA13" s="167"/>
      <c r="AB13" s="167"/>
      <c r="AC13" s="167"/>
      <c r="AD13" s="167"/>
      <c r="AE13" s="167"/>
      <c r="AF13" s="167"/>
      <c r="AG13" s="167"/>
      <c r="AH13" s="167"/>
      <c r="AI13" s="167"/>
      <c r="AJ13" s="167"/>
      <c r="AK13" s="167"/>
      <c r="AL13" s="167"/>
      <c r="AM13" s="167"/>
      <c r="AN13" s="167"/>
      <c r="AO13" s="167"/>
      <c r="AP13" s="167"/>
      <c r="AQ13" s="167"/>
      <c r="AR13" s="167"/>
      <c r="AS13" s="167"/>
      <c r="AT13" s="167"/>
      <c r="AU13" s="167"/>
      <c r="AV13" s="167"/>
      <c r="AW13" s="167"/>
      <c r="AX13" s="167"/>
      <c r="AY13" s="167"/>
      <c r="AZ13" s="167"/>
      <c r="BA13" s="167"/>
      <c r="BB13" s="167"/>
      <c r="BC13" s="167"/>
      <c r="BD13" s="167"/>
      <c r="BE13" s="168"/>
    </row>
    <row r="14" spans="2:57">
      <c r="B14" s="166"/>
      <c r="C14" s="167"/>
      <c r="D14" s="167"/>
      <c r="E14" s="167"/>
      <c r="F14" s="167"/>
      <c r="G14" s="167"/>
      <c r="H14" s="167"/>
      <c r="I14" s="167"/>
      <c r="J14" s="167"/>
      <c r="K14" s="167"/>
      <c r="L14" s="167"/>
      <c r="M14" s="167"/>
      <c r="N14" s="167"/>
      <c r="O14" s="167"/>
      <c r="P14" s="167"/>
      <c r="Q14" s="167"/>
      <c r="R14" s="167"/>
      <c r="S14" s="167"/>
      <c r="T14" s="167"/>
      <c r="U14" s="167"/>
      <c r="V14" s="167"/>
      <c r="W14" s="167"/>
      <c r="X14" s="167"/>
      <c r="Y14" s="167"/>
      <c r="Z14" s="167"/>
      <c r="AA14" s="167"/>
      <c r="AB14" s="167"/>
      <c r="AC14" s="167"/>
      <c r="AD14" s="167"/>
      <c r="AE14" s="167"/>
      <c r="AF14" s="167"/>
      <c r="AG14" s="167"/>
      <c r="AH14" s="167"/>
      <c r="AI14" s="167"/>
      <c r="AJ14" s="167"/>
      <c r="AK14" s="167"/>
      <c r="AL14" s="167"/>
      <c r="AM14" s="167"/>
      <c r="AN14" s="167"/>
      <c r="AO14" s="167"/>
      <c r="AP14" s="167"/>
      <c r="AQ14" s="167"/>
      <c r="AR14" s="167"/>
      <c r="AS14" s="167"/>
      <c r="AT14" s="167"/>
      <c r="AU14" s="167"/>
      <c r="AV14" s="167"/>
      <c r="AW14" s="167"/>
      <c r="AX14" s="167"/>
      <c r="AY14" s="167"/>
      <c r="AZ14" s="167"/>
      <c r="BA14" s="167"/>
      <c r="BB14" s="167"/>
      <c r="BC14" s="167"/>
      <c r="BD14" s="167"/>
      <c r="BE14" s="168"/>
    </row>
    <row r="15" spans="2:57">
      <c r="B15" s="166"/>
      <c r="C15" s="167"/>
      <c r="D15" s="167"/>
      <c r="E15" s="167"/>
      <c r="F15" s="167"/>
      <c r="G15" s="167"/>
      <c r="H15" s="167"/>
      <c r="I15" s="167"/>
      <c r="J15" s="167"/>
      <c r="K15" s="167"/>
      <c r="L15" s="167"/>
      <c r="M15" s="167"/>
      <c r="N15" s="167"/>
      <c r="O15" s="167"/>
      <c r="P15" s="167"/>
      <c r="Q15" s="167"/>
      <c r="R15" s="167"/>
      <c r="S15" s="167"/>
      <c r="T15" s="167"/>
      <c r="U15" s="167"/>
      <c r="V15" s="167"/>
      <c r="W15" s="167"/>
      <c r="X15" s="167"/>
      <c r="Y15" s="167"/>
      <c r="Z15" s="167"/>
      <c r="AA15" s="167"/>
      <c r="AB15" s="167"/>
      <c r="AC15" s="167"/>
      <c r="AD15" s="167"/>
      <c r="AE15" s="167"/>
      <c r="AF15" s="167"/>
      <c r="AG15" s="167"/>
      <c r="AH15" s="167"/>
      <c r="AI15" s="167"/>
      <c r="AJ15" s="167"/>
      <c r="AK15" s="167"/>
      <c r="AL15" s="167"/>
      <c r="AM15" s="167"/>
      <c r="AN15" s="167"/>
      <c r="AO15" s="167"/>
      <c r="AP15" s="167"/>
      <c r="AQ15" s="167"/>
      <c r="AR15" s="167"/>
      <c r="AS15" s="167"/>
      <c r="AT15" s="167"/>
      <c r="AU15" s="167"/>
      <c r="AV15" s="167"/>
      <c r="AW15" s="167"/>
      <c r="AX15" s="167"/>
      <c r="AY15" s="167"/>
      <c r="AZ15" s="167"/>
      <c r="BA15" s="167"/>
      <c r="BB15" s="167"/>
      <c r="BC15" s="167"/>
      <c r="BD15" s="167"/>
      <c r="BE15" s="168"/>
    </row>
    <row r="16" spans="2:57">
      <c r="B16" s="166"/>
      <c r="C16" s="167"/>
      <c r="D16" s="167"/>
      <c r="E16" s="167"/>
      <c r="F16" s="167"/>
      <c r="G16" s="167"/>
      <c r="H16" s="167"/>
      <c r="I16" s="167"/>
      <c r="J16" s="167"/>
      <c r="K16" s="167"/>
      <c r="L16" s="167"/>
      <c r="M16" s="167"/>
      <c r="N16" s="167"/>
      <c r="O16" s="167"/>
      <c r="P16" s="167"/>
      <c r="Q16" s="167"/>
      <c r="R16" s="167"/>
      <c r="S16" s="167"/>
      <c r="T16" s="167"/>
      <c r="U16" s="167"/>
      <c r="V16" s="167"/>
      <c r="W16" s="167"/>
      <c r="X16" s="167"/>
      <c r="Y16" s="167"/>
      <c r="Z16" s="167"/>
      <c r="AA16" s="167"/>
      <c r="AB16" s="167"/>
      <c r="AC16" s="167"/>
      <c r="AD16" s="167"/>
      <c r="AE16" s="167"/>
      <c r="AF16" s="167"/>
      <c r="AG16" s="167"/>
      <c r="AH16" s="167"/>
      <c r="AI16" s="167"/>
      <c r="AJ16" s="167"/>
      <c r="AK16" s="167"/>
      <c r="AL16" s="167"/>
      <c r="AM16" s="167"/>
      <c r="AN16" s="167"/>
      <c r="AO16" s="167"/>
      <c r="AP16" s="167"/>
      <c r="AQ16" s="167"/>
      <c r="AR16" s="167"/>
      <c r="AS16" s="167"/>
      <c r="AT16" s="167"/>
      <c r="AU16" s="167"/>
      <c r="AV16" s="167"/>
      <c r="AW16" s="167"/>
      <c r="AX16" s="167"/>
      <c r="AY16" s="167"/>
      <c r="AZ16" s="167"/>
      <c r="BA16" s="167"/>
      <c r="BB16" s="167"/>
      <c r="BC16" s="167"/>
      <c r="BD16" s="167"/>
      <c r="BE16" s="168"/>
    </row>
    <row r="17" spans="2:57">
      <c r="B17" s="166"/>
      <c r="C17" s="167"/>
      <c r="D17" s="167"/>
      <c r="E17" s="167"/>
      <c r="F17" s="167"/>
      <c r="G17" s="167"/>
      <c r="H17" s="167"/>
      <c r="I17" s="167"/>
      <c r="J17" s="167"/>
      <c r="K17" s="167"/>
      <c r="L17" s="167"/>
      <c r="M17" s="167"/>
      <c r="N17" s="167"/>
      <c r="O17" s="167"/>
      <c r="P17" s="167"/>
      <c r="Q17" s="167"/>
      <c r="R17" s="167"/>
      <c r="S17" s="167"/>
      <c r="T17" s="167"/>
      <c r="U17" s="167"/>
      <c r="V17" s="167"/>
      <c r="W17" s="167"/>
      <c r="X17" s="167"/>
      <c r="Y17" s="167"/>
      <c r="Z17" s="167"/>
      <c r="AA17" s="167"/>
      <c r="AB17" s="167"/>
      <c r="AC17" s="167"/>
      <c r="AD17" s="167"/>
      <c r="AE17" s="167"/>
      <c r="AF17" s="167"/>
      <c r="AG17" s="167"/>
      <c r="AH17" s="167"/>
      <c r="AI17" s="167"/>
      <c r="AJ17" s="167"/>
      <c r="AK17" s="167"/>
      <c r="AL17" s="167"/>
      <c r="AM17" s="167"/>
      <c r="AN17" s="167"/>
      <c r="AO17" s="167"/>
      <c r="AP17" s="167"/>
      <c r="AQ17" s="167"/>
      <c r="AR17" s="167"/>
      <c r="AS17" s="167"/>
      <c r="AT17" s="167"/>
      <c r="AU17" s="167"/>
      <c r="AV17" s="167"/>
      <c r="AW17" s="167"/>
      <c r="AX17" s="167"/>
      <c r="AY17" s="167"/>
      <c r="AZ17" s="167"/>
      <c r="BA17" s="167"/>
      <c r="BB17" s="167"/>
      <c r="BC17" s="167"/>
      <c r="BD17" s="167"/>
      <c r="BE17" s="168"/>
    </row>
    <row r="18" spans="2:57">
      <c r="B18" s="166"/>
      <c r="C18" s="167"/>
      <c r="D18" s="167"/>
      <c r="E18" s="167"/>
      <c r="F18" s="167"/>
      <c r="G18" s="167"/>
      <c r="H18" s="167"/>
      <c r="I18" s="167"/>
      <c r="J18" s="167"/>
      <c r="K18" s="167"/>
      <c r="L18" s="167"/>
      <c r="M18" s="167"/>
      <c r="N18" s="167"/>
      <c r="O18" s="167"/>
      <c r="P18" s="167"/>
      <c r="Q18" s="167"/>
      <c r="R18" s="167"/>
      <c r="S18" s="167"/>
      <c r="T18" s="167"/>
      <c r="U18" s="167"/>
      <c r="V18" s="167"/>
      <c r="W18" s="167"/>
      <c r="X18" s="167"/>
      <c r="Y18" s="167"/>
      <c r="Z18" s="167"/>
      <c r="AA18" s="167"/>
      <c r="AB18" s="167"/>
      <c r="AC18" s="167"/>
      <c r="AD18" s="167"/>
      <c r="AE18" s="167"/>
      <c r="AF18" s="167"/>
      <c r="AG18" s="167"/>
      <c r="AH18" s="167"/>
      <c r="AI18" s="167"/>
      <c r="AJ18" s="167"/>
      <c r="AK18" s="167"/>
      <c r="AL18" s="167"/>
      <c r="AM18" s="167"/>
      <c r="AN18" s="167"/>
      <c r="AO18" s="167"/>
      <c r="AP18" s="167"/>
      <c r="AQ18" s="167"/>
      <c r="AR18" s="167"/>
      <c r="AS18" s="167"/>
      <c r="AT18" s="167"/>
      <c r="AU18" s="167"/>
      <c r="AV18" s="167"/>
      <c r="AW18" s="167"/>
      <c r="AX18" s="167"/>
      <c r="AY18" s="167"/>
      <c r="AZ18" s="167"/>
      <c r="BA18" s="167"/>
      <c r="BB18" s="167"/>
      <c r="BC18" s="167"/>
      <c r="BD18" s="167"/>
      <c r="BE18" s="168"/>
    </row>
    <row r="19" spans="2:57">
      <c r="B19" s="166"/>
      <c r="C19" s="167"/>
      <c r="D19" s="167"/>
      <c r="E19" s="167"/>
      <c r="F19" s="167"/>
      <c r="G19" s="167"/>
      <c r="H19" s="167"/>
      <c r="I19" s="167"/>
      <c r="J19" s="167"/>
      <c r="K19" s="167"/>
      <c r="L19" s="167"/>
      <c r="M19" s="167"/>
      <c r="N19" s="167"/>
      <c r="O19" s="167"/>
      <c r="P19" s="167"/>
      <c r="Q19" s="167"/>
      <c r="R19" s="167"/>
      <c r="S19" s="167"/>
      <c r="T19" s="167"/>
      <c r="U19" s="167"/>
      <c r="V19" s="167"/>
      <c r="W19" s="167"/>
      <c r="X19" s="167"/>
      <c r="Y19" s="167"/>
      <c r="Z19" s="167"/>
      <c r="AA19" s="167"/>
      <c r="AB19" s="167"/>
      <c r="AC19" s="167"/>
      <c r="AD19" s="167"/>
      <c r="AE19" s="167"/>
      <c r="AF19" s="167"/>
      <c r="AG19" s="167"/>
      <c r="AH19" s="167"/>
      <c r="AI19" s="167"/>
      <c r="AJ19" s="167"/>
      <c r="AK19" s="167"/>
      <c r="AL19" s="167"/>
      <c r="AM19" s="167"/>
      <c r="AN19" s="167"/>
      <c r="AO19" s="167"/>
      <c r="AP19" s="167"/>
      <c r="AQ19" s="167"/>
      <c r="AR19" s="167"/>
      <c r="AS19" s="167"/>
      <c r="AT19" s="167"/>
      <c r="AU19" s="167"/>
      <c r="AV19" s="167"/>
      <c r="AW19" s="167"/>
      <c r="AX19" s="167"/>
      <c r="AY19" s="167"/>
      <c r="AZ19" s="167"/>
      <c r="BA19" s="167"/>
      <c r="BB19" s="167"/>
      <c r="BC19" s="167"/>
      <c r="BD19" s="167"/>
      <c r="BE19" s="168"/>
    </row>
    <row r="20" spans="2:57">
      <c r="B20" s="166"/>
      <c r="C20" s="167"/>
      <c r="D20" s="167"/>
      <c r="E20" s="167"/>
      <c r="F20" s="167"/>
      <c r="G20" s="167"/>
      <c r="H20" s="167"/>
      <c r="I20" s="167"/>
      <c r="J20" s="167"/>
      <c r="K20" s="167"/>
      <c r="L20" s="167"/>
      <c r="M20" s="167"/>
      <c r="N20" s="167"/>
      <c r="O20" s="167"/>
      <c r="P20" s="167"/>
      <c r="Q20" s="167"/>
      <c r="R20" s="167"/>
      <c r="S20" s="167"/>
      <c r="T20" s="167"/>
      <c r="U20" s="167"/>
      <c r="V20" s="167"/>
      <c r="W20" s="167"/>
      <c r="X20" s="167"/>
      <c r="Y20" s="167"/>
      <c r="Z20" s="167"/>
      <c r="AA20" s="167"/>
      <c r="AB20" s="167"/>
      <c r="AC20" s="167"/>
      <c r="AD20" s="167"/>
      <c r="AE20" s="167"/>
      <c r="AF20" s="167"/>
      <c r="AG20" s="167"/>
      <c r="AH20" s="167"/>
      <c r="AI20" s="167"/>
      <c r="AJ20" s="167"/>
      <c r="AK20" s="167"/>
      <c r="AL20" s="167"/>
      <c r="AM20" s="167"/>
      <c r="AN20" s="167"/>
      <c r="AO20" s="167"/>
      <c r="AP20" s="167"/>
      <c r="AQ20" s="167"/>
      <c r="AR20" s="167"/>
      <c r="AS20" s="167"/>
      <c r="AT20" s="167"/>
      <c r="AU20" s="167"/>
      <c r="AV20" s="167"/>
      <c r="AW20" s="167"/>
      <c r="AX20" s="167"/>
      <c r="AY20" s="167"/>
      <c r="AZ20" s="167"/>
      <c r="BA20" s="167"/>
      <c r="BB20" s="167"/>
      <c r="BC20" s="167"/>
      <c r="BD20" s="167"/>
      <c r="BE20" s="168"/>
    </row>
    <row r="21" spans="2:57">
      <c r="B21" s="166"/>
      <c r="C21" s="167"/>
      <c r="D21" s="167"/>
      <c r="E21" s="167"/>
      <c r="F21" s="167"/>
      <c r="G21" s="167"/>
      <c r="H21" s="167"/>
      <c r="I21" s="167"/>
      <c r="J21" s="167"/>
      <c r="K21" s="167"/>
      <c r="L21" s="167"/>
      <c r="M21" s="167"/>
      <c r="N21" s="167"/>
      <c r="O21" s="167"/>
      <c r="P21" s="167"/>
      <c r="Q21" s="167"/>
      <c r="R21" s="167"/>
      <c r="S21" s="167"/>
      <c r="T21" s="167"/>
      <c r="U21" s="167"/>
      <c r="V21" s="167"/>
      <c r="W21" s="167"/>
      <c r="X21" s="167"/>
      <c r="Y21" s="167"/>
      <c r="Z21" s="167"/>
      <c r="AA21" s="167"/>
      <c r="AB21" s="167"/>
      <c r="AC21" s="167"/>
      <c r="AD21" s="167"/>
      <c r="AE21" s="167"/>
      <c r="AF21" s="167"/>
      <c r="AG21" s="167"/>
      <c r="AH21" s="167"/>
      <c r="AI21" s="167"/>
      <c r="AJ21" s="167"/>
      <c r="AK21" s="167"/>
      <c r="AL21" s="167"/>
      <c r="AM21" s="167"/>
      <c r="AN21" s="167"/>
      <c r="AO21" s="167"/>
      <c r="AP21" s="167"/>
      <c r="AQ21" s="167"/>
      <c r="AR21" s="167"/>
      <c r="AS21" s="167"/>
      <c r="AT21" s="167"/>
      <c r="AU21" s="167"/>
      <c r="AV21" s="167"/>
      <c r="AW21" s="167"/>
      <c r="AX21" s="167"/>
      <c r="AY21" s="167"/>
      <c r="AZ21" s="167"/>
      <c r="BA21" s="167"/>
      <c r="BB21" s="167"/>
      <c r="BC21" s="167"/>
      <c r="BD21" s="167"/>
      <c r="BE21" s="168"/>
    </row>
    <row r="22" spans="2:57">
      <c r="B22" s="166"/>
      <c r="C22" s="167"/>
      <c r="D22" s="167"/>
      <c r="E22" s="167"/>
      <c r="F22" s="167"/>
      <c r="G22" s="167"/>
      <c r="H22" s="167"/>
      <c r="I22" s="167"/>
      <c r="J22" s="167"/>
      <c r="K22" s="167"/>
      <c r="L22" s="167"/>
      <c r="M22" s="167"/>
      <c r="N22" s="167"/>
      <c r="O22" s="167"/>
      <c r="P22" s="167"/>
      <c r="Q22" s="167"/>
      <c r="R22" s="167"/>
      <c r="S22" s="167"/>
      <c r="T22" s="167"/>
      <c r="U22" s="167"/>
      <c r="V22" s="167"/>
      <c r="W22" s="167"/>
      <c r="X22" s="167"/>
      <c r="Y22" s="167"/>
      <c r="Z22" s="167"/>
      <c r="AA22" s="167"/>
      <c r="AB22" s="167"/>
      <c r="AC22" s="167"/>
      <c r="AD22" s="167"/>
      <c r="AE22" s="167"/>
      <c r="AF22" s="167"/>
      <c r="AG22" s="167"/>
      <c r="AH22" s="167"/>
      <c r="AI22" s="167"/>
      <c r="AJ22" s="167"/>
      <c r="AK22" s="167"/>
      <c r="AL22" s="167"/>
      <c r="AM22" s="167"/>
      <c r="AN22" s="167"/>
      <c r="AO22" s="167"/>
      <c r="AP22" s="167"/>
      <c r="AQ22" s="167"/>
      <c r="AR22" s="167"/>
      <c r="AS22" s="167"/>
      <c r="AT22" s="167"/>
      <c r="AU22" s="167"/>
      <c r="AV22" s="167"/>
      <c r="AW22" s="167"/>
      <c r="AX22" s="167"/>
      <c r="AY22" s="167"/>
      <c r="AZ22" s="167"/>
      <c r="BA22" s="167"/>
      <c r="BB22" s="167"/>
      <c r="BC22" s="167"/>
      <c r="BD22" s="167"/>
      <c r="BE22" s="168"/>
    </row>
    <row r="23" spans="2:57">
      <c r="B23" s="166"/>
      <c r="C23" s="167"/>
      <c r="D23" s="167"/>
      <c r="E23" s="167"/>
      <c r="F23" s="167"/>
      <c r="G23" s="167"/>
      <c r="H23" s="167"/>
      <c r="I23" s="167"/>
      <c r="J23" s="167"/>
      <c r="K23" s="167"/>
      <c r="L23" s="167"/>
      <c r="M23" s="167"/>
      <c r="N23" s="167"/>
      <c r="O23" s="167"/>
      <c r="P23" s="167"/>
      <c r="Q23" s="167"/>
      <c r="R23" s="167"/>
      <c r="S23" s="167"/>
      <c r="T23" s="167"/>
      <c r="U23" s="167"/>
      <c r="V23" s="167"/>
      <c r="W23" s="167"/>
      <c r="X23" s="167"/>
      <c r="Y23" s="167"/>
      <c r="Z23" s="167"/>
      <c r="AA23" s="167"/>
      <c r="AB23" s="167"/>
      <c r="AC23" s="167"/>
      <c r="AD23" s="167"/>
      <c r="AE23" s="167"/>
      <c r="AF23" s="167"/>
      <c r="AG23" s="167"/>
      <c r="AH23" s="167"/>
      <c r="AI23" s="167"/>
      <c r="AJ23" s="167"/>
      <c r="AK23" s="167"/>
      <c r="AL23" s="167"/>
      <c r="AM23" s="167"/>
      <c r="AN23" s="167"/>
      <c r="AO23" s="167"/>
      <c r="AP23" s="167"/>
      <c r="AQ23" s="167"/>
      <c r="AR23" s="167"/>
      <c r="AS23" s="167"/>
      <c r="AT23" s="167"/>
      <c r="AU23" s="167"/>
      <c r="AV23" s="167"/>
      <c r="AW23" s="167"/>
      <c r="AX23" s="167"/>
      <c r="AY23" s="167"/>
      <c r="AZ23" s="167"/>
      <c r="BA23" s="167"/>
      <c r="BB23" s="167"/>
      <c r="BC23" s="167"/>
      <c r="BD23" s="167"/>
      <c r="BE23" s="168"/>
    </row>
    <row r="24" spans="2:57">
      <c r="B24" s="166"/>
      <c r="C24" s="167"/>
      <c r="D24" s="167"/>
      <c r="E24" s="167"/>
      <c r="F24" s="167"/>
      <c r="G24" s="167"/>
      <c r="H24" s="167"/>
      <c r="I24" s="167"/>
      <c r="J24" s="167"/>
      <c r="K24" s="167"/>
      <c r="L24" s="167"/>
      <c r="M24" s="167"/>
      <c r="N24" s="167"/>
      <c r="O24" s="167"/>
      <c r="P24" s="167"/>
      <c r="Q24" s="167"/>
      <c r="R24" s="167"/>
      <c r="S24" s="167"/>
      <c r="T24" s="167"/>
      <c r="U24" s="167"/>
      <c r="V24" s="167"/>
      <c r="W24" s="167"/>
      <c r="X24" s="167"/>
      <c r="Y24" s="167"/>
      <c r="Z24" s="167"/>
      <c r="AA24" s="167"/>
      <c r="AB24" s="167"/>
      <c r="AC24" s="167"/>
      <c r="AD24" s="167"/>
      <c r="AE24" s="167"/>
      <c r="AF24" s="167"/>
      <c r="AG24" s="167"/>
      <c r="AH24" s="167"/>
      <c r="AI24" s="167"/>
      <c r="AJ24" s="167"/>
      <c r="AK24" s="167"/>
      <c r="AL24" s="167"/>
      <c r="AM24" s="167"/>
      <c r="AN24" s="167"/>
      <c r="AO24" s="167"/>
      <c r="AP24" s="167"/>
      <c r="AQ24" s="167"/>
      <c r="AR24" s="167"/>
      <c r="AS24" s="167"/>
      <c r="AT24" s="167"/>
      <c r="AU24" s="167"/>
      <c r="AV24" s="167"/>
      <c r="AW24" s="167"/>
      <c r="AX24" s="167"/>
      <c r="AY24" s="167"/>
      <c r="AZ24" s="167"/>
      <c r="BA24" s="167"/>
      <c r="BB24" s="167"/>
      <c r="BC24" s="167"/>
      <c r="BD24" s="167"/>
      <c r="BE24" s="168"/>
    </row>
    <row r="25" spans="2:57">
      <c r="B25" s="166"/>
      <c r="C25" s="167"/>
      <c r="D25" s="167"/>
      <c r="E25" s="167"/>
      <c r="F25" s="167"/>
      <c r="G25" s="167"/>
      <c r="H25" s="167"/>
      <c r="I25" s="167"/>
      <c r="J25" s="167"/>
      <c r="K25" s="167"/>
      <c r="L25" s="167"/>
      <c r="M25" s="167"/>
      <c r="N25" s="167"/>
      <c r="O25" s="167"/>
      <c r="P25" s="167"/>
      <c r="Q25" s="167"/>
      <c r="R25" s="167"/>
      <c r="S25" s="167"/>
      <c r="T25" s="167"/>
      <c r="U25" s="167"/>
      <c r="V25" s="167"/>
      <c r="W25" s="167"/>
      <c r="X25" s="167"/>
      <c r="Y25" s="167"/>
      <c r="Z25" s="167"/>
      <c r="AA25" s="167"/>
      <c r="AB25" s="167"/>
      <c r="AC25" s="167"/>
      <c r="AD25" s="167"/>
      <c r="AE25" s="167"/>
      <c r="AF25" s="167"/>
      <c r="AG25" s="167"/>
      <c r="AH25" s="167"/>
      <c r="AI25" s="167"/>
      <c r="AJ25" s="167"/>
      <c r="AK25" s="167"/>
      <c r="AL25" s="167"/>
      <c r="AM25" s="167"/>
      <c r="AN25" s="167"/>
      <c r="AO25" s="167"/>
      <c r="AP25" s="167"/>
      <c r="AQ25" s="167"/>
      <c r="AR25" s="167"/>
      <c r="AS25" s="167"/>
      <c r="AT25" s="167"/>
      <c r="AU25" s="167"/>
      <c r="AV25" s="167"/>
      <c r="AW25" s="167"/>
      <c r="AX25" s="167"/>
      <c r="AY25" s="167"/>
      <c r="AZ25" s="167"/>
      <c r="BA25" s="167"/>
      <c r="BB25" s="167"/>
      <c r="BC25" s="167"/>
      <c r="BD25" s="167"/>
      <c r="BE25" s="168"/>
    </row>
    <row r="26" spans="2:57">
      <c r="B26" s="166"/>
      <c r="C26" s="167"/>
      <c r="D26" s="167"/>
      <c r="E26" s="167"/>
      <c r="F26" s="167"/>
      <c r="G26" s="167"/>
      <c r="H26" s="167"/>
      <c r="I26" s="167"/>
      <c r="J26" s="167"/>
      <c r="K26" s="167"/>
      <c r="L26" s="167"/>
      <c r="M26" s="167"/>
      <c r="N26" s="167"/>
      <c r="O26" s="167"/>
      <c r="P26" s="167"/>
      <c r="Q26" s="167"/>
      <c r="R26" s="167"/>
      <c r="S26" s="167"/>
      <c r="T26" s="167"/>
      <c r="U26" s="167"/>
      <c r="V26" s="167"/>
      <c r="W26" s="167"/>
      <c r="X26" s="167"/>
      <c r="Y26" s="167"/>
      <c r="Z26" s="167"/>
      <c r="AA26" s="167"/>
      <c r="AB26" s="167"/>
      <c r="AC26" s="167"/>
      <c r="AD26" s="167"/>
      <c r="AE26" s="167"/>
      <c r="AF26" s="167"/>
      <c r="AG26" s="167"/>
      <c r="AH26" s="167"/>
      <c r="AI26" s="167"/>
      <c r="AJ26" s="167"/>
      <c r="AK26" s="167"/>
      <c r="AL26" s="167"/>
      <c r="AM26" s="167"/>
      <c r="AN26" s="167"/>
      <c r="AO26" s="167"/>
      <c r="AP26" s="167"/>
      <c r="AQ26" s="167"/>
      <c r="AR26" s="167"/>
      <c r="AS26" s="167"/>
      <c r="AT26" s="167"/>
      <c r="AU26" s="167"/>
      <c r="AV26" s="167"/>
      <c r="AW26" s="167"/>
      <c r="AX26" s="167"/>
      <c r="AY26" s="167"/>
      <c r="AZ26" s="167"/>
      <c r="BA26" s="167"/>
      <c r="BB26" s="167"/>
      <c r="BC26" s="167"/>
      <c r="BD26" s="167"/>
      <c r="BE26" s="168"/>
    </row>
    <row r="27" spans="2:57">
      <c r="B27" s="166"/>
      <c r="C27" s="167"/>
      <c r="D27" s="167"/>
      <c r="E27" s="167"/>
      <c r="F27" s="167"/>
      <c r="G27" s="167"/>
      <c r="H27" s="167"/>
      <c r="I27" s="167"/>
      <c r="J27" s="167"/>
      <c r="K27" s="167"/>
      <c r="L27" s="167"/>
      <c r="M27" s="167"/>
      <c r="N27" s="167"/>
      <c r="O27" s="167"/>
      <c r="P27" s="167"/>
      <c r="Q27" s="167"/>
      <c r="R27" s="167"/>
      <c r="S27" s="167"/>
      <c r="T27" s="167"/>
      <c r="U27" s="167"/>
      <c r="V27" s="167"/>
      <c r="W27" s="167"/>
      <c r="X27" s="167"/>
      <c r="Y27" s="167"/>
      <c r="Z27" s="167"/>
      <c r="AA27" s="167"/>
      <c r="AB27" s="167"/>
      <c r="AC27" s="167"/>
      <c r="AD27" s="167"/>
      <c r="AE27" s="167"/>
      <c r="AF27" s="167"/>
      <c r="AG27" s="167"/>
      <c r="AH27" s="167"/>
      <c r="AI27" s="167"/>
      <c r="AJ27" s="167"/>
      <c r="AK27" s="167"/>
      <c r="AL27" s="167"/>
      <c r="AM27" s="167"/>
      <c r="AN27" s="167"/>
      <c r="AO27" s="167"/>
      <c r="AP27" s="167"/>
      <c r="AQ27" s="167"/>
      <c r="AR27" s="167"/>
      <c r="AS27" s="167"/>
      <c r="AT27" s="167"/>
      <c r="AU27" s="167"/>
      <c r="AV27" s="167"/>
      <c r="AW27" s="167"/>
      <c r="AX27" s="167"/>
      <c r="AY27" s="167"/>
      <c r="AZ27" s="167"/>
      <c r="BA27" s="167"/>
      <c r="BB27" s="167"/>
      <c r="BC27" s="167"/>
      <c r="BD27" s="167"/>
      <c r="BE27" s="168"/>
    </row>
    <row r="28" spans="2:57">
      <c r="B28" s="166"/>
      <c r="C28" s="167"/>
      <c r="D28" s="167"/>
      <c r="E28" s="167"/>
      <c r="F28" s="167"/>
      <c r="G28" s="167"/>
      <c r="H28" s="167"/>
      <c r="I28" s="167"/>
      <c r="J28" s="167"/>
      <c r="K28" s="167"/>
      <c r="L28" s="167"/>
      <c r="M28" s="167"/>
      <c r="N28" s="167"/>
      <c r="O28" s="167"/>
      <c r="P28" s="167"/>
      <c r="Q28" s="167"/>
      <c r="R28" s="167"/>
      <c r="S28" s="167"/>
      <c r="T28" s="167"/>
      <c r="U28" s="167"/>
      <c r="V28" s="167"/>
      <c r="W28" s="167"/>
      <c r="X28" s="167"/>
      <c r="Y28" s="167"/>
      <c r="Z28" s="167"/>
      <c r="AA28" s="167"/>
      <c r="AB28" s="167"/>
      <c r="AC28" s="167"/>
      <c r="AD28" s="167"/>
      <c r="AE28" s="167"/>
      <c r="AF28" s="167"/>
      <c r="AG28" s="167"/>
      <c r="AH28" s="167"/>
      <c r="AI28" s="167"/>
      <c r="AJ28" s="167"/>
      <c r="AK28" s="167"/>
      <c r="AL28" s="167"/>
      <c r="AM28" s="167"/>
      <c r="AN28" s="167"/>
      <c r="AO28" s="167"/>
      <c r="AP28" s="167"/>
      <c r="AQ28" s="167"/>
      <c r="AR28" s="167"/>
      <c r="AS28" s="167"/>
      <c r="AT28" s="167"/>
      <c r="AU28" s="167"/>
      <c r="AV28" s="167"/>
      <c r="AW28" s="167"/>
      <c r="AX28" s="167"/>
      <c r="AY28" s="167"/>
      <c r="AZ28" s="167"/>
      <c r="BA28" s="167"/>
      <c r="BB28" s="167"/>
      <c r="BC28" s="167"/>
      <c r="BD28" s="167"/>
      <c r="BE28" s="168"/>
    </row>
    <row r="29" spans="2:57">
      <c r="B29" s="166"/>
      <c r="C29" s="167"/>
      <c r="D29" s="167"/>
      <c r="E29" s="167"/>
      <c r="F29" s="167"/>
      <c r="G29" s="167"/>
      <c r="H29" s="167"/>
      <c r="I29" s="167"/>
      <c r="J29" s="167"/>
      <c r="K29" s="167"/>
      <c r="L29" s="167"/>
      <c r="M29" s="167"/>
      <c r="N29" s="167"/>
      <c r="O29" s="167"/>
      <c r="P29" s="167"/>
      <c r="Q29" s="167"/>
      <c r="R29" s="167"/>
      <c r="S29" s="167"/>
      <c r="T29" s="167"/>
      <c r="U29" s="167"/>
      <c r="V29" s="167"/>
      <c r="W29" s="167"/>
      <c r="X29" s="167"/>
      <c r="Y29" s="167"/>
      <c r="Z29" s="167"/>
      <c r="AA29" s="167"/>
      <c r="AB29" s="167"/>
      <c r="AC29" s="167"/>
      <c r="AD29" s="167"/>
      <c r="AE29" s="167"/>
      <c r="AF29" s="167"/>
      <c r="AG29" s="167"/>
      <c r="AH29" s="167"/>
      <c r="AI29" s="167"/>
      <c r="AJ29" s="167"/>
      <c r="AK29" s="167"/>
      <c r="AL29" s="167"/>
      <c r="AM29" s="167"/>
      <c r="AN29" s="167"/>
      <c r="AO29" s="167"/>
      <c r="AP29" s="167"/>
      <c r="AQ29" s="167"/>
      <c r="AR29" s="167"/>
      <c r="AS29" s="167"/>
      <c r="AT29" s="167"/>
      <c r="AU29" s="167"/>
      <c r="AV29" s="167"/>
      <c r="AW29" s="167"/>
      <c r="AX29" s="167"/>
      <c r="AY29" s="167"/>
      <c r="AZ29" s="167"/>
      <c r="BA29" s="167"/>
      <c r="BB29" s="167"/>
      <c r="BC29" s="167"/>
      <c r="BD29" s="167"/>
      <c r="BE29" s="168"/>
    </row>
    <row r="30" spans="2:57">
      <c r="B30" s="166"/>
      <c r="C30" s="167"/>
      <c r="D30" s="167"/>
      <c r="E30" s="167"/>
      <c r="F30" s="167"/>
      <c r="G30" s="167"/>
      <c r="H30" s="167"/>
      <c r="I30" s="167"/>
      <c r="J30" s="167"/>
      <c r="K30" s="167"/>
      <c r="L30" s="167"/>
      <c r="M30" s="167"/>
      <c r="N30" s="167"/>
      <c r="O30" s="167"/>
      <c r="P30" s="167"/>
      <c r="Q30" s="167"/>
      <c r="R30" s="167"/>
      <c r="S30" s="167"/>
      <c r="T30" s="167"/>
      <c r="U30" s="167"/>
      <c r="V30" s="167"/>
      <c r="W30" s="167"/>
      <c r="X30" s="167"/>
      <c r="Y30" s="167"/>
      <c r="Z30" s="167"/>
      <c r="AA30" s="167"/>
      <c r="AB30" s="167"/>
      <c r="AC30" s="167"/>
      <c r="AD30" s="167"/>
      <c r="AE30" s="167"/>
      <c r="AF30" s="167"/>
      <c r="AG30" s="167"/>
      <c r="AH30" s="167"/>
      <c r="AI30" s="167"/>
      <c r="AJ30" s="167"/>
      <c r="AK30" s="167"/>
      <c r="AL30" s="167"/>
      <c r="AM30" s="167"/>
      <c r="AN30" s="167"/>
      <c r="AO30" s="167"/>
      <c r="AP30" s="167"/>
      <c r="AQ30" s="167"/>
      <c r="AR30" s="167"/>
      <c r="AS30" s="167"/>
      <c r="AT30" s="167"/>
      <c r="AU30" s="167"/>
      <c r="AV30" s="167"/>
      <c r="AW30" s="167"/>
      <c r="AX30" s="167"/>
      <c r="AY30" s="167"/>
      <c r="AZ30" s="167"/>
      <c r="BA30" s="167"/>
      <c r="BB30" s="167"/>
      <c r="BC30" s="167"/>
      <c r="BD30" s="167"/>
      <c r="BE30" s="168"/>
    </row>
    <row r="31" spans="2:57">
      <c r="B31" s="166"/>
      <c r="C31" s="167"/>
      <c r="D31" s="167"/>
      <c r="E31" s="167"/>
      <c r="F31" s="167"/>
      <c r="G31" s="167"/>
      <c r="H31" s="167"/>
      <c r="I31" s="167"/>
      <c r="J31" s="167"/>
      <c r="K31" s="167"/>
      <c r="L31" s="167"/>
      <c r="M31" s="167"/>
      <c r="N31" s="167"/>
      <c r="O31" s="167"/>
      <c r="P31" s="167"/>
      <c r="Q31" s="167"/>
      <c r="R31" s="167"/>
      <c r="S31" s="167"/>
      <c r="T31" s="167"/>
      <c r="U31" s="167"/>
      <c r="V31" s="167"/>
      <c r="W31" s="167"/>
      <c r="X31" s="167"/>
      <c r="Y31" s="167"/>
      <c r="Z31" s="167"/>
      <c r="AA31" s="167"/>
      <c r="AB31" s="167"/>
      <c r="AC31" s="167"/>
      <c r="AD31" s="167"/>
      <c r="AE31" s="167"/>
      <c r="AF31" s="167"/>
      <c r="AG31" s="167"/>
      <c r="AH31" s="167"/>
      <c r="AI31" s="167"/>
      <c r="AJ31" s="167"/>
      <c r="AK31" s="167"/>
      <c r="AL31" s="167"/>
      <c r="AM31" s="167"/>
      <c r="AN31" s="167"/>
      <c r="AO31" s="167"/>
      <c r="AP31" s="167"/>
      <c r="AQ31" s="167"/>
      <c r="AR31" s="167"/>
      <c r="AS31" s="167"/>
      <c r="AT31" s="167"/>
      <c r="AU31" s="167"/>
      <c r="AV31" s="167"/>
      <c r="AW31" s="167"/>
      <c r="AX31" s="167"/>
      <c r="AY31" s="167"/>
      <c r="AZ31" s="167"/>
      <c r="BA31" s="167"/>
      <c r="BB31" s="167"/>
      <c r="BC31" s="167"/>
      <c r="BD31" s="167"/>
      <c r="BE31" s="168"/>
    </row>
    <row r="32" spans="2:57">
      <c r="B32" s="166"/>
      <c r="C32" s="167"/>
      <c r="D32" s="167"/>
      <c r="E32" s="167"/>
      <c r="F32" s="167"/>
      <c r="G32" s="167"/>
      <c r="H32" s="167"/>
      <c r="I32" s="167"/>
      <c r="J32" s="167"/>
      <c r="K32" s="167"/>
      <c r="L32" s="167"/>
      <c r="M32" s="167"/>
      <c r="N32" s="167"/>
      <c r="O32" s="167"/>
      <c r="P32" s="167"/>
      <c r="Q32" s="167"/>
      <c r="R32" s="167"/>
      <c r="S32" s="167"/>
      <c r="T32" s="167"/>
      <c r="U32" s="167"/>
      <c r="V32" s="167"/>
      <c r="W32" s="167"/>
      <c r="X32" s="167"/>
      <c r="Y32" s="167"/>
      <c r="Z32" s="167"/>
      <c r="AA32" s="167"/>
      <c r="AB32" s="167"/>
      <c r="AC32" s="167"/>
      <c r="AD32" s="167"/>
      <c r="AE32" s="167"/>
      <c r="AF32" s="167"/>
      <c r="AG32" s="167"/>
      <c r="AH32" s="167"/>
      <c r="AI32" s="167"/>
      <c r="AJ32" s="167"/>
      <c r="AK32" s="167"/>
      <c r="AL32" s="167"/>
      <c r="AM32" s="167"/>
      <c r="AN32" s="167"/>
      <c r="AO32" s="167"/>
      <c r="AP32" s="167"/>
      <c r="AQ32" s="167"/>
      <c r="AR32" s="167"/>
      <c r="AS32" s="167"/>
      <c r="AT32" s="167"/>
      <c r="AU32" s="167"/>
      <c r="AV32" s="167"/>
      <c r="AW32" s="167"/>
      <c r="AX32" s="167"/>
      <c r="AY32" s="167"/>
      <c r="AZ32" s="167"/>
      <c r="BA32" s="167"/>
      <c r="BB32" s="167"/>
      <c r="BC32" s="167"/>
      <c r="BD32" s="167"/>
      <c r="BE32" s="168"/>
    </row>
    <row r="33" spans="2:57">
      <c r="B33" s="166"/>
      <c r="C33" s="167"/>
      <c r="D33" s="167"/>
      <c r="E33" s="167"/>
      <c r="F33" s="167"/>
      <c r="G33" s="167"/>
      <c r="H33" s="167"/>
      <c r="I33" s="167"/>
      <c r="J33" s="167"/>
      <c r="K33" s="167"/>
      <c r="L33" s="167"/>
      <c r="M33" s="167"/>
      <c r="N33" s="167"/>
      <c r="O33" s="167"/>
      <c r="P33" s="167"/>
      <c r="Q33" s="167"/>
      <c r="R33" s="167"/>
      <c r="S33" s="167"/>
      <c r="T33" s="167"/>
      <c r="U33" s="167"/>
      <c r="V33" s="167"/>
      <c r="W33" s="167"/>
      <c r="X33" s="167"/>
      <c r="Y33" s="167"/>
      <c r="Z33" s="167"/>
      <c r="AA33" s="167"/>
      <c r="AB33" s="167"/>
      <c r="AC33" s="167"/>
      <c r="AD33" s="167"/>
      <c r="AE33" s="167"/>
      <c r="AF33" s="167"/>
      <c r="AG33" s="167"/>
      <c r="AH33" s="167"/>
      <c r="AI33" s="167"/>
      <c r="AJ33" s="167"/>
      <c r="AK33" s="167"/>
      <c r="AL33" s="167"/>
      <c r="AM33" s="167"/>
      <c r="AN33" s="167"/>
      <c r="AO33" s="167"/>
      <c r="AP33" s="167"/>
      <c r="AQ33" s="167"/>
      <c r="AR33" s="167"/>
      <c r="AS33" s="167"/>
      <c r="AT33" s="167"/>
      <c r="AU33" s="167"/>
      <c r="AV33" s="167"/>
      <c r="AW33" s="167"/>
      <c r="AX33" s="167"/>
      <c r="AY33" s="167"/>
      <c r="AZ33" s="167"/>
      <c r="BA33" s="167"/>
      <c r="BB33" s="167"/>
      <c r="BC33" s="167"/>
      <c r="BD33" s="167"/>
      <c r="BE33" s="168"/>
    </row>
    <row r="34" spans="2:57">
      <c r="B34" s="166"/>
      <c r="C34" s="167"/>
      <c r="D34" s="167"/>
      <c r="E34" s="167"/>
      <c r="F34" s="167"/>
      <c r="G34" s="167"/>
      <c r="H34" s="167"/>
      <c r="I34" s="167"/>
      <c r="J34" s="167"/>
      <c r="K34" s="167"/>
      <c r="L34" s="167"/>
      <c r="M34" s="167"/>
      <c r="N34" s="167"/>
      <c r="O34" s="167"/>
      <c r="P34" s="167"/>
      <c r="Q34" s="167"/>
      <c r="R34" s="167"/>
      <c r="S34" s="167"/>
      <c r="T34" s="167"/>
      <c r="U34" s="167"/>
      <c r="V34" s="167"/>
      <c r="W34" s="167"/>
      <c r="X34" s="167"/>
      <c r="Y34" s="167"/>
      <c r="Z34" s="167"/>
      <c r="AA34" s="167"/>
      <c r="AB34" s="167"/>
      <c r="AC34" s="167"/>
      <c r="AD34" s="167"/>
      <c r="AE34" s="167"/>
      <c r="AF34" s="167"/>
      <c r="AG34" s="167"/>
      <c r="AH34" s="167"/>
      <c r="AI34" s="167"/>
      <c r="AJ34" s="167"/>
      <c r="AK34" s="167"/>
      <c r="AL34" s="167"/>
      <c r="AM34" s="167"/>
      <c r="AN34" s="167"/>
      <c r="AO34" s="167"/>
      <c r="AP34" s="167"/>
      <c r="AQ34" s="167"/>
      <c r="AR34" s="167"/>
      <c r="AS34" s="167"/>
      <c r="AT34" s="167"/>
      <c r="AU34" s="167"/>
      <c r="AV34" s="167"/>
      <c r="AW34" s="167"/>
      <c r="AX34" s="167"/>
      <c r="AY34" s="167"/>
      <c r="AZ34" s="167"/>
      <c r="BA34" s="167"/>
      <c r="BB34" s="167"/>
      <c r="BC34" s="167"/>
      <c r="BD34" s="167"/>
      <c r="BE34" s="168"/>
    </row>
    <row r="35" spans="2:57">
      <c r="B35" s="166"/>
      <c r="C35" s="167"/>
      <c r="D35" s="167"/>
      <c r="E35" s="167"/>
      <c r="F35" s="167"/>
      <c r="G35" s="167"/>
      <c r="H35" s="167"/>
      <c r="I35" s="167"/>
      <c r="J35" s="167"/>
      <c r="K35" s="167"/>
      <c r="L35" s="167"/>
      <c r="M35" s="167"/>
      <c r="N35" s="167"/>
      <c r="O35" s="167"/>
      <c r="P35" s="167"/>
      <c r="Q35" s="167"/>
      <c r="R35" s="167"/>
      <c r="S35" s="167"/>
      <c r="T35" s="167"/>
      <c r="U35" s="167"/>
      <c r="V35" s="167"/>
      <c r="W35" s="167"/>
      <c r="X35" s="167"/>
      <c r="Y35" s="167"/>
      <c r="Z35" s="167"/>
      <c r="AA35" s="167"/>
      <c r="AB35" s="167"/>
      <c r="AC35" s="167"/>
      <c r="AD35" s="167"/>
      <c r="AE35" s="167"/>
      <c r="AF35" s="167"/>
      <c r="AG35" s="167"/>
      <c r="AH35" s="167"/>
      <c r="AI35" s="167"/>
      <c r="AJ35" s="167"/>
      <c r="AK35" s="167"/>
      <c r="AL35" s="167"/>
      <c r="AM35" s="167"/>
      <c r="AN35" s="167"/>
      <c r="AO35" s="167"/>
      <c r="AP35" s="167"/>
      <c r="AQ35" s="167"/>
      <c r="AR35" s="167"/>
      <c r="AS35" s="167"/>
      <c r="AT35" s="167"/>
      <c r="AU35" s="167"/>
      <c r="AV35" s="167"/>
      <c r="AW35" s="167"/>
      <c r="AX35" s="167"/>
      <c r="AY35" s="167"/>
      <c r="AZ35" s="167"/>
      <c r="BA35" s="167"/>
      <c r="BB35" s="167"/>
      <c r="BC35" s="167"/>
      <c r="BD35" s="167"/>
      <c r="BE35" s="168"/>
    </row>
    <row r="36" spans="2:57">
      <c r="B36" s="166"/>
      <c r="C36" s="167"/>
      <c r="D36" s="167"/>
      <c r="E36" s="167"/>
      <c r="F36" s="167"/>
      <c r="G36" s="167"/>
      <c r="H36" s="167"/>
      <c r="I36" s="167"/>
      <c r="J36" s="167"/>
      <c r="K36" s="167"/>
      <c r="L36" s="167"/>
      <c r="M36" s="167"/>
      <c r="N36" s="167"/>
      <c r="O36" s="167"/>
      <c r="P36" s="167"/>
      <c r="Q36" s="167"/>
      <c r="R36" s="167"/>
      <c r="S36" s="167"/>
      <c r="T36" s="167"/>
      <c r="U36" s="167"/>
      <c r="V36" s="167"/>
      <c r="W36" s="167"/>
      <c r="X36" s="167"/>
      <c r="Y36" s="167"/>
      <c r="Z36" s="167"/>
      <c r="AA36" s="167"/>
      <c r="AB36" s="167"/>
      <c r="AC36" s="167"/>
      <c r="AD36" s="167"/>
      <c r="AE36" s="167"/>
      <c r="AF36" s="167"/>
      <c r="AG36" s="167"/>
      <c r="AH36" s="167"/>
      <c r="AI36" s="167"/>
      <c r="AJ36" s="167"/>
      <c r="AK36" s="167"/>
      <c r="AL36" s="167"/>
      <c r="AM36" s="167"/>
      <c r="AN36" s="167"/>
      <c r="AO36" s="167"/>
      <c r="AP36" s="167"/>
      <c r="AQ36" s="167"/>
      <c r="AR36" s="167"/>
      <c r="AS36" s="167"/>
      <c r="AT36" s="167"/>
      <c r="AU36" s="167"/>
      <c r="AV36" s="167"/>
      <c r="AW36" s="167"/>
      <c r="AX36" s="167"/>
      <c r="AY36" s="167"/>
      <c r="AZ36" s="167"/>
      <c r="BA36" s="167"/>
      <c r="BB36" s="167"/>
      <c r="BC36" s="167"/>
      <c r="BD36" s="167"/>
      <c r="BE36" s="168"/>
    </row>
    <row r="37" spans="2:57">
      <c r="B37" s="166"/>
      <c r="C37" s="167"/>
      <c r="D37" s="167"/>
      <c r="E37" s="167"/>
      <c r="F37" s="167"/>
      <c r="G37" s="167"/>
      <c r="H37" s="167"/>
      <c r="I37" s="167"/>
      <c r="J37" s="167"/>
      <c r="K37" s="167"/>
      <c r="L37" s="167"/>
      <c r="M37" s="167"/>
      <c r="N37" s="167"/>
      <c r="O37" s="167"/>
      <c r="P37" s="167"/>
      <c r="Q37" s="167"/>
      <c r="R37" s="167"/>
      <c r="S37" s="167"/>
      <c r="T37" s="167"/>
      <c r="U37" s="167"/>
      <c r="V37" s="167"/>
      <c r="W37" s="167"/>
      <c r="X37" s="167"/>
      <c r="Y37" s="167"/>
      <c r="Z37" s="167"/>
      <c r="AA37" s="167"/>
      <c r="AB37" s="167"/>
      <c r="AC37" s="167"/>
      <c r="AD37" s="167"/>
      <c r="AE37" s="167"/>
      <c r="AF37" s="167"/>
      <c r="AG37" s="167"/>
      <c r="AH37" s="167"/>
      <c r="AI37" s="167"/>
      <c r="AJ37" s="167"/>
      <c r="AK37" s="167"/>
      <c r="AL37" s="167"/>
      <c r="AM37" s="167"/>
      <c r="AN37" s="167"/>
      <c r="AO37" s="167"/>
      <c r="AP37" s="167"/>
      <c r="AQ37" s="167"/>
      <c r="AR37" s="167"/>
      <c r="AS37" s="167"/>
      <c r="AT37" s="167"/>
      <c r="AU37" s="167"/>
      <c r="AV37" s="167"/>
      <c r="AW37" s="167"/>
      <c r="AX37" s="167"/>
      <c r="AY37" s="167"/>
      <c r="AZ37" s="167"/>
      <c r="BA37" s="167"/>
      <c r="BB37" s="167"/>
      <c r="BC37" s="167"/>
      <c r="BD37" s="167"/>
      <c r="BE37" s="168"/>
    </row>
    <row r="38" spans="2:57">
      <c r="B38" s="166"/>
      <c r="C38" s="167"/>
      <c r="D38" s="167"/>
      <c r="E38" s="167"/>
      <c r="F38" s="167"/>
      <c r="G38" s="167"/>
      <c r="H38" s="167"/>
      <c r="I38" s="167"/>
      <c r="J38" s="167"/>
      <c r="K38" s="167"/>
      <c r="L38" s="167"/>
      <c r="M38" s="167"/>
      <c r="N38" s="167"/>
      <c r="O38" s="167"/>
      <c r="P38" s="167"/>
      <c r="Q38" s="167"/>
      <c r="R38" s="167"/>
      <c r="S38" s="167"/>
      <c r="T38" s="167"/>
      <c r="U38" s="167"/>
      <c r="V38" s="167"/>
      <c r="W38" s="167"/>
      <c r="X38" s="167"/>
      <c r="Y38" s="167"/>
      <c r="Z38" s="167"/>
      <c r="AA38" s="167"/>
      <c r="AB38" s="167"/>
      <c r="AC38" s="167"/>
      <c r="AD38" s="167"/>
      <c r="AE38" s="167"/>
      <c r="AF38" s="167"/>
      <c r="AG38" s="167"/>
      <c r="AH38" s="167"/>
      <c r="AI38" s="167"/>
      <c r="AJ38" s="167"/>
      <c r="AK38" s="167"/>
      <c r="AL38" s="167"/>
      <c r="AM38" s="167"/>
      <c r="AN38" s="167"/>
      <c r="AO38" s="167"/>
      <c r="AP38" s="167"/>
      <c r="AQ38" s="167"/>
      <c r="AR38" s="167"/>
      <c r="AS38" s="167"/>
      <c r="AT38" s="167"/>
      <c r="AU38" s="167"/>
      <c r="AV38" s="167"/>
      <c r="AW38" s="167"/>
      <c r="AX38" s="167"/>
      <c r="AY38" s="167"/>
      <c r="AZ38" s="167"/>
      <c r="BA38" s="167"/>
      <c r="BB38" s="167"/>
      <c r="BC38" s="167"/>
      <c r="BD38" s="167"/>
      <c r="BE38" s="168"/>
    </row>
    <row r="39" spans="2:57">
      <c r="B39" s="166"/>
      <c r="C39" s="167"/>
      <c r="D39" s="167"/>
      <c r="E39" s="167"/>
      <c r="F39" s="167"/>
      <c r="G39" s="167"/>
      <c r="H39" s="167"/>
      <c r="I39" s="167"/>
      <c r="J39" s="167"/>
      <c r="K39" s="167"/>
      <c r="L39" s="167"/>
      <c r="M39" s="167"/>
      <c r="N39" s="167"/>
      <c r="O39" s="167"/>
      <c r="P39" s="167"/>
      <c r="Q39" s="167"/>
      <c r="R39" s="167"/>
      <c r="S39" s="167"/>
      <c r="T39" s="167"/>
      <c r="U39" s="167"/>
      <c r="V39" s="167"/>
      <c r="W39" s="167"/>
      <c r="X39" s="167"/>
      <c r="Y39" s="167"/>
      <c r="Z39" s="167"/>
      <c r="AA39" s="167"/>
      <c r="AB39" s="167"/>
      <c r="AC39" s="167"/>
      <c r="AD39" s="167"/>
      <c r="AE39" s="167"/>
      <c r="AF39" s="167"/>
      <c r="AG39" s="167"/>
      <c r="AH39" s="167"/>
      <c r="AI39" s="167"/>
      <c r="AJ39" s="167"/>
      <c r="AK39" s="167"/>
      <c r="AL39" s="167"/>
      <c r="AM39" s="167"/>
      <c r="AN39" s="167"/>
      <c r="AO39" s="167"/>
      <c r="AP39" s="167"/>
      <c r="AQ39" s="167"/>
      <c r="AR39" s="167"/>
      <c r="AS39" s="167"/>
      <c r="AT39" s="167"/>
      <c r="AU39" s="167"/>
      <c r="AV39" s="167"/>
      <c r="AW39" s="167"/>
      <c r="AX39" s="167"/>
      <c r="AY39" s="167"/>
      <c r="AZ39" s="167"/>
      <c r="BA39" s="167"/>
      <c r="BB39" s="167"/>
      <c r="BC39" s="167"/>
      <c r="BD39" s="167"/>
      <c r="BE39" s="168"/>
    </row>
    <row r="40" spans="2:57">
      <c r="B40" s="166"/>
      <c r="C40" s="167"/>
      <c r="D40" s="1813"/>
      <c r="E40" s="1813"/>
      <c r="F40" s="167"/>
      <c r="G40" s="167"/>
      <c r="H40" s="167"/>
      <c r="I40" s="167"/>
      <c r="J40" s="167"/>
      <c r="K40" s="167"/>
      <c r="L40" s="167"/>
      <c r="M40" s="167"/>
      <c r="N40" s="167"/>
      <c r="O40" s="167"/>
      <c r="P40" s="167"/>
      <c r="Q40" s="167"/>
      <c r="R40" s="167"/>
      <c r="S40" s="167"/>
      <c r="T40" s="167"/>
      <c r="U40" s="167"/>
      <c r="V40" s="167"/>
      <c r="W40" s="167"/>
      <c r="X40" s="167"/>
      <c r="Y40" s="167"/>
      <c r="Z40" s="167"/>
      <c r="AA40" s="167"/>
      <c r="AB40" s="167"/>
      <c r="AC40" s="167"/>
      <c r="AD40" s="167"/>
      <c r="AE40" s="167"/>
      <c r="AF40" s="167"/>
      <c r="AG40" s="167"/>
      <c r="AH40" s="167"/>
      <c r="AI40" s="167"/>
      <c r="AJ40" s="167"/>
      <c r="AK40" s="167"/>
      <c r="AL40" s="167"/>
      <c r="AM40" s="167"/>
      <c r="AN40" s="167"/>
      <c r="AO40" s="167"/>
      <c r="AP40" s="167"/>
      <c r="AQ40" s="167"/>
      <c r="AR40" s="167"/>
      <c r="AS40" s="167"/>
      <c r="AT40" s="167"/>
      <c r="AU40" s="167"/>
      <c r="AV40" s="167"/>
      <c r="AW40" s="167"/>
      <c r="AX40" s="167"/>
      <c r="AY40" s="167"/>
      <c r="AZ40" s="167"/>
      <c r="BA40" s="167"/>
      <c r="BB40" s="167"/>
      <c r="BC40" s="167"/>
      <c r="BD40" s="167"/>
      <c r="BE40" s="168"/>
    </row>
    <row r="41" spans="2:57">
      <c r="B41" s="166"/>
      <c r="C41" s="167"/>
      <c r="D41" s="167"/>
      <c r="E41" s="167"/>
      <c r="F41" s="167"/>
      <c r="G41" s="167"/>
      <c r="H41" s="167"/>
      <c r="I41" s="167"/>
      <c r="J41" s="167"/>
      <c r="K41" s="167"/>
      <c r="L41" s="167"/>
      <c r="M41" s="167"/>
      <c r="N41" s="167"/>
      <c r="O41" s="167"/>
      <c r="P41" s="167"/>
      <c r="Q41" s="167"/>
      <c r="R41" s="167"/>
      <c r="S41" s="167"/>
      <c r="T41" s="167"/>
      <c r="U41" s="167"/>
      <c r="V41" s="167"/>
      <c r="W41" s="167"/>
      <c r="X41" s="167"/>
      <c r="Y41" s="167"/>
      <c r="Z41" s="167"/>
      <c r="AA41" s="167"/>
      <c r="AB41" s="167"/>
      <c r="AC41" s="167"/>
      <c r="AD41" s="167"/>
      <c r="AE41" s="167"/>
      <c r="AF41" s="167"/>
      <c r="AG41" s="167"/>
      <c r="AH41" s="167"/>
      <c r="AI41" s="167"/>
      <c r="AJ41" s="167"/>
      <c r="AK41" s="167"/>
      <c r="AL41" s="167"/>
      <c r="AM41" s="167"/>
      <c r="AN41" s="167"/>
      <c r="AO41" s="167"/>
      <c r="AP41" s="167"/>
      <c r="AQ41" s="167"/>
      <c r="AR41" s="167"/>
      <c r="AS41" s="167"/>
      <c r="AT41" s="167"/>
      <c r="AU41" s="167"/>
      <c r="AV41" s="167"/>
      <c r="AW41" s="167"/>
      <c r="AX41" s="167"/>
      <c r="AY41" s="167"/>
      <c r="AZ41" s="167"/>
      <c r="BA41" s="167"/>
      <c r="BB41" s="167"/>
      <c r="BC41" s="167"/>
      <c r="BD41" s="167"/>
      <c r="BE41" s="168"/>
    </row>
    <row r="42" spans="2:57">
      <c r="B42" s="166"/>
      <c r="C42" s="167"/>
      <c r="D42" s="167"/>
      <c r="E42" s="167"/>
      <c r="F42" s="167"/>
      <c r="G42" s="167"/>
      <c r="H42" s="167"/>
      <c r="I42" s="167"/>
      <c r="J42" s="167"/>
      <c r="K42" s="167"/>
      <c r="L42" s="167"/>
      <c r="M42" s="167"/>
      <c r="N42" s="167"/>
      <c r="O42" s="167"/>
      <c r="P42" s="167"/>
      <c r="Q42" s="167"/>
      <c r="R42" s="167"/>
      <c r="S42" s="167"/>
      <c r="T42" s="167"/>
      <c r="U42" s="167"/>
      <c r="V42" s="167"/>
      <c r="W42" s="167"/>
      <c r="X42" s="167"/>
      <c r="Y42" s="167"/>
      <c r="Z42" s="167"/>
      <c r="AA42" s="167"/>
      <c r="AB42" s="167"/>
      <c r="AC42" s="167"/>
      <c r="AD42" s="167"/>
      <c r="AE42" s="167"/>
      <c r="AF42" s="167"/>
      <c r="AG42" s="167"/>
      <c r="AH42" s="167"/>
      <c r="AI42" s="167"/>
      <c r="AJ42" s="167"/>
      <c r="AK42" s="167"/>
      <c r="AL42" s="167"/>
      <c r="AM42" s="167"/>
      <c r="AN42" s="167"/>
      <c r="AO42" s="167"/>
      <c r="AP42" s="167"/>
      <c r="AQ42" s="167"/>
      <c r="AR42" s="167"/>
      <c r="AS42" s="167"/>
      <c r="AT42" s="167"/>
      <c r="AU42" s="167"/>
      <c r="AV42" s="167"/>
      <c r="AW42" s="167"/>
      <c r="AX42" s="167"/>
      <c r="AY42" s="167"/>
      <c r="AZ42" s="167"/>
      <c r="BA42" s="167"/>
      <c r="BB42" s="167"/>
      <c r="BC42" s="167"/>
      <c r="BD42" s="167"/>
      <c r="BE42" s="168"/>
    </row>
    <row r="43" spans="2:57">
      <c r="B43" s="166"/>
      <c r="C43" s="167"/>
      <c r="D43" s="167"/>
      <c r="E43" s="167"/>
      <c r="F43" s="167"/>
      <c r="G43" s="167"/>
      <c r="H43" s="167"/>
      <c r="I43" s="167"/>
      <c r="J43" s="167"/>
      <c r="K43" s="167"/>
      <c r="L43" s="167"/>
      <c r="M43" s="167"/>
      <c r="N43" s="167"/>
      <c r="O43" s="167"/>
      <c r="P43" s="167"/>
      <c r="Q43" s="167"/>
      <c r="R43" s="167"/>
      <c r="S43" s="167"/>
      <c r="T43" s="167"/>
      <c r="U43" s="167"/>
      <c r="V43" s="167"/>
      <c r="W43" s="167"/>
      <c r="X43" s="167"/>
      <c r="Y43" s="167"/>
      <c r="Z43" s="167"/>
      <c r="AA43" s="167"/>
      <c r="AB43" s="167"/>
      <c r="AC43" s="167"/>
      <c r="AD43" s="167"/>
      <c r="AE43" s="167"/>
      <c r="AF43" s="167"/>
      <c r="AG43" s="167"/>
      <c r="AH43" s="167"/>
      <c r="AI43" s="167"/>
      <c r="AJ43" s="167"/>
      <c r="AK43" s="167"/>
      <c r="AL43" s="167"/>
      <c r="AM43" s="167"/>
      <c r="AN43" s="167"/>
      <c r="AO43" s="167"/>
      <c r="AP43" s="167"/>
      <c r="AQ43" s="167"/>
      <c r="AR43" s="167"/>
      <c r="AS43" s="167"/>
      <c r="AT43" s="167"/>
      <c r="AU43" s="167"/>
      <c r="AV43" s="167"/>
      <c r="AW43" s="167"/>
      <c r="AX43" s="167"/>
      <c r="AY43" s="167"/>
      <c r="AZ43" s="167"/>
      <c r="BA43" s="167"/>
      <c r="BB43" s="167"/>
      <c r="BC43" s="167"/>
      <c r="BD43" s="167"/>
      <c r="BE43" s="168"/>
    </row>
    <row r="44" spans="2:57">
      <c r="B44" s="166"/>
      <c r="C44" s="167"/>
      <c r="D44" s="167"/>
      <c r="E44" s="167"/>
      <c r="F44" s="167"/>
      <c r="G44" s="167"/>
      <c r="H44" s="167"/>
      <c r="I44" s="167"/>
      <c r="J44" s="167"/>
      <c r="K44" s="167"/>
      <c r="L44" s="167"/>
      <c r="M44" s="167"/>
      <c r="N44" s="167"/>
      <c r="O44" s="167"/>
      <c r="P44" s="167"/>
      <c r="Q44" s="167"/>
      <c r="R44" s="167"/>
      <c r="S44" s="167"/>
      <c r="T44" s="167"/>
      <c r="U44" s="167"/>
      <c r="V44" s="167"/>
      <c r="W44" s="167"/>
      <c r="X44" s="167"/>
      <c r="Y44" s="167"/>
      <c r="Z44" s="167"/>
      <c r="AA44" s="167"/>
      <c r="AB44" s="167"/>
      <c r="AC44" s="167"/>
      <c r="AD44" s="167"/>
      <c r="AE44" s="167"/>
      <c r="AF44" s="167"/>
      <c r="AG44" s="167"/>
      <c r="AH44" s="167"/>
      <c r="AI44" s="167"/>
      <c r="AJ44" s="167"/>
      <c r="AK44" s="167"/>
      <c r="AL44" s="167"/>
      <c r="AM44" s="167"/>
      <c r="AN44" s="167"/>
      <c r="AO44" s="167"/>
      <c r="AP44" s="167"/>
      <c r="AQ44" s="167"/>
      <c r="AR44" s="167"/>
      <c r="AS44" s="167"/>
      <c r="AT44" s="167"/>
      <c r="AU44" s="167"/>
      <c r="AV44" s="167"/>
      <c r="AW44" s="167"/>
      <c r="AX44" s="167"/>
      <c r="AY44" s="167"/>
      <c r="AZ44" s="167"/>
      <c r="BA44" s="167"/>
      <c r="BB44" s="167"/>
      <c r="BC44" s="167"/>
      <c r="BD44" s="167"/>
      <c r="BE44" s="168"/>
    </row>
    <row r="45" spans="2:57" ht="17.25" thickBot="1">
      <c r="B45" s="175"/>
      <c r="C45" s="1814"/>
      <c r="D45" s="1814"/>
      <c r="E45" s="1814"/>
      <c r="F45" s="1814"/>
      <c r="G45" s="1814"/>
      <c r="H45" s="1814"/>
      <c r="I45" s="1814"/>
      <c r="J45" s="1814"/>
      <c r="K45" s="1814"/>
      <c r="L45" s="1814"/>
      <c r="M45" s="1814"/>
      <c r="N45" s="1814"/>
      <c r="O45" s="1814"/>
      <c r="P45" s="1814"/>
      <c r="Q45" s="1814"/>
      <c r="R45" s="1814"/>
      <c r="S45" s="1814"/>
      <c r="T45" s="1814"/>
      <c r="U45" s="1814"/>
      <c r="V45" s="1814"/>
      <c r="W45" s="1814"/>
      <c r="X45" s="1814"/>
      <c r="Y45" s="1814"/>
      <c r="Z45" s="1814"/>
      <c r="AA45" s="1814"/>
      <c r="AB45" s="1814"/>
      <c r="AC45" s="1814"/>
      <c r="AD45" s="1814"/>
      <c r="AE45" s="1814"/>
      <c r="AF45" s="1814"/>
      <c r="AG45" s="1814"/>
      <c r="AH45" s="1814"/>
      <c r="AI45" s="1814"/>
      <c r="AJ45" s="1814"/>
      <c r="AK45" s="1814"/>
      <c r="AL45" s="1814"/>
      <c r="AM45" s="1814"/>
      <c r="AN45" s="1814"/>
      <c r="AO45" s="1814"/>
      <c r="AP45" s="1814"/>
      <c r="AQ45" s="1814"/>
      <c r="AR45" s="1814"/>
      <c r="AS45" s="1814"/>
      <c r="AT45" s="1814"/>
      <c r="AU45" s="1814"/>
      <c r="AV45" s="1814"/>
      <c r="AW45" s="1814"/>
      <c r="AX45" s="1814"/>
      <c r="AY45" s="1814"/>
      <c r="AZ45" s="1814"/>
      <c r="BA45" s="1814"/>
      <c r="BB45" s="1814"/>
      <c r="BC45" s="1814"/>
      <c r="BD45" s="1814"/>
      <c r="BE45" s="1294"/>
    </row>
  </sheetData>
  <mergeCells count="3">
    <mergeCell ref="B2:BE2"/>
    <mergeCell ref="D40:E40"/>
    <mergeCell ref="C45:BD45"/>
  </mergeCells>
  <phoneticPr fontId="60" type="noConversion"/>
  <printOptions horizontalCentered="1"/>
  <pageMargins left="0.39370078740157483" right="0.27559055118110237" top="0.74803149606299213" bottom="0.74803149606299213" header="0.31496062992125984" footer="0.31496062992125984"/>
  <pageSetup paperSize="8" scale="93"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Q29"/>
  <sheetViews>
    <sheetView view="pageBreakPreview" topLeftCell="A4" zoomScale="85" zoomScaleNormal="100" zoomScaleSheetLayoutView="85" workbookViewId="0">
      <selection activeCell="L24" sqref="L24"/>
    </sheetView>
  </sheetViews>
  <sheetFormatPr defaultRowHeight="16.5"/>
  <cols>
    <col min="1" max="1" width="23.375" style="5" customWidth="1"/>
    <col min="2" max="2" width="20.75" style="5" customWidth="1"/>
    <col min="3" max="3" width="22.5" style="5" customWidth="1"/>
    <col min="4" max="4" width="20.75" style="5" customWidth="1"/>
    <col min="5" max="17" width="9" style="383"/>
    <col min="18" max="256" width="9" style="5"/>
    <col min="257" max="257" width="23.375" style="5" customWidth="1"/>
    <col min="258" max="258" width="20.75" style="5" customWidth="1"/>
    <col min="259" max="259" width="22.5" style="5" customWidth="1"/>
    <col min="260" max="260" width="20.75" style="5" customWidth="1"/>
    <col min="261" max="512" width="9" style="5"/>
    <col min="513" max="513" width="23.375" style="5" customWidth="1"/>
    <col min="514" max="514" width="20.75" style="5" customWidth="1"/>
    <col min="515" max="515" width="22.5" style="5" customWidth="1"/>
    <col min="516" max="516" width="20.75" style="5" customWidth="1"/>
    <col min="517" max="768" width="9" style="5"/>
    <col min="769" max="769" width="23.375" style="5" customWidth="1"/>
    <col min="770" max="770" width="20.75" style="5" customWidth="1"/>
    <col min="771" max="771" width="22.5" style="5" customWidth="1"/>
    <col min="772" max="772" width="20.75" style="5" customWidth="1"/>
    <col min="773" max="1024" width="9" style="5"/>
    <col min="1025" max="1025" width="23.375" style="5" customWidth="1"/>
    <col min="1026" max="1026" width="20.75" style="5" customWidth="1"/>
    <col min="1027" max="1027" width="22.5" style="5" customWidth="1"/>
    <col min="1028" max="1028" width="20.75" style="5" customWidth="1"/>
    <col min="1029" max="1280" width="9" style="5"/>
    <col min="1281" max="1281" width="23.375" style="5" customWidth="1"/>
    <col min="1282" max="1282" width="20.75" style="5" customWidth="1"/>
    <col min="1283" max="1283" width="22.5" style="5" customWidth="1"/>
    <col min="1284" max="1284" width="20.75" style="5" customWidth="1"/>
    <col min="1285" max="1536" width="9" style="5"/>
    <col min="1537" max="1537" width="23.375" style="5" customWidth="1"/>
    <col min="1538" max="1538" width="20.75" style="5" customWidth="1"/>
    <col min="1539" max="1539" width="22.5" style="5" customWidth="1"/>
    <col min="1540" max="1540" width="20.75" style="5" customWidth="1"/>
    <col min="1541" max="1792" width="9" style="5"/>
    <col min="1793" max="1793" width="23.375" style="5" customWidth="1"/>
    <col min="1794" max="1794" width="20.75" style="5" customWidth="1"/>
    <col min="1795" max="1795" width="22.5" style="5" customWidth="1"/>
    <col min="1796" max="1796" width="20.75" style="5" customWidth="1"/>
    <col min="1797" max="2048" width="9" style="5"/>
    <col min="2049" max="2049" width="23.375" style="5" customWidth="1"/>
    <col min="2050" max="2050" width="20.75" style="5" customWidth="1"/>
    <col min="2051" max="2051" width="22.5" style="5" customWidth="1"/>
    <col min="2052" max="2052" width="20.75" style="5" customWidth="1"/>
    <col min="2053" max="2304" width="9" style="5"/>
    <col min="2305" max="2305" width="23.375" style="5" customWidth="1"/>
    <col min="2306" max="2306" width="20.75" style="5" customWidth="1"/>
    <col min="2307" max="2307" width="22.5" style="5" customWidth="1"/>
    <col min="2308" max="2308" width="20.75" style="5" customWidth="1"/>
    <col min="2309" max="2560" width="9" style="5"/>
    <col min="2561" max="2561" width="23.375" style="5" customWidth="1"/>
    <col min="2562" max="2562" width="20.75" style="5" customWidth="1"/>
    <col min="2563" max="2563" width="22.5" style="5" customWidth="1"/>
    <col min="2564" max="2564" width="20.75" style="5" customWidth="1"/>
    <col min="2565" max="2816" width="9" style="5"/>
    <col min="2817" max="2817" width="23.375" style="5" customWidth="1"/>
    <col min="2818" max="2818" width="20.75" style="5" customWidth="1"/>
    <col min="2819" max="2819" width="22.5" style="5" customWidth="1"/>
    <col min="2820" max="2820" width="20.75" style="5" customWidth="1"/>
    <col min="2821" max="3072" width="9" style="5"/>
    <col min="3073" max="3073" width="23.375" style="5" customWidth="1"/>
    <col min="3074" max="3074" width="20.75" style="5" customWidth="1"/>
    <col min="3075" max="3075" width="22.5" style="5" customWidth="1"/>
    <col min="3076" max="3076" width="20.75" style="5" customWidth="1"/>
    <col min="3077" max="3328" width="9" style="5"/>
    <col min="3329" max="3329" width="23.375" style="5" customWidth="1"/>
    <col min="3330" max="3330" width="20.75" style="5" customWidth="1"/>
    <col min="3331" max="3331" width="22.5" style="5" customWidth="1"/>
    <col min="3332" max="3332" width="20.75" style="5" customWidth="1"/>
    <col min="3333" max="3584" width="9" style="5"/>
    <col min="3585" max="3585" width="23.375" style="5" customWidth="1"/>
    <col min="3586" max="3586" width="20.75" style="5" customWidth="1"/>
    <col min="3587" max="3587" width="22.5" style="5" customWidth="1"/>
    <col min="3588" max="3588" width="20.75" style="5" customWidth="1"/>
    <col min="3589" max="3840" width="9" style="5"/>
    <col min="3841" max="3841" width="23.375" style="5" customWidth="1"/>
    <col min="3842" max="3842" width="20.75" style="5" customWidth="1"/>
    <col min="3843" max="3843" width="22.5" style="5" customWidth="1"/>
    <col min="3844" max="3844" width="20.75" style="5" customWidth="1"/>
    <col min="3845" max="4096" width="9" style="5"/>
    <col min="4097" max="4097" width="23.375" style="5" customWidth="1"/>
    <col min="4098" max="4098" width="20.75" style="5" customWidth="1"/>
    <col min="4099" max="4099" width="22.5" style="5" customWidth="1"/>
    <col min="4100" max="4100" width="20.75" style="5" customWidth="1"/>
    <col min="4101" max="4352" width="9" style="5"/>
    <col min="4353" max="4353" width="23.375" style="5" customWidth="1"/>
    <col min="4354" max="4354" width="20.75" style="5" customWidth="1"/>
    <col min="4355" max="4355" width="22.5" style="5" customWidth="1"/>
    <col min="4356" max="4356" width="20.75" style="5" customWidth="1"/>
    <col min="4357" max="4608" width="9" style="5"/>
    <col min="4609" max="4609" width="23.375" style="5" customWidth="1"/>
    <col min="4610" max="4610" width="20.75" style="5" customWidth="1"/>
    <col min="4611" max="4611" width="22.5" style="5" customWidth="1"/>
    <col min="4612" max="4612" width="20.75" style="5" customWidth="1"/>
    <col min="4613" max="4864" width="9" style="5"/>
    <col min="4865" max="4865" width="23.375" style="5" customWidth="1"/>
    <col min="4866" max="4866" width="20.75" style="5" customWidth="1"/>
    <col min="4867" max="4867" width="22.5" style="5" customWidth="1"/>
    <col min="4868" max="4868" width="20.75" style="5" customWidth="1"/>
    <col min="4869" max="5120" width="9" style="5"/>
    <col min="5121" max="5121" width="23.375" style="5" customWidth="1"/>
    <col min="5122" max="5122" width="20.75" style="5" customWidth="1"/>
    <col min="5123" max="5123" width="22.5" style="5" customWidth="1"/>
    <col min="5124" max="5124" width="20.75" style="5" customWidth="1"/>
    <col min="5125" max="5376" width="9" style="5"/>
    <col min="5377" max="5377" width="23.375" style="5" customWidth="1"/>
    <col min="5378" max="5378" width="20.75" style="5" customWidth="1"/>
    <col min="5379" max="5379" width="22.5" style="5" customWidth="1"/>
    <col min="5380" max="5380" width="20.75" style="5" customWidth="1"/>
    <col min="5381" max="5632" width="9" style="5"/>
    <col min="5633" max="5633" width="23.375" style="5" customWidth="1"/>
    <col min="5634" max="5634" width="20.75" style="5" customWidth="1"/>
    <col min="5635" max="5635" width="22.5" style="5" customWidth="1"/>
    <col min="5636" max="5636" width="20.75" style="5" customWidth="1"/>
    <col min="5637" max="5888" width="9" style="5"/>
    <col min="5889" max="5889" width="23.375" style="5" customWidth="1"/>
    <col min="5890" max="5890" width="20.75" style="5" customWidth="1"/>
    <col min="5891" max="5891" width="22.5" style="5" customWidth="1"/>
    <col min="5892" max="5892" width="20.75" style="5" customWidth="1"/>
    <col min="5893" max="6144" width="9" style="5"/>
    <col min="6145" max="6145" width="23.375" style="5" customWidth="1"/>
    <col min="6146" max="6146" width="20.75" style="5" customWidth="1"/>
    <col min="6147" max="6147" width="22.5" style="5" customWidth="1"/>
    <col min="6148" max="6148" width="20.75" style="5" customWidth="1"/>
    <col min="6149" max="6400" width="9" style="5"/>
    <col min="6401" max="6401" width="23.375" style="5" customWidth="1"/>
    <col min="6402" max="6402" width="20.75" style="5" customWidth="1"/>
    <col min="6403" max="6403" width="22.5" style="5" customWidth="1"/>
    <col min="6404" max="6404" width="20.75" style="5" customWidth="1"/>
    <col min="6405" max="6656" width="9" style="5"/>
    <col min="6657" max="6657" width="23.375" style="5" customWidth="1"/>
    <col min="6658" max="6658" width="20.75" style="5" customWidth="1"/>
    <col min="6659" max="6659" width="22.5" style="5" customWidth="1"/>
    <col min="6660" max="6660" width="20.75" style="5" customWidth="1"/>
    <col min="6661" max="6912" width="9" style="5"/>
    <col min="6913" max="6913" width="23.375" style="5" customWidth="1"/>
    <col min="6914" max="6914" width="20.75" style="5" customWidth="1"/>
    <col min="6915" max="6915" width="22.5" style="5" customWidth="1"/>
    <col min="6916" max="6916" width="20.75" style="5" customWidth="1"/>
    <col min="6917" max="7168" width="9" style="5"/>
    <col min="7169" max="7169" width="23.375" style="5" customWidth="1"/>
    <col min="7170" max="7170" width="20.75" style="5" customWidth="1"/>
    <col min="7171" max="7171" width="22.5" style="5" customWidth="1"/>
    <col min="7172" max="7172" width="20.75" style="5" customWidth="1"/>
    <col min="7173" max="7424" width="9" style="5"/>
    <col min="7425" max="7425" width="23.375" style="5" customWidth="1"/>
    <col min="7426" max="7426" width="20.75" style="5" customWidth="1"/>
    <col min="7427" max="7427" width="22.5" style="5" customWidth="1"/>
    <col min="7428" max="7428" width="20.75" style="5" customWidth="1"/>
    <col min="7429" max="7680" width="9" style="5"/>
    <col min="7681" max="7681" width="23.375" style="5" customWidth="1"/>
    <col min="7682" max="7682" width="20.75" style="5" customWidth="1"/>
    <col min="7683" max="7683" width="22.5" style="5" customWidth="1"/>
    <col min="7684" max="7684" width="20.75" style="5" customWidth="1"/>
    <col min="7685" max="7936" width="9" style="5"/>
    <col min="7937" max="7937" width="23.375" style="5" customWidth="1"/>
    <col min="7938" max="7938" width="20.75" style="5" customWidth="1"/>
    <col min="7939" max="7939" width="22.5" style="5" customWidth="1"/>
    <col min="7940" max="7940" width="20.75" style="5" customWidth="1"/>
    <col min="7941" max="8192" width="9" style="5"/>
    <col min="8193" max="8193" width="23.375" style="5" customWidth="1"/>
    <col min="8194" max="8194" width="20.75" style="5" customWidth="1"/>
    <col min="8195" max="8195" width="22.5" style="5" customWidth="1"/>
    <col min="8196" max="8196" width="20.75" style="5" customWidth="1"/>
    <col min="8197" max="8448" width="9" style="5"/>
    <col min="8449" max="8449" width="23.375" style="5" customWidth="1"/>
    <col min="8450" max="8450" width="20.75" style="5" customWidth="1"/>
    <col min="8451" max="8451" width="22.5" style="5" customWidth="1"/>
    <col min="8452" max="8452" width="20.75" style="5" customWidth="1"/>
    <col min="8453" max="8704" width="9" style="5"/>
    <col min="8705" max="8705" width="23.375" style="5" customWidth="1"/>
    <col min="8706" max="8706" width="20.75" style="5" customWidth="1"/>
    <col min="8707" max="8707" width="22.5" style="5" customWidth="1"/>
    <col min="8708" max="8708" width="20.75" style="5" customWidth="1"/>
    <col min="8709" max="8960" width="9" style="5"/>
    <col min="8961" max="8961" width="23.375" style="5" customWidth="1"/>
    <col min="8962" max="8962" width="20.75" style="5" customWidth="1"/>
    <col min="8963" max="8963" width="22.5" style="5" customWidth="1"/>
    <col min="8964" max="8964" width="20.75" style="5" customWidth="1"/>
    <col min="8965" max="9216" width="9" style="5"/>
    <col min="9217" max="9217" width="23.375" style="5" customWidth="1"/>
    <col min="9218" max="9218" width="20.75" style="5" customWidth="1"/>
    <col min="9219" max="9219" width="22.5" style="5" customWidth="1"/>
    <col min="9220" max="9220" width="20.75" style="5" customWidth="1"/>
    <col min="9221" max="9472" width="9" style="5"/>
    <col min="9473" max="9473" width="23.375" style="5" customWidth="1"/>
    <col min="9474" max="9474" width="20.75" style="5" customWidth="1"/>
    <col min="9475" max="9475" width="22.5" style="5" customWidth="1"/>
    <col min="9476" max="9476" width="20.75" style="5" customWidth="1"/>
    <col min="9477" max="9728" width="9" style="5"/>
    <col min="9729" max="9729" width="23.375" style="5" customWidth="1"/>
    <col min="9730" max="9730" width="20.75" style="5" customWidth="1"/>
    <col min="9731" max="9731" width="22.5" style="5" customWidth="1"/>
    <col min="9732" max="9732" width="20.75" style="5" customWidth="1"/>
    <col min="9733" max="9984" width="9" style="5"/>
    <col min="9985" max="9985" width="23.375" style="5" customWidth="1"/>
    <col min="9986" max="9986" width="20.75" style="5" customWidth="1"/>
    <col min="9987" max="9987" width="22.5" style="5" customWidth="1"/>
    <col min="9988" max="9988" width="20.75" style="5" customWidth="1"/>
    <col min="9989" max="10240" width="9" style="5"/>
    <col min="10241" max="10241" width="23.375" style="5" customWidth="1"/>
    <col min="10242" max="10242" width="20.75" style="5" customWidth="1"/>
    <col min="10243" max="10243" width="22.5" style="5" customWidth="1"/>
    <col min="10244" max="10244" width="20.75" style="5" customWidth="1"/>
    <col min="10245" max="10496" width="9" style="5"/>
    <col min="10497" max="10497" width="23.375" style="5" customWidth="1"/>
    <col min="10498" max="10498" width="20.75" style="5" customWidth="1"/>
    <col min="10499" max="10499" width="22.5" style="5" customWidth="1"/>
    <col min="10500" max="10500" width="20.75" style="5" customWidth="1"/>
    <col min="10501" max="10752" width="9" style="5"/>
    <col min="10753" max="10753" width="23.375" style="5" customWidth="1"/>
    <col min="10754" max="10754" width="20.75" style="5" customWidth="1"/>
    <col min="10755" max="10755" width="22.5" style="5" customWidth="1"/>
    <col min="10756" max="10756" width="20.75" style="5" customWidth="1"/>
    <col min="10757" max="11008" width="9" style="5"/>
    <col min="11009" max="11009" width="23.375" style="5" customWidth="1"/>
    <col min="11010" max="11010" width="20.75" style="5" customWidth="1"/>
    <col min="11011" max="11011" width="22.5" style="5" customWidth="1"/>
    <col min="11012" max="11012" width="20.75" style="5" customWidth="1"/>
    <col min="11013" max="11264" width="9" style="5"/>
    <col min="11265" max="11265" width="23.375" style="5" customWidth="1"/>
    <col min="11266" max="11266" width="20.75" style="5" customWidth="1"/>
    <col min="11267" max="11267" width="22.5" style="5" customWidth="1"/>
    <col min="11268" max="11268" width="20.75" style="5" customWidth="1"/>
    <col min="11269" max="11520" width="9" style="5"/>
    <col min="11521" max="11521" width="23.375" style="5" customWidth="1"/>
    <col min="11522" max="11522" width="20.75" style="5" customWidth="1"/>
    <col min="11523" max="11523" width="22.5" style="5" customWidth="1"/>
    <col min="11524" max="11524" width="20.75" style="5" customWidth="1"/>
    <col min="11525" max="11776" width="9" style="5"/>
    <col min="11777" max="11777" width="23.375" style="5" customWidth="1"/>
    <col min="11778" max="11778" width="20.75" style="5" customWidth="1"/>
    <col min="11779" max="11779" width="22.5" style="5" customWidth="1"/>
    <col min="11780" max="11780" width="20.75" style="5" customWidth="1"/>
    <col min="11781" max="12032" width="9" style="5"/>
    <col min="12033" max="12033" width="23.375" style="5" customWidth="1"/>
    <col min="12034" max="12034" width="20.75" style="5" customWidth="1"/>
    <col min="12035" max="12035" width="22.5" style="5" customWidth="1"/>
    <col min="12036" max="12036" width="20.75" style="5" customWidth="1"/>
    <col min="12037" max="12288" width="9" style="5"/>
    <col min="12289" max="12289" width="23.375" style="5" customWidth="1"/>
    <col min="12290" max="12290" width="20.75" style="5" customWidth="1"/>
    <col min="12291" max="12291" width="22.5" style="5" customWidth="1"/>
    <col min="12292" max="12292" width="20.75" style="5" customWidth="1"/>
    <col min="12293" max="12544" width="9" style="5"/>
    <col min="12545" max="12545" width="23.375" style="5" customWidth="1"/>
    <col min="12546" max="12546" width="20.75" style="5" customWidth="1"/>
    <col min="12547" max="12547" width="22.5" style="5" customWidth="1"/>
    <col min="12548" max="12548" width="20.75" style="5" customWidth="1"/>
    <col min="12549" max="12800" width="9" style="5"/>
    <col min="12801" max="12801" width="23.375" style="5" customWidth="1"/>
    <col min="12802" max="12802" width="20.75" style="5" customWidth="1"/>
    <col min="12803" max="12803" width="22.5" style="5" customWidth="1"/>
    <col min="12804" max="12804" width="20.75" style="5" customWidth="1"/>
    <col min="12805" max="13056" width="9" style="5"/>
    <col min="13057" max="13057" width="23.375" style="5" customWidth="1"/>
    <col min="13058" max="13058" width="20.75" style="5" customWidth="1"/>
    <col min="13059" max="13059" width="22.5" style="5" customWidth="1"/>
    <col min="13060" max="13060" width="20.75" style="5" customWidth="1"/>
    <col min="13061" max="13312" width="9" style="5"/>
    <col min="13313" max="13313" width="23.375" style="5" customWidth="1"/>
    <col min="13314" max="13314" width="20.75" style="5" customWidth="1"/>
    <col min="13315" max="13315" width="22.5" style="5" customWidth="1"/>
    <col min="13316" max="13316" width="20.75" style="5" customWidth="1"/>
    <col min="13317" max="13568" width="9" style="5"/>
    <col min="13569" max="13569" width="23.375" style="5" customWidth="1"/>
    <col min="13570" max="13570" width="20.75" style="5" customWidth="1"/>
    <col min="13571" max="13571" width="22.5" style="5" customWidth="1"/>
    <col min="13572" max="13572" width="20.75" style="5" customWidth="1"/>
    <col min="13573" max="13824" width="9" style="5"/>
    <col min="13825" max="13825" width="23.375" style="5" customWidth="1"/>
    <col min="13826" max="13826" width="20.75" style="5" customWidth="1"/>
    <col min="13827" max="13827" width="22.5" style="5" customWidth="1"/>
    <col min="13828" max="13828" width="20.75" style="5" customWidth="1"/>
    <col min="13829" max="14080" width="9" style="5"/>
    <col min="14081" max="14081" width="23.375" style="5" customWidth="1"/>
    <col min="14082" max="14082" width="20.75" style="5" customWidth="1"/>
    <col min="14083" max="14083" width="22.5" style="5" customWidth="1"/>
    <col min="14084" max="14084" width="20.75" style="5" customWidth="1"/>
    <col min="14085" max="14336" width="9" style="5"/>
    <col min="14337" max="14337" width="23.375" style="5" customWidth="1"/>
    <col min="14338" max="14338" width="20.75" style="5" customWidth="1"/>
    <col min="14339" max="14339" width="22.5" style="5" customWidth="1"/>
    <col min="14340" max="14340" width="20.75" style="5" customWidth="1"/>
    <col min="14341" max="14592" width="9" style="5"/>
    <col min="14593" max="14593" width="23.375" style="5" customWidth="1"/>
    <col min="14594" max="14594" width="20.75" style="5" customWidth="1"/>
    <col min="14595" max="14595" width="22.5" style="5" customWidth="1"/>
    <col min="14596" max="14596" width="20.75" style="5" customWidth="1"/>
    <col min="14597" max="14848" width="9" style="5"/>
    <col min="14849" max="14849" width="23.375" style="5" customWidth="1"/>
    <col min="14850" max="14850" width="20.75" style="5" customWidth="1"/>
    <col min="14851" max="14851" width="22.5" style="5" customWidth="1"/>
    <col min="14852" max="14852" width="20.75" style="5" customWidth="1"/>
    <col min="14853" max="15104" width="9" style="5"/>
    <col min="15105" max="15105" width="23.375" style="5" customWidth="1"/>
    <col min="15106" max="15106" width="20.75" style="5" customWidth="1"/>
    <col min="15107" max="15107" width="22.5" style="5" customWidth="1"/>
    <col min="15108" max="15108" width="20.75" style="5" customWidth="1"/>
    <col min="15109" max="15360" width="9" style="5"/>
    <col min="15361" max="15361" width="23.375" style="5" customWidth="1"/>
    <col min="15362" max="15362" width="20.75" style="5" customWidth="1"/>
    <col min="15363" max="15363" width="22.5" style="5" customWidth="1"/>
    <col min="15364" max="15364" width="20.75" style="5" customWidth="1"/>
    <col min="15365" max="15616" width="9" style="5"/>
    <col min="15617" max="15617" width="23.375" style="5" customWidth="1"/>
    <col min="15618" max="15618" width="20.75" style="5" customWidth="1"/>
    <col min="15619" max="15619" width="22.5" style="5" customWidth="1"/>
    <col min="15620" max="15620" width="20.75" style="5" customWidth="1"/>
    <col min="15621" max="15872" width="9" style="5"/>
    <col min="15873" max="15873" width="23.375" style="5" customWidth="1"/>
    <col min="15874" max="15874" width="20.75" style="5" customWidth="1"/>
    <col min="15875" max="15875" width="22.5" style="5" customWidth="1"/>
    <col min="15876" max="15876" width="20.75" style="5" customWidth="1"/>
    <col min="15877" max="16128" width="9" style="5"/>
    <col min="16129" max="16129" width="23.375" style="5" customWidth="1"/>
    <col min="16130" max="16130" width="20.75" style="5" customWidth="1"/>
    <col min="16131" max="16131" width="22.5" style="5" customWidth="1"/>
    <col min="16132" max="16132" width="20.75" style="5" customWidth="1"/>
    <col min="16133" max="16384" width="9" style="5"/>
  </cols>
  <sheetData>
    <row r="1" spans="1:17" ht="9.9499999999999993" customHeight="1"/>
    <row r="2" spans="1:17" ht="35.1" customHeight="1">
      <c r="A2" s="1791" t="s">
        <v>2614</v>
      </c>
      <c r="B2" s="1791"/>
      <c r="C2" s="1791"/>
      <c r="D2" s="1791"/>
    </row>
    <row r="3" spans="1:17" ht="20.100000000000001" customHeight="1">
      <c r="A3" s="40"/>
      <c r="B3" s="40"/>
      <c r="C3" s="40"/>
      <c r="D3" s="40"/>
    </row>
    <row r="4" spans="1:17" s="10" customFormat="1" ht="27" customHeight="1">
      <c r="A4" s="41" t="s">
        <v>2946</v>
      </c>
      <c r="B4" s="41"/>
      <c r="C4" s="41"/>
      <c r="D4" s="41"/>
      <c r="E4" s="383"/>
      <c r="F4" s="383"/>
      <c r="G4" s="383"/>
      <c r="H4" s="383"/>
      <c r="I4" s="383"/>
      <c r="J4" s="383"/>
      <c r="K4" s="383"/>
      <c r="L4" s="383"/>
      <c r="M4" s="383"/>
      <c r="N4" s="383"/>
      <c r="O4" s="383"/>
      <c r="P4" s="383"/>
      <c r="Q4" s="383"/>
    </row>
    <row r="5" spans="1:17" s="10" customFormat="1" ht="9.9499999999999993" customHeight="1">
      <c r="A5" s="41"/>
      <c r="B5" s="41"/>
      <c r="C5" s="41"/>
      <c r="D5" s="41"/>
      <c r="E5" s="383"/>
      <c r="F5" s="383"/>
      <c r="G5" s="383"/>
      <c r="H5" s="383"/>
      <c r="I5" s="383"/>
      <c r="J5" s="383"/>
      <c r="K5" s="383"/>
      <c r="L5" s="383"/>
      <c r="M5" s="383"/>
      <c r="N5" s="383"/>
      <c r="O5" s="383"/>
      <c r="P5" s="383"/>
      <c r="Q5" s="383"/>
    </row>
    <row r="6" spans="1:17" s="10" customFormat="1" ht="27" customHeight="1">
      <c r="A6" s="41" t="str">
        <f>CONCATENATE(" ○ 총  공  사  비 "," : ",TEXT('7.설계명세서'!$G583,"₩##,###,###"))</f>
        <v xml:space="preserve"> ○ 총  공  사  비  : ₩502,844,091</v>
      </c>
      <c r="B6" s="69"/>
      <c r="C6" s="41" t="str">
        <f>CONCATENATE(" ○ 추  정  가  격 "," : ",TEXT('7.설계명세서'!$G600,"₩##,###,###"))</f>
        <v xml:space="preserve"> ○ 추  정  가  격  : ₩502,844,091</v>
      </c>
      <c r="D6" s="41"/>
      <c r="E6" s="383"/>
      <c r="F6" s="383"/>
      <c r="G6" s="383"/>
      <c r="H6" s="383"/>
      <c r="I6" s="383"/>
      <c r="J6" s="383"/>
      <c r="K6" s="383"/>
      <c r="L6" s="383"/>
      <c r="M6" s="383"/>
      <c r="N6" s="383"/>
      <c r="O6" s="383"/>
      <c r="P6" s="383"/>
      <c r="Q6" s="383"/>
    </row>
    <row r="7" spans="1:17" s="10" customFormat="1" ht="27" customHeight="1">
      <c r="A7" s="41" t="str">
        <f>CONCATENATE(" ○ 추  정  금  액 "," : ",TEXT('7.설계명세서'!$G598,"₩##,###,###"))</f>
        <v xml:space="preserve"> ○ 추  정  금  액  : ₩553,128,500</v>
      </c>
      <c r="B7" s="69"/>
      <c r="C7" s="41" t="str">
        <f>CONCATENATE(" ○ 추정가격 VAT "," : ",TEXT('7.설계명세서'!$G601,"₩##,###,###"))</f>
        <v xml:space="preserve"> ○ 추정가격 VAT  : ₩50,284,409</v>
      </c>
      <c r="D7" s="41"/>
      <c r="E7" s="383"/>
      <c r="F7" s="383"/>
      <c r="G7" s="383"/>
      <c r="H7" s="383"/>
      <c r="I7" s="383"/>
      <c r="J7" s="383"/>
      <c r="K7" s="383"/>
      <c r="L7" s="383"/>
      <c r="M7" s="383"/>
      <c r="N7" s="383"/>
      <c r="O7" s="383"/>
      <c r="P7" s="383"/>
      <c r="Q7" s="383"/>
    </row>
    <row r="8" spans="1:17" s="10" customFormat="1" ht="27" customHeight="1">
      <c r="A8" s="70" t="s">
        <v>310</v>
      </c>
      <c r="B8" s="71" t="s">
        <v>98</v>
      </c>
      <c r="C8" s="72" t="s">
        <v>99</v>
      </c>
      <c r="D8" s="73" t="s">
        <v>100</v>
      </c>
      <c r="E8" s="383"/>
      <c r="F8" s="383"/>
      <c r="G8" s="383"/>
      <c r="H8" s="383"/>
      <c r="I8" s="383"/>
      <c r="J8" s="383"/>
      <c r="K8" s="383"/>
      <c r="L8" s="383"/>
      <c r="M8" s="383"/>
      <c r="N8" s="383"/>
      <c r="O8" s="383"/>
      <c r="P8" s="383"/>
      <c r="Q8" s="383"/>
    </row>
    <row r="9" spans="1:17" s="10" customFormat="1" ht="27" customHeight="1">
      <c r="A9" s="1815" t="s">
        <v>101</v>
      </c>
      <c r="B9" s="74" t="s">
        <v>102</v>
      </c>
      <c r="C9" s="75">
        <f>SUM(C10:C13)</f>
        <v>1559803143.8800001</v>
      </c>
      <c r="D9" s="76" t="s">
        <v>2</v>
      </c>
      <c r="E9" s="383"/>
      <c r="F9" s="383"/>
      <c r="G9" s="383"/>
      <c r="H9" s="383"/>
      <c r="I9" s="383"/>
      <c r="J9" s="383"/>
      <c r="K9" s="383"/>
      <c r="L9" s="383"/>
      <c r="M9" s="383"/>
      <c r="N9" s="383"/>
      <c r="O9" s="383"/>
      <c r="P9" s="383"/>
      <c r="Q9" s="383"/>
    </row>
    <row r="10" spans="1:17" s="10" customFormat="1" ht="27" customHeight="1">
      <c r="A10" s="1816"/>
      <c r="B10" s="77" t="s">
        <v>103</v>
      </c>
      <c r="C10" s="78">
        <v>0</v>
      </c>
      <c r="D10" s="79" t="s">
        <v>2</v>
      </c>
      <c r="E10" s="383"/>
      <c r="F10" s="383"/>
      <c r="G10" s="383"/>
      <c r="H10" s="383"/>
      <c r="I10" s="383"/>
      <c r="J10" s="383"/>
      <c r="K10" s="383"/>
      <c r="L10" s="383"/>
      <c r="M10" s="383"/>
      <c r="N10" s="383"/>
      <c r="O10" s="383"/>
      <c r="P10" s="383"/>
      <c r="Q10" s="383"/>
    </row>
    <row r="11" spans="1:17" s="10" customFormat="1" ht="27" customHeight="1">
      <c r="A11" s="1816"/>
      <c r="B11" s="77" t="s">
        <v>104</v>
      </c>
      <c r="C11" s="78">
        <f>C19</f>
        <v>1056959053</v>
      </c>
      <c r="D11" s="79" t="s">
        <v>309</v>
      </c>
      <c r="E11" s="383"/>
      <c r="F11" s="383"/>
      <c r="G11" s="383"/>
      <c r="H11" s="383"/>
      <c r="I11" s="383"/>
      <c r="J11" s="383"/>
      <c r="K11" s="383"/>
      <c r="L11" s="383"/>
      <c r="M11" s="383"/>
      <c r="N11" s="383"/>
      <c r="O11" s="383"/>
      <c r="P11" s="383"/>
      <c r="Q11" s="383"/>
    </row>
    <row r="12" spans="1:17" s="10" customFormat="1" ht="27" customHeight="1">
      <c r="A12" s="1816"/>
      <c r="B12" s="77" t="s">
        <v>105</v>
      </c>
      <c r="C12" s="78">
        <f>C20+C25+C26+C21+C27</f>
        <v>502844090.88</v>
      </c>
      <c r="D12" s="79" t="s">
        <v>309</v>
      </c>
      <c r="E12" s="383"/>
      <c r="F12" s="383"/>
      <c r="G12" s="383"/>
      <c r="H12" s="383"/>
      <c r="I12" s="383"/>
      <c r="J12" s="383"/>
      <c r="K12" s="383"/>
      <c r="L12" s="383"/>
      <c r="M12" s="383"/>
      <c r="N12" s="383"/>
      <c r="O12" s="383"/>
      <c r="P12" s="383"/>
      <c r="Q12" s="383"/>
    </row>
    <row r="13" spans="1:17" s="10" customFormat="1" ht="27" customHeight="1">
      <c r="A13" s="1817"/>
      <c r="B13" s="80" t="s">
        <v>106</v>
      </c>
      <c r="C13" s="81"/>
      <c r="D13" s="82" t="s">
        <v>2</v>
      </c>
      <c r="E13" s="383"/>
      <c r="F13" s="383"/>
      <c r="G13" s="383"/>
      <c r="H13" s="383"/>
      <c r="I13" s="383"/>
      <c r="J13" s="383"/>
      <c r="K13" s="383"/>
      <c r="L13" s="383"/>
      <c r="M13" s="383"/>
      <c r="N13" s="383"/>
      <c r="O13" s="383"/>
      <c r="P13" s="383"/>
      <c r="Q13" s="383"/>
    </row>
    <row r="14" spans="1:17" s="10" customFormat="1" ht="27" customHeight="1">
      <c r="A14" s="83" t="s">
        <v>107</v>
      </c>
      <c r="B14" s="84" t="s">
        <v>108</v>
      </c>
      <c r="C14" s="85"/>
      <c r="D14" s="86" t="s">
        <v>309</v>
      </c>
      <c r="E14" s="383"/>
      <c r="F14" s="383"/>
      <c r="G14" s="383"/>
      <c r="H14" s="383"/>
      <c r="I14" s="383"/>
      <c r="J14" s="383"/>
      <c r="K14" s="383"/>
      <c r="L14" s="383"/>
      <c r="M14" s="383"/>
      <c r="N14" s="383"/>
      <c r="O14" s="383"/>
      <c r="P14" s="383"/>
      <c r="Q14" s="383"/>
    </row>
    <row r="15" spans="1:17" s="10" customFormat="1" ht="27" customHeight="1">
      <c r="A15" s="1815" t="s">
        <v>109</v>
      </c>
      <c r="B15" s="74" t="s">
        <v>103</v>
      </c>
      <c r="C15" s="75">
        <v>0</v>
      </c>
      <c r="D15" s="76" t="s">
        <v>2</v>
      </c>
      <c r="E15" s="383"/>
      <c r="F15" s="383"/>
      <c r="G15" s="383"/>
      <c r="H15" s="383"/>
      <c r="I15" s="383"/>
      <c r="J15" s="383"/>
      <c r="K15" s="383"/>
      <c r="L15" s="383"/>
      <c r="M15" s="383"/>
      <c r="N15" s="383"/>
      <c r="O15" s="383"/>
      <c r="P15" s="383"/>
      <c r="Q15" s="383"/>
    </row>
    <row r="16" spans="1:17" s="10" customFormat="1" ht="27" customHeight="1">
      <c r="A16" s="1817"/>
      <c r="B16" s="80" t="s">
        <v>104</v>
      </c>
      <c r="C16" s="81"/>
      <c r="D16" s="82" t="s">
        <v>2</v>
      </c>
      <c r="E16" s="383"/>
      <c r="F16" s="383"/>
      <c r="G16" s="383"/>
      <c r="H16" s="383"/>
      <c r="I16" s="383"/>
      <c r="J16" s="383"/>
      <c r="K16" s="383"/>
      <c r="L16" s="383"/>
      <c r="M16" s="383"/>
      <c r="N16" s="383"/>
      <c r="O16" s="383"/>
      <c r="P16" s="383"/>
      <c r="Q16" s="383"/>
    </row>
    <row r="17" spans="1:17" s="10" customFormat="1" ht="27" customHeight="1">
      <c r="A17" s="1815" t="s">
        <v>110</v>
      </c>
      <c r="B17" s="74" t="s">
        <v>111</v>
      </c>
      <c r="C17" s="75">
        <f>SUM(C18:C20)</f>
        <v>1125295538.8800001</v>
      </c>
      <c r="D17" s="76" t="s">
        <v>2</v>
      </c>
      <c r="E17" s="383"/>
      <c r="F17" s="383"/>
      <c r="G17" s="383"/>
      <c r="H17" s="383"/>
      <c r="I17" s="383"/>
      <c r="J17" s="383"/>
      <c r="K17" s="383"/>
      <c r="L17" s="383"/>
      <c r="M17" s="383"/>
      <c r="N17" s="383"/>
      <c r="O17" s="383"/>
      <c r="P17" s="383"/>
      <c r="Q17" s="383"/>
    </row>
    <row r="18" spans="1:17" s="10" customFormat="1" ht="27" customHeight="1">
      <c r="A18" s="1816"/>
      <c r="B18" s="77" t="s">
        <v>103</v>
      </c>
      <c r="C18" s="78"/>
      <c r="D18" s="79" t="s">
        <v>2</v>
      </c>
      <c r="E18" s="383"/>
      <c r="F18" s="383"/>
      <c r="G18" s="383"/>
      <c r="H18" s="383"/>
      <c r="I18" s="383"/>
      <c r="J18" s="383"/>
      <c r="K18" s="383"/>
      <c r="L18" s="383"/>
      <c r="M18" s="383"/>
      <c r="N18" s="383"/>
      <c r="O18" s="383"/>
      <c r="P18" s="383"/>
      <c r="Q18" s="383"/>
    </row>
    <row r="19" spans="1:17" s="10" customFormat="1" ht="27" customHeight="1">
      <c r="A19" s="1816"/>
      <c r="B19" s="77" t="s">
        <v>104</v>
      </c>
      <c r="C19" s="78">
        <f>'6.공사비예산서'!$E15</f>
        <v>1056959053</v>
      </c>
      <c r="D19" s="79" t="s">
        <v>312</v>
      </c>
      <c r="E19" s="383"/>
      <c r="F19" s="383"/>
      <c r="G19" s="383"/>
      <c r="H19" s="383"/>
      <c r="I19" s="383"/>
      <c r="J19" s="383"/>
      <c r="K19" s="383"/>
      <c r="L19" s="383"/>
      <c r="M19" s="383"/>
      <c r="N19" s="383"/>
      <c r="O19" s="383"/>
      <c r="P19" s="383"/>
      <c r="Q19" s="383"/>
    </row>
    <row r="20" spans="1:17" s="10" customFormat="1" ht="27" customHeight="1">
      <c r="A20" s="1817"/>
      <c r="B20" s="80" t="s">
        <v>113</v>
      </c>
      <c r="C20" s="81">
        <f>'6.공사비예산서'!$E16</f>
        <v>68336485.879999995</v>
      </c>
      <c r="D20" s="82" t="s">
        <v>2</v>
      </c>
      <c r="E20" s="383"/>
      <c r="F20" s="383"/>
      <c r="G20" s="383"/>
      <c r="H20" s="383"/>
      <c r="I20" s="383"/>
      <c r="J20" s="383"/>
      <c r="K20" s="383"/>
      <c r="L20" s="383"/>
      <c r="M20" s="383"/>
      <c r="N20" s="383"/>
      <c r="O20" s="383"/>
      <c r="P20" s="383"/>
      <c r="Q20" s="383"/>
    </row>
    <row r="21" spans="1:17" s="10" customFormat="1" ht="27" customHeight="1">
      <c r="A21" s="83" t="s">
        <v>114</v>
      </c>
      <c r="B21" s="84" t="s">
        <v>113</v>
      </c>
      <c r="C21" s="85">
        <f>'6.공사비예산서'!E30</f>
        <v>276203502</v>
      </c>
      <c r="D21" s="86" t="s">
        <v>2</v>
      </c>
      <c r="E21" s="383"/>
      <c r="F21" s="383"/>
      <c r="G21" s="383"/>
      <c r="H21" s="383"/>
      <c r="I21" s="383"/>
      <c r="J21" s="383"/>
      <c r="K21" s="383"/>
      <c r="L21" s="383"/>
      <c r="M21" s="383"/>
      <c r="N21" s="383"/>
      <c r="O21" s="383"/>
      <c r="P21" s="383"/>
      <c r="Q21" s="383"/>
    </row>
    <row r="22" spans="1:17" s="10" customFormat="1" ht="27" customHeight="1">
      <c r="A22" s="1815" t="s">
        <v>115</v>
      </c>
      <c r="B22" s="74" t="s">
        <v>111</v>
      </c>
      <c r="C22" s="75">
        <f>SUM(C23:C25)</f>
        <v>73421721</v>
      </c>
      <c r="D22" s="76" t="s">
        <v>2</v>
      </c>
      <c r="E22" s="383"/>
      <c r="F22" s="383"/>
      <c r="G22" s="383"/>
      <c r="H22" s="383"/>
      <c r="I22" s="383"/>
      <c r="J22" s="383"/>
      <c r="K22" s="383"/>
      <c r="L22" s="383"/>
      <c r="M22" s="383"/>
      <c r="N22" s="383"/>
      <c r="O22" s="383"/>
      <c r="P22" s="383"/>
      <c r="Q22" s="383"/>
    </row>
    <row r="23" spans="1:17" s="10" customFormat="1" ht="27" customHeight="1">
      <c r="A23" s="1816"/>
      <c r="B23" s="77" t="s">
        <v>116</v>
      </c>
      <c r="C23" s="78"/>
      <c r="D23" s="79" t="s">
        <v>112</v>
      </c>
      <c r="E23" s="383"/>
      <c r="F23" s="383"/>
      <c r="G23" s="383"/>
      <c r="H23" s="383"/>
      <c r="I23" s="383"/>
      <c r="J23" s="383"/>
      <c r="K23" s="383"/>
      <c r="L23" s="383"/>
      <c r="M23" s="383"/>
      <c r="N23" s="383"/>
      <c r="O23" s="383"/>
      <c r="P23" s="383"/>
      <c r="Q23" s="383"/>
    </row>
    <row r="24" spans="1:17" s="10" customFormat="1" ht="27" customHeight="1">
      <c r="A24" s="1816"/>
      <c r="B24" s="77" t="s">
        <v>104</v>
      </c>
      <c r="C24" s="78"/>
      <c r="D24" s="79" t="s">
        <v>112</v>
      </c>
      <c r="E24" s="383"/>
      <c r="F24" s="383"/>
      <c r="G24" s="383"/>
      <c r="H24" s="383"/>
      <c r="I24" s="383"/>
      <c r="J24" s="383"/>
      <c r="K24" s="383"/>
      <c r="L24" s="383"/>
      <c r="M24" s="383"/>
      <c r="N24" s="383"/>
      <c r="O24" s="383"/>
      <c r="P24" s="383"/>
      <c r="Q24" s="383"/>
    </row>
    <row r="25" spans="1:17" s="10" customFormat="1" ht="27" customHeight="1">
      <c r="A25" s="1817"/>
      <c r="B25" s="80" t="s">
        <v>113</v>
      </c>
      <c r="C25" s="81">
        <f>'6.공사비예산서'!$J16</f>
        <v>73421721</v>
      </c>
      <c r="D25" s="82" t="s">
        <v>2</v>
      </c>
      <c r="E25" s="383"/>
      <c r="F25" s="383"/>
      <c r="G25" s="383"/>
      <c r="H25" s="383"/>
      <c r="I25" s="383"/>
      <c r="J25" s="383"/>
      <c r="K25" s="383"/>
      <c r="L25" s="383"/>
      <c r="M25" s="383"/>
      <c r="N25" s="383"/>
      <c r="O25" s="383"/>
      <c r="P25" s="383"/>
      <c r="Q25" s="383"/>
    </row>
    <row r="26" spans="1:17" s="10" customFormat="1" ht="27" customHeight="1">
      <c r="A26" s="83" t="s">
        <v>117</v>
      </c>
      <c r="B26" s="84" t="s">
        <v>113</v>
      </c>
      <c r="C26" s="85">
        <f>'6.공사비예산서'!$J30</f>
        <v>33436936</v>
      </c>
      <c r="D26" s="86" t="s">
        <v>2</v>
      </c>
      <c r="E26" s="383"/>
      <c r="F26" s="383"/>
      <c r="G26" s="383"/>
      <c r="H26" s="383"/>
      <c r="I26" s="383"/>
      <c r="J26" s="383"/>
      <c r="K26" s="383"/>
      <c r="L26" s="383"/>
      <c r="M26" s="383"/>
      <c r="N26" s="383"/>
      <c r="O26" s="383"/>
      <c r="P26" s="383"/>
      <c r="Q26" s="383"/>
    </row>
    <row r="27" spans="1:17" s="10" customFormat="1" ht="27" customHeight="1">
      <c r="A27" s="83" t="s">
        <v>118</v>
      </c>
      <c r="B27" s="84" t="s">
        <v>113</v>
      </c>
      <c r="C27" s="85">
        <f>'6.공사비예산서'!$J32</f>
        <v>51445446</v>
      </c>
      <c r="D27" s="86" t="s">
        <v>2</v>
      </c>
      <c r="E27" s="383"/>
      <c r="F27" s="383"/>
      <c r="G27" s="383"/>
      <c r="H27" s="383"/>
      <c r="I27" s="383"/>
      <c r="J27" s="383"/>
      <c r="K27" s="383"/>
      <c r="L27" s="383"/>
      <c r="M27" s="383"/>
      <c r="N27" s="383"/>
      <c r="O27" s="383"/>
      <c r="P27" s="383"/>
      <c r="Q27" s="383"/>
    </row>
    <row r="28" spans="1:17" s="10" customFormat="1" ht="27" customHeight="1">
      <c r="A28" s="87" t="s">
        <v>106</v>
      </c>
      <c r="B28" s="88" t="s">
        <v>119</v>
      </c>
      <c r="C28" s="89"/>
      <c r="D28" s="90" t="s">
        <v>2</v>
      </c>
      <c r="E28" s="383"/>
      <c r="F28" s="383"/>
      <c r="G28" s="383"/>
      <c r="H28" s="383"/>
      <c r="I28" s="383"/>
      <c r="J28" s="383"/>
      <c r="K28" s="383"/>
      <c r="L28" s="383"/>
      <c r="M28" s="383"/>
      <c r="N28" s="383"/>
      <c r="O28" s="383"/>
      <c r="P28" s="383"/>
      <c r="Q28" s="383"/>
    </row>
    <row r="29" spans="1:17" s="10" customFormat="1">
      <c r="E29" s="383"/>
      <c r="F29" s="383"/>
      <c r="G29" s="383"/>
      <c r="H29" s="383"/>
      <c r="I29" s="383"/>
      <c r="J29" s="383"/>
      <c r="K29" s="383"/>
      <c r="L29" s="383"/>
      <c r="M29" s="383"/>
      <c r="N29" s="383"/>
      <c r="O29" s="383"/>
      <c r="P29" s="383"/>
      <c r="Q29" s="383"/>
    </row>
  </sheetData>
  <mergeCells count="5">
    <mergeCell ref="A2:D2"/>
    <mergeCell ref="A9:A13"/>
    <mergeCell ref="A15:A16"/>
    <mergeCell ref="A17:A20"/>
    <mergeCell ref="A22:A25"/>
  </mergeCells>
  <phoneticPr fontId="6" type="noConversion"/>
  <conditionalFormatting sqref="C9:K27">
    <cfRule type="cellIs" dxfId="0" priority="13" stopIfTrue="1" operator="equal">
      <formula>0</formula>
    </cfRule>
  </conditionalFormatting>
  <printOptions horizontalCentered="1"/>
  <pageMargins left="0.39370078740157483" right="0.39370078740157483" top="0.78740157480314965" bottom="0.39370078740157483" header="0.31496062992125984" footer="0.31496062992125984"/>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E25"/>
  <sheetViews>
    <sheetView view="pageBreakPreview" topLeftCell="A19" zoomScaleNormal="100" zoomScaleSheetLayoutView="100" workbookViewId="0">
      <selection activeCell="L24" sqref="L24"/>
    </sheetView>
  </sheetViews>
  <sheetFormatPr defaultRowHeight="16.5"/>
  <cols>
    <col min="1" max="2" width="12.625" style="5" customWidth="1"/>
    <col min="3" max="4" width="15.625" style="5" customWidth="1"/>
    <col min="5" max="5" width="15" style="5" customWidth="1"/>
    <col min="6" max="30" width="9" style="5"/>
    <col min="31" max="32" width="12.125" style="5" customWidth="1"/>
    <col min="33" max="37" width="13.25" style="5" customWidth="1"/>
    <col min="38" max="286" width="9" style="5"/>
    <col min="287" max="288" width="12.125" style="5" customWidth="1"/>
    <col min="289" max="293" width="13.25" style="5" customWidth="1"/>
    <col min="294" max="542" width="9" style="5"/>
    <col min="543" max="544" width="12.125" style="5" customWidth="1"/>
    <col min="545" max="549" width="13.25" style="5" customWidth="1"/>
    <col min="550" max="798" width="9" style="5"/>
    <col min="799" max="800" width="12.125" style="5" customWidth="1"/>
    <col min="801" max="805" width="13.25" style="5" customWidth="1"/>
    <col min="806" max="1054" width="9" style="5"/>
    <col min="1055" max="1056" width="12.125" style="5" customWidth="1"/>
    <col min="1057" max="1061" width="13.25" style="5" customWidth="1"/>
    <col min="1062" max="1310" width="9" style="5"/>
    <col min="1311" max="1312" width="12.125" style="5" customWidth="1"/>
    <col min="1313" max="1317" width="13.25" style="5" customWidth="1"/>
    <col min="1318" max="1566" width="9" style="5"/>
    <col min="1567" max="1568" width="12.125" style="5" customWidth="1"/>
    <col min="1569" max="1573" width="13.25" style="5" customWidth="1"/>
    <col min="1574" max="1822" width="9" style="5"/>
    <col min="1823" max="1824" width="12.125" style="5" customWidth="1"/>
    <col min="1825" max="1829" width="13.25" style="5" customWidth="1"/>
    <col min="1830" max="2078" width="9" style="5"/>
    <col min="2079" max="2080" width="12.125" style="5" customWidth="1"/>
    <col min="2081" max="2085" width="13.25" style="5" customWidth="1"/>
    <col min="2086" max="2334" width="9" style="5"/>
    <col min="2335" max="2336" width="12.125" style="5" customWidth="1"/>
    <col min="2337" max="2341" width="13.25" style="5" customWidth="1"/>
    <col min="2342" max="2590" width="9" style="5"/>
    <col min="2591" max="2592" width="12.125" style="5" customWidth="1"/>
    <col min="2593" max="2597" width="13.25" style="5" customWidth="1"/>
    <col min="2598" max="2846" width="9" style="5"/>
    <col min="2847" max="2848" width="12.125" style="5" customWidth="1"/>
    <col min="2849" max="2853" width="13.25" style="5" customWidth="1"/>
    <col min="2854" max="3102" width="9" style="5"/>
    <col min="3103" max="3104" width="12.125" style="5" customWidth="1"/>
    <col min="3105" max="3109" width="13.25" style="5" customWidth="1"/>
    <col min="3110" max="3358" width="9" style="5"/>
    <col min="3359" max="3360" width="12.125" style="5" customWidth="1"/>
    <col min="3361" max="3365" width="13.25" style="5" customWidth="1"/>
    <col min="3366" max="3614" width="9" style="5"/>
    <col min="3615" max="3616" width="12.125" style="5" customWidth="1"/>
    <col min="3617" max="3621" width="13.25" style="5" customWidth="1"/>
    <col min="3622" max="3870" width="9" style="5"/>
    <col min="3871" max="3872" width="12.125" style="5" customWidth="1"/>
    <col min="3873" max="3877" width="13.25" style="5" customWidth="1"/>
    <col min="3878" max="4126" width="9" style="5"/>
    <col min="4127" max="4128" width="12.125" style="5" customWidth="1"/>
    <col min="4129" max="4133" width="13.25" style="5" customWidth="1"/>
    <col min="4134" max="4382" width="9" style="5"/>
    <col min="4383" max="4384" width="12.125" style="5" customWidth="1"/>
    <col min="4385" max="4389" width="13.25" style="5" customWidth="1"/>
    <col min="4390" max="4638" width="9" style="5"/>
    <col min="4639" max="4640" width="12.125" style="5" customWidth="1"/>
    <col min="4641" max="4645" width="13.25" style="5" customWidth="1"/>
    <col min="4646" max="4894" width="9" style="5"/>
    <col min="4895" max="4896" width="12.125" style="5" customWidth="1"/>
    <col min="4897" max="4901" width="13.25" style="5" customWidth="1"/>
    <col min="4902" max="5150" width="9" style="5"/>
    <col min="5151" max="5152" width="12.125" style="5" customWidth="1"/>
    <col min="5153" max="5157" width="13.25" style="5" customWidth="1"/>
    <col min="5158" max="5406" width="9" style="5"/>
    <col min="5407" max="5408" width="12.125" style="5" customWidth="1"/>
    <col min="5409" max="5413" width="13.25" style="5" customWidth="1"/>
    <col min="5414" max="5662" width="9" style="5"/>
    <col min="5663" max="5664" width="12.125" style="5" customWidth="1"/>
    <col min="5665" max="5669" width="13.25" style="5" customWidth="1"/>
    <col min="5670" max="5918" width="9" style="5"/>
    <col min="5919" max="5920" width="12.125" style="5" customWidth="1"/>
    <col min="5921" max="5925" width="13.25" style="5" customWidth="1"/>
    <col min="5926" max="6174" width="9" style="5"/>
    <col min="6175" max="6176" width="12.125" style="5" customWidth="1"/>
    <col min="6177" max="6181" width="13.25" style="5" customWidth="1"/>
    <col min="6182" max="6430" width="9" style="5"/>
    <col min="6431" max="6432" width="12.125" style="5" customWidth="1"/>
    <col min="6433" max="6437" width="13.25" style="5" customWidth="1"/>
    <col min="6438" max="6686" width="9" style="5"/>
    <col min="6687" max="6688" width="12.125" style="5" customWidth="1"/>
    <col min="6689" max="6693" width="13.25" style="5" customWidth="1"/>
    <col min="6694" max="6942" width="9" style="5"/>
    <col min="6943" max="6944" width="12.125" style="5" customWidth="1"/>
    <col min="6945" max="6949" width="13.25" style="5" customWidth="1"/>
    <col min="6950" max="7198" width="9" style="5"/>
    <col min="7199" max="7200" width="12.125" style="5" customWidth="1"/>
    <col min="7201" max="7205" width="13.25" style="5" customWidth="1"/>
    <col min="7206" max="7454" width="9" style="5"/>
    <col min="7455" max="7456" width="12.125" style="5" customWidth="1"/>
    <col min="7457" max="7461" width="13.25" style="5" customWidth="1"/>
    <col min="7462" max="7710" width="9" style="5"/>
    <col min="7711" max="7712" width="12.125" style="5" customWidth="1"/>
    <col min="7713" max="7717" width="13.25" style="5" customWidth="1"/>
    <col min="7718" max="7966" width="9" style="5"/>
    <col min="7967" max="7968" width="12.125" style="5" customWidth="1"/>
    <col min="7969" max="7973" width="13.25" style="5" customWidth="1"/>
    <col min="7974" max="8222" width="9" style="5"/>
    <col min="8223" max="8224" width="12.125" style="5" customWidth="1"/>
    <col min="8225" max="8229" width="13.25" style="5" customWidth="1"/>
    <col min="8230" max="8478" width="9" style="5"/>
    <col min="8479" max="8480" width="12.125" style="5" customWidth="1"/>
    <col min="8481" max="8485" width="13.25" style="5" customWidth="1"/>
    <col min="8486" max="8734" width="9" style="5"/>
    <col min="8735" max="8736" width="12.125" style="5" customWidth="1"/>
    <col min="8737" max="8741" width="13.25" style="5" customWidth="1"/>
    <col min="8742" max="8990" width="9" style="5"/>
    <col min="8991" max="8992" width="12.125" style="5" customWidth="1"/>
    <col min="8993" max="8997" width="13.25" style="5" customWidth="1"/>
    <col min="8998" max="9246" width="9" style="5"/>
    <col min="9247" max="9248" width="12.125" style="5" customWidth="1"/>
    <col min="9249" max="9253" width="13.25" style="5" customWidth="1"/>
    <col min="9254" max="9502" width="9" style="5"/>
    <col min="9503" max="9504" width="12.125" style="5" customWidth="1"/>
    <col min="9505" max="9509" width="13.25" style="5" customWidth="1"/>
    <col min="9510" max="9758" width="9" style="5"/>
    <col min="9759" max="9760" width="12.125" style="5" customWidth="1"/>
    <col min="9761" max="9765" width="13.25" style="5" customWidth="1"/>
    <col min="9766" max="10014" width="9" style="5"/>
    <col min="10015" max="10016" width="12.125" style="5" customWidth="1"/>
    <col min="10017" max="10021" width="13.25" style="5" customWidth="1"/>
    <col min="10022" max="10270" width="9" style="5"/>
    <col min="10271" max="10272" width="12.125" style="5" customWidth="1"/>
    <col min="10273" max="10277" width="13.25" style="5" customWidth="1"/>
    <col min="10278" max="10526" width="9" style="5"/>
    <col min="10527" max="10528" width="12.125" style="5" customWidth="1"/>
    <col min="10529" max="10533" width="13.25" style="5" customWidth="1"/>
    <col min="10534" max="10782" width="9" style="5"/>
    <col min="10783" max="10784" width="12.125" style="5" customWidth="1"/>
    <col min="10785" max="10789" width="13.25" style="5" customWidth="1"/>
    <col min="10790" max="11038" width="9" style="5"/>
    <col min="11039" max="11040" width="12.125" style="5" customWidth="1"/>
    <col min="11041" max="11045" width="13.25" style="5" customWidth="1"/>
    <col min="11046" max="11294" width="9" style="5"/>
    <col min="11295" max="11296" width="12.125" style="5" customWidth="1"/>
    <col min="11297" max="11301" width="13.25" style="5" customWidth="1"/>
    <col min="11302" max="11550" width="9" style="5"/>
    <col min="11551" max="11552" width="12.125" style="5" customWidth="1"/>
    <col min="11553" max="11557" width="13.25" style="5" customWidth="1"/>
    <col min="11558" max="11806" width="9" style="5"/>
    <col min="11807" max="11808" width="12.125" style="5" customWidth="1"/>
    <col min="11809" max="11813" width="13.25" style="5" customWidth="1"/>
    <col min="11814" max="12062" width="9" style="5"/>
    <col min="12063" max="12064" width="12.125" style="5" customWidth="1"/>
    <col min="12065" max="12069" width="13.25" style="5" customWidth="1"/>
    <col min="12070" max="12318" width="9" style="5"/>
    <col min="12319" max="12320" width="12.125" style="5" customWidth="1"/>
    <col min="12321" max="12325" width="13.25" style="5" customWidth="1"/>
    <col min="12326" max="12574" width="9" style="5"/>
    <col min="12575" max="12576" width="12.125" style="5" customWidth="1"/>
    <col min="12577" max="12581" width="13.25" style="5" customWidth="1"/>
    <col min="12582" max="12830" width="9" style="5"/>
    <col min="12831" max="12832" width="12.125" style="5" customWidth="1"/>
    <col min="12833" max="12837" width="13.25" style="5" customWidth="1"/>
    <col min="12838" max="13086" width="9" style="5"/>
    <col min="13087" max="13088" width="12.125" style="5" customWidth="1"/>
    <col min="13089" max="13093" width="13.25" style="5" customWidth="1"/>
    <col min="13094" max="13342" width="9" style="5"/>
    <col min="13343" max="13344" width="12.125" style="5" customWidth="1"/>
    <col min="13345" max="13349" width="13.25" style="5" customWidth="1"/>
    <col min="13350" max="13598" width="9" style="5"/>
    <col min="13599" max="13600" width="12.125" style="5" customWidth="1"/>
    <col min="13601" max="13605" width="13.25" style="5" customWidth="1"/>
    <col min="13606" max="13854" width="9" style="5"/>
    <col min="13855" max="13856" width="12.125" style="5" customWidth="1"/>
    <col min="13857" max="13861" width="13.25" style="5" customWidth="1"/>
    <col min="13862" max="14110" width="9" style="5"/>
    <col min="14111" max="14112" width="12.125" style="5" customWidth="1"/>
    <col min="14113" max="14117" width="13.25" style="5" customWidth="1"/>
    <col min="14118" max="14366" width="9" style="5"/>
    <col min="14367" max="14368" width="12.125" style="5" customWidth="1"/>
    <col min="14369" max="14373" width="13.25" style="5" customWidth="1"/>
    <col min="14374" max="14622" width="9" style="5"/>
    <col min="14623" max="14624" width="12.125" style="5" customWidth="1"/>
    <col min="14625" max="14629" width="13.25" style="5" customWidth="1"/>
    <col min="14630" max="14878" width="9" style="5"/>
    <col min="14879" max="14880" width="12.125" style="5" customWidth="1"/>
    <col min="14881" max="14885" width="13.25" style="5" customWidth="1"/>
    <col min="14886" max="16384" width="9" style="5"/>
  </cols>
  <sheetData>
    <row r="1" spans="1:5" ht="9.9499999999999993" customHeight="1"/>
    <row r="2" spans="1:5" ht="44.25" customHeight="1">
      <c r="A2" s="1791" t="s">
        <v>2615</v>
      </c>
      <c r="B2" s="1791"/>
      <c r="C2" s="1791"/>
      <c r="D2" s="1791"/>
      <c r="E2" s="1791"/>
    </row>
    <row r="3" spans="1:5" ht="24.75" customHeight="1">
      <c r="A3" s="5" t="str">
        <f>'3.공사비총괄표'!A4</f>
        <v>공사명 : 동해안#1 변환소 전력통신설비 시설공사</v>
      </c>
    </row>
    <row r="4" spans="1:5" s="41" customFormat="1" ht="30" customHeight="1">
      <c r="A4" s="271" t="s">
        <v>85</v>
      </c>
      <c r="B4" s="271" t="s">
        <v>86</v>
      </c>
      <c r="C4" s="1300" t="s">
        <v>2411</v>
      </c>
      <c r="D4" s="1300" t="s">
        <v>2412</v>
      </c>
      <c r="E4" s="770" t="s">
        <v>87</v>
      </c>
    </row>
    <row r="5" spans="1:5" s="41" customFormat="1" ht="30" customHeight="1">
      <c r="A5" s="1777" t="s">
        <v>88</v>
      </c>
      <c r="B5" s="66" t="s">
        <v>89</v>
      </c>
      <c r="C5" s="435"/>
      <c r="D5" s="435"/>
      <c r="E5" s="318">
        <f t="shared" ref="E5:E24" si="0">SUM(C5:D5)</f>
        <v>0</v>
      </c>
    </row>
    <row r="6" spans="1:5" s="41" customFormat="1" ht="30" customHeight="1">
      <c r="A6" s="1777"/>
      <c r="B6" s="67" t="s">
        <v>90</v>
      </c>
      <c r="D6" s="319">
        <f>'6.공사비예산서'!E15</f>
        <v>1056959053</v>
      </c>
      <c r="E6" s="319">
        <f t="shared" si="0"/>
        <v>1056959053</v>
      </c>
    </row>
    <row r="7" spans="1:5" s="41" customFormat="1" ht="30" customHeight="1">
      <c r="A7" s="1777"/>
      <c r="B7" s="68" t="s">
        <v>91</v>
      </c>
      <c r="C7" s="436"/>
      <c r="D7" s="436">
        <f>'6.공사비예산서'!E16</f>
        <v>68336485.879999995</v>
      </c>
      <c r="E7" s="320">
        <f t="shared" si="0"/>
        <v>68336485.879999995</v>
      </c>
    </row>
    <row r="8" spans="1:5" s="41" customFormat="1" ht="30" customHeight="1">
      <c r="A8" s="1777" t="s">
        <v>92</v>
      </c>
      <c r="B8" s="66" t="s">
        <v>93</v>
      </c>
      <c r="C8" s="437"/>
      <c r="D8" s="437"/>
      <c r="E8" s="318">
        <f t="shared" si="0"/>
        <v>0</v>
      </c>
    </row>
    <row r="9" spans="1:5" s="41" customFormat="1" ht="30" customHeight="1">
      <c r="A9" s="1777"/>
      <c r="B9" s="67" t="s">
        <v>90</v>
      </c>
      <c r="C9" s="438"/>
      <c r="D9" s="438"/>
      <c r="E9" s="319">
        <f t="shared" si="0"/>
        <v>0</v>
      </c>
    </row>
    <row r="10" spans="1:5" s="41" customFormat="1" ht="30" customHeight="1">
      <c r="A10" s="1777"/>
      <c r="B10" s="68" t="s">
        <v>91</v>
      </c>
      <c r="C10" s="436"/>
      <c r="D10" s="436">
        <f>'6.공사비예산서'!E32</f>
        <v>276203502</v>
      </c>
      <c r="E10" s="320">
        <f t="shared" si="0"/>
        <v>276203502</v>
      </c>
    </row>
    <row r="11" spans="1:5" s="41" customFormat="1" ht="30" customHeight="1">
      <c r="A11" s="1777" t="s">
        <v>94</v>
      </c>
      <c r="B11" s="66" t="s">
        <v>93</v>
      </c>
      <c r="C11" s="437"/>
      <c r="D11" s="437"/>
      <c r="E11" s="318">
        <f t="shared" si="0"/>
        <v>0</v>
      </c>
    </row>
    <row r="12" spans="1:5" s="41" customFormat="1" ht="30" customHeight="1">
      <c r="A12" s="1777"/>
      <c r="B12" s="67" t="s">
        <v>90</v>
      </c>
      <c r="C12" s="439"/>
      <c r="D12" s="439"/>
      <c r="E12" s="319">
        <f t="shared" si="0"/>
        <v>0</v>
      </c>
    </row>
    <row r="13" spans="1:5" s="41" customFormat="1" ht="30" customHeight="1">
      <c r="A13" s="1777"/>
      <c r="B13" s="68" t="s">
        <v>91</v>
      </c>
      <c r="C13" s="436"/>
      <c r="D13" s="436">
        <f>'6.공사비예산서'!J14</f>
        <v>73421721</v>
      </c>
      <c r="E13" s="320">
        <f t="shared" si="0"/>
        <v>73421721</v>
      </c>
    </row>
    <row r="14" spans="1:5" s="41" customFormat="1" ht="30" customHeight="1">
      <c r="A14" s="1818" t="s">
        <v>95</v>
      </c>
      <c r="B14" s="66" t="s">
        <v>93</v>
      </c>
      <c r="C14" s="437"/>
      <c r="D14" s="437"/>
      <c r="E14" s="318">
        <f t="shared" si="0"/>
        <v>0</v>
      </c>
    </row>
    <row r="15" spans="1:5" s="41" customFormat="1" ht="30" customHeight="1">
      <c r="A15" s="1777"/>
      <c r="B15" s="67" t="s">
        <v>90</v>
      </c>
      <c r="C15" s="438"/>
      <c r="D15" s="438"/>
      <c r="E15" s="319">
        <f t="shared" si="0"/>
        <v>0</v>
      </c>
    </row>
    <row r="16" spans="1:5" s="41" customFormat="1" ht="30" customHeight="1">
      <c r="A16" s="1777"/>
      <c r="B16" s="68" t="s">
        <v>91</v>
      </c>
      <c r="C16" s="436"/>
      <c r="D16" s="436">
        <f>'6.공사비예산서'!J30</f>
        <v>33436936</v>
      </c>
      <c r="E16" s="320">
        <f t="shared" si="0"/>
        <v>33436936</v>
      </c>
    </row>
    <row r="17" spans="1:5" s="41" customFormat="1" ht="30" customHeight="1">
      <c r="A17" s="1777" t="s">
        <v>96</v>
      </c>
      <c r="B17" s="66" t="s">
        <v>93</v>
      </c>
      <c r="C17" s="437"/>
      <c r="D17" s="437"/>
      <c r="E17" s="318">
        <f t="shared" si="0"/>
        <v>0</v>
      </c>
    </row>
    <row r="18" spans="1:5" s="41" customFormat="1" ht="30" customHeight="1">
      <c r="A18" s="1777"/>
      <c r="B18" s="67" t="s">
        <v>90</v>
      </c>
      <c r="C18" s="438"/>
      <c r="D18" s="438"/>
      <c r="E18" s="319">
        <f t="shared" si="0"/>
        <v>0</v>
      </c>
    </row>
    <row r="19" spans="1:5" s="41" customFormat="1" ht="30" customHeight="1">
      <c r="A19" s="1777"/>
      <c r="B19" s="68" t="s">
        <v>91</v>
      </c>
      <c r="C19" s="436"/>
      <c r="D19" s="436">
        <f>'6.공사비예산서'!J32</f>
        <v>51445446</v>
      </c>
      <c r="E19" s="320">
        <f t="shared" si="0"/>
        <v>51445446</v>
      </c>
    </row>
    <row r="20" spans="1:5" s="41" customFormat="1" ht="30" customHeight="1">
      <c r="A20" s="1818" t="s">
        <v>97</v>
      </c>
      <c r="B20" s="66" t="s">
        <v>93</v>
      </c>
      <c r="C20" s="318"/>
      <c r="D20" s="318"/>
      <c r="E20" s="318">
        <f t="shared" si="0"/>
        <v>0</v>
      </c>
    </row>
    <row r="21" spans="1:5" s="41" customFormat="1" ht="30" customHeight="1">
      <c r="A21" s="1777"/>
      <c r="B21" s="68" t="s">
        <v>90</v>
      </c>
      <c r="C21" s="320"/>
      <c r="D21" s="320"/>
      <c r="E21" s="320">
        <f t="shared" si="0"/>
        <v>0</v>
      </c>
    </row>
    <row r="22" spans="1:5" s="41" customFormat="1" ht="30" customHeight="1">
      <c r="A22" s="1777" t="s">
        <v>87</v>
      </c>
      <c r="B22" s="66" t="s">
        <v>93</v>
      </c>
      <c r="C22" s="435"/>
      <c r="D22" s="435"/>
      <c r="E22" s="318">
        <f t="shared" si="0"/>
        <v>0</v>
      </c>
    </row>
    <row r="23" spans="1:5" s="41" customFormat="1" ht="30" customHeight="1">
      <c r="A23" s="1777"/>
      <c r="B23" s="67" t="s">
        <v>90</v>
      </c>
      <c r="D23" s="319">
        <f>SUM(D6,D9,D12,D15,D18,D21)</f>
        <v>1056959053</v>
      </c>
      <c r="E23" s="319">
        <f t="shared" si="0"/>
        <v>1056959053</v>
      </c>
    </row>
    <row r="24" spans="1:5" s="41" customFormat="1" ht="30" customHeight="1">
      <c r="A24" s="1777"/>
      <c r="B24" s="68" t="s">
        <v>91</v>
      </c>
      <c r="C24" s="440"/>
      <c r="D24" s="320">
        <f>SUM(D7,D10,D13,D16,D19)</f>
        <v>502844090.88</v>
      </c>
      <c r="E24" s="320">
        <f t="shared" si="0"/>
        <v>502844090.88</v>
      </c>
    </row>
    <row r="25" spans="1:5" s="41" customFormat="1" ht="9.9499999999999993" customHeight="1"/>
  </sheetData>
  <mergeCells count="8">
    <mergeCell ref="A22:A24"/>
    <mergeCell ref="A2:E2"/>
    <mergeCell ref="A5:A7"/>
    <mergeCell ref="A8:A10"/>
    <mergeCell ref="A11:A13"/>
    <mergeCell ref="A14:A16"/>
    <mergeCell ref="A17:A19"/>
    <mergeCell ref="A20:A21"/>
  </mergeCells>
  <phoneticPr fontId="6" type="noConversion"/>
  <printOptions horizontalCentered="1"/>
  <pageMargins left="0.39370078740157483" right="0.39370078740157483" top="0.78740157480314965" bottom="0.39370078740157483" header="0.31496062992125984" footer="0.31496062992125984"/>
  <pageSetup paperSize="9" scale="94"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pageSetUpPr fitToPage="1"/>
  </sheetPr>
  <dimension ref="A1:HJ43"/>
  <sheetViews>
    <sheetView view="pageBreakPreview" zoomScale="85" zoomScaleNormal="100" zoomScaleSheetLayoutView="85" workbookViewId="0">
      <selection activeCell="L24" sqref="L24"/>
    </sheetView>
  </sheetViews>
  <sheetFormatPr defaultColWidth="9" defaultRowHeight="17.100000000000001" customHeight="1"/>
  <cols>
    <col min="1" max="1" width="2" style="21" customWidth="1"/>
    <col min="2" max="2" width="8.75" style="21" customWidth="1"/>
    <col min="3" max="3" width="27.875" style="21" customWidth="1"/>
    <col min="4" max="42" width="5.125" style="21" customWidth="1"/>
    <col min="43" max="47" width="2" style="21" customWidth="1"/>
    <col min="48" max="270" width="9" style="21"/>
    <col min="271" max="271" width="2" style="21" customWidth="1"/>
    <col min="272" max="272" width="8.75" style="21" customWidth="1"/>
    <col min="273" max="273" width="27.875" style="21" customWidth="1"/>
    <col min="274" max="298" width="2.625" style="21" customWidth="1"/>
    <col min="299" max="303" width="2" style="21" customWidth="1"/>
    <col min="304" max="526" width="9" style="21"/>
    <col min="527" max="527" width="2" style="21" customWidth="1"/>
    <col min="528" max="528" width="8.75" style="21" customWidth="1"/>
    <col min="529" max="529" width="27.875" style="21" customWidth="1"/>
    <col min="530" max="554" width="2.625" style="21" customWidth="1"/>
    <col min="555" max="559" width="2" style="21" customWidth="1"/>
    <col min="560" max="782" width="9" style="21"/>
    <col min="783" max="783" width="2" style="21" customWidth="1"/>
    <col min="784" max="784" width="8.75" style="21" customWidth="1"/>
    <col min="785" max="785" width="27.875" style="21" customWidth="1"/>
    <col min="786" max="810" width="2.625" style="21" customWidth="1"/>
    <col min="811" max="815" width="2" style="21" customWidth="1"/>
    <col min="816" max="1038" width="9" style="21"/>
    <col min="1039" max="1039" width="2" style="21" customWidth="1"/>
    <col min="1040" max="1040" width="8.75" style="21" customWidth="1"/>
    <col min="1041" max="1041" width="27.875" style="21" customWidth="1"/>
    <col min="1042" max="1066" width="2.625" style="21" customWidth="1"/>
    <col min="1067" max="1071" width="2" style="21" customWidth="1"/>
    <col min="1072" max="1294" width="9" style="21"/>
    <col min="1295" max="1295" width="2" style="21" customWidth="1"/>
    <col min="1296" max="1296" width="8.75" style="21" customWidth="1"/>
    <col min="1297" max="1297" width="27.875" style="21" customWidth="1"/>
    <col min="1298" max="1322" width="2.625" style="21" customWidth="1"/>
    <col min="1323" max="1327" width="2" style="21" customWidth="1"/>
    <col min="1328" max="1550" width="9" style="21"/>
    <col min="1551" max="1551" width="2" style="21" customWidth="1"/>
    <col min="1552" max="1552" width="8.75" style="21" customWidth="1"/>
    <col min="1553" max="1553" width="27.875" style="21" customWidth="1"/>
    <col min="1554" max="1578" width="2.625" style="21" customWidth="1"/>
    <col min="1579" max="1583" width="2" style="21" customWidth="1"/>
    <col min="1584" max="1806" width="9" style="21"/>
    <col min="1807" max="1807" width="2" style="21" customWidth="1"/>
    <col min="1808" max="1808" width="8.75" style="21" customWidth="1"/>
    <col min="1809" max="1809" width="27.875" style="21" customWidth="1"/>
    <col min="1810" max="1834" width="2.625" style="21" customWidth="1"/>
    <col min="1835" max="1839" width="2" style="21" customWidth="1"/>
    <col min="1840" max="2062" width="9" style="21"/>
    <col min="2063" max="2063" width="2" style="21" customWidth="1"/>
    <col min="2064" max="2064" width="8.75" style="21" customWidth="1"/>
    <col min="2065" max="2065" width="27.875" style="21" customWidth="1"/>
    <col min="2066" max="2090" width="2.625" style="21" customWidth="1"/>
    <col min="2091" max="2095" width="2" style="21" customWidth="1"/>
    <col min="2096" max="2318" width="9" style="21"/>
    <col min="2319" max="2319" width="2" style="21" customWidth="1"/>
    <col min="2320" max="2320" width="8.75" style="21" customWidth="1"/>
    <col min="2321" max="2321" width="27.875" style="21" customWidth="1"/>
    <col min="2322" max="2346" width="2.625" style="21" customWidth="1"/>
    <col min="2347" max="2351" width="2" style="21" customWidth="1"/>
    <col min="2352" max="2574" width="9" style="21"/>
    <col min="2575" max="2575" width="2" style="21" customWidth="1"/>
    <col min="2576" max="2576" width="8.75" style="21" customWidth="1"/>
    <col min="2577" max="2577" width="27.875" style="21" customWidth="1"/>
    <col min="2578" max="2602" width="2.625" style="21" customWidth="1"/>
    <col min="2603" max="2607" width="2" style="21" customWidth="1"/>
    <col min="2608" max="2830" width="9" style="21"/>
    <col min="2831" max="2831" width="2" style="21" customWidth="1"/>
    <col min="2832" max="2832" width="8.75" style="21" customWidth="1"/>
    <col min="2833" max="2833" width="27.875" style="21" customWidth="1"/>
    <col min="2834" max="2858" width="2.625" style="21" customWidth="1"/>
    <col min="2859" max="2863" width="2" style="21" customWidth="1"/>
    <col min="2864" max="3086" width="9" style="21"/>
    <col min="3087" max="3087" width="2" style="21" customWidth="1"/>
    <col min="3088" max="3088" width="8.75" style="21" customWidth="1"/>
    <col min="3089" max="3089" width="27.875" style="21" customWidth="1"/>
    <col min="3090" max="3114" width="2.625" style="21" customWidth="1"/>
    <col min="3115" max="3119" width="2" style="21" customWidth="1"/>
    <col min="3120" max="3342" width="9" style="21"/>
    <col min="3343" max="3343" width="2" style="21" customWidth="1"/>
    <col min="3344" max="3344" width="8.75" style="21" customWidth="1"/>
    <col min="3345" max="3345" width="27.875" style="21" customWidth="1"/>
    <col min="3346" max="3370" width="2.625" style="21" customWidth="1"/>
    <col min="3371" max="3375" width="2" style="21" customWidth="1"/>
    <col min="3376" max="3598" width="9" style="21"/>
    <col min="3599" max="3599" width="2" style="21" customWidth="1"/>
    <col min="3600" max="3600" width="8.75" style="21" customWidth="1"/>
    <col min="3601" max="3601" width="27.875" style="21" customWidth="1"/>
    <col min="3602" max="3626" width="2.625" style="21" customWidth="1"/>
    <col min="3627" max="3631" width="2" style="21" customWidth="1"/>
    <col min="3632" max="3854" width="9" style="21"/>
    <col min="3855" max="3855" width="2" style="21" customWidth="1"/>
    <col min="3856" max="3856" width="8.75" style="21" customWidth="1"/>
    <col min="3857" max="3857" width="27.875" style="21" customWidth="1"/>
    <col min="3858" max="3882" width="2.625" style="21" customWidth="1"/>
    <col min="3883" max="3887" width="2" style="21" customWidth="1"/>
    <col min="3888" max="4110" width="9" style="21"/>
    <col min="4111" max="4111" width="2" style="21" customWidth="1"/>
    <col min="4112" max="4112" width="8.75" style="21" customWidth="1"/>
    <col min="4113" max="4113" width="27.875" style="21" customWidth="1"/>
    <col min="4114" max="4138" width="2.625" style="21" customWidth="1"/>
    <col min="4139" max="4143" width="2" style="21" customWidth="1"/>
    <col min="4144" max="4366" width="9" style="21"/>
    <col min="4367" max="4367" width="2" style="21" customWidth="1"/>
    <col min="4368" max="4368" width="8.75" style="21" customWidth="1"/>
    <col min="4369" max="4369" width="27.875" style="21" customWidth="1"/>
    <col min="4370" max="4394" width="2.625" style="21" customWidth="1"/>
    <col min="4395" max="4399" width="2" style="21" customWidth="1"/>
    <col min="4400" max="4622" width="9" style="21"/>
    <col min="4623" max="4623" width="2" style="21" customWidth="1"/>
    <col min="4624" max="4624" width="8.75" style="21" customWidth="1"/>
    <col min="4625" max="4625" width="27.875" style="21" customWidth="1"/>
    <col min="4626" max="4650" width="2.625" style="21" customWidth="1"/>
    <col min="4651" max="4655" width="2" style="21" customWidth="1"/>
    <col min="4656" max="4878" width="9" style="21"/>
    <col min="4879" max="4879" width="2" style="21" customWidth="1"/>
    <col min="4880" max="4880" width="8.75" style="21" customWidth="1"/>
    <col min="4881" max="4881" width="27.875" style="21" customWidth="1"/>
    <col min="4882" max="4906" width="2.625" style="21" customWidth="1"/>
    <col min="4907" max="4911" width="2" style="21" customWidth="1"/>
    <col min="4912" max="5134" width="9" style="21"/>
    <col min="5135" max="5135" width="2" style="21" customWidth="1"/>
    <col min="5136" max="5136" width="8.75" style="21" customWidth="1"/>
    <col min="5137" max="5137" width="27.875" style="21" customWidth="1"/>
    <col min="5138" max="5162" width="2.625" style="21" customWidth="1"/>
    <col min="5163" max="5167" width="2" style="21" customWidth="1"/>
    <col min="5168" max="5390" width="9" style="21"/>
    <col min="5391" max="5391" width="2" style="21" customWidth="1"/>
    <col min="5392" max="5392" width="8.75" style="21" customWidth="1"/>
    <col min="5393" max="5393" width="27.875" style="21" customWidth="1"/>
    <col min="5394" max="5418" width="2.625" style="21" customWidth="1"/>
    <col min="5419" max="5423" width="2" style="21" customWidth="1"/>
    <col min="5424" max="5646" width="9" style="21"/>
    <col min="5647" max="5647" width="2" style="21" customWidth="1"/>
    <col min="5648" max="5648" width="8.75" style="21" customWidth="1"/>
    <col min="5649" max="5649" width="27.875" style="21" customWidth="1"/>
    <col min="5650" max="5674" width="2.625" style="21" customWidth="1"/>
    <col min="5675" max="5679" width="2" style="21" customWidth="1"/>
    <col min="5680" max="5902" width="9" style="21"/>
    <col min="5903" max="5903" width="2" style="21" customWidth="1"/>
    <col min="5904" max="5904" width="8.75" style="21" customWidth="1"/>
    <col min="5905" max="5905" width="27.875" style="21" customWidth="1"/>
    <col min="5906" max="5930" width="2.625" style="21" customWidth="1"/>
    <col min="5931" max="5935" width="2" style="21" customWidth="1"/>
    <col min="5936" max="6158" width="9" style="21"/>
    <col min="6159" max="6159" width="2" style="21" customWidth="1"/>
    <col min="6160" max="6160" width="8.75" style="21" customWidth="1"/>
    <col min="6161" max="6161" width="27.875" style="21" customWidth="1"/>
    <col min="6162" max="6186" width="2.625" style="21" customWidth="1"/>
    <col min="6187" max="6191" width="2" style="21" customWidth="1"/>
    <col min="6192" max="6414" width="9" style="21"/>
    <col min="6415" max="6415" width="2" style="21" customWidth="1"/>
    <col min="6416" max="6416" width="8.75" style="21" customWidth="1"/>
    <col min="6417" max="6417" width="27.875" style="21" customWidth="1"/>
    <col min="6418" max="6442" width="2.625" style="21" customWidth="1"/>
    <col min="6443" max="6447" width="2" style="21" customWidth="1"/>
    <col min="6448" max="6670" width="9" style="21"/>
    <col min="6671" max="6671" width="2" style="21" customWidth="1"/>
    <col min="6672" max="6672" width="8.75" style="21" customWidth="1"/>
    <col min="6673" max="6673" width="27.875" style="21" customWidth="1"/>
    <col min="6674" max="6698" width="2.625" style="21" customWidth="1"/>
    <col min="6699" max="6703" width="2" style="21" customWidth="1"/>
    <col min="6704" max="6926" width="9" style="21"/>
    <col min="6927" max="6927" width="2" style="21" customWidth="1"/>
    <col min="6928" max="6928" width="8.75" style="21" customWidth="1"/>
    <col min="6929" max="6929" width="27.875" style="21" customWidth="1"/>
    <col min="6930" max="6954" width="2.625" style="21" customWidth="1"/>
    <col min="6955" max="6959" width="2" style="21" customWidth="1"/>
    <col min="6960" max="7182" width="9" style="21"/>
    <col min="7183" max="7183" width="2" style="21" customWidth="1"/>
    <col min="7184" max="7184" width="8.75" style="21" customWidth="1"/>
    <col min="7185" max="7185" width="27.875" style="21" customWidth="1"/>
    <col min="7186" max="7210" width="2.625" style="21" customWidth="1"/>
    <col min="7211" max="7215" width="2" style="21" customWidth="1"/>
    <col min="7216" max="7438" width="9" style="21"/>
    <col min="7439" max="7439" width="2" style="21" customWidth="1"/>
    <col min="7440" max="7440" width="8.75" style="21" customWidth="1"/>
    <col min="7441" max="7441" width="27.875" style="21" customWidth="1"/>
    <col min="7442" max="7466" width="2.625" style="21" customWidth="1"/>
    <col min="7467" max="7471" width="2" style="21" customWidth="1"/>
    <col min="7472" max="7694" width="9" style="21"/>
    <col min="7695" max="7695" width="2" style="21" customWidth="1"/>
    <col min="7696" max="7696" width="8.75" style="21" customWidth="1"/>
    <col min="7697" max="7697" width="27.875" style="21" customWidth="1"/>
    <col min="7698" max="7722" width="2.625" style="21" customWidth="1"/>
    <col min="7723" max="7727" width="2" style="21" customWidth="1"/>
    <col min="7728" max="7950" width="9" style="21"/>
    <col min="7951" max="7951" width="2" style="21" customWidth="1"/>
    <col min="7952" max="7952" width="8.75" style="21" customWidth="1"/>
    <col min="7953" max="7953" width="27.875" style="21" customWidth="1"/>
    <col min="7954" max="7978" width="2.625" style="21" customWidth="1"/>
    <col min="7979" max="7983" width="2" style="21" customWidth="1"/>
    <col min="7984" max="8206" width="9" style="21"/>
    <col min="8207" max="8207" width="2" style="21" customWidth="1"/>
    <col min="8208" max="8208" width="8.75" style="21" customWidth="1"/>
    <col min="8209" max="8209" width="27.875" style="21" customWidth="1"/>
    <col min="8210" max="8234" width="2.625" style="21" customWidth="1"/>
    <col min="8235" max="8239" width="2" style="21" customWidth="1"/>
    <col min="8240" max="8462" width="9" style="21"/>
    <col min="8463" max="8463" width="2" style="21" customWidth="1"/>
    <col min="8464" max="8464" width="8.75" style="21" customWidth="1"/>
    <col min="8465" max="8465" width="27.875" style="21" customWidth="1"/>
    <col min="8466" max="8490" width="2.625" style="21" customWidth="1"/>
    <col min="8491" max="8495" width="2" style="21" customWidth="1"/>
    <col min="8496" max="8718" width="9" style="21"/>
    <col min="8719" max="8719" width="2" style="21" customWidth="1"/>
    <col min="8720" max="8720" width="8.75" style="21" customWidth="1"/>
    <col min="8721" max="8721" width="27.875" style="21" customWidth="1"/>
    <col min="8722" max="8746" width="2.625" style="21" customWidth="1"/>
    <col min="8747" max="8751" width="2" style="21" customWidth="1"/>
    <col min="8752" max="8974" width="9" style="21"/>
    <col min="8975" max="8975" width="2" style="21" customWidth="1"/>
    <col min="8976" max="8976" width="8.75" style="21" customWidth="1"/>
    <col min="8977" max="8977" width="27.875" style="21" customWidth="1"/>
    <col min="8978" max="9002" width="2.625" style="21" customWidth="1"/>
    <col min="9003" max="9007" width="2" style="21" customWidth="1"/>
    <col min="9008" max="9230" width="9" style="21"/>
    <col min="9231" max="9231" width="2" style="21" customWidth="1"/>
    <col min="9232" max="9232" width="8.75" style="21" customWidth="1"/>
    <col min="9233" max="9233" width="27.875" style="21" customWidth="1"/>
    <col min="9234" max="9258" width="2.625" style="21" customWidth="1"/>
    <col min="9259" max="9263" width="2" style="21" customWidth="1"/>
    <col min="9264" max="9486" width="9" style="21"/>
    <col min="9487" max="9487" width="2" style="21" customWidth="1"/>
    <col min="9488" max="9488" width="8.75" style="21" customWidth="1"/>
    <col min="9489" max="9489" width="27.875" style="21" customWidth="1"/>
    <col min="9490" max="9514" width="2.625" style="21" customWidth="1"/>
    <col min="9515" max="9519" width="2" style="21" customWidth="1"/>
    <col min="9520" max="9742" width="9" style="21"/>
    <col min="9743" max="9743" width="2" style="21" customWidth="1"/>
    <col min="9744" max="9744" width="8.75" style="21" customWidth="1"/>
    <col min="9745" max="9745" width="27.875" style="21" customWidth="1"/>
    <col min="9746" max="9770" width="2.625" style="21" customWidth="1"/>
    <col min="9771" max="9775" width="2" style="21" customWidth="1"/>
    <col min="9776" max="9998" width="9" style="21"/>
    <col min="9999" max="9999" width="2" style="21" customWidth="1"/>
    <col min="10000" max="10000" width="8.75" style="21" customWidth="1"/>
    <col min="10001" max="10001" width="27.875" style="21" customWidth="1"/>
    <col min="10002" max="10026" width="2.625" style="21" customWidth="1"/>
    <col min="10027" max="10031" width="2" style="21" customWidth="1"/>
    <col min="10032" max="10254" width="9" style="21"/>
    <col min="10255" max="10255" width="2" style="21" customWidth="1"/>
    <col min="10256" max="10256" width="8.75" style="21" customWidth="1"/>
    <col min="10257" max="10257" width="27.875" style="21" customWidth="1"/>
    <col min="10258" max="10282" width="2.625" style="21" customWidth="1"/>
    <col min="10283" max="10287" width="2" style="21" customWidth="1"/>
    <col min="10288" max="10510" width="9" style="21"/>
    <col min="10511" max="10511" width="2" style="21" customWidth="1"/>
    <col min="10512" max="10512" width="8.75" style="21" customWidth="1"/>
    <col min="10513" max="10513" width="27.875" style="21" customWidth="1"/>
    <col min="10514" max="10538" width="2.625" style="21" customWidth="1"/>
    <col min="10539" max="10543" width="2" style="21" customWidth="1"/>
    <col min="10544" max="10766" width="9" style="21"/>
    <col min="10767" max="10767" width="2" style="21" customWidth="1"/>
    <col min="10768" max="10768" width="8.75" style="21" customWidth="1"/>
    <col min="10769" max="10769" width="27.875" style="21" customWidth="1"/>
    <col min="10770" max="10794" width="2.625" style="21" customWidth="1"/>
    <col min="10795" max="10799" width="2" style="21" customWidth="1"/>
    <col min="10800" max="11022" width="9" style="21"/>
    <col min="11023" max="11023" width="2" style="21" customWidth="1"/>
    <col min="11024" max="11024" width="8.75" style="21" customWidth="1"/>
    <col min="11025" max="11025" width="27.875" style="21" customWidth="1"/>
    <col min="11026" max="11050" width="2.625" style="21" customWidth="1"/>
    <col min="11051" max="11055" width="2" style="21" customWidth="1"/>
    <col min="11056" max="11278" width="9" style="21"/>
    <col min="11279" max="11279" width="2" style="21" customWidth="1"/>
    <col min="11280" max="11280" width="8.75" style="21" customWidth="1"/>
    <col min="11281" max="11281" width="27.875" style="21" customWidth="1"/>
    <col min="11282" max="11306" width="2.625" style="21" customWidth="1"/>
    <col min="11307" max="11311" width="2" style="21" customWidth="1"/>
    <col min="11312" max="11534" width="9" style="21"/>
    <col min="11535" max="11535" width="2" style="21" customWidth="1"/>
    <col min="11536" max="11536" width="8.75" style="21" customWidth="1"/>
    <col min="11537" max="11537" width="27.875" style="21" customWidth="1"/>
    <col min="11538" max="11562" width="2.625" style="21" customWidth="1"/>
    <col min="11563" max="11567" width="2" style="21" customWidth="1"/>
    <col min="11568" max="11790" width="9" style="21"/>
    <col min="11791" max="11791" width="2" style="21" customWidth="1"/>
    <col min="11792" max="11792" width="8.75" style="21" customWidth="1"/>
    <col min="11793" max="11793" width="27.875" style="21" customWidth="1"/>
    <col min="11794" max="11818" width="2.625" style="21" customWidth="1"/>
    <col min="11819" max="11823" width="2" style="21" customWidth="1"/>
    <col min="11824" max="12046" width="9" style="21"/>
    <col min="12047" max="12047" width="2" style="21" customWidth="1"/>
    <col min="12048" max="12048" width="8.75" style="21" customWidth="1"/>
    <col min="12049" max="12049" width="27.875" style="21" customWidth="1"/>
    <col min="12050" max="12074" width="2.625" style="21" customWidth="1"/>
    <col min="12075" max="12079" width="2" style="21" customWidth="1"/>
    <col min="12080" max="12302" width="9" style="21"/>
    <col min="12303" max="12303" width="2" style="21" customWidth="1"/>
    <col min="12304" max="12304" width="8.75" style="21" customWidth="1"/>
    <col min="12305" max="12305" width="27.875" style="21" customWidth="1"/>
    <col min="12306" max="12330" width="2.625" style="21" customWidth="1"/>
    <col min="12331" max="12335" width="2" style="21" customWidth="1"/>
    <col min="12336" max="12558" width="9" style="21"/>
    <col min="12559" max="12559" width="2" style="21" customWidth="1"/>
    <col min="12560" max="12560" width="8.75" style="21" customWidth="1"/>
    <col min="12561" max="12561" width="27.875" style="21" customWidth="1"/>
    <col min="12562" max="12586" width="2.625" style="21" customWidth="1"/>
    <col min="12587" max="12591" width="2" style="21" customWidth="1"/>
    <col min="12592" max="12814" width="9" style="21"/>
    <col min="12815" max="12815" width="2" style="21" customWidth="1"/>
    <col min="12816" max="12816" width="8.75" style="21" customWidth="1"/>
    <col min="12817" max="12817" width="27.875" style="21" customWidth="1"/>
    <col min="12818" max="12842" width="2.625" style="21" customWidth="1"/>
    <col min="12843" max="12847" width="2" style="21" customWidth="1"/>
    <col min="12848" max="13070" width="9" style="21"/>
    <col min="13071" max="13071" width="2" style="21" customWidth="1"/>
    <col min="13072" max="13072" width="8.75" style="21" customWidth="1"/>
    <col min="13073" max="13073" width="27.875" style="21" customWidth="1"/>
    <col min="13074" max="13098" width="2.625" style="21" customWidth="1"/>
    <col min="13099" max="13103" width="2" style="21" customWidth="1"/>
    <col min="13104" max="13326" width="9" style="21"/>
    <col min="13327" max="13327" width="2" style="21" customWidth="1"/>
    <col min="13328" max="13328" width="8.75" style="21" customWidth="1"/>
    <col min="13329" max="13329" width="27.875" style="21" customWidth="1"/>
    <col min="13330" max="13354" width="2.625" style="21" customWidth="1"/>
    <col min="13355" max="13359" width="2" style="21" customWidth="1"/>
    <col min="13360" max="13582" width="9" style="21"/>
    <col min="13583" max="13583" width="2" style="21" customWidth="1"/>
    <col min="13584" max="13584" width="8.75" style="21" customWidth="1"/>
    <col min="13585" max="13585" width="27.875" style="21" customWidth="1"/>
    <col min="13586" max="13610" width="2.625" style="21" customWidth="1"/>
    <col min="13611" max="13615" width="2" style="21" customWidth="1"/>
    <col min="13616" max="13838" width="9" style="21"/>
    <col min="13839" max="13839" width="2" style="21" customWidth="1"/>
    <col min="13840" max="13840" width="8.75" style="21" customWidth="1"/>
    <col min="13841" max="13841" width="27.875" style="21" customWidth="1"/>
    <col min="13842" max="13866" width="2.625" style="21" customWidth="1"/>
    <col min="13867" max="13871" width="2" style="21" customWidth="1"/>
    <col min="13872" max="14094" width="9" style="21"/>
    <col min="14095" max="14095" width="2" style="21" customWidth="1"/>
    <col min="14096" max="14096" width="8.75" style="21" customWidth="1"/>
    <col min="14097" max="14097" width="27.875" style="21" customWidth="1"/>
    <col min="14098" max="14122" width="2.625" style="21" customWidth="1"/>
    <col min="14123" max="14127" width="2" style="21" customWidth="1"/>
    <col min="14128" max="14350" width="9" style="21"/>
    <col min="14351" max="14351" width="2" style="21" customWidth="1"/>
    <col min="14352" max="14352" width="8.75" style="21" customWidth="1"/>
    <col min="14353" max="14353" width="27.875" style="21" customWidth="1"/>
    <col min="14354" max="14378" width="2.625" style="21" customWidth="1"/>
    <col min="14379" max="14383" width="2" style="21" customWidth="1"/>
    <col min="14384" max="14606" width="9" style="21"/>
    <col min="14607" max="14607" width="2" style="21" customWidth="1"/>
    <col min="14608" max="14608" width="8.75" style="21" customWidth="1"/>
    <col min="14609" max="14609" width="27.875" style="21" customWidth="1"/>
    <col min="14610" max="14634" width="2.625" style="21" customWidth="1"/>
    <col min="14635" max="14639" width="2" style="21" customWidth="1"/>
    <col min="14640" max="14862" width="9" style="21"/>
    <col min="14863" max="14863" width="2" style="21" customWidth="1"/>
    <col min="14864" max="14864" width="8.75" style="21" customWidth="1"/>
    <col min="14865" max="14865" width="27.875" style="21" customWidth="1"/>
    <col min="14866" max="14890" width="2.625" style="21" customWidth="1"/>
    <col min="14891" max="14895" width="2" style="21" customWidth="1"/>
    <col min="14896" max="15118" width="9" style="21"/>
    <col min="15119" max="15119" width="2" style="21" customWidth="1"/>
    <col min="15120" max="15120" width="8.75" style="21" customWidth="1"/>
    <col min="15121" max="15121" width="27.875" style="21" customWidth="1"/>
    <col min="15122" max="15146" width="2.625" style="21" customWidth="1"/>
    <col min="15147" max="15151" width="2" style="21" customWidth="1"/>
    <col min="15152" max="15374" width="9" style="21"/>
    <col min="15375" max="15375" width="2" style="21" customWidth="1"/>
    <col min="15376" max="15376" width="8.75" style="21" customWidth="1"/>
    <col min="15377" max="15377" width="27.875" style="21" customWidth="1"/>
    <col min="15378" max="15402" width="2.625" style="21" customWidth="1"/>
    <col min="15403" max="15407" width="2" style="21" customWidth="1"/>
    <col min="15408" max="15630" width="9" style="21"/>
    <col min="15631" max="15631" width="2" style="21" customWidth="1"/>
    <col min="15632" max="15632" width="8.75" style="21" customWidth="1"/>
    <col min="15633" max="15633" width="27.875" style="21" customWidth="1"/>
    <col min="15634" max="15658" width="2.625" style="21" customWidth="1"/>
    <col min="15659" max="15663" width="2" style="21" customWidth="1"/>
    <col min="15664" max="15886" width="9" style="21"/>
    <col min="15887" max="15887" width="2" style="21" customWidth="1"/>
    <col min="15888" max="15888" width="8.75" style="21" customWidth="1"/>
    <col min="15889" max="15889" width="27.875" style="21" customWidth="1"/>
    <col min="15890" max="15914" width="2.625" style="21" customWidth="1"/>
    <col min="15915" max="15919" width="2" style="21" customWidth="1"/>
    <col min="15920" max="16142" width="9" style="21"/>
    <col min="16143" max="16143" width="2" style="21" customWidth="1"/>
    <col min="16144" max="16144" width="8.75" style="21" customWidth="1"/>
    <col min="16145" max="16145" width="27.875" style="21" customWidth="1"/>
    <col min="16146" max="16170" width="2.625" style="21" customWidth="1"/>
    <col min="16171" max="16175" width="2" style="21" customWidth="1"/>
    <col min="16176" max="16384" width="9" style="21"/>
  </cols>
  <sheetData>
    <row r="1" spans="1:218" ht="5.0999999999999996" customHeight="1"/>
    <row r="2" spans="1:218" ht="30" customHeight="1">
      <c r="A2" s="1828" t="s">
        <v>2616</v>
      </c>
      <c r="B2" s="1828"/>
      <c r="C2" s="1828"/>
      <c r="D2" s="1828"/>
      <c r="E2" s="1828"/>
      <c r="F2" s="1828"/>
      <c r="G2" s="1828"/>
      <c r="H2" s="1828"/>
      <c r="I2" s="1828"/>
      <c r="J2" s="1828"/>
      <c r="K2" s="1828"/>
      <c r="L2" s="1828"/>
      <c r="M2" s="1828"/>
      <c r="N2" s="1828"/>
      <c r="O2" s="1828"/>
      <c r="P2" s="1828"/>
      <c r="Q2" s="1828"/>
      <c r="R2" s="1828"/>
      <c r="S2" s="1828"/>
      <c r="T2" s="1828"/>
      <c r="U2" s="1828"/>
      <c r="V2" s="1828"/>
      <c r="W2" s="1828"/>
      <c r="X2" s="1828"/>
      <c r="Y2" s="1828"/>
      <c r="Z2" s="1828"/>
      <c r="AA2" s="1828"/>
      <c r="AB2" s="1828"/>
      <c r="AC2" s="1828"/>
      <c r="AD2" s="1828"/>
      <c r="AE2" s="1828"/>
      <c r="AF2" s="1828"/>
      <c r="AG2" s="1828"/>
      <c r="AH2" s="1828"/>
      <c r="AI2" s="1828"/>
      <c r="AJ2" s="1828"/>
      <c r="AK2" s="1828"/>
      <c r="AL2" s="1828"/>
      <c r="AM2" s="1828"/>
      <c r="AN2" s="1828"/>
      <c r="AO2" s="1828"/>
      <c r="AP2" s="1828"/>
      <c r="AQ2" s="1828"/>
      <c r="AR2" s="50"/>
      <c r="AS2" s="50"/>
      <c r="AT2" s="50"/>
      <c r="AU2" s="50"/>
      <c r="AV2" s="50"/>
      <c r="AW2" s="50"/>
      <c r="AX2" s="50"/>
      <c r="AY2" s="1827"/>
      <c r="AZ2" s="1827"/>
      <c r="BA2" s="1827"/>
      <c r="BB2" s="1827"/>
      <c r="BC2" s="1827"/>
      <c r="BD2" s="1827"/>
      <c r="BE2" s="1827"/>
      <c r="BF2" s="1827"/>
      <c r="BG2" s="1827"/>
      <c r="BH2" s="1827"/>
      <c r="BI2" s="1827"/>
      <c r="BJ2" s="1827"/>
      <c r="BK2" s="1827"/>
      <c r="BL2" s="1827"/>
      <c r="BM2" s="1827"/>
      <c r="BN2" s="1827"/>
      <c r="BO2" s="1827"/>
      <c r="BP2" s="1827"/>
      <c r="BQ2" s="1827"/>
      <c r="BR2" s="1827"/>
      <c r="BS2" s="1827"/>
      <c r="BT2" s="1827"/>
      <c r="BU2" s="1827"/>
      <c r="BV2" s="1827"/>
      <c r="BW2" s="1827"/>
      <c r="BX2" s="1827"/>
      <c r="BY2" s="1827"/>
      <c r="BZ2" s="1827"/>
      <c r="CA2" s="1827"/>
      <c r="CB2" s="1827"/>
      <c r="CC2" s="1827"/>
      <c r="CD2" s="1827"/>
      <c r="CE2" s="1827"/>
      <c r="CF2" s="1827"/>
      <c r="CG2" s="1827"/>
      <c r="CH2" s="1827"/>
      <c r="CI2" s="1827"/>
      <c r="CJ2" s="1827"/>
      <c r="CK2" s="1827"/>
      <c r="CL2" s="1827"/>
      <c r="CM2" s="1827"/>
      <c r="CN2" s="1827"/>
      <c r="CO2" s="1827"/>
      <c r="CP2" s="1827"/>
      <c r="CQ2" s="1827"/>
      <c r="CR2" s="1827"/>
      <c r="CS2" s="1827"/>
      <c r="CT2" s="1827"/>
      <c r="CU2" s="1827"/>
      <c r="CV2" s="1827"/>
      <c r="CW2" s="1827"/>
      <c r="CX2" s="1827"/>
      <c r="CY2" s="1827"/>
      <c r="CZ2" s="1827"/>
      <c r="DA2" s="1827"/>
      <c r="DB2" s="1827"/>
      <c r="DC2" s="1827"/>
      <c r="DD2" s="1827"/>
      <c r="DE2" s="1827"/>
      <c r="DF2" s="1827"/>
      <c r="DG2" s="1827"/>
      <c r="DH2" s="1827"/>
      <c r="DI2" s="1827"/>
      <c r="DJ2" s="1827"/>
      <c r="DK2" s="1827"/>
      <c r="DL2" s="1827"/>
      <c r="DM2" s="1827"/>
      <c r="DN2" s="1827"/>
      <c r="DO2" s="1827"/>
      <c r="DP2" s="1827"/>
      <c r="DQ2" s="1827"/>
      <c r="DR2" s="1827"/>
      <c r="DS2" s="1827"/>
      <c r="DT2" s="1827"/>
      <c r="DU2" s="1827"/>
      <c r="DV2" s="1827"/>
      <c r="DW2" s="1827"/>
      <c r="DX2" s="1827"/>
      <c r="DY2" s="1827"/>
      <c r="DZ2" s="1827"/>
      <c r="EA2" s="1827"/>
      <c r="EB2" s="1827"/>
      <c r="EC2" s="1827"/>
      <c r="ED2" s="1827"/>
      <c r="EE2" s="1827"/>
      <c r="EF2" s="1827"/>
      <c r="EG2" s="1827"/>
      <c r="EH2" s="1827"/>
      <c r="EI2" s="1827"/>
      <c r="EJ2" s="1827"/>
      <c r="EK2" s="1827"/>
      <c r="EL2" s="1827"/>
      <c r="EM2" s="1827"/>
      <c r="EN2" s="1827"/>
      <c r="EO2" s="1827"/>
      <c r="EP2" s="1827"/>
      <c r="EQ2" s="1827"/>
      <c r="ER2" s="1827"/>
      <c r="ES2" s="1827"/>
      <c r="ET2" s="1827"/>
      <c r="EU2" s="1827"/>
      <c r="EV2" s="1827"/>
      <c r="EW2" s="1827"/>
      <c r="EX2" s="1827"/>
      <c r="EY2" s="1827"/>
      <c r="EZ2" s="1827"/>
      <c r="FA2" s="1827"/>
      <c r="FB2" s="1827"/>
      <c r="FC2" s="1827"/>
      <c r="FD2" s="1827"/>
      <c r="FE2" s="1827"/>
      <c r="FF2" s="1827"/>
      <c r="FG2" s="1827"/>
      <c r="FH2" s="1827"/>
      <c r="FI2" s="1827"/>
      <c r="FJ2" s="1827"/>
      <c r="FK2" s="1827"/>
      <c r="FL2" s="1827"/>
      <c r="FM2" s="1827"/>
      <c r="FN2" s="1827"/>
      <c r="FO2" s="1827"/>
      <c r="FP2" s="1827"/>
      <c r="FQ2" s="1827"/>
      <c r="FR2" s="1827"/>
      <c r="FS2" s="1827"/>
      <c r="FT2" s="1827"/>
      <c r="FU2" s="1827"/>
      <c r="FV2" s="1827"/>
      <c r="FW2" s="1827"/>
      <c r="FX2" s="1827"/>
      <c r="FY2" s="1827"/>
      <c r="FZ2" s="1827"/>
      <c r="GA2" s="1827"/>
      <c r="GB2" s="1827"/>
      <c r="GC2" s="1827"/>
      <c r="GD2" s="1827"/>
      <c r="GE2" s="1827"/>
      <c r="GF2" s="1827"/>
      <c r="GG2" s="1827"/>
      <c r="GH2" s="1827"/>
      <c r="GI2" s="1827"/>
      <c r="GJ2" s="1827"/>
      <c r="GK2" s="1827"/>
      <c r="GL2" s="1827"/>
      <c r="GM2" s="1827"/>
      <c r="GN2" s="1827"/>
      <c r="GO2" s="1827"/>
      <c r="GP2" s="1827"/>
      <c r="GQ2" s="1827"/>
      <c r="GR2" s="1827"/>
      <c r="GS2" s="1827"/>
      <c r="GT2" s="1827"/>
      <c r="GU2" s="1827"/>
      <c r="GV2" s="1827"/>
      <c r="GW2" s="1827"/>
      <c r="GX2" s="1827"/>
      <c r="GY2" s="1827"/>
      <c r="GZ2" s="1827"/>
      <c r="HA2" s="1827"/>
      <c r="HB2" s="1827"/>
      <c r="HC2" s="1827"/>
      <c r="HD2" s="1827"/>
      <c r="HE2" s="1827"/>
      <c r="HF2" s="1827"/>
      <c r="HG2" s="1827"/>
      <c r="HH2" s="1827"/>
      <c r="HI2" s="1827"/>
      <c r="HJ2" s="1827"/>
    </row>
    <row r="3" spans="1:218" ht="21.95" customHeight="1">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50"/>
      <c r="AS3" s="50"/>
      <c r="AT3" s="50"/>
      <c r="AU3" s="50"/>
      <c r="AV3" s="50"/>
      <c r="AW3" s="50"/>
      <c r="AX3" s="50"/>
      <c r="AY3" s="51"/>
      <c r="AZ3" s="51"/>
      <c r="BA3" s="51"/>
      <c r="BB3" s="51"/>
      <c r="BC3" s="51"/>
      <c r="BD3" s="51"/>
      <c r="BE3" s="51"/>
      <c r="BF3" s="51"/>
      <c r="BG3" s="51"/>
      <c r="BH3" s="51"/>
      <c r="BI3" s="51"/>
      <c r="BJ3" s="51"/>
      <c r="BK3" s="51"/>
      <c r="BL3" s="51"/>
      <c r="BM3" s="51"/>
      <c r="BN3" s="51"/>
      <c r="BO3" s="51"/>
      <c r="BP3" s="51"/>
      <c r="BQ3" s="51"/>
      <c r="BR3" s="51"/>
      <c r="BS3" s="51"/>
      <c r="BT3" s="51"/>
      <c r="BU3" s="51"/>
      <c r="BV3" s="51"/>
      <c r="BW3" s="51"/>
      <c r="BX3" s="51"/>
      <c r="BY3" s="51"/>
      <c r="BZ3" s="51"/>
      <c r="CA3" s="51"/>
      <c r="CB3" s="51"/>
      <c r="CC3" s="51"/>
      <c r="CD3" s="51"/>
      <c r="CE3" s="51"/>
      <c r="CF3" s="51"/>
      <c r="CG3" s="51"/>
      <c r="CH3" s="51"/>
      <c r="CI3" s="51"/>
      <c r="CJ3" s="51"/>
      <c r="CK3" s="51"/>
      <c r="CL3" s="51"/>
      <c r="CM3" s="51"/>
      <c r="CN3" s="51"/>
      <c r="CO3" s="51"/>
      <c r="CP3" s="51"/>
      <c r="CQ3" s="51"/>
      <c r="CR3" s="51"/>
      <c r="CS3" s="51"/>
      <c r="CT3" s="51"/>
      <c r="CU3" s="51"/>
      <c r="CV3" s="51"/>
      <c r="CW3" s="51"/>
      <c r="CX3" s="51"/>
      <c r="CY3" s="51"/>
      <c r="CZ3" s="51"/>
      <c r="DA3" s="51"/>
      <c r="DB3" s="51"/>
      <c r="DC3" s="51"/>
      <c r="DD3" s="51"/>
      <c r="DE3" s="51"/>
      <c r="DF3" s="51"/>
      <c r="DG3" s="51"/>
      <c r="DH3" s="51"/>
      <c r="DI3" s="51"/>
      <c r="DJ3" s="51"/>
      <c r="DK3" s="51"/>
      <c r="DL3" s="51"/>
      <c r="DM3" s="51"/>
      <c r="DN3" s="51"/>
      <c r="DO3" s="51"/>
      <c r="DP3" s="51"/>
      <c r="DQ3" s="51"/>
      <c r="DR3" s="51"/>
      <c r="DS3" s="51"/>
      <c r="DT3" s="51"/>
      <c r="DU3" s="51"/>
      <c r="DV3" s="51"/>
      <c r="DW3" s="51"/>
      <c r="DX3" s="51"/>
      <c r="DY3" s="51"/>
      <c r="DZ3" s="51"/>
      <c r="EA3" s="51"/>
      <c r="EB3" s="51"/>
      <c r="EC3" s="51"/>
      <c r="ED3" s="51"/>
      <c r="EE3" s="51"/>
      <c r="EF3" s="51"/>
      <c r="EG3" s="51"/>
      <c r="EH3" s="51"/>
      <c r="EI3" s="51"/>
      <c r="EJ3" s="51"/>
      <c r="EK3" s="51"/>
      <c r="EL3" s="51"/>
      <c r="EM3" s="51"/>
      <c r="EN3" s="51"/>
      <c r="EO3" s="51"/>
      <c r="EP3" s="51"/>
      <c r="EQ3" s="51"/>
      <c r="ER3" s="51"/>
      <c r="ES3" s="51"/>
      <c r="ET3" s="51"/>
      <c r="EU3" s="51"/>
      <c r="EV3" s="51"/>
      <c r="EW3" s="51"/>
      <c r="EX3" s="51"/>
      <c r="EY3" s="51"/>
      <c r="EZ3" s="51"/>
      <c r="FA3" s="51"/>
      <c r="FB3" s="51"/>
      <c r="FC3" s="51"/>
      <c r="FD3" s="51"/>
      <c r="FE3" s="51"/>
      <c r="FF3" s="51"/>
      <c r="FG3" s="51"/>
      <c r="FH3" s="51"/>
      <c r="FI3" s="51"/>
      <c r="FJ3" s="51"/>
      <c r="FK3" s="51"/>
      <c r="FL3" s="51"/>
      <c r="FM3" s="51"/>
      <c r="FN3" s="51"/>
      <c r="FO3" s="51"/>
      <c r="FP3" s="51"/>
      <c r="FQ3" s="51"/>
      <c r="FR3" s="51"/>
      <c r="FS3" s="51"/>
      <c r="FT3" s="51"/>
      <c r="FU3" s="51"/>
      <c r="FV3" s="51"/>
      <c r="FW3" s="51"/>
      <c r="FX3" s="51"/>
      <c r="FY3" s="51"/>
      <c r="FZ3" s="51"/>
      <c r="GA3" s="51"/>
      <c r="GB3" s="51"/>
      <c r="GC3" s="51"/>
      <c r="GD3" s="51"/>
      <c r="GE3" s="51"/>
      <c r="GF3" s="51"/>
      <c r="GG3" s="51"/>
      <c r="GH3" s="51"/>
      <c r="GI3" s="51"/>
      <c r="GJ3" s="51"/>
      <c r="GK3" s="51"/>
      <c r="GL3" s="51"/>
      <c r="GM3" s="51"/>
      <c r="GN3" s="51"/>
      <c r="GO3" s="51"/>
      <c r="GP3" s="51"/>
      <c r="GQ3" s="51"/>
      <c r="GR3" s="51"/>
      <c r="GS3" s="51"/>
      <c r="GT3" s="51"/>
      <c r="GU3" s="51"/>
      <c r="GV3" s="51"/>
      <c r="GW3" s="51"/>
      <c r="GX3" s="51"/>
      <c r="GY3" s="51"/>
      <c r="GZ3" s="51"/>
      <c r="HA3" s="51"/>
      <c r="HB3" s="51"/>
      <c r="HC3" s="51"/>
      <c r="HD3" s="51"/>
      <c r="HE3" s="51"/>
      <c r="HF3" s="51"/>
      <c r="HG3" s="51"/>
      <c r="HH3" s="51"/>
      <c r="HI3" s="51"/>
      <c r="HJ3" s="51"/>
    </row>
    <row r="4" spans="1:218" s="10" customFormat="1" ht="21.95" customHeight="1" thickBot="1">
      <c r="B4" s="52" t="str">
        <f>'3.공사비총괄표'!A4</f>
        <v>공사명 : 동해안#1 변환소 전력통신설비 시설공사</v>
      </c>
      <c r="C4" s="53"/>
      <c r="D4" s="54"/>
    </row>
    <row r="5" spans="1:218" s="55" customFormat="1" ht="24.95" customHeight="1">
      <c r="B5" s="1831" t="s">
        <v>81</v>
      </c>
      <c r="C5" s="1832"/>
      <c r="D5" s="56"/>
      <c r="E5" s="57"/>
      <c r="F5" s="57"/>
      <c r="G5" s="57"/>
      <c r="H5" s="57"/>
      <c r="I5" s="57"/>
      <c r="J5" s="57"/>
      <c r="K5" s="57"/>
      <c r="L5" s="57"/>
      <c r="M5" s="57"/>
      <c r="N5" s="57"/>
      <c r="O5" s="57"/>
      <c r="P5" s="57"/>
      <c r="Q5" s="57"/>
      <c r="R5" s="57"/>
      <c r="S5" s="57"/>
      <c r="T5" s="57"/>
      <c r="U5" s="57"/>
      <c r="V5" s="57"/>
      <c r="W5" s="57"/>
      <c r="X5" s="57"/>
      <c r="Y5" s="57"/>
      <c r="Z5" s="57"/>
      <c r="AA5" s="57"/>
      <c r="AB5" s="57"/>
      <c r="AC5" s="57"/>
      <c r="AD5" s="57"/>
      <c r="AE5" s="57"/>
      <c r="AF5" s="57"/>
      <c r="AG5" s="521"/>
      <c r="AH5" s="521"/>
      <c r="AI5" s="521"/>
      <c r="AJ5" s="521"/>
      <c r="AK5" s="521"/>
      <c r="AL5" s="521"/>
      <c r="AM5" s="521"/>
      <c r="AN5" s="521"/>
      <c r="AO5" s="521"/>
      <c r="AP5" s="58"/>
    </row>
    <row r="6" spans="1:218" s="55" customFormat="1" ht="24.95" customHeight="1">
      <c r="B6" s="1833"/>
      <c r="C6" s="1834"/>
      <c r="D6" s="59">
        <v>10</v>
      </c>
      <c r="E6" s="60">
        <v>20</v>
      </c>
      <c r="F6" s="60">
        <f>E6+10</f>
        <v>30</v>
      </c>
      <c r="G6" s="60">
        <f t="shared" ref="G6:AJ6" si="0">F6+10</f>
        <v>40</v>
      </c>
      <c r="H6" s="60">
        <f t="shared" si="0"/>
        <v>50</v>
      </c>
      <c r="I6" s="60">
        <f t="shared" si="0"/>
        <v>60</v>
      </c>
      <c r="J6" s="60">
        <f t="shared" si="0"/>
        <v>70</v>
      </c>
      <c r="K6" s="60">
        <f t="shared" si="0"/>
        <v>80</v>
      </c>
      <c r="L6" s="60">
        <f t="shared" si="0"/>
        <v>90</v>
      </c>
      <c r="M6" s="60">
        <f t="shared" si="0"/>
        <v>100</v>
      </c>
      <c r="N6" s="60">
        <f t="shared" si="0"/>
        <v>110</v>
      </c>
      <c r="O6" s="60">
        <f t="shared" si="0"/>
        <v>120</v>
      </c>
      <c r="P6" s="60">
        <f t="shared" si="0"/>
        <v>130</v>
      </c>
      <c r="Q6" s="60">
        <f t="shared" si="0"/>
        <v>140</v>
      </c>
      <c r="R6" s="60">
        <f t="shared" si="0"/>
        <v>150</v>
      </c>
      <c r="S6" s="60">
        <f t="shared" si="0"/>
        <v>160</v>
      </c>
      <c r="T6" s="60">
        <f t="shared" si="0"/>
        <v>170</v>
      </c>
      <c r="U6" s="60">
        <f t="shared" si="0"/>
        <v>180</v>
      </c>
      <c r="V6" s="60">
        <f t="shared" si="0"/>
        <v>190</v>
      </c>
      <c r="W6" s="60">
        <f t="shared" si="0"/>
        <v>200</v>
      </c>
      <c r="X6" s="60">
        <f t="shared" si="0"/>
        <v>210</v>
      </c>
      <c r="Y6" s="60">
        <f t="shared" si="0"/>
        <v>220</v>
      </c>
      <c r="Z6" s="60">
        <f t="shared" si="0"/>
        <v>230</v>
      </c>
      <c r="AA6" s="60">
        <f t="shared" si="0"/>
        <v>240</v>
      </c>
      <c r="AB6" s="60">
        <f t="shared" si="0"/>
        <v>250</v>
      </c>
      <c r="AC6" s="60">
        <f t="shared" si="0"/>
        <v>260</v>
      </c>
      <c r="AD6" s="60">
        <f t="shared" si="0"/>
        <v>270</v>
      </c>
      <c r="AE6" s="60">
        <f t="shared" si="0"/>
        <v>280</v>
      </c>
      <c r="AF6" s="60">
        <f t="shared" si="0"/>
        <v>290</v>
      </c>
      <c r="AG6" s="60">
        <f>AF6+10</f>
        <v>300</v>
      </c>
      <c r="AH6" s="60">
        <f t="shared" si="0"/>
        <v>310</v>
      </c>
      <c r="AI6" s="1673">
        <f t="shared" si="0"/>
        <v>320</v>
      </c>
      <c r="AJ6" s="1673">
        <f t="shared" si="0"/>
        <v>330</v>
      </c>
      <c r="AK6" s="60">
        <f t="shared" ref="AK6" si="1">AJ6+10</f>
        <v>340</v>
      </c>
      <c r="AL6" s="1673">
        <f t="shared" ref="AL6" si="2">AK6+10</f>
        <v>350</v>
      </c>
      <c r="AM6" s="1673">
        <f t="shared" ref="AM6" si="3">AL6+10</f>
        <v>360</v>
      </c>
      <c r="AN6" s="1673">
        <f t="shared" ref="AN6" si="4">AM6+10</f>
        <v>370</v>
      </c>
      <c r="AO6" s="1673">
        <f t="shared" ref="AO6" si="5">AN6+10</f>
        <v>380</v>
      </c>
      <c r="AP6" s="61">
        <f t="shared" ref="AP6" si="6">AO6+10</f>
        <v>390</v>
      </c>
    </row>
    <row r="7" spans="1:218" s="55" customFormat="1" ht="32.1" customHeight="1">
      <c r="B7" s="1823" t="s">
        <v>82</v>
      </c>
      <c r="C7" s="1824"/>
      <c r="D7" s="1313"/>
      <c r="E7" s="379"/>
      <c r="F7" s="379"/>
      <c r="G7" s="380"/>
      <c r="H7" s="380"/>
      <c r="I7" s="380"/>
      <c r="J7" s="380"/>
      <c r="K7" s="380"/>
      <c r="L7" s="380"/>
      <c r="M7" s="380"/>
      <c r="N7" s="380"/>
      <c r="O7" s="380"/>
      <c r="P7" s="380"/>
      <c r="Q7" s="380"/>
      <c r="R7" s="380"/>
      <c r="S7" s="380"/>
      <c r="T7" s="380"/>
      <c r="U7" s="380"/>
      <c r="V7" s="380"/>
      <c r="W7" s="380"/>
      <c r="X7" s="380"/>
      <c r="Y7" s="380"/>
      <c r="Z7" s="380"/>
      <c r="AA7" s="380"/>
      <c r="AB7" s="380"/>
      <c r="AC7" s="380"/>
      <c r="AD7" s="380"/>
      <c r="AE7" s="380"/>
      <c r="AF7" s="380"/>
      <c r="AG7" s="522"/>
      <c r="AH7" s="522"/>
      <c r="AI7" s="522"/>
      <c r="AJ7" s="522"/>
      <c r="AK7" s="522"/>
      <c r="AL7" s="522"/>
      <c r="AM7" s="522"/>
      <c r="AN7" s="522"/>
      <c r="AO7" s="522"/>
      <c r="AP7" s="381"/>
    </row>
    <row r="8" spans="1:218" s="55" customFormat="1" ht="24.95" hidden="1" customHeight="1">
      <c r="B8" s="1676"/>
      <c r="C8" s="387" t="s">
        <v>898</v>
      </c>
      <c r="D8" s="385"/>
      <c r="E8" s="377"/>
      <c r="F8" s="377"/>
      <c r="G8" s="377"/>
      <c r="H8" s="377"/>
      <c r="I8" s="377"/>
      <c r="J8" s="377"/>
      <c r="K8" s="377"/>
      <c r="L8" s="377"/>
      <c r="M8" s="377"/>
      <c r="N8" s="377"/>
      <c r="O8" s="377"/>
      <c r="P8" s="377"/>
      <c r="Q8" s="377"/>
      <c r="R8" s="377"/>
      <c r="S8" s="377"/>
      <c r="T8" s="377"/>
      <c r="U8" s="377"/>
      <c r="V8" s="377"/>
      <c r="W8" s="377"/>
      <c r="X8" s="377"/>
      <c r="Y8" s="377"/>
      <c r="Z8" s="377"/>
      <c r="AA8" s="377"/>
      <c r="AB8" s="377"/>
      <c r="AC8" s="377"/>
      <c r="AD8" s="377"/>
      <c r="AE8" s="377"/>
      <c r="AF8" s="377"/>
      <c r="AG8" s="523"/>
      <c r="AH8" s="523"/>
      <c r="AI8" s="523"/>
      <c r="AJ8" s="523"/>
      <c r="AK8" s="523"/>
      <c r="AL8" s="523"/>
      <c r="AM8" s="523"/>
      <c r="AN8" s="523"/>
      <c r="AO8" s="523"/>
      <c r="AP8" s="378"/>
    </row>
    <row r="9" spans="1:218" s="55" customFormat="1" ht="32.1" customHeight="1">
      <c r="B9" s="1819" t="s">
        <v>2579</v>
      </c>
      <c r="C9" s="1319" t="s">
        <v>904</v>
      </c>
      <c r="D9" s="1305"/>
      <c r="E9" s="518"/>
      <c r="F9" s="518"/>
      <c r="G9" s="1320"/>
      <c r="H9" s="1320"/>
      <c r="I9" s="1320"/>
      <c r="J9" s="1320"/>
      <c r="K9" s="1320"/>
      <c r="L9" s="1320"/>
      <c r="M9" s="1320"/>
      <c r="N9" s="1320"/>
      <c r="O9" s="1320"/>
      <c r="P9" s="1320"/>
      <c r="Q9" s="1320"/>
      <c r="R9" s="1320"/>
      <c r="S9" s="1320"/>
      <c r="T9" s="1320"/>
      <c r="U9" s="1320"/>
      <c r="V9" s="1320"/>
      <c r="W9" s="1320"/>
      <c r="X9" s="1322"/>
      <c r="Y9" s="1323"/>
      <c r="Z9" s="1323"/>
      <c r="AA9" s="1323"/>
      <c r="AB9" s="1323"/>
      <c r="AC9" s="518"/>
      <c r="AD9" s="1678"/>
      <c r="AE9" s="1678"/>
      <c r="AF9" s="1678"/>
      <c r="AG9" s="1679"/>
      <c r="AH9" s="1679"/>
      <c r="AI9" s="1679"/>
      <c r="AJ9" s="1306"/>
      <c r="AK9" s="1679"/>
      <c r="AL9" s="1679"/>
      <c r="AM9" s="1306"/>
      <c r="AN9" s="1306"/>
      <c r="AO9" s="1306"/>
      <c r="AP9" s="62"/>
    </row>
    <row r="10" spans="1:218" s="55" customFormat="1" ht="32.1" customHeight="1">
      <c r="B10" s="1820"/>
      <c r="C10" s="243" t="s">
        <v>905</v>
      </c>
      <c r="D10" s="1315"/>
      <c r="E10" s="1308"/>
      <c r="F10" s="1308"/>
      <c r="G10" s="1308"/>
      <c r="H10" s="1314"/>
      <c r="I10" s="1314"/>
      <c r="J10" s="1314"/>
      <c r="K10" s="1314"/>
      <c r="L10" s="1314"/>
      <c r="M10" s="1314"/>
      <c r="N10" s="1314"/>
      <c r="O10" s="1314"/>
      <c r="P10" s="1314"/>
      <c r="Q10" s="1314"/>
      <c r="R10" s="1314"/>
      <c r="S10" s="1314"/>
      <c r="T10" s="1314"/>
      <c r="U10" s="1314"/>
      <c r="V10" s="1314"/>
      <c r="W10" s="1314"/>
      <c r="X10" s="1314"/>
      <c r="Y10" s="1321"/>
      <c r="Z10" s="1321"/>
      <c r="AA10" s="1321"/>
      <c r="AB10" s="1321"/>
      <c r="AC10" s="1321"/>
      <c r="AD10" s="1685"/>
      <c r="AE10" s="1685"/>
      <c r="AF10" s="1685"/>
      <c r="AG10" s="1681"/>
      <c r="AH10" s="1681"/>
      <c r="AI10" s="1681"/>
      <c r="AJ10" s="524"/>
      <c r="AK10" s="1681"/>
      <c r="AL10" s="1681"/>
      <c r="AM10" s="524"/>
      <c r="AN10" s="524"/>
      <c r="AO10" s="524"/>
      <c r="AP10" s="63"/>
    </row>
    <row r="11" spans="1:218" s="55" customFormat="1" ht="32.1" customHeight="1">
      <c r="B11" s="1821"/>
      <c r="C11" s="242" t="s">
        <v>454</v>
      </c>
      <c r="D11" s="1309"/>
      <c r="E11" s="1310"/>
      <c r="F11" s="1310"/>
      <c r="G11" s="1310"/>
      <c r="H11" s="1310"/>
      <c r="I11" s="1311"/>
      <c r="J11" s="1311"/>
      <c r="K11" s="1311"/>
      <c r="L11" s="1311"/>
      <c r="M11" s="1311"/>
      <c r="N11" s="1311"/>
      <c r="O11" s="1311"/>
      <c r="P11" s="1311"/>
      <c r="Q11" s="1311"/>
      <c r="R11" s="1311"/>
      <c r="S11" s="1311"/>
      <c r="T11" s="1311"/>
      <c r="U11" s="1311"/>
      <c r="V11" s="1311"/>
      <c r="W11" s="1311"/>
      <c r="X11" s="1311"/>
      <c r="Y11" s="1311"/>
      <c r="Z11" s="1324"/>
      <c r="AA11" s="1324"/>
      <c r="AB11" s="1324"/>
      <c r="AC11" s="1324"/>
      <c r="AD11" s="1682"/>
      <c r="AE11" s="1686"/>
      <c r="AF11" s="1686"/>
      <c r="AG11" s="1683"/>
      <c r="AH11" s="1683"/>
      <c r="AI11" s="1683"/>
      <c r="AJ11" s="1674"/>
      <c r="AK11" s="1683"/>
      <c r="AL11" s="1683"/>
      <c r="AM11" s="1674"/>
      <c r="AN11" s="1674"/>
      <c r="AO11" s="1674"/>
      <c r="AP11" s="64"/>
    </row>
    <row r="12" spans="1:218" s="55" customFormat="1" ht="32.1" customHeight="1">
      <c r="B12" s="1819" t="s">
        <v>3209</v>
      </c>
      <c r="C12" s="1304" t="s">
        <v>904</v>
      </c>
      <c r="D12" s="1305"/>
      <c r="E12" s="518"/>
      <c r="F12" s="518"/>
      <c r="G12" s="1320"/>
      <c r="H12" s="1320"/>
      <c r="I12" s="1320"/>
      <c r="J12" s="1320"/>
      <c r="K12" s="1320"/>
      <c r="L12" s="1320"/>
      <c r="M12" s="1320"/>
      <c r="N12" s="1320"/>
      <c r="O12" s="1320"/>
      <c r="P12" s="1320"/>
      <c r="Q12" s="1320"/>
      <c r="R12" s="1320"/>
      <c r="S12" s="1320"/>
      <c r="T12" s="1320"/>
      <c r="U12" s="1320"/>
      <c r="V12" s="1320"/>
      <c r="W12" s="1320"/>
      <c r="X12" s="1322"/>
      <c r="Y12" s="1323"/>
      <c r="Z12" s="1323"/>
      <c r="AA12" s="1323"/>
      <c r="AB12" s="1323"/>
      <c r="AC12" s="518"/>
      <c r="AD12" s="1678"/>
      <c r="AE12" s="1678"/>
      <c r="AF12" s="1678"/>
      <c r="AG12" s="1679"/>
      <c r="AH12" s="1679"/>
      <c r="AI12" s="1679"/>
      <c r="AJ12" s="1306"/>
      <c r="AK12" s="1679"/>
      <c r="AL12" s="1679"/>
      <c r="AM12" s="1306"/>
      <c r="AN12" s="1306"/>
      <c r="AO12" s="1306"/>
      <c r="AP12" s="62"/>
    </row>
    <row r="13" spans="1:218" s="55" customFormat="1" ht="32.1" customHeight="1">
      <c r="B13" s="1822"/>
      <c r="C13" s="244" t="s">
        <v>906</v>
      </c>
      <c r="D13" s="1307"/>
      <c r="E13" s="519"/>
      <c r="F13" s="519"/>
      <c r="G13" s="1308"/>
      <c r="H13" s="1314"/>
      <c r="I13" s="1314"/>
      <c r="J13" s="1314"/>
      <c r="K13" s="1314"/>
      <c r="L13" s="1314"/>
      <c r="M13" s="1314"/>
      <c r="N13" s="1314"/>
      <c r="O13" s="1314"/>
      <c r="P13" s="1314"/>
      <c r="Q13" s="1314"/>
      <c r="R13" s="1314"/>
      <c r="S13" s="1314"/>
      <c r="T13" s="1314"/>
      <c r="U13" s="1314"/>
      <c r="V13" s="1314"/>
      <c r="W13" s="1314"/>
      <c r="X13" s="1314"/>
      <c r="Y13" s="1321"/>
      <c r="Z13" s="1321"/>
      <c r="AA13" s="1321"/>
      <c r="AB13" s="1321"/>
      <c r="AC13" s="1321"/>
      <c r="AD13" s="1685"/>
      <c r="AE13" s="1685"/>
      <c r="AF13" s="1685"/>
      <c r="AG13" s="1681"/>
      <c r="AH13" s="1681"/>
      <c r="AI13" s="1681"/>
      <c r="AJ13" s="524"/>
      <c r="AK13" s="1681"/>
      <c r="AL13" s="1681"/>
      <c r="AM13" s="524"/>
      <c r="AN13" s="524"/>
      <c r="AO13" s="524"/>
      <c r="AP13" s="1312"/>
    </row>
    <row r="14" spans="1:218" s="55" customFormat="1" ht="32.1" customHeight="1">
      <c r="B14" s="1821"/>
      <c r="C14" s="242" t="s">
        <v>455</v>
      </c>
      <c r="D14" s="1309"/>
      <c r="E14" s="1310"/>
      <c r="F14" s="1310"/>
      <c r="G14" s="1310"/>
      <c r="H14" s="1310"/>
      <c r="I14" s="1311"/>
      <c r="J14" s="1311"/>
      <c r="K14" s="1311"/>
      <c r="L14" s="1311"/>
      <c r="M14" s="1311"/>
      <c r="N14" s="1311"/>
      <c r="O14" s="1311"/>
      <c r="P14" s="1311"/>
      <c r="Q14" s="1311"/>
      <c r="R14" s="1311"/>
      <c r="S14" s="1311"/>
      <c r="T14" s="1311"/>
      <c r="U14" s="1311"/>
      <c r="V14" s="1311"/>
      <c r="W14" s="1311"/>
      <c r="X14" s="1311"/>
      <c r="Y14" s="1311"/>
      <c r="Z14" s="1324"/>
      <c r="AA14" s="1324"/>
      <c r="AB14" s="1324"/>
      <c r="AC14" s="1324"/>
      <c r="AD14" s="1682"/>
      <c r="AE14" s="1686"/>
      <c r="AF14" s="1686"/>
      <c r="AG14" s="1683"/>
      <c r="AH14" s="1683"/>
      <c r="AI14" s="1683"/>
      <c r="AJ14" s="1674"/>
      <c r="AK14" s="1683"/>
      <c r="AL14" s="1683"/>
      <c r="AM14" s="1674"/>
      <c r="AN14" s="1674"/>
      <c r="AO14" s="1674"/>
      <c r="AP14" s="64"/>
    </row>
    <row r="15" spans="1:218" s="55" customFormat="1" ht="32.1" customHeight="1">
      <c r="B15" s="1829" t="s">
        <v>2413</v>
      </c>
      <c r="C15" s="1301" t="s">
        <v>2414</v>
      </c>
      <c r="D15" s="369"/>
      <c r="E15" s="370"/>
      <c r="F15" s="370"/>
      <c r="G15" s="1320"/>
      <c r="H15" s="1320"/>
      <c r="I15" s="1320"/>
      <c r="J15" s="1320"/>
      <c r="K15" s="1320"/>
      <c r="L15" s="1320"/>
      <c r="M15" s="1320"/>
      <c r="N15" s="1320"/>
      <c r="O15" s="1320"/>
      <c r="P15" s="1320"/>
      <c r="Q15" s="1320"/>
      <c r="R15" s="1320"/>
      <c r="S15" s="1320"/>
      <c r="T15" s="1320"/>
      <c r="U15" s="1320"/>
      <c r="V15" s="1320"/>
      <c r="W15" s="1320"/>
      <c r="X15" s="1322"/>
      <c r="Y15" s="1323"/>
      <c r="Z15" s="1323"/>
      <c r="AA15" s="1323"/>
      <c r="AB15" s="1323"/>
      <c r="AC15" s="518"/>
      <c r="AD15" s="1678"/>
      <c r="AE15" s="1678"/>
      <c r="AF15" s="1678"/>
      <c r="AG15" s="1679"/>
      <c r="AH15" s="1679"/>
      <c r="AI15" s="1684"/>
      <c r="AJ15" s="1672"/>
      <c r="AK15" s="1679"/>
      <c r="AL15" s="1684"/>
      <c r="AM15" s="1672"/>
      <c r="AN15" s="1672"/>
      <c r="AO15" s="1672"/>
      <c r="AP15" s="371"/>
    </row>
    <row r="16" spans="1:218" s="55" customFormat="1" ht="32.1" customHeight="1">
      <c r="B16" s="1830"/>
      <c r="C16" s="1302" t="s">
        <v>2415</v>
      </c>
      <c r="D16" s="1315"/>
      <c r="E16" s="1308"/>
      <c r="F16" s="1308"/>
      <c r="G16" s="1308"/>
      <c r="H16" s="1314"/>
      <c r="I16" s="1314"/>
      <c r="J16" s="1314"/>
      <c r="K16" s="1314"/>
      <c r="L16" s="1314"/>
      <c r="M16" s="1314"/>
      <c r="N16" s="1314"/>
      <c r="O16" s="1314"/>
      <c r="P16" s="1314"/>
      <c r="Q16" s="1314"/>
      <c r="R16" s="1314"/>
      <c r="S16" s="1314"/>
      <c r="T16" s="1314"/>
      <c r="U16" s="1314"/>
      <c r="V16" s="1314"/>
      <c r="W16" s="1314"/>
      <c r="X16" s="1314"/>
      <c r="Y16" s="1321"/>
      <c r="Z16" s="1321"/>
      <c r="AA16" s="1321"/>
      <c r="AB16" s="1321"/>
      <c r="AC16" s="1321"/>
      <c r="AD16" s="1680"/>
      <c r="AE16" s="1685"/>
      <c r="AF16" s="1685"/>
      <c r="AG16" s="1681"/>
      <c r="AH16" s="1681"/>
      <c r="AI16" s="1681"/>
      <c r="AJ16" s="524"/>
      <c r="AK16" s="1681"/>
      <c r="AL16" s="1681"/>
      <c r="AM16" s="524"/>
      <c r="AN16" s="524"/>
      <c r="AO16" s="524"/>
      <c r="AP16" s="63"/>
    </row>
    <row r="17" spans="2:42" s="55" customFormat="1" ht="32.1" customHeight="1">
      <c r="B17" s="1830"/>
      <c r="C17" s="1303" t="s">
        <v>455</v>
      </c>
      <c r="D17" s="1309"/>
      <c r="E17" s="1310"/>
      <c r="F17" s="1310"/>
      <c r="G17" s="1310"/>
      <c r="H17" s="1310"/>
      <c r="I17" s="1311"/>
      <c r="J17" s="1311"/>
      <c r="K17" s="1311"/>
      <c r="L17" s="1311"/>
      <c r="M17" s="1311"/>
      <c r="N17" s="1311"/>
      <c r="O17" s="1311"/>
      <c r="P17" s="1311"/>
      <c r="Q17" s="1311"/>
      <c r="R17" s="1311"/>
      <c r="S17" s="1311"/>
      <c r="T17" s="1311"/>
      <c r="U17" s="1311"/>
      <c r="V17" s="1311"/>
      <c r="W17" s="1311"/>
      <c r="X17" s="1311"/>
      <c r="Y17" s="1311"/>
      <c r="Z17" s="1324"/>
      <c r="AA17" s="1324"/>
      <c r="AB17" s="1324"/>
      <c r="AC17" s="1324"/>
      <c r="AD17" s="1682"/>
      <c r="AE17" s="1686"/>
      <c r="AF17" s="1686"/>
      <c r="AG17" s="1683"/>
      <c r="AH17" s="1683"/>
      <c r="AI17" s="1683"/>
      <c r="AJ17" s="1674"/>
      <c r="AK17" s="1683"/>
      <c r="AL17" s="1683"/>
      <c r="AM17" s="1674"/>
      <c r="AN17" s="1674"/>
      <c r="AO17" s="1674"/>
      <c r="AP17" s="64"/>
    </row>
    <row r="18" spans="2:42" s="55" customFormat="1" ht="32.1" customHeight="1">
      <c r="B18" s="1823" t="s">
        <v>83</v>
      </c>
      <c r="C18" s="1824"/>
      <c r="D18" s="1316"/>
      <c r="E18" s="380"/>
      <c r="F18" s="380"/>
      <c r="G18" s="380"/>
      <c r="H18" s="380"/>
      <c r="I18" s="380"/>
      <c r="J18" s="380"/>
      <c r="K18" s="380"/>
      <c r="L18" s="380"/>
      <c r="M18" s="380"/>
      <c r="N18" s="380"/>
      <c r="O18" s="380"/>
      <c r="P18" s="380"/>
      <c r="Q18" s="380"/>
      <c r="R18" s="380"/>
      <c r="S18" s="380"/>
      <c r="T18" s="380"/>
      <c r="U18" s="380"/>
      <c r="V18" s="380"/>
      <c r="W18" s="380"/>
      <c r="X18" s="380"/>
      <c r="Y18" s="380"/>
      <c r="Z18" s="380"/>
      <c r="AA18" s="380"/>
      <c r="AB18" s="380"/>
      <c r="AC18" s="380"/>
      <c r="AD18" s="379"/>
      <c r="AE18" s="1325"/>
      <c r="AF18" s="1325"/>
      <c r="AG18" s="1326"/>
      <c r="AH18" s="1326"/>
      <c r="AI18" s="1326"/>
      <c r="AJ18" s="1681"/>
      <c r="AK18" s="1681"/>
      <c r="AL18" s="1681"/>
      <c r="AM18" s="1681"/>
      <c r="AN18" s="1681"/>
      <c r="AO18" s="1681"/>
      <c r="AP18" s="381"/>
    </row>
    <row r="19" spans="2:42" s="55" customFormat="1" ht="32.1" customHeight="1" thickBot="1">
      <c r="B19" s="1825" t="s">
        <v>84</v>
      </c>
      <c r="C19" s="1826"/>
      <c r="D19" s="1317"/>
      <c r="E19" s="520"/>
      <c r="F19" s="520"/>
      <c r="G19" s="520"/>
      <c r="H19" s="520"/>
      <c r="I19" s="520"/>
      <c r="J19" s="520"/>
      <c r="K19" s="520"/>
      <c r="L19" s="520"/>
      <c r="M19" s="520"/>
      <c r="N19" s="520"/>
      <c r="O19" s="520"/>
      <c r="P19" s="520"/>
      <c r="Q19" s="520"/>
      <c r="R19" s="520"/>
      <c r="S19" s="520"/>
      <c r="T19" s="520"/>
      <c r="U19" s="520"/>
      <c r="V19" s="520"/>
      <c r="W19" s="520"/>
      <c r="X19" s="520"/>
      <c r="Y19" s="520"/>
      <c r="Z19" s="520"/>
      <c r="AA19" s="520"/>
      <c r="AB19" s="520"/>
      <c r="AC19" s="520"/>
      <c r="AD19" s="520"/>
      <c r="AE19" s="520"/>
      <c r="AF19" s="1318"/>
      <c r="AG19" s="525"/>
      <c r="AH19" s="525"/>
      <c r="AI19" s="525"/>
      <c r="AJ19" s="525"/>
      <c r="AK19" s="525"/>
      <c r="AL19" s="525"/>
      <c r="AM19" s="525"/>
      <c r="AN19" s="525"/>
      <c r="AO19" s="525"/>
      <c r="AP19" s="310"/>
    </row>
    <row r="20" spans="2:42" s="65" customFormat="1" ht="24.95" customHeight="1"/>
    <row r="21" spans="2:42" s="65" customFormat="1" ht="24.95" customHeight="1"/>
    <row r="22" spans="2:42" s="65" customFormat="1" ht="24.95" customHeight="1"/>
    <row r="23" spans="2:42" s="65" customFormat="1" ht="24.95" customHeight="1"/>
    <row r="24" spans="2:42" s="65" customFormat="1" ht="24.95" customHeight="1"/>
    <row r="25" spans="2:42" s="65" customFormat="1" ht="24.95" customHeight="1"/>
    <row r="26" spans="2:42" s="65" customFormat="1" ht="24.95" customHeight="1"/>
    <row r="27" spans="2:42" s="65" customFormat="1" ht="24.95" customHeight="1"/>
    <row r="28" spans="2:42" s="65" customFormat="1" ht="24.95" customHeight="1"/>
    <row r="29" spans="2:42" s="65" customFormat="1" ht="24.95" customHeight="1"/>
    <row r="30" spans="2:42" s="65" customFormat="1" ht="24.95" customHeight="1"/>
    <row r="31" spans="2:42" s="65" customFormat="1" ht="24.95" customHeight="1"/>
    <row r="32" spans="2:42" s="65" customFormat="1" ht="24.95" customHeight="1"/>
    <row r="33" s="65" customFormat="1" ht="24.95" customHeight="1"/>
    <row r="34" s="65" customFormat="1" ht="24.95" customHeight="1"/>
    <row r="35" s="65" customFormat="1" ht="24.95" customHeight="1"/>
    <row r="36" s="65" customFormat="1" ht="24.95" customHeight="1"/>
    <row r="37" ht="24.95" customHeight="1"/>
    <row r="38" ht="24.95" customHeight="1"/>
    <row r="39" ht="24.95" customHeight="1"/>
    <row r="40" ht="24.95" customHeight="1"/>
    <row r="41" ht="24.95" customHeight="1"/>
    <row r="42" ht="24.95" customHeight="1"/>
    <row r="43" ht="24.95" customHeight="1"/>
  </sheetData>
  <mergeCells count="29">
    <mergeCell ref="GM2:GT2"/>
    <mergeCell ref="GU2:HB2"/>
    <mergeCell ref="HC2:HJ2"/>
    <mergeCell ref="B5:C6"/>
    <mergeCell ref="B7:C7"/>
    <mergeCell ref="EI2:EP2"/>
    <mergeCell ref="EQ2:EX2"/>
    <mergeCell ref="EY2:FF2"/>
    <mergeCell ref="FG2:FN2"/>
    <mergeCell ref="FO2:FV2"/>
    <mergeCell ref="FW2:GD2"/>
    <mergeCell ref="CM2:CT2"/>
    <mergeCell ref="CU2:DB2"/>
    <mergeCell ref="DC2:DJ2"/>
    <mergeCell ref="DK2:DR2"/>
    <mergeCell ref="DS2:DZ2"/>
    <mergeCell ref="B9:B11"/>
    <mergeCell ref="B12:B14"/>
    <mergeCell ref="B18:C18"/>
    <mergeCell ref="B19:C19"/>
    <mergeCell ref="GE2:GL2"/>
    <mergeCell ref="EA2:EH2"/>
    <mergeCell ref="A2:AQ2"/>
    <mergeCell ref="AY2:BF2"/>
    <mergeCell ref="BG2:BN2"/>
    <mergeCell ref="BO2:BV2"/>
    <mergeCell ref="BW2:CD2"/>
    <mergeCell ref="CE2:CL2"/>
    <mergeCell ref="B15:B17"/>
  </mergeCells>
  <phoneticPr fontId="6" type="noConversion"/>
  <printOptions horizontalCentered="1"/>
  <pageMargins left="0.43307086614173229" right="0.27559055118110237" top="0.74803149606299213" bottom="0.74803149606299213" header="0.31496062992125984" footer="0.31496062992125984"/>
  <pageSetup paperSize="9" scale="53"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B1:Q37"/>
  <sheetViews>
    <sheetView view="pageBreakPreview" topLeftCell="A7" zoomScale="85" zoomScaleNormal="100" zoomScaleSheetLayoutView="85" workbookViewId="0">
      <selection activeCell="L24" sqref="L24"/>
    </sheetView>
  </sheetViews>
  <sheetFormatPr defaultRowHeight="16.5"/>
  <cols>
    <col min="1" max="1" width="2" style="5" customWidth="1"/>
    <col min="2" max="3" width="9" style="5" customWidth="1"/>
    <col min="4" max="4" width="3.625" style="5" customWidth="1"/>
    <col min="5" max="5" width="16.625" style="5" customWidth="1"/>
    <col min="6" max="6" width="5.625" style="5" customWidth="1"/>
    <col min="7" max="7" width="9" style="5" customWidth="1"/>
    <col min="8" max="8" width="12.25" style="5" customWidth="1"/>
    <col min="9" max="9" width="6.625" style="5" customWidth="1"/>
    <col min="10" max="10" width="16.625" style="5" customWidth="1"/>
    <col min="11" max="11" width="2" style="5" customWidth="1"/>
    <col min="12" max="12" width="12.25" style="383" customWidth="1"/>
    <col min="13" max="13" width="12.25" style="5" customWidth="1"/>
    <col min="14" max="17" width="9" style="383"/>
    <col min="18" max="250" width="9" style="5"/>
    <col min="251" max="251" width="2" style="5" customWidth="1"/>
    <col min="252" max="253" width="9" style="5" customWidth="1"/>
    <col min="254" max="254" width="7.625" style="5" customWidth="1"/>
    <col min="255" max="255" width="17.375" style="5" customWidth="1"/>
    <col min="256" max="256" width="4.625" style="5" customWidth="1"/>
    <col min="257" max="257" width="9" style="5" customWidth="1"/>
    <col min="258" max="258" width="9" style="5"/>
    <col min="259" max="259" width="6.5" style="5" customWidth="1"/>
    <col min="260" max="260" width="17.125" style="5" customWidth="1"/>
    <col min="261" max="261" width="2" style="5" customWidth="1"/>
    <col min="262" max="506" width="9" style="5"/>
    <col min="507" max="507" width="2" style="5" customWidth="1"/>
    <col min="508" max="509" width="9" style="5" customWidth="1"/>
    <col min="510" max="510" width="7.625" style="5" customWidth="1"/>
    <col min="511" max="511" width="17.375" style="5" customWidth="1"/>
    <col min="512" max="512" width="4.625" style="5" customWidth="1"/>
    <col min="513" max="513" width="9" style="5" customWidth="1"/>
    <col min="514" max="514" width="9" style="5"/>
    <col min="515" max="515" width="6.5" style="5" customWidth="1"/>
    <col min="516" max="516" width="17.125" style="5" customWidth="1"/>
    <col min="517" max="517" width="2" style="5" customWidth="1"/>
    <col min="518" max="762" width="9" style="5"/>
    <col min="763" max="763" width="2" style="5" customWidth="1"/>
    <col min="764" max="765" width="9" style="5" customWidth="1"/>
    <col min="766" max="766" width="7.625" style="5" customWidth="1"/>
    <col min="767" max="767" width="17.375" style="5" customWidth="1"/>
    <col min="768" max="768" width="4.625" style="5" customWidth="1"/>
    <col min="769" max="769" width="9" style="5" customWidth="1"/>
    <col min="770" max="770" width="9" style="5"/>
    <col min="771" max="771" width="6.5" style="5" customWidth="1"/>
    <col min="772" max="772" width="17.125" style="5" customWidth="1"/>
    <col min="773" max="773" width="2" style="5" customWidth="1"/>
    <col min="774" max="1018" width="9" style="5"/>
    <col min="1019" max="1019" width="2" style="5" customWidth="1"/>
    <col min="1020" max="1021" width="9" style="5" customWidth="1"/>
    <col min="1022" max="1022" width="7.625" style="5" customWidth="1"/>
    <col min="1023" max="1023" width="17.375" style="5" customWidth="1"/>
    <col min="1024" max="1024" width="4.625" style="5" customWidth="1"/>
    <col min="1025" max="1025" width="9" style="5" customWidth="1"/>
    <col min="1026" max="1026" width="9" style="5"/>
    <col min="1027" max="1027" width="6.5" style="5" customWidth="1"/>
    <col min="1028" max="1028" width="17.125" style="5" customWidth="1"/>
    <col min="1029" max="1029" width="2" style="5" customWidth="1"/>
    <col min="1030" max="1274" width="9" style="5"/>
    <col min="1275" max="1275" width="2" style="5" customWidth="1"/>
    <col min="1276" max="1277" width="9" style="5" customWidth="1"/>
    <col min="1278" max="1278" width="7.625" style="5" customWidth="1"/>
    <col min="1279" max="1279" width="17.375" style="5" customWidth="1"/>
    <col min="1280" max="1280" width="4.625" style="5" customWidth="1"/>
    <col min="1281" max="1281" width="9" style="5" customWidth="1"/>
    <col min="1282" max="1282" width="9" style="5"/>
    <col min="1283" max="1283" width="6.5" style="5" customWidth="1"/>
    <col min="1284" max="1284" width="17.125" style="5" customWidth="1"/>
    <col min="1285" max="1285" width="2" style="5" customWidth="1"/>
    <col min="1286" max="1530" width="9" style="5"/>
    <col min="1531" max="1531" width="2" style="5" customWidth="1"/>
    <col min="1532" max="1533" width="9" style="5" customWidth="1"/>
    <col min="1534" max="1534" width="7.625" style="5" customWidth="1"/>
    <col min="1535" max="1535" width="17.375" style="5" customWidth="1"/>
    <col min="1536" max="1536" width="4.625" style="5" customWidth="1"/>
    <col min="1537" max="1537" width="9" style="5" customWidth="1"/>
    <col min="1538" max="1538" width="9" style="5"/>
    <col min="1539" max="1539" width="6.5" style="5" customWidth="1"/>
    <col min="1540" max="1540" width="17.125" style="5" customWidth="1"/>
    <col min="1541" max="1541" width="2" style="5" customWidth="1"/>
    <col min="1542" max="1786" width="9" style="5"/>
    <col min="1787" max="1787" width="2" style="5" customWidth="1"/>
    <col min="1788" max="1789" width="9" style="5" customWidth="1"/>
    <col min="1790" max="1790" width="7.625" style="5" customWidth="1"/>
    <col min="1791" max="1791" width="17.375" style="5" customWidth="1"/>
    <col min="1792" max="1792" width="4.625" style="5" customWidth="1"/>
    <col min="1793" max="1793" width="9" style="5" customWidth="1"/>
    <col min="1794" max="1794" width="9" style="5"/>
    <col min="1795" max="1795" width="6.5" style="5" customWidth="1"/>
    <col min="1796" max="1796" width="17.125" style="5" customWidth="1"/>
    <col min="1797" max="1797" width="2" style="5" customWidth="1"/>
    <col min="1798" max="2042" width="9" style="5"/>
    <col min="2043" max="2043" width="2" style="5" customWidth="1"/>
    <col min="2044" max="2045" width="9" style="5" customWidth="1"/>
    <col min="2046" max="2046" width="7.625" style="5" customWidth="1"/>
    <col min="2047" max="2047" width="17.375" style="5" customWidth="1"/>
    <col min="2048" max="2048" width="4.625" style="5" customWidth="1"/>
    <col min="2049" max="2049" width="9" style="5" customWidth="1"/>
    <col min="2050" max="2050" width="9" style="5"/>
    <col min="2051" max="2051" width="6.5" style="5" customWidth="1"/>
    <col min="2052" max="2052" width="17.125" style="5" customWidth="1"/>
    <col min="2053" max="2053" width="2" style="5" customWidth="1"/>
    <col min="2054" max="2298" width="9" style="5"/>
    <col min="2299" max="2299" width="2" style="5" customWidth="1"/>
    <col min="2300" max="2301" width="9" style="5" customWidth="1"/>
    <col min="2302" max="2302" width="7.625" style="5" customWidth="1"/>
    <col min="2303" max="2303" width="17.375" style="5" customWidth="1"/>
    <col min="2304" max="2304" width="4.625" style="5" customWidth="1"/>
    <col min="2305" max="2305" width="9" style="5" customWidth="1"/>
    <col min="2306" max="2306" width="9" style="5"/>
    <col min="2307" max="2307" width="6.5" style="5" customWidth="1"/>
    <col min="2308" max="2308" width="17.125" style="5" customWidth="1"/>
    <col min="2309" max="2309" width="2" style="5" customWidth="1"/>
    <col min="2310" max="2554" width="9" style="5"/>
    <col min="2555" max="2555" width="2" style="5" customWidth="1"/>
    <col min="2556" max="2557" width="9" style="5" customWidth="1"/>
    <col min="2558" max="2558" width="7.625" style="5" customWidth="1"/>
    <col min="2559" max="2559" width="17.375" style="5" customWidth="1"/>
    <col min="2560" max="2560" width="4.625" style="5" customWidth="1"/>
    <col min="2561" max="2561" width="9" style="5" customWidth="1"/>
    <col min="2562" max="2562" width="9" style="5"/>
    <col min="2563" max="2563" width="6.5" style="5" customWidth="1"/>
    <col min="2564" max="2564" width="17.125" style="5" customWidth="1"/>
    <col min="2565" max="2565" width="2" style="5" customWidth="1"/>
    <col min="2566" max="2810" width="9" style="5"/>
    <col min="2811" max="2811" width="2" style="5" customWidth="1"/>
    <col min="2812" max="2813" width="9" style="5" customWidth="1"/>
    <col min="2814" max="2814" width="7.625" style="5" customWidth="1"/>
    <col min="2815" max="2815" width="17.375" style="5" customWidth="1"/>
    <col min="2816" max="2816" width="4.625" style="5" customWidth="1"/>
    <col min="2817" max="2817" width="9" style="5" customWidth="1"/>
    <col min="2818" max="2818" width="9" style="5"/>
    <col min="2819" max="2819" width="6.5" style="5" customWidth="1"/>
    <col min="2820" max="2820" width="17.125" style="5" customWidth="1"/>
    <col min="2821" max="2821" width="2" style="5" customWidth="1"/>
    <col min="2822" max="3066" width="9" style="5"/>
    <col min="3067" max="3067" width="2" style="5" customWidth="1"/>
    <col min="3068" max="3069" width="9" style="5" customWidth="1"/>
    <col min="3070" max="3070" width="7.625" style="5" customWidth="1"/>
    <col min="3071" max="3071" width="17.375" style="5" customWidth="1"/>
    <col min="3072" max="3072" width="4.625" style="5" customWidth="1"/>
    <col min="3073" max="3073" width="9" style="5" customWidth="1"/>
    <col min="3074" max="3074" width="9" style="5"/>
    <col min="3075" max="3075" width="6.5" style="5" customWidth="1"/>
    <col min="3076" max="3076" width="17.125" style="5" customWidth="1"/>
    <col min="3077" max="3077" width="2" style="5" customWidth="1"/>
    <col min="3078" max="3322" width="9" style="5"/>
    <col min="3323" max="3323" width="2" style="5" customWidth="1"/>
    <col min="3324" max="3325" width="9" style="5" customWidth="1"/>
    <col min="3326" max="3326" width="7.625" style="5" customWidth="1"/>
    <col min="3327" max="3327" width="17.375" style="5" customWidth="1"/>
    <col min="3328" max="3328" width="4.625" style="5" customWidth="1"/>
    <col min="3329" max="3329" width="9" style="5" customWidth="1"/>
    <col min="3330" max="3330" width="9" style="5"/>
    <col min="3331" max="3331" width="6.5" style="5" customWidth="1"/>
    <col min="3332" max="3332" width="17.125" style="5" customWidth="1"/>
    <col min="3333" max="3333" width="2" style="5" customWidth="1"/>
    <col min="3334" max="3578" width="9" style="5"/>
    <col min="3579" max="3579" width="2" style="5" customWidth="1"/>
    <col min="3580" max="3581" width="9" style="5" customWidth="1"/>
    <col min="3582" max="3582" width="7.625" style="5" customWidth="1"/>
    <col min="3583" max="3583" width="17.375" style="5" customWidth="1"/>
    <col min="3584" max="3584" width="4.625" style="5" customWidth="1"/>
    <col min="3585" max="3585" width="9" style="5" customWidth="1"/>
    <col min="3586" max="3586" width="9" style="5"/>
    <col min="3587" max="3587" width="6.5" style="5" customWidth="1"/>
    <col min="3588" max="3588" width="17.125" style="5" customWidth="1"/>
    <col min="3589" max="3589" width="2" style="5" customWidth="1"/>
    <col min="3590" max="3834" width="9" style="5"/>
    <col min="3835" max="3835" width="2" style="5" customWidth="1"/>
    <col min="3836" max="3837" width="9" style="5" customWidth="1"/>
    <col min="3838" max="3838" width="7.625" style="5" customWidth="1"/>
    <col min="3839" max="3839" width="17.375" style="5" customWidth="1"/>
    <col min="3840" max="3840" width="4.625" style="5" customWidth="1"/>
    <col min="3841" max="3841" width="9" style="5" customWidth="1"/>
    <col min="3842" max="3842" width="9" style="5"/>
    <col min="3843" max="3843" width="6.5" style="5" customWidth="1"/>
    <col min="3844" max="3844" width="17.125" style="5" customWidth="1"/>
    <col min="3845" max="3845" width="2" style="5" customWidth="1"/>
    <col min="3846" max="4090" width="9" style="5"/>
    <col min="4091" max="4091" width="2" style="5" customWidth="1"/>
    <col min="4092" max="4093" width="9" style="5" customWidth="1"/>
    <col min="4094" max="4094" width="7.625" style="5" customWidth="1"/>
    <col min="4095" max="4095" width="17.375" style="5" customWidth="1"/>
    <col min="4096" max="4096" width="4.625" style="5" customWidth="1"/>
    <col min="4097" max="4097" width="9" style="5" customWidth="1"/>
    <col min="4098" max="4098" width="9" style="5"/>
    <col min="4099" max="4099" width="6.5" style="5" customWidth="1"/>
    <col min="4100" max="4100" width="17.125" style="5" customWidth="1"/>
    <col min="4101" max="4101" width="2" style="5" customWidth="1"/>
    <col min="4102" max="4346" width="9" style="5"/>
    <col min="4347" max="4347" width="2" style="5" customWidth="1"/>
    <col min="4348" max="4349" width="9" style="5" customWidth="1"/>
    <col min="4350" max="4350" width="7.625" style="5" customWidth="1"/>
    <col min="4351" max="4351" width="17.375" style="5" customWidth="1"/>
    <col min="4352" max="4352" width="4.625" style="5" customWidth="1"/>
    <col min="4353" max="4353" width="9" style="5" customWidth="1"/>
    <col min="4354" max="4354" width="9" style="5"/>
    <col min="4355" max="4355" width="6.5" style="5" customWidth="1"/>
    <col min="4356" max="4356" width="17.125" style="5" customWidth="1"/>
    <col min="4357" max="4357" width="2" style="5" customWidth="1"/>
    <col min="4358" max="4602" width="9" style="5"/>
    <col min="4603" max="4603" width="2" style="5" customWidth="1"/>
    <col min="4604" max="4605" width="9" style="5" customWidth="1"/>
    <col min="4606" max="4606" width="7.625" style="5" customWidth="1"/>
    <col min="4607" max="4607" width="17.375" style="5" customWidth="1"/>
    <col min="4608" max="4608" width="4.625" style="5" customWidth="1"/>
    <col min="4609" max="4609" width="9" style="5" customWidth="1"/>
    <col min="4610" max="4610" width="9" style="5"/>
    <col min="4611" max="4611" width="6.5" style="5" customWidth="1"/>
    <col min="4612" max="4612" width="17.125" style="5" customWidth="1"/>
    <col min="4613" max="4613" width="2" style="5" customWidth="1"/>
    <col min="4614" max="4858" width="9" style="5"/>
    <col min="4859" max="4859" width="2" style="5" customWidth="1"/>
    <col min="4860" max="4861" width="9" style="5" customWidth="1"/>
    <col min="4862" max="4862" width="7.625" style="5" customWidth="1"/>
    <col min="4863" max="4863" width="17.375" style="5" customWidth="1"/>
    <col min="4864" max="4864" width="4.625" style="5" customWidth="1"/>
    <col min="4865" max="4865" width="9" style="5" customWidth="1"/>
    <col min="4866" max="4866" width="9" style="5"/>
    <col min="4867" max="4867" width="6.5" style="5" customWidth="1"/>
    <col min="4868" max="4868" width="17.125" style="5" customWidth="1"/>
    <col min="4869" max="4869" width="2" style="5" customWidth="1"/>
    <col min="4870" max="5114" width="9" style="5"/>
    <col min="5115" max="5115" width="2" style="5" customWidth="1"/>
    <col min="5116" max="5117" width="9" style="5" customWidth="1"/>
    <col min="5118" max="5118" width="7.625" style="5" customWidth="1"/>
    <col min="5119" max="5119" width="17.375" style="5" customWidth="1"/>
    <col min="5120" max="5120" width="4.625" style="5" customWidth="1"/>
    <col min="5121" max="5121" width="9" style="5" customWidth="1"/>
    <col min="5122" max="5122" width="9" style="5"/>
    <col min="5123" max="5123" width="6.5" style="5" customWidth="1"/>
    <col min="5124" max="5124" width="17.125" style="5" customWidth="1"/>
    <col min="5125" max="5125" width="2" style="5" customWidth="1"/>
    <col min="5126" max="5370" width="9" style="5"/>
    <col min="5371" max="5371" width="2" style="5" customWidth="1"/>
    <col min="5372" max="5373" width="9" style="5" customWidth="1"/>
    <col min="5374" max="5374" width="7.625" style="5" customWidth="1"/>
    <col min="5375" max="5375" width="17.375" style="5" customWidth="1"/>
    <col min="5376" max="5376" width="4.625" style="5" customWidth="1"/>
    <col min="5377" max="5377" width="9" style="5" customWidth="1"/>
    <col min="5378" max="5378" width="9" style="5"/>
    <col min="5379" max="5379" width="6.5" style="5" customWidth="1"/>
    <col min="5380" max="5380" width="17.125" style="5" customWidth="1"/>
    <col min="5381" max="5381" width="2" style="5" customWidth="1"/>
    <col min="5382" max="5626" width="9" style="5"/>
    <col min="5627" max="5627" width="2" style="5" customWidth="1"/>
    <col min="5628" max="5629" width="9" style="5" customWidth="1"/>
    <col min="5630" max="5630" width="7.625" style="5" customWidth="1"/>
    <col min="5631" max="5631" width="17.375" style="5" customWidth="1"/>
    <col min="5632" max="5632" width="4.625" style="5" customWidth="1"/>
    <col min="5633" max="5633" width="9" style="5" customWidth="1"/>
    <col min="5634" max="5634" width="9" style="5"/>
    <col min="5635" max="5635" width="6.5" style="5" customWidth="1"/>
    <col min="5636" max="5636" width="17.125" style="5" customWidth="1"/>
    <col min="5637" max="5637" width="2" style="5" customWidth="1"/>
    <col min="5638" max="5882" width="9" style="5"/>
    <col min="5883" max="5883" width="2" style="5" customWidth="1"/>
    <col min="5884" max="5885" width="9" style="5" customWidth="1"/>
    <col min="5886" max="5886" width="7.625" style="5" customWidth="1"/>
    <col min="5887" max="5887" width="17.375" style="5" customWidth="1"/>
    <col min="5888" max="5888" width="4.625" style="5" customWidth="1"/>
    <col min="5889" max="5889" width="9" style="5" customWidth="1"/>
    <col min="5890" max="5890" width="9" style="5"/>
    <col min="5891" max="5891" width="6.5" style="5" customWidth="1"/>
    <col min="5892" max="5892" width="17.125" style="5" customWidth="1"/>
    <col min="5893" max="5893" width="2" style="5" customWidth="1"/>
    <col min="5894" max="6138" width="9" style="5"/>
    <col min="6139" max="6139" width="2" style="5" customWidth="1"/>
    <col min="6140" max="6141" width="9" style="5" customWidth="1"/>
    <col min="6142" max="6142" width="7.625" style="5" customWidth="1"/>
    <col min="6143" max="6143" width="17.375" style="5" customWidth="1"/>
    <col min="6144" max="6144" width="4.625" style="5" customWidth="1"/>
    <col min="6145" max="6145" width="9" style="5" customWidth="1"/>
    <col min="6146" max="6146" width="9" style="5"/>
    <col min="6147" max="6147" width="6.5" style="5" customWidth="1"/>
    <col min="6148" max="6148" width="17.125" style="5" customWidth="1"/>
    <col min="6149" max="6149" width="2" style="5" customWidth="1"/>
    <col min="6150" max="6394" width="9" style="5"/>
    <col min="6395" max="6395" width="2" style="5" customWidth="1"/>
    <col min="6396" max="6397" width="9" style="5" customWidth="1"/>
    <col min="6398" max="6398" width="7.625" style="5" customWidth="1"/>
    <col min="6399" max="6399" width="17.375" style="5" customWidth="1"/>
    <col min="6400" max="6400" width="4.625" style="5" customWidth="1"/>
    <col min="6401" max="6401" width="9" style="5" customWidth="1"/>
    <col min="6402" max="6402" width="9" style="5"/>
    <col min="6403" max="6403" width="6.5" style="5" customWidth="1"/>
    <col min="6404" max="6404" width="17.125" style="5" customWidth="1"/>
    <col min="6405" max="6405" width="2" style="5" customWidth="1"/>
    <col min="6406" max="6650" width="9" style="5"/>
    <col min="6651" max="6651" width="2" style="5" customWidth="1"/>
    <col min="6652" max="6653" width="9" style="5" customWidth="1"/>
    <col min="6654" max="6654" width="7.625" style="5" customWidth="1"/>
    <col min="6655" max="6655" width="17.375" style="5" customWidth="1"/>
    <col min="6656" max="6656" width="4.625" style="5" customWidth="1"/>
    <col min="6657" max="6657" width="9" style="5" customWidth="1"/>
    <col min="6658" max="6658" width="9" style="5"/>
    <col min="6659" max="6659" width="6.5" style="5" customWidth="1"/>
    <col min="6660" max="6660" width="17.125" style="5" customWidth="1"/>
    <col min="6661" max="6661" width="2" style="5" customWidth="1"/>
    <col min="6662" max="6906" width="9" style="5"/>
    <col min="6907" max="6907" width="2" style="5" customWidth="1"/>
    <col min="6908" max="6909" width="9" style="5" customWidth="1"/>
    <col min="6910" max="6910" width="7.625" style="5" customWidth="1"/>
    <col min="6911" max="6911" width="17.375" style="5" customWidth="1"/>
    <col min="6912" max="6912" width="4.625" style="5" customWidth="1"/>
    <col min="6913" max="6913" width="9" style="5" customWidth="1"/>
    <col min="6914" max="6914" width="9" style="5"/>
    <col min="6915" max="6915" width="6.5" style="5" customWidth="1"/>
    <col min="6916" max="6916" width="17.125" style="5" customWidth="1"/>
    <col min="6917" max="6917" width="2" style="5" customWidth="1"/>
    <col min="6918" max="7162" width="9" style="5"/>
    <col min="7163" max="7163" width="2" style="5" customWidth="1"/>
    <col min="7164" max="7165" width="9" style="5" customWidth="1"/>
    <col min="7166" max="7166" width="7.625" style="5" customWidth="1"/>
    <col min="7167" max="7167" width="17.375" style="5" customWidth="1"/>
    <col min="7168" max="7168" width="4.625" style="5" customWidth="1"/>
    <col min="7169" max="7169" width="9" style="5" customWidth="1"/>
    <col min="7170" max="7170" width="9" style="5"/>
    <col min="7171" max="7171" width="6.5" style="5" customWidth="1"/>
    <col min="7172" max="7172" width="17.125" style="5" customWidth="1"/>
    <col min="7173" max="7173" width="2" style="5" customWidth="1"/>
    <col min="7174" max="7418" width="9" style="5"/>
    <col min="7419" max="7419" width="2" style="5" customWidth="1"/>
    <col min="7420" max="7421" width="9" style="5" customWidth="1"/>
    <col min="7422" max="7422" width="7.625" style="5" customWidth="1"/>
    <col min="7423" max="7423" width="17.375" style="5" customWidth="1"/>
    <col min="7424" max="7424" width="4.625" style="5" customWidth="1"/>
    <col min="7425" max="7425" width="9" style="5" customWidth="1"/>
    <col min="7426" max="7426" width="9" style="5"/>
    <col min="7427" max="7427" width="6.5" style="5" customWidth="1"/>
    <col min="7428" max="7428" width="17.125" style="5" customWidth="1"/>
    <col min="7429" max="7429" width="2" style="5" customWidth="1"/>
    <col min="7430" max="7674" width="9" style="5"/>
    <col min="7675" max="7675" width="2" style="5" customWidth="1"/>
    <col min="7676" max="7677" width="9" style="5" customWidth="1"/>
    <col min="7678" max="7678" width="7.625" style="5" customWidth="1"/>
    <col min="7679" max="7679" width="17.375" style="5" customWidth="1"/>
    <col min="7680" max="7680" width="4.625" style="5" customWidth="1"/>
    <col min="7681" max="7681" width="9" style="5" customWidth="1"/>
    <col min="7682" max="7682" width="9" style="5"/>
    <col min="7683" max="7683" width="6.5" style="5" customWidth="1"/>
    <col min="7684" max="7684" width="17.125" style="5" customWidth="1"/>
    <col min="7685" max="7685" width="2" style="5" customWidth="1"/>
    <col min="7686" max="7930" width="9" style="5"/>
    <col min="7931" max="7931" width="2" style="5" customWidth="1"/>
    <col min="7932" max="7933" width="9" style="5" customWidth="1"/>
    <col min="7934" max="7934" width="7.625" style="5" customWidth="1"/>
    <col min="7935" max="7935" width="17.375" style="5" customWidth="1"/>
    <col min="7936" max="7936" width="4.625" style="5" customWidth="1"/>
    <col min="7937" max="7937" width="9" style="5" customWidth="1"/>
    <col min="7938" max="7938" width="9" style="5"/>
    <col min="7939" max="7939" width="6.5" style="5" customWidth="1"/>
    <col min="7940" max="7940" width="17.125" style="5" customWidth="1"/>
    <col min="7941" max="7941" width="2" style="5" customWidth="1"/>
    <col min="7942" max="8186" width="9" style="5"/>
    <col min="8187" max="8187" width="2" style="5" customWidth="1"/>
    <col min="8188" max="8189" width="9" style="5" customWidth="1"/>
    <col min="8190" max="8190" width="7.625" style="5" customWidth="1"/>
    <col min="8191" max="8191" width="17.375" style="5" customWidth="1"/>
    <col min="8192" max="8192" width="4.625" style="5" customWidth="1"/>
    <col min="8193" max="8193" width="9" style="5" customWidth="1"/>
    <col min="8194" max="8194" width="9" style="5"/>
    <col min="8195" max="8195" width="6.5" style="5" customWidth="1"/>
    <col min="8196" max="8196" width="17.125" style="5" customWidth="1"/>
    <col min="8197" max="8197" width="2" style="5" customWidth="1"/>
    <col min="8198" max="8442" width="9" style="5"/>
    <col min="8443" max="8443" width="2" style="5" customWidth="1"/>
    <col min="8444" max="8445" width="9" style="5" customWidth="1"/>
    <col min="8446" max="8446" width="7.625" style="5" customWidth="1"/>
    <col min="8447" max="8447" width="17.375" style="5" customWidth="1"/>
    <col min="8448" max="8448" width="4.625" style="5" customWidth="1"/>
    <col min="8449" max="8449" width="9" style="5" customWidth="1"/>
    <col min="8450" max="8450" width="9" style="5"/>
    <col min="8451" max="8451" width="6.5" style="5" customWidth="1"/>
    <col min="8452" max="8452" width="17.125" style="5" customWidth="1"/>
    <col min="8453" max="8453" width="2" style="5" customWidth="1"/>
    <col min="8454" max="8698" width="9" style="5"/>
    <col min="8699" max="8699" width="2" style="5" customWidth="1"/>
    <col min="8700" max="8701" width="9" style="5" customWidth="1"/>
    <col min="8702" max="8702" width="7.625" style="5" customWidth="1"/>
    <col min="8703" max="8703" width="17.375" style="5" customWidth="1"/>
    <col min="8704" max="8704" width="4.625" style="5" customWidth="1"/>
    <col min="8705" max="8705" width="9" style="5" customWidth="1"/>
    <col min="8706" max="8706" width="9" style="5"/>
    <col min="8707" max="8707" width="6.5" style="5" customWidth="1"/>
    <col min="8708" max="8708" width="17.125" style="5" customWidth="1"/>
    <col min="8709" max="8709" width="2" style="5" customWidth="1"/>
    <col min="8710" max="8954" width="9" style="5"/>
    <col min="8955" max="8955" width="2" style="5" customWidth="1"/>
    <col min="8956" max="8957" width="9" style="5" customWidth="1"/>
    <col min="8958" max="8958" width="7.625" style="5" customWidth="1"/>
    <col min="8959" max="8959" width="17.375" style="5" customWidth="1"/>
    <col min="8960" max="8960" width="4.625" style="5" customWidth="1"/>
    <col min="8961" max="8961" width="9" style="5" customWidth="1"/>
    <col min="8962" max="8962" width="9" style="5"/>
    <col min="8963" max="8963" width="6.5" style="5" customWidth="1"/>
    <col min="8964" max="8964" width="17.125" style="5" customWidth="1"/>
    <col min="8965" max="8965" width="2" style="5" customWidth="1"/>
    <col min="8966" max="9210" width="9" style="5"/>
    <col min="9211" max="9211" width="2" style="5" customWidth="1"/>
    <col min="9212" max="9213" width="9" style="5" customWidth="1"/>
    <col min="9214" max="9214" width="7.625" style="5" customWidth="1"/>
    <col min="9215" max="9215" width="17.375" style="5" customWidth="1"/>
    <col min="9216" max="9216" width="4.625" style="5" customWidth="1"/>
    <col min="9217" max="9217" width="9" style="5" customWidth="1"/>
    <col min="9218" max="9218" width="9" style="5"/>
    <col min="9219" max="9219" width="6.5" style="5" customWidth="1"/>
    <col min="9220" max="9220" width="17.125" style="5" customWidth="1"/>
    <col min="9221" max="9221" width="2" style="5" customWidth="1"/>
    <col min="9222" max="9466" width="9" style="5"/>
    <col min="9467" max="9467" width="2" style="5" customWidth="1"/>
    <col min="9468" max="9469" width="9" style="5" customWidth="1"/>
    <col min="9470" max="9470" width="7.625" style="5" customWidth="1"/>
    <col min="9471" max="9471" width="17.375" style="5" customWidth="1"/>
    <col min="9472" max="9472" width="4.625" style="5" customWidth="1"/>
    <col min="9473" max="9473" width="9" style="5" customWidth="1"/>
    <col min="9474" max="9474" width="9" style="5"/>
    <col min="9475" max="9475" width="6.5" style="5" customWidth="1"/>
    <col min="9476" max="9476" width="17.125" style="5" customWidth="1"/>
    <col min="9477" max="9477" width="2" style="5" customWidth="1"/>
    <col min="9478" max="9722" width="9" style="5"/>
    <col min="9723" max="9723" width="2" style="5" customWidth="1"/>
    <col min="9724" max="9725" width="9" style="5" customWidth="1"/>
    <col min="9726" max="9726" width="7.625" style="5" customWidth="1"/>
    <col min="9727" max="9727" width="17.375" style="5" customWidth="1"/>
    <col min="9728" max="9728" width="4.625" style="5" customWidth="1"/>
    <col min="9729" max="9729" width="9" style="5" customWidth="1"/>
    <col min="9730" max="9730" width="9" style="5"/>
    <col min="9731" max="9731" width="6.5" style="5" customWidth="1"/>
    <col min="9732" max="9732" width="17.125" style="5" customWidth="1"/>
    <col min="9733" max="9733" width="2" style="5" customWidth="1"/>
    <col min="9734" max="9978" width="9" style="5"/>
    <col min="9979" max="9979" width="2" style="5" customWidth="1"/>
    <col min="9980" max="9981" width="9" style="5" customWidth="1"/>
    <col min="9982" max="9982" width="7.625" style="5" customWidth="1"/>
    <col min="9983" max="9983" width="17.375" style="5" customWidth="1"/>
    <col min="9984" max="9984" width="4.625" style="5" customWidth="1"/>
    <col min="9985" max="9985" width="9" style="5" customWidth="1"/>
    <col min="9986" max="9986" width="9" style="5"/>
    <col min="9987" max="9987" width="6.5" style="5" customWidth="1"/>
    <col min="9988" max="9988" width="17.125" style="5" customWidth="1"/>
    <col min="9989" max="9989" width="2" style="5" customWidth="1"/>
    <col min="9990" max="10234" width="9" style="5"/>
    <col min="10235" max="10235" width="2" style="5" customWidth="1"/>
    <col min="10236" max="10237" width="9" style="5" customWidth="1"/>
    <col min="10238" max="10238" width="7.625" style="5" customWidth="1"/>
    <col min="10239" max="10239" width="17.375" style="5" customWidth="1"/>
    <col min="10240" max="10240" width="4.625" style="5" customWidth="1"/>
    <col min="10241" max="10241" width="9" style="5" customWidth="1"/>
    <col min="10242" max="10242" width="9" style="5"/>
    <col min="10243" max="10243" width="6.5" style="5" customWidth="1"/>
    <col min="10244" max="10244" width="17.125" style="5" customWidth="1"/>
    <col min="10245" max="10245" width="2" style="5" customWidth="1"/>
    <col min="10246" max="10490" width="9" style="5"/>
    <col min="10491" max="10491" width="2" style="5" customWidth="1"/>
    <col min="10492" max="10493" width="9" style="5" customWidth="1"/>
    <col min="10494" max="10494" width="7.625" style="5" customWidth="1"/>
    <col min="10495" max="10495" width="17.375" style="5" customWidth="1"/>
    <col min="10496" max="10496" width="4.625" style="5" customWidth="1"/>
    <col min="10497" max="10497" width="9" style="5" customWidth="1"/>
    <col min="10498" max="10498" width="9" style="5"/>
    <col min="10499" max="10499" width="6.5" style="5" customWidth="1"/>
    <col min="10500" max="10500" width="17.125" style="5" customWidth="1"/>
    <col min="10501" max="10501" width="2" style="5" customWidth="1"/>
    <col min="10502" max="10746" width="9" style="5"/>
    <col min="10747" max="10747" width="2" style="5" customWidth="1"/>
    <col min="10748" max="10749" width="9" style="5" customWidth="1"/>
    <col min="10750" max="10750" width="7.625" style="5" customWidth="1"/>
    <col min="10751" max="10751" width="17.375" style="5" customWidth="1"/>
    <col min="10752" max="10752" width="4.625" style="5" customWidth="1"/>
    <col min="10753" max="10753" width="9" style="5" customWidth="1"/>
    <col min="10754" max="10754" width="9" style="5"/>
    <col min="10755" max="10755" width="6.5" style="5" customWidth="1"/>
    <col min="10756" max="10756" width="17.125" style="5" customWidth="1"/>
    <col min="10757" max="10757" width="2" style="5" customWidth="1"/>
    <col min="10758" max="11002" width="9" style="5"/>
    <col min="11003" max="11003" width="2" style="5" customWidth="1"/>
    <col min="11004" max="11005" width="9" style="5" customWidth="1"/>
    <col min="11006" max="11006" width="7.625" style="5" customWidth="1"/>
    <col min="11007" max="11007" width="17.375" style="5" customWidth="1"/>
    <col min="11008" max="11008" width="4.625" style="5" customWidth="1"/>
    <col min="11009" max="11009" width="9" style="5" customWidth="1"/>
    <col min="11010" max="11010" width="9" style="5"/>
    <col min="11011" max="11011" width="6.5" style="5" customWidth="1"/>
    <col min="11012" max="11012" width="17.125" style="5" customWidth="1"/>
    <col min="11013" max="11013" width="2" style="5" customWidth="1"/>
    <col min="11014" max="11258" width="9" style="5"/>
    <col min="11259" max="11259" width="2" style="5" customWidth="1"/>
    <col min="11260" max="11261" width="9" style="5" customWidth="1"/>
    <col min="11262" max="11262" width="7.625" style="5" customWidth="1"/>
    <col min="11263" max="11263" width="17.375" style="5" customWidth="1"/>
    <col min="11264" max="11264" width="4.625" style="5" customWidth="1"/>
    <col min="11265" max="11265" width="9" style="5" customWidth="1"/>
    <col min="11266" max="11266" width="9" style="5"/>
    <col min="11267" max="11267" width="6.5" style="5" customWidth="1"/>
    <col min="11268" max="11268" width="17.125" style="5" customWidth="1"/>
    <col min="11269" max="11269" width="2" style="5" customWidth="1"/>
    <col min="11270" max="11514" width="9" style="5"/>
    <col min="11515" max="11515" width="2" style="5" customWidth="1"/>
    <col min="11516" max="11517" width="9" style="5" customWidth="1"/>
    <col min="11518" max="11518" width="7.625" style="5" customWidth="1"/>
    <col min="11519" max="11519" width="17.375" style="5" customWidth="1"/>
    <col min="11520" max="11520" width="4.625" style="5" customWidth="1"/>
    <col min="11521" max="11521" width="9" style="5" customWidth="1"/>
    <col min="11522" max="11522" width="9" style="5"/>
    <col min="11523" max="11523" width="6.5" style="5" customWidth="1"/>
    <col min="11524" max="11524" width="17.125" style="5" customWidth="1"/>
    <col min="11525" max="11525" width="2" style="5" customWidth="1"/>
    <col min="11526" max="11770" width="9" style="5"/>
    <col min="11771" max="11771" width="2" style="5" customWidth="1"/>
    <col min="11772" max="11773" width="9" style="5" customWidth="1"/>
    <col min="11774" max="11774" width="7.625" style="5" customWidth="1"/>
    <col min="11775" max="11775" width="17.375" style="5" customWidth="1"/>
    <col min="11776" max="11776" width="4.625" style="5" customWidth="1"/>
    <col min="11777" max="11777" width="9" style="5" customWidth="1"/>
    <col min="11778" max="11778" width="9" style="5"/>
    <col min="11779" max="11779" width="6.5" style="5" customWidth="1"/>
    <col min="11780" max="11780" width="17.125" style="5" customWidth="1"/>
    <col min="11781" max="11781" width="2" style="5" customWidth="1"/>
    <col min="11782" max="12026" width="9" style="5"/>
    <col min="12027" max="12027" width="2" style="5" customWidth="1"/>
    <col min="12028" max="12029" width="9" style="5" customWidth="1"/>
    <col min="12030" max="12030" width="7.625" style="5" customWidth="1"/>
    <col min="12031" max="12031" width="17.375" style="5" customWidth="1"/>
    <col min="12032" max="12032" width="4.625" style="5" customWidth="1"/>
    <col min="12033" max="12033" width="9" style="5" customWidth="1"/>
    <col min="12034" max="12034" width="9" style="5"/>
    <col min="12035" max="12035" width="6.5" style="5" customWidth="1"/>
    <col min="12036" max="12036" width="17.125" style="5" customWidth="1"/>
    <col min="12037" max="12037" width="2" style="5" customWidth="1"/>
    <col min="12038" max="12282" width="9" style="5"/>
    <col min="12283" max="12283" width="2" style="5" customWidth="1"/>
    <col min="12284" max="12285" width="9" style="5" customWidth="1"/>
    <col min="12286" max="12286" width="7.625" style="5" customWidth="1"/>
    <col min="12287" max="12287" width="17.375" style="5" customWidth="1"/>
    <col min="12288" max="12288" width="4.625" style="5" customWidth="1"/>
    <col min="12289" max="12289" width="9" style="5" customWidth="1"/>
    <col min="12290" max="12290" width="9" style="5"/>
    <col min="12291" max="12291" width="6.5" style="5" customWidth="1"/>
    <col min="12292" max="12292" width="17.125" style="5" customWidth="1"/>
    <col min="12293" max="12293" width="2" style="5" customWidth="1"/>
    <col min="12294" max="12538" width="9" style="5"/>
    <col min="12539" max="12539" width="2" style="5" customWidth="1"/>
    <col min="12540" max="12541" width="9" style="5" customWidth="1"/>
    <col min="12542" max="12542" width="7.625" style="5" customWidth="1"/>
    <col min="12543" max="12543" width="17.375" style="5" customWidth="1"/>
    <col min="12544" max="12544" width="4.625" style="5" customWidth="1"/>
    <col min="12545" max="12545" width="9" style="5" customWidth="1"/>
    <col min="12546" max="12546" width="9" style="5"/>
    <col min="12547" max="12547" width="6.5" style="5" customWidth="1"/>
    <col min="12548" max="12548" width="17.125" style="5" customWidth="1"/>
    <col min="12549" max="12549" width="2" style="5" customWidth="1"/>
    <col min="12550" max="12794" width="9" style="5"/>
    <col min="12795" max="12795" width="2" style="5" customWidth="1"/>
    <col min="12796" max="12797" width="9" style="5" customWidth="1"/>
    <col min="12798" max="12798" width="7.625" style="5" customWidth="1"/>
    <col min="12799" max="12799" width="17.375" style="5" customWidth="1"/>
    <col min="12800" max="12800" width="4.625" style="5" customWidth="1"/>
    <col min="12801" max="12801" width="9" style="5" customWidth="1"/>
    <col min="12802" max="12802" width="9" style="5"/>
    <col min="12803" max="12803" width="6.5" style="5" customWidth="1"/>
    <col min="12804" max="12804" width="17.125" style="5" customWidth="1"/>
    <col min="12805" max="12805" width="2" style="5" customWidth="1"/>
    <col min="12806" max="13050" width="9" style="5"/>
    <col min="13051" max="13051" width="2" style="5" customWidth="1"/>
    <col min="13052" max="13053" width="9" style="5" customWidth="1"/>
    <col min="13054" max="13054" width="7.625" style="5" customWidth="1"/>
    <col min="13055" max="13055" width="17.375" style="5" customWidth="1"/>
    <col min="13056" max="13056" width="4.625" style="5" customWidth="1"/>
    <col min="13057" max="13057" width="9" style="5" customWidth="1"/>
    <col min="13058" max="13058" width="9" style="5"/>
    <col min="13059" max="13059" width="6.5" style="5" customWidth="1"/>
    <col min="13060" max="13060" width="17.125" style="5" customWidth="1"/>
    <col min="13061" max="13061" width="2" style="5" customWidth="1"/>
    <col min="13062" max="13306" width="9" style="5"/>
    <col min="13307" max="13307" width="2" style="5" customWidth="1"/>
    <col min="13308" max="13309" width="9" style="5" customWidth="1"/>
    <col min="13310" max="13310" width="7.625" style="5" customWidth="1"/>
    <col min="13311" max="13311" width="17.375" style="5" customWidth="1"/>
    <col min="13312" max="13312" width="4.625" style="5" customWidth="1"/>
    <col min="13313" max="13313" width="9" style="5" customWidth="1"/>
    <col min="13314" max="13314" width="9" style="5"/>
    <col min="13315" max="13315" width="6.5" style="5" customWidth="1"/>
    <col min="13316" max="13316" width="17.125" style="5" customWidth="1"/>
    <col min="13317" max="13317" width="2" style="5" customWidth="1"/>
    <col min="13318" max="13562" width="9" style="5"/>
    <col min="13563" max="13563" width="2" style="5" customWidth="1"/>
    <col min="13564" max="13565" width="9" style="5" customWidth="1"/>
    <col min="13566" max="13566" width="7.625" style="5" customWidth="1"/>
    <col min="13567" max="13567" width="17.375" style="5" customWidth="1"/>
    <col min="13568" max="13568" width="4.625" style="5" customWidth="1"/>
    <col min="13569" max="13569" width="9" style="5" customWidth="1"/>
    <col min="13570" max="13570" width="9" style="5"/>
    <col min="13571" max="13571" width="6.5" style="5" customWidth="1"/>
    <col min="13572" max="13572" width="17.125" style="5" customWidth="1"/>
    <col min="13573" max="13573" width="2" style="5" customWidth="1"/>
    <col min="13574" max="13818" width="9" style="5"/>
    <col min="13819" max="13819" width="2" style="5" customWidth="1"/>
    <col min="13820" max="13821" width="9" style="5" customWidth="1"/>
    <col min="13822" max="13822" width="7.625" style="5" customWidth="1"/>
    <col min="13823" max="13823" width="17.375" style="5" customWidth="1"/>
    <col min="13824" max="13824" width="4.625" style="5" customWidth="1"/>
    <col min="13825" max="13825" width="9" style="5" customWidth="1"/>
    <col min="13826" max="13826" width="9" style="5"/>
    <col min="13827" max="13827" width="6.5" style="5" customWidth="1"/>
    <col min="13828" max="13828" width="17.125" style="5" customWidth="1"/>
    <col min="13829" max="13829" width="2" style="5" customWidth="1"/>
    <col min="13830" max="14074" width="9" style="5"/>
    <col min="14075" max="14075" width="2" style="5" customWidth="1"/>
    <col min="14076" max="14077" width="9" style="5" customWidth="1"/>
    <col min="14078" max="14078" width="7.625" style="5" customWidth="1"/>
    <col min="14079" max="14079" width="17.375" style="5" customWidth="1"/>
    <col min="14080" max="14080" width="4.625" style="5" customWidth="1"/>
    <col min="14081" max="14081" width="9" style="5" customWidth="1"/>
    <col min="14082" max="14082" width="9" style="5"/>
    <col min="14083" max="14083" width="6.5" style="5" customWidth="1"/>
    <col min="14084" max="14084" width="17.125" style="5" customWidth="1"/>
    <col min="14085" max="14085" width="2" style="5" customWidth="1"/>
    <col min="14086" max="14330" width="9" style="5"/>
    <col min="14331" max="14331" width="2" style="5" customWidth="1"/>
    <col min="14332" max="14333" width="9" style="5" customWidth="1"/>
    <col min="14334" max="14334" width="7.625" style="5" customWidth="1"/>
    <col min="14335" max="14335" width="17.375" style="5" customWidth="1"/>
    <col min="14336" max="14336" width="4.625" style="5" customWidth="1"/>
    <col min="14337" max="14337" width="9" style="5" customWidth="1"/>
    <col min="14338" max="14338" width="9" style="5"/>
    <col min="14339" max="14339" width="6.5" style="5" customWidth="1"/>
    <col min="14340" max="14340" width="17.125" style="5" customWidth="1"/>
    <col min="14341" max="14341" width="2" style="5" customWidth="1"/>
    <col min="14342" max="14586" width="9" style="5"/>
    <col min="14587" max="14587" width="2" style="5" customWidth="1"/>
    <col min="14588" max="14589" width="9" style="5" customWidth="1"/>
    <col min="14590" max="14590" width="7.625" style="5" customWidth="1"/>
    <col min="14591" max="14591" width="17.375" style="5" customWidth="1"/>
    <col min="14592" max="14592" width="4.625" style="5" customWidth="1"/>
    <col min="14593" max="14593" width="9" style="5" customWidth="1"/>
    <col min="14594" max="14594" width="9" style="5"/>
    <col min="14595" max="14595" width="6.5" style="5" customWidth="1"/>
    <col min="14596" max="14596" width="17.125" style="5" customWidth="1"/>
    <col min="14597" max="14597" width="2" style="5" customWidth="1"/>
    <col min="14598" max="14842" width="9" style="5"/>
    <col min="14843" max="14843" width="2" style="5" customWidth="1"/>
    <col min="14844" max="14845" width="9" style="5" customWidth="1"/>
    <col min="14846" max="14846" width="7.625" style="5" customWidth="1"/>
    <col min="14847" max="14847" width="17.375" style="5" customWidth="1"/>
    <col min="14848" max="14848" width="4.625" style="5" customWidth="1"/>
    <col min="14849" max="14849" width="9" style="5" customWidth="1"/>
    <col min="14850" max="14850" width="9" style="5"/>
    <col min="14851" max="14851" width="6.5" style="5" customWidth="1"/>
    <col min="14852" max="14852" width="17.125" style="5" customWidth="1"/>
    <col min="14853" max="14853" width="2" style="5" customWidth="1"/>
    <col min="14854" max="15098" width="9" style="5"/>
    <col min="15099" max="15099" width="2" style="5" customWidth="1"/>
    <col min="15100" max="15101" width="9" style="5" customWidth="1"/>
    <col min="15102" max="15102" width="7.625" style="5" customWidth="1"/>
    <col min="15103" max="15103" width="17.375" style="5" customWidth="1"/>
    <col min="15104" max="15104" width="4.625" style="5" customWidth="1"/>
    <col min="15105" max="15105" width="9" style="5" customWidth="1"/>
    <col min="15106" max="15106" width="9" style="5"/>
    <col min="15107" max="15107" width="6.5" style="5" customWidth="1"/>
    <col min="15108" max="15108" width="17.125" style="5" customWidth="1"/>
    <col min="15109" max="15109" width="2" style="5" customWidth="1"/>
    <col min="15110" max="15354" width="9" style="5"/>
    <col min="15355" max="15355" width="2" style="5" customWidth="1"/>
    <col min="15356" max="15357" width="9" style="5" customWidth="1"/>
    <col min="15358" max="15358" width="7.625" style="5" customWidth="1"/>
    <col min="15359" max="15359" width="17.375" style="5" customWidth="1"/>
    <col min="15360" max="15360" width="4.625" style="5" customWidth="1"/>
    <col min="15361" max="15361" width="9" style="5" customWidth="1"/>
    <col min="15362" max="15362" width="9" style="5"/>
    <col min="15363" max="15363" width="6.5" style="5" customWidth="1"/>
    <col min="15364" max="15364" width="17.125" style="5" customWidth="1"/>
    <col min="15365" max="15365" width="2" style="5" customWidth="1"/>
    <col min="15366" max="15610" width="9" style="5"/>
    <col min="15611" max="15611" width="2" style="5" customWidth="1"/>
    <col min="15612" max="15613" width="9" style="5" customWidth="1"/>
    <col min="15614" max="15614" width="7.625" style="5" customWidth="1"/>
    <col min="15615" max="15615" width="17.375" style="5" customWidth="1"/>
    <col min="15616" max="15616" width="4.625" style="5" customWidth="1"/>
    <col min="15617" max="15617" width="9" style="5" customWidth="1"/>
    <col min="15618" max="15618" width="9" style="5"/>
    <col min="15619" max="15619" width="6.5" style="5" customWidth="1"/>
    <col min="15620" max="15620" width="17.125" style="5" customWidth="1"/>
    <col min="15621" max="15621" width="2" style="5" customWidth="1"/>
    <col min="15622" max="15866" width="9" style="5"/>
    <col min="15867" max="15867" width="2" style="5" customWidth="1"/>
    <col min="15868" max="15869" width="9" style="5" customWidth="1"/>
    <col min="15870" max="15870" width="7.625" style="5" customWidth="1"/>
    <col min="15871" max="15871" width="17.375" style="5" customWidth="1"/>
    <col min="15872" max="15872" width="4.625" style="5" customWidth="1"/>
    <col min="15873" max="15873" width="9" style="5" customWidth="1"/>
    <col min="15874" max="15874" width="9" style="5"/>
    <col min="15875" max="15875" width="6.5" style="5" customWidth="1"/>
    <col min="15876" max="15876" width="17.125" style="5" customWidth="1"/>
    <col min="15877" max="15877" width="2" style="5" customWidth="1"/>
    <col min="15878" max="16122" width="9" style="5"/>
    <col min="16123" max="16123" width="2" style="5" customWidth="1"/>
    <col min="16124" max="16125" width="9" style="5" customWidth="1"/>
    <col min="16126" max="16126" width="7.625" style="5" customWidth="1"/>
    <col min="16127" max="16127" width="17.375" style="5" customWidth="1"/>
    <col min="16128" max="16128" width="4.625" style="5" customWidth="1"/>
    <col min="16129" max="16129" width="9" style="5" customWidth="1"/>
    <col min="16130" max="16130" width="9" style="5"/>
    <col min="16131" max="16131" width="6.5" style="5" customWidth="1"/>
    <col min="16132" max="16132" width="17.125" style="5" customWidth="1"/>
    <col min="16133" max="16133" width="2" style="5" customWidth="1"/>
    <col min="16134" max="16384" width="9" style="5"/>
  </cols>
  <sheetData>
    <row r="1" spans="2:17" ht="9.9499999999999993" customHeight="1"/>
    <row r="2" spans="2:17" ht="35.1" customHeight="1">
      <c r="B2" s="1835" t="s">
        <v>2617</v>
      </c>
      <c r="C2" s="1835"/>
      <c r="D2" s="1835"/>
      <c r="E2" s="1835"/>
      <c r="F2" s="1835"/>
      <c r="G2" s="1835"/>
      <c r="H2" s="1835"/>
      <c r="I2" s="1835"/>
      <c r="J2" s="1835"/>
    </row>
    <row r="3" spans="2:17" ht="21.95" customHeight="1">
      <c r="B3" s="40"/>
      <c r="C3" s="40"/>
      <c r="D3" s="40"/>
      <c r="E3" s="40"/>
      <c r="F3" s="40"/>
      <c r="G3" s="40"/>
      <c r="H3" s="40"/>
      <c r="I3" s="40"/>
      <c r="J3" s="40"/>
    </row>
    <row r="4" spans="2:17" s="10" customFormat="1" ht="21.95" customHeight="1">
      <c r="B4" s="41"/>
      <c r="C4" s="41"/>
      <c r="D4" s="41"/>
      <c r="E4" s="41"/>
      <c r="F4" s="41"/>
      <c r="G4" s="41"/>
      <c r="H4" s="41"/>
      <c r="I4" s="41"/>
      <c r="J4" s="41"/>
      <c r="L4" s="383"/>
      <c r="N4" s="383"/>
      <c r="O4" s="383"/>
      <c r="P4" s="383"/>
      <c r="Q4" s="383"/>
    </row>
    <row r="5" spans="2:17" s="41" customFormat="1" ht="21.95" customHeight="1">
      <c r="B5" s="41" t="s">
        <v>251</v>
      </c>
      <c r="D5" s="93" t="str">
        <f>'1.공사계획서'!B4</f>
        <v xml:space="preserve"> 동해안#1 변환소 전력통신설비 시설공사</v>
      </c>
      <c r="L5" s="384"/>
      <c r="N5" s="384"/>
      <c r="O5" s="384"/>
      <c r="P5" s="384"/>
      <c r="Q5" s="384"/>
    </row>
    <row r="6" spans="2:17" s="41" customFormat="1" ht="21.95" customHeight="1">
      <c r="J6" s="146" t="s">
        <v>3371</v>
      </c>
      <c r="L6" s="384"/>
      <c r="N6" s="384"/>
      <c r="O6" s="384"/>
      <c r="P6" s="384"/>
      <c r="Q6" s="384"/>
    </row>
    <row r="7" spans="2:17" s="41" customFormat="1" ht="21.95" customHeight="1">
      <c r="B7" s="69" t="s">
        <v>1406</v>
      </c>
      <c r="E7" s="151">
        <f>ROUND((E8+E9)*1.1,1)</f>
        <v>1715783458.3</v>
      </c>
      <c r="H7" s="41" t="s">
        <v>62</v>
      </c>
      <c r="I7" s="146" t="s">
        <v>58</v>
      </c>
      <c r="J7" s="41" t="s">
        <v>3372</v>
      </c>
      <c r="L7" s="772"/>
      <c r="N7" s="384"/>
      <c r="O7" s="384"/>
      <c r="P7" s="384"/>
      <c r="Q7" s="384"/>
    </row>
    <row r="8" spans="2:17" s="41" customFormat="1" ht="21.95" customHeight="1">
      <c r="B8" s="69" t="s">
        <v>335</v>
      </c>
      <c r="E8" s="151">
        <f>E15+J15</f>
        <v>1056959053</v>
      </c>
      <c r="H8" s="41" t="s">
        <v>63</v>
      </c>
      <c r="I8" s="146" t="s">
        <v>58</v>
      </c>
      <c r="J8" s="41" t="s">
        <v>3373</v>
      </c>
      <c r="L8" s="772"/>
      <c r="N8" s="384"/>
      <c r="O8" s="384"/>
      <c r="P8" s="384"/>
      <c r="Q8" s="384"/>
    </row>
    <row r="9" spans="2:17" s="41" customFormat="1" ht="21.95" customHeight="1">
      <c r="B9" s="69" t="s">
        <v>336</v>
      </c>
      <c r="E9" s="151">
        <f>E16+E32+J16+J30+J32</f>
        <v>502844090.88</v>
      </c>
      <c r="L9" s="772"/>
      <c r="N9" s="384"/>
      <c r="O9" s="384"/>
      <c r="P9" s="384"/>
      <c r="Q9" s="384"/>
    </row>
    <row r="10" spans="2:17" s="41" customFormat="1" ht="21.95" customHeight="1">
      <c r="B10" s="69" t="s">
        <v>311</v>
      </c>
      <c r="E10" s="141">
        <f>ROUND((E9*10%),0)</f>
        <v>50284409</v>
      </c>
      <c r="L10" s="772"/>
      <c r="N10" s="384"/>
      <c r="O10" s="384"/>
      <c r="P10" s="384"/>
      <c r="Q10" s="384"/>
    </row>
    <row r="11" spans="2:17" s="41" customFormat="1" ht="21.95" customHeight="1">
      <c r="E11" s="42"/>
      <c r="I11" s="43"/>
      <c r="J11" s="42"/>
      <c r="L11" s="384"/>
      <c r="N11" s="384"/>
      <c r="O11" s="384"/>
      <c r="P11" s="384"/>
      <c r="Q11" s="384"/>
    </row>
    <row r="12" spans="2:17" s="41" customFormat="1" ht="21.95" customHeight="1">
      <c r="B12" s="69" t="s">
        <v>303</v>
      </c>
      <c r="E12" s="151">
        <f>E14+E30+J14+J30+J32</f>
        <v>1559803143.8800001</v>
      </c>
      <c r="I12" s="43"/>
      <c r="J12" s="42"/>
      <c r="L12" s="384"/>
      <c r="N12" s="384"/>
      <c r="O12" s="384"/>
      <c r="P12" s="384"/>
      <c r="Q12" s="384"/>
    </row>
    <row r="13" spans="2:17" s="41" customFormat="1" ht="21.95" customHeight="1">
      <c r="I13" s="43"/>
      <c r="J13" s="42"/>
      <c r="L13" s="384"/>
      <c r="N13" s="384"/>
      <c r="O13" s="384"/>
      <c r="P13" s="384"/>
      <c r="Q13" s="384"/>
    </row>
    <row r="14" spans="2:17" s="41" customFormat="1" ht="21.95" customHeight="1">
      <c r="B14" s="69" t="s">
        <v>64</v>
      </c>
      <c r="E14" s="151">
        <f>E15+E16</f>
        <v>1125295538.8800001</v>
      </c>
      <c r="G14" s="69" t="s">
        <v>80</v>
      </c>
      <c r="I14" s="43"/>
      <c r="J14" s="151">
        <f>J16+J15</f>
        <v>73421721</v>
      </c>
      <c r="L14" s="384"/>
      <c r="N14" s="384"/>
      <c r="O14" s="384"/>
      <c r="P14" s="384"/>
      <c r="Q14" s="384"/>
    </row>
    <row r="15" spans="2:17" s="41" customFormat="1" ht="21.95" customHeight="1">
      <c r="C15" s="41" t="s">
        <v>65</v>
      </c>
      <c r="E15" s="141">
        <f>E18+E21</f>
        <v>1056959053</v>
      </c>
      <c r="H15" s="41" t="s">
        <v>65</v>
      </c>
      <c r="I15" s="43"/>
      <c r="J15" s="141">
        <f>'7.설계명세서'!G560</f>
        <v>0</v>
      </c>
      <c r="L15" s="384"/>
      <c r="N15" s="384"/>
      <c r="O15" s="384"/>
      <c r="P15" s="384"/>
      <c r="Q15" s="384"/>
    </row>
    <row r="16" spans="2:17" s="41" customFormat="1" ht="21.95" customHeight="1">
      <c r="C16" s="41" t="s">
        <v>66</v>
      </c>
      <c r="E16" s="141">
        <f>E27+E28</f>
        <v>68336485.879999995</v>
      </c>
      <c r="H16" s="41" t="s">
        <v>66</v>
      </c>
      <c r="I16" s="43"/>
      <c r="J16" s="144">
        <f>SUM(J18:J28)</f>
        <v>73421721</v>
      </c>
      <c r="L16" s="771"/>
      <c r="N16" s="384"/>
      <c r="O16" s="384"/>
      <c r="P16" s="384"/>
      <c r="Q16" s="384"/>
    </row>
    <row r="17" spans="2:17" s="41" customFormat="1" ht="21.95" customHeight="1">
      <c r="E17" s="141"/>
      <c r="I17" s="43"/>
      <c r="J17" s="43"/>
      <c r="L17" s="384"/>
      <c r="N17" s="384"/>
      <c r="O17" s="384"/>
      <c r="P17" s="384"/>
      <c r="Q17" s="384"/>
    </row>
    <row r="18" spans="2:17" s="41" customFormat="1" ht="21.95" customHeight="1">
      <c r="B18" s="41" t="s">
        <v>67</v>
      </c>
      <c r="E18" s="141">
        <f>E19+E20</f>
        <v>0</v>
      </c>
      <c r="G18" s="41" t="s">
        <v>3351</v>
      </c>
      <c r="I18" s="44"/>
      <c r="J18" s="145">
        <f>'7.설계명세서'!G563</f>
        <v>2900000</v>
      </c>
      <c r="L18" s="384"/>
      <c r="N18" s="384"/>
      <c r="O18" s="384"/>
      <c r="P18" s="384"/>
      <c r="Q18" s="384"/>
    </row>
    <row r="19" spans="2:17" s="41" customFormat="1" ht="21.95" customHeight="1">
      <c r="B19" s="41" t="s">
        <v>68</v>
      </c>
      <c r="C19" s="41" t="s">
        <v>69</v>
      </c>
      <c r="E19" s="141">
        <v>0</v>
      </c>
      <c r="G19" s="41" t="s">
        <v>234</v>
      </c>
      <c r="I19" s="45"/>
      <c r="J19" s="141">
        <f>'7.설계명세서'!$G564</f>
        <v>6585831</v>
      </c>
      <c r="L19" s="384"/>
      <c r="N19" s="384"/>
      <c r="O19" s="384"/>
      <c r="P19" s="384"/>
      <c r="Q19" s="384"/>
    </row>
    <row r="20" spans="2:17" s="41" customFormat="1" ht="21.95" customHeight="1">
      <c r="C20" s="41" t="s">
        <v>70</v>
      </c>
      <c r="E20" s="141">
        <v>0</v>
      </c>
      <c r="G20" s="41" t="s">
        <v>235</v>
      </c>
      <c r="I20" s="45"/>
      <c r="J20" s="141">
        <f>'7.설계명세서'!$G565</f>
        <v>10015138</v>
      </c>
      <c r="L20" s="384"/>
      <c r="N20" s="384"/>
      <c r="O20" s="384"/>
      <c r="P20" s="384"/>
      <c r="Q20" s="384"/>
    </row>
    <row r="21" spans="2:17" s="41" customFormat="1" ht="21.95" customHeight="1">
      <c r="B21" s="41" t="s">
        <v>71</v>
      </c>
      <c r="E21" s="141">
        <f>E22+E23+E24</f>
        <v>1056959053</v>
      </c>
      <c r="G21" s="41" t="s">
        <v>236</v>
      </c>
      <c r="I21" s="43"/>
      <c r="J21" s="141">
        <f>'7.설계명세서'!$G566</f>
        <v>2789655</v>
      </c>
      <c r="L21" s="384"/>
      <c r="N21" s="384"/>
      <c r="O21" s="384"/>
      <c r="P21" s="384"/>
      <c r="Q21" s="384"/>
    </row>
    <row r="22" spans="2:17" s="41" customFormat="1" ht="21.95" customHeight="1">
      <c r="C22" s="41" t="s">
        <v>72</v>
      </c>
      <c r="E22" s="141"/>
      <c r="G22" s="41" t="s">
        <v>237</v>
      </c>
      <c r="I22" s="43"/>
      <c r="J22" s="141">
        <f>'7.설계명세서'!$G567</f>
        <v>9649656</v>
      </c>
      <c r="L22" s="384"/>
      <c r="N22" s="384"/>
      <c r="O22" s="384"/>
      <c r="P22" s="384"/>
      <c r="Q22" s="384"/>
    </row>
    <row r="23" spans="2:17" s="41" customFormat="1" ht="21.95" customHeight="1">
      <c r="C23" s="41" t="s">
        <v>73</v>
      </c>
      <c r="E23" s="141">
        <f>'7.설계명세서'!$G6</f>
        <v>1056959053</v>
      </c>
      <c r="G23" s="41" t="s">
        <v>238</v>
      </c>
      <c r="I23" s="43"/>
      <c r="J23" s="141">
        <f>'7.설계명세서'!$G568</f>
        <v>12249211</v>
      </c>
      <c r="L23" s="384"/>
      <c r="N23" s="384"/>
      <c r="O23" s="384"/>
      <c r="P23" s="384"/>
      <c r="Q23" s="384"/>
    </row>
    <row r="24" spans="2:17" s="41" customFormat="1" ht="21.95" customHeight="1">
      <c r="C24" s="41" t="s">
        <v>74</v>
      </c>
      <c r="E24" s="142"/>
      <c r="G24" s="41" t="s">
        <v>239</v>
      </c>
      <c r="I24" s="43"/>
      <c r="J24" s="141">
        <f>'7.설계명세서'!$G569</f>
        <v>1249630</v>
      </c>
      <c r="L24" s="384"/>
      <c r="N24" s="384"/>
      <c r="O24" s="384"/>
      <c r="P24" s="384"/>
      <c r="Q24" s="384"/>
    </row>
    <row r="25" spans="2:17" s="41" customFormat="1" ht="21.95" customHeight="1">
      <c r="B25" s="41" t="s">
        <v>75</v>
      </c>
      <c r="E25" s="142"/>
      <c r="G25" s="41" t="s">
        <v>240</v>
      </c>
      <c r="I25" s="43"/>
      <c r="J25" s="141">
        <f>'7.설계명세서'!$G570</f>
        <v>5504922</v>
      </c>
      <c r="L25" s="384"/>
      <c r="N25" s="384"/>
      <c r="O25" s="384"/>
      <c r="P25" s="384"/>
      <c r="Q25" s="384"/>
    </row>
    <row r="26" spans="2:17" s="41" customFormat="1" ht="21.95" customHeight="1">
      <c r="B26" s="41" t="s">
        <v>76</v>
      </c>
      <c r="E26" s="142"/>
      <c r="G26" s="41" t="s">
        <v>241</v>
      </c>
      <c r="I26" s="43"/>
      <c r="J26" s="141">
        <f>'7.설계명세서'!$G571</f>
        <v>8696079</v>
      </c>
      <c r="L26" s="384"/>
      <c r="N26" s="384"/>
      <c r="O26" s="384"/>
      <c r="P26" s="384"/>
      <c r="Q26" s="384"/>
    </row>
    <row r="27" spans="2:17" s="41" customFormat="1" ht="21.95" customHeight="1">
      <c r="B27" s="41" t="s">
        <v>77</v>
      </c>
      <c r="E27" s="141">
        <f>'7.설계명세서'!$G111</f>
        <v>68336485.879999995</v>
      </c>
      <c r="G27" s="41" t="s">
        <v>3359</v>
      </c>
      <c r="I27" s="43"/>
      <c r="J27" s="141">
        <f>'7.설계명세서'!G574</f>
        <v>13781599</v>
      </c>
      <c r="L27" s="384"/>
      <c r="N27" s="384"/>
      <c r="O27" s="384"/>
      <c r="P27" s="384"/>
      <c r="Q27" s="384"/>
    </row>
    <row r="28" spans="2:17" s="41" customFormat="1" ht="21.95" customHeight="1">
      <c r="B28" s="41" t="s">
        <v>78</v>
      </c>
      <c r="E28" s="141"/>
      <c r="I28" s="43"/>
      <c r="J28" s="141"/>
      <c r="K28" s="47"/>
      <c r="L28" s="384"/>
      <c r="N28" s="384"/>
      <c r="O28" s="384"/>
      <c r="P28" s="384"/>
      <c r="Q28" s="384"/>
    </row>
    <row r="29" spans="2:17" s="41" customFormat="1" ht="21.95" customHeight="1">
      <c r="E29" s="147"/>
      <c r="I29" s="43"/>
      <c r="J29" s="135"/>
      <c r="L29" s="384"/>
      <c r="N29" s="384"/>
      <c r="O29" s="384"/>
      <c r="P29" s="384"/>
      <c r="Q29" s="384"/>
    </row>
    <row r="30" spans="2:17" s="41" customFormat="1" ht="21.95" customHeight="1">
      <c r="B30" s="69" t="s">
        <v>79</v>
      </c>
      <c r="E30" s="151">
        <f>SUM(E31:E32)</f>
        <v>276203502</v>
      </c>
      <c r="G30" s="69" t="s">
        <v>304</v>
      </c>
      <c r="I30" s="43"/>
      <c r="J30" s="152">
        <f>'7.설계명세서'!$G577</f>
        <v>33436936</v>
      </c>
      <c r="L30" s="384"/>
      <c r="N30" s="384"/>
      <c r="O30" s="384"/>
      <c r="P30" s="384"/>
      <c r="Q30" s="384"/>
    </row>
    <row r="31" spans="2:17" s="41" customFormat="1" ht="21.95" customHeight="1">
      <c r="B31" s="41" t="s">
        <v>68</v>
      </c>
      <c r="C31" s="41" t="s">
        <v>65</v>
      </c>
      <c r="E31" s="143"/>
      <c r="I31" s="43"/>
      <c r="J31" s="43"/>
      <c r="L31" s="384"/>
      <c r="N31" s="384"/>
      <c r="O31" s="384"/>
      <c r="P31" s="384"/>
      <c r="Q31" s="384"/>
    </row>
    <row r="32" spans="2:17" s="41" customFormat="1" ht="21.95" customHeight="1">
      <c r="C32" s="41" t="s">
        <v>66</v>
      </c>
      <c r="E32" s="141">
        <f>SUM(E34:E35)</f>
        <v>276203502</v>
      </c>
      <c r="G32" s="69" t="s">
        <v>305</v>
      </c>
      <c r="I32" s="43"/>
      <c r="J32" s="152">
        <f>'7.설계명세서'!$G580</f>
        <v>51445446</v>
      </c>
      <c r="L32" s="384"/>
      <c r="N32" s="384"/>
      <c r="O32" s="384"/>
      <c r="P32" s="384"/>
      <c r="Q32" s="384"/>
    </row>
    <row r="33" spans="2:17" s="41" customFormat="1" ht="21.95" customHeight="1">
      <c r="G33" s="48"/>
      <c r="I33" s="43"/>
      <c r="J33" s="43"/>
      <c r="L33" s="384"/>
      <c r="N33" s="384"/>
      <c r="O33" s="384"/>
      <c r="P33" s="384"/>
      <c r="Q33" s="384"/>
    </row>
    <row r="34" spans="2:17" s="41" customFormat="1" ht="21.95" customHeight="1">
      <c r="B34" s="41" t="s">
        <v>252</v>
      </c>
      <c r="E34" s="141">
        <f>'7.설계명세서'!G318</f>
        <v>239344456</v>
      </c>
      <c r="G34" s="48"/>
      <c r="I34" s="43"/>
      <c r="J34" s="43"/>
      <c r="L34" s="384"/>
      <c r="N34" s="384"/>
      <c r="O34" s="384"/>
      <c r="P34" s="384"/>
      <c r="Q34" s="384"/>
    </row>
    <row r="35" spans="2:17" s="41" customFormat="1" ht="21.95" customHeight="1">
      <c r="B35" s="41" t="s">
        <v>253</v>
      </c>
      <c r="E35" s="141">
        <f>'7.설계명세서'!G556</f>
        <v>36859046</v>
      </c>
      <c r="I35" s="43"/>
      <c r="J35" s="43"/>
      <c r="L35" s="384"/>
      <c r="N35" s="384"/>
      <c r="O35" s="384"/>
      <c r="P35" s="384"/>
      <c r="Q35" s="384"/>
    </row>
    <row r="36" spans="2:17" s="41" customFormat="1" ht="21.95" customHeight="1">
      <c r="E36" s="46"/>
      <c r="J36" s="42"/>
      <c r="L36" s="384"/>
      <c r="N36" s="384"/>
      <c r="O36" s="384"/>
      <c r="P36" s="384"/>
      <c r="Q36" s="384"/>
    </row>
    <row r="37" spans="2:17" ht="21.95" customHeight="1">
      <c r="B37" s="40"/>
      <c r="C37" s="40"/>
      <c r="D37" s="40"/>
      <c r="E37" s="49"/>
      <c r="F37" s="40"/>
      <c r="G37" s="40"/>
      <c r="H37" s="40"/>
      <c r="I37" s="40"/>
      <c r="J37" s="40"/>
    </row>
  </sheetData>
  <mergeCells count="1">
    <mergeCell ref="B2:J2"/>
  </mergeCells>
  <phoneticPr fontId="6" type="noConversion"/>
  <printOptions horizontalCentered="1"/>
  <pageMargins left="0.39370078740157483" right="0.39370078740157483" top="0.78740157480314965" bottom="0.39370078740157483" header="0.31496062992125984" footer="0.31496062992125984"/>
  <pageSetup paperSize="9" scale="94"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pageSetUpPr fitToPage="1"/>
  </sheetPr>
  <dimension ref="A1:U43"/>
  <sheetViews>
    <sheetView view="pageBreakPreview" zoomScale="80" zoomScaleNormal="85" zoomScaleSheetLayoutView="80" workbookViewId="0">
      <pane xSplit="5" ySplit="5" topLeftCell="F9" activePane="bottomRight" state="frozen"/>
      <selection activeCell="K15" sqref="K15"/>
      <selection pane="topRight" activeCell="K15" sqref="K15"/>
      <selection pane="bottomLeft" activeCell="K15" sqref="K15"/>
      <selection pane="bottomRight" activeCell="J24" sqref="J24"/>
    </sheetView>
  </sheetViews>
  <sheetFormatPr defaultColWidth="9" defaultRowHeight="14.25"/>
  <cols>
    <col min="1" max="1" width="9.375" style="181" customWidth="1"/>
    <col min="2" max="2" width="22.25" style="181" customWidth="1"/>
    <col min="3" max="3" width="27" style="181" customWidth="1"/>
    <col min="4" max="4" width="7.875" style="181" bestFit="1" customWidth="1"/>
    <col min="5" max="5" width="19.875" style="181" hidden="1" customWidth="1"/>
    <col min="6" max="11" width="19.875" style="181" customWidth="1"/>
    <col min="12" max="12" width="10.625" style="181" bestFit="1" customWidth="1"/>
    <col min="13" max="13" width="21.25" style="181" customWidth="1"/>
    <col min="14" max="14" width="15" style="181" customWidth="1"/>
    <col min="15" max="15" width="9" style="181"/>
    <col min="16" max="17" width="19" style="181" bestFit="1" customWidth="1"/>
    <col min="18" max="18" width="9" style="181"/>
    <col min="19" max="20" width="15.75" style="181" customWidth="1"/>
    <col min="21" max="21" width="14.5" style="181" bestFit="1" customWidth="1"/>
    <col min="22" max="16384" width="9" style="181"/>
  </cols>
  <sheetData>
    <row r="1" spans="1:17" ht="33.75">
      <c r="A1" s="193" t="s">
        <v>2416</v>
      </c>
      <c r="B1" s="180"/>
      <c r="C1" s="180"/>
      <c r="D1" s="180"/>
      <c r="E1" s="180"/>
      <c r="F1" s="180"/>
      <c r="G1" s="180"/>
      <c r="H1" s="180"/>
      <c r="I1" s="180"/>
      <c r="J1" s="180"/>
      <c r="K1" s="180"/>
      <c r="L1" s="180"/>
    </row>
    <row r="2" spans="1:17" ht="31.5" customHeight="1" thickBot="1">
      <c r="A2" s="181" t="str">
        <f>'3.공사비총괄표'!A4</f>
        <v>공사명 : 동해안#1 변환소 전력통신설비 시설공사</v>
      </c>
    </row>
    <row r="3" spans="1:17" ht="32.25" customHeight="1" thickBot="1">
      <c r="A3" s="1839" t="s">
        <v>393</v>
      </c>
      <c r="B3" s="1840"/>
      <c r="C3" s="1843" t="s">
        <v>394</v>
      </c>
      <c r="D3" s="1845" t="s">
        <v>395</v>
      </c>
      <c r="E3" s="307"/>
      <c r="F3" s="308" t="s">
        <v>1125</v>
      </c>
      <c r="G3" s="308"/>
      <c r="H3" s="308"/>
      <c r="I3" s="308"/>
      <c r="J3" s="308"/>
      <c r="K3" s="309"/>
      <c r="L3" s="1847" t="s">
        <v>39</v>
      </c>
    </row>
    <row r="4" spans="1:17" ht="33.75" customHeight="1">
      <c r="A4" s="1841"/>
      <c r="B4" s="1842"/>
      <c r="C4" s="1844"/>
      <c r="D4" s="1846"/>
      <c r="E4" s="1855" t="s">
        <v>396</v>
      </c>
      <c r="F4" s="1853" t="s">
        <v>1077</v>
      </c>
      <c r="G4" s="1843" t="s">
        <v>780</v>
      </c>
      <c r="H4" s="1843" t="s">
        <v>1147</v>
      </c>
      <c r="I4" s="1845" t="s">
        <v>781</v>
      </c>
      <c r="J4" s="1859" t="s">
        <v>2401</v>
      </c>
      <c r="K4" s="1849" t="s">
        <v>397</v>
      </c>
      <c r="L4" s="1848"/>
    </row>
    <row r="5" spans="1:17" ht="33.75" customHeight="1" thickBot="1">
      <c r="A5" s="1841"/>
      <c r="B5" s="1842"/>
      <c r="C5" s="1844"/>
      <c r="D5" s="1846"/>
      <c r="E5" s="1856"/>
      <c r="F5" s="1854"/>
      <c r="G5" s="1858"/>
      <c r="H5" s="1858"/>
      <c r="I5" s="1857"/>
      <c r="J5" s="1860"/>
      <c r="K5" s="1850"/>
      <c r="L5" s="1848"/>
    </row>
    <row r="6" spans="1:17" ht="25.5" customHeight="1">
      <c r="A6" s="1851" t="s">
        <v>398</v>
      </c>
      <c r="B6" s="190" t="s">
        <v>399</v>
      </c>
      <c r="C6" s="191"/>
      <c r="D6" s="324"/>
      <c r="E6" s="188"/>
      <c r="F6" s="253">
        <f>'7.설계명세서'!G8</f>
        <v>320731684</v>
      </c>
      <c r="G6" s="321">
        <f>'7.설계명세서'!G31</f>
        <v>80375673</v>
      </c>
      <c r="H6" s="254">
        <f>'7.설계명세서'!G45</f>
        <v>13899124</v>
      </c>
      <c r="I6" s="254">
        <f>'7.설계명세서'!G52</f>
        <v>14215014</v>
      </c>
      <c r="J6" s="1260">
        <f>'7.설계명세서'!G57</f>
        <v>627737558</v>
      </c>
      <c r="K6" s="189">
        <f>SUM(E6:J6)</f>
        <v>1056959053</v>
      </c>
      <c r="L6" s="192"/>
      <c r="M6" s="182">
        <f>'7.설계명세서'!G6</f>
        <v>1056959053</v>
      </c>
      <c r="N6" s="182"/>
      <c r="P6" s="182"/>
      <c r="Q6" s="182"/>
    </row>
    <row r="7" spans="1:17" ht="25.5" customHeight="1">
      <c r="A7" s="1852"/>
      <c r="B7" s="288" t="s">
        <v>400</v>
      </c>
      <c r="C7" s="289"/>
      <c r="D7" s="325"/>
      <c r="E7" s="285"/>
      <c r="F7" s="286">
        <f>'7.설계명세서'!G113</f>
        <v>1792930</v>
      </c>
      <c r="G7" s="322">
        <f>'7.설계명세서'!G176</f>
        <v>16306791</v>
      </c>
      <c r="H7" s="286">
        <f>'7.설계명세서'!G195</f>
        <v>1788725</v>
      </c>
      <c r="I7" s="286">
        <f>'7.설계명세서'!G229</f>
        <v>1204261</v>
      </c>
      <c r="J7" s="1261">
        <f>'7.설계명세서'!G249</f>
        <v>47243778.880000003</v>
      </c>
      <c r="K7" s="290">
        <f>SUM(E7:J7)</f>
        <v>68336485.879999995</v>
      </c>
      <c r="L7" s="291"/>
      <c r="M7" s="182">
        <f>'7.설계명세서'!G111</f>
        <v>68336485.879999995</v>
      </c>
      <c r="N7" s="182"/>
      <c r="P7" s="182"/>
      <c r="Q7" s="182"/>
    </row>
    <row r="8" spans="1:17" s="183" customFormat="1" ht="25.5" customHeight="1">
      <c r="A8" s="1852"/>
      <c r="B8" s="292" t="s">
        <v>420</v>
      </c>
      <c r="C8" s="293"/>
      <c r="D8" s="326"/>
      <c r="E8" s="287"/>
      <c r="F8" s="287">
        <f t="shared" ref="F8:J8" si="0">SUM(F6:F7)</f>
        <v>322524614</v>
      </c>
      <c r="G8" s="287">
        <f t="shared" si="0"/>
        <v>96682464</v>
      </c>
      <c r="H8" s="287">
        <f t="shared" si="0"/>
        <v>15687849</v>
      </c>
      <c r="I8" s="287">
        <f t="shared" si="0"/>
        <v>15419275</v>
      </c>
      <c r="J8" s="287">
        <f t="shared" si="0"/>
        <v>674981336.88</v>
      </c>
      <c r="K8" s="294">
        <f>SUM(E8:J8)</f>
        <v>1125295538.8800001</v>
      </c>
      <c r="L8" s="295"/>
      <c r="M8" s="646">
        <f>'7.설계명세서'!G5</f>
        <v>1125295538.8800001</v>
      </c>
      <c r="N8" s="182"/>
      <c r="P8" s="646"/>
      <c r="Q8" s="646"/>
    </row>
    <row r="9" spans="1:17" ht="25.5" customHeight="1">
      <c r="A9" s="1852" t="s">
        <v>401</v>
      </c>
      <c r="B9" s="288" t="s">
        <v>402</v>
      </c>
      <c r="C9" s="296"/>
      <c r="D9" s="325"/>
      <c r="E9" s="286"/>
      <c r="F9" s="286">
        <f>'7.설계명세서'!G341</f>
        <v>18783666</v>
      </c>
      <c r="G9" s="322">
        <f>'7.설계명세서'!G393</f>
        <v>27254707</v>
      </c>
      <c r="H9" s="286">
        <f>'7.설계명세서'!G414</f>
        <v>2616844</v>
      </c>
      <c r="I9" s="286">
        <f>'7.설계명세서'!G444</f>
        <v>2869166</v>
      </c>
      <c r="J9" s="1261">
        <f>'7.설계명세서'!G461</f>
        <v>187820073</v>
      </c>
      <c r="K9" s="290">
        <f>SUM(E9:J9)</f>
        <v>239344456</v>
      </c>
      <c r="L9" s="291"/>
      <c r="M9" s="182">
        <f>'7.설계명세서'!G318</f>
        <v>239344456</v>
      </c>
      <c r="N9" s="182"/>
      <c r="P9" s="182"/>
      <c r="Q9" s="182"/>
    </row>
    <row r="10" spans="1:17" ht="25.5" customHeight="1">
      <c r="A10" s="1852"/>
      <c r="B10" s="288" t="s">
        <v>403</v>
      </c>
      <c r="C10" s="296" t="str">
        <f>'7.설계명세서'!B557</f>
        <v>간접노무비(직접노무비 * 요율)</v>
      </c>
      <c r="D10" s="748">
        <f>'7.설계명세서'!E557</f>
        <v>0.154</v>
      </c>
      <c r="E10" s="286"/>
      <c r="F10" s="286">
        <f t="shared" ref="F10:J10" si="1">INT(F9*$D$10)</f>
        <v>2892684</v>
      </c>
      <c r="G10" s="286">
        <f t="shared" si="1"/>
        <v>4197224</v>
      </c>
      <c r="H10" s="286">
        <f t="shared" si="1"/>
        <v>402993</v>
      </c>
      <c r="I10" s="286">
        <f t="shared" si="1"/>
        <v>441851</v>
      </c>
      <c r="J10" s="286">
        <f t="shared" si="1"/>
        <v>28924291</v>
      </c>
      <c r="K10" s="290">
        <f t="shared" ref="K10:K27" si="2">SUM(E10:J10)</f>
        <v>36859043</v>
      </c>
      <c r="L10" s="291"/>
      <c r="M10" s="182">
        <f>'7.설계명세서'!G556</f>
        <v>36859046</v>
      </c>
      <c r="N10" s="182"/>
      <c r="P10" s="182"/>
      <c r="Q10" s="182"/>
    </row>
    <row r="11" spans="1:17" s="183" customFormat="1" ht="25.5" customHeight="1">
      <c r="A11" s="1852"/>
      <c r="B11" s="292" t="s">
        <v>420</v>
      </c>
      <c r="C11" s="297"/>
      <c r="D11" s="326"/>
      <c r="E11" s="287"/>
      <c r="F11" s="287">
        <f t="shared" ref="F11:J11" si="3">SUM(F9:F10)</f>
        <v>21676350</v>
      </c>
      <c r="G11" s="287">
        <f t="shared" si="3"/>
        <v>31451931</v>
      </c>
      <c r="H11" s="287">
        <f t="shared" si="3"/>
        <v>3019837</v>
      </c>
      <c r="I11" s="287">
        <f t="shared" si="3"/>
        <v>3311017</v>
      </c>
      <c r="J11" s="287">
        <f t="shared" si="3"/>
        <v>216744364</v>
      </c>
      <c r="K11" s="294">
        <f>SUM(K9:K10)</f>
        <v>276203499</v>
      </c>
      <c r="L11" s="295"/>
      <c r="M11" s="646">
        <f>'7.설계명세서'!G317</f>
        <v>276203502</v>
      </c>
      <c r="N11" s="646"/>
      <c r="P11" s="646"/>
      <c r="Q11" s="646"/>
    </row>
    <row r="12" spans="1:17" ht="25.5" customHeight="1">
      <c r="A12" s="1836" t="s">
        <v>404</v>
      </c>
      <c r="B12" s="289" t="s">
        <v>405</v>
      </c>
      <c r="C12" s="296" t="s">
        <v>406</v>
      </c>
      <c r="D12" s="749">
        <f>'7.설계명세서'!E564</f>
        <v>0.03</v>
      </c>
      <c r="E12" s="286"/>
      <c r="F12" s="286">
        <f>INT((F9-1569606)*$D$12)</f>
        <v>516421</v>
      </c>
      <c r="G12" s="286">
        <f>INT((G9-164016)*$D$12)</f>
        <v>812720</v>
      </c>
      <c r="H12" s="286">
        <f>INT((H9-309732)*$D$12)</f>
        <v>69213</v>
      </c>
      <c r="I12" s="286">
        <f>INT((I9-352446)*$D$12)</f>
        <v>75501</v>
      </c>
      <c r="J12" s="286">
        <f>INT((J9-20182697)*$D$12)+'7.설계명세서'!G563</f>
        <v>7929121</v>
      </c>
      <c r="K12" s="290">
        <f t="shared" si="2"/>
        <v>9402976</v>
      </c>
      <c r="L12" s="291"/>
      <c r="M12" s="182">
        <f>'7.설계명세서'!G564</f>
        <v>6585831</v>
      </c>
      <c r="N12" s="182"/>
      <c r="P12" s="182"/>
      <c r="Q12" s="182"/>
    </row>
    <row r="13" spans="1:17" ht="25.5" customHeight="1">
      <c r="A13" s="1837"/>
      <c r="B13" s="289" t="s">
        <v>407</v>
      </c>
      <c r="C13" s="296" t="s">
        <v>1455</v>
      </c>
      <c r="D13" s="750">
        <f>'7.설계명세서'!E565</f>
        <v>3.6260000000000001E-2</v>
      </c>
      <c r="E13" s="286"/>
      <c r="F13" s="286">
        <f>INT($D$13*F11)</f>
        <v>785984</v>
      </c>
      <c r="G13" s="286">
        <f>INT($D$13*G11)</f>
        <v>1140447</v>
      </c>
      <c r="H13" s="286">
        <f>INT($D$13*H11)</f>
        <v>109499</v>
      </c>
      <c r="I13" s="286">
        <f>INT($D$13*I11)</f>
        <v>120057</v>
      </c>
      <c r="J13" s="286">
        <f>INT($D$13*J11)</f>
        <v>7859150</v>
      </c>
      <c r="K13" s="290">
        <f t="shared" si="2"/>
        <v>10015137</v>
      </c>
      <c r="L13" s="291"/>
      <c r="M13" s="182">
        <f>'7.설계명세서'!G565</f>
        <v>10015138</v>
      </c>
      <c r="N13" s="182"/>
      <c r="P13" s="182"/>
      <c r="Q13" s="182"/>
    </row>
    <row r="14" spans="1:17" ht="25.5" customHeight="1">
      <c r="A14" s="1837"/>
      <c r="B14" s="289" t="s">
        <v>411</v>
      </c>
      <c r="C14" s="296" t="s">
        <v>1529</v>
      </c>
      <c r="D14" s="751">
        <f>'7.설계명세서'!E566</f>
        <v>1.01E-2</v>
      </c>
      <c r="E14" s="286"/>
      <c r="F14" s="286">
        <f>INT($D$14*F11)</f>
        <v>218931</v>
      </c>
      <c r="G14" s="286">
        <f>INT($D$14*G11)</f>
        <v>317664</v>
      </c>
      <c r="H14" s="286">
        <f>INT($D$14*H11)</f>
        <v>30500</v>
      </c>
      <c r="I14" s="286">
        <f>INT($D$14*I11)</f>
        <v>33441</v>
      </c>
      <c r="J14" s="286">
        <f>INT($D$14*J11)</f>
        <v>2189118</v>
      </c>
      <c r="K14" s="290">
        <f t="shared" si="2"/>
        <v>2789654</v>
      </c>
      <c r="L14" s="291"/>
      <c r="M14" s="182">
        <f>'7.설계명세서'!G566</f>
        <v>2789655</v>
      </c>
      <c r="N14" s="182"/>
      <c r="P14" s="182"/>
      <c r="Q14" s="182"/>
    </row>
    <row r="15" spans="1:17" ht="25.5" customHeight="1">
      <c r="A15" s="1837"/>
      <c r="B15" s="289" t="s">
        <v>408</v>
      </c>
      <c r="C15" s="296" t="s">
        <v>3376</v>
      </c>
      <c r="D15" s="750">
        <f>'7.설계명세서'!E567</f>
        <v>3.5450000000000002E-2</v>
      </c>
      <c r="E15" s="286"/>
      <c r="F15" s="286">
        <f>INT($D$15*F9)</f>
        <v>665880</v>
      </c>
      <c r="G15" s="286">
        <f>INT($D$15*G9)</f>
        <v>966179</v>
      </c>
      <c r="H15" s="286">
        <f>INT($D$15*H9)</f>
        <v>92767</v>
      </c>
      <c r="I15" s="286">
        <f>INT($D$15*I9)</f>
        <v>101711</v>
      </c>
      <c r="J15" s="286">
        <f>INT($D$15*J9)</f>
        <v>6658221</v>
      </c>
      <c r="K15" s="290">
        <f t="shared" si="2"/>
        <v>8484758</v>
      </c>
      <c r="L15" s="291"/>
      <c r="M15" s="182">
        <f>'7.설계명세서'!G567</f>
        <v>9649656</v>
      </c>
      <c r="N15" s="182"/>
      <c r="P15" s="182"/>
      <c r="Q15" s="182"/>
    </row>
    <row r="16" spans="1:17" ht="25.5" customHeight="1">
      <c r="A16" s="1837"/>
      <c r="B16" s="289" t="s">
        <v>409</v>
      </c>
      <c r="C16" s="296" t="s">
        <v>1078</v>
      </c>
      <c r="D16" s="751">
        <f>'7.설계명세서'!E568</f>
        <v>4.4999999999999998E-2</v>
      </c>
      <c r="E16" s="286"/>
      <c r="F16" s="286">
        <f>INT($D$16*F9)</f>
        <v>845264</v>
      </c>
      <c r="G16" s="286">
        <f>INT($D$16*G9)</f>
        <v>1226461</v>
      </c>
      <c r="H16" s="286">
        <f>INT($D$16*H9)</f>
        <v>117757</v>
      </c>
      <c r="I16" s="286">
        <f>INT($D$16*I9)</f>
        <v>129112</v>
      </c>
      <c r="J16" s="286">
        <f>INT($D$16*J9)</f>
        <v>8451903</v>
      </c>
      <c r="K16" s="290">
        <f t="shared" si="2"/>
        <v>10770497</v>
      </c>
      <c r="L16" s="291"/>
      <c r="M16" s="182">
        <f>'7.설계명세서'!G568</f>
        <v>12249211</v>
      </c>
      <c r="N16" s="182"/>
      <c r="P16" s="182"/>
      <c r="Q16" s="182"/>
    </row>
    <row r="17" spans="1:21" ht="25.5" customHeight="1">
      <c r="A17" s="1837"/>
      <c r="B17" s="288" t="s">
        <v>410</v>
      </c>
      <c r="C17" s="296" t="s">
        <v>1454</v>
      </c>
      <c r="D17" s="751">
        <f>'7.설계명세서'!E569</f>
        <v>0.1295</v>
      </c>
      <c r="E17" s="286"/>
      <c r="F17" s="286">
        <f>INT(F15*$D$17)</f>
        <v>86231</v>
      </c>
      <c r="G17" s="286">
        <f t="shared" ref="G17:J17" si="4">INT(G15*$D$17)</f>
        <v>125120</v>
      </c>
      <c r="H17" s="286">
        <f t="shared" si="4"/>
        <v>12013</v>
      </c>
      <c r="I17" s="286">
        <f t="shared" si="4"/>
        <v>13171</v>
      </c>
      <c r="J17" s="286">
        <f t="shared" si="4"/>
        <v>862239</v>
      </c>
      <c r="K17" s="290">
        <f t="shared" si="2"/>
        <v>1098774</v>
      </c>
      <c r="L17" s="291"/>
      <c r="M17" s="182">
        <f>'7.설계명세서'!G569</f>
        <v>1249630</v>
      </c>
      <c r="N17" s="182"/>
      <c r="P17" s="182"/>
      <c r="Q17" s="182"/>
    </row>
    <row r="18" spans="1:21" ht="25.5" customHeight="1">
      <c r="A18" s="1837"/>
      <c r="B18" s="289" t="s">
        <v>412</v>
      </c>
      <c r="C18" s="296" t="s">
        <v>413</v>
      </c>
      <c r="D18" s="751">
        <f>'7.설계명세서'!E570</f>
        <v>2.3E-2</v>
      </c>
      <c r="E18" s="286"/>
      <c r="F18" s="286">
        <f>INT($D$18*F9)</f>
        <v>432024</v>
      </c>
      <c r="G18" s="286">
        <f>INT($D$18*G9)</f>
        <v>626858</v>
      </c>
      <c r="H18" s="286">
        <f>INT($D$18*H9)</f>
        <v>60187</v>
      </c>
      <c r="I18" s="286">
        <f>INT($D$18*I9)</f>
        <v>65990</v>
      </c>
      <c r="J18" s="286">
        <f>INT($D$18*J9)</f>
        <v>4319861</v>
      </c>
      <c r="K18" s="290">
        <f t="shared" si="2"/>
        <v>5504920</v>
      </c>
      <c r="L18" s="291"/>
      <c r="M18" s="182">
        <f>'7.설계명세서'!G570</f>
        <v>5504922</v>
      </c>
      <c r="N18" s="182"/>
      <c r="P18" s="182"/>
      <c r="Q18" s="182"/>
    </row>
    <row r="19" spans="1:21" ht="25.5" customHeight="1">
      <c r="A19" s="1837"/>
      <c r="B19" s="289" t="s">
        <v>414</v>
      </c>
      <c r="C19" s="296" t="s">
        <v>2417</v>
      </c>
      <c r="D19" s="750">
        <f>'7.설계명세서'!D572</f>
        <v>2.07E-2</v>
      </c>
      <c r="E19" s="286"/>
      <c r="F19" s="286">
        <f>INT(((F7+F9)*$D$19)*1.2)</f>
        <v>511122</v>
      </c>
      <c r="G19" s="286">
        <f>INT(((G7+G9)*$D$19)*1.2)</f>
        <v>1082067</v>
      </c>
      <c r="H19" s="286">
        <f>INT(((H7+H9)*$D$19)*1.2)</f>
        <v>109434</v>
      </c>
      <c r="I19" s="286">
        <f>INT(((I7+I9)*$D$19)*1.2)</f>
        <v>101183</v>
      </c>
      <c r="J19" s="286">
        <f>INT(((J7+J9)*$D$19)*1.2)</f>
        <v>5838986</v>
      </c>
      <c r="K19" s="290">
        <f t="shared" si="2"/>
        <v>7642792</v>
      </c>
      <c r="L19" s="752"/>
      <c r="M19" s="182">
        <f>'7.설계명세서'!G571</f>
        <v>8696079</v>
      </c>
      <c r="N19" s="182"/>
      <c r="P19" s="182"/>
      <c r="Q19" s="182"/>
    </row>
    <row r="20" spans="1:21" ht="25.5" customHeight="1">
      <c r="A20" s="1837"/>
      <c r="B20" s="289" t="s">
        <v>415</v>
      </c>
      <c r="C20" s="296" t="s">
        <v>3375</v>
      </c>
      <c r="D20" s="748">
        <f>'7.설계명세서'!E574</f>
        <v>0.04</v>
      </c>
      <c r="E20" s="286"/>
      <c r="F20" s="286">
        <f>INT(($D$20*(F11+F7)))</f>
        <v>938771</v>
      </c>
      <c r="G20" s="286">
        <f>INT(($D$20*(G11+G7)))</f>
        <v>1910348</v>
      </c>
      <c r="H20" s="286">
        <f>INT(($D$20*(H11+H7)))</f>
        <v>192342</v>
      </c>
      <c r="I20" s="286">
        <f>INT(($D$20*(I11+I7)))</f>
        <v>180611</v>
      </c>
      <c r="J20" s="286">
        <f>INT(($D$20*(J11+J7)))</f>
        <v>10559525</v>
      </c>
      <c r="K20" s="290">
        <f t="shared" si="2"/>
        <v>13781597</v>
      </c>
      <c r="L20" s="291"/>
      <c r="M20" s="182">
        <f>'7.설계명세서'!G574</f>
        <v>13781599</v>
      </c>
      <c r="N20" s="182"/>
      <c r="P20" s="182"/>
      <c r="Q20" s="182"/>
    </row>
    <row r="21" spans="1:21" s="183" customFormat="1" ht="25.5" customHeight="1">
      <c r="A21" s="1838"/>
      <c r="B21" s="292" t="s">
        <v>420</v>
      </c>
      <c r="C21" s="297"/>
      <c r="D21" s="326"/>
      <c r="E21" s="287"/>
      <c r="F21" s="287">
        <f t="shared" ref="F21:J21" si="5">SUM(F12:F20)</f>
        <v>5000628</v>
      </c>
      <c r="G21" s="287">
        <f t="shared" si="5"/>
        <v>8207864</v>
      </c>
      <c r="H21" s="287">
        <f t="shared" si="5"/>
        <v>793712</v>
      </c>
      <c r="I21" s="287">
        <f t="shared" si="5"/>
        <v>820777</v>
      </c>
      <c r="J21" s="287">
        <f t="shared" si="5"/>
        <v>54668124</v>
      </c>
      <c r="K21" s="294">
        <f t="shared" si="2"/>
        <v>69491105</v>
      </c>
      <c r="L21" s="295"/>
      <c r="M21" s="646">
        <f>'7.설계명세서'!G562</f>
        <v>73421721</v>
      </c>
      <c r="N21" s="646"/>
      <c r="P21" s="646"/>
      <c r="Q21" s="646"/>
    </row>
    <row r="22" spans="1:21" s="183" customFormat="1" ht="25.5" customHeight="1">
      <c r="A22" s="298" t="s">
        <v>418</v>
      </c>
      <c r="B22" s="299"/>
      <c r="C22" s="300" t="s">
        <v>416</v>
      </c>
      <c r="D22" s="748">
        <f>'7.설계명세서'!E578</f>
        <v>0.08</v>
      </c>
      <c r="E22" s="287"/>
      <c r="F22" s="287">
        <f>INT($D$22*((F11+F7+F21)))</f>
        <v>2277592</v>
      </c>
      <c r="G22" s="323">
        <f>INT($D$22*((G11+G7+G21)))</f>
        <v>4477326</v>
      </c>
      <c r="H22" s="287">
        <f>INT($D$22*((H11+H7+H21)))</f>
        <v>448181</v>
      </c>
      <c r="I22" s="287">
        <f>INT($D$22*((I11+I7+I21)))</f>
        <v>426884</v>
      </c>
      <c r="J22" s="287">
        <f>INT($D$22*((J11+J7+J21)))</f>
        <v>25492501</v>
      </c>
      <c r="K22" s="294">
        <f t="shared" si="2"/>
        <v>33122484</v>
      </c>
      <c r="L22" s="301"/>
      <c r="M22" s="646">
        <f>'7.설계명세서'!G577</f>
        <v>33436936</v>
      </c>
      <c r="N22" s="646"/>
      <c r="P22" s="646"/>
      <c r="Q22" s="646"/>
    </row>
    <row r="23" spans="1:21" s="183" customFormat="1" ht="25.5" customHeight="1" thickBot="1">
      <c r="A23" s="1327" t="s">
        <v>419</v>
      </c>
      <c r="B23" s="1328"/>
      <c r="C23" s="1329" t="s">
        <v>417</v>
      </c>
      <c r="D23" s="327">
        <f>'7.설계명세서'!E581</f>
        <v>0.13431000000000001</v>
      </c>
      <c r="E23" s="1330"/>
      <c r="F23" s="1330">
        <f>INT($D$23*((F22+F21+F11)))</f>
        <v>3888888</v>
      </c>
      <c r="G23" s="1330">
        <f>INT($D$23*((G22+G21+G11)))</f>
        <v>5928056</v>
      </c>
      <c r="H23" s="1330">
        <f>INT($D$23*((H22+H21+H11)))</f>
        <v>572392</v>
      </c>
      <c r="I23" s="1330">
        <f>INT($D$23*((I22+I21+I11)))</f>
        <v>612276</v>
      </c>
      <c r="J23" s="1330">
        <f>INT($D$23*((J22+J21+J11)))-5664</f>
        <v>39871645</v>
      </c>
      <c r="K23" s="1331">
        <f>SUM(E23:J23)</f>
        <v>50873257</v>
      </c>
      <c r="L23" s="302"/>
      <c r="M23" s="646">
        <f>'7.설계명세서'!G580</f>
        <v>51445446</v>
      </c>
      <c r="N23" s="646"/>
      <c r="P23" s="646"/>
      <c r="Q23" s="646"/>
    </row>
    <row r="24" spans="1:21" s="183" customFormat="1" ht="25.5" customHeight="1" thickBot="1">
      <c r="A24" s="330" t="s">
        <v>1403</v>
      </c>
      <c r="B24" s="331"/>
      <c r="C24" s="332"/>
      <c r="D24" s="333"/>
      <c r="E24" s="334"/>
      <c r="F24" s="334">
        <f>INT(F23+F22+F21+F11+F7)</f>
        <v>34636388</v>
      </c>
      <c r="G24" s="334">
        <f>INT(G23+G22+G21+G11+G7)</f>
        <v>66371968</v>
      </c>
      <c r="H24" s="334">
        <f>INT(H23+H22+H21+H11+H7)</f>
        <v>6622847</v>
      </c>
      <c r="I24" s="334">
        <f>INT(I23+I22+I21+I11+I7)</f>
        <v>6375215</v>
      </c>
      <c r="J24" s="334">
        <f>INT(J23+J22+J21+J11+J7)</f>
        <v>384020412</v>
      </c>
      <c r="K24" s="335">
        <f>SUM(E24:J24)+L24</f>
        <v>498026830</v>
      </c>
      <c r="L24" s="336"/>
      <c r="M24" s="646">
        <f>'7.설계명세서'!G600</f>
        <v>502844090.88</v>
      </c>
      <c r="N24" s="646"/>
      <c r="P24" s="646"/>
      <c r="Q24" s="646"/>
      <c r="U24" s="646">
        <f>S24-T24</f>
        <v>0</v>
      </c>
    </row>
    <row r="25" spans="1:21" ht="25.5" customHeight="1">
      <c r="A25" s="303" t="s">
        <v>1412</v>
      </c>
      <c r="B25" s="186"/>
      <c r="C25" s="187"/>
      <c r="D25" s="328"/>
      <c r="E25" s="690"/>
      <c r="F25" s="253">
        <f t="shared" ref="F25:I25" si="6">F24*10%</f>
        <v>3463638.8000000003</v>
      </c>
      <c r="G25" s="253">
        <f t="shared" si="6"/>
        <v>6637196.8000000007</v>
      </c>
      <c r="H25" s="253">
        <f t="shared" si="6"/>
        <v>662284.70000000007</v>
      </c>
      <c r="I25" s="253">
        <f t="shared" si="6"/>
        <v>637521.5</v>
      </c>
      <c r="J25" s="253">
        <f t="shared" ref="J25" si="7">J24*10%</f>
        <v>38402041.200000003</v>
      </c>
      <c r="K25" s="189">
        <f>SUM(E25:J25)</f>
        <v>49802683</v>
      </c>
      <c r="L25" s="304"/>
      <c r="M25" s="182">
        <f>'7.설계명세서'!G601</f>
        <v>50284409</v>
      </c>
      <c r="N25" s="646"/>
      <c r="P25" s="182"/>
      <c r="Q25" s="182"/>
    </row>
    <row r="26" spans="1:21" s="183" customFormat="1" ht="25.5" customHeight="1">
      <c r="A26" s="337" t="s">
        <v>1404</v>
      </c>
      <c r="B26" s="338"/>
      <c r="C26" s="297" t="s">
        <v>1402</v>
      </c>
      <c r="D26" s="326"/>
      <c r="E26" s="287"/>
      <c r="F26" s="287">
        <f t="shared" ref="F26:I26" si="8">(F24+F27)*1.1</f>
        <v>390904879.20000005</v>
      </c>
      <c r="G26" s="287">
        <f t="shared" si="8"/>
        <v>161422405.10000002</v>
      </c>
      <c r="H26" s="287">
        <f t="shared" si="8"/>
        <v>22574168.100000001</v>
      </c>
      <c r="I26" s="287">
        <f t="shared" si="8"/>
        <v>22649251.900000002</v>
      </c>
      <c r="J26" s="287">
        <f t="shared" ref="J26" si="9">(J24+J27)*1.1</f>
        <v>1112933767</v>
      </c>
      <c r="K26" s="294">
        <f t="shared" si="2"/>
        <v>1710484471.3000002</v>
      </c>
      <c r="L26" s="295"/>
      <c r="M26" s="646">
        <f>'7.설계명세서'!G598</f>
        <v>553128500</v>
      </c>
      <c r="N26" s="646"/>
      <c r="P26" s="646"/>
      <c r="Q26" s="646"/>
    </row>
    <row r="27" spans="1:21" ht="25.5" customHeight="1">
      <c r="A27" s="305" t="s">
        <v>1405</v>
      </c>
      <c r="B27" s="306"/>
      <c r="C27" s="296"/>
      <c r="D27" s="325"/>
      <c r="E27" s="286"/>
      <c r="F27" s="286">
        <f>F6</f>
        <v>320731684</v>
      </c>
      <c r="G27" s="322">
        <f>G6</f>
        <v>80375673</v>
      </c>
      <c r="H27" s="286">
        <f>H6</f>
        <v>13899124</v>
      </c>
      <c r="I27" s="286">
        <f>I6</f>
        <v>14215014</v>
      </c>
      <c r="J27" s="286">
        <f>J6</f>
        <v>627737558</v>
      </c>
      <c r="K27" s="290">
        <f t="shared" si="2"/>
        <v>1056959053</v>
      </c>
      <c r="L27" s="291"/>
      <c r="M27" s="646">
        <f>'7.설계명세서'!G599</f>
        <v>0</v>
      </c>
      <c r="N27" s="646"/>
      <c r="O27" s="183"/>
      <c r="P27" s="646"/>
      <c r="Q27" s="646"/>
    </row>
    <row r="28" spans="1:21" s="183" customFormat="1" ht="25.5" customHeight="1" thickBot="1">
      <c r="A28" s="339" t="s">
        <v>1413</v>
      </c>
      <c r="B28" s="340"/>
      <c r="C28" s="341"/>
      <c r="D28" s="342"/>
      <c r="E28" s="343"/>
      <c r="F28" s="343">
        <f t="shared" ref="F28:I28" si="10">F24+F27</f>
        <v>355368072</v>
      </c>
      <c r="G28" s="344">
        <f t="shared" si="10"/>
        <v>146747641</v>
      </c>
      <c r="H28" s="343">
        <f>H24+H27</f>
        <v>20521971</v>
      </c>
      <c r="I28" s="343">
        <f t="shared" si="10"/>
        <v>20590229</v>
      </c>
      <c r="J28" s="343">
        <f t="shared" ref="J28" si="11">J24+J27</f>
        <v>1011757970</v>
      </c>
      <c r="K28" s="294">
        <f>SUM(E28:J28)+L28</f>
        <v>1554985883</v>
      </c>
      <c r="L28" s="345"/>
      <c r="M28" s="646">
        <f>'7.설계명세서'!G583</f>
        <v>502844090.88</v>
      </c>
      <c r="N28" s="646"/>
      <c r="P28" s="646"/>
      <c r="Q28" s="646"/>
    </row>
    <row r="29" spans="1:21">
      <c r="C29" s="184"/>
      <c r="I29" s="182"/>
      <c r="J29" s="182"/>
      <c r="K29" s="182"/>
      <c r="M29" s="183"/>
      <c r="N29" s="182"/>
    </row>
    <row r="30" spans="1:21">
      <c r="G30" s="182"/>
    </row>
    <row r="31" spans="1:21">
      <c r="G31" s="182"/>
    </row>
    <row r="32" spans="1:21">
      <c r="G32" s="182"/>
    </row>
    <row r="33" spans="3:11" ht="16.5">
      <c r="D33" s="167"/>
      <c r="E33" s="185"/>
      <c r="F33" s="167"/>
      <c r="G33" s="182"/>
      <c r="H33" s="167"/>
      <c r="I33" s="167"/>
      <c r="J33" s="167"/>
      <c r="K33" s="167"/>
    </row>
    <row r="34" spans="3:11" ht="16.5">
      <c r="C34" s="167"/>
      <c r="E34" s="167"/>
      <c r="F34" s="167"/>
      <c r="G34" s="167"/>
      <c r="H34" s="167"/>
      <c r="I34" s="167"/>
      <c r="J34" s="167"/>
      <c r="K34" s="167"/>
    </row>
    <row r="35" spans="3:11" ht="16.5">
      <c r="C35" s="167"/>
      <c r="F35" s="167"/>
      <c r="G35" s="167"/>
      <c r="H35" s="167"/>
      <c r="I35" s="167"/>
      <c r="J35" s="167"/>
      <c r="K35" s="167"/>
    </row>
    <row r="36" spans="3:11" ht="16.5">
      <c r="C36" s="167"/>
      <c r="E36" s="167"/>
      <c r="F36" s="167"/>
      <c r="G36" s="167"/>
      <c r="H36" s="167"/>
      <c r="I36" s="167"/>
      <c r="J36" s="167"/>
      <c r="K36" s="167"/>
    </row>
    <row r="37" spans="3:11" ht="16.5">
      <c r="C37" s="185"/>
      <c r="E37" s="167"/>
      <c r="F37" s="167"/>
      <c r="G37" s="167"/>
      <c r="H37" s="167"/>
      <c r="I37" s="167"/>
      <c r="J37" s="167"/>
      <c r="K37" s="167"/>
    </row>
    <row r="38" spans="3:11" ht="16.5">
      <c r="C38" s="167"/>
      <c r="F38" s="167"/>
      <c r="G38" s="167"/>
      <c r="H38" s="167"/>
      <c r="I38" s="167"/>
      <c r="J38" s="167"/>
      <c r="K38" s="167"/>
    </row>
    <row r="39" spans="3:11" ht="16.5">
      <c r="C39" s="167"/>
      <c r="E39" s="167"/>
      <c r="F39" s="167"/>
      <c r="G39" s="167"/>
      <c r="H39" s="167"/>
      <c r="I39" s="167"/>
      <c r="J39" s="167"/>
      <c r="K39" s="167"/>
    </row>
    <row r="40" spans="3:11" ht="16.5">
      <c r="C40" s="167"/>
      <c r="E40" s="167"/>
      <c r="F40" s="167"/>
      <c r="G40" s="167"/>
      <c r="H40" s="167"/>
      <c r="I40" s="167"/>
      <c r="J40" s="167"/>
      <c r="K40" s="167"/>
    </row>
    <row r="41" spans="3:11" ht="16.5">
      <c r="F41" s="167"/>
      <c r="G41" s="167"/>
      <c r="H41" s="167"/>
      <c r="I41" s="167"/>
      <c r="J41" s="167"/>
      <c r="K41" s="167"/>
    </row>
    <row r="42" spans="3:11" ht="16.5">
      <c r="K42" s="167"/>
    </row>
    <row r="43" spans="3:11">
      <c r="F43" s="182"/>
      <c r="G43" s="182"/>
      <c r="H43" s="182"/>
      <c r="I43" s="182"/>
      <c r="J43" s="182"/>
    </row>
  </sheetData>
  <mergeCells count="14">
    <mergeCell ref="A12:A21"/>
    <mergeCell ref="A3:B5"/>
    <mergeCell ref="C3:C5"/>
    <mergeCell ref="D3:D5"/>
    <mergeCell ref="L3:L5"/>
    <mergeCell ref="K4:K5"/>
    <mergeCell ref="A6:A8"/>
    <mergeCell ref="A9:A11"/>
    <mergeCell ref="F4:F5"/>
    <mergeCell ref="E4:E5"/>
    <mergeCell ref="I4:I5"/>
    <mergeCell ref="H4:H5"/>
    <mergeCell ref="G4:G5"/>
    <mergeCell ref="J4:J5"/>
  </mergeCells>
  <phoneticPr fontId="6" type="noConversion"/>
  <printOptions horizontalCentered="1"/>
  <pageMargins left="0.45" right="0.27559055118110237" top="0.52" bottom="0.46" header="0.31496062992125984" footer="0.31496062992125984"/>
  <pageSetup paperSize="9" scale="65" orientation="landscape" horizontalDpi="4294967292"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AC612"/>
  <sheetViews>
    <sheetView tabSelected="1" view="pageBreakPreview" zoomScale="85" zoomScaleNormal="100" zoomScaleSheetLayoutView="85" workbookViewId="0">
      <pane ySplit="4" topLeftCell="A5" activePane="bottomLeft" state="frozen"/>
      <selection activeCell="K15" sqref="K15"/>
      <selection pane="bottomLeft" activeCell="Y129" sqref="Y129"/>
    </sheetView>
  </sheetViews>
  <sheetFormatPr defaultRowHeight="13.5"/>
  <cols>
    <col min="1" max="1" width="7.375" style="544" customWidth="1"/>
    <col min="2" max="2" width="24.875" style="37" customWidth="1"/>
    <col min="3" max="3" width="24.875" style="36" customWidth="1"/>
    <col min="4" max="4" width="6" style="38" customWidth="1"/>
    <col min="5" max="5" width="11.875" style="39" customWidth="1"/>
    <col min="6" max="7" width="13" style="1215" customWidth="1"/>
    <col min="8" max="8" width="10.5" style="252" customWidth="1"/>
    <col min="9" max="9" width="13.625" style="18" customWidth="1"/>
    <col min="10" max="10" width="7.375" style="544" hidden="1" customWidth="1"/>
    <col min="11" max="11" width="25.625" style="37" hidden="1" customWidth="1"/>
    <col min="12" max="12" width="29.625" style="36" hidden="1" customWidth="1"/>
    <col min="13" max="13" width="6.75" style="38" hidden="1" customWidth="1"/>
    <col min="14" max="14" width="8.75" style="39" hidden="1" customWidth="1"/>
    <col min="15" max="15" width="10.875" style="37" hidden="1" customWidth="1"/>
    <col min="16" max="16" width="13" style="37" hidden="1" customWidth="1"/>
    <col min="17" max="17" width="11.375" style="252" hidden="1" customWidth="1"/>
    <col min="18" max="19" width="9" style="18" hidden="1" customWidth="1"/>
    <col min="20" max="20" width="13.25" style="18" hidden="1" customWidth="1"/>
    <col min="21" max="21" width="9" style="18" hidden="1" customWidth="1"/>
    <col min="22" max="22" width="11.375" style="18" customWidth="1"/>
    <col min="23" max="24" width="9" style="18"/>
    <col min="25" max="25" width="21.875" style="18" bestFit="1" customWidth="1"/>
    <col min="26" max="227" width="9" style="18"/>
    <col min="228" max="228" width="5.25" style="18" customWidth="1"/>
    <col min="229" max="229" width="22.25" style="18" customWidth="1"/>
    <col min="230" max="230" width="27.875" style="18" customWidth="1"/>
    <col min="231" max="231" width="6.75" style="18" customWidth="1"/>
    <col min="232" max="232" width="7.625" style="18" bestFit="1" customWidth="1"/>
    <col min="233" max="233" width="12.125" style="18" customWidth="1"/>
    <col min="234" max="234" width="14.375" style="18" customWidth="1"/>
    <col min="235" max="235" width="11.75" style="18" customWidth="1"/>
    <col min="236" max="483" width="9" style="18"/>
    <col min="484" max="484" width="5.25" style="18" customWidth="1"/>
    <col min="485" max="485" width="22.25" style="18" customWidth="1"/>
    <col min="486" max="486" width="27.875" style="18" customWidth="1"/>
    <col min="487" max="487" width="6.75" style="18" customWidth="1"/>
    <col min="488" max="488" width="7.625" style="18" bestFit="1" customWidth="1"/>
    <col min="489" max="489" width="12.125" style="18" customWidth="1"/>
    <col min="490" max="490" width="14.375" style="18" customWidth="1"/>
    <col min="491" max="491" width="11.75" style="18" customWidth="1"/>
    <col min="492" max="739" width="9" style="18"/>
    <col min="740" max="740" width="5.25" style="18" customWidth="1"/>
    <col min="741" max="741" width="22.25" style="18" customWidth="1"/>
    <col min="742" max="742" width="27.875" style="18" customWidth="1"/>
    <col min="743" max="743" width="6.75" style="18" customWidth="1"/>
    <col min="744" max="744" width="7.625" style="18" bestFit="1" customWidth="1"/>
    <col min="745" max="745" width="12.125" style="18" customWidth="1"/>
    <col min="746" max="746" width="14.375" style="18" customWidth="1"/>
    <col min="747" max="747" width="11.75" style="18" customWidth="1"/>
    <col min="748" max="995" width="9" style="18"/>
    <col min="996" max="996" width="5.25" style="18" customWidth="1"/>
    <col min="997" max="997" width="22.25" style="18" customWidth="1"/>
    <col min="998" max="998" width="27.875" style="18" customWidth="1"/>
    <col min="999" max="999" width="6.75" style="18" customWidth="1"/>
    <col min="1000" max="1000" width="7.625" style="18" bestFit="1" customWidth="1"/>
    <col min="1001" max="1001" width="12.125" style="18" customWidth="1"/>
    <col min="1002" max="1002" width="14.375" style="18" customWidth="1"/>
    <col min="1003" max="1003" width="11.75" style="18" customWidth="1"/>
    <col min="1004" max="1251" width="9" style="18"/>
    <col min="1252" max="1252" width="5.25" style="18" customWidth="1"/>
    <col min="1253" max="1253" width="22.25" style="18" customWidth="1"/>
    <col min="1254" max="1254" width="27.875" style="18" customWidth="1"/>
    <col min="1255" max="1255" width="6.75" style="18" customWidth="1"/>
    <col min="1256" max="1256" width="7.625" style="18" bestFit="1" customWidth="1"/>
    <col min="1257" max="1257" width="12.125" style="18" customWidth="1"/>
    <col min="1258" max="1258" width="14.375" style="18" customWidth="1"/>
    <col min="1259" max="1259" width="11.75" style="18" customWidth="1"/>
    <col min="1260" max="1507" width="9" style="18"/>
    <col min="1508" max="1508" width="5.25" style="18" customWidth="1"/>
    <col min="1509" max="1509" width="22.25" style="18" customWidth="1"/>
    <col min="1510" max="1510" width="27.875" style="18" customWidth="1"/>
    <col min="1511" max="1511" width="6.75" style="18" customWidth="1"/>
    <col min="1512" max="1512" width="7.625" style="18" bestFit="1" customWidth="1"/>
    <col min="1513" max="1513" width="12.125" style="18" customWidth="1"/>
    <col min="1514" max="1514" width="14.375" style="18" customWidth="1"/>
    <col min="1515" max="1515" width="11.75" style="18" customWidth="1"/>
    <col min="1516" max="1763" width="9" style="18"/>
    <col min="1764" max="1764" width="5.25" style="18" customWidth="1"/>
    <col min="1765" max="1765" width="22.25" style="18" customWidth="1"/>
    <col min="1766" max="1766" width="27.875" style="18" customWidth="1"/>
    <col min="1767" max="1767" width="6.75" style="18" customWidth="1"/>
    <col min="1768" max="1768" width="7.625" style="18" bestFit="1" customWidth="1"/>
    <col min="1769" max="1769" width="12.125" style="18" customWidth="1"/>
    <col min="1770" max="1770" width="14.375" style="18" customWidth="1"/>
    <col min="1771" max="1771" width="11.75" style="18" customWidth="1"/>
    <col min="1772" max="2019" width="9" style="18"/>
    <col min="2020" max="2020" width="5.25" style="18" customWidth="1"/>
    <col min="2021" max="2021" width="22.25" style="18" customWidth="1"/>
    <col min="2022" max="2022" width="27.875" style="18" customWidth="1"/>
    <col min="2023" max="2023" width="6.75" style="18" customWidth="1"/>
    <col min="2024" max="2024" width="7.625" style="18" bestFit="1" customWidth="1"/>
    <col min="2025" max="2025" width="12.125" style="18" customWidth="1"/>
    <col min="2026" max="2026" width="14.375" style="18" customWidth="1"/>
    <col min="2027" max="2027" width="11.75" style="18" customWidth="1"/>
    <col min="2028" max="2275" width="9" style="18"/>
    <col min="2276" max="2276" width="5.25" style="18" customWidth="1"/>
    <col min="2277" max="2277" width="22.25" style="18" customWidth="1"/>
    <col min="2278" max="2278" width="27.875" style="18" customWidth="1"/>
    <col min="2279" max="2279" width="6.75" style="18" customWidth="1"/>
    <col min="2280" max="2280" width="7.625" style="18" bestFit="1" customWidth="1"/>
    <col min="2281" max="2281" width="12.125" style="18" customWidth="1"/>
    <col min="2282" max="2282" width="14.375" style="18" customWidth="1"/>
    <col min="2283" max="2283" width="11.75" style="18" customWidth="1"/>
    <col min="2284" max="2531" width="9" style="18"/>
    <col min="2532" max="2532" width="5.25" style="18" customWidth="1"/>
    <col min="2533" max="2533" width="22.25" style="18" customWidth="1"/>
    <col min="2534" max="2534" width="27.875" style="18" customWidth="1"/>
    <col min="2535" max="2535" width="6.75" style="18" customWidth="1"/>
    <col min="2536" max="2536" width="7.625" style="18" bestFit="1" customWidth="1"/>
    <col min="2537" max="2537" width="12.125" style="18" customWidth="1"/>
    <col min="2538" max="2538" width="14.375" style="18" customWidth="1"/>
    <col min="2539" max="2539" width="11.75" style="18" customWidth="1"/>
    <col min="2540" max="2787" width="9" style="18"/>
    <col min="2788" max="2788" width="5.25" style="18" customWidth="1"/>
    <col min="2789" max="2789" width="22.25" style="18" customWidth="1"/>
    <col min="2790" max="2790" width="27.875" style="18" customWidth="1"/>
    <col min="2791" max="2791" width="6.75" style="18" customWidth="1"/>
    <col min="2792" max="2792" width="7.625" style="18" bestFit="1" customWidth="1"/>
    <col min="2793" max="2793" width="12.125" style="18" customWidth="1"/>
    <col min="2794" max="2794" width="14.375" style="18" customWidth="1"/>
    <col min="2795" max="2795" width="11.75" style="18" customWidth="1"/>
    <col min="2796" max="3043" width="9" style="18"/>
    <col min="3044" max="3044" width="5.25" style="18" customWidth="1"/>
    <col min="3045" max="3045" width="22.25" style="18" customWidth="1"/>
    <col min="3046" max="3046" width="27.875" style="18" customWidth="1"/>
    <col min="3047" max="3047" width="6.75" style="18" customWidth="1"/>
    <col min="3048" max="3048" width="7.625" style="18" bestFit="1" customWidth="1"/>
    <col min="3049" max="3049" width="12.125" style="18" customWidth="1"/>
    <col min="3050" max="3050" width="14.375" style="18" customWidth="1"/>
    <col min="3051" max="3051" width="11.75" style="18" customWidth="1"/>
    <col min="3052" max="3299" width="9" style="18"/>
    <col min="3300" max="3300" width="5.25" style="18" customWidth="1"/>
    <col min="3301" max="3301" width="22.25" style="18" customWidth="1"/>
    <col min="3302" max="3302" width="27.875" style="18" customWidth="1"/>
    <col min="3303" max="3303" width="6.75" style="18" customWidth="1"/>
    <col min="3304" max="3304" width="7.625" style="18" bestFit="1" customWidth="1"/>
    <col min="3305" max="3305" width="12.125" style="18" customWidth="1"/>
    <col min="3306" max="3306" width="14.375" style="18" customWidth="1"/>
    <col min="3307" max="3307" width="11.75" style="18" customWidth="1"/>
    <col min="3308" max="3555" width="9" style="18"/>
    <col min="3556" max="3556" width="5.25" style="18" customWidth="1"/>
    <col min="3557" max="3557" width="22.25" style="18" customWidth="1"/>
    <col min="3558" max="3558" width="27.875" style="18" customWidth="1"/>
    <col min="3559" max="3559" width="6.75" style="18" customWidth="1"/>
    <col min="3560" max="3560" width="7.625" style="18" bestFit="1" customWidth="1"/>
    <col min="3561" max="3561" width="12.125" style="18" customWidth="1"/>
    <col min="3562" max="3562" width="14.375" style="18" customWidth="1"/>
    <col min="3563" max="3563" width="11.75" style="18" customWidth="1"/>
    <col min="3564" max="3811" width="9" style="18"/>
    <col min="3812" max="3812" width="5.25" style="18" customWidth="1"/>
    <col min="3813" max="3813" width="22.25" style="18" customWidth="1"/>
    <col min="3814" max="3814" width="27.875" style="18" customWidth="1"/>
    <col min="3815" max="3815" width="6.75" style="18" customWidth="1"/>
    <col min="3816" max="3816" width="7.625" style="18" bestFit="1" customWidth="1"/>
    <col min="3817" max="3817" width="12.125" style="18" customWidth="1"/>
    <col min="3818" max="3818" width="14.375" style="18" customWidth="1"/>
    <col min="3819" max="3819" width="11.75" style="18" customWidth="1"/>
    <col min="3820" max="4067" width="9" style="18"/>
    <col min="4068" max="4068" width="5.25" style="18" customWidth="1"/>
    <col min="4069" max="4069" width="22.25" style="18" customWidth="1"/>
    <col min="4070" max="4070" width="27.875" style="18" customWidth="1"/>
    <col min="4071" max="4071" width="6.75" style="18" customWidth="1"/>
    <col min="4072" max="4072" width="7.625" style="18" bestFit="1" customWidth="1"/>
    <col min="4073" max="4073" width="12.125" style="18" customWidth="1"/>
    <col min="4074" max="4074" width="14.375" style="18" customWidth="1"/>
    <col min="4075" max="4075" width="11.75" style="18" customWidth="1"/>
    <col min="4076" max="4323" width="9" style="18"/>
    <col min="4324" max="4324" width="5.25" style="18" customWidth="1"/>
    <col min="4325" max="4325" width="22.25" style="18" customWidth="1"/>
    <col min="4326" max="4326" width="27.875" style="18" customWidth="1"/>
    <col min="4327" max="4327" width="6.75" style="18" customWidth="1"/>
    <col min="4328" max="4328" width="7.625" style="18" bestFit="1" customWidth="1"/>
    <col min="4329" max="4329" width="12.125" style="18" customWidth="1"/>
    <col min="4330" max="4330" width="14.375" style="18" customWidth="1"/>
    <col min="4331" max="4331" width="11.75" style="18" customWidth="1"/>
    <col min="4332" max="4579" width="9" style="18"/>
    <col min="4580" max="4580" width="5.25" style="18" customWidth="1"/>
    <col min="4581" max="4581" width="22.25" style="18" customWidth="1"/>
    <col min="4582" max="4582" width="27.875" style="18" customWidth="1"/>
    <col min="4583" max="4583" width="6.75" style="18" customWidth="1"/>
    <col min="4584" max="4584" width="7.625" style="18" bestFit="1" customWidth="1"/>
    <col min="4585" max="4585" width="12.125" style="18" customWidth="1"/>
    <col min="4586" max="4586" width="14.375" style="18" customWidth="1"/>
    <col min="4587" max="4587" width="11.75" style="18" customWidth="1"/>
    <col min="4588" max="4835" width="9" style="18"/>
    <col min="4836" max="4836" width="5.25" style="18" customWidth="1"/>
    <col min="4837" max="4837" width="22.25" style="18" customWidth="1"/>
    <col min="4838" max="4838" width="27.875" style="18" customWidth="1"/>
    <col min="4839" max="4839" width="6.75" style="18" customWidth="1"/>
    <col min="4840" max="4840" width="7.625" style="18" bestFit="1" customWidth="1"/>
    <col min="4841" max="4841" width="12.125" style="18" customWidth="1"/>
    <col min="4842" max="4842" width="14.375" style="18" customWidth="1"/>
    <col min="4843" max="4843" width="11.75" style="18" customWidth="1"/>
    <col min="4844" max="5091" width="9" style="18"/>
    <col min="5092" max="5092" width="5.25" style="18" customWidth="1"/>
    <col min="5093" max="5093" width="22.25" style="18" customWidth="1"/>
    <col min="5094" max="5094" width="27.875" style="18" customWidth="1"/>
    <col min="5095" max="5095" width="6.75" style="18" customWidth="1"/>
    <col min="5096" max="5096" width="7.625" style="18" bestFit="1" customWidth="1"/>
    <col min="5097" max="5097" width="12.125" style="18" customWidth="1"/>
    <col min="5098" max="5098" width="14.375" style="18" customWidth="1"/>
    <col min="5099" max="5099" width="11.75" style="18" customWidth="1"/>
    <col min="5100" max="5347" width="9" style="18"/>
    <col min="5348" max="5348" width="5.25" style="18" customWidth="1"/>
    <col min="5349" max="5349" width="22.25" style="18" customWidth="1"/>
    <col min="5350" max="5350" width="27.875" style="18" customWidth="1"/>
    <col min="5351" max="5351" width="6.75" style="18" customWidth="1"/>
    <col min="5352" max="5352" width="7.625" style="18" bestFit="1" customWidth="1"/>
    <col min="5353" max="5353" width="12.125" style="18" customWidth="1"/>
    <col min="5354" max="5354" width="14.375" style="18" customWidth="1"/>
    <col min="5355" max="5355" width="11.75" style="18" customWidth="1"/>
    <col min="5356" max="5603" width="9" style="18"/>
    <col min="5604" max="5604" width="5.25" style="18" customWidth="1"/>
    <col min="5605" max="5605" width="22.25" style="18" customWidth="1"/>
    <col min="5606" max="5606" width="27.875" style="18" customWidth="1"/>
    <col min="5607" max="5607" width="6.75" style="18" customWidth="1"/>
    <col min="5608" max="5608" width="7.625" style="18" bestFit="1" customWidth="1"/>
    <col min="5609" max="5609" width="12.125" style="18" customWidth="1"/>
    <col min="5610" max="5610" width="14.375" style="18" customWidth="1"/>
    <col min="5611" max="5611" width="11.75" style="18" customWidth="1"/>
    <col min="5612" max="5859" width="9" style="18"/>
    <col min="5860" max="5860" width="5.25" style="18" customWidth="1"/>
    <col min="5861" max="5861" width="22.25" style="18" customWidth="1"/>
    <col min="5862" max="5862" width="27.875" style="18" customWidth="1"/>
    <col min="5863" max="5863" width="6.75" style="18" customWidth="1"/>
    <col min="5864" max="5864" width="7.625" style="18" bestFit="1" customWidth="1"/>
    <col min="5865" max="5865" width="12.125" style="18" customWidth="1"/>
    <col min="5866" max="5866" width="14.375" style="18" customWidth="1"/>
    <col min="5867" max="5867" width="11.75" style="18" customWidth="1"/>
    <col min="5868" max="6115" width="9" style="18"/>
    <col min="6116" max="6116" width="5.25" style="18" customWidth="1"/>
    <col min="6117" max="6117" width="22.25" style="18" customWidth="1"/>
    <col min="6118" max="6118" width="27.875" style="18" customWidth="1"/>
    <col min="6119" max="6119" width="6.75" style="18" customWidth="1"/>
    <col min="6120" max="6120" width="7.625" style="18" bestFit="1" customWidth="1"/>
    <col min="6121" max="6121" width="12.125" style="18" customWidth="1"/>
    <col min="6122" max="6122" width="14.375" style="18" customWidth="1"/>
    <col min="6123" max="6123" width="11.75" style="18" customWidth="1"/>
    <col min="6124" max="6371" width="9" style="18"/>
    <col min="6372" max="6372" width="5.25" style="18" customWidth="1"/>
    <col min="6373" max="6373" width="22.25" style="18" customWidth="1"/>
    <col min="6374" max="6374" width="27.875" style="18" customWidth="1"/>
    <col min="6375" max="6375" width="6.75" style="18" customWidth="1"/>
    <col min="6376" max="6376" width="7.625" style="18" bestFit="1" customWidth="1"/>
    <col min="6377" max="6377" width="12.125" style="18" customWidth="1"/>
    <col min="6378" max="6378" width="14.375" style="18" customWidth="1"/>
    <col min="6379" max="6379" width="11.75" style="18" customWidth="1"/>
    <col min="6380" max="6627" width="9" style="18"/>
    <col min="6628" max="6628" width="5.25" style="18" customWidth="1"/>
    <col min="6629" max="6629" width="22.25" style="18" customWidth="1"/>
    <col min="6630" max="6630" width="27.875" style="18" customWidth="1"/>
    <col min="6631" max="6631" width="6.75" style="18" customWidth="1"/>
    <col min="6632" max="6632" width="7.625" style="18" bestFit="1" customWidth="1"/>
    <col min="6633" max="6633" width="12.125" style="18" customWidth="1"/>
    <col min="6634" max="6634" width="14.375" style="18" customWidth="1"/>
    <col min="6635" max="6635" width="11.75" style="18" customWidth="1"/>
    <col min="6636" max="6883" width="9" style="18"/>
    <col min="6884" max="6884" width="5.25" style="18" customWidth="1"/>
    <col min="6885" max="6885" width="22.25" style="18" customWidth="1"/>
    <col min="6886" max="6886" width="27.875" style="18" customWidth="1"/>
    <col min="6887" max="6887" width="6.75" style="18" customWidth="1"/>
    <col min="6888" max="6888" width="7.625" style="18" bestFit="1" customWidth="1"/>
    <col min="6889" max="6889" width="12.125" style="18" customWidth="1"/>
    <col min="6890" max="6890" width="14.375" style="18" customWidth="1"/>
    <col min="6891" max="6891" width="11.75" style="18" customWidth="1"/>
    <col min="6892" max="7139" width="9" style="18"/>
    <col min="7140" max="7140" width="5.25" style="18" customWidth="1"/>
    <col min="7141" max="7141" width="22.25" style="18" customWidth="1"/>
    <col min="7142" max="7142" width="27.875" style="18" customWidth="1"/>
    <col min="7143" max="7143" width="6.75" style="18" customWidth="1"/>
    <col min="7144" max="7144" width="7.625" style="18" bestFit="1" customWidth="1"/>
    <col min="7145" max="7145" width="12.125" style="18" customWidth="1"/>
    <col min="7146" max="7146" width="14.375" style="18" customWidth="1"/>
    <col min="7147" max="7147" width="11.75" style="18" customWidth="1"/>
    <col min="7148" max="7395" width="9" style="18"/>
    <col min="7396" max="7396" width="5.25" style="18" customWidth="1"/>
    <col min="7397" max="7397" width="22.25" style="18" customWidth="1"/>
    <col min="7398" max="7398" width="27.875" style="18" customWidth="1"/>
    <col min="7399" max="7399" width="6.75" style="18" customWidth="1"/>
    <col min="7400" max="7400" width="7.625" style="18" bestFit="1" customWidth="1"/>
    <col min="7401" max="7401" width="12.125" style="18" customWidth="1"/>
    <col min="7402" max="7402" width="14.375" style="18" customWidth="1"/>
    <col min="7403" max="7403" width="11.75" style="18" customWidth="1"/>
    <col min="7404" max="7651" width="9" style="18"/>
    <col min="7652" max="7652" width="5.25" style="18" customWidth="1"/>
    <col min="7653" max="7653" width="22.25" style="18" customWidth="1"/>
    <col min="7654" max="7654" width="27.875" style="18" customWidth="1"/>
    <col min="7655" max="7655" width="6.75" style="18" customWidth="1"/>
    <col min="7656" max="7656" width="7.625" style="18" bestFit="1" customWidth="1"/>
    <col min="7657" max="7657" width="12.125" style="18" customWidth="1"/>
    <col min="7658" max="7658" width="14.375" style="18" customWidth="1"/>
    <col min="7659" max="7659" width="11.75" style="18" customWidth="1"/>
    <col min="7660" max="7907" width="9" style="18"/>
    <col min="7908" max="7908" width="5.25" style="18" customWidth="1"/>
    <col min="7909" max="7909" width="22.25" style="18" customWidth="1"/>
    <col min="7910" max="7910" width="27.875" style="18" customWidth="1"/>
    <col min="7911" max="7911" width="6.75" style="18" customWidth="1"/>
    <col min="7912" max="7912" width="7.625" style="18" bestFit="1" customWidth="1"/>
    <col min="7913" max="7913" width="12.125" style="18" customWidth="1"/>
    <col min="7914" max="7914" width="14.375" style="18" customWidth="1"/>
    <col min="7915" max="7915" width="11.75" style="18" customWidth="1"/>
    <col min="7916" max="8163" width="9" style="18"/>
    <col min="8164" max="8164" width="5.25" style="18" customWidth="1"/>
    <col min="8165" max="8165" width="22.25" style="18" customWidth="1"/>
    <col min="8166" max="8166" width="27.875" style="18" customWidth="1"/>
    <col min="8167" max="8167" width="6.75" style="18" customWidth="1"/>
    <col min="8168" max="8168" width="7.625" style="18" bestFit="1" customWidth="1"/>
    <col min="8169" max="8169" width="12.125" style="18" customWidth="1"/>
    <col min="8170" max="8170" width="14.375" style="18" customWidth="1"/>
    <col min="8171" max="8171" width="11.75" style="18" customWidth="1"/>
    <col min="8172" max="8419" width="9" style="18"/>
    <col min="8420" max="8420" width="5.25" style="18" customWidth="1"/>
    <col min="8421" max="8421" width="22.25" style="18" customWidth="1"/>
    <col min="8422" max="8422" width="27.875" style="18" customWidth="1"/>
    <col min="8423" max="8423" width="6.75" style="18" customWidth="1"/>
    <col min="8424" max="8424" width="7.625" style="18" bestFit="1" customWidth="1"/>
    <col min="8425" max="8425" width="12.125" style="18" customWidth="1"/>
    <col min="8426" max="8426" width="14.375" style="18" customWidth="1"/>
    <col min="8427" max="8427" width="11.75" style="18" customWidth="1"/>
    <col min="8428" max="8675" width="9" style="18"/>
    <col min="8676" max="8676" width="5.25" style="18" customWidth="1"/>
    <col min="8677" max="8677" width="22.25" style="18" customWidth="1"/>
    <col min="8678" max="8678" width="27.875" style="18" customWidth="1"/>
    <col min="8679" max="8679" width="6.75" style="18" customWidth="1"/>
    <col min="8680" max="8680" width="7.625" style="18" bestFit="1" customWidth="1"/>
    <col min="8681" max="8681" width="12.125" style="18" customWidth="1"/>
    <col min="8682" max="8682" width="14.375" style="18" customWidth="1"/>
    <col min="8683" max="8683" width="11.75" style="18" customWidth="1"/>
    <col min="8684" max="8931" width="9" style="18"/>
    <col min="8932" max="8932" width="5.25" style="18" customWidth="1"/>
    <col min="8933" max="8933" width="22.25" style="18" customWidth="1"/>
    <col min="8934" max="8934" width="27.875" style="18" customWidth="1"/>
    <col min="8935" max="8935" width="6.75" style="18" customWidth="1"/>
    <col min="8936" max="8936" width="7.625" style="18" bestFit="1" customWidth="1"/>
    <col min="8937" max="8937" width="12.125" style="18" customWidth="1"/>
    <col min="8938" max="8938" width="14.375" style="18" customWidth="1"/>
    <col min="8939" max="8939" width="11.75" style="18" customWidth="1"/>
    <col min="8940" max="9187" width="9" style="18"/>
    <col min="9188" max="9188" width="5.25" style="18" customWidth="1"/>
    <col min="9189" max="9189" width="22.25" style="18" customWidth="1"/>
    <col min="9190" max="9190" width="27.875" style="18" customWidth="1"/>
    <col min="9191" max="9191" width="6.75" style="18" customWidth="1"/>
    <col min="9192" max="9192" width="7.625" style="18" bestFit="1" customWidth="1"/>
    <col min="9193" max="9193" width="12.125" style="18" customWidth="1"/>
    <col min="9194" max="9194" width="14.375" style="18" customWidth="1"/>
    <col min="9195" max="9195" width="11.75" style="18" customWidth="1"/>
    <col min="9196" max="9443" width="9" style="18"/>
    <col min="9444" max="9444" width="5.25" style="18" customWidth="1"/>
    <col min="9445" max="9445" width="22.25" style="18" customWidth="1"/>
    <col min="9446" max="9446" width="27.875" style="18" customWidth="1"/>
    <col min="9447" max="9447" width="6.75" style="18" customWidth="1"/>
    <col min="9448" max="9448" width="7.625" style="18" bestFit="1" customWidth="1"/>
    <col min="9449" max="9449" width="12.125" style="18" customWidth="1"/>
    <col min="9450" max="9450" width="14.375" style="18" customWidth="1"/>
    <col min="9451" max="9451" width="11.75" style="18" customWidth="1"/>
    <col min="9452" max="9699" width="9" style="18"/>
    <col min="9700" max="9700" width="5.25" style="18" customWidth="1"/>
    <col min="9701" max="9701" width="22.25" style="18" customWidth="1"/>
    <col min="9702" max="9702" width="27.875" style="18" customWidth="1"/>
    <col min="9703" max="9703" width="6.75" style="18" customWidth="1"/>
    <col min="9704" max="9704" width="7.625" style="18" bestFit="1" customWidth="1"/>
    <col min="9705" max="9705" width="12.125" style="18" customWidth="1"/>
    <col min="9706" max="9706" width="14.375" style="18" customWidth="1"/>
    <col min="9707" max="9707" width="11.75" style="18" customWidth="1"/>
    <col min="9708" max="9955" width="9" style="18"/>
    <col min="9956" max="9956" width="5.25" style="18" customWidth="1"/>
    <col min="9957" max="9957" width="22.25" style="18" customWidth="1"/>
    <col min="9958" max="9958" width="27.875" style="18" customWidth="1"/>
    <col min="9959" max="9959" width="6.75" style="18" customWidth="1"/>
    <col min="9960" max="9960" width="7.625" style="18" bestFit="1" customWidth="1"/>
    <col min="9961" max="9961" width="12.125" style="18" customWidth="1"/>
    <col min="9962" max="9962" width="14.375" style="18" customWidth="1"/>
    <col min="9963" max="9963" width="11.75" style="18" customWidth="1"/>
    <col min="9964" max="10211" width="9" style="18"/>
    <col min="10212" max="10212" width="5.25" style="18" customWidth="1"/>
    <col min="10213" max="10213" width="22.25" style="18" customWidth="1"/>
    <col min="10214" max="10214" width="27.875" style="18" customWidth="1"/>
    <col min="10215" max="10215" width="6.75" style="18" customWidth="1"/>
    <col min="10216" max="10216" width="7.625" style="18" bestFit="1" customWidth="1"/>
    <col min="10217" max="10217" width="12.125" style="18" customWidth="1"/>
    <col min="10218" max="10218" width="14.375" style="18" customWidth="1"/>
    <col min="10219" max="10219" width="11.75" style="18" customWidth="1"/>
    <col min="10220" max="10467" width="9" style="18"/>
    <col min="10468" max="10468" width="5.25" style="18" customWidth="1"/>
    <col min="10469" max="10469" width="22.25" style="18" customWidth="1"/>
    <col min="10470" max="10470" width="27.875" style="18" customWidth="1"/>
    <col min="10471" max="10471" width="6.75" style="18" customWidth="1"/>
    <col min="10472" max="10472" width="7.625" style="18" bestFit="1" customWidth="1"/>
    <col min="10473" max="10473" width="12.125" style="18" customWidth="1"/>
    <col min="10474" max="10474" width="14.375" style="18" customWidth="1"/>
    <col min="10475" max="10475" width="11.75" style="18" customWidth="1"/>
    <col min="10476" max="10723" width="9" style="18"/>
    <col min="10724" max="10724" width="5.25" style="18" customWidth="1"/>
    <col min="10725" max="10725" width="22.25" style="18" customWidth="1"/>
    <col min="10726" max="10726" width="27.875" style="18" customWidth="1"/>
    <col min="10727" max="10727" width="6.75" style="18" customWidth="1"/>
    <col min="10728" max="10728" width="7.625" style="18" bestFit="1" customWidth="1"/>
    <col min="10729" max="10729" width="12.125" style="18" customWidth="1"/>
    <col min="10730" max="10730" width="14.375" style="18" customWidth="1"/>
    <col min="10731" max="10731" width="11.75" style="18" customWidth="1"/>
    <col min="10732" max="10979" width="9" style="18"/>
    <col min="10980" max="10980" width="5.25" style="18" customWidth="1"/>
    <col min="10981" max="10981" width="22.25" style="18" customWidth="1"/>
    <col min="10982" max="10982" width="27.875" style="18" customWidth="1"/>
    <col min="10983" max="10983" width="6.75" style="18" customWidth="1"/>
    <col min="10984" max="10984" width="7.625" style="18" bestFit="1" customWidth="1"/>
    <col min="10985" max="10985" width="12.125" style="18" customWidth="1"/>
    <col min="10986" max="10986" width="14.375" style="18" customWidth="1"/>
    <col min="10987" max="10987" width="11.75" style="18" customWidth="1"/>
    <col min="10988" max="11235" width="9" style="18"/>
    <col min="11236" max="11236" width="5.25" style="18" customWidth="1"/>
    <col min="11237" max="11237" width="22.25" style="18" customWidth="1"/>
    <col min="11238" max="11238" width="27.875" style="18" customWidth="1"/>
    <col min="11239" max="11239" width="6.75" style="18" customWidth="1"/>
    <col min="11240" max="11240" width="7.625" style="18" bestFit="1" customWidth="1"/>
    <col min="11241" max="11241" width="12.125" style="18" customWidth="1"/>
    <col min="11242" max="11242" width="14.375" style="18" customWidth="1"/>
    <col min="11243" max="11243" width="11.75" style="18" customWidth="1"/>
    <col min="11244" max="11491" width="9" style="18"/>
    <col min="11492" max="11492" width="5.25" style="18" customWidth="1"/>
    <col min="11493" max="11493" width="22.25" style="18" customWidth="1"/>
    <col min="11494" max="11494" width="27.875" style="18" customWidth="1"/>
    <col min="11495" max="11495" width="6.75" style="18" customWidth="1"/>
    <col min="11496" max="11496" width="7.625" style="18" bestFit="1" customWidth="1"/>
    <col min="11497" max="11497" width="12.125" style="18" customWidth="1"/>
    <col min="11498" max="11498" width="14.375" style="18" customWidth="1"/>
    <col min="11499" max="11499" width="11.75" style="18" customWidth="1"/>
    <col min="11500" max="11747" width="9" style="18"/>
    <col min="11748" max="11748" width="5.25" style="18" customWidth="1"/>
    <col min="11749" max="11749" width="22.25" style="18" customWidth="1"/>
    <col min="11750" max="11750" width="27.875" style="18" customWidth="1"/>
    <col min="11751" max="11751" width="6.75" style="18" customWidth="1"/>
    <col min="11752" max="11752" width="7.625" style="18" bestFit="1" customWidth="1"/>
    <col min="11753" max="11753" width="12.125" style="18" customWidth="1"/>
    <col min="11754" max="11754" width="14.375" style="18" customWidth="1"/>
    <col min="11755" max="11755" width="11.75" style="18" customWidth="1"/>
    <col min="11756" max="12003" width="9" style="18"/>
    <col min="12004" max="12004" width="5.25" style="18" customWidth="1"/>
    <col min="12005" max="12005" width="22.25" style="18" customWidth="1"/>
    <col min="12006" max="12006" width="27.875" style="18" customWidth="1"/>
    <col min="12007" max="12007" width="6.75" style="18" customWidth="1"/>
    <col min="12008" max="12008" width="7.625" style="18" bestFit="1" customWidth="1"/>
    <col min="12009" max="12009" width="12.125" style="18" customWidth="1"/>
    <col min="12010" max="12010" width="14.375" style="18" customWidth="1"/>
    <col min="12011" max="12011" width="11.75" style="18" customWidth="1"/>
    <col min="12012" max="12259" width="9" style="18"/>
    <col min="12260" max="12260" width="5.25" style="18" customWidth="1"/>
    <col min="12261" max="12261" width="22.25" style="18" customWidth="1"/>
    <col min="12262" max="12262" width="27.875" style="18" customWidth="1"/>
    <col min="12263" max="12263" width="6.75" style="18" customWidth="1"/>
    <col min="12264" max="12264" width="7.625" style="18" bestFit="1" customWidth="1"/>
    <col min="12265" max="12265" width="12.125" style="18" customWidth="1"/>
    <col min="12266" max="12266" width="14.375" style="18" customWidth="1"/>
    <col min="12267" max="12267" width="11.75" style="18" customWidth="1"/>
    <col min="12268" max="12515" width="9" style="18"/>
    <col min="12516" max="12516" width="5.25" style="18" customWidth="1"/>
    <col min="12517" max="12517" width="22.25" style="18" customWidth="1"/>
    <col min="12518" max="12518" width="27.875" style="18" customWidth="1"/>
    <col min="12519" max="12519" width="6.75" style="18" customWidth="1"/>
    <col min="12520" max="12520" width="7.625" style="18" bestFit="1" customWidth="1"/>
    <col min="12521" max="12521" width="12.125" style="18" customWidth="1"/>
    <col min="12522" max="12522" width="14.375" style="18" customWidth="1"/>
    <col min="12523" max="12523" width="11.75" style="18" customWidth="1"/>
    <col min="12524" max="12771" width="9" style="18"/>
    <col min="12772" max="12772" width="5.25" style="18" customWidth="1"/>
    <col min="12773" max="12773" width="22.25" style="18" customWidth="1"/>
    <col min="12774" max="12774" width="27.875" style="18" customWidth="1"/>
    <col min="12775" max="12775" width="6.75" style="18" customWidth="1"/>
    <col min="12776" max="12776" width="7.625" style="18" bestFit="1" customWidth="1"/>
    <col min="12777" max="12777" width="12.125" style="18" customWidth="1"/>
    <col min="12778" max="12778" width="14.375" style="18" customWidth="1"/>
    <col min="12779" max="12779" width="11.75" style="18" customWidth="1"/>
    <col min="12780" max="13027" width="9" style="18"/>
    <col min="13028" max="13028" width="5.25" style="18" customWidth="1"/>
    <col min="13029" max="13029" width="22.25" style="18" customWidth="1"/>
    <col min="13030" max="13030" width="27.875" style="18" customWidth="1"/>
    <col min="13031" max="13031" width="6.75" style="18" customWidth="1"/>
    <col min="13032" max="13032" width="7.625" style="18" bestFit="1" customWidth="1"/>
    <col min="13033" max="13033" width="12.125" style="18" customWidth="1"/>
    <col min="13034" max="13034" width="14.375" style="18" customWidth="1"/>
    <col min="13035" max="13035" width="11.75" style="18" customWidth="1"/>
    <col min="13036" max="13283" width="9" style="18"/>
    <col min="13284" max="13284" width="5.25" style="18" customWidth="1"/>
    <col min="13285" max="13285" width="22.25" style="18" customWidth="1"/>
    <col min="13286" max="13286" width="27.875" style="18" customWidth="1"/>
    <col min="13287" max="13287" width="6.75" style="18" customWidth="1"/>
    <col min="13288" max="13288" width="7.625" style="18" bestFit="1" customWidth="1"/>
    <col min="13289" max="13289" width="12.125" style="18" customWidth="1"/>
    <col min="13290" max="13290" width="14.375" style="18" customWidth="1"/>
    <col min="13291" max="13291" width="11.75" style="18" customWidth="1"/>
    <col min="13292" max="13539" width="9" style="18"/>
    <col min="13540" max="13540" width="5.25" style="18" customWidth="1"/>
    <col min="13541" max="13541" width="22.25" style="18" customWidth="1"/>
    <col min="13542" max="13542" width="27.875" style="18" customWidth="1"/>
    <col min="13543" max="13543" width="6.75" style="18" customWidth="1"/>
    <col min="13544" max="13544" width="7.625" style="18" bestFit="1" customWidth="1"/>
    <col min="13545" max="13545" width="12.125" style="18" customWidth="1"/>
    <col min="13546" max="13546" width="14.375" style="18" customWidth="1"/>
    <col min="13547" max="13547" width="11.75" style="18" customWidth="1"/>
    <col min="13548" max="13795" width="9" style="18"/>
    <col min="13796" max="13796" width="5.25" style="18" customWidth="1"/>
    <col min="13797" max="13797" width="22.25" style="18" customWidth="1"/>
    <col min="13798" max="13798" width="27.875" style="18" customWidth="1"/>
    <col min="13799" max="13799" width="6.75" style="18" customWidth="1"/>
    <col min="13800" max="13800" width="7.625" style="18" bestFit="1" customWidth="1"/>
    <col min="13801" max="13801" width="12.125" style="18" customWidth="1"/>
    <col min="13802" max="13802" width="14.375" style="18" customWidth="1"/>
    <col min="13803" max="13803" width="11.75" style="18" customWidth="1"/>
    <col min="13804" max="14051" width="9" style="18"/>
    <col min="14052" max="14052" width="5.25" style="18" customWidth="1"/>
    <col min="14053" max="14053" width="22.25" style="18" customWidth="1"/>
    <col min="14054" max="14054" width="27.875" style="18" customWidth="1"/>
    <col min="14055" max="14055" width="6.75" style="18" customWidth="1"/>
    <col min="14056" max="14056" width="7.625" style="18" bestFit="1" customWidth="1"/>
    <col min="14057" max="14057" width="12.125" style="18" customWidth="1"/>
    <col min="14058" max="14058" width="14.375" style="18" customWidth="1"/>
    <col min="14059" max="14059" width="11.75" style="18" customWidth="1"/>
    <col min="14060" max="14307" width="9" style="18"/>
    <col min="14308" max="14308" width="5.25" style="18" customWidth="1"/>
    <col min="14309" max="14309" width="22.25" style="18" customWidth="1"/>
    <col min="14310" max="14310" width="27.875" style="18" customWidth="1"/>
    <col min="14311" max="14311" width="6.75" style="18" customWidth="1"/>
    <col min="14312" max="14312" width="7.625" style="18" bestFit="1" customWidth="1"/>
    <col min="14313" max="14313" width="12.125" style="18" customWidth="1"/>
    <col min="14314" max="14314" width="14.375" style="18" customWidth="1"/>
    <col min="14315" max="14315" width="11.75" style="18" customWidth="1"/>
    <col min="14316" max="14563" width="9" style="18"/>
    <col min="14564" max="14564" width="5.25" style="18" customWidth="1"/>
    <col min="14565" max="14565" width="22.25" style="18" customWidth="1"/>
    <col min="14566" max="14566" width="27.875" style="18" customWidth="1"/>
    <col min="14567" max="14567" width="6.75" style="18" customWidth="1"/>
    <col min="14568" max="14568" width="7.625" style="18" bestFit="1" customWidth="1"/>
    <col min="14569" max="14569" width="12.125" style="18" customWidth="1"/>
    <col min="14570" max="14570" width="14.375" style="18" customWidth="1"/>
    <col min="14571" max="14571" width="11.75" style="18" customWidth="1"/>
    <col min="14572" max="14819" width="9" style="18"/>
    <col min="14820" max="14820" width="5.25" style="18" customWidth="1"/>
    <col min="14821" max="14821" width="22.25" style="18" customWidth="1"/>
    <col min="14822" max="14822" width="27.875" style="18" customWidth="1"/>
    <col min="14823" max="14823" width="6.75" style="18" customWidth="1"/>
    <col min="14824" max="14824" width="7.625" style="18" bestFit="1" customWidth="1"/>
    <col min="14825" max="14825" width="12.125" style="18" customWidth="1"/>
    <col min="14826" max="14826" width="14.375" style="18" customWidth="1"/>
    <col min="14827" max="14827" width="11.75" style="18" customWidth="1"/>
    <col min="14828" max="15075" width="9" style="18"/>
    <col min="15076" max="15076" width="5.25" style="18" customWidth="1"/>
    <col min="15077" max="15077" width="22.25" style="18" customWidth="1"/>
    <col min="15078" max="15078" width="27.875" style="18" customWidth="1"/>
    <col min="15079" max="15079" width="6.75" style="18" customWidth="1"/>
    <col min="15080" max="15080" width="7.625" style="18" bestFit="1" customWidth="1"/>
    <col min="15081" max="15081" width="12.125" style="18" customWidth="1"/>
    <col min="15082" max="15082" width="14.375" style="18" customWidth="1"/>
    <col min="15083" max="15083" width="11.75" style="18" customWidth="1"/>
    <col min="15084" max="15331" width="9" style="18"/>
    <col min="15332" max="15332" width="5.25" style="18" customWidth="1"/>
    <col min="15333" max="15333" width="22.25" style="18" customWidth="1"/>
    <col min="15334" max="15334" width="27.875" style="18" customWidth="1"/>
    <col min="15335" max="15335" width="6.75" style="18" customWidth="1"/>
    <col min="15336" max="15336" width="7.625" style="18" bestFit="1" customWidth="1"/>
    <col min="15337" max="15337" width="12.125" style="18" customWidth="1"/>
    <col min="15338" max="15338" width="14.375" style="18" customWidth="1"/>
    <col min="15339" max="15339" width="11.75" style="18" customWidth="1"/>
    <col min="15340" max="15587" width="9" style="18"/>
    <col min="15588" max="15588" width="5.25" style="18" customWidth="1"/>
    <col min="15589" max="15589" width="22.25" style="18" customWidth="1"/>
    <col min="15590" max="15590" width="27.875" style="18" customWidth="1"/>
    <col min="15591" max="15591" width="6.75" style="18" customWidth="1"/>
    <col min="15592" max="15592" width="7.625" style="18" bestFit="1" customWidth="1"/>
    <col min="15593" max="15593" width="12.125" style="18" customWidth="1"/>
    <col min="15594" max="15594" width="14.375" style="18" customWidth="1"/>
    <col min="15595" max="15595" width="11.75" style="18" customWidth="1"/>
    <col min="15596" max="15843" width="9" style="18"/>
    <col min="15844" max="15844" width="5.25" style="18" customWidth="1"/>
    <col min="15845" max="15845" width="22.25" style="18" customWidth="1"/>
    <col min="15846" max="15846" width="27.875" style="18" customWidth="1"/>
    <col min="15847" max="15847" width="6.75" style="18" customWidth="1"/>
    <col min="15848" max="15848" width="7.625" style="18" bestFit="1" customWidth="1"/>
    <col min="15849" max="15849" width="12.125" style="18" customWidth="1"/>
    <col min="15850" max="15850" width="14.375" style="18" customWidth="1"/>
    <col min="15851" max="15851" width="11.75" style="18" customWidth="1"/>
    <col min="15852" max="16099" width="9" style="18"/>
    <col min="16100" max="16100" width="5.25" style="18" customWidth="1"/>
    <col min="16101" max="16101" width="22.25" style="18" customWidth="1"/>
    <col min="16102" max="16102" width="27.875" style="18" customWidth="1"/>
    <col min="16103" max="16103" width="6.75" style="18" customWidth="1"/>
    <col min="16104" max="16104" width="7.625" style="18" bestFit="1" customWidth="1"/>
    <col min="16105" max="16105" width="12.125" style="18" customWidth="1"/>
    <col min="16106" max="16106" width="14.375" style="18" customWidth="1"/>
    <col min="16107" max="16107" width="11.75" style="18" customWidth="1"/>
    <col min="16108" max="16384" width="9" style="18"/>
  </cols>
  <sheetData>
    <row r="1" spans="1:21" ht="9.9499999999999993" customHeight="1">
      <c r="A1" s="526"/>
      <c r="B1" s="25"/>
      <c r="C1" s="26"/>
      <c r="D1" s="27"/>
      <c r="E1" s="28"/>
      <c r="F1" s="1201"/>
      <c r="G1" s="1201"/>
      <c r="H1" s="246"/>
      <c r="J1" s="526"/>
      <c r="K1" s="25"/>
      <c r="L1" s="26"/>
      <c r="M1" s="27"/>
      <c r="N1" s="28"/>
      <c r="O1" s="25"/>
      <c r="P1" s="25"/>
      <c r="Q1" s="246"/>
    </row>
    <row r="2" spans="1:21" s="29" customFormat="1" ht="31.5">
      <c r="A2" s="1861" t="s">
        <v>2618</v>
      </c>
      <c r="B2" s="1861"/>
      <c r="C2" s="1861"/>
      <c r="D2" s="1861"/>
      <c r="E2" s="1861"/>
      <c r="F2" s="1861"/>
      <c r="G2" s="1861"/>
      <c r="H2" s="1861"/>
      <c r="J2" s="1861" t="s">
        <v>1528</v>
      </c>
      <c r="K2" s="1861"/>
      <c r="L2" s="1861"/>
      <c r="M2" s="1861"/>
      <c r="N2" s="1861"/>
      <c r="O2" s="1861"/>
      <c r="P2" s="1861"/>
      <c r="Q2" s="1861"/>
    </row>
    <row r="3" spans="1:21" s="33" customFormat="1" ht="24.95" customHeight="1">
      <c r="A3" s="527" t="str">
        <f>표지!A13</f>
        <v>공사명 : 동해안#1 변환소 전력통신설비 시설공사</v>
      </c>
      <c r="B3" s="30"/>
      <c r="C3" s="1237"/>
      <c r="D3" s="32"/>
      <c r="F3" s="1202"/>
      <c r="G3" s="1202"/>
      <c r="H3" s="32"/>
      <c r="J3" s="527" t="str">
        <f>$A3</f>
        <v>공사명 : 동해안#1 변환소 전력통신설비 시설공사</v>
      </c>
      <c r="K3" s="30"/>
      <c r="L3" s="31"/>
      <c r="M3" s="32"/>
      <c r="Q3" s="32"/>
    </row>
    <row r="4" spans="1:21" s="34" customFormat="1" ht="25.15" customHeight="1">
      <c r="A4" s="528" t="s">
        <v>47</v>
      </c>
      <c r="B4" s="460" t="s">
        <v>48</v>
      </c>
      <c r="C4" s="460" t="s">
        <v>49</v>
      </c>
      <c r="D4" s="460" t="s">
        <v>38</v>
      </c>
      <c r="E4" s="462" t="s">
        <v>50</v>
      </c>
      <c r="F4" s="1203" t="s">
        <v>51</v>
      </c>
      <c r="G4" s="1203" t="s">
        <v>52</v>
      </c>
      <c r="H4" s="464" t="s">
        <v>53</v>
      </c>
      <c r="J4" s="528" t="s">
        <v>47</v>
      </c>
      <c r="K4" s="460" t="s">
        <v>48</v>
      </c>
      <c r="L4" s="461" t="s">
        <v>49</v>
      </c>
      <c r="M4" s="460" t="s">
        <v>38</v>
      </c>
      <c r="N4" s="462" t="s">
        <v>50</v>
      </c>
      <c r="O4" s="463" t="s">
        <v>51</v>
      </c>
      <c r="P4" s="463" t="s">
        <v>52</v>
      </c>
      <c r="Q4" s="464" t="s">
        <v>0</v>
      </c>
    </row>
    <row r="5" spans="1:21" s="34" customFormat="1" ht="25.15" hidden="1" customHeight="1">
      <c r="A5" s="529" t="s">
        <v>215</v>
      </c>
      <c r="B5" s="465"/>
      <c r="C5" s="466"/>
      <c r="D5" s="394"/>
      <c r="E5" s="467"/>
      <c r="F5" s="1204"/>
      <c r="G5" s="1216">
        <f>G6+G111</f>
        <v>1125295538.8800001</v>
      </c>
      <c r="H5" s="245"/>
      <c r="J5" s="529" t="s">
        <v>215</v>
      </c>
      <c r="K5" s="465"/>
      <c r="L5" s="466"/>
      <c r="M5" s="394"/>
      <c r="N5" s="467"/>
      <c r="O5" s="468"/>
      <c r="P5" s="469" t="e">
        <f>P6+P111</f>
        <v>#REF!</v>
      </c>
      <c r="Q5" s="245"/>
      <c r="R5" s="34">
        <f t="shared" ref="R5:R11" si="0">E5-N5</f>
        <v>0</v>
      </c>
      <c r="S5" s="34" t="e">
        <f t="shared" ref="S5:S11" si="1">G5-P5</f>
        <v>#REF!</v>
      </c>
      <c r="T5" s="34" t="e">
        <f>#REF!+#REF!</f>
        <v>#REF!</v>
      </c>
      <c r="U5" s="34" t="e">
        <f>P5-T5</f>
        <v>#REF!</v>
      </c>
    </row>
    <row r="6" spans="1:21" s="34" customFormat="1" ht="24.95" hidden="1" customHeight="1">
      <c r="A6" s="529" t="s">
        <v>321</v>
      </c>
      <c r="B6" s="465"/>
      <c r="C6" s="466"/>
      <c r="D6" s="394"/>
      <c r="E6" s="467"/>
      <c r="F6" s="1204"/>
      <c r="G6" s="1216">
        <f>G8+G31+G45+G52+G57</f>
        <v>1056959053</v>
      </c>
      <c r="H6" s="245"/>
      <c r="I6" s="34" t="s">
        <v>2440</v>
      </c>
      <c r="J6" s="529" t="s">
        <v>321</v>
      </c>
      <c r="K6" s="465"/>
      <c r="L6" s="466"/>
      <c r="M6" s="394"/>
      <c r="N6" s="467"/>
      <c r="O6" s="468"/>
      <c r="P6" s="469" t="e">
        <f>#REF!+#REF!+#REF!+P8+P31+P45</f>
        <v>#REF!</v>
      </c>
      <c r="Q6" s="245"/>
      <c r="R6" s="34">
        <f t="shared" si="0"/>
        <v>0</v>
      </c>
      <c r="S6" s="34" t="e">
        <f t="shared" si="1"/>
        <v>#REF!</v>
      </c>
      <c r="T6" s="34" t="e">
        <f>#REF!+#REF!</f>
        <v>#REF!</v>
      </c>
      <c r="U6" s="34" t="e">
        <f t="shared" ref="U6:U39" si="2">P6-T6</f>
        <v>#REF!</v>
      </c>
    </row>
    <row r="7" spans="1:21" s="22" customFormat="1" ht="25.15" hidden="1" customHeight="1">
      <c r="A7" s="530"/>
      <c r="B7" s="392"/>
      <c r="C7" s="393"/>
      <c r="D7" s="430"/>
      <c r="E7" s="394"/>
      <c r="F7" s="1200"/>
      <c r="G7" s="1200"/>
      <c r="H7" s="248"/>
      <c r="J7" s="530"/>
      <c r="K7" s="392"/>
      <c r="L7" s="429"/>
      <c r="M7" s="430"/>
      <c r="N7" s="394" t="e">
        <f>#REF!+#REF!</f>
        <v>#REF!</v>
      </c>
      <c r="O7" s="393"/>
      <c r="P7" s="393"/>
      <c r="Q7" s="248"/>
      <c r="R7" s="34" t="e">
        <f t="shared" si="0"/>
        <v>#REF!</v>
      </c>
      <c r="S7" s="34">
        <f t="shared" si="1"/>
        <v>0</v>
      </c>
      <c r="T7" s="34" t="e">
        <f>#REF!+#REF!</f>
        <v>#REF!</v>
      </c>
      <c r="U7" s="34" t="e">
        <f t="shared" si="2"/>
        <v>#REF!</v>
      </c>
    </row>
    <row r="8" spans="1:21" s="34" customFormat="1" ht="25.15" hidden="1" customHeight="1">
      <c r="A8" s="532" t="str">
        <f>'8-1.설비자재산출(전력통신)'!A3</f>
        <v>1. 송변전광전송단말장치</v>
      </c>
      <c r="B8" s="466"/>
      <c r="C8" s="466"/>
      <c r="D8" s="394"/>
      <c r="E8" s="394"/>
      <c r="F8" s="1200"/>
      <c r="G8" s="1216">
        <f>SUM(G9:G28)</f>
        <v>320731684</v>
      </c>
      <c r="H8" s="248"/>
      <c r="J8" s="532" t="str">
        <f t="shared" ref="J8:J11" si="3">$A8</f>
        <v>1. 송변전광전송단말장치</v>
      </c>
      <c r="K8" s="466"/>
      <c r="L8" s="466"/>
      <c r="M8" s="394"/>
      <c r="N8" s="394" t="e">
        <f>#REF!+#REF!</f>
        <v>#REF!</v>
      </c>
      <c r="O8" s="393"/>
      <c r="P8" s="469" t="e">
        <f>SUM(P9:P116)</f>
        <v>#REF!</v>
      </c>
      <c r="Q8" s="248"/>
      <c r="R8" s="34" t="e">
        <f t="shared" si="0"/>
        <v>#REF!</v>
      </c>
      <c r="S8" s="34" t="e">
        <f t="shared" si="1"/>
        <v>#REF!</v>
      </c>
      <c r="T8" s="34" t="e">
        <f>#REF!+#REF!</f>
        <v>#REF!</v>
      </c>
      <c r="U8" s="34" t="e">
        <f t="shared" si="2"/>
        <v>#REF!</v>
      </c>
    </row>
    <row r="9" spans="1:21" s="34" customFormat="1" ht="25.15" hidden="1" customHeight="1">
      <c r="A9" s="530">
        <f>'8-1.설비자재산출(전력통신)'!B7</f>
        <v>126546</v>
      </c>
      <c r="B9" s="392" t="str">
        <f>'8-1.설비자재산출(전력통신)'!C7</f>
        <v>주셀프</v>
      </c>
      <c r="C9" s="1238" t="str">
        <f>'8-1.설비자재산출(전력통신)'!D7</f>
        <v>MAIN-S</v>
      </c>
      <c r="D9" s="430" t="str">
        <f>'8-1.설비자재산출(전력통신)'!I7</f>
        <v>EA</v>
      </c>
      <c r="E9" s="394">
        <f>'8-1.설비자재산출(전력통신)'!N7</f>
        <v>3</v>
      </c>
      <c r="F9" s="1200">
        <f>VLOOKUP(C9,'8-6.자재단가비교표'!$C$7:$O$332,12,0)</f>
        <v>3238028.3868899997</v>
      </c>
      <c r="G9" s="1200">
        <f t="shared" ref="G9" si="4">INT(E9*F9)</f>
        <v>9714085</v>
      </c>
      <c r="H9" s="248" t="str">
        <f>VLOOKUP(C9,'8-6.자재단가비교표'!$C$7:$O$332,13,0)</f>
        <v>ERP단가</v>
      </c>
      <c r="J9" s="530">
        <f t="shared" si="3"/>
        <v>126546</v>
      </c>
      <c r="K9" s="392" t="str">
        <f t="shared" ref="K9:K11" si="5">$B9</f>
        <v>주셀프</v>
      </c>
      <c r="L9" s="392" t="str">
        <f t="shared" ref="L9:L11" si="6">$C9</f>
        <v>MAIN-S</v>
      </c>
      <c r="M9" s="430" t="str">
        <f t="shared" ref="M9:M11" si="7">$D9</f>
        <v>EA</v>
      </c>
      <c r="N9" s="394" t="e">
        <f>#REF!+#REF!</f>
        <v>#REF!</v>
      </c>
      <c r="O9" s="393">
        <f>VLOOKUP(L9,'8-6.자재단가비교표'!$C$8:$O$332,12,0)</f>
        <v>3238028.3868899997</v>
      </c>
      <c r="P9" s="393" t="e">
        <f t="shared" ref="P9:P11" si="8">INT(N9*O9)</f>
        <v>#REF!</v>
      </c>
      <c r="Q9" s="248" t="str">
        <f>VLOOKUP(L9,'8-6.자재단가비교표'!$C$8:$O$328,13,0)</f>
        <v>ERP단가</v>
      </c>
      <c r="R9" s="34" t="e">
        <f t="shared" si="0"/>
        <v>#REF!</v>
      </c>
      <c r="S9" s="34" t="e">
        <f t="shared" si="1"/>
        <v>#REF!</v>
      </c>
      <c r="T9" s="34" t="e">
        <f>#REF!+#REF!</f>
        <v>#REF!</v>
      </c>
      <c r="U9" s="34" t="e">
        <f t="shared" si="2"/>
        <v>#REF!</v>
      </c>
    </row>
    <row r="10" spans="1:21" s="34" customFormat="1" ht="25.15" hidden="1" customHeight="1">
      <c r="A10" s="530">
        <f>'8-1.설비자재산출(전력통신)'!B8</f>
        <v>126547</v>
      </c>
      <c r="B10" s="392" t="str">
        <f>'8-1.설비자재산출(전력통신)'!C8</f>
        <v>확장셀프</v>
      </c>
      <c r="C10" s="1238" t="str">
        <f>'8-1.설비자재산출(전력통신)'!D8</f>
        <v>EXT-S</v>
      </c>
      <c r="D10" s="430" t="str">
        <f>'8-1.설비자재산출(전력통신)'!I8</f>
        <v>EA</v>
      </c>
      <c r="E10" s="394">
        <f>'8-1.설비자재산출(전력통신)'!N8</f>
        <v>0</v>
      </c>
      <c r="F10" s="1200">
        <f>VLOOKUP(C10,'8-6.자재단가비교표'!$C$7:$O$332,12,0)</f>
        <v>2996081.8288499997</v>
      </c>
      <c r="G10" s="1200">
        <f t="shared" ref="G10:G28" si="9">INT(E10*F10)</f>
        <v>0</v>
      </c>
      <c r="H10" s="248" t="str">
        <f>VLOOKUP(C10,'8-6.자재단가비교표'!$C$7:$O$332,13,0)</f>
        <v>ERP단가</v>
      </c>
      <c r="J10" s="530">
        <f t="shared" si="3"/>
        <v>126547</v>
      </c>
      <c r="K10" s="392" t="str">
        <f t="shared" si="5"/>
        <v>확장셀프</v>
      </c>
      <c r="L10" s="392" t="str">
        <f t="shared" si="6"/>
        <v>EXT-S</v>
      </c>
      <c r="M10" s="430" t="str">
        <f t="shared" si="7"/>
        <v>EA</v>
      </c>
      <c r="N10" s="394" t="e">
        <f>#REF!+#REF!</f>
        <v>#REF!</v>
      </c>
      <c r="O10" s="393">
        <f>VLOOKUP(L10,'8-6.자재단가비교표'!$C$8:$O$332,12,0)</f>
        <v>2996081.8288499997</v>
      </c>
      <c r="P10" s="393" t="e">
        <f t="shared" si="8"/>
        <v>#REF!</v>
      </c>
      <c r="Q10" s="248" t="str">
        <f>VLOOKUP(L10,'8-6.자재단가비교표'!$C$8:$O$328,13,0)</f>
        <v>ERP단가</v>
      </c>
      <c r="R10" s="34" t="e">
        <f t="shared" si="0"/>
        <v>#REF!</v>
      </c>
      <c r="S10" s="34" t="e">
        <f t="shared" si="1"/>
        <v>#REF!</v>
      </c>
      <c r="T10" s="34" t="e">
        <f>#REF!+#REF!</f>
        <v>#REF!</v>
      </c>
      <c r="U10" s="34" t="e">
        <f t="shared" si="2"/>
        <v>#REF!</v>
      </c>
    </row>
    <row r="11" spans="1:21" s="34" customFormat="1" ht="25.15" hidden="1" customHeight="1">
      <c r="A11" s="530">
        <f>'8-1.설비자재산출(전력통신)'!B9</f>
        <v>126548</v>
      </c>
      <c r="B11" s="392" t="str">
        <f>'8-1.설비자재산출(전력통신)'!C9</f>
        <v>광전송유니트(A)</v>
      </c>
      <c r="C11" s="1238" t="str">
        <f>'8-1.설비자재산출(전력통신)'!D9</f>
        <v>CTRU(A)</v>
      </c>
      <c r="D11" s="430" t="str">
        <f>'8-1.설비자재산출(전력통신)'!I9</f>
        <v>EA</v>
      </c>
      <c r="E11" s="394">
        <f>'8-1.설비자재산출(전력통신)'!N9</f>
        <v>4</v>
      </c>
      <c r="F11" s="1200">
        <f>VLOOKUP(C11,'8-6.자재단가비교표'!$C$7:$O$332,12,0)</f>
        <v>15504515.83296</v>
      </c>
      <c r="G11" s="1200">
        <f t="shared" si="9"/>
        <v>62018063</v>
      </c>
      <c r="H11" s="248" t="str">
        <f>VLOOKUP(C11,'8-6.자재단가비교표'!$C$7:$O$332,13,0)</f>
        <v>ERP단가</v>
      </c>
      <c r="J11" s="530">
        <f t="shared" si="3"/>
        <v>126548</v>
      </c>
      <c r="K11" s="392" t="str">
        <f t="shared" si="5"/>
        <v>광전송유니트(A)</v>
      </c>
      <c r="L11" s="392" t="str">
        <f t="shared" si="6"/>
        <v>CTRU(A)</v>
      </c>
      <c r="M11" s="430" t="str">
        <f t="shared" si="7"/>
        <v>EA</v>
      </c>
      <c r="N11" s="394" t="e">
        <f>#REF!+#REF!</f>
        <v>#REF!</v>
      </c>
      <c r="O11" s="393">
        <f>VLOOKUP(L11,'8-6.자재단가비교표'!$C$8:$O$332,12,0)</f>
        <v>15504515.83296</v>
      </c>
      <c r="P11" s="393" t="e">
        <f t="shared" si="8"/>
        <v>#REF!</v>
      </c>
      <c r="Q11" s="248" t="str">
        <f>VLOOKUP(L11,'8-6.자재단가비교표'!$C$8:$O$328,13,0)</f>
        <v>ERP단가</v>
      </c>
      <c r="R11" s="34" t="e">
        <f t="shared" si="0"/>
        <v>#REF!</v>
      </c>
      <c r="S11" s="34" t="e">
        <f t="shared" si="1"/>
        <v>#REF!</v>
      </c>
      <c r="T11" s="34" t="e">
        <f>#REF!+#REF!</f>
        <v>#REF!</v>
      </c>
      <c r="U11" s="34" t="e">
        <f t="shared" si="2"/>
        <v>#REF!</v>
      </c>
    </row>
    <row r="12" spans="1:21" s="34" customFormat="1" ht="25.15" hidden="1" customHeight="1">
      <c r="A12" s="530">
        <f>'8-1.설비자재산출(전력통신)'!B10</f>
        <v>126549</v>
      </c>
      <c r="B12" s="392" t="str">
        <f>'8-1.설비자재산출(전력통신)'!C10</f>
        <v>광전송유니트(B)</v>
      </c>
      <c r="C12" s="1238" t="str">
        <f>'8-1.설비자재산출(전력통신)'!D10</f>
        <v>CTRU(B)</v>
      </c>
      <c r="D12" s="430" t="str">
        <f>'8-1.설비자재산출(전력통신)'!I10</f>
        <v>대</v>
      </c>
      <c r="E12" s="394">
        <f>'8-1.설비자재산출(전력통신)'!N10</f>
        <v>0</v>
      </c>
      <c r="F12" s="1200">
        <f>VLOOKUP(C12,'8-6.자재단가비교표'!$C$7:$O$332,12,0)</f>
        <v>15965698.270499999</v>
      </c>
      <c r="G12" s="1200">
        <f t="shared" si="9"/>
        <v>0</v>
      </c>
      <c r="H12" s="248" t="str">
        <f>VLOOKUP(C12,'8-6.자재단가비교표'!$C$7:$O$332,13,0)</f>
        <v>ERP단가</v>
      </c>
      <c r="J12" s="530"/>
      <c r="K12" s="392"/>
      <c r="L12" s="392"/>
      <c r="M12" s="430"/>
      <c r="N12" s="394"/>
      <c r="O12" s="393"/>
      <c r="P12" s="393"/>
      <c r="Q12" s="248"/>
    </row>
    <row r="13" spans="1:21" s="34" customFormat="1" ht="25.15" hidden="1" customHeight="1">
      <c r="A13" s="530">
        <f>'8-1.설비자재산출(전력통신)'!B11</f>
        <v>126550</v>
      </c>
      <c r="B13" s="392" t="str">
        <f>'8-1.설비자재산출(전력통신)'!C11</f>
        <v>광전송유니트(C)</v>
      </c>
      <c r="C13" s="1238" t="str">
        <f>'8-1.설비자재산출(전력통신)'!D11</f>
        <v xml:space="preserve"> CTRU(C)</v>
      </c>
      <c r="D13" s="430" t="str">
        <f>'8-1.설비자재산출(전력통신)'!I11</f>
        <v>EA</v>
      </c>
      <c r="E13" s="394">
        <f>'8-1.설비자재산출(전력통신)'!N11</f>
        <v>2</v>
      </c>
      <c r="F13" s="1200">
        <f>VLOOKUP(C13,'8-6.자재단가비교표'!$C$7:$O$332,12,0)</f>
        <v>19091521.936079998</v>
      </c>
      <c r="G13" s="1200">
        <f t="shared" si="9"/>
        <v>38183043</v>
      </c>
      <c r="H13" s="248" t="str">
        <f>VLOOKUP(C13,'8-6.자재단가비교표'!$C$7:$O$332,13,0)</f>
        <v>ERP단가</v>
      </c>
      <c r="J13" s="530"/>
      <c r="K13" s="392"/>
      <c r="L13" s="392"/>
      <c r="M13" s="430"/>
      <c r="N13" s="394"/>
      <c r="O13" s="393"/>
      <c r="P13" s="393"/>
      <c r="Q13" s="248"/>
    </row>
    <row r="14" spans="1:21" s="34" customFormat="1" ht="25.15" hidden="1" customHeight="1">
      <c r="A14" s="530">
        <f>'8-1.설비자재산출(전력통신)'!B12</f>
        <v>126551</v>
      </c>
      <c r="B14" s="392" t="str">
        <f>'8-1.설비자재산출(전력통신)'!C12</f>
        <v>제어유니트</v>
      </c>
      <c r="C14" s="1238" t="str">
        <f>'8-1.설비자재산출(전력통신)'!D12</f>
        <v>MCU</v>
      </c>
      <c r="D14" s="430" t="str">
        <f>'8-1.설비자재산출(전력통신)'!I12</f>
        <v>EA</v>
      </c>
      <c r="E14" s="394">
        <f>'8-1.설비자재산출(전력통신)'!N12</f>
        <v>3</v>
      </c>
      <c r="F14" s="1200">
        <f>VLOOKUP(C14,'8-6.자재단가비교표'!$C$7:$O$332,12,0)</f>
        <v>2309608.96881</v>
      </c>
      <c r="G14" s="1200">
        <f t="shared" si="9"/>
        <v>6928826</v>
      </c>
      <c r="H14" s="248" t="str">
        <f>VLOOKUP(C14,'8-6.자재단가비교표'!$C$7:$O$332,13,0)</f>
        <v>ERP단가</v>
      </c>
      <c r="J14" s="530"/>
      <c r="K14" s="392"/>
      <c r="L14" s="392"/>
      <c r="M14" s="430"/>
      <c r="N14" s="394"/>
      <c r="O14" s="393"/>
      <c r="P14" s="393"/>
      <c r="Q14" s="248"/>
    </row>
    <row r="15" spans="1:21" s="34" customFormat="1" ht="25.15" hidden="1" customHeight="1">
      <c r="A15" s="530">
        <f>'8-1.설비자재산출(전력통신)'!B13</f>
        <v>126552</v>
      </c>
      <c r="B15" s="392" t="str">
        <f>'8-1.설비자재산출(전력통신)'!C13</f>
        <v>DS-1/E 회선유니트</v>
      </c>
      <c r="C15" s="1238" t="str">
        <f>'8-1.설비자재산출(전력통신)'!D13</f>
        <v>LIU</v>
      </c>
      <c r="D15" s="430" t="str">
        <f>'8-1.설비자재산출(전력통신)'!I13</f>
        <v>EA</v>
      </c>
      <c r="E15" s="394">
        <f>'8-1.설비자재산출(전력통신)'!N13</f>
        <v>3</v>
      </c>
      <c r="F15" s="1200">
        <f>VLOOKUP(C15,'8-6.자재단가비교표'!$C$7:$O$332,12,0)</f>
        <v>2890329.14445</v>
      </c>
      <c r="G15" s="1200">
        <f t="shared" si="9"/>
        <v>8670987</v>
      </c>
      <c r="H15" s="248" t="str">
        <f>VLOOKUP(C15,'8-6.자재단가비교표'!$C$7:$O$332,13,0)</f>
        <v>ERP단가</v>
      </c>
      <c r="J15" s="530"/>
      <c r="K15" s="392"/>
      <c r="L15" s="392"/>
      <c r="M15" s="430"/>
      <c r="N15" s="394"/>
      <c r="O15" s="393"/>
      <c r="P15" s="393"/>
      <c r="Q15" s="248"/>
    </row>
    <row r="16" spans="1:21" s="34" customFormat="1" ht="25.15" hidden="1" customHeight="1">
      <c r="A16" s="530">
        <f>'8-1.설비자재산출(전력통신)'!B14</f>
        <v>126553</v>
      </c>
      <c r="B16" s="392" t="str">
        <f>'8-1.설비자재산출(전력통신)'!C14</f>
        <v>계통보호 회선유니트</v>
      </c>
      <c r="C16" s="1238" t="str">
        <f>'8-1.설비자재산출(전력통신)'!D14</f>
        <v>PIU</v>
      </c>
      <c r="D16" s="430" t="str">
        <f>'8-1.설비자재산출(전력통신)'!I14</f>
        <v>EA</v>
      </c>
      <c r="E16" s="394">
        <f>'8-1.설비자재산출(전력통신)'!N14</f>
        <v>0</v>
      </c>
      <c r="F16" s="1200">
        <f>VLOOKUP(C16,'8-6.자재단가비교표'!$C$7:$O$332,12,0)</f>
        <v>0</v>
      </c>
      <c r="G16" s="1200">
        <f t="shared" si="9"/>
        <v>0</v>
      </c>
      <c r="H16" s="248" t="str">
        <f>VLOOKUP(C16,'8-6.자재단가비교표'!$C$7:$O$332,13,0)</f>
        <v>ERP단가</v>
      </c>
      <c r="J16" s="530"/>
      <c r="K16" s="392"/>
      <c r="L16" s="392"/>
      <c r="M16" s="430"/>
      <c r="N16" s="394"/>
      <c r="O16" s="393"/>
      <c r="P16" s="393"/>
      <c r="Q16" s="248"/>
    </row>
    <row r="17" spans="1:21" s="34" customFormat="1" ht="25.15" hidden="1" customHeight="1">
      <c r="A17" s="530">
        <f>'8-1.설비자재산출(전력통신)'!B15</f>
        <v>126554</v>
      </c>
      <c r="B17" s="392" t="str">
        <f>'8-1.설비자재산출(전력통신)'!C15</f>
        <v>확장셀프 데이터
집선유니트</v>
      </c>
      <c r="C17" s="1238" t="str">
        <f>'8-1.설비자재산출(전력통신)'!D15</f>
        <v>ECU</v>
      </c>
      <c r="D17" s="430" t="str">
        <f>'8-1.설비자재산출(전력통신)'!I15</f>
        <v>EA</v>
      </c>
      <c r="E17" s="394">
        <f>'8-1.설비자재산출(전력통신)'!N15</f>
        <v>0</v>
      </c>
      <c r="F17" s="1200">
        <f>VLOOKUP(C17,'8-6.자재단가비교표'!$C$7:$O$332,12,0)</f>
        <v>1626802.1784299999</v>
      </c>
      <c r="G17" s="1200">
        <f t="shared" si="9"/>
        <v>0</v>
      </c>
      <c r="H17" s="248" t="str">
        <f>VLOOKUP(C17,'8-6.자재단가비교표'!$C$7:$O$332,13,0)</f>
        <v>ERP단가</v>
      </c>
      <c r="J17" s="530"/>
      <c r="K17" s="392"/>
      <c r="L17" s="392"/>
      <c r="M17" s="430"/>
      <c r="N17" s="394"/>
      <c r="O17" s="393"/>
      <c r="P17" s="393"/>
      <c r="Q17" s="248"/>
    </row>
    <row r="18" spans="1:21" s="34" customFormat="1" ht="25.15" hidden="1" customHeight="1">
      <c r="A18" s="530">
        <f>'8-1.설비자재산출(전력통신)'!B16</f>
        <v>127955</v>
      </c>
      <c r="B18" s="392" t="str">
        <f>'8-1.설비자재산출(전력통신)'!C16</f>
        <v>채널급 유니트</v>
      </c>
      <c r="C18" s="1238" t="str">
        <f>'8-1.설비자재산출(전력통신)'!D16</f>
        <v>4W E&amp;M</v>
      </c>
      <c r="D18" s="430" t="str">
        <f>'8-1.설비자재산출(전력통신)'!I16</f>
        <v>EA</v>
      </c>
      <c r="E18" s="394">
        <f>'8-1.설비자재산출(전력통신)'!N16</f>
        <v>0</v>
      </c>
      <c r="F18" s="1200">
        <f>VLOOKUP(C18,'8-6.자재단가비교표'!$C$7:$O$332,12,0)</f>
        <v>2297842.0961099998</v>
      </c>
      <c r="G18" s="1200">
        <f t="shared" si="9"/>
        <v>0</v>
      </c>
      <c r="H18" s="248" t="str">
        <f>VLOOKUP(C18,'8-6.자재단가비교표'!$C$7:$O$332,13,0)</f>
        <v>ERP단가</v>
      </c>
      <c r="J18" s="530"/>
      <c r="K18" s="392"/>
      <c r="L18" s="392"/>
      <c r="M18" s="430"/>
      <c r="N18" s="394"/>
      <c r="O18" s="393"/>
      <c r="P18" s="393"/>
      <c r="Q18" s="248"/>
    </row>
    <row r="19" spans="1:21" s="34" customFormat="1" ht="25.15" hidden="1" customHeight="1">
      <c r="A19" s="530">
        <f>'8-1.설비자재산출(전력통신)'!B17</f>
        <v>126555</v>
      </c>
      <c r="B19" s="392" t="str">
        <f>'8-1.설비자재산출(전력통신)'!C17</f>
        <v>P-to-P(A) 광전송장치</v>
      </c>
      <c r="C19" s="1238" t="str">
        <f>'8-1.설비자재산출(전력통신)'!D17</f>
        <v>PTPU(A)</v>
      </c>
      <c r="D19" s="430" t="str">
        <f>'8-1.설비자재산출(전력통신)'!I17</f>
        <v>EA</v>
      </c>
      <c r="E19" s="394">
        <f>'8-1.설비자재산출(전력통신)'!N17</f>
        <v>0</v>
      </c>
      <c r="F19" s="1200">
        <f>VLOOKUP(C19,'8-6.자재단가비교표'!$C$7:$O$332,12,0)</f>
        <v>3427715.4641399998</v>
      </c>
      <c r="G19" s="1200">
        <f t="shared" si="9"/>
        <v>0</v>
      </c>
      <c r="H19" s="248" t="str">
        <f>VLOOKUP(C19,'8-6.자재단가비교표'!$C$7:$O$332,13,0)</f>
        <v>ERP단가</v>
      </c>
      <c r="J19" s="530"/>
      <c r="K19" s="392"/>
      <c r="L19" s="392"/>
      <c r="M19" s="430"/>
      <c r="N19" s="394"/>
      <c r="O19" s="393"/>
      <c r="P19" s="393"/>
      <c r="Q19" s="248"/>
    </row>
    <row r="20" spans="1:21" s="34" customFormat="1" ht="25.15" hidden="1" customHeight="1">
      <c r="A20" s="530">
        <f>'8-1.설비자재산출(전력통신)'!B18</f>
        <v>126556</v>
      </c>
      <c r="B20" s="392" t="str">
        <f>'8-1.설비자재산출(전력통신)'!C18</f>
        <v>P-to-P(B) 광전송장치</v>
      </c>
      <c r="C20" s="1238" t="str">
        <f>'8-1.설비자재산출(전력통신)'!D18</f>
        <v>PTPU(B)</v>
      </c>
      <c r="D20" s="430" t="str">
        <f>'8-1.설비자재산출(전력통신)'!I18</f>
        <v>EA</v>
      </c>
      <c r="E20" s="394">
        <f>'8-1.설비자재산출(전력통신)'!N18</f>
        <v>0</v>
      </c>
      <c r="F20" s="1200">
        <f>VLOOKUP(C20,'8-6.자재단가비교표'!$C$7:$O$332,12,0)</f>
        <v>3998046.3949799999</v>
      </c>
      <c r="G20" s="1200">
        <f t="shared" si="9"/>
        <v>0</v>
      </c>
      <c r="H20" s="248" t="str">
        <f>VLOOKUP(C20,'8-6.자재단가비교표'!$C$7:$O$332,13,0)</f>
        <v>ERP단가</v>
      </c>
      <c r="J20" s="530"/>
      <c r="K20" s="392"/>
      <c r="L20" s="392"/>
      <c r="M20" s="430"/>
      <c r="N20" s="394"/>
      <c r="O20" s="393"/>
      <c r="P20" s="393"/>
      <c r="Q20" s="248"/>
    </row>
    <row r="21" spans="1:21" s="34" customFormat="1" ht="25.15" hidden="1" customHeight="1">
      <c r="A21" s="530">
        <f>'8-1.설비자재산출(전력통신)'!B19</f>
        <v>126557</v>
      </c>
      <c r="B21" s="392" t="str">
        <f>'8-1.설비자재산출(전력통신)'!C19</f>
        <v>P-to-P(C) 광전송장치</v>
      </c>
      <c r="C21" s="1238" t="str">
        <f>'8-1.설비자재산출(전력통신)'!D19</f>
        <v>PTPU(C)</v>
      </c>
      <c r="D21" s="430" t="str">
        <f>'8-1.설비자재산출(전력통신)'!I19</f>
        <v>EA</v>
      </c>
      <c r="E21" s="394">
        <f>'8-1.설비자재산출(전력통신)'!N19</f>
        <v>2</v>
      </c>
      <c r="F21" s="1200">
        <f>VLOOKUP(C21,'8-6.자재단가비교표'!$C$7:$O$332,12,0)</f>
        <v>4764201.4282499999</v>
      </c>
      <c r="G21" s="1200">
        <f t="shared" si="9"/>
        <v>9528402</v>
      </c>
      <c r="H21" s="248" t="str">
        <f>VLOOKUP(C21,'8-6.자재단가비교표'!$C$7:$O$332,13,0)</f>
        <v>ERP단가</v>
      </c>
      <c r="J21" s="530"/>
      <c r="K21" s="392"/>
      <c r="L21" s="392"/>
      <c r="M21" s="430"/>
      <c r="N21" s="394"/>
      <c r="O21" s="393"/>
      <c r="P21" s="393"/>
      <c r="Q21" s="248"/>
    </row>
    <row r="22" spans="1:21" s="34" customFormat="1" ht="25.15" hidden="1" customHeight="1">
      <c r="A22" s="530">
        <f>'8-1.설비자재산출(전력통신)'!B20</f>
        <v>126558</v>
      </c>
      <c r="B22" s="392" t="str">
        <f>'8-1.설비자재산출(전력통신)'!C20</f>
        <v>전용랙(내진)</v>
      </c>
      <c r="C22" s="1238" t="str">
        <f>'8-1.설비자재산출(전력통신)'!D20</f>
        <v>19"-내진랙</v>
      </c>
      <c r="D22" s="430" t="str">
        <f>'8-1.설비자재산출(전력통신)'!I20</f>
        <v>EA</v>
      </c>
      <c r="E22" s="394">
        <f>'8-1.설비자재산출(전력통신)'!N20</f>
        <v>4</v>
      </c>
      <c r="F22" s="1200">
        <f>VLOOKUP(C22,'8-6.자재단가비교표'!$C$7:$O$332,12,0)</f>
        <v>5985995.9210700002</v>
      </c>
      <c r="G22" s="1200">
        <f t="shared" si="9"/>
        <v>23943983</v>
      </c>
      <c r="H22" s="248" t="str">
        <f>VLOOKUP(C22,'8-6.자재단가비교표'!$C$7:$O$332,13,0)</f>
        <v>ERP단가</v>
      </c>
      <c r="J22" s="530"/>
      <c r="K22" s="392"/>
      <c r="L22" s="392"/>
      <c r="M22" s="430"/>
      <c r="N22" s="394"/>
      <c r="O22" s="393"/>
      <c r="P22" s="393"/>
      <c r="Q22" s="248"/>
    </row>
    <row r="23" spans="1:21" s="34" customFormat="1" ht="25.15" hidden="1" customHeight="1">
      <c r="A23" s="530">
        <f>'8-1.설비자재산출(전력통신)'!B21</f>
        <v>120544</v>
      </c>
      <c r="B23" s="392" t="str">
        <f>'8-1.설비자재산출(전력통신)'!C21</f>
        <v>챔프케이블(송광치)</v>
      </c>
      <c r="C23" s="1238" t="str">
        <f>'8-1.설비자재산출(전력통신)'!D21</f>
        <v>CH-SM-15(송광치)</v>
      </c>
      <c r="D23" s="430" t="str">
        <f>'8-1.설비자재산출(전력통신)'!I21</f>
        <v>EA</v>
      </c>
      <c r="E23" s="394">
        <f>'8-1.설비자재산출(전력통신)'!N21</f>
        <v>4</v>
      </c>
      <c r="F23" s="1200">
        <f>VLOOKUP(C23,'8-6.자재단가비교표'!$C$7:$O$332,12,0)</f>
        <v>94859.771819999994</v>
      </c>
      <c r="G23" s="1200">
        <f t="shared" si="9"/>
        <v>379439</v>
      </c>
      <c r="H23" s="248" t="str">
        <f>VLOOKUP(C23,'8-6.자재단가비교표'!$C$7:$O$332,13,0)</f>
        <v>ERP단가</v>
      </c>
      <c r="J23" s="530"/>
      <c r="K23" s="392"/>
      <c r="L23" s="392"/>
      <c r="M23" s="430"/>
      <c r="N23" s="394"/>
      <c r="O23" s="393"/>
      <c r="P23" s="393"/>
      <c r="Q23" s="248"/>
    </row>
    <row r="24" spans="1:21" s="34" customFormat="1" ht="25.15" hidden="1" customHeight="1">
      <c r="A24" s="530">
        <f>'8-1.설비자재산출(전력통신)'!B22</f>
        <v>120669</v>
      </c>
      <c r="B24" s="392" t="str">
        <f>'8-1.설비자재산출(전력통신)'!C22</f>
        <v>집중배선반</v>
      </c>
      <c r="C24" s="1238" t="str">
        <f>'8-1.설비자재산출(전력통신)'!D22</f>
        <v>QDF</v>
      </c>
      <c r="D24" s="430" t="str">
        <f>'8-1.설비자재산출(전력통신)'!I22</f>
        <v>EA</v>
      </c>
      <c r="E24" s="394">
        <f>'8-1.설비자재산출(전력통신)'!N22</f>
        <v>4</v>
      </c>
      <c r="F24" s="1200">
        <f>VLOOKUP(C24,'8-6.자재단가비교표'!$C$7:$O$332,12,0)</f>
        <v>143856.81915</v>
      </c>
      <c r="G24" s="1200">
        <f t="shared" si="9"/>
        <v>575427</v>
      </c>
      <c r="H24" s="248" t="str">
        <f>VLOOKUP(C24,'8-6.자재단가비교표'!$C$7:$O$332,13,0)</f>
        <v>ERP단가</v>
      </c>
      <c r="J24" s="530"/>
      <c r="K24" s="392"/>
      <c r="L24" s="392"/>
      <c r="M24" s="430"/>
      <c r="N24" s="394"/>
      <c r="O24" s="393"/>
      <c r="P24" s="393"/>
      <c r="Q24" s="248"/>
    </row>
    <row r="25" spans="1:21" s="1364" customFormat="1" ht="25.15" hidden="1" customHeight="1">
      <c r="A25" s="1515">
        <f>'8-1.설비자재산출(전력통신)'!B23</f>
        <v>109725</v>
      </c>
      <c r="B25" s="1439" t="str">
        <f>'8-1.설비자재산출(전력통신)'!C23</f>
        <v>중간배선반</v>
      </c>
      <c r="C25" s="1516" t="str">
        <f>'8-1.설비자재산출(전력통신)'!D23</f>
        <v>IDF</v>
      </c>
      <c r="D25" s="1365" t="str">
        <f>'8-1.설비자재산출(전력통신)'!I23</f>
        <v>EA</v>
      </c>
      <c r="E25" s="1355">
        <f>'8-1.설비자재산출(전력통신)'!N23</f>
        <v>0</v>
      </c>
      <c r="F25" s="1440">
        <f>VLOOKUP(C25,'8-6.자재단가비교표'!$C$7:$O$332,12,0)</f>
        <v>109934.70642</v>
      </c>
      <c r="G25" s="1440">
        <f t="shared" si="9"/>
        <v>0</v>
      </c>
      <c r="H25" s="248" t="str">
        <f>VLOOKUP(C25,'8-6.자재단가비교표'!$C$7:$O$332,13,0)</f>
        <v>ERP단가</v>
      </c>
      <c r="J25" s="1515"/>
      <c r="K25" s="1439"/>
      <c r="L25" s="1439"/>
      <c r="M25" s="1365"/>
      <c r="N25" s="1355"/>
      <c r="O25" s="1367"/>
      <c r="P25" s="1367"/>
      <c r="Q25" s="1363"/>
    </row>
    <row r="26" spans="1:21" s="34" customFormat="1" ht="25.15" hidden="1" customHeight="1">
      <c r="A26" s="530">
        <f>'8-1.설비자재산출(전력통신)'!B24</f>
        <v>127037</v>
      </c>
      <c r="B26" s="392" t="str">
        <f>'8-1.설비자재산출(전력통신)'!C24</f>
        <v>송변전용스위치(A)</v>
      </c>
      <c r="C26" s="392" t="str">
        <f>'8-1.설비자재산출(전력통신)'!D24</f>
        <v>L3SWU(A)</v>
      </c>
      <c r="D26" s="430" t="str">
        <f>'8-1.설비자재산출(전력통신)'!I24</f>
        <v>EA</v>
      </c>
      <c r="E26" s="394">
        <f>'8-1.설비자재산출(전력통신)'!N24</f>
        <v>7</v>
      </c>
      <c r="F26" s="1200">
        <f>VLOOKUP(C26,'8-6.자재단가비교표'!$C$7:$O$332,12,0)</f>
        <v>3509880</v>
      </c>
      <c r="G26" s="1200">
        <f t="shared" si="9"/>
        <v>24569160</v>
      </c>
      <c r="H26" s="248" t="str">
        <f>VLOOKUP(C26,'8-6.자재단가비교표'!$C$7:$O$332,13,0)</f>
        <v>ERP단가</v>
      </c>
      <c r="J26" s="530"/>
      <c r="K26" s="392"/>
      <c r="L26" s="392"/>
      <c r="M26" s="430"/>
      <c r="N26" s="394"/>
      <c r="O26" s="393"/>
      <c r="P26" s="393"/>
      <c r="Q26" s="248"/>
    </row>
    <row r="27" spans="1:21" s="34" customFormat="1" ht="25.15" hidden="1" customHeight="1">
      <c r="A27" s="530"/>
      <c r="B27" s="392" t="str">
        <f>'8-1.설비자재산출(전력통신)'!C25</f>
        <v>광증폭기</v>
      </c>
      <c r="C27" s="392" t="str">
        <f>'8-1.설비자재산출(전력통신)'!D25</f>
        <v>8CH</v>
      </c>
      <c r="D27" s="430" t="str">
        <f>'8-1.설비자재산출(전력통신)'!I25</f>
        <v>EA</v>
      </c>
      <c r="E27" s="394">
        <f>'8-1.설비자재산출(전력통신)'!N25</f>
        <v>5</v>
      </c>
      <c r="F27" s="1200">
        <f>VLOOKUP(C27,'8-6.자재단가비교표'!$C$7:$O$332,12,0)</f>
        <v>21936750</v>
      </c>
      <c r="G27" s="1200">
        <f t="shared" si="9"/>
        <v>109683750</v>
      </c>
      <c r="H27" s="248" t="s">
        <v>3201</v>
      </c>
      <c r="J27" s="530"/>
      <c r="K27" s="392"/>
      <c r="L27" s="392"/>
      <c r="M27" s="430"/>
      <c r="N27" s="394"/>
      <c r="O27" s="393"/>
      <c r="P27" s="393"/>
      <c r="Q27" s="248"/>
    </row>
    <row r="28" spans="1:21" s="34" customFormat="1" ht="25.15" hidden="1" customHeight="1">
      <c r="A28" s="530"/>
      <c r="B28" s="392" t="str">
        <f>'8-1.설비자재산출(전력통신)'!C32</f>
        <v>컨테이너</v>
      </c>
      <c r="C28" s="392" t="str">
        <f>'8-1.설비자재산출(전력통신)'!D32</f>
        <v>ICT실용, 냉방기, 단열재, 운송 설치 포함</v>
      </c>
      <c r="D28" s="430" t="str">
        <f>'8-1.설비자재산출(전력통신)'!I32</f>
        <v>EA</v>
      </c>
      <c r="E28" s="394">
        <f>'8-1.설비자재산출(전력통신)'!N32</f>
        <v>1</v>
      </c>
      <c r="F28" s="1200">
        <f>'8-6.자재단가비교표'!N32</f>
        <v>26536519.692539997</v>
      </c>
      <c r="G28" s="1200">
        <f t="shared" si="9"/>
        <v>26536519</v>
      </c>
      <c r="H28" s="248" t="s">
        <v>471</v>
      </c>
      <c r="J28" s="530"/>
      <c r="K28" s="392"/>
      <c r="L28" s="392"/>
      <c r="M28" s="430"/>
      <c r="N28" s="394"/>
      <c r="O28" s="393"/>
      <c r="P28" s="393"/>
      <c r="Q28" s="248"/>
    </row>
    <row r="29" spans="1:21" s="34" customFormat="1" ht="25.15" hidden="1" customHeight="1">
      <c r="A29" s="530"/>
      <c r="B29" s="392"/>
      <c r="C29" s="392"/>
      <c r="D29" s="430"/>
      <c r="E29" s="394"/>
      <c r="F29" s="1200"/>
      <c r="G29" s="1200"/>
      <c r="H29" s="248"/>
      <c r="J29" s="530"/>
      <c r="K29" s="392"/>
      <c r="L29" s="392"/>
      <c r="M29" s="430"/>
      <c r="N29" s="394"/>
      <c r="O29" s="393"/>
      <c r="P29" s="393"/>
      <c r="Q29" s="248"/>
    </row>
    <row r="30" spans="1:21" s="34" customFormat="1" ht="25.15" hidden="1" customHeight="1">
      <c r="A30" s="532"/>
      <c r="B30" s="466"/>
      <c r="C30" s="466"/>
      <c r="D30" s="394"/>
      <c r="E30" s="394"/>
      <c r="F30" s="1200"/>
      <c r="G30" s="1217"/>
      <c r="H30" s="248"/>
      <c r="J30" s="532"/>
      <c r="K30" s="466"/>
      <c r="L30" s="466"/>
      <c r="M30" s="394"/>
      <c r="N30" s="394" t="e">
        <f>#REF!+#REF!</f>
        <v>#REF!</v>
      </c>
      <c r="O30" s="393"/>
      <c r="P30" s="470"/>
      <c r="Q30" s="248"/>
      <c r="R30" s="34" t="e">
        <f t="shared" ref="R30:R45" si="10">E30-N30</f>
        <v>#REF!</v>
      </c>
      <c r="S30" s="34">
        <f t="shared" ref="S30:S45" si="11">G30-P30</f>
        <v>0</v>
      </c>
      <c r="T30" s="34" t="e">
        <f>#REF!+#REF!</f>
        <v>#REF!</v>
      </c>
      <c r="U30" s="34" t="e">
        <f t="shared" si="2"/>
        <v>#REF!</v>
      </c>
    </row>
    <row r="31" spans="1:21" s="34" customFormat="1" ht="25.15" hidden="1" customHeight="1">
      <c r="A31" s="532" t="str">
        <f>'8-1.설비자재산출(전력통신)'!A95</f>
        <v>2. 전원설비</v>
      </c>
      <c r="B31" s="466"/>
      <c r="C31" s="466"/>
      <c r="D31" s="394"/>
      <c r="E31" s="394"/>
      <c r="F31" s="1200"/>
      <c r="G31" s="1216">
        <f>SUM(G32:G43)</f>
        <v>80375673</v>
      </c>
      <c r="H31" s="248"/>
      <c r="J31" s="532" t="str">
        <f t="shared" ref="J31:J43" si="12">$A31</f>
        <v>2. 전원설비</v>
      </c>
      <c r="K31" s="466"/>
      <c r="L31" s="466"/>
      <c r="M31" s="394"/>
      <c r="N31" s="394" t="e">
        <f>#REF!+#REF!</f>
        <v>#REF!</v>
      </c>
      <c r="O31" s="393"/>
      <c r="P31" s="469" t="e">
        <f>SUM(P32:P43)</f>
        <v>#REF!</v>
      </c>
      <c r="Q31" s="248"/>
      <c r="R31" s="34" t="e">
        <f t="shared" si="10"/>
        <v>#REF!</v>
      </c>
      <c r="S31" s="34" t="e">
        <f t="shared" si="11"/>
        <v>#REF!</v>
      </c>
      <c r="T31" s="34" t="e">
        <f>#REF!+#REF!</f>
        <v>#REF!</v>
      </c>
      <c r="U31" s="34" t="e">
        <f t="shared" si="2"/>
        <v>#REF!</v>
      </c>
    </row>
    <row r="32" spans="1:21" s="34" customFormat="1" ht="25.15" hidden="1" customHeight="1">
      <c r="A32" s="530">
        <f>'8-1.설비자재산출(전력통신)'!B98</f>
        <v>127046</v>
      </c>
      <c r="B32" s="392" t="str">
        <f>'8-1.설비자재산출(전력통신)'!C98</f>
        <v>UPS</v>
      </c>
      <c r="C32" s="1238" t="str">
        <f>'8-1.설비자재산출(전력통신)'!D98</f>
        <v>15kVA 입력 3상4선 출력 단상, 내진랙(19")</v>
      </c>
      <c r="D32" s="430" t="str">
        <f>'8-1.설비자재산출(전력통신)'!I98</f>
        <v>대</v>
      </c>
      <c r="E32" s="394">
        <f>'8-1.설비자재산출(전력통신)'!N98</f>
        <v>1</v>
      </c>
      <c r="F32" s="1200">
        <f>VLOOKUP(C32,'8-6.자재단가비교표'!$C$7:$O$332,12,0)</f>
        <v>8421907.9216799997</v>
      </c>
      <c r="G32" s="1200">
        <f t="shared" ref="G32:G34" si="13">INT(E32*F32)</f>
        <v>8421907</v>
      </c>
      <c r="H32" s="248" t="str">
        <f>VLOOKUP(C32,'8-6.자재단가비교표'!$C$7:$O$332,13,0)</f>
        <v>ERP단가</v>
      </c>
      <c r="J32" s="530">
        <f t="shared" si="12"/>
        <v>127046</v>
      </c>
      <c r="K32" s="392" t="str">
        <f t="shared" ref="K32:K43" si="14">$B32</f>
        <v>UPS</v>
      </c>
      <c r="L32" s="392" t="str">
        <f t="shared" ref="L32:L43" si="15">$C32</f>
        <v>15kVA 입력 3상4선 출력 단상, 내진랙(19")</v>
      </c>
      <c r="M32" s="430" t="str">
        <f t="shared" ref="M32:M43" si="16">$D32</f>
        <v>대</v>
      </c>
      <c r="N32" s="394" t="e">
        <f>#REF!+#REF!</f>
        <v>#REF!</v>
      </c>
      <c r="O32" s="393">
        <f>VLOOKUP(L32,'8-6.자재단가비교표'!$C$8:$O$332,12,0)</f>
        <v>8421907.9216799997</v>
      </c>
      <c r="P32" s="393" t="e">
        <f t="shared" ref="P32:P38" si="17">INT(N32*O32)</f>
        <v>#REF!</v>
      </c>
      <c r="Q32" s="248" t="str">
        <f>VLOOKUP(L32,'8-6.자재단가비교표'!$C$8:$O$328,13,0)</f>
        <v>ERP단가</v>
      </c>
      <c r="R32" s="34" t="e">
        <f t="shared" si="10"/>
        <v>#REF!</v>
      </c>
      <c r="S32" s="34" t="e">
        <f t="shared" si="11"/>
        <v>#REF!</v>
      </c>
      <c r="T32" s="34" t="e">
        <f>#REF!+#REF!</f>
        <v>#REF!</v>
      </c>
      <c r="U32" s="34" t="e">
        <f t="shared" si="2"/>
        <v>#REF!</v>
      </c>
    </row>
    <row r="33" spans="1:21" s="34" customFormat="1" ht="25.15" hidden="1" customHeight="1">
      <c r="A33" s="530">
        <f>'8-1.설비자재산출(전력통신)'!B99</f>
        <v>124375</v>
      </c>
      <c r="B33" s="392" t="str">
        <f>'8-1.설비자재산출(전력통신)'!C99</f>
        <v>UPS</v>
      </c>
      <c r="C33" s="392" t="str">
        <f>'8-1.설비자재산출(전력통신)'!D99</f>
        <v>5kVA 입력 3상4선 출력 단상, 내진랙(19")</v>
      </c>
      <c r="D33" s="430" t="str">
        <f>'8-1.설비자재산출(전력통신)'!I99</f>
        <v>대</v>
      </c>
      <c r="E33" s="394">
        <f>'8-1.설비자재산출(전력통신)'!N99</f>
        <v>1</v>
      </c>
      <c r="F33" s="1200">
        <f>'8-6.자재단가비교표'!E98</f>
        <v>9343862</v>
      </c>
      <c r="G33" s="1200">
        <f t="shared" si="13"/>
        <v>9343862</v>
      </c>
      <c r="H33" s="248" t="str">
        <f>VLOOKUP(C33,'8-6.자재단가비교표'!$C$7:$O$332,13,0)</f>
        <v>ERP단가</v>
      </c>
      <c r="J33" s="530"/>
      <c r="K33" s="392"/>
      <c r="L33" s="392"/>
      <c r="M33" s="430"/>
      <c r="N33" s="394"/>
      <c r="O33" s="393"/>
      <c r="P33" s="393"/>
      <c r="Q33" s="248"/>
    </row>
    <row r="34" spans="1:21" s="34" customFormat="1" ht="25.15" hidden="1" customHeight="1">
      <c r="A34" s="530">
        <f>'8-1.설비자재산출(전력통신)'!B100</f>
        <v>125497</v>
      </c>
      <c r="B34" s="392" t="str">
        <f>'8-1.설비자재산출(전력통신)'!C100</f>
        <v>통신용충전기</v>
      </c>
      <c r="C34" s="1238" t="str">
        <f>'8-1.설비자재산출(전력통신)'!D100</f>
        <v>48V 100A(50A * 2), 단독형, 내진랙(19")</v>
      </c>
      <c r="D34" s="430" t="str">
        <f>'8-1.설비자재산출(전력통신)'!I100</f>
        <v>대</v>
      </c>
      <c r="E34" s="394">
        <f>'8-1.설비자재산출(전력통신)'!N100</f>
        <v>1</v>
      </c>
      <c r="F34" s="1200">
        <f>VLOOKUP(C34,'8-6.자재단가비교표'!$C$7:$O$332,12,0)</f>
        <v>7651000.5108899996</v>
      </c>
      <c r="G34" s="1200">
        <f t="shared" si="13"/>
        <v>7651000</v>
      </c>
      <c r="H34" s="248" t="str">
        <f>VLOOKUP(C34,'8-6.자재단가비교표'!$C$7:$O$332,13,0)</f>
        <v>ERP단가</v>
      </c>
      <c r="J34" s="530"/>
      <c r="K34" s="392"/>
      <c r="L34" s="392"/>
      <c r="M34" s="430"/>
      <c r="N34" s="394"/>
      <c r="O34" s="393"/>
      <c r="P34" s="393"/>
      <c r="Q34" s="248"/>
    </row>
    <row r="35" spans="1:21" s="34" customFormat="1" ht="25.15" hidden="1" customHeight="1">
      <c r="A35" s="530">
        <f>'8-1.설비자재산출(전력통신)'!B101</f>
        <v>125498</v>
      </c>
      <c r="B35" s="392" t="str">
        <f>'8-1.설비자재산출(전력통신)'!C101</f>
        <v>통신용충전기</v>
      </c>
      <c r="C35" s="1238" t="str">
        <f>'8-1.설비자재산출(전력통신)'!D101</f>
        <v>48V 100A(50A * 3), 단독형, 내진랙(19")</v>
      </c>
      <c r="D35" s="430" t="str">
        <f>'8-1.설비자재산출(전력통신)'!I101</f>
        <v>대</v>
      </c>
      <c r="E35" s="394">
        <f>'8-1.설비자재산출(전력통신)'!N101</f>
        <v>2</v>
      </c>
      <c r="F35" s="1200">
        <f>VLOOKUP(C35,'8-6.자재단가비교표'!$C$7:$O$332,12,0)</f>
        <v>8191102.60023</v>
      </c>
      <c r="G35" s="1200">
        <f t="shared" ref="G35:G43" si="18">INT(E35*F35)</f>
        <v>16382205</v>
      </c>
      <c r="H35" s="248" t="str">
        <f>VLOOKUP(C35,'8-6.자재단가비교표'!$C$7:$O$332,13,0)</f>
        <v>ERP단가</v>
      </c>
      <c r="J35" s="534">
        <f t="shared" si="12"/>
        <v>125498</v>
      </c>
      <c r="K35" s="459" t="str">
        <f t="shared" si="14"/>
        <v>통신용충전기</v>
      </c>
      <c r="L35" s="459" t="str">
        <f t="shared" si="15"/>
        <v>48V 100A(50A * 3), 단독형, 내진랙(19")</v>
      </c>
      <c r="M35" s="430" t="str">
        <f t="shared" si="16"/>
        <v>대</v>
      </c>
      <c r="N35" s="394" t="e">
        <f>#REF!+#REF!</f>
        <v>#REF!</v>
      </c>
      <c r="O35" s="393">
        <f>VLOOKUP(L35,'8-6.자재단가비교표'!$C$8:$O$332,12,0)</f>
        <v>8191102.60023</v>
      </c>
      <c r="P35" s="471" t="e">
        <f t="shared" si="17"/>
        <v>#REF!</v>
      </c>
      <c r="Q35" s="248" t="str">
        <f>VLOOKUP(L35,'8-6.자재단가비교표'!$C$8:$O$328,13,0)</f>
        <v>ERP단가</v>
      </c>
      <c r="R35" s="34" t="e">
        <f t="shared" si="10"/>
        <v>#REF!</v>
      </c>
      <c r="S35" s="34" t="e">
        <f t="shared" si="11"/>
        <v>#REF!</v>
      </c>
      <c r="T35" s="34" t="e">
        <f>#REF!+#REF!</f>
        <v>#REF!</v>
      </c>
      <c r="U35" s="34" t="e">
        <f t="shared" si="2"/>
        <v>#REF!</v>
      </c>
    </row>
    <row r="36" spans="1:21" s="642" customFormat="1" ht="25.15" hidden="1" customHeight="1">
      <c r="A36" s="530">
        <f>'8-1.설비자재산출(전력통신)'!B102</f>
        <v>124379</v>
      </c>
      <c r="B36" s="392" t="str">
        <f>'8-1.설비자재산출(전력통신)'!C102</f>
        <v>AC/UPS/DC분전반</v>
      </c>
      <c r="C36" s="1238" t="str">
        <f>'8-1.설비자재산출(전력통신)'!D102</f>
        <v>AC 2회로, UPS 20회로, DC 16회로</v>
      </c>
      <c r="D36" s="430" t="str">
        <f>'8-1.설비자재산출(전력통신)'!I102</f>
        <v>대</v>
      </c>
      <c r="E36" s="394">
        <f>'8-1.설비자재산출(전력통신)'!N102</f>
        <v>2</v>
      </c>
      <c r="F36" s="1200">
        <f>VLOOKUP(C36,'8-6.자재단가비교표'!$C$7:$O$332,12,0)</f>
        <v>6250659.2999399994</v>
      </c>
      <c r="G36" s="1200">
        <f t="shared" si="18"/>
        <v>12501318</v>
      </c>
      <c r="H36" s="248" t="str">
        <f>VLOOKUP(C36,'8-6.자재단가비교표'!$C$7:$O$332,13,0)</f>
        <v>ERP단가</v>
      </c>
      <c r="J36" s="695">
        <f t="shared" si="12"/>
        <v>124379</v>
      </c>
      <c r="K36" s="448" t="str">
        <f t="shared" si="14"/>
        <v>AC/UPS/DC분전반</v>
      </c>
      <c r="L36" s="448" t="str">
        <f t="shared" si="15"/>
        <v>AC 2회로, UPS 20회로, DC 16회로</v>
      </c>
      <c r="M36" s="449" t="str">
        <f t="shared" si="16"/>
        <v>대</v>
      </c>
      <c r="N36" s="450" t="e">
        <f>#REF!+#REF!</f>
        <v>#REF!</v>
      </c>
      <c r="O36" s="451">
        <f>VLOOKUP(L36,'8-6.자재단가비교표'!$C$8:$O$332,12,0)</f>
        <v>6250659.2999399994</v>
      </c>
      <c r="P36" s="451" t="e">
        <f t="shared" si="17"/>
        <v>#REF!</v>
      </c>
      <c r="Q36" s="247" t="str">
        <f>VLOOKUP(L36,'8-6.자재단가비교표'!$C$8:$O$328,13,0)</f>
        <v>ERP단가</v>
      </c>
      <c r="R36" s="34" t="e">
        <f t="shared" si="10"/>
        <v>#REF!</v>
      </c>
      <c r="S36" s="34" t="e">
        <f t="shared" si="11"/>
        <v>#REF!</v>
      </c>
      <c r="T36" s="34" t="e">
        <f>#REF!+#REF!</f>
        <v>#REF!</v>
      </c>
      <c r="U36" s="34" t="e">
        <f t="shared" si="2"/>
        <v>#REF!</v>
      </c>
    </row>
    <row r="37" spans="1:21" s="34" customFormat="1" ht="25.15" hidden="1" customHeight="1">
      <c r="A37" s="530"/>
      <c r="B37" s="392" t="str">
        <f>'8-1.설비자재산출(전력통신)'!C103</f>
        <v>DC분전반</v>
      </c>
      <c r="C37" s="1238" t="str">
        <f>'8-1.설비자재산출(전력통신)'!D103</f>
        <v>DC 20+20회로</v>
      </c>
      <c r="D37" s="430" t="str">
        <f>'8-1.설비자재산출(전력통신)'!I103</f>
        <v>대</v>
      </c>
      <c r="E37" s="394">
        <f>'8-1.설비자재산출(전력통신)'!N103</f>
        <v>0</v>
      </c>
      <c r="F37" s="1200">
        <f>VLOOKUP(C37,'8-6.자재단가비교표'!$C$7:$O$332,12,0)</f>
        <v>0</v>
      </c>
      <c r="G37" s="1200">
        <f t="shared" si="18"/>
        <v>0</v>
      </c>
      <c r="H37" s="248">
        <f>VLOOKUP(C37,'8-6.자재단가비교표'!$C$7:$O$332,13,0)</f>
        <v>0</v>
      </c>
      <c r="J37" s="535">
        <f t="shared" si="12"/>
        <v>0</v>
      </c>
      <c r="K37" s="459" t="str">
        <f t="shared" si="14"/>
        <v>DC분전반</v>
      </c>
      <c r="L37" s="459" t="str">
        <f t="shared" si="15"/>
        <v>DC 20+20회로</v>
      </c>
      <c r="M37" s="430" t="str">
        <f t="shared" si="16"/>
        <v>대</v>
      </c>
      <c r="N37" s="394" t="e">
        <f>#REF!+#REF!</f>
        <v>#REF!</v>
      </c>
      <c r="O37" s="393">
        <f>VLOOKUP(L37,'8-6.자재단가비교표'!$C$8:$O$332,12,0)</f>
        <v>0</v>
      </c>
      <c r="P37" s="471" t="e">
        <f t="shared" si="17"/>
        <v>#REF!</v>
      </c>
      <c r="Q37" s="248">
        <f>VLOOKUP(L37,'8-6.자재단가비교표'!$C$8:$O$328,13,0)</f>
        <v>0</v>
      </c>
      <c r="R37" s="34" t="e">
        <f t="shared" si="10"/>
        <v>#REF!</v>
      </c>
      <c r="S37" s="34" t="e">
        <f t="shared" si="11"/>
        <v>#REF!</v>
      </c>
      <c r="T37" s="34" t="e">
        <f>#REF!+#REF!</f>
        <v>#REF!</v>
      </c>
      <c r="U37" s="34" t="e">
        <f t="shared" si="2"/>
        <v>#REF!</v>
      </c>
    </row>
    <row r="38" spans="1:21" s="34" customFormat="1" ht="24.95" hidden="1" customHeight="1">
      <c r="A38" s="530">
        <f>'8-1.설비자재산출(전력통신)'!B104</f>
        <v>111126</v>
      </c>
      <c r="B38" s="392" t="str">
        <f>'8-1.설비자재산출(전력통신)'!C104</f>
        <v>축전지</v>
      </c>
      <c r="C38" s="392" t="str">
        <f>'8-1.설비자재산출(전력통신)'!D104</f>
        <v>12V/150AH, UPS용</v>
      </c>
      <c r="D38" s="430" t="str">
        <f>'8-1.설비자재산출(전력통신)'!I104</f>
        <v>개</v>
      </c>
      <c r="E38" s="394">
        <f>'8-1.설비자재산출(전력통신)'!N104</f>
        <v>16</v>
      </c>
      <c r="F38" s="1200">
        <f>VLOOKUP(C38,'8-6.자재단가비교표'!$C$7:$O$332,12,0)</f>
        <v>260950.8033</v>
      </c>
      <c r="G38" s="1200">
        <f t="shared" si="18"/>
        <v>4175212</v>
      </c>
      <c r="H38" s="248" t="str">
        <f>VLOOKUP(C38,'8-6.자재단가비교표'!$C$7:$O$332,13,0)</f>
        <v>ERP단가</v>
      </c>
      <c r="I38" s="237"/>
      <c r="J38" s="535">
        <f t="shared" si="12"/>
        <v>111126</v>
      </c>
      <c r="K38" s="459" t="str">
        <f t="shared" si="14"/>
        <v>축전지</v>
      </c>
      <c r="L38" s="459" t="str">
        <f t="shared" si="15"/>
        <v>12V/150AH, UPS용</v>
      </c>
      <c r="M38" s="430" t="str">
        <f t="shared" si="16"/>
        <v>개</v>
      </c>
      <c r="N38" s="394" t="e">
        <f>#REF!+#REF!</f>
        <v>#REF!</v>
      </c>
      <c r="O38" s="393">
        <f>VLOOKUP(L38,'8-6.자재단가비교표'!$C$8:$O$332,12,0)</f>
        <v>260950.8033</v>
      </c>
      <c r="P38" s="471" t="e">
        <f t="shared" si="17"/>
        <v>#REF!</v>
      </c>
      <c r="Q38" s="248" t="str">
        <f>VLOOKUP(L38,'8-6.자재단가비교표'!$C$8:$O$328,13,0)</f>
        <v>ERP단가</v>
      </c>
      <c r="R38" s="34" t="e">
        <f t="shared" si="10"/>
        <v>#REF!</v>
      </c>
      <c r="S38" s="34" t="e">
        <f t="shared" si="11"/>
        <v>#REF!</v>
      </c>
      <c r="T38" s="34" t="e">
        <f>#REF!+#REF!</f>
        <v>#REF!</v>
      </c>
      <c r="U38" s="34" t="e">
        <f t="shared" si="2"/>
        <v>#REF!</v>
      </c>
    </row>
    <row r="39" spans="1:21" s="34" customFormat="1" ht="24.95" hidden="1" customHeight="1">
      <c r="A39" s="530">
        <f>'8-1.설비자재산출(전력통신)'!B105</f>
        <v>111125</v>
      </c>
      <c r="B39" s="392" t="str">
        <f>'8-1.설비자재산출(전력통신)'!C105</f>
        <v>축전지</v>
      </c>
      <c r="C39" s="392" t="str">
        <f>'8-1.설비자재산출(전력통신)'!D105</f>
        <v>12V/100AH, UPS용</v>
      </c>
      <c r="D39" s="430" t="str">
        <f>'8-1.설비자재산출(전력통신)'!I105</f>
        <v>개</v>
      </c>
      <c r="E39" s="394">
        <f>'8-1.설비자재산출(전력통신)'!N105</f>
        <v>16</v>
      </c>
      <c r="F39" s="1200">
        <f>VLOOKUP(C39,'8-6.자재단가비교표'!$C$7:$O$332,12,0)</f>
        <v>194620.21359</v>
      </c>
      <c r="G39" s="1200">
        <f t="shared" si="18"/>
        <v>3113923</v>
      </c>
      <c r="H39" s="248" t="str">
        <f>VLOOKUP(C39,'8-6.자재단가비교표'!$C$7:$O$332,13,0)</f>
        <v>ERP단가</v>
      </c>
      <c r="I39" s="237"/>
      <c r="J39" s="535">
        <f t="shared" si="12"/>
        <v>111125</v>
      </c>
      <c r="K39" s="459" t="str">
        <f t="shared" si="14"/>
        <v>축전지</v>
      </c>
      <c r="L39" s="459" t="str">
        <f t="shared" si="15"/>
        <v>12V/100AH, UPS용</v>
      </c>
      <c r="M39" s="430" t="str">
        <f t="shared" si="16"/>
        <v>개</v>
      </c>
      <c r="N39" s="394" t="e">
        <f>#REF!+#REF!</f>
        <v>#REF!</v>
      </c>
      <c r="O39" s="393">
        <f>VLOOKUP(L39,'8-6.자재단가비교표'!$C$8:$O$332,12,0)</f>
        <v>194620.21359</v>
      </c>
      <c r="P39" s="393" t="e">
        <f>INT(N39*O39)</f>
        <v>#REF!</v>
      </c>
      <c r="Q39" s="248" t="str">
        <f>VLOOKUP(L39,'8-6.자재단가비교표'!$C$8:$O$328,13,0)</f>
        <v>ERP단가</v>
      </c>
      <c r="R39" s="34" t="e">
        <f t="shared" si="10"/>
        <v>#REF!</v>
      </c>
      <c r="S39" s="34" t="e">
        <f t="shared" si="11"/>
        <v>#REF!</v>
      </c>
      <c r="T39" s="34" t="e">
        <f>#REF!+#REF!</f>
        <v>#REF!</v>
      </c>
      <c r="U39" s="34" t="e">
        <f t="shared" si="2"/>
        <v>#REF!</v>
      </c>
    </row>
    <row r="40" spans="1:21" s="34" customFormat="1" ht="24.95" hidden="1" customHeight="1">
      <c r="A40" s="530">
        <f>'8-1.설비자재산출(전력통신)'!B106</f>
        <v>111127</v>
      </c>
      <c r="B40" s="392" t="str">
        <f>'8-1.설비자재산출(전력통신)'!C106</f>
        <v>축전지</v>
      </c>
      <c r="C40" s="392" t="str">
        <f>'8-1.설비자재산출(전력통신)'!D106</f>
        <v>12V/200AH, 충전기용</v>
      </c>
      <c r="D40" s="430" t="str">
        <f>'8-1.설비자재산출(전력통신)'!I106</f>
        <v>개</v>
      </c>
      <c r="E40" s="394">
        <f>'8-1.설비자재산출(전력통신)'!N106</f>
        <v>8</v>
      </c>
      <c r="F40" s="1200">
        <f>VLOOKUP(C40,'8-6.자재단가비교표'!$C$7:$O$332,12,0)</f>
        <v>342213.3</v>
      </c>
      <c r="G40" s="1200">
        <f t="shared" ref="G40:G41" si="19">INT(E40*F40)</f>
        <v>2737706</v>
      </c>
      <c r="H40" s="248" t="str">
        <f>VLOOKUP(C40,'8-6.자재단가비교표'!$C$7:$O$332,13,0)</f>
        <v>견적가</v>
      </c>
      <c r="I40" s="237"/>
      <c r="J40" s="535"/>
      <c r="K40" s="459"/>
      <c r="L40" s="459"/>
      <c r="M40" s="430"/>
      <c r="N40" s="394"/>
      <c r="O40" s="393"/>
      <c r="P40" s="393"/>
      <c r="Q40" s="248"/>
    </row>
    <row r="41" spans="1:21" s="34" customFormat="1" ht="24.95" hidden="1" customHeight="1">
      <c r="A41" s="530">
        <f>'8-1.설비자재산출(전력통신)'!B107</f>
        <v>111125</v>
      </c>
      <c r="B41" s="392" t="str">
        <f>'8-1.설비자재산출(전력통신)'!C107</f>
        <v>축전지</v>
      </c>
      <c r="C41" s="392" t="str">
        <f>'8-1.설비자재산출(전력통신)'!D107</f>
        <v>12V/150AH, 충전기용</v>
      </c>
      <c r="D41" s="430" t="str">
        <f>'8-1.설비자재산출(전력통신)'!I107</f>
        <v>개</v>
      </c>
      <c r="E41" s="394">
        <f>'8-1.설비자재산출(전력통신)'!N107</f>
        <v>4</v>
      </c>
      <c r="F41" s="1200">
        <f>VLOOKUP(C41,'8-6.자재단가비교표'!$C$7:$O$332,12,0)</f>
        <v>260950.8033</v>
      </c>
      <c r="G41" s="1200">
        <f t="shared" si="19"/>
        <v>1043803</v>
      </c>
      <c r="H41" s="248" t="str">
        <f>VLOOKUP(C41,'8-6.자재단가비교표'!$C$7:$O$332,13,0)</f>
        <v>ERP단가</v>
      </c>
      <c r="I41" s="237"/>
      <c r="J41" s="535"/>
      <c r="K41" s="459"/>
      <c r="L41" s="459"/>
      <c r="M41" s="430"/>
      <c r="N41" s="394"/>
      <c r="O41" s="393"/>
      <c r="P41" s="393"/>
      <c r="Q41" s="248"/>
    </row>
    <row r="42" spans="1:21" s="34" customFormat="1" ht="24.95" hidden="1" customHeight="1">
      <c r="A42" s="530"/>
      <c r="B42" s="392" t="str">
        <f>'8-1.설비자재산출(전력통신)'!C108</f>
        <v>축전지함체</v>
      </c>
      <c r="C42" s="392" t="str">
        <f>'8-1.설비자재산출(전력통신)'!D108</f>
        <v>UPS용, 내진랙(19")</v>
      </c>
      <c r="D42" s="430" t="str">
        <f>'8-1.설비자재산출(전력통신)'!I108</f>
        <v>대</v>
      </c>
      <c r="E42" s="394">
        <f>'8-1.설비자재산출(전력통신)'!N108</f>
        <v>6</v>
      </c>
      <c r="F42" s="1200">
        <f>VLOOKUP(C42,'8-6.자재단가비교표'!$C$7:$O$332,12,0)</f>
        <v>1667193</v>
      </c>
      <c r="G42" s="1200">
        <f t="shared" si="18"/>
        <v>10003158</v>
      </c>
      <c r="H42" s="248" t="str">
        <f>VLOOKUP(C42,'8-6.자재단가비교표'!$C$7:$O$332,13,0)</f>
        <v>견적가</v>
      </c>
      <c r="I42" s="237"/>
      <c r="J42" s="535">
        <f t="shared" si="12"/>
        <v>0</v>
      </c>
      <c r="K42" s="459" t="str">
        <f t="shared" si="14"/>
        <v>축전지함체</v>
      </c>
      <c r="L42" s="459" t="str">
        <f t="shared" si="15"/>
        <v>UPS용, 내진랙(19")</v>
      </c>
      <c r="M42" s="430" t="str">
        <f t="shared" si="16"/>
        <v>대</v>
      </c>
      <c r="N42" s="394" t="e">
        <f>#REF!+#REF!</f>
        <v>#REF!</v>
      </c>
      <c r="O42" s="393">
        <f>VLOOKUP(L42,'8-6.자재단가비교표'!$C$8:$O$332,12,0)</f>
        <v>1667193</v>
      </c>
      <c r="P42" s="393" t="e">
        <f>INT(N42*O42)</f>
        <v>#REF!</v>
      </c>
      <c r="Q42" s="248" t="str">
        <f>VLOOKUP(L42,'8-6.자재단가비교표'!$C$8:$O$328,13,0)</f>
        <v>견적가</v>
      </c>
      <c r="R42" s="34" t="e">
        <f t="shared" si="10"/>
        <v>#REF!</v>
      </c>
      <c r="S42" s="34" t="e">
        <f t="shared" si="11"/>
        <v>#REF!</v>
      </c>
      <c r="T42" s="34" t="e">
        <f>#REF!+#REF!</f>
        <v>#REF!</v>
      </c>
      <c r="U42" s="34" t="e">
        <f t="shared" ref="U42:U112" si="20">P42-T42</f>
        <v>#REF!</v>
      </c>
    </row>
    <row r="43" spans="1:21" s="34" customFormat="1" ht="24.95" hidden="1" customHeight="1">
      <c r="A43" s="530"/>
      <c r="B43" s="392" t="str">
        <f>'8-1.설비자재산출(전력통신)'!C109</f>
        <v>축전지함체</v>
      </c>
      <c r="C43" s="392" t="str">
        <f>'8-1.설비자재산출(전력통신)'!D109</f>
        <v>충전기용, 내진랙(19")</v>
      </c>
      <c r="D43" s="430" t="str">
        <f>'8-1.설비자재산출(전력통신)'!I109</f>
        <v>대</v>
      </c>
      <c r="E43" s="394">
        <f>'8-1.설비자재산출(전력통신)'!N109</f>
        <v>3</v>
      </c>
      <c r="F43" s="1200">
        <f>VLOOKUP(C43,'8-6.자재단가비교표'!$C$7:$O$332,12,0)</f>
        <v>1667193</v>
      </c>
      <c r="G43" s="1200">
        <f t="shared" si="18"/>
        <v>5001579</v>
      </c>
      <c r="H43" s="248" t="str">
        <f>VLOOKUP(C43,'8-6.자재단가비교표'!$C$7:$O$332,13,0)</f>
        <v>견적가</v>
      </c>
      <c r="J43" s="534">
        <f t="shared" si="12"/>
        <v>0</v>
      </c>
      <c r="K43" s="459" t="str">
        <f t="shared" si="14"/>
        <v>축전지함체</v>
      </c>
      <c r="L43" s="459" t="str">
        <f t="shared" si="15"/>
        <v>충전기용, 내진랙(19")</v>
      </c>
      <c r="M43" s="430" t="str">
        <f t="shared" si="16"/>
        <v>대</v>
      </c>
      <c r="N43" s="394" t="e">
        <f>#REF!+#REF!</f>
        <v>#REF!</v>
      </c>
      <c r="O43" s="393">
        <f>VLOOKUP(L43,'8-6.자재단가비교표'!$C$8:$O$332,12,0)</f>
        <v>1667193</v>
      </c>
      <c r="P43" s="471" t="e">
        <f t="shared" ref="P43" si="21">INT(N43*O43)</f>
        <v>#REF!</v>
      </c>
      <c r="Q43" s="248" t="str">
        <f>VLOOKUP(L43,'8-6.자재단가비교표'!$C$8:$O$328,13,0)</f>
        <v>견적가</v>
      </c>
      <c r="R43" s="34" t="e">
        <f t="shared" si="10"/>
        <v>#REF!</v>
      </c>
      <c r="S43" s="34" t="e">
        <f t="shared" si="11"/>
        <v>#REF!</v>
      </c>
      <c r="T43" s="34" t="e">
        <f>#REF!+#REF!</f>
        <v>#REF!</v>
      </c>
      <c r="U43" s="34" t="e">
        <f t="shared" si="20"/>
        <v>#REF!</v>
      </c>
    </row>
    <row r="44" spans="1:21" s="34" customFormat="1" ht="24.95" hidden="1" customHeight="1">
      <c r="A44" s="532"/>
      <c r="B44" s="466"/>
      <c r="C44" s="466"/>
      <c r="D44" s="394"/>
      <c r="E44" s="394"/>
      <c r="F44" s="1200"/>
      <c r="G44" s="1217"/>
      <c r="H44" s="248"/>
      <c r="J44" s="532"/>
      <c r="K44" s="466"/>
      <c r="L44" s="466"/>
      <c r="M44" s="394"/>
      <c r="N44" s="394" t="e">
        <f>#REF!+#REF!</f>
        <v>#REF!</v>
      </c>
      <c r="O44" s="393"/>
      <c r="P44" s="470"/>
      <c r="Q44" s="248"/>
      <c r="R44" s="34" t="e">
        <f t="shared" si="10"/>
        <v>#REF!</v>
      </c>
      <c r="S44" s="34">
        <f t="shared" si="11"/>
        <v>0</v>
      </c>
      <c r="T44" s="34" t="e">
        <f>#REF!+#REF!</f>
        <v>#REF!</v>
      </c>
      <c r="U44" s="34" t="e">
        <f t="shared" si="20"/>
        <v>#REF!</v>
      </c>
    </row>
    <row r="45" spans="1:21" s="34" customFormat="1" ht="24.95" hidden="1" customHeight="1">
      <c r="A45" s="532" t="str">
        <f>'8-1.설비자재산출(전력통신)'!A128</f>
        <v>3. LAN, EPIA, 정보보호</v>
      </c>
      <c r="B45" s="466"/>
      <c r="C45" s="466"/>
      <c r="D45" s="394"/>
      <c r="E45" s="394"/>
      <c r="F45" s="1200"/>
      <c r="G45" s="1216">
        <f>SUM(G46:G50)</f>
        <v>13899124</v>
      </c>
      <c r="H45" s="248"/>
      <c r="J45" s="532" t="str">
        <f>$A45</f>
        <v>3. LAN, EPIA, 정보보호</v>
      </c>
      <c r="K45" s="466"/>
      <c r="L45" s="466"/>
      <c r="M45" s="394"/>
      <c r="N45" s="394" t="e">
        <f>#REF!+#REF!</f>
        <v>#REF!</v>
      </c>
      <c r="O45" s="393"/>
      <c r="P45" s="469" t="e">
        <f>SUM(P72:P72)</f>
        <v>#REF!</v>
      </c>
      <c r="Q45" s="248"/>
      <c r="R45" s="34" t="e">
        <f t="shared" si="10"/>
        <v>#REF!</v>
      </c>
      <c r="S45" s="34" t="e">
        <f t="shared" si="11"/>
        <v>#REF!</v>
      </c>
      <c r="T45" s="34" t="e">
        <f>#REF!+#REF!</f>
        <v>#REF!</v>
      </c>
      <c r="U45" s="34" t="e">
        <f t="shared" si="20"/>
        <v>#REF!</v>
      </c>
    </row>
    <row r="46" spans="1:21" s="34" customFormat="1" ht="24.95" hidden="1" customHeight="1">
      <c r="A46" s="530">
        <f>'8-1.설비자재산출(전력통신)'!B131</f>
        <v>125225</v>
      </c>
      <c r="B46" s="459" t="str">
        <f>'8-1.설비자재산출(전력통신)'!C131</f>
        <v>광모뎀단말장치</v>
      </c>
      <c r="C46" s="466" t="str">
        <f>'8-1.설비자재산출(전력통신)'!D131</f>
        <v>40km(RT)</v>
      </c>
      <c r="D46" s="430" t="str">
        <f>'8-1.설비자재산출(전력통신)'!I131</f>
        <v>EA</v>
      </c>
      <c r="E46" s="394">
        <f>'8-1.설비자재산출(전력통신)'!N131</f>
        <v>0</v>
      </c>
      <c r="F46" s="1200">
        <f>VLOOKUP(C46,'8-6.자재단가비교표'!$C$7:$O$332,12,0)</f>
        <v>0</v>
      </c>
      <c r="G46" s="1200">
        <f t="shared" ref="G46" si="22">INT(E46*F46)</f>
        <v>0</v>
      </c>
      <c r="H46" s="248">
        <f>VLOOKUP(C46,'8-6.자재단가비교표'!$C$7:$O$332,13,0)</f>
        <v>0</v>
      </c>
      <c r="J46" s="532"/>
      <c r="K46" s="466"/>
      <c r="L46" s="466"/>
      <c r="M46" s="394"/>
      <c r="N46" s="394"/>
      <c r="O46" s="393"/>
      <c r="P46" s="469"/>
      <c r="Q46" s="248"/>
    </row>
    <row r="47" spans="1:21" s="34" customFormat="1" ht="24.95" hidden="1" customHeight="1">
      <c r="A47" s="530">
        <f>'8-1.설비자재산출(전력통신)'!B132</f>
        <v>126291</v>
      </c>
      <c r="B47" s="459" t="str">
        <f>'8-1.설비자재산출(전력통신)'!C132</f>
        <v>EPIA</v>
      </c>
      <c r="C47" s="466" t="str">
        <f>'8-1.설비자재산출(전력통신)'!D132</f>
        <v>AI 16, DI 48 카드 포함</v>
      </c>
      <c r="D47" s="430" t="str">
        <f>'8-1.설비자재산출(전력통신)'!I132</f>
        <v>대</v>
      </c>
      <c r="E47" s="394">
        <f>'8-1.설비자재산출(전력통신)'!N132</f>
        <v>2</v>
      </c>
      <c r="F47" s="1200">
        <f>VLOOKUP(C47,'8-6.자재단가비교표'!$C$7:$O$332,12,0)</f>
        <v>4317152.3999999994</v>
      </c>
      <c r="G47" s="1200">
        <f t="shared" ref="G47:G50" si="23">INT(E47*F47)</f>
        <v>8634304</v>
      </c>
      <c r="H47" s="248" t="str">
        <f>VLOOKUP(C47,'8-6.자재단가비교표'!$C$7:$O$332,13,0)</f>
        <v>견적가</v>
      </c>
      <c r="J47" s="532"/>
      <c r="K47" s="466"/>
      <c r="L47" s="466"/>
      <c r="M47" s="394"/>
      <c r="N47" s="394"/>
      <c r="O47" s="393"/>
      <c r="P47" s="469"/>
      <c r="Q47" s="248"/>
    </row>
    <row r="48" spans="1:21" s="34" customFormat="1" ht="24.95" hidden="1" customHeight="1">
      <c r="A48" s="530"/>
      <c r="B48" s="459" t="str">
        <f>'8-1.설비자재산출(전력통신)'!C134</f>
        <v>온도센서</v>
      </c>
      <c r="C48" s="466" t="str">
        <f>'8-1.설비자재산출(전력통신)'!D134</f>
        <v>EPIA용 온도</v>
      </c>
      <c r="D48" s="430" t="str">
        <f>'8-1.설비자재산출(전력통신)'!I134</f>
        <v>개</v>
      </c>
      <c r="E48" s="394">
        <f>'8-1.설비자재산출(전력통신)'!N134</f>
        <v>2</v>
      </c>
      <c r="F48" s="1200">
        <f>VLOOKUP(C48,'8-6.자재단가비교표'!$C$7:$O$332,12,0)</f>
        <v>0</v>
      </c>
      <c r="G48" s="1200">
        <f t="shared" si="23"/>
        <v>0</v>
      </c>
      <c r="H48" s="248" t="s">
        <v>3259</v>
      </c>
      <c r="J48" s="532"/>
      <c r="K48" s="466"/>
      <c r="L48" s="466"/>
      <c r="M48" s="394"/>
      <c r="N48" s="394"/>
      <c r="O48" s="393"/>
      <c r="P48" s="469"/>
      <c r="Q48" s="248"/>
    </row>
    <row r="49" spans="1:17" s="34" customFormat="1" ht="24.95" hidden="1" customHeight="1">
      <c r="A49" s="530"/>
      <c r="B49" s="459" t="str">
        <f>'8-1.설비자재산출(전력통신)'!C135</f>
        <v>AC전압 검출기</v>
      </c>
      <c r="C49" s="466" t="str">
        <f>'8-1.설비자재산출(전력통신)'!D135</f>
        <v>전원검출</v>
      </c>
      <c r="D49" s="430" t="str">
        <f>'8-1.설비자재산출(전력통신)'!I135</f>
        <v>개</v>
      </c>
      <c r="E49" s="394">
        <f>'8-1.설비자재산출(전력통신)'!N135</f>
        <v>2</v>
      </c>
      <c r="F49" s="1200">
        <f>VLOOKUP(C49,'8-6.자재단가비교표'!$C$7:$O$332,12,0)</f>
        <v>0</v>
      </c>
      <c r="G49" s="1200">
        <f t="shared" si="23"/>
        <v>0</v>
      </c>
      <c r="H49" s="248" t="s">
        <v>3259</v>
      </c>
      <c r="J49" s="532"/>
      <c r="K49" s="466"/>
      <c r="L49" s="466"/>
      <c r="M49" s="394"/>
      <c r="N49" s="394"/>
      <c r="O49" s="393"/>
      <c r="P49" s="469"/>
      <c r="Q49" s="248"/>
    </row>
    <row r="50" spans="1:17" s="34" customFormat="1" ht="24.95" hidden="1" customHeight="1">
      <c r="A50" s="530">
        <f>'8-1.설비자재산출(전력통신)'!B138</f>
        <v>214077</v>
      </c>
      <c r="B50" s="459" t="str">
        <f>'8-1.설비자재산출(전력통신)'!C138</f>
        <v>NAC</v>
      </c>
      <c r="C50" s="466" t="str">
        <f>'8-1.설비자재산출(전력통신)'!D138</f>
        <v>10/100/1000 24포트</v>
      </c>
      <c r="D50" s="430" t="str">
        <f>'8-1.설비자재산출(전력통신)'!I138</f>
        <v>대</v>
      </c>
      <c r="E50" s="394">
        <f>'8-1.설비자재산출(전력통신)'!N138</f>
        <v>2</v>
      </c>
      <c r="F50" s="1200">
        <f>VLOOKUP(C50,'8-6.자재단가비교표'!$C$7:$O$332,12,0)</f>
        <v>2632410</v>
      </c>
      <c r="G50" s="1200">
        <f t="shared" si="23"/>
        <v>5264820</v>
      </c>
      <c r="H50" s="248" t="str">
        <f>VLOOKUP(C50,'8-6.자재단가비교표'!$C$7:$O$332,13,0)</f>
        <v>견적가</v>
      </c>
      <c r="J50" s="532"/>
      <c r="K50" s="466"/>
      <c r="L50" s="466"/>
      <c r="M50" s="394"/>
      <c r="N50" s="394"/>
      <c r="O50" s="393"/>
      <c r="P50" s="469"/>
      <c r="Q50" s="248"/>
    </row>
    <row r="51" spans="1:17" s="34" customFormat="1" ht="24.95" hidden="1" customHeight="1">
      <c r="A51" s="530"/>
      <c r="B51" s="459"/>
      <c r="C51" s="466"/>
      <c r="D51" s="430"/>
      <c r="E51" s="394"/>
      <c r="F51" s="1200"/>
      <c r="G51" s="1200"/>
      <c r="H51" s="248"/>
      <c r="J51" s="532"/>
      <c r="K51" s="466"/>
      <c r="L51" s="466"/>
      <c r="M51" s="394"/>
      <c r="N51" s="394"/>
      <c r="O51" s="393"/>
      <c r="P51" s="469"/>
      <c r="Q51" s="248"/>
    </row>
    <row r="52" spans="1:17" s="34" customFormat="1" ht="24.95" hidden="1" customHeight="1">
      <c r="A52" s="532" t="str">
        <f>'8-1.설비자재산출(전력통신)'!A195</f>
        <v>4. IP계통운영통신시스템</v>
      </c>
      <c r="B52" s="466"/>
      <c r="C52" s="466"/>
      <c r="D52" s="394"/>
      <c r="E52" s="394"/>
      <c r="F52" s="1200"/>
      <c r="G52" s="1216">
        <f>SUM(G53:G55)</f>
        <v>14215014</v>
      </c>
      <c r="H52" s="248"/>
      <c r="J52" s="532"/>
      <c r="K52" s="466"/>
      <c r="L52" s="466"/>
      <c r="M52" s="394"/>
      <c r="N52" s="394"/>
      <c r="O52" s="393"/>
      <c r="P52" s="469"/>
      <c r="Q52" s="248"/>
    </row>
    <row r="53" spans="1:17" s="34" customFormat="1" ht="24.95" hidden="1" customHeight="1">
      <c r="A53" s="530"/>
      <c r="B53" s="459" t="str">
        <f>'8-1.설비자재산출(전력통신)'!C198</f>
        <v>IP사령원콘솔</v>
      </c>
      <c r="C53" s="466" t="str">
        <f>'8-1.설비자재산출(전력통신)'!D198</f>
        <v>IP사령원콘솔, 라이선스 포함</v>
      </c>
      <c r="D53" s="430" t="str">
        <f>'8-1.설비자재산출(전력통신)'!I198</f>
        <v>식</v>
      </c>
      <c r="E53" s="394">
        <f>'8-1.설비자재산출(전력통신)'!N198</f>
        <v>4</v>
      </c>
      <c r="F53" s="1200">
        <f>VLOOKUP(C53,'8-6.자재단가비교표'!$C$7:$O$332,12,0)</f>
        <v>1052964</v>
      </c>
      <c r="G53" s="1200">
        <f t="shared" ref="G53" si="24">INT(E53*F53)</f>
        <v>4211856</v>
      </c>
      <c r="H53" s="248" t="str">
        <f>VLOOKUP(C53,'8-6.자재단가비교표'!$C$7:$O$332,13,0)</f>
        <v>견적가</v>
      </c>
      <c r="J53" s="532"/>
      <c r="K53" s="466"/>
      <c r="L53" s="466"/>
      <c r="M53" s="394"/>
      <c r="N53" s="394"/>
      <c r="O53" s="393"/>
      <c r="P53" s="469"/>
      <c r="Q53" s="248"/>
    </row>
    <row r="54" spans="1:17" s="34" customFormat="1" ht="24.95" hidden="1" customHeight="1">
      <c r="A54" s="530"/>
      <c r="B54" s="459" t="str">
        <f>'8-1.설비자재산출(전력통신)'!C199</f>
        <v>AOM</v>
      </c>
      <c r="C54" s="466" t="str">
        <f>'8-1.설비자재산출(전력통신)'!D199</f>
        <v>AOM</v>
      </c>
      <c r="D54" s="430" t="str">
        <f>'8-1.설비자재산출(전력통신)'!I199</f>
        <v>식</v>
      </c>
      <c r="E54" s="394">
        <f>'8-1.설비자재산출(전력통신)'!N199</f>
        <v>3</v>
      </c>
      <c r="F54" s="1200">
        <f>VLOOKUP(C54,'8-6.자재단가비교표'!$C$7:$O$332,12,0)</f>
        <v>2983398</v>
      </c>
      <c r="G54" s="1200">
        <f t="shared" ref="G54:G55" si="25">INT(E54*F54)</f>
        <v>8950194</v>
      </c>
      <c r="H54" s="248" t="str">
        <f>VLOOKUP(C54,'8-6.자재단가비교표'!$C$7:$O$332,13,0)</f>
        <v>견적가</v>
      </c>
      <c r="J54" s="532"/>
      <c r="K54" s="466"/>
      <c r="L54" s="466"/>
      <c r="M54" s="394"/>
      <c r="N54" s="394"/>
      <c r="O54" s="393"/>
      <c r="P54" s="491"/>
      <c r="Q54" s="248"/>
    </row>
    <row r="55" spans="1:17" s="34" customFormat="1" ht="24.95" hidden="1" customHeight="1">
      <c r="A55" s="530"/>
      <c r="B55" s="459" t="str">
        <f>'8-1.설비자재산출(전력통신)'!C200</f>
        <v>기술지원비</v>
      </c>
      <c r="C55" s="466" t="str">
        <f>'8-1.설비자재산출(전력통신)'!D200</f>
        <v>설정 및 테스트</v>
      </c>
      <c r="D55" s="430" t="str">
        <f>'8-1.설비자재산출(전력통신)'!I200</f>
        <v>식</v>
      </c>
      <c r="E55" s="394">
        <f>'8-1.설비자재산출(전력통신)'!N200</f>
        <v>1</v>
      </c>
      <c r="F55" s="1200">
        <f>VLOOKUP(C55,'8-6.자재단가비교표'!$C$7:$O$332,12,0)</f>
        <v>1052964</v>
      </c>
      <c r="G55" s="1200">
        <f t="shared" si="25"/>
        <v>1052964</v>
      </c>
      <c r="H55" s="248" t="str">
        <f>VLOOKUP(C55,'8-6.자재단가비교표'!$C$7:$O$332,13,0)</f>
        <v>견적가</v>
      </c>
      <c r="J55" s="532"/>
      <c r="K55" s="466"/>
      <c r="L55" s="466"/>
      <c r="M55" s="394"/>
      <c r="N55" s="394"/>
      <c r="O55" s="393"/>
      <c r="P55" s="469"/>
      <c r="Q55" s="248"/>
    </row>
    <row r="56" spans="1:17" s="34" customFormat="1" ht="24.95" hidden="1" customHeight="1">
      <c r="A56" s="530"/>
      <c r="B56" s="459"/>
      <c r="C56" s="466"/>
      <c r="D56" s="430"/>
      <c r="E56" s="394"/>
      <c r="F56" s="1200"/>
      <c r="G56" s="1200"/>
      <c r="H56" s="248"/>
      <c r="J56" s="532"/>
      <c r="K56" s="466"/>
      <c r="L56" s="466"/>
      <c r="M56" s="394"/>
      <c r="N56" s="394"/>
      <c r="O56" s="393"/>
      <c r="P56" s="469"/>
      <c r="Q56" s="248"/>
    </row>
    <row r="57" spans="1:17" s="34" customFormat="1" ht="24.95" hidden="1" customHeight="1">
      <c r="A57" s="532" t="s">
        <v>2945</v>
      </c>
      <c r="B57" s="466"/>
      <c r="C57" s="466"/>
      <c r="D57" s="394"/>
      <c r="E57" s="394"/>
      <c r="F57" s="1200"/>
      <c r="G57" s="1216">
        <f>SUM(G58:G109)</f>
        <v>627737558</v>
      </c>
      <c r="H57" s="248"/>
      <c r="J57" s="532"/>
      <c r="K57" s="466"/>
      <c r="L57" s="466"/>
      <c r="M57" s="394"/>
      <c r="N57" s="394"/>
      <c r="O57" s="393"/>
      <c r="P57" s="469"/>
      <c r="Q57" s="248"/>
    </row>
    <row r="58" spans="1:17" s="34" customFormat="1" ht="24.95" hidden="1" customHeight="1">
      <c r="A58" s="530">
        <f>'8-2.설비자재산출(무인보안)'!C9</f>
        <v>126571</v>
      </c>
      <c r="B58" s="459" t="str">
        <f>'8-2.설비자재산출(무인보안)'!D9</f>
        <v>녹화장치(동강C/H)</v>
      </c>
      <c r="C58" s="466" t="str">
        <f>'8-2.설비자재산출(무인보안)'!E9</f>
        <v>4core 2.4GHz*1EA이상,8GB이상, SSD256GB,스토리지4TB이하</v>
      </c>
      <c r="D58" s="430" t="str">
        <f>'8-2.설비자재산출(무인보안)'!G9</f>
        <v>대</v>
      </c>
      <c r="E58" s="394">
        <f>'8-2.설비자재산출(무인보안)'!H9</f>
        <v>1</v>
      </c>
      <c r="F58" s="1200">
        <f>VLOOKUP(C58,'8-6.자재단가비교표'!$C$7:$O$332,12,0)</f>
        <v>2018181</v>
      </c>
      <c r="G58" s="1200">
        <f t="shared" ref="G58" si="26">INT(E58*F58)</f>
        <v>2018181</v>
      </c>
      <c r="H58" s="248" t="str">
        <f>VLOOKUP(C58,'8-6.자재단가비교표'!$C$7:$O$332,13,0)</f>
        <v>견적가</v>
      </c>
      <c r="J58" s="532"/>
      <c r="K58" s="466"/>
      <c r="L58" s="466"/>
      <c r="M58" s="394"/>
      <c r="N58" s="394"/>
      <c r="O58" s="393"/>
      <c r="P58" s="469"/>
      <c r="Q58" s="248"/>
    </row>
    <row r="59" spans="1:17" s="34" customFormat="1" ht="24.95" hidden="1" customHeight="1">
      <c r="A59" s="530">
        <f>'8-2.설비자재산출(무인보안)'!C10</f>
        <v>126571</v>
      </c>
      <c r="B59" s="459" t="str">
        <f>'8-2.설비자재산출(무인보안)'!D10</f>
        <v>녹화장치</v>
      </c>
      <c r="C59" s="466" t="str">
        <f>'8-2.설비자재산출(무인보안)'!E10</f>
        <v>4core 2.4GHz*1EA이상,16GB이상, SSD512GB,스토리지80TB이상</v>
      </c>
      <c r="D59" s="430" t="str">
        <f>'8-2.설비자재산출(무인보안)'!G10</f>
        <v>대</v>
      </c>
      <c r="E59" s="394">
        <f>'8-2.설비자재산출(무인보안)'!H10</f>
        <v>2</v>
      </c>
      <c r="F59" s="1200">
        <f>VLOOKUP(C59,'8-6.자재단가비교표'!$C$7:$O$332,12,0)</f>
        <v>21936750</v>
      </c>
      <c r="G59" s="1200">
        <f t="shared" ref="G59:G64" si="27">INT(E59*F59)</f>
        <v>43873500</v>
      </c>
      <c r="H59" s="248" t="str">
        <f>VLOOKUP(C59,'8-6.자재단가비교표'!$C$7:$O$332,13,0)</f>
        <v>견적가</v>
      </c>
      <c r="J59" s="532"/>
      <c r="K59" s="466"/>
      <c r="L59" s="466"/>
      <c r="M59" s="394"/>
      <c r="N59" s="394"/>
      <c r="O59" s="393"/>
      <c r="P59" s="469"/>
      <c r="Q59" s="248"/>
    </row>
    <row r="60" spans="1:17" s="34" customFormat="1" ht="24.95" hidden="1" customHeight="1">
      <c r="A60" s="530">
        <f>'8-2.설비자재산출(무인보안)'!C11</f>
        <v>126572</v>
      </c>
      <c r="B60" s="459" t="str">
        <f>'8-2.설비자재산출(무인보안)'!D11</f>
        <v>운영자 단말</v>
      </c>
      <c r="C60" s="466" t="str">
        <f>'8-2.설비자재산출(무인보안)'!E11</f>
        <v>2.9GHz, 16GB, Display 다중전송, 23인치 이상 LCD모니터 포함</v>
      </c>
      <c r="D60" s="430" t="str">
        <f>'8-2.설비자재산출(무인보안)'!G11</f>
        <v>대</v>
      </c>
      <c r="E60" s="394">
        <f>'8-2.설비자재산출(무인보안)'!H11</f>
        <v>4</v>
      </c>
      <c r="F60" s="1200">
        <f>VLOOKUP(C60,'8-6.자재단가비교표'!$C$7:$O$332,12,0)</f>
        <v>1639507.0665599999</v>
      </c>
      <c r="G60" s="1200">
        <f t="shared" si="27"/>
        <v>6558028</v>
      </c>
      <c r="H60" s="248" t="str">
        <f>VLOOKUP(C60,'8-6.자재단가비교표'!$C$7:$O$332,13,0)</f>
        <v>실례가</v>
      </c>
      <c r="J60" s="532"/>
      <c r="K60" s="466"/>
      <c r="L60" s="466"/>
      <c r="M60" s="394"/>
      <c r="N60" s="394"/>
      <c r="O60" s="393"/>
      <c r="P60" s="469"/>
      <c r="Q60" s="248"/>
    </row>
    <row r="61" spans="1:17" s="34" customFormat="1" ht="24.95" hidden="1" customHeight="1">
      <c r="A61" s="530">
        <f>'8-2.설비자재산출(무인보안)'!C12</f>
        <v>126573</v>
      </c>
      <c r="B61" s="459" t="str">
        <f>'8-2.설비자재산출(무인보안)'!D12</f>
        <v>멀티 모니터링장치</v>
      </c>
      <c r="C61" s="466" t="str">
        <f>'8-2.설비자재산출(무인보안)'!E12</f>
        <v>3.4GHz, 8GB, Display 다중전송</v>
      </c>
      <c r="D61" s="430" t="str">
        <f>'8-2.설비자재산출(무인보안)'!G12</f>
        <v>대</v>
      </c>
      <c r="E61" s="394">
        <f>'8-2.설비자재산출(무인보안)'!H12</f>
        <v>0</v>
      </c>
      <c r="F61" s="1200">
        <f>VLOOKUP(C61,'8-6.자재단가비교표'!$C$7:$O$332,12,0)</f>
        <v>0</v>
      </c>
      <c r="G61" s="1200">
        <f t="shared" si="27"/>
        <v>0</v>
      </c>
      <c r="H61" s="248" t="str">
        <f>VLOOKUP(C61,'8-6.자재단가비교표'!$C$7:$O$332,13,0)</f>
        <v>ERP단가</v>
      </c>
      <c r="J61" s="532"/>
      <c r="K61" s="466"/>
      <c r="L61" s="466"/>
      <c r="M61" s="394"/>
      <c r="N61" s="394"/>
      <c r="O61" s="393"/>
      <c r="P61" s="469"/>
      <c r="Q61" s="248"/>
    </row>
    <row r="62" spans="1:17" s="34" customFormat="1" ht="24.95" hidden="1" customHeight="1">
      <c r="A62" s="530">
        <f>'8-2.설비자재산출(무인보안)'!C13</f>
        <v>126574</v>
      </c>
      <c r="B62" s="459" t="str">
        <f>'8-2.설비자재산출(무인보안)'!D13</f>
        <v>KVM스위치</v>
      </c>
      <c r="C62" s="466" t="str">
        <f>'8-2.설비자재산출(무인보안)'!E13</f>
        <v>8채널 이상, 19" 랙타입</v>
      </c>
      <c r="D62" s="430" t="str">
        <f>'8-2.설비자재산출(무인보안)'!G13</f>
        <v>대</v>
      </c>
      <c r="E62" s="394">
        <f>'8-2.설비자재산출(무인보안)'!H13</f>
        <v>1</v>
      </c>
      <c r="F62" s="1200">
        <f>VLOOKUP(C62,'8-6.자재단가비교표'!$C$7:$O$332,12,0)</f>
        <v>495770.55</v>
      </c>
      <c r="G62" s="1200">
        <f t="shared" si="27"/>
        <v>495770</v>
      </c>
      <c r="H62" s="248" t="str">
        <f>VLOOKUP(C62,'8-6.자재단가비교표'!$C$7:$O$332,13,0)</f>
        <v>견적가</v>
      </c>
      <c r="J62" s="532"/>
      <c r="K62" s="466"/>
      <c r="L62" s="466"/>
      <c r="M62" s="394"/>
      <c r="N62" s="394"/>
      <c r="O62" s="393"/>
      <c r="P62" s="469"/>
      <c r="Q62" s="248"/>
    </row>
    <row r="63" spans="1:17" s="34" customFormat="1" ht="24.95" hidden="1" customHeight="1">
      <c r="A63" s="530">
        <f>'8-2.설비자재산출(무인보안)'!C14</f>
        <v>126575</v>
      </c>
      <c r="B63" s="459" t="str">
        <f>'8-2.설비자재산출(무인보안)'!D14</f>
        <v>42" LED모니터</v>
      </c>
      <c r="C63" s="466" t="str">
        <f>'8-2.설비자재산출(무인보안)'!E14</f>
        <v>42” 이상 (16:9 지원)</v>
      </c>
      <c r="D63" s="430" t="str">
        <f>'8-2.설비자재산출(무인보안)'!G14</f>
        <v>대</v>
      </c>
      <c r="E63" s="394">
        <f>'8-2.설비자재산출(무인보안)'!H14</f>
        <v>0</v>
      </c>
      <c r="F63" s="1200">
        <f>VLOOKUP(C63,'8-6.자재단가비교표'!$C$7:$O$332,12,0)</f>
        <v>850654.51679999998</v>
      </c>
      <c r="G63" s="1200">
        <f t="shared" si="27"/>
        <v>0</v>
      </c>
      <c r="H63" s="248" t="str">
        <f>VLOOKUP(C63,'8-6.자재단가비교표'!$C$7:$O$332,13,0)</f>
        <v>ERP단가</v>
      </c>
      <c r="J63" s="532"/>
      <c r="K63" s="466"/>
      <c r="L63" s="466"/>
      <c r="M63" s="394"/>
      <c r="N63" s="394"/>
      <c r="O63" s="393"/>
      <c r="P63" s="469"/>
      <c r="Q63" s="248"/>
    </row>
    <row r="64" spans="1:17" s="34" customFormat="1" ht="24.95" hidden="1" customHeight="1">
      <c r="A64" s="530">
        <f>'8-2.설비자재산출(무인보안)'!C15</f>
        <v>126576</v>
      </c>
      <c r="B64" s="459" t="str">
        <f>'8-2.설비자재산출(무인보안)'!D15</f>
        <v>55" LED모니터</v>
      </c>
      <c r="C64" s="466" t="str">
        <f>'8-2.설비자재산출(무인보안)'!E15</f>
        <v>55” 이상 (16:9 지원)</v>
      </c>
      <c r="D64" s="430" t="str">
        <f>'8-2.설비자재산출(무인보안)'!G15</f>
        <v>대</v>
      </c>
      <c r="E64" s="394">
        <f>'8-2.설비자재산출(무인보안)'!H15</f>
        <v>4</v>
      </c>
      <c r="F64" s="1200">
        <f>VLOOKUP(C64,'8-6.자재단가비교표'!$C$7:$O$332,12,0)</f>
        <v>1346916.45</v>
      </c>
      <c r="G64" s="1200">
        <f t="shared" si="27"/>
        <v>5387665</v>
      </c>
      <c r="H64" s="248" t="str">
        <f>VLOOKUP(C64,'8-6.자재단가비교표'!$C$7:$O$332,13,0)</f>
        <v>ERP단가</v>
      </c>
      <c r="J64" s="532"/>
      <c r="K64" s="466"/>
      <c r="L64" s="466"/>
      <c r="M64" s="394"/>
      <c r="N64" s="394"/>
      <c r="O64" s="393"/>
      <c r="P64" s="469"/>
      <c r="Q64" s="248"/>
    </row>
    <row r="65" spans="1:21" s="34" customFormat="1" ht="24.95" hidden="1" customHeight="1">
      <c r="A65" s="530">
        <f>'8-2.설비자재산출(무인보안)'!C16</f>
        <v>126577</v>
      </c>
      <c r="B65" s="459" t="str">
        <f>'8-2.설비자재산출(무인보안)'!D16</f>
        <v>영상추적서버</v>
      </c>
      <c r="C65" s="466" t="str">
        <f>'8-2.설비자재산출(무인보안)'!E16</f>
        <v>3.4GHz, 8GB, SATA 1TB</v>
      </c>
      <c r="D65" s="430" t="str">
        <f>'8-2.설비자재산출(무인보안)'!G16</f>
        <v>대</v>
      </c>
      <c r="E65" s="394">
        <f>'8-2.설비자재산출(무인보안)'!H16</f>
        <v>0</v>
      </c>
      <c r="F65" s="1200">
        <f>VLOOKUP(C65,'8-6.자재단가비교표'!$C$7:$O$332,12,0)</f>
        <v>0</v>
      </c>
      <c r="G65" s="1200">
        <f t="shared" ref="G65:G72" si="28">INT(E65*F65)</f>
        <v>0</v>
      </c>
      <c r="H65" s="248">
        <f>VLOOKUP(C65,'8-6.자재단가비교표'!$C$7:$O$332,13,0)</f>
        <v>0</v>
      </c>
      <c r="J65" s="532"/>
      <c r="K65" s="466"/>
      <c r="L65" s="466"/>
      <c r="M65" s="394"/>
      <c r="N65" s="394"/>
      <c r="O65" s="393"/>
      <c r="P65" s="469"/>
      <c r="Q65" s="248"/>
    </row>
    <row r="66" spans="1:21" s="34" customFormat="1" ht="24.95" hidden="1" customHeight="1">
      <c r="A66" s="530">
        <f>'8-2.설비자재산출(무인보안)'!C17</f>
        <v>126578</v>
      </c>
      <c r="B66" s="459" t="str">
        <f>'8-2.설비자재산출(무인보안)'!D17</f>
        <v>영상추적 소프트웨어</v>
      </c>
      <c r="C66" s="466" t="str">
        <f>'8-2.설비자재산출(무인보안)'!E17</f>
        <v>영상분석, 움직임추적</v>
      </c>
      <c r="D66" s="430" t="str">
        <f>'8-2.설비자재산출(무인보안)'!G17</f>
        <v>개</v>
      </c>
      <c r="E66" s="394">
        <f>'8-2.설비자재산출(무인보안)'!H17</f>
        <v>0</v>
      </c>
      <c r="F66" s="1200">
        <f>VLOOKUP(C66,'8-6.자재단가비교표'!$C$7:$O$332,12,0)</f>
        <v>0</v>
      </c>
      <c r="G66" s="1200">
        <f t="shared" si="28"/>
        <v>0</v>
      </c>
      <c r="H66" s="248">
        <f>VLOOKUP(C66,'8-6.자재단가비교표'!$C$7:$O$332,13,0)</f>
        <v>0</v>
      </c>
      <c r="J66" s="532"/>
      <c r="K66" s="466"/>
      <c r="L66" s="466"/>
      <c r="M66" s="394"/>
      <c r="N66" s="394"/>
      <c r="O66" s="393"/>
      <c r="P66" s="469"/>
      <c r="Q66" s="248"/>
    </row>
    <row r="67" spans="1:21" s="34" customFormat="1" ht="24.95" hidden="1" customHeight="1">
      <c r="A67" s="530">
        <f>'8-2.설비자재산출(무인보안)'!C18</f>
        <v>126579</v>
      </c>
      <c r="B67" s="459" t="str">
        <f>'8-2.설비자재산출(무인보안)'!D18</f>
        <v>오디오앰프</v>
      </c>
      <c r="C67" s="466" t="str">
        <f>'8-2.설비자재산출(무인보안)'!E18</f>
        <v>30W, G.711 또는 G729a/b</v>
      </c>
      <c r="D67" s="430" t="str">
        <f>'8-2.설비자재산출(무인보안)'!G18</f>
        <v>개</v>
      </c>
      <c r="E67" s="394">
        <f>'8-2.설비자재산출(무인보안)'!H18</f>
        <v>0</v>
      </c>
      <c r="F67" s="1200">
        <f>VLOOKUP(C67,'8-6.자재단가비교표'!$C$7:$O$332,12,0)</f>
        <v>650639.61765000003</v>
      </c>
      <c r="G67" s="1200">
        <f t="shared" si="28"/>
        <v>0</v>
      </c>
      <c r="H67" s="248" t="str">
        <f>VLOOKUP(C67,'8-6.자재단가비교표'!$C$7:$O$332,13,0)</f>
        <v>실례가</v>
      </c>
      <c r="J67" s="532"/>
      <c r="K67" s="466"/>
      <c r="L67" s="466"/>
      <c r="M67" s="394"/>
      <c r="N67" s="394"/>
      <c r="O67" s="393"/>
      <c r="P67" s="469"/>
      <c r="Q67" s="248"/>
    </row>
    <row r="68" spans="1:21" s="34" customFormat="1" ht="24.95" hidden="1" customHeight="1">
      <c r="A68" s="530">
        <f>'8-2.설비자재산출(무인보안)'!C19</f>
        <v>126580</v>
      </c>
      <c r="B68" s="459" t="str">
        <f>'8-2.설비자재산출(무인보안)'!D19</f>
        <v>Full-HD PTZ IP카메라(30X)</v>
      </c>
      <c r="C68" s="466" t="str">
        <f>'8-2.설비자재산출(무인보안)'!E19</f>
        <v>30배줌, Onvif 2.0, TTA인증</v>
      </c>
      <c r="D68" s="430" t="str">
        <f>'8-2.설비자재산출(무인보안)'!G19</f>
        <v>대</v>
      </c>
      <c r="E68" s="394">
        <f>'8-2.설비자재산출(무인보안)'!H19</f>
        <v>0</v>
      </c>
      <c r="F68" s="1200">
        <f>VLOOKUP(C68,'8-6.자재단가비교표'!$C$7:$O$332,12,0)</f>
        <v>1831386.9413399999</v>
      </c>
      <c r="G68" s="1200">
        <f t="shared" si="28"/>
        <v>0</v>
      </c>
      <c r="H68" s="248" t="str">
        <f>VLOOKUP(C68,'8-6.자재단가비교표'!$C$7:$O$332,13,0)</f>
        <v>ERP단가</v>
      </c>
      <c r="J68" s="532"/>
      <c r="K68" s="466"/>
      <c r="L68" s="466"/>
      <c r="M68" s="394"/>
      <c r="N68" s="394"/>
      <c r="O68" s="393"/>
      <c r="P68" s="469"/>
      <c r="Q68" s="248"/>
    </row>
    <row r="69" spans="1:21" s="34" customFormat="1" ht="24.95" hidden="1" customHeight="1">
      <c r="A69" s="530">
        <f>'8-2.설비자재산출(무인보안)'!C20</f>
        <v>126581</v>
      </c>
      <c r="B69" s="459" t="str">
        <f>'8-2.설비자재산출(무인보안)'!D20</f>
        <v>Full-HD PTZ IP카메라(20X)</v>
      </c>
      <c r="C69" s="466" t="str">
        <f>'8-2.설비자재산출(무인보안)'!E20</f>
        <v>20배줌, Onvif 2.0, TTA인증</v>
      </c>
      <c r="D69" s="430" t="str">
        <f>'8-2.설비자재산출(무인보안)'!G20</f>
        <v>대</v>
      </c>
      <c r="E69" s="394">
        <f>'8-2.설비자재산출(무인보안)'!H20</f>
        <v>127</v>
      </c>
      <c r="F69" s="1200">
        <f>VLOOKUP(C69,'8-6.자재단가비교표'!$C$7:$O$332,12,0)</f>
        <v>1614544.8</v>
      </c>
      <c r="G69" s="1200">
        <f t="shared" si="28"/>
        <v>205047189</v>
      </c>
      <c r="H69" s="248" t="str">
        <f>VLOOKUP(C69,'8-6.자재단가비교표'!$C$7:$O$332,13,0)</f>
        <v>ERP단가</v>
      </c>
      <c r="J69" s="532"/>
      <c r="K69" s="466"/>
      <c r="L69" s="466"/>
      <c r="M69" s="394"/>
      <c r="N69" s="394"/>
      <c r="O69" s="393"/>
      <c r="P69" s="469"/>
      <c r="Q69" s="248"/>
    </row>
    <row r="70" spans="1:21" s="34" customFormat="1" ht="24.95" hidden="1" customHeight="1">
      <c r="A70" s="530">
        <f>'8-2.설비자재산출(무인보안)'!C21</f>
        <v>0</v>
      </c>
      <c r="B70" s="459" t="str">
        <f>'8-2.설비자재산출(무인보안)'!D21</f>
        <v>Full-HD PTZ IP카메라(20X)</v>
      </c>
      <c r="C70" s="466" t="str">
        <f>'8-2.설비자재산출(무인보안)'!E21</f>
        <v>20배줌, Onvif 2.0</v>
      </c>
      <c r="D70" s="430" t="str">
        <f>'8-2.설비자재산출(무인보안)'!G21</f>
        <v>대</v>
      </c>
      <c r="E70" s="394">
        <f>'8-2.설비자재산출(무인보안)'!H21</f>
        <v>0</v>
      </c>
      <c r="F70" s="1200">
        <f>VLOOKUP(C70,'8-6.자재단가비교표'!$C$7:$O$332,12,0)</f>
        <v>0</v>
      </c>
      <c r="G70" s="1200">
        <f t="shared" si="28"/>
        <v>0</v>
      </c>
      <c r="H70" s="248">
        <f>VLOOKUP(C70,'8-6.자재단가비교표'!$C$7:$O$332,13,0)</f>
        <v>0</v>
      </c>
      <c r="J70" s="532"/>
      <c r="K70" s="466"/>
      <c r="L70" s="466"/>
      <c r="M70" s="394"/>
      <c r="N70" s="394"/>
      <c r="O70" s="393"/>
      <c r="P70" s="469"/>
      <c r="Q70" s="248"/>
    </row>
    <row r="71" spans="1:21" s="34" customFormat="1" ht="24.95" hidden="1" customHeight="1">
      <c r="A71" s="530">
        <f>'8-2.설비자재산출(무인보안)'!C22</f>
        <v>127781</v>
      </c>
      <c r="B71" s="459" t="str">
        <f>'8-2.설비자재산출(무인보안)'!D22</f>
        <v>Full-HD IP카메라(고정형)</v>
      </c>
      <c r="C71" s="466" t="str">
        <f>'8-2.설비자재산출(무인보안)'!E22</f>
        <v>4배줌, Onvif 2.0, TTA인증</v>
      </c>
      <c r="D71" s="430" t="str">
        <f>'8-2.설비자재산출(무인보안)'!G22</f>
        <v>대</v>
      </c>
      <c r="E71" s="394">
        <f>'8-2.설비자재산출(무인보안)'!H22</f>
        <v>1</v>
      </c>
      <c r="F71" s="1200">
        <f>VLOOKUP(C71,'8-6.자재단가비교표'!$C$7:$O$332,12,0)</f>
        <v>697854.52341000002</v>
      </c>
      <c r="G71" s="1200">
        <f t="shared" si="28"/>
        <v>697854</v>
      </c>
      <c r="H71" s="248" t="str">
        <f>VLOOKUP(C71,'8-6.자재단가비교표'!$C$7:$O$332,13,0)</f>
        <v>ERP단가</v>
      </c>
      <c r="J71" s="532"/>
      <c r="K71" s="466"/>
      <c r="L71" s="466"/>
      <c r="M71" s="394"/>
      <c r="N71" s="394"/>
      <c r="O71" s="393"/>
      <c r="P71" s="469"/>
      <c r="Q71" s="248"/>
    </row>
    <row r="72" spans="1:21" s="34" customFormat="1" ht="24.95" hidden="1" customHeight="1">
      <c r="A72" s="530">
        <f>'8-2.설비자재산출(무인보안)'!C23</f>
        <v>126582</v>
      </c>
      <c r="B72" s="459" t="str">
        <f>'8-2.설비자재산출(무인보안)'!D23</f>
        <v>19인치 랙(내진형)</v>
      </c>
      <c r="C72" s="466" t="str">
        <f>'8-2.설비자재산출(무인보안)'!E23</f>
        <v>내진형, 600×750×2000</v>
      </c>
      <c r="D72" s="430" t="str">
        <f>'8-2.설비자재산출(무인보안)'!G23</f>
        <v>대</v>
      </c>
      <c r="E72" s="394">
        <f>'8-2.설비자재산출(무인보안)'!H23</f>
        <v>3</v>
      </c>
      <c r="F72" s="1200">
        <f>VLOOKUP(C72,'8-6.자재단가비교표'!$C$7:$O$332,12,0)</f>
        <v>1772260.3803299998</v>
      </c>
      <c r="G72" s="1200">
        <f t="shared" si="28"/>
        <v>5316781</v>
      </c>
      <c r="H72" s="248" t="str">
        <f>VLOOKUP(C72,'8-6.자재단가비교표'!$C$7:$O$332,13,0)</f>
        <v>ERP단가</v>
      </c>
      <c r="J72" s="753">
        <f>$A72</f>
        <v>126582</v>
      </c>
      <c r="K72" s="392" t="str">
        <f>$B72</f>
        <v>19인치 랙(내진형)</v>
      </c>
      <c r="L72" s="429" t="str">
        <f>$C72</f>
        <v>내진형, 600×750×2000</v>
      </c>
      <c r="M72" s="430" t="str">
        <f>$D72</f>
        <v>대</v>
      </c>
      <c r="N72" s="394" t="e">
        <f>#REF!+#REF!</f>
        <v>#REF!</v>
      </c>
      <c r="O72" s="393">
        <f>VLOOKUP(L72,'8-6.자재단가비교표'!$C$8:$O$332,12,0)</f>
        <v>1772260.3803299998</v>
      </c>
      <c r="P72" s="393" t="e">
        <f>INT(N72*O72)</f>
        <v>#REF!</v>
      </c>
      <c r="Q72" s="248" t="str">
        <f>VLOOKUP(L72,'8-6.자재단가비교표'!$C$8:$O$328,13,0)</f>
        <v>ERP단가</v>
      </c>
      <c r="R72" s="34" t="e">
        <f>E72-N72</f>
        <v>#REF!</v>
      </c>
      <c r="S72" s="34" t="e">
        <f>G72-P72</f>
        <v>#REF!</v>
      </c>
      <c r="T72" s="34" t="e">
        <f>#REF!+#REF!</f>
        <v>#REF!</v>
      </c>
      <c r="U72" s="34" t="e">
        <f t="shared" si="20"/>
        <v>#REF!</v>
      </c>
    </row>
    <row r="73" spans="1:21" s="34" customFormat="1" ht="24.95" hidden="1" customHeight="1">
      <c r="A73" s="530">
        <f>'8-2.설비자재산출(무인보안)'!C24</f>
        <v>126583</v>
      </c>
      <c r="B73" s="459" t="str">
        <f>'8-2.설비자재산출(무인보안)'!D24</f>
        <v>카메라함체</v>
      </c>
      <c r="C73" s="466" t="str">
        <f>'8-2.설비자재산출(무인보안)'!E24</f>
        <v>방수형, Stainless</v>
      </c>
      <c r="D73" s="430" t="str">
        <f>'8-2.설비자재산출(무인보안)'!G24</f>
        <v>대</v>
      </c>
      <c r="E73" s="394">
        <f>'8-2.설비자재산출(무인보안)'!H24</f>
        <v>0</v>
      </c>
      <c r="F73" s="1200">
        <f>VLOOKUP(C73,'8-6.자재단가비교표'!$C$7:$O$332,12,0)</f>
        <v>333729.04256999999</v>
      </c>
      <c r="G73" s="1200">
        <f t="shared" ref="G73:G83" si="29">INT(E73*F73)</f>
        <v>0</v>
      </c>
      <c r="H73" s="248" t="str">
        <f>VLOOKUP(C73,'8-6.자재단가비교표'!$C$7:$O$332,13,0)</f>
        <v>ERP단가</v>
      </c>
      <c r="J73" s="753"/>
      <c r="K73" s="392"/>
      <c r="L73" s="429"/>
      <c r="M73" s="430"/>
      <c r="N73" s="394"/>
      <c r="O73" s="393"/>
      <c r="P73" s="393"/>
      <c r="Q73" s="248"/>
    </row>
    <row r="74" spans="1:21" s="34" customFormat="1" ht="24.95" hidden="1" customHeight="1">
      <c r="A74" s="530">
        <f>'8-2.설비자재산출(무인보안)'!C25</f>
        <v>126584</v>
      </c>
      <c r="B74" s="459" t="str">
        <f>'8-2.설비자재산출(무인보안)'!D25</f>
        <v>네트워크장치함체</v>
      </c>
      <c r="C74" s="466" t="str">
        <f>'8-2.설비자재산출(무인보안)'!E25</f>
        <v>네트웍 방수형, Stainless</v>
      </c>
      <c r="D74" s="430" t="str">
        <f>'8-2.설비자재산출(무인보안)'!G25</f>
        <v>대</v>
      </c>
      <c r="E74" s="394">
        <f>'8-2.설비자재산출(무인보안)'!H25</f>
        <v>0</v>
      </c>
      <c r="F74" s="1200">
        <f>VLOOKUP(C74,'8-6.자재단가비교표'!$C$7:$O$332,12,0)</f>
        <v>350275.49436000001</v>
      </c>
      <c r="G74" s="1200">
        <f t="shared" si="29"/>
        <v>0</v>
      </c>
      <c r="H74" s="248" t="str">
        <f>VLOOKUP(C74,'8-6.자재단가비교표'!$C$7:$O$332,13,0)</f>
        <v>ERP단가</v>
      </c>
      <c r="J74" s="753"/>
      <c r="K74" s="392"/>
      <c r="L74" s="429"/>
      <c r="M74" s="430"/>
      <c r="N74" s="394"/>
      <c r="O74" s="393"/>
      <c r="P74" s="393"/>
      <c r="Q74" s="248"/>
    </row>
    <row r="75" spans="1:21" s="34" customFormat="1" ht="24.95" hidden="1" customHeight="1">
      <c r="A75" s="530">
        <f>'8-2.설비자재산출(무인보안)'!C26</f>
        <v>126585</v>
      </c>
      <c r="B75" s="459" t="str">
        <f>'8-2.설비자재산출(무인보안)'!D26</f>
        <v>카메라 지지대</v>
      </c>
      <c r="C75" s="466" t="str">
        <f>'8-2.설비자재산출(무인보안)'!E26</f>
        <v>일반형, W165 X H6000 X T5mm, 안전작업대 포함</v>
      </c>
      <c r="D75" s="430" t="str">
        <f>'8-2.설비자재산출(무인보안)'!G26</f>
        <v>대</v>
      </c>
      <c r="E75" s="394">
        <f>'8-2.설비자재산출(무인보안)'!H26</f>
        <v>8</v>
      </c>
      <c r="F75" s="1200">
        <f>VLOOKUP(C75,'8-6.자재단가비교표'!$C$7:$O$332,12,0)</f>
        <v>1864210.46163</v>
      </c>
      <c r="G75" s="1200">
        <f t="shared" si="29"/>
        <v>14913683</v>
      </c>
      <c r="H75" s="248" t="str">
        <f>VLOOKUP(C75,'8-6.자재단가비교표'!$C$7:$O$332,13,0)</f>
        <v>ERP단가</v>
      </c>
      <c r="J75" s="753"/>
      <c r="K75" s="392"/>
      <c r="L75" s="429"/>
      <c r="M75" s="430"/>
      <c r="N75" s="394"/>
      <c r="O75" s="393"/>
      <c r="P75" s="393"/>
      <c r="Q75" s="248"/>
    </row>
    <row r="76" spans="1:21" s="34" customFormat="1" ht="24.95" hidden="1" customHeight="1">
      <c r="A76" s="530"/>
      <c r="B76" s="459" t="str">
        <f>'8-2.설비자재산출(무인보안)'!D27</f>
        <v>ㄷ'자 카메라 폴대</v>
      </c>
      <c r="C76" s="466" t="str">
        <f>'8-2.설비자재산출(무인보안)'!E27</f>
        <v>일반형, W700 X H700 X 200</v>
      </c>
      <c r="D76" s="430" t="str">
        <f>'8-2.설비자재산출(무인보안)'!G27</f>
        <v>대</v>
      </c>
      <c r="E76" s="394">
        <f>'8-2.설비자재산출(무인보안)'!H27</f>
        <v>0</v>
      </c>
      <c r="F76" s="1200">
        <f>VLOOKUP(C76,'8-6.자재단가비교표'!$C$7:$O$332,12,0)</f>
        <v>438735</v>
      </c>
      <c r="G76" s="1200">
        <f t="shared" si="29"/>
        <v>0</v>
      </c>
      <c r="H76" s="248" t="str">
        <f>VLOOKUP(C76,'8-6.자재단가비교표'!$C$7:$O$332,13,0)</f>
        <v>견적가</v>
      </c>
      <c r="J76" s="753"/>
      <c r="K76" s="392"/>
      <c r="L76" s="429"/>
      <c r="M76" s="430"/>
      <c r="N76" s="394"/>
      <c r="O76" s="393"/>
      <c r="P76" s="393"/>
      <c r="Q76" s="248"/>
    </row>
    <row r="77" spans="1:21" s="34" customFormat="1" ht="24.95" hidden="1" customHeight="1">
      <c r="A77" s="530">
        <f>'8-2.설비자재산출(무인보안)'!C28</f>
        <v>0</v>
      </c>
      <c r="B77" s="459" t="str">
        <f>'8-2.설비자재산출(무인보안)'!D28</f>
        <v>스마트 카메라 지지대</v>
      </c>
      <c r="C77" s="466" t="str">
        <f>'8-2.설비자재산출(무인보안)'!E28</f>
        <v>일반형, W165 X H6000 X T5mm</v>
      </c>
      <c r="D77" s="430" t="str">
        <f>'8-2.설비자재산출(무인보안)'!G28</f>
        <v>대</v>
      </c>
      <c r="E77" s="394">
        <f>'8-2.설비자재산출(무인보안)'!H28</f>
        <v>0</v>
      </c>
      <c r="F77" s="1200">
        <f>VLOOKUP(C77,'8-6.자재단가비교표'!$C$7:$O$332,12,0)</f>
        <v>0</v>
      </c>
      <c r="G77" s="1200">
        <f t="shared" si="29"/>
        <v>0</v>
      </c>
      <c r="H77" s="248" t="str">
        <f>VLOOKUP(C77,'8-6.자재단가비교표'!$C$7:$O$332,13,0)</f>
        <v>견적가</v>
      </c>
      <c r="J77" s="753"/>
      <c r="K77" s="392"/>
      <c r="L77" s="429"/>
      <c r="M77" s="430"/>
      <c r="N77" s="394"/>
      <c r="O77" s="393"/>
      <c r="P77" s="393"/>
      <c r="Q77" s="248"/>
    </row>
    <row r="78" spans="1:21" s="34" customFormat="1" ht="24.95" hidden="1" customHeight="1">
      <c r="A78" s="530">
        <f>'8-2.설비자재산출(무인보안)'!C29</f>
        <v>127030</v>
      </c>
      <c r="B78" s="459" t="str">
        <f>'8-2.설비자재산출(무인보안)'!D29</f>
        <v>카메라리프트(옥내)</v>
      </c>
      <c r="C78" s="466" t="str">
        <f>'8-2.설비자재산출(무인보안)'!E29</f>
        <v>카메라 승하강 동작, 자동, 수동</v>
      </c>
      <c r="D78" s="430" t="str">
        <f>'8-2.설비자재산출(무인보안)'!G29</f>
        <v>대</v>
      </c>
      <c r="E78" s="394">
        <f>'8-2.설비자재산출(무인보안)'!H29</f>
        <v>69</v>
      </c>
      <c r="F78" s="1200">
        <f>VLOOKUP(C78,'8-6.자재단가비교표'!$C$7:$O$332,12,0)</f>
        <v>2714629.81647</v>
      </c>
      <c r="G78" s="1200">
        <f t="shared" si="29"/>
        <v>187309457</v>
      </c>
      <c r="H78" s="248" t="str">
        <f>VLOOKUP(C78,'8-6.자재단가비교표'!$C$7:$O$332,13,0)</f>
        <v>ERP단가</v>
      </c>
      <c r="J78" s="753"/>
      <c r="K78" s="392"/>
      <c r="L78" s="429"/>
      <c r="M78" s="430"/>
      <c r="N78" s="394"/>
      <c r="O78" s="393"/>
      <c r="P78" s="393"/>
      <c r="Q78" s="248"/>
    </row>
    <row r="79" spans="1:21" s="34" customFormat="1" ht="24.95" hidden="1" customHeight="1">
      <c r="A79" s="530">
        <f>'8-2.설비자재산출(무인보안)'!C30</f>
        <v>127780</v>
      </c>
      <c r="B79" s="459" t="str">
        <f>'8-2.설비자재산출(무인보안)'!D30</f>
        <v>카메라리프트</v>
      </c>
      <c r="C79" s="466" t="str">
        <f>'8-2.설비자재산출(무인보안)'!E30</f>
        <v>카메라 승하강 동작, 자동, 수동, 방수, 6m 이하</v>
      </c>
      <c r="D79" s="430" t="str">
        <f>'8-2.설비자재산출(무인보안)'!G30</f>
        <v>대</v>
      </c>
      <c r="E79" s="394">
        <f>'8-2.설비자재산출(무인보안)'!H30</f>
        <v>8</v>
      </c>
      <c r="F79" s="1200">
        <f>VLOOKUP(C79,'8-6.자재단가비교표'!$C$7:$O$332,12,0)</f>
        <v>4278692.8898999998</v>
      </c>
      <c r="G79" s="1200">
        <f t="shared" si="29"/>
        <v>34229543</v>
      </c>
      <c r="H79" s="248" t="str">
        <f>VLOOKUP(C79,'8-6.자재단가비교표'!$C$7:$O$332,13,0)</f>
        <v>ERP단가</v>
      </c>
      <c r="J79" s="753"/>
      <c r="K79" s="392"/>
      <c r="L79" s="429"/>
      <c r="M79" s="430"/>
      <c r="N79" s="394"/>
      <c r="O79" s="393"/>
      <c r="P79" s="393"/>
      <c r="Q79" s="248"/>
    </row>
    <row r="80" spans="1:21" s="34" customFormat="1" ht="24.95" hidden="1" customHeight="1">
      <c r="A80" s="530">
        <f>'8-2.설비자재산출(무인보안)'!C31</f>
        <v>126586</v>
      </c>
      <c r="B80" s="459" t="str">
        <f>'8-2.설비자재산출(무인보안)'!D31</f>
        <v>주전원공급장치</v>
      </c>
      <c r="C80" s="466" t="str">
        <f>'8-2.설비자재산출(무인보안)'!E31</f>
        <v>AC220V 60Hz, 8채널</v>
      </c>
      <c r="D80" s="430" t="str">
        <f>'8-2.설비자재산출(무인보안)'!G31</f>
        <v>대</v>
      </c>
      <c r="E80" s="394">
        <f>'8-2.설비자재산출(무인보안)'!H31</f>
        <v>3</v>
      </c>
      <c r="F80" s="1200">
        <f>VLOOKUP(C80,'8-6.자재단가비교표'!$C$7:$O$332,12,0)</f>
        <v>1830601.6056899999</v>
      </c>
      <c r="G80" s="1200">
        <f t="shared" si="29"/>
        <v>5491804</v>
      </c>
      <c r="H80" s="248" t="str">
        <f>VLOOKUP(C80,'8-6.자재단가비교표'!$C$7:$O$332,13,0)</f>
        <v>ERP단가</v>
      </c>
      <c r="J80" s="753"/>
      <c r="K80" s="392"/>
      <c r="L80" s="429"/>
      <c r="M80" s="430"/>
      <c r="N80" s="394"/>
      <c r="O80" s="393"/>
      <c r="P80" s="393"/>
      <c r="Q80" s="248"/>
    </row>
    <row r="81" spans="1:21" s="34" customFormat="1" ht="24.95" hidden="1" customHeight="1">
      <c r="A81" s="530">
        <f>'8-2.설비자재산출(무인보안)'!C32</f>
        <v>126587</v>
      </c>
      <c r="B81" s="459" t="str">
        <f>'8-2.설비자재산출(무인보안)'!D32</f>
        <v>전원분배기</v>
      </c>
      <c r="C81" s="466" t="str">
        <f>'8-2.설비자재산출(무인보안)'!E32</f>
        <v>AC220V, 8채널</v>
      </c>
      <c r="D81" s="430" t="str">
        <f>'8-2.설비자재산출(무인보안)'!G32</f>
        <v>대</v>
      </c>
      <c r="E81" s="394">
        <f>'8-2.설비자재산출(무인보안)'!H32</f>
        <v>0</v>
      </c>
      <c r="F81" s="1200">
        <f>VLOOKUP(C81,'8-6.자재단가비교표'!$C$7:$O$332,12,0)</f>
        <v>762662.70267000003</v>
      </c>
      <c r="G81" s="1200">
        <f t="shared" si="29"/>
        <v>0</v>
      </c>
      <c r="H81" s="248" t="str">
        <f>VLOOKUP(C81,'8-6.자재단가비교표'!$C$7:$O$332,13,0)</f>
        <v>ERP단가</v>
      </c>
      <c r="J81" s="753"/>
      <c r="K81" s="392"/>
      <c r="L81" s="429"/>
      <c r="M81" s="430"/>
      <c r="N81" s="394"/>
      <c r="O81" s="393"/>
      <c r="P81" s="393"/>
      <c r="Q81" s="248"/>
    </row>
    <row r="82" spans="1:21" s="34" customFormat="1" ht="24.95" hidden="1" customHeight="1">
      <c r="A82" s="530">
        <f>'8-2.설비자재산출(무인보안)'!C33</f>
        <v>126588</v>
      </c>
      <c r="B82" s="459" t="str">
        <f>'8-2.설비자재산출(무인보안)'!D33</f>
        <v>서지전원장치</v>
      </c>
      <c r="C82" s="466" t="str">
        <f>'8-2.설비자재산출(무인보안)'!E33</f>
        <v>AC220V, 60Hz, 40KA, KS인증제품</v>
      </c>
      <c r="D82" s="430" t="str">
        <f>'8-2.설비자재산출(무인보안)'!G33</f>
        <v>개</v>
      </c>
      <c r="E82" s="394">
        <f>'8-2.설비자재산출(무인보안)'!H33</f>
        <v>128</v>
      </c>
      <c r="F82" s="1200">
        <f>VLOOKUP(C82,'8-6.자재단가비교표'!$C$7:$O$332,12,0)</f>
        <v>593117.07180000003</v>
      </c>
      <c r="G82" s="1200">
        <f t="shared" si="29"/>
        <v>75918985</v>
      </c>
      <c r="H82" s="248" t="str">
        <f>VLOOKUP(C82,'8-6.자재단가비교표'!$C$7:$O$332,13,0)</f>
        <v>ERP단가</v>
      </c>
      <c r="J82" s="753"/>
      <c r="K82" s="392"/>
      <c r="L82" s="429"/>
      <c r="M82" s="430"/>
      <c r="N82" s="394"/>
      <c r="O82" s="393"/>
      <c r="P82" s="393"/>
      <c r="Q82" s="248"/>
    </row>
    <row r="83" spans="1:21" s="34" customFormat="1" ht="24.95" hidden="1" customHeight="1">
      <c r="A83" s="530">
        <f>'8-2.설비자재산출(무인보안)'!C34</f>
        <v>126589</v>
      </c>
      <c r="B83" s="459" t="str">
        <f>'8-2.설비자재산출(무인보안)'!D34</f>
        <v>경보주장치</v>
      </c>
      <c r="C83" s="466" t="str">
        <f>'8-2.설비자재산출(무인보안)'!E34</f>
        <v>터치형 7인치 LCD(16DI*1, 16DO*2)</v>
      </c>
      <c r="D83" s="430" t="str">
        <f>'8-2.설비자재산출(무인보안)'!G34</f>
        <v>대</v>
      </c>
      <c r="E83" s="394">
        <f>'8-2.설비자재산출(무인보안)'!H34</f>
        <v>1</v>
      </c>
      <c r="F83" s="1200">
        <f>VLOOKUP(C83,'8-6.자재단가비교표'!$C$7:$O$332,12,0)</f>
        <v>3237537.8811599999</v>
      </c>
      <c r="G83" s="1200">
        <f t="shared" si="29"/>
        <v>3237537</v>
      </c>
      <c r="H83" s="248" t="str">
        <f>VLOOKUP(C83,'8-6.자재단가비교표'!$C$7:$O$332,13,0)</f>
        <v>ERP단가</v>
      </c>
      <c r="J83" s="753"/>
      <c r="K83" s="392"/>
      <c r="L83" s="429"/>
      <c r="M83" s="430"/>
      <c r="N83" s="394"/>
      <c r="O83" s="393"/>
      <c r="P83" s="393"/>
      <c r="Q83" s="248"/>
    </row>
    <row r="84" spans="1:21" s="34" customFormat="1" ht="24.95" hidden="1" customHeight="1">
      <c r="A84" s="530">
        <f>'8-2.설비자재산출(무인보안)'!C35</f>
        <v>128131</v>
      </c>
      <c r="B84" s="459" t="str">
        <f>'8-2.설비자재산출(무인보안)'!D35</f>
        <v>컴팩트 LCD 출입리더기</v>
      </c>
      <c r="C84" s="466" t="str">
        <f>'8-2.설비자재산출(무인보안)'!E35</f>
        <v>번호, RF카드, 지문인식(OR, AND인증 설정지원), 상태표시창</v>
      </c>
      <c r="D84" s="430" t="str">
        <f>'8-2.설비자재산출(무인보안)'!G35</f>
        <v>대</v>
      </c>
      <c r="E84" s="394">
        <f>'8-2.설비자재산출(무인보안)'!H35</f>
        <v>6</v>
      </c>
      <c r="F84" s="1200">
        <f>VLOOKUP(C84,'8-6.자재단가비교표'!$C$7:$O$332,12,0)</f>
        <v>1603087.6742099999</v>
      </c>
      <c r="G84" s="1200">
        <f t="shared" ref="G84:G96" si="30">INT(E84*F84)</f>
        <v>9618526</v>
      </c>
      <c r="H84" s="248" t="str">
        <f>VLOOKUP(C84,'8-6.자재단가비교표'!$C$7:$O$332,13,0)</f>
        <v>ERP단가</v>
      </c>
      <c r="J84" s="753"/>
      <c r="K84" s="392"/>
      <c r="L84" s="429"/>
      <c r="M84" s="430"/>
      <c r="N84" s="394"/>
      <c r="O84" s="393"/>
      <c r="P84" s="393"/>
      <c r="Q84" s="248"/>
    </row>
    <row r="85" spans="1:21" s="34" customFormat="1" ht="24.95" hidden="1" customHeight="1">
      <c r="A85" s="530">
        <f>'8-2.설비자재산출(무인보안)'!C36</f>
        <v>126591</v>
      </c>
      <c r="B85" s="459" t="str">
        <f>'8-2.설비자재산출(무인보안)'!D36</f>
        <v>출입리더기 함체</v>
      </c>
      <c r="C85" s="466" t="str">
        <f>'8-2.설비자재산출(무인보안)'!E36</f>
        <v>Stainless Steel, Window는 안전접합 유리</v>
      </c>
      <c r="D85" s="430" t="str">
        <f>'8-2.설비자재산출(무인보안)'!G36</f>
        <v>개</v>
      </c>
      <c r="E85" s="394">
        <f>'8-2.설비자재산출(무인보안)'!H36</f>
        <v>0</v>
      </c>
      <c r="F85" s="1200">
        <f>VLOOKUP(C85,'8-6.자재단가비교표'!$C$7:$O$332,12,0)</f>
        <v>315631.22382000001</v>
      </c>
      <c r="G85" s="1200">
        <f t="shared" si="30"/>
        <v>0</v>
      </c>
      <c r="H85" s="248" t="str">
        <f>VLOOKUP(C85,'8-6.자재단가비교표'!$C$7:$O$332,13,0)</f>
        <v>ERP단가</v>
      </c>
      <c r="J85" s="753"/>
      <c r="K85" s="392"/>
      <c r="L85" s="429"/>
      <c r="M85" s="430"/>
      <c r="N85" s="394"/>
      <c r="O85" s="393"/>
      <c r="P85" s="393"/>
      <c r="Q85" s="248"/>
    </row>
    <row r="86" spans="1:21" s="34" customFormat="1" ht="24.95" hidden="1" customHeight="1">
      <c r="A86" s="530">
        <f>'8-2.설비자재산출(무인보안)'!C37</f>
        <v>126592</v>
      </c>
      <c r="B86" s="459" t="str">
        <f>'8-2.설비자재산출(무인보안)'!D37</f>
        <v>E/M Lock</v>
      </c>
      <c r="C86" s="466" t="str">
        <f>'8-2.설비자재산출(무인보안)'!E37</f>
        <v>500㎏ 이상, NO/NC, Com+</v>
      </c>
      <c r="D86" s="430" t="str">
        <f>'8-2.설비자재산출(무인보안)'!G37</f>
        <v>개</v>
      </c>
      <c r="E86" s="394">
        <f>'8-2.설비자재산출(무인보안)'!H37</f>
        <v>0</v>
      </c>
      <c r="F86" s="1200">
        <f>VLOOKUP(C86,'8-6.자재단가비교표'!$C$7:$O$332,12,0)</f>
        <v>413417.35808999999</v>
      </c>
      <c r="G86" s="1200">
        <f t="shared" si="30"/>
        <v>0</v>
      </c>
      <c r="H86" s="248" t="str">
        <f>VLOOKUP(C86,'8-6.자재단가비교표'!$C$7:$O$332,13,0)</f>
        <v>ERP단가</v>
      </c>
      <c r="J86" s="753"/>
      <c r="K86" s="392"/>
      <c r="L86" s="429"/>
      <c r="M86" s="430"/>
      <c r="N86" s="394"/>
      <c r="O86" s="393"/>
      <c r="P86" s="393"/>
      <c r="Q86" s="248"/>
    </row>
    <row r="87" spans="1:21" s="34" customFormat="1" ht="24.95" hidden="1" customHeight="1">
      <c r="A87" s="530">
        <f>'8-2.설비자재산출(무인보안)'!C38</f>
        <v>126593</v>
      </c>
      <c r="B87" s="459" t="str">
        <f>'8-2.설비자재산출(무인보안)'!D38</f>
        <v>퇴실버튼</v>
      </c>
      <c r="C87" s="466" t="str">
        <f>'8-2.설비자재산출(무인보안)'!E38</f>
        <v>벽면부착형</v>
      </c>
      <c r="D87" s="430" t="str">
        <f>'8-2.설비자재산출(무인보안)'!G38</f>
        <v>개</v>
      </c>
      <c r="E87" s="394">
        <f>'8-2.설비자재산출(무인보안)'!H38</f>
        <v>0</v>
      </c>
      <c r="F87" s="1200">
        <f>VLOOKUP(C87,'8-6.자재단가비교표'!$C$7:$O$332,12,0)</f>
        <v>46088.234279999997</v>
      </c>
      <c r="G87" s="1200">
        <f t="shared" si="30"/>
        <v>0</v>
      </c>
      <c r="H87" s="248" t="str">
        <f>VLOOKUP(C87,'8-6.자재단가비교표'!$C$7:$O$332,13,0)</f>
        <v>ERP단가</v>
      </c>
      <c r="J87" s="753"/>
      <c r="K87" s="392"/>
      <c r="L87" s="429"/>
      <c r="M87" s="430"/>
      <c r="N87" s="394"/>
      <c r="O87" s="393"/>
      <c r="P87" s="393"/>
      <c r="Q87" s="248"/>
    </row>
    <row r="88" spans="1:21" s="34" customFormat="1" ht="24.95" hidden="1" customHeight="1">
      <c r="A88" s="530">
        <f>'8-2.설비자재산출(무인보안)'!C39</f>
        <v>126594</v>
      </c>
      <c r="B88" s="459" t="str">
        <f>'8-2.설비자재산출(무인보안)'!D39</f>
        <v>지문등록기</v>
      </c>
      <c r="C88" s="466" t="str">
        <f>'8-2.설비자재산출(무인보안)'!E39</f>
        <v>지문등록</v>
      </c>
      <c r="D88" s="430" t="str">
        <f>'8-2.설비자재산출(무인보안)'!G39</f>
        <v>개</v>
      </c>
      <c r="E88" s="394">
        <f>'8-2.설비자재산출(무인보안)'!H39</f>
        <v>0</v>
      </c>
      <c r="F88" s="1200">
        <f>VLOOKUP(C88,'8-6.자재단가비교표'!$C$7:$O$332,12,0)</f>
        <v>0</v>
      </c>
      <c r="G88" s="1200">
        <f t="shared" si="30"/>
        <v>0</v>
      </c>
      <c r="H88" s="248" t="str">
        <f>VLOOKUP(C88,'8-6.자재단가비교표'!$C$7:$O$332,13,0)</f>
        <v>견적가</v>
      </c>
      <c r="J88" s="753"/>
      <c r="K88" s="392"/>
      <c r="L88" s="429"/>
      <c r="M88" s="430"/>
      <c r="N88" s="394"/>
      <c r="O88" s="393"/>
      <c r="P88" s="393"/>
      <c r="Q88" s="248"/>
    </row>
    <row r="89" spans="1:21" s="34" customFormat="1" ht="24.95" hidden="1" customHeight="1">
      <c r="A89" s="530">
        <f>'8-2.설비자재산출(무인보안)'!C40</f>
        <v>126595</v>
      </c>
      <c r="B89" s="459" t="str">
        <f>'8-2.설비자재산출(무인보안)'!D40</f>
        <v>ID Card</v>
      </c>
      <c r="C89" s="466" t="str">
        <f>'8-2.설비자재산출(무인보안)'!E40</f>
        <v>비접촉 근접식</v>
      </c>
      <c r="D89" s="430" t="str">
        <f>'8-2.설비자재산출(무인보안)'!G40</f>
        <v>개</v>
      </c>
      <c r="E89" s="394">
        <f>'8-2.설비자재산출(무인보안)'!H40</f>
        <v>0</v>
      </c>
      <c r="F89" s="1200">
        <f>VLOOKUP(C89,'8-6.자재단가비교표'!$C$7:$O$332,12,0)</f>
        <v>0</v>
      </c>
      <c r="G89" s="1200">
        <f t="shared" si="30"/>
        <v>0</v>
      </c>
      <c r="H89" s="248" t="str">
        <f>VLOOKUP(C89,'8-6.자재단가비교표'!$C$7:$O$332,13,0)</f>
        <v>견적가</v>
      </c>
      <c r="J89" s="753"/>
      <c r="K89" s="392"/>
      <c r="L89" s="429"/>
      <c r="M89" s="430"/>
      <c r="N89" s="394"/>
      <c r="O89" s="393"/>
      <c r="P89" s="393"/>
      <c r="Q89" s="248"/>
    </row>
    <row r="90" spans="1:21" s="34" customFormat="1" ht="24.95" hidden="1" customHeight="1">
      <c r="A90" s="530">
        <f>'8-2.설비자재산출(무인보안)'!C41</f>
        <v>126596</v>
      </c>
      <c r="B90" s="459" t="str">
        <f>'8-2.설비자재산출(무인보안)'!D41</f>
        <v>센서수신장치</v>
      </c>
      <c r="C90" s="466" t="str">
        <f>'8-2.설비자재산출(무인보안)'!E41</f>
        <v>자가진단형, 4i-node(4IN 4OUT)</v>
      </c>
      <c r="D90" s="430" t="str">
        <f>'8-2.설비자재산출(무인보안)'!G41</f>
        <v>개</v>
      </c>
      <c r="E90" s="394">
        <f>'8-2.설비자재산출(무인보안)'!H41</f>
        <v>0</v>
      </c>
      <c r="F90" s="1200">
        <f>VLOOKUP(C90,'8-6.자재단가비교표'!$C$7:$O$332,12,0)</f>
        <v>194024.41146</v>
      </c>
      <c r="G90" s="1200">
        <f t="shared" si="30"/>
        <v>0</v>
      </c>
      <c r="H90" s="248" t="str">
        <f>VLOOKUP(C90,'8-6.자재단가비교표'!$C$7:$O$332,13,0)</f>
        <v>ERP단가</v>
      </c>
      <c r="J90" s="753"/>
      <c r="K90" s="392"/>
      <c r="L90" s="429"/>
      <c r="M90" s="430"/>
      <c r="N90" s="394"/>
      <c r="O90" s="393"/>
      <c r="P90" s="393"/>
      <c r="Q90" s="248"/>
    </row>
    <row r="91" spans="1:21" s="34" customFormat="1" ht="24.95" hidden="1" customHeight="1">
      <c r="A91" s="530">
        <f>'8-2.설비자재산출(무인보안)'!C42</f>
        <v>126597</v>
      </c>
      <c r="B91" s="459" t="str">
        <f>'8-2.설비자재산출(무인보안)'!D42</f>
        <v>문 감지기</v>
      </c>
      <c r="C91" s="466" t="str">
        <f>'8-2.설비자재산출(무인보안)'!E42</f>
        <v>(자가진단형)영구자석근접, 전자코일</v>
      </c>
      <c r="D91" s="430" t="str">
        <f>'8-2.설비자재산출(무인보안)'!G42</f>
        <v>조</v>
      </c>
      <c r="E91" s="394">
        <f>'8-2.설비자재산출(무인보안)'!H42</f>
        <v>0</v>
      </c>
      <c r="F91" s="1200">
        <f>VLOOKUP(C91,'8-6.자재단가비교표'!$C$7:$O$332,12,0)</f>
        <v>49705.16562</v>
      </c>
      <c r="G91" s="1200">
        <f t="shared" si="30"/>
        <v>0</v>
      </c>
      <c r="H91" s="248" t="str">
        <f>VLOOKUP(C91,'8-6.자재단가비교표'!$C$7:$O$332,13,0)</f>
        <v>ERP단가</v>
      </c>
      <c r="J91" s="753"/>
      <c r="K91" s="392"/>
      <c r="L91" s="429"/>
      <c r="M91" s="430"/>
      <c r="N91" s="394"/>
      <c r="O91" s="393"/>
      <c r="P91" s="393"/>
      <c r="Q91" s="248"/>
    </row>
    <row r="92" spans="1:21" s="34" customFormat="1" ht="24.95" hidden="1" customHeight="1">
      <c r="A92" s="530">
        <f>'8-2.설비자재산출(무인보안)'!C43</f>
        <v>0</v>
      </c>
      <c r="B92" s="459" t="str">
        <f>'8-2.설비자재산출(무인보안)'!D43</f>
        <v>문 감지기</v>
      </c>
      <c r="C92" s="466" t="str">
        <f>'8-2.설비자재산출(무인보안)'!E43</f>
        <v>자석근접</v>
      </c>
      <c r="D92" s="430" t="str">
        <f>'8-2.설비자재산출(무인보안)'!G43</f>
        <v>조</v>
      </c>
      <c r="E92" s="394">
        <f>'8-2.설비자재산출(무인보안)'!H43</f>
        <v>0</v>
      </c>
      <c r="F92" s="1200">
        <f>VLOOKUP(C92,'8-6.자재단가비교표'!$C$7:$O$332,12,0)</f>
        <v>0</v>
      </c>
      <c r="G92" s="1200">
        <f t="shared" si="30"/>
        <v>0</v>
      </c>
      <c r="H92" s="248" t="str">
        <f>VLOOKUP(C92,'8-6.자재단가비교표'!$C$7:$O$332,13,0)</f>
        <v>견적가</v>
      </c>
      <c r="J92" s="753"/>
      <c r="K92" s="392"/>
      <c r="L92" s="429"/>
      <c r="M92" s="430"/>
      <c r="N92" s="394"/>
      <c r="O92" s="393"/>
      <c r="P92" s="393"/>
      <c r="Q92" s="248"/>
    </row>
    <row r="93" spans="1:21" s="34" customFormat="1" ht="24.95" hidden="1" customHeight="1">
      <c r="A93" s="530">
        <f>'8-2.설비자재산출(무인보안)'!C44</f>
        <v>126598</v>
      </c>
      <c r="B93" s="459" t="str">
        <f>'8-2.설비자재산출(무인보안)'!D44</f>
        <v>셔터 감지기</v>
      </c>
      <c r="C93" s="466" t="str">
        <f>'8-2.설비자재산출(무인보안)'!E44</f>
        <v>적외선반사, 5-20cm</v>
      </c>
      <c r="D93" s="430" t="str">
        <f>'8-2.설비자재산출(무인보안)'!G44</f>
        <v>조</v>
      </c>
      <c r="E93" s="394">
        <f>'8-2.설비자재산출(무인보안)'!H44</f>
        <v>0</v>
      </c>
      <c r="F93" s="1200">
        <f>VLOOKUP(C93,'8-6.자재단가비교표'!$C$7:$O$332,12,0)</f>
        <v>98860.157550000004</v>
      </c>
      <c r="G93" s="1200">
        <f t="shared" si="30"/>
        <v>0</v>
      </c>
      <c r="H93" s="248" t="str">
        <f>VLOOKUP(C93,'8-6.자재단가비교표'!$C$7:$O$332,13,0)</f>
        <v>ERP단가</v>
      </c>
      <c r="J93" s="753"/>
      <c r="K93" s="392"/>
      <c r="L93" s="429"/>
      <c r="M93" s="430"/>
      <c r="N93" s="394"/>
      <c r="O93" s="393"/>
      <c r="P93" s="393"/>
      <c r="Q93" s="248"/>
    </row>
    <row r="94" spans="1:21" s="34" customFormat="1" ht="24.95" hidden="1" customHeight="1">
      <c r="A94" s="530">
        <f>'8-2.설비자재산출(무인보안)'!C45</f>
        <v>126599</v>
      </c>
      <c r="B94" s="459" t="str">
        <f>'8-2.설비자재산출(무인보안)'!D45</f>
        <v>열선감지기</v>
      </c>
      <c r="C94" s="466" t="str">
        <f>'8-2.설비자재산출(무인보안)'!E45</f>
        <v>(자가진단형)Wide angle 11m</v>
      </c>
      <c r="D94" s="430" t="str">
        <f>'8-2.설비자재산출(무인보안)'!G45</f>
        <v>개</v>
      </c>
      <c r="E94" s="394">
        <f>'8-2.설비자재산출(무인보안)'!H45</f>
        <v>0</v>
      </c>
      <c r="F94" s="1200">
        <f>VLOOKUP(C94,'8-6.자재단가비교표'!$C$7:$O$332,12,0)</f>
        <v>134810.10345</v>
      </c>
      <c r="G94" s="1200">
        <f t="shared" si="30"/>
        <v>0</v>
      </c>
      <c r="H94" s="248" t="str">
        <f>VLOOKUP(C94,'8-6.자재단가비교표'!$C$7:$O$332,13,0)</f>
        <v>ERP단가</v>
      </c>
      <c r="J94" s="753"/>
      <c r="K94" s="392"/>
      <c r="L94" s="429"/>
      <c r="M94" s="430"/>
      <c r="N94" s="394"/>
      <c r="O94" s="393"/>
      <c r="P94" s="393"/>
      <c r="Q94" s="248"/>
    </row>
    <row r="95" spans="1:21" s="34" customFormat="1" ht="24.95" hidden="1" customHeight="1">
      <c r="A95" s="530">
        <f>'8-2.설비자재산출(무인보안)'!C46</f>
        <v>0</v>
      </c>
      <c r="B95" s="459" t="str">
        <f>'8-2.설비자재산출(무인보안)'!D46</f>
        <v>열선감지기</v>
      </c>
      <c r="C95" s="466" t="str">
        <f>'8-2.설비자재산출(무인보안)'!E46</f>
        <v>Wide angle 11m</v>
      </c>
      <c r="D95" s="430" t="str">
        <f>'8-2.설비자재산출(무인보안)'!G46</f>
        <v>개</v>
      </c>
      <c r="E95" s="394">
        <f>'8-2.설비자재산출(무인보안)'!H46</f>
        <v>0</v>
      </c>
      <c r="F95" s="1200">
        <f>VLOOKUP(C95,'8-6.자재단가비교표'!$C$7:$O$332,12,0)</f>
        <v>0</v>
      </c>
      <c r="G95" s="1200">
        <f t="shared" si="30"/>
        <v>0</v>
      </c>
      <c r="H95" s="248" t="str">
        <f>VLOOKUP(C95,'8-6.자재단가비교표'!$C$7:$O$332,13,0)</f>
        <v>견적가</v>
      </c>
      <c r="J95" s="753"/>
      <c r="K95" s="392"/>
      <c r="L95" s="429"/>
      <c r="M95" s="430"/>
      <c r="N95" s="394"/>
      <c r="O95" s="393"/>
      <c r="P95" s="393"/>
      <c r="Q95" s="248"/>
    </row>
    <row r="96" spans="1:21" s="34" customFormat="1" ht="24.95" hidden="1" customHeight="1">
      <c r="A96" s="530">
        <f>'8-2.설비자재산출(무인보안)'!C47</f>
        <v>126600</v>
      </c>
      <c r="B96" s="459" t="str">
        <f>'8-2.설비자재산출(무인보안)'!D47</f>
        <v>마이크로웨이브(단거리용)</v>
      </c>
      <c r="C96" s="466" t="str">
        <f>'8-2.설비자재산출(무인보안)'!E47</f>
        <v>단거리용_50m</v>
      </c>
      <c r="D96" s="430" t="str">
        <f>'8-2.설비자재산출(무인보안)'!G47</f>
        <v>조</v>
      </c>
      <c r="E96" s="394">
        <f>'8-2.설비자재산출(무인보안)'!H47</f>
        <v>0</v>
      </c>
      <c r="F96" s="1200">
        <f>VLOOKUP(C96,'8-6.자재단가비교표'!$C$7:$O$332,12,0)</f>
        <v>568440.86046</v>
      </c>
      <c r="G96" s="1200">
        <f t="shared" si="30"/>
        <v>0</v>
      </c>
      <c r="H96" s="248" t="str">
        <f>VLOOKUP(C96,'8-6.자재단가비교표'!$C$7:$O$332,13,0)</f>
        <v>ERP단가</v>
      </c>
      <c r="J96" s="533"/>
      <c r="K96" s="466"/>
      <c r="L96" s="466"/>
      <c r="M96" s="394"/>
      <c r="N96" s="394" t="e">
        <f>#REF!+#REF!</f>
        <v>#REF!</v>
      </c>
      <c r="O96" s="393"/>
      <c r="P96" s="393"/>
      <c r="Q96" s="245"/>
      <c r="R96" s="34" t="e">
        <f>E96-N96</f>
        <v>#REF!</v>
      </c>
      <c r="S96" s="34">
        <f>G96-P96</f>
        <v>0</v>
      </c>
      <c r="T96" s="34" t="e">
        <f>#REF!+#REF!</f>
        <v>#REF!</v>
      </c>
      <c r="U96" s="34" t="e">
        <f t="shared" si="20"/>
        <v>#REF!</v>
      </c>
    </row>
    <row r="97" spans="1:21" s="34" customFormat="1" ht="24.95" hidden="1" customHeight="1">
      <c r="A97" s="530">
        <f>'8-2.설비자재산출(무인보안)'!C48</f>
        <v>126601</v>
      </c>
      <c r="B97" s="459" t="str">
        <f>'8-2.설비자재산출(무인보안)'!D48</f>
        <v>마이크로웨이브(중장거리용)</v>
      </c>
      <c r="C97" s="466" t="str">
        <f>'8-2.설비자재산출(무인보안)'!E48</f>
        <v>중장거리용_100m</v>
      </c>
      <c r="D97" s="430" t="str">
        <f>'8-2.설비자재산출(무인보안)'!G48</f>
        <v>조</v>
      </c>
      <c r="E97" s="394">
        <f>'8-2.설비자재산출(무인보안)'!H48</f>
        <v>0</v>
      </c>
      <c r="F97" s="1200">
        <f>VLOOKUP(C97,'8-6.자재단가비교표'!$C$7:$O$332,12,0)</f>
        <v>618318.01020000002</v>
      </c>
      <c r="G97" s="1200">
        <f t="shared" ref="G97:G107" si="31">INT(E97*F97)</f>
        <v>0</v>
      </c>
      <c r="H97" s="248" t="str">
        <f>VLOOKUP(C97,'8-6.자재단가비교표'!$C$7:$O$332,13,0)</f>
        <v>ERP단가</v>
      </c>
      <c r="J97" s="533"/>
      <c r="K97" s="466"/>
      <c r="L97" s="466"/>
      <c r="M97" s="394"/>
      <c r="N97" s="394"/>
      <c r="O97" s="393"/>
      <c r="P97" s="393"/>
      <c r="Q97" s="245"/>
    </row>
    <row r="98" spans="1:21" s="34" customFormat="1" ht="24.95" hidden="1" customHeight="1">
      <c r="A98" s="530">
        <f>'8-2.설비자재산출(무인보안)'!C49</f>
        <v>0</v>
      </c>
      <c r="B98" s="459" t="str">
        <f>'8-2.설비자재산출(무인보안)'!D49</f>
        <v>스마트레이더감지기(송,수)</v>
      </c>
      <c r="C98" s="466" t="str">
        <f>'8-2.설비자재산출(무인보안)'!E49</f>
        <v>송-감지거리 50m, 2CH/ 수-1CH</v>
      </c>
      <c r="D98" s="430" t="str">
        <f>'8-2.설비자재산출(무인보안)'!G49</f>
        <v>조</v>
      </c>
      <c r="E98" s="394">
        <f>'8-2.설비자재산출(무인보안)'!H49</f>
        <v>0</v>
      </c>
      <c r="F98" s="1200">
        <f>VLOOKUP(C98,'8-6.자재단가비교표'!$C$7:$O$332,12,0)</f>
        <v>0</v>
      </c>
      <c r="G98" s="1200">
        <f t="shared" si="31"/>
        <v>0</v>
      </c>
      <c r="H98" s="248" t="str">
        <f>VLOOKUP(C98,'8-6.자재단가비교표'!$C$7:$O$332,13,0)</f>
        <v>견적가</v>
      </c>
      <c r="J98" s="533"/>
      <c r="K98" s="466"/>
      <c r="L98" s="466"/>
      <c r="M98" s="394"/>
      <c r="N98" s="394"/>
      <c r="O98" s="393"/>
      <c r="P98" s="393"/>
      <c r="Q98" s="245"/>
    </row>
    <row r="99" spans="1:21" s="34" customFormat="1" ht="24.95" hidden="1" customHeight="1">
      <c r="A99" s="530">
        <f>'8-2.설비자재산출(무인보안)'!C50</f>
        <v>0</v>
      </c>
      <c r="B99" s="459" t="str">
        <f>'8-2.설비자재산출(무인보안)'!D50</f>
        <v>적외선감지기</v>
      </c>
      <c r="C99" s="466" t="str">
        <f>'8-2.설비자재산출(무인보안)'!E50</f>
        <v>2빔_30m</v>
      </c>
      <c r="D99" s="430" t="str">
        <f>'8-2.설비자재산출(무인보안)'!G50</f>
        <v>조</v>
      </c>
      <c r="E99" s="394">
        <f>'8-2.설비자재산출(무인보안)'!H50</f>
        <v>0</v>
      </c>
      <c r="F99" s="1200">
        <f>VLOOKUP(C99,'8-6.자재단가비교표'!$C$7:$O$332,12,0)</f>
        <v>0</v>
      </c>
      <c r="G99" s="1200">
        <f t="shared" si="31"/>
        <v>0</v>
      </c>
      <c r="H99" s="248" t="str">
        <f>VLOOKUP(C99,'8-6.자재단가비교표'!$C$7:$O$332,13,0)</f>
        <v>견적가</v>
      </c>
      <c r="J99" s="533"/>
      <c r="K99" s="466"/>
      <c r="L99" s="466"/>
      <c r="M99" s="394"/>
      <c r="N99" s="394"/>
      <c r="O99" s="393"/>
      <c r="P99" s="393"/>
      <c r="Q99" s="245"/>
    </row>
    <row r="100" spans="1:21" s="34" customFormat="1" ht="24.95" hidden="1" customHeight="1">
      <c r="A100" s="530">
        <f>'8-2.설비자재산출(무인보안)'!C51</f>
        <v>124745</v>
      </c>
      <c r="B100" s="459" t="str">
        <f>'8-2.설비자재산출(무인보안)'!D51</f>
        <v>적외선감지기(단거리용)</v>
      </c>
      <c r="C100" s="466" t="str">
        <f>'8-2.설비자재산출(무인보안)'!E51</f>
        <v>단거리용_100m</v>
      </c>
      <c r="D100" s="430" t="str">
        <f>'8-2.설비자재산출(무인보안)'!G51</f>
        <v>조</v>
      </c>
      <c r="E100" s="394">
        <f>'8-2.설비자재산출(무인보안)'!H51</f>
        <v>0</v>
      </c>
      <c r="F100" s="1200">
        <f>VLOOKUP(C100,'8-6.자재단가비교표'!$C$7:$O$332,12,0)</f>
        <v>415378.50354000001</v>
      </c>
      <c r="G100" s="1200">
        <f t="shared" si="31"/>
        <v>0</v>
      </c>
      <c r="H100" s="248" t="str">
        <f>VLOOKUP(C100,'8-6.자재단가비교표'!$C$7:$O$332,13,0)</f>
        <v>ERP단가</v>
      </c>
      <c r="J100" s="533"/>
      <c r="K100" s="466"/>
      <c r="L100" s="466"/>
      <c r="M100" s="394"/>
      <c r="N100" s="394"/>
      <c r="O100" s="393"/>
      <c r="P100" s="393"/>
      <c r="Q100" s="245"/>
    </row>
    <row r="101" spans="1:21" s="34" customFormat="1" ht="24.95" hidden="1" customHeight="1">
      <c r="A101" s="530">
        <f>'8-2.설비자재산출(무인보안)'!C52</f>
        <v>124746</v>
      </c>
      <c r="B101" s="459" t="str">
        <f>'8-2.설비자재산출(무인보안)'!D52</f>
        <v>적외선감지기(중장거리용)</v>
      </c>
      <c r="C101" s="466" t="str">
        <f>'8-2.설비자재산출(무인보안)'!E52</f>
        <v>중장거리용_200m</v>
      </c>
      <c r="D101" s="430" t="str">
        <f>'8-2.설비자재산출(무인보안)'!G52</f>
        <v>조</v>
      </c>
      <c r="E101" s="394">
        <f>'8-2.설비자재산출(무인보안)'!H52</f>
        <v>0</v>
      </c>
      <c r="F101" s="1200">
        <f>VLOOKUP(C101,'8-6.자재단가비교표'!$C$7:$O$332,12,0)</f>
        <v>427788.56174999999</v>
      </c>
      <c r="G101" s="1200">
        <f t="shared" si="31"/>
        <v>0</v>
      </c>
      <c r="H101" s="248" t="str">
        <f>VLOOKUP(C101,'8-6.자재단가비교표'!$C$7:$O$332,13,0)</f>
        <v>ERP단가</v>
      </c>
      <c r="J101" s="533"/>
      <c r="K101" s="466"/>
      <c r="L101" s="466"/>
      <c r="M101" s="394"/>
      <c r="N101" s="394"/>
      <c r="O101" s="393"/>
      <c r="P101" s="393"/>
      <c r="Q101" s="245"/>
    </row>
    <row r="102" spans="1:21" s="34" customFormat="1" ht="24.95" hidden="1" customHeight="1">
      <c r="A102" s="530">
        <f>'8-2.설비자재산출(무인보안)'!C53</f>
        <v>126336</v>
      </c>
      <c r="B102" s="459" t="str">
        <f>'8-2.설비자재산출(무인보안)'!D53</f>
        <v xml:space="preserve">광이더넷스위치  </v>
      </c>
      <c r="C102" s="466" t="str">
        <f>'8-2.설비자재산출(무인보안)'!E53</f>
        <v>광4포트, LAN24포트, RACK Type, 광모듈포함</v>
      </c>
      <c r="D102" s="430" t="str">
        <f>'8-2.설비자재산출(무인보안)'!G53</f>
        <v>대</v>
      </c>
      <c r="E102" s="394">
        <f>'8-2.설비자재산출(무인보안)'!H53</f>
        <v>1</v>
      </c>
      <c r="F102" s="1200">
        <f>VLOOKUP(C102,'8-6.자재단가비교표'!$C$7:$O$332,12,0)</f>
        <v>1370881.03317</v>
      </c>
      <c r="G102" s="1200">
        <f t="shared" si="31"/>
        <v>1370881</v>
      </c>
      <c r="H102" s="248" t="str">
        <f>VLOOKUP(C102,'8-6.자재단가비교표'!$C$7:$O$332,13,0)</f>
        <v>ERP단가</v>
      </c>
      <c r="J102" s="533"/>
      <c r="K102" s="466"/>
      <c r="L102" s="466"/>
      <c r="M102" s="394"/>
      <c r="N102" s="394"/>
      <c r="O102" s="393"/>
      <c r="P102" s="393"/>
      <c r="Q102" s="245"/>
    </row>
    <row r="103" spans="1:21" s="34" customFormat="1" ht="24.95" hidden="1" customHeight="1">
      <c r="A103" s="530">
        <f>'8-2.설비자재산출(무인보안)'!C54</f>
        <v>126335</v>
      </c>
      <c r="B103" s="459" t="str">
        <f>'8-2.설비자재산출(무인보안)'!D54</f>
        <v>광이더넷스위치</v>
      </c>
      <c r="C103" s="466" t="str">
        <f>'8-2.설비자재산출(무인보안)'!E54</f>
        <v>광4포트, LAN8포트, 광모듈포함(함체설치브라켓제작필요)</v>
      </c>
      <c r="D103" s="430" t="str">
        <f>'8-2.설비자재산출(무인보안)'!G54</f>
        <v>대</v>
      </c>
      <c r="E103" s="394">
        <f>'8-2.설비자재산출(무인보안)'!H54</f>
        <v>39</v>
      </c>
      <c r="F103" s="1200">
        <f>VLOOKUP(C103,'8-6.자재단가비교표'!$C$7:$O$332,12,0)</f>
        <v>673132.68362999998</v>
      </c>
      <c r="G103" s="1200">
        <f t="shared" si="31"/>
        <v>26252174</v>
      </c>
      <c r="H103" s="248" t="str">
        <f>VLOOKUP(C103,'8-6.자재단가비교표'!$C$7:$O$332,13,0)</f>
        <v>ERP단가</v>
      </c>
      <c r="J103" s="533"/>
      <c r="K103" s="466"/>
      <c r="L103" s="466"/>
      <c r="M103" s="394"/>
      <c r="N103" s="394"/>
      <c r="O103" s="393"/>
      <c r="P103" s="393"/>
      <c r="Q103" s="245"/>
    </row>
    <row r="104" spans="1:21" s="34" customFormat="1" ht="24.95" hidden="1" customHeight="1">
      <c r="A104" s="530">
        <f>'8-2.설비자재산출(무인보안)'!C55</f>
        <v>0</v>
      </c>
      <c r="B104" s="459" t="str">
        <f>'8-2.설비자재산출(무인보안)'!D55</f>
        <v>스위칭허브</v>
      </c>
      <c r="C104" s="466" t="str">
        <f>'8-2.설비자재산출(무인보안)'!E55</f>
        <v>미니기가허브, 8포트</v>
      </c>
      <c r="D104" s="430" t="str">
        <f>'8-2.설비자재산출(무인보안)'!G55</f>
        <v>대</v>
      </c>
      <c r="E104" s="394">
        <f>'8-2.설비자재산출(무인보안)'!H55</f>
        <v>0</v>
      </c>
      <c r="F104" s="1200">
        <f>VLOOKUP(C104,'8-6.자재단가비교표'!$C$7:$O$332,12,0)</f>
        <v>0</v>
      </c>
      <c r="G104" s="1200">
        <f t="shared" si="31"/>
        <v>0</v>
      </c>
      <c r="H104" s="248">
        <f>VLOOKUP(C104,'8-6.자재단가비교표'!$C$7:$O$332,13,0)</f>
        <v>0</v>
      </c>
      <c r="J104" s="533"/>
      <c r="K104" s="466"/>
      <c r="L104" s="466"/>
      <c r="M104" s="394"/>
      <c r="N104" s="394"/>
      <c r="O104" s="393"/>
      <c r="P104" s="393"/>
      <c r="Q104" s="245"/>
    </row>
    <row r="105" spans="1:21" s="34" customFormat="1" ht="24.95" hidden="1" customHeight="1">
      <c r="A105" s="530">
        <f>'8-2.설비자재산출(무인보안)'!C56</f>
        <v>124242</v>
      </c>
      <c r="B105" s="459" t="str">
        <f>'8-2.설비자재산출(무인보안)'!D56</f>
        <v xml:space="preserve">광이더넷스위치 COT  </v>
      </c>
      <c r="C105" s="466" t="str">
        <f>'8-2.설비자재산출(무인보안)'!E56</f>
        <v>COT, 1Gbps</v>
      </c>
      <c r="D105" s="430" t="str">
        <f>'8-2.설비자재산출(무인보안)'!G56</f>
        <v>대</v>
      </c>
      <c r="E105" s="394">
        <f>'8-2.설비자재산출(무인보안)'!H56</f>
        <v>0</v>
      </c>
      <c r="F105" s="1200">
        <f>VLOOKUP(C105,'8-6.자재단가비교표'!$C$7:$O$332,12,0)</f>
        <v>0</v>
      </c>
      <c r="G105" s="1200">
        <f t="shared" si="31"/>
        <v>0</v>
      </c>
      <c r="H105" s="248">
        <f>VLOOKUP(C105,'8-6.자재단가비교표'!$C$7:$O$332,13,0)</f>
        <v>0</v>
      </c>
      <c r="J105" s="533"/>
      <c r="K105" s="466"/>
      <c r="L105" s="466"/>
      <c r="M105" s="394"/>
      <c r="N105" s="394"/>
      <c r="O105" s="393"/>
      <c r="P105" s="393"/>
      <c r="Q105" s="245"/>
    </row>
    <row r="106" spans="1:21" s="34" customFormat="1" ht="24.95" hidden="1" customHeight="1">
      <c r="A106" s="530">
        <f>'8-2.설비자재산출(무인보안)'!C57</f>
        <v>124244</v>
      </c>
      <c r="B106" s="459" t="str">
        <f>'8-2.설비자재산출(무인보안)'!D57</f>
        <v xml:space="preserve">광이더넷스위치 RT  </v>
      </c>
      <c r="C106" s="466" t="str">
        <f>'8-2.설비자재산출(무인보안)'!E57</f>
        <v>RT, 1Gbps</v>
      </c>
      <c r="D106" s="430" t="str">
        <f>'8-2.설비자재산출(무인보안)'!G57</f>
        <v>대</v>
      </c>
      <c r="E106" s="394">
        <f>'8-2.설비자재산출(무인보안)'!H57</f>
        <v>0</v>
      </c>
      <c r="F106" s="1200">
        <f>VLOOKUP(C106,'8-6.자재단가비교표'!$C$7:$O$332,12,0)</f>
        <v>0</v>
      </c>
      <c r="G106" s="1200">
        <f t="shared" si="31"/>
        <v>0</v>
      </c>
      <c r="H106" s="248">
        <f>VLOOKUP(C106,'8-6.자재단가비교표'!$C$7:$O$332,13,0)</f>
        <v>0</v>
      </c>
      <c r="J106" s="533"/>
      <c r="K106" s="466"/>
      <c r="L106" s="466"/>
      <c r="M106" s="394"/>
      <c r="N106" s="394"/>
      <c r="O106" s="393"/>
      <c r="P106" s="393"/>
      <c r="Q106" s="245"/>
    </row>
    <row r="107" spans="1:21" s="34" customFormat="1" ht="24.95" hidden="1" customHeight="1">
      <c r="A107" s="530">
        <f>'8-2.설비자재산출(무인보안)'!C58</f>
        <v>0</v>
      </c>
      <c r="B107" s="459" t="str">
        <f>'8-2.설비자재산출(무인보안)'!D58</f>
        <v>지문인식 리더기</v>
      </c>
      <c r="C107" s="466" t="str">
        <f>'8-2.설비자재산출(무인보안)'!E58</f>
        <v>전력제어시스템용,번호,카드,지문인식,스마트카드</v>
      </c>
      <c r="D107" s="430" t="str">
        <f>'8-2.설비자재산출(무인보안)'!G58</f>
        <v>대</v>
      </c>
      <c r="E107" s="394">
        <f>'8-2.설비자재산출(무인보안)'!H58</f>
        <v>0</v>
      </c>
      <c r="F107" s="1200">
        <f>VLOOKUP(C107,'8-6.자재단가비교표'!$C$7:$O$332,12,0)</f>
        <v>0</v>
      </c>
      <c r="G107" s="1200">
        <f t="shared" si="31"/>
        <v>0</v>
      </c>
      <c r="H107" s="248">
        <f>VLOOKUP(C107,'8-6.자재단가비교표'!$C$7:$O$332,13,0)</f>
        <v>0</v>
      </c>
      <c r="J107" s="533"/>
      <c r="K107" s="466"/>
      <c r="L107" s="466"/>
      <c r="M107" s="394"/>
      <c r="N107" s="394"/>
      <c r="O107" s="393"/>
      <c r="P107" s="393"/>
      <c r="Q107" s="245"/>
    </row>
    <row r="108" spans="1:21" s="34" customFormat="1" ht="24.95" hidden="1" customHeight="1">
      <c r="A108" s="530">
        <f>'8-2.설비자재산출(무인보안)'!C59</f>
        <v>0</v>
      </c>
      <c r="B108" s="459" t="str">
        <f>'8-2.설비자재산출(무인보안)'!D59</f>
        <v>스마트 레이더감지기</v>
      </c>
      <c r="C108" s="466" t="str">
        <f>'8-2.설비자재산출(무인보안)'!E59</f>
        <v>영상분석+레이더2ch,감지영역 50m</v>
      </c>
      <c r="D108" s="430" t="str">
        <f>'8-2.설비자재산출(무인보안)'!G59</f>
        <v>개</v>
      </c>
      <c r="E108" s="394">
        <f>'8-2.설비자재산출(무인보안)'!H59</f>
        <v>0</v>
      </c>
      <c r="F108" s="1200"/>
      <c r="G108" s="1200">
        <f t="shared" ref="G108:G109" si="32">INT(E108*F108)</f>
        <v>0</v>
      </c>
      <c r="H108" s="248"/>
      <c r="J108" s="533"/>
      <c r="K108" s="466"/>
      <c r="L108" s="466"/>
      <c r="M108" s="394"/>
      <c r="N108" s="394"/>
      <c r="O108" s="393"/>
      <c r="P108" s="393"/>
      <c r="Q108" s="245"/>
    </row>
    <row r="109" spans="1:21" s="34" customFormat="1" ht="24.95" hidden="1" customHeight="1">
      <c r="A109" s="530">
        <f>'8-2.설비자재산출(무인보안)'!C60</f>
        <v>0</v>
      </c>
      <c r="B109" s="459" t="str">
        <f>'8-2.설비자재산출(무인보안)'!D60</f>
        <v>카메라 지지대</v>
      </c>
      <c r="C109" s="466" t="str">
        <f>'8-2.설비자재산출(무인보안)'!E60</f>
        <v>환경친화형</v>
      </c>
      <c r="D109" s="430" t="str">
        <f>'8-2.설비자재산출(무인보안)'!G60</f>
        <v>대</v>
      </c>
      <c r="E109" s="394">
        <f>'8-2.설비자재산출(무인보안)'!H60</f>
        <v>0</v>
      </c>
      <c r="F109" s="1200">
        <f>VLOOKUP(C109,'8-6.자재단가비교표'!$C$7:$O$332,12,0)</f>
        <v>0</v>
      </c>
      <c r="G109" s="1200">
        <f t="shared" si="32"/>
        <v>0</v>
      </c>
      <c r="H109" s="248">
        <f>VLOOKUP(C109,'8-6.자재단가비교표'!$C$7:$O$332,13,0)</f>
        <v>0</v>
      </c>
      <c r="J109" s="533"/>
      <c r="K109" s="466"/>
      <c r="L109" s="466"/>
      <c r="M109" s="394"/>
      <c r="N109" s="394"/>
      <c r="O109" s="393"/>
      <c r="P109" s="393"/>
      <c r="Q109" s="245"/>
    </row>
    <row r="110" spans="1:21" s="34" customFormat="1" ht="24.95" hidden="1" customHeight="1">
      <c r="A110" s="530"/>
      <c r="B110" s="459"/>
      <c r="C110" s="466"/>
      <c r="D110" s="430"/>
      <c r="E110" s="394"/>
      <c r="F110" s="1200"/>
      <c r="G110" s="1200"/>
      <c r="H110" s="248"/>
      <c r="J110" s="533"/>
      <c r="K110" s="466"/>
      <c r="L110" s="466"/>
      <c r="M110" s="394"/>
      <c r="N110" s="394"/>
      <c r="O110" s="393"/>
      <c r="P110" s="393"/>
      <c r="Q110" s="245"/>
    </row>
    <row r="111" spans="1:21" s="34" customFormat="1" ht="24.95" customHeight="1">
      <c r="A111" s="529" t="s">
        <v>322</v>
      </c>
      <c r="B111" s="466"/>
      <c r="C111" s="466"/>
      <c r="D111" s="472"/>
      <c r="E111" s="472"/>
      <c r="F111" s="1205"/>
      <c r="G111" s="1216">
        <f>SUM(G113,G176,G195)+G229+G249</f>
        <v>68336485.879999995</v>
      </c>
      <c r="H111" s="245"/>
      <c r="J111" s="529" t="s">
        <v>322</v>
      </c>
      <c r="K111" s="466"/>
      <c r="L111" s="466"/>
      <c r="M111" s="472"/>
      <c r="N111" s="472" t="e">
        <f>#REF!+#REF!</f>
        <v>#REF!</v>
      </c>
      <c r="O111" s="472"/>
      <c r="P111" s="469" t="e">
        <f>SUM(#REF!,#REF!,#REF!,P113,P176,P195)</f>
        <v>#REF!</v>
      </c>
      <c r="Q111" s="245"/>
      <c r="R111" s="34" t="e">
        <f t="shared" ref="R111:R112" si="33">E111-N111</f>
        <v>#REF!</v>
      </c>
      <c r="S111" s="34" t="e">
        <f t="shared" ref="S111:S112" si="34">G111-P111</f>
        <v>#REF!</v>
      </c>
      <c r="T111" s="34" t="e">
        <f>#REF!+#REF!</f>
        <v>#REF!</v>
      </c>
      <c r="U111" s="34" t="e">
        <f t="shared" si="20"/>
        <v>#REF!</v>
      </c>
    </row>
    <row r="112" spans="1:21" s="34" customFormat="1" ht="24.95" customHeight="1">
      <c r="A112" s="533"/>
      <c r="B112" s="459"/>
      <c r="C112" s="466"/>
      <c r="D112" s="430"/>
      <c r="E112" s="394"/>
      <c r="F112" s="1200"/>
      <c r="G112" s="1200"/>
      <c r="H112" s="248"/>
      <c r="J112" s="533">
        <f t="shared" ref="J112" si="35">$A112</f>
        <v>0</v>
      </c>
      <c r="K112" s="459">
        <f t="shared" ref="K112" si="36">$B112</f>
        <v>0</v>
      </c>
      <c r="L112" s="459">
        <f t="shared" ref="L112" si="37">$C112</f>
        <v>0</v>
      </c>
      <c r="M112" s="430">
        <f t="shared" ref="M112" si="38">$D112</f>
        <v>0</v>
      </c>
      <c r="N112" s="394" t="e">
        <f>#REF!+#REF!</f>
        <v>#REF!</v>
      </c>
      <c r="O112" s="393" t="e">
        <f>VLOOKUP(L112,'8-6.자재단가비교표'!$C$8:$O$328,12,0)</f>
        <v>#N/A</v>
      </c>
      <c r="P112" s="393" t="e">
        <f t="shared" ref="P112" si="39">INT(N112*O112)</f>
        <v>#REF!</v>
      </c>
      <c r="Q112" s="248" t="e">
        <f>VLOOKUP(L112,'8-6.자재단가비교표'!$C$8:$O$328,13,0)</f>
        <v>#N/A</v>
      </c>
      <c r="R112" s="34" t="e">
        <f t="shared" si="33"/>
        <v>#REF!</v>
      </c>
      <c r="S112" s="34" t="e">
        <f t="shared" si="34"/>
        <v>#REF!</v>
      </c>
      <c r="T112" s="34" t="e">
        <f>#REF!+#REF!</f>
        <v>#REF!</v>
      </c>
      <c r="U112" s="34" t="e">
        <f t="shared" si="20"/>
        <v>#REF!</v>
      </c>
    </row>
    <row r="113" spans="1:23" s="34" customFormat="1" ht="24.95" customHeight="1">
      <c r="A113" s="532" t="str">
        <f>A8</f>
        <v>1. 송변전광전송단말장치</v>
      </c>
      <c r="B113" s="466"/>
      <c r="C113" s="466"/>
      <c r="D113" s="394"/>
      <c r="E113" s="394"/>
      <c r="F113" s="1200"/>
      <c r="G113" s="1216">
        <f>SUM(G114:G174)</f>
        <v>1792930</v>
      </c>
      <c r="H113" s="245"/>
      <c r="J113" s="532" t="str">
        <f t="shared" ref="J113:J162" si="40">$A113</f>
        <v>1. 송변전광전송단말장치</v>
      </c>
      <c r="K113" s="466"/>
      <c r="L113" s="466"/>
      <c r="M113" s="394"/>
      <c r="N113" s="394" t="e">
        <f>#REF!+#REF!</f>
        <v>#REF!</v>
      </c>
      <c r="O113" s="393"/>
      <c r="P113" s="469" t="e">
        <f>SUM(P117:P162)</f>
        <v>#REF!</v>
      </c>
      <c r="Q113" s="245"/>
      <c r="R113" s="34" t="e">
        <f t="shared" ref="R113:R179" si="41">E113-N113</f>
        <v>#REF!</v>
      </c>
      <c r="S113" s="34" t="e">
        <f t="shared" ref="S113:S179" si="42">G113-P113</f>
        <v>#REF!</v>
      </c>
      <c r="T113" s="34" t="e">
        <f>#REF!+#REF!</f>
        <v>#REF!</v>
      </c>
      <c r="U113" s="34" t="e">
        <f t="shared" ref="U113" si="43">P113-T113</f>
        <v>#REF!</v>
      </c>
    </row>
    <row r="114" spans="1:23" s="34" customFormat="1" ht="24.95" customHeight="1">
      <c r="A114" s="531"/>
      <c r="B114" s="392" t="str">
        <f>'8-1.설비자재산출(전력통신)'!C33</f>
        <v>난연성제어케이블</v>
      </c>
      <c r="C114" s="392" t="str">
        <f>'8-1.설비자재산출(전력통신)'!D33</f>
        <v>FR-CVV-S, 6SQ/2C</v>
      </c>
      <c r="D114" s="427" t="str">
        <f>'8-1.설비자재산출(전력통신)'!I33</f>
        <v>m</v>
      </c>
      <c r="E114" s="394">
        <f>'8-1.설비자재산출(전력통신)'!N33+'8-1.설비자재산출(전력통신)'!N34+'8-1.설비자재산출(전력통신)'!N35</f>
        <v>156</v>
      </c>
      <c r="F114" s="1200">
        <f>VLOOKUP(C114,'8-6.자재단가비교표'!$C$7:$O$332,12,0)</f>
        <v>4457.5475999999999</v>
      </c>
      <c r="G114" s="1200">
        <f t="shared" ref="G114" si="44">INT(E114*F114)</f>
        <v>695377</v>
      </c>
      <c r="H114" s="248" t="str">
        <f>VLOOKUP(C114,'8-6.자재단가비교표'!$C$7:$O$332,13,0)</f>
        <v>견적가</v>
      </c>
      <c r="I114" s="237" t="str">
        <f>'8-1.설비자재산출(전력통신)'!E33</f>
        <v>송변전광전송장치 전원㈜</v>
      </c>
      <c r="J114" s="531">
        <f>$A114</f>
        <v>0</v>
      </c>
      <c r="K114" s="392" t="str">
        <f>$B114</f>
        <v>난연성제어케이블</v>
      </c>
      <c r="L114" s="392" t="str">
        <f>$C114</f>
        <v>FR-CVV-S, 6SQ/2C</v>
      </c>
      <c r="M114" s="430" t="str">
        <f>$D114</f>
        <v>m</v>
      </c>
      <c r="N114" s="394" t="e">
        <f>#REF!+#REF!</f>
        <v>#REF!</v>
      </c>
      <c r="O114" s="393">
        <f>VLOOKUP(L114,'8-6.자재단가비교표'!$C$8:$O$332,12,0)</f>
        <v>4457.5475999999999</v>
      </c>
      <c r="P114" s="393" t="e">
        <f>INT(N114*O114)</f>
        <v>#REF!</v>
      </c>
      <c r="Q114" s="248" t="str">
        <f>VLOOKUP(L114,'8-6.자재단가비교표'!$C$8:$O$328,13,0)</f>
        <v>견적가</v>
      </c>
      <c r="R114" s="34" t="e">
        <f t="shared" si="41"/>
        <v>#REF!</v>
      </c>
      <c r="S114" s="34" t="e">
        <f t="shared" si="42"/>
        <v>#REF!</v>
      </c>
      <c r="T114" s="34" t="e">
        <f>#REF!+#REF!</f>
        <v>#REF!</v>
      </c>
      <c r="U114" s="34" t="e">
        <f>P114-T114</f>
        <v>#REF!</v>
      </c>
    </row>
    <row r="115" spans="1:23" s="34" customFormat="1" ht="24.95" hidden="1" customHeight="1">
      <c r="A115" s="531"/>
      <c r="B115" s="392" t="str">
        <f>'8-1.설비자재산출(전력통신)'!C34</f>
        <v>난연성제어케이블</v>
      </c>
      <c r="C115" s="1238" t="str">
        <f>'8-1.설비자재산출(전력통신)'!D34</f>
        <v>FR-CVV-S, 6SQ/2C</v>
      </c>
      <c r="D115" s="430" t="str">
        <f>'8-1.설비자재산출(전력통신)'!I34</f>
        <v>m</v>
      </c>
      <c r="E115" s="394"/>
      <c r="F115" s="1200">
        <f>VLOOKUP(C115,'8-6.자재단가비교표'!$C$7:$O$332,12,0)</f>
        <v>4457.5475999999999</v>
      </c>
      <c r="G115" s="1200">
        <f t="shared" ref="G115:G123" si="45">INT(E115*F115)</f>
        <v>0</v>
      </c>
      <c r="H115" s="248" t="str">
        <f>VLOOKUP(C115,'8-6.자재단가비교표'!$C$7:$O$332,13,0)</f>
        <v>견적가</v>
      </c>
      <c r="I115" s="237" t="str">
        <f>'8-1.설비자재산출(전력통신)'!E34</f>
        <v>송변전광전송장치  전원(예)</v>
      </c>
      <c r="J115" s="531">
        <f t="shared" ref="J115:J132" si="46">$A115</f>
        <v>0</v>
      </c>
      <c r="K115" s="392" t="str">
        <f t="shared" ref="K115:K132" si="47">$B115</f>
        <v>난연성제어케이블</v>
      </c>
      <c r="L115" s="392" t="str">
        <f t="shared" ref="L115:L132" si="48">$C115</f>
        <v>FR-CVV-S, 6SQ/2C</v>
      </c>
      <c r="M115" s="430" t="str">
        <f t="shared" ref="M115:M132" si="49">$D115</f>
        <v>m</v>
      </c>
      <c r="N115" s="394" t="e">
        <f>#REF!+#REF!</f>
        <v>#REF!</v>
      </c>
      <c r="O115" s="393">
        <f>VLOOKUP(L115,'8-6.자재단가비교표'!$C$8:$O$332,12,0)</f>
        <v>4457.5475999999999</v>
      </c>
      <c r="P115" s="393" t="e">
        <f t="shared" ref="P115:P123" si="50">INT(N115*O115)</f>
        <v>#REF!</v>
      </c>
      <c r="Q115" s="248" t="str">
        <f>VLOOKUP(L115,'8-6.자재단가비교표'!$C$8:$O$328,13,0)</f>
        <v>견적가</v>
      </c>
      <c r="R115" s="34" t="e">
        <f t="shared" ref="R115:R124" si="51">E115-N115</f>
        <v>#REF!</v>
      </c>
      <c r="S115" s="34" t="e">
        <f t="shared" ref="S115:S124" si="52">G115-P115</f>
        <v>#REF!</v>
      </c>
      <c r="T115" s="34" t="e">
        <f>#REF!+#REF!</f>
        <v>#REF!</v>
      </c>
      <c r="U115" s="34" t="e">
        <f t="shared" ref="U115:U123" si="53">P115-T115</f>
        <v>#REF!</v>
      </c>
    </row>
    <row r="116" spans="1:23" s="34" customFormat="1" ht="24.95" hidden="1" customHeight="1">
      <c r="A116" s="531"/>
      <c r="B116" s="392" t="str">
        <f>'8-1.설비자재산출(전력통신)'!C35</f>
        <v>난연성제어케이블</v>
      </c>
      <c r="C116" s="1238" t="str">
        <f>'8-1.설비자재산출(전력통신)'!D35</f>
        <v>FR-CVV-S, 6SQ/2C</v>
      </c>
      <c r="D116" s="430" t="str">
        <f>'8-1.설비자재산출(전력통신)'!I35</f>
        <v>m</v>
      </c>
      <c r="E116" s="394"/>
      <c r="F116" s="1200">
        <f>VLOOKUP(C116,'8-6.자재단가비교표'!$C$7:$O$332,12,0)</f>
        <v>4457.5475999999999</v>
      </c>
      <c r="G116" s="1200">
        <f t="shared" si="45"/>
        <v>0</v>
      </c>
      <c r="H116" s="248" t="str">
        <f>VLOOKUP(C116,'8-6.자재단가비교표'!$C$7:$O$332,13,0)</f>
        <v>견적가</v>
      </c>
      <c r="I116" s="237" t="str">
        <f>'8-1.설비자재산출(전력통신)'!E35</f>
        <v>Rack AC전원</v>
      </c>
      <c r="J116" s="531">
        <f t="shared" si="46"/>
        <v>0</v>
      </c>
      <c r="K116" s="392" t="str">
        <f t="shared" si="47"/>
        <v>난연성제어케이블</v>
      </c>
      <c r="L116" s="392" t="str">
        <f t="shared" si="48"/>
        <v>FR-CVV-S, 6SQ/2C</v>
      </c>
      <c r="M116" s="430" t="str">
        <f t="shared" si="49"/>
        <v>m</v>
      </c>
      <c r="N116" s="394" t="e">
        <f>#REF!+#REF!</f>
        <v>#REF!</v>
      </c>
      <c r="O116" s="393">
        <f>VLOOKUP(L116,'8-6.자재단가비교표'!$C$8:$O$332,12,0)</f>
        <v>4457.5475999999999</v>
      </c>
      <c r="P116" s="393" t="e">
        <f t="shared" si="50"/>
        <v>#REF!</v>
      </c>
      <c r="Q116" s="248" t="str">
        <f>VLOOKUP(L116,'8-6.자재단가비교표'!$C$8:$O$328,13,0)</f>
        <v>견적가</v>
      </c>
      <c r="R116" s="34" t="e">
        <f t="shared" si="51"/>
        <v>#REF!</v>
      </c>
      <c r="S116" s="34" t="e">
        <f t="shared" si="52"/>
        <v>#REF!</v>
      </c>
      <c r="T116" s="34" t="e">
        <f>#REF!+#REF!</f>
        <v>#REF!</v>
      </c>
      <c r="U116" s="34" t="e">
        <f t="shared" si="53"/>
        <v>#REF!</v>
      </c>
    </row>
    <row r="117" spans="1:23" s="34" customFormat="1" ht="24.95" customHeight="1">
      <c r="A117" s="537"/>
      <c r="B117" s="392" t="str">
        <f>'8-1.설비자재산출(전력통신)'!C36</f>
        <v>광점퍼코드</v>
      </c>
      <c r="C117" s="1238" t="str">
        <f>'8-1.설비자재산출(전력통신)'!D36</f>
        <v>SC/APC-SC/APC, 15m, 1C</v>
      </c>
      <c r="D117" s="430" t="str">
        <f>'8-1.설비자재산출(전력통신)'!I36</f>
        <v>EA</v>
      </c>
      <c r="E117" s="394">
        <f>'8-1.설비자재산출(전력통신)'!N36</f>
        <v>44</v>
      </c>
      <c r="F117" s="1200">
        <f>VLOOKUP(C117,'8-6.자재단가비교표'!$C$7:$O$332,12,0)</f>
        <v>13162.05</v>
      </c>
      <c r="G117" s="1200">
        <f t="shared" si="45"/>
        <v>579130</v>
      </c>
      <c r="H117" s="248">
        <f>VLOOKUP(C117,'8-6.자재단가비교표'!$C$7:$O$332,13,0)</f>
        <v>0</v>
      </c>
      <c r="I117" s="237" t="str">
        <f>'8-1.설비자재산출(전력통신)'!E36</f>
        <v>광선로 구성(패치용)</v>
      </c>
      <c r="J117" s="531">
        <f t="shared" si="46"/>
        <v>0</v>
      </c>
      <c r="K117" s="392" t="str">
        <f t="shared" si="47"/>
        <v>광점퍼코드</v>
      </c>
      <c r="L117" s="392" t="str">
        <f t="shared" si="48"/>
        <v>SC/APC-SC/APC, 15m, 1C</v>
      </c>
      <c r="M117" s="430" t="str">
        <f t="shared" si="49"/>
        <v>EA</v>
      </c>
      <c r="N117" s="394" t="e">
        <f>#REF!+#REF!</f>
        <v>#REF!</v>
      </c>
      <c r="O117" s="393">
        <f>VLOOKUP(L117,'8-6.자재단가비교표'!$C$8:$O$332,12,0)</f>
        <v>13162.05</v>
      </c>
      <c r="P117" s="393" t="e">
        <f t="shared" si="50"/>
        <v>#REF!</v>
      </c>
      <c r="Q117" s="248">
        <f>VLOOKUP(L117,'8-6.자재단가비교표'!$C$8:$O$328,13,0)</f>
        <v>0</v>
      </c>
      <c r="R117" s="34" t="e">
        <f t="shared" si="51"/>
        <v>#REF!</v>
      </c>
      <c r="S117" s="34" t="e">
        <f t="shared" si="52"/>
        <v>#REF!</v>
      </c>
      <c r="T117" s="34" t="e">
        <f>#REF!+#REF!</f>
        <v>#REF!</v>
      </c>
      <c r="U117" s="34" t="e">
        <f t="shared" si="53"/>
        <v>#REF!</v>
      </c>
    </row>
    <row r="118" spans="1:23" s="34" customFormat="1" ht="24.95" hidden="1" customHeight="1">
      <c r="A118" s="537"/>
      <c r="B118" s="392" t="str">
        <f>'8-1.설비자재산출(전력통신)'!C37</f>
        <v>UTP케이블</v>
      </c>
      <c r="C118" s="1238" t="str">
        <f>'8-1.설비자재산출(전력통신)'!D37</f>
        <v>UTP CAT.5E 100P</v>
      </c>
      <c r="D118" s="430" t="str">
        <f>'8-1.설비자재산출(전력통신)'!I37</f>
        <v>m</v>
      </c>
      <c r="E118" s="394">
        <f>'8-1.설비자재산출(전력통신)'!N37</f>
        <v>0</v>
      </c>
      <c r="F118" s="1200">
        <f>VLOOKUP(C118,'8-6.자재단가비교표'!$C$7:$O$332,12,0)</f>
        <v>0</v>
      </c>
      <c r="G118" s="1200">
        <f t="shared" si="45"/>
        <v>0</v>
      </c>
      <c r="H118" s="248">
        <f>VLOOKUP(C118,'8-6.자재단가비교표'!$C$7:$O$332,13,0)</f>
        <v>0</v>
      </c>
      <c r="I118" s="237" t="str">
        <f>'8-1.설비자재산출(전력통신)'!E37</f>
        <v>DS0신호 결선(C-MUX)</v>
      </c>
      <c r="J118" s="531">
        <f t="shared" si="46"/>
        <v>0</v>
      </c>
      <c r="K118" s="392" t="str">
        <f t="shared" si="47"/>
        <v>UTP케이블</v>
      </c>
      <c r="L118" s="392" t="str">
        <f t="shared" si="48"/>
        <v>UTP CAT.5E 100P</v>
      </c>
      <c r="M118" s="430" t="str">
        <f t="shared" si="49"/>
        <v>m</v>
      </c>
      <c r="N118" s="394" t="e">
        <f>#REF!+#REF!</f>
        <v>#REF!</v>
      </c>
      <c r="O118" s="393">
        <f>VLOOKUP(L118,'8-6.자재단가비교표'!$C$8:$O$332,12,0)</f>
        <v>0</v>
      </c>
      <c r="P118" s="393" t="e">
        <f t="shared" si="50"/>
        <v>#REF!</v>
      </c>
      <c r="Q118" s="248">
        <f>VLOOKUP(L118,'8-6.자재단가비교표'!$C$8:$O$328,13,0)</f>
        <v>0</v>
      </c>
      <c r="R118" s="34" t="e">
        <f t="shared" si="51"/>
        <v>#REF!</v>
      </c>
      <c r="S118" s="34" t="e">
        <f t="shared" si="52"/>
        <v>#REF!</v>
      </c>
      <c r="T118" s="34" t="e">
        <f>#REF!+#REF!</f>
        <v>#REF!</v>
      </c>
      <c r="U118" s="34" t="e">
        <f t="shared" si="53"/>
        <v>#REF!</v>
      </c>
    </row>
    <row r="119" spans="1:23" s="34" customFormat="1" ht="24.95" hidden="1" customHeight="1">
      <c r="A119" s="537"/>
      <c r="B119" s="392" t="str">
        <f>'8-1.설비자재산출(전력통신)'!C38</f>
        <v>UTP케이블</v>
      </c>
      <c r="C119" s="1238" t="str">
        <f>'8-1.설비자재산출(전력통신)'!D38</f>
        <v>UTP CAT.5E 25P</v>
      </c>
      <c r="D119" s="430" t="str">
        <f>'8-1.설비자재산출(전력통신)'!I38</f>
        <v>m</v>
      </c>
      <c r="E119" s="394">
        <f>'8-1.설비자재산출(전력통신)'!N38</f>
        <v>0</v>
      </c>
      <c r="F119" s="1200">
        <f>VLOOKUP(C119,'8-6.자재단가비교표'!$C$7:$O$332,12,0)</f>
        <v>0</v>
      </c>
      <c r="G119" s="1200">
        <f t="shared" si="45"/>
        <v>0</v>
      </c>
      <c r="H119" s="248">
        <f>VLOOKUP(C119,'8-6.자재단가비교표'!$C$7:$O$332,13,0)</f>
        <v>0</v>
      </c>
      <c r="I119" s="237" t="str">
        <f>'8-1.설비자재산출(전력통신)'!E38</f>
        <v>DS0신호 결선(PtoP,C-MUX)</v>
      </c>
      <c r="J119" s="531">
        <f t="shared" si="46"/>
        <v>0</v>
      </c>
      <c r="K119" s="392" t="str">
        <f t="shared" si="47"/>
        <v>UTP케이블</v>
      </c>
      <c r="L119" s="392" t="str">
        <f t="shared" si="48"/>
        <v>UTP CAT.5E 25P</v>
      </c>
      <c r="M119" s="430" t="str">
        <f t="shared" si="49"/>
        <v>m</v>
      </c>
      <c r="N119" s="394" t="e">
        <f>#REF!+#REF!</f>
        <v>#REF!</v>
      </c>
      <c r="O119" s="393">
        <f>VLOOKUP(L119,'8-6.자재단가비교표'!$C$8:$O$332,12,0)</f>
        <v>0</v>
      </c>
      <c r="P119" s="393" t="e">
        <f t="shared" si="50"/>
        <v>#REF!</v>
      </c>
      <c r="Q119" s="248">
        <f>VLOOKUP(L119,'8-6.자재단가비교표'!$C$8:$O$328,13,0)</f>
        <v>0</v>
      </c>
      <c r="R119" s="34" t="e">
        <f t="shared" si="51"/>
        <v>#REF!</v>
      </c>
      <c r="S119" s="34" t="e">
        <f t="shared" si="52"/>
        <v>#REF!</v>
      </c>
      <c r="T119" s="34" t="e">
        <f>#REF!+#REF!</f>
        <v>#REF!</v>
      </c>
      <c r="U119" s="34" t="e">
        <f t="shared" si="53"/>
        <v>#REF!</v>
      </c>
    </row>
    <row r="120" spans="1:23" s="34" customFormat="1" ht="24.95" customHeight="1">
      <c r="A120" s="533"/>
      <c r="B120" s="392" t="str">
        <f>'8-1.설비자재산출(전력통신)'!C39</f>
        <v>UTP케이블</v>
      </c>
      <c r="C120" s="1238" t="str">
        <f>'8-1.설비자재산출(전력통신)'!D39</f>
        <v>CAT.5E 4P</v>
      </c>
      <c r="D120" s="430" t="str">
        <f>'8-1.설비자재산출(전력통신)'!I39</f>
        <v>m</v>
      </c>
      <c r="E120" s="394">
        <f>'8-1.설비자재산출(전력통신)'!N39</f>
        <v>43</v>
      </c>
      <c r="F120" s="1200">
        <f>VLOOKUP(C120,'8-6.자재단가비교표'!$C$7:$O$332,12,0)</f>
        <v>693.20129999999995</v>
      </c>
      <c r="G120" s="1200">
        <f t="shared" si="45"/>
        <v>29807</v>
      </c>
      <c r="H120" s="248" t="str">
        <f>VLOOKUP(C120,'8-6.자재단가비교표'!$C$7:$O$332,13,0)</f>
        <v>물가자료</v>
      </c>
      <c r="I120" s="237" t="str">
        <f>'8-1.설비자재산출(전력통신)'!E39</f>
        <v>LAN 구성용</v>
      </c>
      <c r="J120" s="531">
        <f t="shared" si="46"/>
        <v>0</v>
      </c>
      <c r="K120" s="392" t="str">
        <f t="shared" si="47"/>
        <v>UTP케이블</v>
      </c>
      <c r="L120" s="392" t="str">
        <f t="shared" si="48"/>
        <v>CAT.5E 4P</v>
      </c>
      <c r="M120" s="430" t="str">
        <f t="shared" si="49"/>
        <v>m</v>
      </c>
      <c r="N120" s="394" t="e">
        <f>#REF!+#REF!</f>
        <v>#REF!</v>
      </c>
      <c r="O120" s="393">
        <f>VLOOKUP(L120,'8-6.자재단가비교표'!$C$8:$O$332,12,0)</f>
        <v>693.20129999999995</v>
      </c>
      <c r="P120" s="393" t="e">
        <f t="shared" si="50"/>
        <v>#REF!</v>
      </c>
      <c r="Q120" s="248" t="str">
        <f>VLOOKUP(L120,'8-6.자재단가비교표'!$C$8:$O$328,13,0)</f>
        <v>물가자료</v>
      </c>
      <c r="R120" s="34" t="e">
        <f t="shared" si="51"/>
        <v>#REF!</v>
      </c>
      <c r="S120" s="34" t="e">
        <f t="shared" si="52"/>
        <v>#REF!</v>
      </c>
      <c r="T120" s="34" t="e">
        <f>#REF!+#REF!</f>
        <v>#REF!</v>
      </c>
      <c r="U120" s="34" t="e">
        <f t="shared" si="53"/>
        <v>#REF!</v>
      </c>
    </row>
    <row r="121" spans="1:23" s="34" customFormat="1" ht="24.95" customHeight="1">
      <c r="A121" s="533"/>
      <c r="B121" s="392" t="str">
        <f>'8-1.설비자재산출(전력통신)'!C40</f>
        <v>UTP케이블</v>
      </c>
      <c r="C121" s="1238" t="str">
        <f>'8-1.설비자재산출(전력통신)'!D40</f>
        <v>CAT.5E 4P</v>
      </c>
      <c r="D121" s="430" t="str">
        <f>'8-1.설비자재산출(전력통신)'!I40</f>
        <v>m</v>
      </c>
      <c r="E121" s="394">
        <f>'8-1.설비자재산출(전력통신)'!N40</f>
        <v>39</v>
      </c>
      <c r="F121" s="1200">
        <f>VLOOKUP(C121,'8-6.자재단가비교표'!$C$7:$O$332,12,0)</f>
        <v>693.20129999999995</v>
      </c>
      <c r="G121" s="1200">
        <f t="shared" si="45"/>
        <v>27034</v>
      </c>
      <c r="H121" s="248" t="str">
        <f>VLOOKUP(C121,'8-6.자재단가비교표'!$C$7:$O$332,13,0)</f>
        <v>물가자료</v>
      </c>
      <c r="I121" s="237" t="str">
        <f>'8-1.설비자재산출(전력통신)'!E40</f>
        <v>TRMS용 경보</v>
      </c>
      <c r="J121" s="531">
        <f t="shared" si="46"/>
        <v>0</v>
      </c>
      <c r="K121" s="392" t="str">
        <f t="shared" si="47"/>
        <v>UTP케이블</v>
      </c>
      <c r="L121" s="392" t="str">
        <f t="shared" si="48"/>
        <v>CAT.5E 4P</v>
      </c>
      <c r="M121" s="430" t="str">
        <f t="shared" si="49"/>
        <v>m</v>
      </c>
      <c r="N121" s="394" t="e">
        <f>#REF!+#REF!</f>
        <v>#REF!</v>
      </c>
      <c r="O121" s="393">
        <f>VLOOKUP(L121,'8-6.자재단가비교표'!$C$8:$O$332,12,0)</f>
        <v>693.20129999999995</v>
      </c>
      <c r="P121" s="393" t="e">
        <f t="shared" si="50"/>
        <v>#REF!</v>
      </c>
      <c r="Q121" s="248" t="str">
        <f>VLOOKUP(L121,'8-6.자재단가비교표'!$C$8:$O$328,13,0)</f>
        <v>물가자료</v>
      </c>
      <c r="R121" s="34" t="e">
        <f t="shared" si="51"/>
        <v>#REF!</v>
      </c>
      <c r="S121" s="34" t="e">
        <f t="shared" si="52"/>
        <v>#REF!</v>
      </c>
      <c r="T121" s="34" t="e">
        <f>#REF!+#REF!</f>
        <v>#REF!</v>
      </c>
      <c r="U121" s="34" t="e">
        <f t="shared" si="53"/>
        <v>#REF!</v>
      </c>
    </row>
    <row r="122" spans="1:23" s="34" customFormat="1" ht="24.95" customHeight="1">
      <c r="A122" s="537"/>
      <c r="B122" s="392" t="str">
        <f>'8-1.설비자재산출(전력통신)'!C41</f>
        <v>후렉시블전선관</v>
      </c>
      <c r="C122" s="1238" t="str">
        <f>'8-1.설비자재산출(전력통신)'!D41</f>
        <v>22㎜, 일반방수(GW-22)</v>
      </c>
      <c r="D122" s="430" t="str">
        <f>'8-1.설비자재산출(전력통신)'!I41</f>
        <v>m</v>
      </c>
      <c r="E122" s="394">
        <f>'8-1.설비자재산출(전력통신)'!N41</f>
        <v>44</v>
      </c>
      <c r="F122" s="1200">
        <f>VLOOKUP(C122,'8-6.자재단가비교표'!$C$7:$O$332,12,0)</f>
        <v>820.43444999999997</v>
      </c>
      <c r="G122" s="1200">
        <f t="shared" si="45"/>
        <v>36099</v>
      </c>
      <c r="H122" s="248" t="str">
        <f>VLOOKUP(C122,'8-6.자재단가비교표'!$C$7:$O$332,13,0)</f>
        <v>물가자료</v>
      </c>
      <c r="I122" s="237"/>
      <c r="J122" s="531">
        <f t="shared" si="46"/>
        <v>0</v>
      </c>
      <c r="K122" s="392" t="str">
        <f t="shared" si="47"/>
        <v>후렉시블전선관</v>
      </c>
      <c r="L122" s="392" t="str">
        <f t="shared" si="48"/>
        <v>22㎜, 일반방수(GW-22)</v>
      </c>
      <c r="M122" s="430" t="str">
        <f t="shared" si="49"/>
        <v>m</v>
      </c>
      <c r="N122" s="394" t="e">
        <f>#REF!+#REF!</f>
        <v>#REF!</v>
      </c>
      <c r="O122" s="393">
        <f>VLOOKUP(L122,'8-6.자재단가비교표'!$C$8:$O$332,12,0)</f>
        <v>820.43444999999997</v>
      </c>
      <c r="P122" s="393" t="e">
        <f t="shared" si="50"/>
        <v>#REF!</v>
      </c>
      <c r="Q122" s="248" t="str">
        <f>VLOOKUP(L122,'8-6.자재단가비교표'!$C$8:$O$328,13,0)</f>
        <v>물가자료</v>
      </c>
      <c r="R122" s="34" t="e">
        <f t="shared" si="51"/>
        <v>#REF!</v>
      </c>
      <c r="S122" s="34" t="e">
        <f t="shared" si="52"/>
        <v>#REF!</v>
      </c>
      <c r="T122" s="34" t="e">
        <f>#REF!+#REF!</f>
        <v>#REF!</v>
      </c>
      <c r="U122" s="34" t="e">
        <f t="shared" si="53"/>
        <v>#REF!</v>
      </c>
    </row>
    <row r="123" spans="1:23" s="34" customFormat="1" ht="24.95" hidden="1" customHeight="1">
      <c r="A123" s="533"/>
      <c r="B123" s="392" t="str">
        <f>'8-1.설비자재산출(전력통신)'!C42</f>
        <v>후렉시블전선관</v>
      </c>
      <c r="C123" s="1238" t="str">
        <f>'8-1.설비자재산출(전력통신)'!D42</f>
        <v>16㎜, 일반방수(GW-16)</v>
      </c>
      <c r="D123" s="430" t="str">
        <f>'8-1.설비자재산출(전력통신)'!I42</f>
        <v>m</v>
      </c>
      <c r="E123" s="394">
        <f>'8-1.설비자재산출(전력통신)'!N42</f>
        <v>0</v>
      </c>
      <c r="F123" s="1200">
        <f>VLOOKUP(C123,'8-6.자재단가비교표'!$C$7:$O$332,12,0)</f>
        <v>1983.0821999999998</v>
      </c>
      <c r="G123" s="1200">
        <f t="shared" si="45"/>
        <v>0</v>
      </c>
      <c r="H123" s="248">
        <f>VLOOKUP(C123,'8-6.자재단가비교표'!$C$7:$O$332,13,0)</f>
        <v>0</v>
      </c>
      <c r="I123" s="237"/>
      <c r="J123" s="531">
        <f t="shared" si="46"/>
        <v>0</v>
      </c>
      <c r="K123" s="392" t="str">
        <f t="shared" si="47"/>
        <v>후렉시블전선관</v>
      </c>
      <c r="L123" s="392" t="str">
        <f t="shared" si="48"/>
        <v>16㎜, 일반방수(GW-16)</v>
      </c>
      <c r="M123" s="430" t="str">
        <f t="shared" si="49"/>
        <v>m</v>
      </c>
      <c r="N123" s="394" t="e">
        <f>#REF!+#REF!</f>
        <v>#REF!</v>
      </c>
      <c r="O123" s="393">
        <f>VLOOKUP(L123,'8-6.자재단가비교표'!$C$8:$O$332,12,0)</f>
        <v>1983.0821999999998</v>
      </c>
      <c r="P123" s="393" t="e">
        <f t="shared" si="50"/>
        <v>#REF!</v>
      </c>
      <c r="Q123" s="248">
        <f>VLOOKUP(L123,'8-6.자재단가비교표'!$C$8:$O$328,13,0)</f>
        <v>0</v>
      </c>
      <c r="R123" s="34" t="e">
        <f t="shared" si="51"/>
        <v>#REF!</v>
      </c>
      <c r="S123" s="34" t="e">
        <f t="shared" si="52"/>
        <v>#REF!</v>
      </c>
      <c r="T123" s="34" t="e">
        <f>#REF!+#REF!</f>
        <v>#REF!</v>
      </c>
      <c r="U123" s="34" t="e">
        <f t="shared" si="53"/>
        <v>#REF!</v>
      </c>
    </row>
    <row r="124" spans="1:23" s="34" customFormat="1" ht="24.95" customHeight="1">
      <c r="A124" s="533"/>
      <c r="B124" s="392" t="str">
        <f>'8-1.설비자재산출(전력통신)'!C43</f>
        <v>후렉시블전선관</v>
      </c>
      <c r="C124" s="1238" t="str">
        <f>'8-1.설비자재산출(전력통신)'!D43</f>
        <v>16㎜, 일반방수(GW-16)</v>
      </c>
      <c r="D124" s="430" t="str">
        <f>'8-1.설비자재산출(전력통신)'!I43</f>
        <v>m</v>
      </c>
      <c r="E124" s="394">
        <f>'8-1.설비자재산출(전력통신)'!N43</f>
        <v>68</v>
      </c>
      <c r="F124" s="1200">
        <f>VLOOKUP(C124,'8-6.자재단가비교표'!$C$7:$O$332,12,0)</f>
        <v>1983.0821999999998</v>
      </c>
      <c r="G124" s="1200">
        <f>INT(E124*F124)</f>
        <v>134849</v>
      </c>
      <c r="H124" s="248" t="s">
        <v>3170</v>
      </c>
      <c r="I124" s="237"/>
      <c r="J124" s="531">
        <f>$A124</f>
        <v>0</v>
      </c>
      <c r="K124" s="392" t="str">
        <f>$B124</f>
        <v>후렉시블전선관</v>
      </c>
      <c r="L124" s="392" t="str">
        <f>$C124</f>
        <v>16㎜, 일반방수(GW-16)</v>
      </c>
      <c r="M124" s="430" t="str">
        <f>$D124</f>
        <v>m</v>
      </c>
      <c r="N124" s="394" t="e">
        <f>#REF!+#REF!</f>
        <v>#REF!</v>
      </c>
      <c r="O124" s="393">
        <f>VLOOKUP(L124,'8-6.자재단가비교표'!$C$8:$O$332,12,0)</f>
        <v>1983.0821999999998</v>
      </c>
      <c r="P124" s="393" t="e">
        <f>INT(N124*O124)</f>
        <v>#REF!</v>
      </c>
      <c r="Q124" s="248">
        <f>VLOOKUP(L124,'8-6.자재단가비교표'!$C$8:$O$328,13,0)</f>
        <v>0</v>
      </c>
      <c r="R124" s="34" t="e">
        <f t="shared" si="51"/>
        <v>#REF!</v>
      </c>
      <c r="S124" s="34" t="e">
        <f t="shared" si="52"/>
        <v>#REF!</v>
      </c>
      <c r="T124" s="34" t="e">
        <f>#REF!+#REF!</f>
        <v>#REF!</v>
      </c>
      <c r="U124" s="34" t="e">
        <f>P124-T124</f>
        <v>#REF!</v>
      </c>
    </row>
    <row r="125" spans="1:23" s="34" customFormat="1" ht="24.95" customHeight="1">
      <c r="A125" s="533"/>
      <c r="B125" s="392" t="str">
        <f>'8-1.설비자재산출(전력통신)'!C44</f>
        <v>접지케이블</v>
      </c>
      <c r="C125" s="392" t="str">
        <f>'8-1.설비자재산출(전력통신)'!D44</f>
        <v>F-GV, 6SQ</v>
      </c>
      <c r="D125" s="430" t="str">
        <f>'8-1.설비자재산출(전력통신)'!I44</f>
        <v>m</v>
      </c>
      <c r="E125" s="394">
        <f>'8-1.설비자재산출(전력통신)'!N44</f>
        <v>15</v>
      </c>
      <c r="F125" s="1200">
        <f>VLOOKUP(C125,'8-6.자재단가비교표'!$C$7:$O$332,12,0)</f>
        <v>1079.2881</v>
      </c>
      <c r="G125" s="1200">
        <f>INT(E125*F125)</f>
        <v>16189</v>
      </c>
      <c r="H125" s="248" t="s">
        <v>3170</v>
      </c>
      <c r="I125" s="237"/>
      <c r="J125" s="531"/>
      <c r="K125" s="392"/>
      <c r="L125" s="392"/>
      <c r="M125" s="430"/>
      <c r="N125" s="394"/>
      <c r="O125" s="393"/>
      <c r="P125" s="393"/>
      <c r="Q125" s="248"/>
    </row>
    <row r="126" spans="1:23" s="642" customFormat="1" ht="24.95" hidden="1" customHeight="1">
      <c r="A126" s="533"/>
      <c r="B126" s="392" t="str">
        <f>'8-1.설비자재산출(전력통신)'!C45</f>
        <v>19" RACK(경하중/내진)</v>
      </c>
      <c r="C126" s="1238" t="str">
        <f>'8-1.설비자재산출(전력통신)'!D45</f>
        <v>19"-단자대 내진랙</v>
      </c>
      <c r="D126" s="430" t="str">
        <f>'8-1.설비자재산출(전력통신)'!I45</f>
        <v>대</v>
      </c>
      <c r="E126" s="394">
        <f>'8-1.설비자재산출(전력통신)'!N45</f>
        <v>0</v>
      </c>
      <c r="F126" s="1200">
        <f>VLOOKUP(C126,'8-6.자재단가비교표'!$C$7:$O$332,12,0)</f>
        <v>1772260.3803299998</v>
      </c>
      <c r="G126" s="1200">
        <f t="shared" ref="G126:G132" si="54">INT(E126*F126)</f>
        <v>0</v>
      </c>
      <c r="H126" s="248" t="str">
        <f>VLOOKUP(C126,'8-6.자재단가비교표'!$C$7:$O$332,13,0)</f>
        <v>견적가</v>
      </c>
      <c r="I126" s="237"/>
      <c r="J126" s="531">
        <f t="shared" si="46"/>
        <v>0</v>
      </c>
      <c r="K126" s="392" t="str">
        <f t="shared" si="47"/>
        <v>19" RACK(경하중/내진)</v>
      </c>
      <c r="L126" s="392" t="str">
        <f t="shared" si="48"/>
        <v>19"-단자대 내진랙</v>
      </c>
      <c r="M126" s="430" t="str">
        <f t="shared" si="49"/>
        <v>대</v>
      </c>
      <c r="N126" s="394" t="e">
        <f>#REF!+#REF!</f>
        <v>#REF!</v>
      </c>
      <c r="O126" s="393">
        <f>VLOOKUP(L126,'8-6.자재단가비교표'!$C$8:$O$332,12,0)</f>
        <v>1772260.3803299998</v>
      </c>
      <c r="P126" s="393" t="e">
        <f t="shared" ref="P126:P132" si="55">INT(N126*O126)</f>
        <v>#REF!</v>
      </c>
      <c r="Q126" s="248" t="str">
        <f>VLOOKUP(L126,'8-6.자재단가비교표'!$C$8:$O$328,13,0)</f>
        <v>견적가</v>
      </c>
      <c r="R126" s="34" t="e">
        <f t="shared" ref="R126:R132" si="56">E126-N126</f>
        <v>#REF!</v>
      </c>
      <c r="S126" s="34" t="e">
        <f t="shared" ref="S126:S132" si="57">G126-P126</f>
        <v>#REF!</v>
      </c>
      <c r="T126" s="34" t="e">
        <f>#REF!+#REF!</f>
        <v>#REF!</v>
      </c>
      <c r="U126" s="34" t="e">
        <f t="shared" ref="U126:U132" si="58">P126-T126</f>
        <v>#REF!</v>
      </c>
      <c r="V126" s="34"/>
      <c r="W126" s="34"/>
    </row>
    <row r="127" spans="1:23" s="642" customFormat="1" ht="24.95" hidden="1" customHeight="1">
      <c r="A127" s="696"/>
      <c r="B127" s="392" t="str">
        <f>'8-1.설비자재산출(전력통신)'!C46</f>
        <v>광OFD</v>
      </c>
      <c r="C127" s="1238" t="str">
        <f>'8-1.설비자재산출(전력통신)'!D46</f>
        <v>3U, ST-24C</v>
      </c>
      <c r="D127" s="430" t="str">
        <f>'8-1.설비자재산출(전력통신)'!I46</f>
        <v>EA</v>
      </c>
      <c r="E127" s="394">
        <f>'8-1.설비자재산출(전력통신)'!N46</f>
        <v>0</v>
      </c>
      <c r="F127" s="1200">
        <f>VLOOKUP(C127,'8-6.자재단가비교표'!$C$7:$O$332,12,0)</f>
        <v>0</v>
      </c>
      <c r="G127" s="1200">
        <f t="shared" si="54"/>
        <v>0</v>
      </c>
      <c r="H127" s="248">
        <f>VLOOKUP(C127,'8-6.자재단가비교표'!$C$7:$O$332,13,0)</f>
        <v>0</v>
      </c>
      <c r="I127" s="237" t="str">
        <f>'8-1.설비자재산출(전력통신)'!E46</f>
        <v>PIU 점퍼코드 분배용</v>
      </c>
      <c r="J127" s="531">
        <f t="shared" si="46"/>
        <v>0</v>
      </c>
      <c r="K127" s="392" t="str">
        <f t="shared" si="47"/>
        <v>광OFD</v>
      </c>
      <c r="L127" s="392" t="str">
        <f t="shared" si="48"/>
        <v>3U, ST-24C</v>
      </c>
      <c r="M127" s="430" t="str">
        <f t="shared" si="49"/>
        <v>EA</v>
      </c>
      <c r="N127" s="394" t="e">
        <f>#REF!+#REF!</f>
        <v>#REF!</v>
      </c>
      <c r="O127" s="393">
        <f>VLOOKUP(L127,'8-6.자재단가비교표'!$C$8:$O$332,12,0)</f>
        <v>0</v>
      </c>
      <c r="P127" s="393" t="e">
        <f t="shared" si="55"/>
        <v>#REF!</v>
      </c>
      <c r="Q127" s="248">
        <f>VLOOKUP(L127,'8-6.자재단가비교표'!$C$8:$O$328,13,0)</f>
        <v>0</v>
      </c>
      <c r="R127" s="34" t="e">
        <f t="shared" si="56"/>
        <v>#REF!</v>
      </c>
      <c r="S127" s="34" t="e">
        <f t="shared" si="57"/>
        <v>#REF!</v>
      </c>
      <c r="T127" s="34" t="e">
        <f>#REF!+#REF!</f>
        <v>#REF!</v>
      </c>
      <c r="U127" s="34" t="e">
        <f t="shared" si="58"/>
        <v>#REF!</v>
      </c>
      <c r="V127" s="34"/>
      <c r="W127" s="34"/>
    </row>
    <row r="128" spans="1:23" s="34" customFormat="1" ht="24.95" hidden="1" customHeight="1">
      <c r="A128" s="533"/>
      <c r="B128" s="392" t="str">
        <f>'8-1.설비자재산출(전력통신)'!C47</f>
        <v>광점퍼케이블</v>
      </c>
      <c r="C128" s="1238" t="str">
        <f>'8-1.설비자재산출(전력통신)'!D47</f>
        <v>OJC-MM 4C, ST-ST, 3M</v>
      </c>
      <c r="D128" s="430" t="str">
        <f>'8-1.설비자재산출(전력통신)'!I47</f>
        <v>EA</v>
      </c>
      <c r="E128" s="394">
        <f>'8-1.설비자재산출(전력통신)'!N47</f>
        <v>0</v>
      </c>
      <c r="F128" s="1200">
        <f>VLOOKUP(C128,'8-6.자재단가비교표'!$C$7:$O$332,12,0)</f>
        <v>0</v>
      </c>
      <c r="G128" s="1200">
        <f t="shared" si="54"/>
        <v>0</v>
      </c>
      <c r="H128" s="248">
        <f>VLOOKUP(C128,'8-6.자재단가비교표'!$C$7:$O$332,13,0)</f>
        <v>0</v>
      </c>
      <c r="I128" s="237" t="str">
        <f>'8-1.설비자재산출(전력통신)'!E47</f>
        <v>PIU~OFD 성단용</v>
      </c>
      <c r="J128" s="531">
        <f t="shared" si="46"/>
        <v>0</v>
      </c>
      <c r="K128" s="392" t="str">
        <f t="shared" si="47"/>
        <v>광점퍼케이블</v>
      </c>
      <c r="L128" s="392" t="str">
        <f t="shared" si="48"/>
        <v>OJC-MM 4C, ST-ST, 3M</v>
      </c>
      <c r="M128" s="430" t="str">
        <f t="shared" si="49"/>
        <v>EA</v>
      </c>
      <c r="N128" s="394" t="e">
        <f>#REF!+#REF!</f>
        <v>#REF!</v>
      </c>
      <c r="O128" s="393">
        <f>VLOOKUP(L128,'8-6.자재단가비교표'!$C$8:$O$332,12,0)</f>
        <v>0</v>
      </c>
      <c r="P128" s="393" t="e">
        <f t="shared" si="55"/>
        <v>#REF!</v>
      </c>
      <c r="Q128" s="248">
        <f>VLOOKUP(L128,'8-6.자재단가비교표'!$C$8:$O$328,13,0)</f>
        <v>0</v>
      </c>
      <c r="R128" s="34" t="e">
        <f t="shared" si="56"/>
        <v>#REF!</v>
      </c>
      <c r="S128" s="34" t="e">
        <f t="shared" si="57"/>
        <v>#REF!</v>
      </c>
      <c r="T128" s="34" t="e">
        <f>#REF!+#REF!</f>
        <v>#REF!</v>
      </c>
      <c r="U128" s="34" t="e">
        <f t="shared" si="58"/>
        <v>#REF!</v>
      </c>
    </row>
    <row r="129" spans="1:21" s="34" customFormat="1" ht="24.95" customHeight="1">
      <c r="A129" s="537"/>
      <c r="B129" s="392" t="str">
        <f>'8-1.설비자재산출(전력통신)'!C48</f>
        <v>광감쇄기</v>
      </c>
      <c r="C129" s="1238" t="str">
        <f>'8-1.설비자재산출(전력통신)'!D48</f>
        <v>SM-SC/PC 10dB</v>
      </c>
      <c r="D129" s="430" t="str">
        <f>'8-1.설비자재산출(전력통신)'!I48</f>
        <v>EA</v>
      </c>
      <c r="E129" s="394">
        <f>'8-1.설비자재산출(전력통신)'!N48</f>
        <v>10</v>
      </c>
      <c r="F129" s="1200">
        <f>VLOOKUP(C129,'8-6.자재단가비교표'!$C$7:$O$332,12,0)</f>
        <v>12284.58</v>
      </c>
      <c r="G129" s="1200">
        <f t="shared" si="54"/>
        <v>122845</v>
      </c>
      <c r="H129" s="248" t="str">
        <f>VLOOKUP(C129,'8-6.자재단가비교표'!$C$7:$O$332,13,0)</f>
        <v>견적가</v>
      </c>
      <c r="I129" s="237"/>
      <c r="J129" s="531">
        <f t="shared" si="46"/>
        <v>0</v>
      </c>
      <c r="K129" s="392" t="str">
        <f t="shared" si="47"/>
        <v>광감쇄기</v>
      </c>
      <c r="L129" s="392" t="str">
        <f t="shared" si="48"/>
        <v>SM-SC/PC 10dB</v>
      </c>
      <c r="M129" s="430" t="str">
        <f t="shared" si="49"/>
        <v>EA</v>
      </c>
      <c r="N129" s="394" t="e">
        <f>#REF!+#REF!</f>
        <v>#REF!</v>
      </c>
      <c r="O129" s="393">
        <f>VLOOKUP(L129,'8-6.자재단가비교표'!$C$8:$O$332,12,0)</f>
        <v>12284.58</v>
      </c>
      <c r="P129" s="393" t="e">
        <f t="shared" si="55"/>
        <v>#REF!</v>
      </c>
      <c r="Q129" s="248" t="str">
        <f>VLOOKUP(L129,'8-6.자재단가비교표'!$C$8:$O$328,13,0)</f>
        <v>견적가</v>
      </c>
      <c r="R129" s="34" t="e">
        <f t="shared" si="56"/>
        <v>#REF!</v>
      </c>
      <c r="S129" s="34" t="e">
        <f t="shared" si="57"/>
        <v>#REF!</v>
      </c>
      <c r="T129" s="34" t="e">
        <f>#REF!+#REF!</f>
        <v>#REF!</v>
      </c>
      <c r="U129" s="34" t="e">
        <f t="shared" si="58"/>
        <v>#REF!</v>
      </c>
    </row>
    <row r="130" spans="1:21" s="34" customFormat="1" ht="24.95" hidden="1" customHeight="1">
      <c r="A130" s="537"/>
      <c r="B130" s="392" t="str">
        <f>'8-1.설비자재산출(전력통신)'!C49</f>
        <v>블럭단자(레핑)</v>
      </c>
      <c r="C130" s="1238" t="str">
        <f>'8-1.설비자재산출(전력통신)'!D49</f>
        <v>6*30</v>
      </c>
      <c r="D130" s="430" t="str">
        <f>'8-1.설비자재산출(전력통신)'!I49</f>
        <v>EA</v>
      </c>
      <c r="E130" s="394">
        <f>'8-1.설비자재산출(전력통신)'!N49</f>
        <v>0</v>
      </c>
      <c r="F130" s="1200">
        <f>VLOOKUP(C130,'8-6.자재단가비교표'!$C$7:$O$332,12,0)</f>
        <v>0</v>
      </c>
      <c r="G130" s="1200">
        <f t="shared" si="54"/>
        <v>0</v>
      </c>
      <c r="H130" s="248">
        <f>VLOOKUP(C130,'8-6.자재단가비교표'!$C$7:$O$332,13,0)</f>
        <v>0</v>
      </c>
      <c r="I130" s="237"/>
      <c r="J130" s="531">
        <f t="shared" si="46"/>
        <v>0</v>
      </c>
      <c r="K130" s="392" t="str">
        <f t="shared" si="47"/>
        <v>블럭단자(레핑)</v>
      </c>
      <c r="L130" s="392" t="str">
        <f t="shared" si="48"/>
        <v>6*30</v>
      </c>
      <c r="M130" s="430" t="str">
        <f t="shared" si="49"/>
        <v>EA</v>
      </c>
      <c r="N130" s="394" t="e">
        <f>#REF!+#REF!</f>
        <v>#REF!</v>
      </c>
      <c r="O130" s="393">
        <f>VLOOKUP(L130,'8-6.자재단가비교표'!$C$8:$O$332,12,0)</f>
        <v>0</v>
      </c>
      <c r="P130" s="393" t="e">
        <f t="shared" si="55"/>
        <v>#REF!</v>
      </c>
      <c r="Q130" s="248">
        <f>VLOOKUP(L130,'8-6.자재단가비교표'!$C$8:$O$328,13,0)</f>
        <v>0</v>
      </c>
      <c r="R130" s="34" t="e">
        <f t="shared" si="56"/>
        <v>#REF!</v>
      </c>
      <c r="S130" s="34" t="e">
        <f t="shared" si="57"/>
        <v>#REF!</v>
      </c>
      <c r="T130" s="34" t="e">
        <f>#REF!+#REF!</f>
        <v>#REF!</v>
      </c>
      <c r="U130" s="34" t="e">
        <f t="shared" si="58"/>
        <v>#REF!</v>
      </c>
    </row>
    <row r="131" spans="1:21" s="34" customFormat="1" ht="24.95" hidden="1" customHeight="1">
      <c r="A131" s="537"/>
      <c r="B131" s="392" t="str">
        <f>'8-1.설비자재산출(전력통신)'!C50</f>
        <v>QDF 단자대</v>
      </c>
      <c r="C131" s="1238" t="str">
        <f>'8-1.설비자재산출(전력통신)'!D50</f>
        <v>60P, 19"랙 실장용</v>
      </c>
      <c r="D131" s="430" t="str">
        <f>'8-1.설비자재산출(전력통신)'!I50</f>
        <v>EA</v>
      </c>
      <c r="E131" s="394">
        <f>'8-1.설비자재산출(전력통신)'!N50</f>
        <v>0</v>
      </c>
      <c r="F131" s="1200">
        <f>VLOOKUP(C131,'8-6.자재단가비교표'!$C$7:$O$332,12,0)</f>
        <v>0</v>
      </c>
      <c r="G131" s="1200">
        <f t="shared" si="54"/>
        <v>0</v>
      </c>
      <c r="H131" s="248">
        <f>VLOOKUP(C131,'8-6.자재단가비교표'!$C$7:$O$332,13,0)</f>
        <v>0</v>
      </c>
      <c r="I131" s="237"/>
      <c r="J131" s="531">
        <f t="shared" si="46"/>
        <v>0</v>
      </c>
      <c r="K131" s="392" t="str">
        <f t="shared" si="47"/>
        <v>QDF 단자대</v>
      </c>
      <c r="L131" s="392" t="str">
        <f t="shared" si="48"/>
        <v>60P, 19"랙 실장용</v>
      </c>
      <c r="M131" s="430" t="str">
        <f t="shared" si="49"/>
        <v>EA</v>
      </c>
      <c r="N131" s="394" t="e">
        <f>#REF!+#REF!</f>
        <v>#REF!</v>
      </c>
      <c r="O131" s="393">
        <f>VLOOKUP(L131,'8-6.자재단가비교표'!$C$8:$O$332,12,0)</f>
        <v>0</v>
      </c>
      <c r="P131" s="393" t="e">
        <f t="shared" si="55"/>
        <v>#REF!</v>
      </c>
      <c r="Q131" s="248">
        <f>VLOOKUP(L131,'8-6.자재단가비교표'!$C$8:$O$328,13,0)</f>
        <v>0</v>
      </c>
      <c r="R131" s="34" t="e">
        <f t="shared" si="56"/>
        <v>#REF!</v>
      </c>
      <c r="S131" s="34" t="e">
        <f t="shared" si="57"/>
        <v>#REF!</v>
      </c>
      <c r="T131" s="34" t="e">
        <f>#REF!+#REF!</f>
        <v>#REF!</v>
      </c>
      <c r="U131" s="34" t="e">
        <f t="shared" si="58"/>
        <v>#REF!</v>
      </c>
    </row>
    <row r="132" spans="1:21" s="34" customFormat="1" ht="24.95" hidden="1" customHeight="1">
      <c r="A132" s="537"/>
      <c r="B132" s="392" t="str">
        <f>'8-1.설비자재산출(전력통신)'!C51</f>
        <v>QDF</v>
      </c>
      <c r="C132" s="1238" t="str">
        <f>'8-1.설비자재산출(전력통신)'!D51</f>
        <v>10P</v>
      </c>
      <c r="D132" s="430" t="str">
        <f>'8-1.설비자재산출(전력통신)'!I51</f>
        <v>EA</v>
      </c>
      <c r="E132" s="394">
        <f>'8-1.설비자재산출(전력통신)'!N51</f>
        <v>0</v>
      </c>
      <c r="F132" s="1200">
        <f>VLOOKUP(C132,'8-6.자재단가비교표'!$C$7:$O$332,12,0)</f>
        <v>0</v>
      </c>
      <c r="G132" s="1200">
        <f t="shared" si="54"/>
        <v>0</v>
      </c>
      <c r="H132" s="248">
        <f>VLOOKUP(C132,'8-6.자재단가비교표'!$C$7:$O$332,13,0)</f>
        <v>0</v>
      </c>
      <c r="I132" s="237"/>
      <c r="J132" s="531">
        <f t="shared" si="46"/>
        <v>0</v>
      </c>
      <c r="K132" s="392" t="str">
        <f t="shared" si="47"/>
        <v>QDF</v>
      </c>
      <c r="L132" s="392" t="str">
        <f t="shared" si="48"/>
        <v>10P</v>
      </c>
      <c r="M132" s="430" t="str">
        <f t="shared" si="49"/>
        <v>EA</v>
      </c>
      <c r="N132" s="394" t="e">
        <f>#REF!+#REF!</f>
        <v>#REF!</v>
      </c>
      <c r="O132" s="393">
        <f>VLOOKUP(L132,'8-6.자재단가비교표'!$C$8:$O$332,12,0)</f>
        <v>0</v>
      </c>
      <c r="P132" s="393" t="e">
        <f t="shared" si="55"/>
        <v>#REF!</v>
      </c>
      <c r="Q132" s="248">
        <f>VLOOKUP(L132,'8-6.자재단가비교표'!$C$8:$O$328,13,0)</f>
        <v>0</v>
      </c>
      <c r="R132" s="34" t="e">
        <f t="shared" si="56"/>
        <v>#REF!</v>
      </c>
      <c r="S132" s="34" t="e">
        <f t="shared" si="57"/>
        <v>#REF!</v>
      </c>
      <c r="T132" s="34" t="e">
        <f>#REF!+#REF!</f>
        <v>#REF!</v>
      </c>
      <c r="U132" s="34" t="e">
        <f t="shared" si="58"/>
        <v>#REF!</v>
      </c>
    </row>
    <row r="133" spans="1:21" s="34" customFormat="1" ht="24.95" hidden="1" customHeight="1">
      <c r="A133" s="537"/>
      <c r="B133" s="392" t="str">
        <f>'8-1.설비자재산출(전력통신)'!C52</f>
        <v>PIU IDF</v>
      </c>
      <c r="C133" s="1238" t="str">
        <f>'8-1.설비자재산출(전력통신)'!D52</f>
        <v>2CH, 1U, 19"랙 실장, LINE LOOP기능</v>
      </c>
      <c r="D133" s="430" t="str">
        <f>'8-1.설비자재산출(전력통신)'!I52</f>
        <v>EA</v>
      </c>
      <c r="E133" s="394">
        <f>'8-1.설비자재산출(전력통신)'!N52</f>
        <v>0</v>
      </c>
      <c r="F133" s="1200">
        <f>VLOOKUP(C133,'8-6.자재단가비교표'!$C$7:$O$332,12,0)</f>
        <v>0</v>
      </c>
      <c r="G133" s="1200">
        <f t="shared" ref="G133:G143" si="59">INT(E133*F133)</f>
        <v>0</v>
      </c>
      <c r="H133" s="248">
        <f>VLOOKUP(C133,'8-6.자재단가비교표'!$C$7:$O$332,13,0)</f>
        <v>0</v>
      </c>
      <c r="I133" s="237"/>
      <c r="J133" s="531"/>
      <c r="K133" s="392"/>
      <c r="L133" s="392"/>
      <c r="M133" s="430"/>
      <c r="N133" s="394"/>
      <c r="O133" s="393"/>
      <c r="P133" s="393"/>
      <c r="Q133" s="248"/>
    </row>
    <row r="134" spans="1:21" s="34" customFormat="1" ht="24.95" hidden="1" customHeight="1">
      <c r="A134" s="537"/>
      <c r="B134" s="392" t="str">
        <f>'8-1.설비자재산출(전력통신)'!C53</f>
        <v>난연성제어케이블</v>
      </c>
      <c r="C134" s="1238" t="str">
        <f>'8-1.설비자재산출(전력통신)'!D53</f>
        <v>FR-CVV-S, 1.5SQ/4C</v>
      </c>
      <c r="D134" s="430" t="str">
        <f>'8-1.설비자재산출(전력통신)'!I53</f>
        <v>m</v>
      </c>
      <c r="E134" s="394">
        <f>'8-1.설비자재산출(전력통신)'!N53</f>
        <v>0</v>
      </c>
      <c r="F134" s="1200">
        <f>VLOOKUP(C134,'8-6.자재단가비교표'!$C$7:$O$332,12,0)</f>
        <v>0</v>
      </c>
      <c r="G134" s="1200">
        <f t="shared" si="59"/>
        <v>0</v>
      </c>
      <c r="H134" s="248">
        <f>VLOOKUP(C134,'8-6.자재단가비교표'!$C$7:$O$332,13,0)</f>
        <v>0</v>
      </c>
      <c r="I134" s="237"/>
      <c r="J134" s="531"/>
      <c r="K134" s="392"/>
      <c r="L134" s="392"/>
      <c r="M134" s="430"/>
      <c r="N134" s="394"/>
      <c r="O134" s="393"/>
      <c r="P134" s="393"/>
      <c r="Q134" s="248"/>
    </row>
    <row r="135" spans="1:21" s="34" customFormat="1" ht="24.95" hidden="1" customHeight="1">
      <c r="A135" s="537"/>
      <c r="B135" s="392" t="str">
        <f>'8-1.설비자재산출(전력통신)'!C54</f>
        <v>난연성제어케이블</v>
      </c>
      <c r="C135" s="1238" t="str">
        <f>'8-1.설비자재산출(전력통신)'!D54</f>
        <v>FR-CVV-S, 1.5SQ/2C</v>
      </c>
      <c r="D135" s="430" t="str">
        <f>'8-1.설비자재산출(전력통신)'!I54</f>
        <v>m</v>
      </c>
      <c r="E135" s="394">
        <f>'8-1.설비자재산출(전력통신)'!N54</f>
        <v>0</v>
      </c>
      <c r="F135" s="1200">
        <f>VLOOKUP(C135,'8-6.자재단가비교표'!$C$7:$O$332,12,0)</f>
        <v>0</v>
      </c>
      <c r="G135" s="1200">
        <f t="shared" si="59"/>
        <v>0</v>
      </c>
      <c r="H135" s="248">
        <f>VLOOKUP(C135,'8-6.자재단가비교표'!$C$7:$O$332,13,0)</f>
        <v>0</v>
      </c>
      <c r="I135" s="237"/>
      <c r="J135" s="531"/>
      <c r="K135" s="392"/>
      <c r="L135" s="392"/>
      <c r="M135" s="430"/>
      <c r="N135" s="394"/>
      <c r="O135" s="393"/>
      <c r="P135" s="393"/>
      <c r="Q135" s="248"/>
    </row>
    <row r="136" spans="1:21" s="34" customFormat="1" ht="24.95" hidden="1" customHeight="1">
      <c r="A136" s="537"/>
      <c r="B136" s="392" t="str">
        <f>'8-1.설비자재산출(전력통신)'!C55</f>
        <v>광케이블</v>
      </c>
      <c r="C136" s="1238" t="str">
        <f>'8-1.설비자재산출(전력통신)'!D55</f>
        <v>FOFC-MM-48C</v>
      </c>
      <c r="D136" s="430" t="str">
        <f>'8-1.설비자재산출(전력통신)'!I55</f>
        <v>m</v>
      </c>
      <c r="E136" s="394">
        <f>'8-1.설비자재산출(전력통신)'!N55</f>
        <v>0</v>
      </c>
      <c r="F136" s="1200">
        <f>VLOOKUP(C136,'8-6.자재단가비교표'!$C$7:$O$332,12,0)</f>
        <v>0</v>
      </c>
      <c r="G136" s="1200">
        <f t="shared" si="59"/>
        <v>0</v>
      </c>
      <c r="H136" s="248">
        <f>VLOOKUP(C136,'8-6.자재단가비교표'!$C$7:$O$332,13,0)</f>
        <v>0</v>
      </c>
      <c r="I136" s="237"/>
      <c r="J136" s="531"/>
      <c r="K136" s="392"/>
      <c r="L136" s="392"/>
      <c r="M136" s="430"/>
      <c r="N136" s="394"/>
      <c r="O136" s="393"/>
      <c r="P136" s="393"/>
      <c r="Q136" s="248"/>
    </row>
    <row r="137" spans="1:21" s="34" customFormat="1" ht="24.95" hidden="1" customHeight="1">
      <c r="A137" s="537"/>
      <c r="B137" s="392" t="str">
        <f>'8-1.설비자재산출(전력통신)'!C56</f>
        <v>광점퍼코드(B/O)</v>
      </c>
      <c r="C137" s="1238" t="str">
        <f>'8-1.설비자재산출(전력통신)'!D56</f>
        <v>ST(SC)-ST -MM-4C</v>
      </c>
      <c r="D137" s="430" t="str">
        <f>'8-1.설비자재산출(전력통신)'!I56</f>
        <v>m</v>
      </c>
      <c r="E137" s="394">
        <f>'8-1.설비자재산출(전력통신)'!N56</f>
        <v>0</v>
      </c>
      <c r="F137" s="1200">
        <f>VLOOKUP(C137,'8-6.자재단가비교표'!$C$7:$O$332,12,0)</f>
        <v>0</v>
      </c>
      <c r="G137" s="1200">
        <f t="shared" si="59"/>
        <v>0</v>
      </c>
      <c r="H137" s="248">
        <f>VLOOKUP(C137,'8-6.자재단가비교표'!$C$7:$O$332,13,0)</f>
        <v>0</v>
      </c>
      <c r="I137" s="237"/>
      <c r="J137" s="531"/>
      <c r="K137" s="392"/>
      <c r="L137" s="392"/>
      <c r="M137" s="430"/>
      <c r="N137" s="394"/>
      <c r="O137" s="393"/>
      <c r="P137" s="393"/>
      <c r="Q137" s="248"/>
    </row>
    <row r="138" spans="1:21" s="34" customFormat="1" ht="24.95" hidden="1" customHeight="1">
      <c r="A138" s="537"/>
      <c r="B138" s="392" t="str">
        <f>'8-1.설비자재산출(전력통신)'!C57</f>
        <v>광점퍼코드(B/O)</v>
      </c>
      <c r="C138" s="1238" t="str">
        <f>'8-1.설비자재산출(전력통신)'!D57</f>
        <v>ST-ST -MM-4C, 15m</v>
      </c>
      <c r="D138" s="430" t="str">
        <f>'8-1.설비자재산출(전력통신)'!I57</f>
        <v>개</v>
      </c>
      <c r="E138" s="394">
        <f>'8-1.설비자재산출(전력통신)'!N57</f>
        <v>0</v>
      </c>
      <c r="F138" s="1200">
        <f>VLOOKUP(C138,'8-6.자재단가비교표'!$C$7:$O$332,12,0)</f>
        <v>0</v>
      </c>
      <c r="G138" s="1200">
        <f t="shared" si="59"/>
        <v>0</v>
      </c>
      <c r="H138" s="248">
        <f>VLOOKUP(C138,'8-6.자재단가비교표'!$C$7:$O$332,13,0)</f>
        <v>0</v>
      </c>
      <c r="I138" s="237"/>
      <c r="J138" s="531"/>
      <c r="K138" s="392"/>
      <c r="L138" s="392"/>
      <c r="M138" s="430"/>
      <c r="N138" s="394"/>
      <c r="O138" s="393"/>
      <c r="P138" s="393"/>
      <c r="Q138" s="248"/>
    </row>
    <row r="139" spans="1:21" s="34" customFormat="1" ht="24.95" hidden="1" customHeight="1">
      <c r="A139" s="537"/>
      <c r="B139" s="392" t="str">
        <f>'8-1.설비자재산출(전력통신)'!C58</f>
        <v>광점퍼코드(B/O)</v>
      </c>
      <c r="C139" s="1238" t="str">
        <f>'8-1.설비자재산출(전력통신)'!D58</f>
        <v>ST-ST -MM-4C, 35m</v>
      </c>
      <c r="D139" s="430" t="str">
        <f>'8-1.설비자재산출(전력통신)'!I58</f>
        <v>개</v>
      </c>
      <c r="E139" s="394">
        <f>'8-1.설비자재산출(전력통신)'!N58</f>
        <v>0</v>
      </c>
      <c r="F139" s="1200">
        <f>VLOOKUP(C139,'8-6.자재단가비교표'!$C$7:$O$332,12,0)</f>
        <v>0</v>
      </c>
      <c r="G139" s="1200">
        <f t="shared" si="59"/>
        <v>0</v>
      </c>
      <c r="H139" s="248">
        <f>VLOOKUP(C139,'8-6.자재단가비교표'!$C$7:$O$332,13,0)</f>
        <v>0</v>
      </c>
      <c r="I139" s="237"/>
      <c r="J139" s="531"/>
      <c r="K139" s="392"/>
      <c r="L139" s="392"/>
      <c r="M139" s="430"/>
      <c r="N139" s="394"/>
      <c r="O139" s="393"/>
      <c r="P139" s="393"/>
      <c r="Q139" s="248"/>
    </row>
    <row r="140" spans="1:21" s="34" customFormat="1" ht="24.95" hidden="1" customHeight="1">
      <c r="A140" s="537"/>
      <c r="B140" s="392" t="str">
        <f>'8-1.설비자재산출(전력통신)'!C59</f>
        <v>광점퍼코드(B/O)</v>
      </c>
      <c r="C140" s="1238" t="str">
        <f>'8-1.설비자재산출(전력통신)'!D59</f>
        <v>ST-ST -MM-4C, 40m</v>
      </c>
      <c r="D140" s="430" t="str">
        <f>'8-1.설비자재산출(전력통신)'!I59</f>
        <v>개</v>
      </c>
      <c r="E140" s="394">
        <f>'8-1.설비자재산출(전력통신)'!N59</f>
        <v>0</v>
      </c>
      <c r="F140" s="1200">
        <f>VLOOKUP(C140,'8-6.자재단가비교표'!$C$7:$O$332,12,0)</f>
        <v>0</v>
      </c>
      <c r="G140" s="1200">
        <f t="shared" si="59"/>
        <v>0</v>
      </c>
      <c r="H140" s="248">
        <f>VLOOKUP(C140,'8-6.자재단가비교표'!$C$7:$O$332,13,0)</f>
        <v>0</v>
      </c>
      <c r="I140" s="237"/>
      <c r="J140" s="531"/>
      <c r="K140" s="392"/>
      <c r="L140" s="392"/>
      <c r="M140" s="430"/>
      <c r="N140" s="394"/>
      <c r="O140" s="393"/>
      <c r="P140" s="393"/>
      <c r="Q140" s="248"/>
    </row>
    <row r="141" spans="1:21" s="34" customFormat="1" ht="24.95" hidden="1" customHeight="1">
      <c r="A141" s="537"/>
      <c r="B141" s="392" t="str">
        <f>'8-1.설비자재산출(전력통신)'!C60</f>
        <v>광점퍼코드(B/O)</v>
      </c>
      <c r="C141" s="1238" t="str">
        <f>'8-1.설비자재산출(전력통신)'!D60</f>
        <v>ST-ST -MM-4C, 50m</v>
      </c>
      <c r="D141" s="430" t="str">
        <f>'8-1.설비자재산출(전력통신)'!I60</f>
        <v>개</v>
      </c>
      <c r="E141" s="394">
        <f>'8-1.설비자재산출(전력통신)'!N60</f>
        <v>0</v>
      </c>
      <c r="F141" s="1200">
        <f>VLOOKUP(C141,'8-6.자재단가비교표'!$C$7:$O$332,12,0)</f>
        <v>0</v>
      </c>
      <c r="G141" s="1200">
        <f t="shared" si="59"/>
        <v>0</v>
      </c>
      <c r="H141" s="248">
        <f>VLOOKUP(C141,'8-6.자재단가비교표'!$C$7:$O$332,13,0)</f>
        <v>0</v>
      </c>
      <c r="I141" s="237"/>
      <c r="J141" s="531"/>
      <c r="K141" s="392"/>
      <c r="L141" s="392"/>
      <c r="M141" s="430"/>
      <c r="N141" s="394"/>
      <c r="O141" s="393"/>
      <c r="P141" s="393"/>
      <c r="Q141" s="248"/>
    </row>
    <row r="142" spans="1:21" s="34" customFormat="1" ht="24.95" hidden="1" customHeight="1">
      <c r="A142" s="537"/>
      <c r="B142" s="392" t="str">
        <f>'8-1.설비자재산출(전력통신)'!C61</f>
        <v>광점퍼코드(B/O)</v>
      </c>
      <c r="C142" s="1238" t="str">
        <f>'8-1.설비자재산출(전력통신)'!D61</f>
        <v>ST-ST -MM-4C, 55m</v>
      </c>
      <c r="D142" s="430" t="str">
        <f>'8-1.설비자재산출(전력통신)'!I61</f>
        <v>개</v>
      </c>
      <c r="E142" s="394">
        <f>'8-1.설비자재산출(전력통신)'!N61</f>
        <v>0</v>
      </c>
      <c r="F142" s="1200">
        <f>VLOOKUP(C142,'8-6.자재단가비교표'!$C$7:$O$332,12,0)</f>
        <v>0</v>
      </c>
      <c r="G142" s="1200">
        <f t="shared" si="59"/>
        <v>0</v>
      </c>
      <c r="H142" s="248">
        <f>VLOOKUP(C142,'8-6.자재단가비교표'!$C$7:$O$332,13,0)</f>
        <v>0</v>
      </c>
      <c r="I142" s="237"/>
      <c r="J142" s="531"/>
      <c r="K142" s="392"/>
      <c r="L142" s="392"/>
      <c r="M142" s="430"/>
      <c r="N142" s="394"/>
      <c r="O142" s="393"/>
      <c r="P142" s="393"/>
      <c r="Q142" s="248"/>
    </row>
    <row r="143" spans="1:21" s="34" customFormat="1" ht="24.95" hidden="1" customHeight="1">
      <c r="A143" s="537"/>
      <c r="B143" s="392" t="str">
        <f>'8-1.설비자재산출(전력통신)'!C62</f>
        <v>광점퍼코드(B/O)</v>
      </c>
      <c r="C143" s="1238" t="str">
        <f>'8-1.설비자재산출(전력통신)'!D62</f>
        <v>ST-ST -MM-4C, 60m</v>
      </c>
      <c r="D143" s="430" t="str">
        <f>'8-1.설비자재산출(전력통신)'!I62</f>
        <v>개</v>
      </c>
      <c r="E143" s="394">
        <f>'8-1.설비자재산출(전력통신)'!N62</f>
        <v>0</v>
      </c>
      <c r="F143" s="1200">
        <f>VLOOKUP(C143,'8-6.자재단가비교표'!$C$7:$O$332,12,0)</f>
        <v>0</v>
      </c>
      <c r="G143" s="1200">
        <f t="shared" si="59"/>
        <v>0</v>
      </c>
      <c r="H143" s="248">
        <f>VLOOKUP(C143,'8-6.자재단가비교표'!$C$7:$O$332,13,0)</f>
        <v>0</v>
      </c>
      <c r="I143" s="237"/>
      <c r="J143" s="531"/>
      <c r="K143" s="392"/>
      <c r="L143" s="392"/>
      <c r="M143" s="430"/>
      <c r="N143" s="394"/>
      <c r="O143" s="393"/>
      <c r="P143" s="393"/>
      <c r="Q143" s="248"/>
    </row>
    <row r="144" spans="1:21" s="34" customFormat="1" ht="24.95" hidden="1" customHeight="1">
      <c r="A144" s="537"/>
      <c r="B144" s="392" t="str">
        <f>'8-1.설비자재산출(전력통신)'!C63</f>
        <v>광점퍼코드(B/O)</v>
      </c>
      <c r="C144" s="1238" t="str">
        <f>'8-1.설비자재산출(전력통신)'!D63</f>
        <v>ST-ST -MM-4C, 65m</v>
      </c>
      <c r="D144" s="430" t="str">
        <f>'8-1.설비자재산출(전력통신)'!I63</f>
        <v>개</v>
      </c>
      <c r="E144" s="394">
        <f>'8-1.설비자재산출(전력통신)'!N63</f>
        <v>0</v>
      </c>
      <c r="F144" s="1200">
        <f>VLOOKUP(C144,'8-6.자재단가비교표'!$C$7:$O$332,12,0)</f>
        <v>0</v>
      </c>
      <c r="G144" s="1200">
        <f t="shared" ref="G144:G162" si="60">INT(E144*F144)</f>
        <v>0</v>
      </c>
      <c r="H144" s="248">
        <f>VLOOKUP(C144,'8-6.자재단가비교표'!$C$7:$O$332,13,0)</f>
        <v>0</v>
      </c>
      <c r="I144" s="237"/>
      <c r="J144" s="531"/>
      <c r="K144" s="392"/>
      <c r="L144" s="392"/>
      <c r="M144" s="430"/>
      <c r="N144" s="394"/>
      <c r="O144" s="393"/>
      <c r="P144" s="393"/>
      <c r="Q144" s="248"/>
    </row>
    <row r="145" spans="1:17" s="34" customFormat="1" ht="24.95" hidden="1" customHeight="1">
      <c r="A145" s="537"/>
      <c r="B145" s="392" t="str">
        <f>'8-1.설비자재산출(전력통신)'!C64</f>
        <v>광점퍼코드(B/O)</v>
      </c>
      <c r="C145" s="1238" t="str">
        <f>'8-1.설비자재산출(전력통신)'!D64</f>
        <v>ST-ST -MM-4C, 70m</v>
      </c>
      <c r="D145" s="430" t="str">
        <f>'8-1.설비자재산출(전력통신)'!I64</f>
        <v>개</v>
      </c>
      <c r="E145" s="394">
        <f>'8-1.설비자재산출(전력통신)'!N64</f>
        <v>0</v>
      </c>
      <c r="F145" s="1200">
        <f>VLOOKUP(C145,'8-6.자재단가비교표'!$C$7:$O$332,12,0)</f>
        <v>0</v>
      </c>
      <c r="G145" s="1200">
        <f t="shared" si="60"/>
        <v>0</v>
      </c>
      <c r="H145" s="248">
        <f>VLOOKUP(C145,'8-6.자재단가비교표'!$C$7:$O$332,13,0)</f>
        <v>0</v>
      </c>
      <c r="I145" s="237"/>
      <c r="J145" s="531"/>
      <c r="K145" s="392"/>
      <c r="L145" s="392"/>
      <c r="M145" s="430"/>
      <c r="N145" s="394"/>
      <c r="O145" s="393"/>
      <c r="P145" s="393"/>
      <c r="Q145" s="248"/>
    </row>
    <row r="146" spans="1:17" s="34" customFormat="1" ht="24.95" hidden="1" customHeight="1">
      <c r="A146" s="537"/>
      <c r="B146" s="392" t="str">
        <f>'8-1.설비자재산출(전력통신)'!C65</f>
        <v>광점퍼코드(B/O)</v>
      </c>
      <c r="C146" s="1238" t="str">
        <f>'8-1.설비자재산출(전력통신)'!D65</f>
        <v>ST-ST -MM-4C, 75m</v>
      </c>
      <c r="D146" s="430" t="str">
        <f>'8-1.설비자재산출(전력통신)'!I65</f>
        <v>개</v>
      </c>
      <c r="E146" s="394">
        <f>'8-1.설비자재산출(전력통신)'!N65</f>
        <v>0</v>
      </c>
      <c r="F146" s="1200">
        <f>VLOOKUP(C146,'8-6.자재단가비교표'!$C$7:$O$332,12,0)</f>
        <v>0</v>
      </c>
      <c r="G146" s="1200">
        <f t="shared" si="60"/>
        <v>0</v>
      </c>
      <c r="H146" s="248">
        <f>VLOOKUP(C146,'8-6.자재단가비교표'!$C$7:$O$332,13,0)</f>
        <v>0</v>
      </c>
      <c r="I146" s="237"/>
      <c r="J146" s="531"/>
      <c r="K146" s="392"/>
      <c r="L146" s="392"/>
      <c r="M146" s="430"/>
      <c r="N146" s="394"/>
      <c r="O146" s="393"/>
      <c r="P146" s="393"/>
      <c r="Q146" s="248"/>
    </row>
    <row r="147" spans="1:17" s="34" customFormat="1" ht="24.95" hidden="1" customHeight="1">
      <c r="A147" s="537"/>
      <c r="B147" s="392" t="str">
        <f>'8-1.설비자재산출(전력통신)'!C66</f>
        <v>광점퍼코드(B/O)</v>
      </c>
      <c r="C147" s="1238" t="str">
        <f>'8-1.설비자재산출(전력통신)'!D66</f>
        <v>ST-ST -MM-4C, 80m</v>
      </c>
      <c r="D147" s="430" t="str">
        <f>'8-1.설비자재산출(전력통신)'!I66</f>
        <v>개</v>
      </c>
      <c r="E147" s="394">
        <f>'8-1.설비자재산출(전력통신)'!N66</f>
        <v>0</v>
      </c>
      <c r="F147" s="1200">
        <f>VLOOKUP(C147,'8-6.자재단가비교표'!$C$7:$O$332,12,0)</f>
        <v>0</v>
      </c>
      <c r="G147" s="1200">
        <f t="shared" si="60"/>
        <v>0</v>
      </c>
      <c r="H147" s="248">
        <f>VLOOKUP(C147,'8-6.자재단가비교표'!$C$7:$O$332,13,0)</f>
        <v>0</v>
      </c>
      <c r="I147" s="237"/>
      <c r="J147" s="531"/>
      <c r="K147" s="392"/>
      <c r="L147" s="392"/>
      <c r="M147" s="430"/>
      <c r="N147" s="394"/>
      <c r="O147" s="393"/>
      <c r="P147" s="393"/>
      <c r="Q147" s="248"/>
    </row>
    <row r="148" spans="1:17" s="34" customFormat="1" ht="24.95" hidden="1" customHeight="1">
      <c r="A148" s="537"/>
      <c r="B148" s="392" t="str">
        <f>'8-1.설비자재산출(전력통신)'!C67</f>
        <v>광점퍼코드(B/O)</v>
      </c>
      <c r="C148" s="1238" t="str">
        <f>'8-1.설비자재산출(전력통신)'!D67</f>
        <v>ST-ST -MM-4C, 85m</v>
      </c>
      <c r="D148" s="430" t="str">
        <f>'8-1.설비자재산출(전력통신)'!I67</f>
        <v>개</v>
      </c>
      <c r="E148" s="394">
        <f>'8-1.설비자재산출(전력통신)'!N67</f>
        <v>0</v>
      </c>
      <c r="F148" s="1200">
        <f>VLOOKUP(C148,'8-6.자재단가비교표'!$C$7:$O$332,12,0)</f>
        <v>0</v>
      </c>
      <c r="G148" s="1200">
        <f t="shared" si="60"/>
        <v>0</v>
      </c>
      <c r="H148" s="248">
        <f>VLOOKUP(C148,'8-6.자재단가비교표'!$C$7:$O$332,13,0)</f>
        <v>0</v>
      </c>
      <c r="I148" s="237"/>
      <c r="J148" s="531"/>
      <c r="K148" s="392"/>
      <c r="L148" s="392"/>
      <c r="M148" s="430"/>
      <c r="N148" s="394"/>
      <c r="O148" s="393"/>
      <c r="P148" s="393"/>
      <c r="Q148" s="248"/>
    </row>
    <row r="149" spans="1:17" s="34" customFormat="1" ht="24.95" hidden="1" customHeight="1">
      <c r="A149" s="537"/>
      <c r="B149" s="392" t="str">
        <f>'8-1.설비자재산출(전력통신)'!C68</f>
        <v>광점퍼코드(B/O)</v>
      </c>
      <c r="C149" s="1238" t="str">
        <f>'8-1.설비자재산출(전력통신)'!D68</f>
        <v>ST-ST -MM-4C, 90m</v>
      </c>
      <c r="D149" s="430" t="str">
        <f>'8-1.설비자재산출(전력통신)'!I68</f>
        <v>개</v>
      </c>
      <c r="E149" s="394">
        <f>'8-1.설비자재산출(전력통신)'!N68</f>
        <v>0</v>
      </c>
      <c r="F149" s="1200">
        <f>VLOOKUP(C149,'8-6.자재단가비교표'!$C$7:$O$332,12,0)</f>
        <v>0</v>
      </c>
      <c r="G149" s="1200">
        <f t="shared" si="60"/>
        <v>0</v>
      </c>
      <c r="H149" s="248">
        <f>VLOOKUP(C149,'8-6.자재단가비교표'!$C$7:$O$332,13,0)</f>
        <v>0</v>
      </c>
      <c r="I149" s="237"/>
      <c r="J149" s="531"/>
      <c r="K149" s="392"/>
      <c r="L149" s="392"/>
      <c r="M149" s="430"/>
      <c r="N149" s="394"/>
      <c r="O149" s="393"/>
      <c r="P149" s="393"/>
      <c r="Q149" s="248"/>
    </row>
    <row r="150" spans="1:17" s="34" customFormat="1" ht="24.95" hidden="1" customHeight="1">
      <c r="A150" s="537"/>
      <c r="B150" s="392" t="str">
        <f>'8-1.설비자재산출(전력통신)'!C69</f>
        <v>광점퍼코드(B/O)</v>
      </c>
      <c r="C150" s="1238" t="str">
        <f>'8-1.설비자재산출(전력통신)'!D69</f>
        <v>ST-ST -MM-4C, 95m</v>
      </c>
      <c r="D150" s="430" t="str">
        <f>'8-1.설비자재산출(전력통신)'!I69</f>
        <v>개</v>
      </c>
      <c r="E150" s="394">
        <f>'8-1.설비자재산출(전력통신)'!N69</f>
        <v>0</v>
      </c>
      <c r="F150" s="1200">
        <f>VLOOKUP(C150,'8-6.자재단가비교표'!$C$7:$O$332,12,0)</f>
        <v>0</v>
      </c>
      <c r="G150" s="1200">
        <f t="shared" si="60"/>
        <v>0</v>
      </c>
      <c r="H150" s="248">
        <f>VLOOKUP(C150,'8-6.자재단가비교표'!$C$7:$O$332,13,0)</f>
        <v>0</v>
      </c>
      <c r="I150" s="237"/>
      <c r="J150" s="531"/>
      <c r="K150" s="392"/>
      <c r="L150" s="392"/>
      <c r="M150" s="430"/>
      <c r="N150" s="394"/>
      <c r="O150" s="393"/>
      <c r="P150" s="393"/>
      <c r="Q150" s="248"/>
    </row>
    <row r="151" spans="1:17" s="34" customFormat="1" ht="24.95" hidden="1" customHeight="1">
      <c r="A151" s="537"/>
      <c r="B151" s="392" t="str">
        <f>'8-1.설비자재산출(전력통신)'!C70</f>
        <v>후렉시블전선관</v>
      </c>
      <c r="C151" s="1238" t="str">
        <f>'8-1.설비자재산출(전력통신)'!D70</f>
        <v>22㎜, 일반방수(GW-22)</v>
      </c>
      <c r="D151" s="430" t="str">
        <f>'8-1.설비자재산출(전력통신)'!I70</f>
        <v>m</v>
      </c>
      <c r="E151" s="394">
        <f>'8-1.설비자재산출(전력통신)'!N70</f>
        <v>0</v>
      </c>
      <c r="F151" s="1200">
        <f>VLOOKUP(C151,'8-6.자재단가비교표'!$C$7:$O$332,12,0)</f>
        <v>820.43444999999997</v>
      </c>
      <c r="G151" s="1200">
        <f t="shared" si="60"/>
        <v>0</v>
      </c>
      <c r="H151" s="248" t="str">
        <f>VLOOKUP(C151,'8-6.자재단가비교표'!$C$7:$O$332,13,0)</f>
        <v>물가자료</v>
      </c>
      <c r="I151" s="237"/>
      <c r="J151" s="531"/>
      <c r="K151" s="392"/>
      <c r="L151" s="392"/>
      <c r="M151" s="430"/>
      <c r="N151" s="394"/>
      <c r="O151" s="393"/>
      <c r="P151" s="393"/>
      <c r="Q151" s="248"/>
    </row>
    <row r="152" spans="1:17" s="34" customFormat="1" ht="24.95" hidden="1" customHeight="1">
      <c r="A152" s="537"/>
      <c r="B152" s="392" t="str">
        <f>'8-1.설비자재산출(전력통신)'!C71</f>
        <v>PCM케이블</v>
      </c>
      <c r="C152" s="1238" t="str">
        <f>'8-1.설비자재산출(전력통신)'!D71</f>
        <v>0.65/1P</v>
      </c>
      <c r="D152" s="430" t="str">
        <f>'8-1.설비자재산출(전력통신)'!I71</f>
        <v>m</v>
      </c>
      <c r="E152" s="394">
        <f>'8-1.설비자재산출(전력통신)'!N71</f>
        <v>0</v>
      </c>
      <c r="F152" s="1200">
        <f>VLOOKUP(C152,'8-6.자재단가비교표'!$C$7:$O$332,12,0)</f>
        <v>0</v>
      </c>
      <c r="G152" s="1200">
        <f t="shared" si="60"/>
        <v>0</v>
      </c>
      <c r="H152" s="248">
        <f>VLOOKUP(C152,'8-6.자재단가비교표'!$C$7:$O$332,13,0)</f>
        <v>0</v>
      </c>
      <c r="I152" s="237"/>
      <c r="J152" s="531"/>
      <c r="K152" s="392"/>
      <c r="L152" s="392"/>
      <c r="M152" s="430"/>
      <c r="N152" s="394"/>
      <c r="O152" s="393"/>
      <c r="P152" s="393"/>
      <c r="Q152" s="248"/>
    </row>
    <row r="153" spans="1:17" s="34" customFormat="1" ht="24.95" hidden="1" customHeight="1">
      <c r="A153" s="537"/>
      <c r="B153" s="392" t="str">
        <f>'8-1.설비자재산출(전력통신)'!C72</f>
        <v>동축케이블</v>
      </c>
      <c r="C153" s="1238" t="str">
        <f>'8-1.설비자재산출(전력통신)'!D72</f>
        <v>RG58</v>
      </c>
      <c r="D153" s="430" t="str">
        <f>'8-1.설비자재산출(전력통신)'!I72</f>
        <v>m</v>
      </c>
      <c r="E153" s="394">
        <f>'8-1.설비자재산출(전력통신)'!N72</f>
        <v>0</v>
      </c>
      <c r="F153" s="1200">
        <f>VLOOKUP(C153,'8-6.자재단가비교표'!$C$7:$O$332,12,0)</f>
        <v>0</v>
      </c>
      <c r="G153" s="1200">
        <f t="shared" si="60"/>
        <v>0</v>
      </c>
      <c r="H153" s="248">
        <f>VLOOKUP(C153,'8-6.자재단가비교표'!$C$7:$O$332,13,0)</f>
        <v>0</v>
      </c>
      <c r="I153" s="237"/>
      <c r="J153" s="531"/>
      <c r="K153" s="392"/>
      <c r="L153" s="392"/>
      <c r="M153" s="430"/>
      <c r="N153" s="394"/>
      <c r="O153" s="393"/>
      <c r="P153" s="393"/>
      <c r="Q153" s="248"/>
    </row>
    <row r="154" spans="1:17" s="34" customFormat="1" ht="24.95" hidden="1" customHeight="1">
      <c r="A154" s="537"/>
      <c r="B154" s="392" t="str">
        <f>'8-1.설비자재산출(전력통신)'!C73</f>
        <v>후렉시블전선관</v>
      </c>
      <c r="C154" s="1238" t="str">
        <f>'8-1.설비자재산출(전력통신)'!D73</f>
        <v>16㎜, 일반방수(GW-16)</v>
      </c>
      <c r="D154" s="430" t="str">
        <f>'8-1.설비자재산출(전력통신)'!I73</f>
        <v>m</v>
      </c>
      <c r="E154" s="394">
        <f>'8-1.설비자재산출(전력통신)'!N73</f>
        <v>0</v>
      </c>
      <c r="F154" s="1200">
        <f>VLOOKUP(C154,'8-6.자재단가비교표'!$C$7:$O$332,12,0)</f>
        <v>1983.0821999999998</v>
      </c>
      <c r="G154" s="1200">
        <f t="shared" si="60"/>
        <v>0</v>
      </c>
      <c r="H154" s="248">
        <f>VLOOKUP(C154,'8-6.자재단가비교표'!$C$7:$O$332,13,0)</f>
        <v>0</v>
      </c>
      <c r="I154" s="237"/>
      <c r="J154" s="531"/>
      <c r="K154" s="392"/>
      <c r="L154" s="392"/>
      <c r="M154" s="430"/>
      <c r="N154" s="394"/>
      <c r="O154" s="393"/>
      <c r="P154" s="393"/>
      <c r="Q154" s="248"/>
    </row>
    <row r="155" spans="1:17" s="34" customFormat="1" ht="24.95" hidden="1" customHeight="1">
      <c r="A155" s="537"/>
      <c r="B155" s="392" t="str">
        <f>'8-1.설비자재산출(전력통신)'!C74</f>
        <v>UTP케이블</v>
      </c>
      <c r="C155" s="1238" t="str">
        <f>'8-1.설비자재산출(전력통신)'!D74</f>
        <v>CAT.5E 4P</v>
      </c>
      <c r="D155" s="430" t="str">
        <f>'8-1.설비자재산출(전력통신)'!I74</f>
        <v>m</v>
      </c>
      <c r="E155" s="394">
        <f>'8-1.설비자재산출(전력통신)'!N74</f>
        <v>0</v>
      </c>
      <c r="F155" s="1200">
        <f>VLOOKUP(C155,'8-6.자재단가비교표'!$C$7:$O$332,12,0)</f>
        <v>693.20129999999995</v>
      </c>
      <c r="G155" s="1200">
        <f t="shared" si="60"/>
        <v>0</v>
      </c>
      <c r="H155" s="248" t="str">
        <f>VLOOKUP(C155,'8-6.자재단가비교표'!$C$7:$O$332,13,0)</f>
        <v>물가자료</v>
      </c>
      <c r="I155" s="237"/>
      <c r="J155" s="531"/>
      <c r="K155" s="392"/>
      <c r="L155" s="392"/>
      <c r="M155" s="430"/>
      <c r="N155" s="394"/>
      <c r="O155" s="393"/>
      <c r="P155" s="393"/>
      <c r="Q155" s="248"/>
    </row>
    <row r="156" spans="1:17" s="34" customFormat="1" ht="24.95" hidden="1" customHeight="1">
      <c r="A156" s="537"/>
      <c r="B156" s="392" t="str">
        <f>'8-1.설비자재산출(전력통신)'!C75</f>
        <v>UTP케이블</v>
      </c>
      <c r="C156" s="1238" t="str">
        <f>'8-1.설비자재산출(전력통신)'!D75</f>
        <v>CAT.5E 4P</v>
      </c>
      <c r="D156" s="430" t="str">
        <f>'8-1.설비자재산출(전력통신)'!I75</f>
        <v>m</v>
      </c>
      <c r="E156" s="394">
        <f>'8-1.설비자재산출(전력통신)'!N75</f>
        <v>0</v>
      </c>
      <c r="F156" s="1200">
        <f>VLOOKUP(C156,'8-6.자재단가비교표'!$C$7:$O$332,12,0)</f>
        <v>693.20129999999995</v>
      </c>
      <c r="G156" s="1200">
        <f t="shared" si="60"/>
        <v>0</v>
      </c>
      <c r="H156" s="248" t="str">
        <f>VLOOKUP(C156,'8-6.자재단가비교표'!$C$7:$O$332,13,0)</f>
        <v>물가자료</v>
      </c>
      <c r="I156" s="237"/>
      <c r="J156" s="531"/>
      <c r="K156" s="392"/>
      <c r="L156" s="392"/>
      <c r="M156" s="430"/>
      <c r="N156" s="394"/>
      <c r="O156" s="393"/>
      <c r="P156" s="393"/>
      <c r="Q156" s="248"/>
    </row>
    <row r="157" spans="1:17" s="34" customFormat="1" ht="24.95" hidden="1" customHeight="1">
      <c r="A157" s="537"/>
      <c r="B157" s="392" t="str">
        <f>'8-1.설비자재산출(전력통신)'!C76</f>
        <v>후렉시블전선관</v>
      </c>
      <c r="C157" s="1238" t="str">
        <f>'8-1.설비자재산출(전력통신)'!D76</f>
        <v>16㎜, 일반방수(GW-16)</v>
      </c>
      <c r="D157" s="430" t="str">
        <f>'8-1.설비자재산출(전력통신)'!I76</f>
        <v>m</v>
      </c>
      <c r="E157" s="394">
        <f>'8-1.설비자재산출(전력통신)'!N76</f>
        <v>0</v>
      </c>
      <c r="F157" s="1200">
        <f>VLOOKUP(C157,'8-6.자재단가비교표'!$C$7:$O$332,12,0)</f>
        <v>1983.0821999999998</v>
      </c>
      <c r="G157" s="1200">
        <f t="shared" si="60"/>
        <v>0</v>
      </c>
      <c r="H157" s="248">
        <f>VLOOKUP(C157,'8-6.자재단가비교표'!$C$7:$O$332,13,0)</f>
        <v>0</v>
      </c>
      <c r="I157" s="237"/>
      <c r="J157" s="531"/>
      <c r="K157" s="392"/>
      <c r="L157" s="392"/>
      <c r="M157" s="430"/>
      <c r="N157" s="394"/>
      <c r="O157" s="393"/>
      <c r="P157" s="393"/>
      <c r="Q157" s="248"/>
    </row>
    <row r="158" spans="1:17" s="34" customFormat="1" ht="24.95" hidden="1" customHeight="1">
      <c r="A158" s="537"/>
      <c r="B158" s="392" t="str">
        <f>'8-1.설비자재산출(전력통신)'!C77</f>
        <v>OFD셀프</v>
      </c>
      <c r="C158" s="1238" t="str">
        <f>'8-1.설비자재산출(전력통신)'!D77</f>
        <v>96C</v>
      </c>
      <c r="D158" s="430" t="str">
        <f>'8-1.설비자재산출(전력통신)'!I77</f>
        <v>개</v>
      </c>
      <c r="E158" s="394">
        <f>'8-1.설비자재산출(전력통신)'!N77</f>
        <v>0</v>
      </c>
      <c r="F158" s="1200">
        <f>VLOOKUP(C158,'8-6.자재단가비교표'!$C$7:$O$332,12,0)</f>
        <v>0</v>
      </c>
      <c r="G158" s="1200">
        <f t="shared" si="60"/>
        <v>0</v>
      </c>
      <c r="H158" s="248">
        <f>VLOOKUP(C158,'8-6.자재단가비교표'!$C$7:$O$332,13,0)</f>
        <v>0</v>
      </c>
      <c r="I158" s="237"/>
      <c r="J158" s="531"/>
      <c r="K158" s="392"/>
      <c r="L158" s="392"/>
      <c r="M158" s="430"/>
      <c r="N158" s="394"/>
      <c r="O158" s="393"/>
      <c r="P158" s="393"/>
      <c r="Q158" s="248"/>
    </row>
    <row r="159" spans="1:17" s="34" customFormat="1" ht="24.95" hidden="1" customHeight="1">
      <c r="A159" s="537"/>
      <c r="B159" s="392" t="str">
        <f>'8-1.설비자재산출(전력통신)'!C78</f>
        <v>광점퍼코드(성단)</v>
      </c>
      <c r="C159" s="1238" t="str">
        <f>'8-1.설비자재산출(전력통신)'!D78</f>
        <v>OJC-SM-3</v>
      </c>
      <c r="D159" s="430" t="str">
        <f>'8-1.설비자재산출(전력통신)'!I78</f>
        <v>개</v>
      </c>
      <c r="E159" s="394">
        <f>'8-1.설비자재산출(전력통신)'!N78</f>
        <v>0</v>
      </c>
      <c r="F159" s="1200">
        <f>VLOOKUP(C159,'8-6.자재단가비교표'!$C$7:$O$332,12,0)</f>
        <v>0</v>
      </c>
      <c r="G159" s="1200">
        <f t="shared" si="60"/>
        <v>0</v>
      </c>
      <c r="H159" s="248">
        <f>VLOOKUP(C159,'8-6.자재단가비교표'!$C$7:$O$332,13,0)</f>
        <v>0</v>
      </c>
      <c r="I159" s="237"/>
      <c r="J159" s="531"/>
      <c r="K159" s="392"/>
      <c r="L159" s="392"/>
      <c r="M159" s="430"/>
      <c r="N159" s="394"/>
      <c r="O159" s="393"/>
      <c r="P159" s="393"/>
      <c r="Q159" s="248"/>
    </row>
    <row r="160" spans="1:17" s="34" customFormat="1" ht="24.95" hidden="1" customHeight="1">
      <c r="A160" s="537"/>
      <c r="B160" s="392" t="str">
        <f>'8-1.설비자재산출(전력통신)'!C79</f>
        <v>광아답타</v>
      </c>
      <c r="C160" s="1238" t="str">
        <f>'8-1.설비자재산출(전력통신)'!D79</f>
        <v>OFA-SC/APC</v>
      </c>
      <c r="D160" s="430" t="str">
        <f>'8-1.설비자재산출(전력통신)'!I79</f>
        <v>개</v>
      </c>
      <c r="E160" s="394">
        <f>'8-1.설비자재산출(전력통신)'!N79</f>
        <v>0</v>
      </c>
      <c r="F160" s="1200">
        <f>VLOOKUP(C160,'8-6.자재단가비교표'!$C$7:$O$332,12,0)</f>
        <v>0</v>
      </c>
      <c r="G160" s="1200">
        <f t="shared" si="60"/>
        <v>0</v>
      </c>
      <c r="H160" s="248">
        <f>VLOOKUP(C160,'8-6.자재단가비교표'!$C$7:$O$332,13,0)</f>
        <v>0</v>
      </c>
      <c r="I160" s="237"/>
      <c r="J160" s="531"/>
      <c r="K160" s="392"/>
      <c r="L160" s="392"/>
      <c r="M160" s="430"/>
      <c r="N160" s="394"/>
      <c r="O160" s="393"/>
      <c r="P160" s="393"/>
      <c r="Q160" s="248"/>
    </row>
    <row r="161" spans="1:21" s="34" customFormat="1" ht="24.95" hidden="1" customHeight="1">
      <c r="A161" s="537"/>
      <c r="B161" s="392" t="str">
        <f>'8-1.설비자재산출(전력통신)'!C80</f>
        <v>케이블명찰</v>
      </c>
      <c r="C161" s="1238" t="str">
        <f>'8-1.설비자재산출(전력통신)'!D80</f>
        <v>120*70(포맥스)</v>
      </c>
      <c r="D161" s="430" t="str">
        <f>'8-1.설비자재산출(전력통신)'!I80</f>
        <v>개</v>
      </c>
      <c r="E161" s="394">
        <f>'8-1.설비자재산출(전력통신)'!N80</f>
        <v>0</v>
      </c>
      <c r="F161" s="1200">
        <f>VLOOKUP(C161,'8-6.자재단가비교표'!$C$7:$O$332,12,0)</f>
        <v>0</v>
      </c>
      <c r="G161" s="1200">
        <f t="shared" si="60"/>
        <v>0</v>
      </c>
      <c r="H161" s="248">
        <f>VLOOKUP(C161,'8-6.자재단가비교표'!$C$7:$O$332,13,0)</f>
        <v>0</v>
      </c>
      <c r="I161" s="237"/>
      <c r="J161" s="537">
        <f t="shared" si="40"/>
        <v>0</v>
      </c>
      <c r="K161" s="459" t="str">
        <f t="shared" ref="K161:K162" si="61">$B161</f>
        <v>케이블명찰</v>
      </c>
      <c r="L161" s="459" t="str">
        <f t="shared" ref="L161:L162" si="62">$C161</f>
        <v>120*70(포맥스)</v>
      </c>
      <c r="M161" s="430" t="str">
        <f t="shared" ref="M161:M162" si="63">$D161</f>
        <v>개</v>
      </c>
      <c r="N161" s="394" t="e">
        <f>#REF!+#REF!</f>
        <v>#REF!</v>
      </c>
      <c r="O161" s="393">
        <f>VLOOKUP(L161,'8-6.자재단가비교표'!$C$8:$O$332,12,0)</f>
        <v>0</v>
      </c>
      <c r="P161" s="471" t="e">
        <f>INT(N161*O161)</f>
        <v>#REF!</v>
      </c>
      <c r="Q161" s="248">
        <f>VLOOKUP(L161,'8-6.자재단가비교표'!$C$8:$O$328,13,0)</f>
        <v>0</v>
      </c>
      <c r="R161" s="34" t="e">
        <f t="shared" si="41"/>
        <v>#REF!</v>
      </c>
      <c r="S161" s="34" t="e">
        <f t="shared" si="42"/>
        <v>#REF!</v>
      </c>
      <c r="T161" s="34" t="e">
        <f>#REF!+#REF!</f>
        <v>#REF!</v>
      </c>
      <c r="U161" s="34" t="e">
        <f t="shared" ref="U161:U318" si="64">P161-T161</f>
        <v>#REF!</v>
      </c>
    </row>
    <row r="162" spans="1:21" s="34" customFormat="1" ht="24.95" hidden="1" customHeight="1">
      <c r="A162" s="537"/>
      <c r="B162" s="392" t="str">
        <f>'8-1.설비자재산출(전력통신)'!C81</f>
        <v>이동형콘솔</v>
      </c>
      <c r="C162" s="1238" t="str">
        <f>'8-1.설비자재산출(전력통신)'!D81</f>
        <v>H970*360*550</v>
      </c>
      <c r="D162" s="430" t="str">
        <f>'8-1.설비자재산출(전력통신)'!I81</f>
        <v>EA</v>
      </c>
      <c r="E162" s="394">
        <f>'8-1.설비자재산출(전력통신)'!N81</f>
        <v>0</v>
      </c>
      <c r="F162" s="1200">
        <f>VLOOKUP(C162,'8-6.자재단가비교표'!$C$7:$O$332,12,0)</f>
        <v>0</v>
      </c>
      <c r="G162" s="1200">
        <f t="shared" si="60"/>
        <v>0</v>
      </c>
      <c r="H162" s="248">
        <f>VLOOKUP(C162,'8-6.자재단가비교표'!$C$7:$O$332,13,0)</f>
        <v>0</v>
      </c>
      <c r="I162" s="237"/>
      <c r="J162" s="537">
        <f t="shared" si="40"/>
        <v>0</v>
      </c>
      <c r="K162" s="459" t="str">
        <f t="shared" si="61"/>
        <v>이동형콘솔</v>
      </c>
      <c r="L162" s="459" t="str">
        <f t="shared" si="62"/>
        <v>H970*360*550</v>
      </c>
      <c r="M162" s="430" t="str">
        <f t="shared" si="63"/>
        <v>EA</v>
      </c>
      <c r="N162" s="394" t="e">
        <f>#REF!+#REF!</f>
        <v>#REF!</v>
      </c>
      <c r="O162" s="393" t="e">
        <f>SUM(P117:P123)</f>
        <v>#REF!</v>
      </c>
      <c r="P162" s="471" t="e">
        <f>INT(O162*2%)</f>
        <v>#REF!</v>
      </c>
      <c r="Q162" s="245"/>
      <c r="R162" s="34" t="e">
        <f t="shared" si="41"/>
        <v>#REF!</v>
      </c>
      <c r="S162" s="34" t="e">
        <f t="shared" si="42"/>
        <v>#REF!</v>
      </c>
      <c r="T162" s="34" t="e">
        <f>#REF!+#REF!</f>
        <v>#REF!</v>
      </c>
      <c r="U162" s="34" t="e">
        <f t="shared" si="64"/>
        <v>#REF!</v>
      </c>
    </row>
    <row r="163" spans="1:21" s="34" customFormat="1" ht="24.95" customHeight="1">
      <c r="A163" s="537"/>
      <c r="B163" s="392" t="str">
        <f>'8-1.설비자재산출(전력통신)'!C82</f>
        <v>셋트앙카(STS)</v>
      </c>
      <c r="C163" s="1238" t="str">
        <f>'8-1.설비자재산출(전력통신)'!D82</f>
        <v>Φ3/8, 75㎜</v>
      </c>
      <c r="D163" s="430" t="str">
        <f>'8-1.설비자재산출(전력통신)'!I82</f>
        <v>EA</v>
      </c>
      <c r="E163" s="394">
        <f>'8-1.설비자재산출(전력통신)'!N82</f>
        <v>16</v>
      </c>
      <c r="F163" s="1200">
        <f>VLOOKUP(C163,'8-6.자재단가비교표'!$C$7:$O$332,12,0)</f>
        <v>623.00369999999998</v>
      </c>
      <c r="G163" s="1200">
        <f t="shared" ref="G163:G174" si="65">INT(E163*F163)</f>
        <v>9968</v>
      </c>
      <c r="H163" s="248" t="str">
        <f>VLOOKUP(C163,'8-6.자재단가비교표'!$C$7:$O$332,13,0)</f>
        <v>물가자료</v>
      </c>
      <c r="I163" s="237"/>
      <c r="J163" s="537"/>
      <c r="K163" s="459"/>
      <c r="L163" s="459"/>
      <c r="M163" s="430"/>
      <c r="N163" s="394"/>
      <c r="O163" s="393"/>
      <c r="P163" s="471"/>
      <c r="Q163" s="245"/>
    </row>
    <row r="164" spans="1:21" s="34" customFormat="1" ht="24.95" hidden="1" customHeight="1">
      <c r="A164" s="537"/>
      <c r="B164" s="392" t="str">
        <f>'8-1.설비자재산출(전력통신)'!C83</f>
        <v>전산볼트</v>
      </c>
      <c r="C164" s="1238" t="str">
        <f>'8-1.설비자재산출(전력통신)'!D83</f>
        <v>M10,철</v>
      </c>
      <c r="D164" s="430" t="str">
        <f>'8-1.설비자재산출(전력통신)'!I83</f>
        <v>EA</v>
      </c>
      <c r="E164" s="394">
        <f>'8-1.설비자재산출(전력통신)'!N83</f>
        <v>0</v>
      </c>
      <c r="F164" s="1200">
        <f>VLOOKUP(C164,'8-6.자재단가비교표'!$C$7:$O$332,12,0)</f>
        <v>0</v>
      </c>
      <c r="G164" s="1200">
        <f t="shared" si="65"/>
        <v>0</v>
      </c>
      <c r="H164" s="248">
        <f>VLOOKUP(C164,'8-6.자재단가비교표'!$C$7:$O$332,13,0)</f>
        <v>0</v>
      </c>
      <c r="I164" s="237"/>
      <c r="J164" s="537"/>
      <c r="K164" s="459"/>
      <c r="L164" s="459"/>
      <c r="M164" s="430"/>
      <c r="N164" s="394"/>
      <c r="O164" s="393"/>
      <c r="P164" s="471"/>
      <c r="Q164" s="245"/>
    </row>
    <row r="165" spans="1:21" s="34" customFormat="1" ht="24.95" hidden="1" customHeight="1">
      <c r="A165" s="537"/>
      <c r="B165" s="392" t="str">
        <f>'8-1.설비자재산출(전력통신)'!C84</f>
        <v>19" RACK(IDF/내진)</v>
      </c>
      <c r="C165" s="1238" t="str">
        <f>'8-1.설비자재산출(전력통신)'!D84</f>
        <v>경하중,IDF,내진, 600(W)*750(D)*2000(H)</v>
      </c>
      <c r="D165" s="430" t="str">
        <f>'8-1.설비자재산출(전력통신)'!I84</f>
        <v>EA</v>
      </c>
      <c r="E165" s="394">
        <f>'8-1.설비자재산출(전력통신)'!N84</f>
        <v>0</v>
      </c>
      <c r="F165" s="1200">
        <f>VLOOKUP(C165,'8-6.자재단가비교표'!$C$7:$O$332,12,0)</f>
        <v>0</v>
      </c>
      <c r="G165" s="1200">
        <f t="shared" si="65"/>
        <v>0</v>
      </c>
      <c r="H165" s="248">
        <f>VLOOKUP(C165,'8-6.자재단가비교표'!$C$7:$O$332,13,0)</f>
        <v>0</v>
      </c>
      <c r="I165" s="237"/>
      <c r="J165" s="537"/>
      <c r="K165" s="459"/>
      <c r="L165" s="459"/>
      <c r="M165" s="430"/>
      <c r="N165" s="394"/>
      <c r="O165" s="393"/>
      <c r="P165" s="471"/>
      <c r="Q165" s="245"/>
    </row>
    <row r="166" spans="1:21" s="34" customFormat="1" ht="24.95" hidden="1" customHeight="1">
      <c r="A166" s="537"/>
      <c r="B166" s="392" t="str">
        <f>'8-1.설비자재산출(전력통신)'!C85</f>
        <v xml:space="preserve"> 내진가대</v>
      </c>
      <c r="C166" s="1238" t="str">
        <f>'8-1.설비자재산출(전력통신)'!D85</f>
        <v>600*750*270-330</v>
      </c>
      <c r="D166" s="430" t="str">
        <f>'8-1.설비자재산출(전력통신)'!I85</f>
        <v>EA</v>
      </c>
      <c r="E166" s="394">
        <f>'8-1.설비자재산출(전력통신)'!N85</f>
        <v>0</v>
      </c>
      <c r="F166" s="1200">
        <f>VLOOKUP(C166,'8-6.자재단가비교표'!$C$7:$O$332,12,0)</f>
        <v>0</v>
      </c>
      <c r="G166" s="1200">
        <f t="shared" si="65"/>
        <v>0</v>
      </c>
      <c r="H166" s="248">
        <f>VLOOKUP(C166,'8-6.자재단가비교표'!$C$7:$O$332,13,0)</f>
        <v>0</v>
      </c>
      <c r="I166" s="237"/>
      <c r="J166" s="537"/>
      <c r="K166" s="459"/>
      <c r="L166" s="459"/>
      <c r="M166" s="430"/>
      <c r="N166" s="394"/>
      <c r="O166" s="393"/>
      <c r="P166" s="471"/>
      <c r="Q166" s="245"/>
    </row>
    <row r="167" spans="1:21" s="34" customFormat="1" ht="24.95" hidden="1" customHeight="1">
      <c r="A167" s="537"/>
      <c r="B167" s="392" t="str">
        <f>'8-1.설비자재산출(전력통신)'!C86</f>
        <v>바닥고정브라켓(평마루용)</v>
      </c>
      <c r="C167" s="1238" t="str">
        <f>'8-1.설비자재산출(전력통신)'!D86</f>
        <v>600*750*25</v>
      </c>
      <c r="D167" s="430" t="str">
        <f>'8-1.설비자재산출(전력통신)'!I86</f>
        <v>EA</v>
      </c>
      <c r="E167" s="394">
        <f>'8-1.설비자재산출(전력통신)'!N86</f>
        <v>0</v>
      </c>
      <c r="F167" s="1200">
        <f>VLOOKUP(C167,'8-6.자재단가비교표'!$C$7:$O$332,12,0)</f>
        <v>0</v>
      </c>
      <c r="G167" s="1200">
        <f t="shared" si="65"/>
        <v>0</v>
      </c>
      <c r="H167" s="248">
        <f>VLOOKUP(C167,'8-6.자재단가비교표'!$C$7:$O$332,13,0)</f>
        <v>0</v>
      </c>
      <c r="I167" s="237"/>
      <c r="J167" s="537"/>
      <c r="K167" s="459"/>
      <c r="L167" s="459"/>
      <c r="M167" s="430"/>
      <c r="N167" s="394"/>
      <c r="O167" s="393"/>
      <c r="P167" s="471"/>
      <c r="Q167" s="245"/>
    </row>
    <row r="168" spans="1:21" s="34" customFormat="1" ht="24.95" customHeight="1">
      <c r="A168" s="537"/>
      <c r="B168" s="392" t="str">
        <f>'8-1.설비자재산출(전력통신)'!C87</f>
        <v>랙명판</v>
      </c>
      <c r="C168" s="1238" t="str">
        <f>'8-1.설비자재산출(전력통신)'!D87</f>
        <v>AL,190*75*1t,헤어라인/검정색도색후 실크인쇄,후면 벨크로</v>
      </c>
      <c r="D168" s="430" t="str">
        <f>'8-1.설비자재산출(전력통신)'!I87</f>
        <v>EA</v>
      </c>
      <c r="E168" s="394">
        <f>'8-1.설비자재산출(전력통신)'!N87</f>
        <v>4</v>
      </c>
      <c r="F168" s="1200">
        <f>VLOOKUP(C168,'8-6.자재단가비교표'!$C$7:$O$332,12,0)</f>
        <v>30711.45</v>
      </c>
      <c r="G168" s="1200">
        <f t="shared" si="65"/>
        <v>122845</v>
      </c>
      <c r="H168" s="248" t="str">
        <f>VLOOKUP(C168,'8-6.자재단가비교표'!$C$7:$O$332,13,0)</f>
        <v>견적가</v>
      </c>
      <c r="I168" s="237"/>
      <c r="J168" s="537"/>
      <c r="K168" s="459"/>
      <c r="L168" s="459"/>
      <c r="M168" s="430"/>
      <c r="N168" s="394"/>
      <c r="O168" s="393"/>
      <c r="P168" s="471"/>
      <c r="Q168" s="245"/>
    </row>
    <row r="169" spans="1:21" s="34" customFormat="1" ht="24.95" hidden="1" customHeight="1">
      <c r="A169" s="537"/>
      <c r="B169" s="392" t="str">
        <f>'8-1.설비자재산출(전력통신)'!C88</f>
        <v>콘센트</v>
      </c>
      <c r="C169" s="1238" t="str">
        <f>'8-1.설비자재산출(전력통신)'!D88</f>
        <v>노출, 접지 2구</v>
      </c>
      <c r="D169" s="430" t="str">
        <f>'8-1.설비자재산출(전력통신)'!I88</f>
        <v>EA</v>
      </c>
      <c r="E169" s="394">
        <f>'8-1.설비자재산출(전력통신)'!N88</f>
        <v>0</v>
      </c>
      <c r="F169" s="1200">
        <f>VLOOKUP(C169,'8-6.자재단가비교표'!$C$7:$O$332,12,0)</f>
        <v>1754.94</v>
      </c>
      <c r="G169" s="1200">
        <f t="shared" si="65"/>
        <v>0</v>
      </c>
      <c r="H169" s="248" t="str">
        <f>VLOOKUP(C169,'8-6.자재단가비교표'!$C$7:$O$332,13,0)</f>
        <v>물가자료</v>
      </c>
      <c r="I169" s="237"/>
      <c r="J169" s="537"/>
      <c r="K169" s="459"/>
      <c r="L169" s="459"/>
      <c r="M169" s="430"/>
      <c r="N169" s="394"/>
      <c r="O169" s="393"/>
      <c r="P169" s="471"/>
      <c r="Q169" s="245"/>
    </row>
    <row r="170" spans="1:21" s="34" customFormat="1" ht="24.95" hidden="1" customHeight="1">
      <c r="A170" s="537"/>
      <c r="B170" s="392" t="str">
        <f>'8-1.설비자재산출(전력통신)'!C89</f>
        <v>LAN Port Lock</v>
      </c>
      <c r="C170" s="1238" t="str">
        <f>'8-1.설비자재산출(전력통신)'!D89</f>
        <v>Lan RJ-45</v>
      </c>
      <c r="D170" s="430" t="str">
        <f>'8-1.설비자재산출(전력통신)'!I89</f>
        <v>EA</v>
      </c>
      <c r="E170" s="394">
        <f>'8-1.설비자재산출(전력통신)'!N89</f>
        <v>0</v>
      </c>
      <c r="F170" s="1200">
        <f>VLOOKUP(C170,'8-6.자재단가비교표'!$C$7:$O$332,12,0)</f>
        <v>0</v>
      </c>
      <c r="G170" s="1200">
        <f t="shared" si="65"/>
        <v>0</v>
      </c>
      <c r="H170" s="248" t="str">
        <f>VLOOKUP(C170,'8-6.자재단가비교표'!$C$7:$O$332,13,0)</f>
        <v>견적가</v>
      </c>
      <c r="I170" s="237"/>
      <c r="J170" s="537"/>
      <c r="K170" s="459"/>
      <c r="L170" s="459"/>
      <c r="M170" s="430"/>
      <c r="N170" s="394"/>
      <c r="O170" s="393"/>
      <c r="P170" s="471"/>
      <c r="Q170" s="245"/>
    </row>
    <row r="171" spans="1:21" s="34" customFormat="1" ht="24.95" hidden="1" customHeight="1">
      <c r="A171" s="537"/>
      <c r="B171" s="392" t="str">
        <f>'8-1.설비자재산출(전력통신)'!C90</f>
        <v>LAN Port Lock 제거키</v>
      </c>
      <c r="C171" s="1238" t="str">
        <f>'8-1.설비자재산출(전력통신)'!D90</f>
        <v>제거키(Removal Key)</v>
      </c>
      <c r="D171" s="430" t="str">
        <f>'8-1.설비자재산출(전력통신)'!I90</f>
        <v>EA</v>
      </c>
      <c r="E171" s="394">
        <f>'8-1.설비자재산출(전력통신)'!N90</f>
        <v>0</v>
      </c>
      <c r="F171" s="1200">
        <f>VLOOKUP(C171,'8-6.자재단가비교표'!$C$7:$O$332,12,0)</f>
        <v>0</v>
      </c>
      <c r="G171" s="1200">
        <f t="shared" si="65"/>
        <v>0</v>
      </c>
      <c r="H171" s="248" t="str">
        <f>VLOOKUP(C171,'8-6.자재단가비교표'!$C$7:$O$332,13,0)</f>
        <v>견적가</v>
      </c>
      <c r="I171" s="237"/>
      <c r="J171" s="537"/>
      <c r="K171" s="459"/>
      <c r="L171" s="459"/>
      <c r="M171" s="430"/>
      <c r="N171" s="394"/>
      <c r="O171" s="393"/>
      <c r="P171" s="471"/>
      <c r="Q171" s="245"/>
    </row>
    <row r="172" spans="1:21" s="34" customFormat="1" ht="24.95" hidden="1" customHeight="1">
      <c r="A172" s="537"/>
      <c r="B172" s="392" t="str">
        <f>'8-1.설비자재산출(전력통신)'!C91</f>
        <v>DC/DC 컨버터</v>
      </c>
      <c r="C172" s="1238" t="str">
        <f>'8-1.설비자재산출(전력통신)'!D91</f>
        <v>19", 1U, DC125/DC48V</v>
      </c>
      <c r="D172" s="430" t="str">
        <f>'8-1.설비자재산출(전력통신)'!I91</f>
        <v>개</v>
      </c>
      <c r="E172" s="394">
        <f>'8-1.설비자재산출(전력통신)'!N91</f>
        <v>0</v>
      </c>
      <c r="F172" s="1200">
        <f>VLOOKUP(C172,'8-6.자재단가비교표'!$C$7:$O$332,12,0)</f>
        <v>1516268.16</v>
      </c>
      <c r="G172" s="1200">
        <f t="shared" si="65"/>
        <v>0</v>
      </c>
      <c r="H172" s="248" t="str">
        <f>VLOOKUP(C172,'8-6.자재단가비교표'!$C$7:$O$332,13,0)</f>
        <v>견적가</v>
      </c>
      <c r="I172" s="237"/>
      <c r="J172" s="537"/>
      <c r="K172" s="459"/>
      <c r="L172" s="459"/>
      <c r="M172" s="430"/>
      <c r="N172" s="394"/>
      <c r="O172" s="393"/>
      <c r="P172" s="471"/>
      <c r="Q172" s="245"/>
    </row>
    <row r="173" spans="1:21" s="34" customFormat="1" ht="24.95" hidden="1" customHeight="1">
      <c r="A173" s="537"/>
      <c r="B173" s="392" t="str">
        <f>'8-1.설비자재산출(전력통신)'!C92</f>
        <v>통화로분선반</v>
      </c>
      <c r="C173" s="1238" t="str">
        <f>'8-1.설비자재산출(전력통신)'!D92</f>
        <v>VDF</v>
      </c>
      <c r="D173" s="430" t="str">
        <f>'8-1.설비자재산출(전력통신)'!I92</f>
        <v>EA</v>
      </c>
      <c r="E173" s="394">
        <f>'8-1.설비자재산출(전력통신)'!N92</f>
        <v>0</v>
      </c>
      <c r="F173" s="1200">
        <f>VLOOKUP(C173,'8-6.자재단가비교표'!$C$7:$O$332,12,0)</f>
        <v>956442.29999999993</v>
      </c>
      <c r="G173" s="1200">
        <f t="shared" si="65"/>
        <v>0</v>
      </c>
      <c r="H173" s="248" t="str">
        <f>VLOOKUP(C173,'8-6.자재단가비교표'!$C$7:$O$332,13,0)</f>
        <v>견적가</v>
      </c>
      <c r="I173" s="237"/>
      <c r="J173" s="537"/>
      <c r="K173" s="459"/>
      <c r="L173" s="459"/>
      <c r="M173" s="430"/>
      <c r="N173" s="394"/>
      <c r="O173" s="393"/>
      <c r="P173" s="471"/>
      <c r="Q173" s="245"/>
    </row>
    <row r="174" spans="1:21" s="34" customFormat="1" ht="24.95" customHeight="1">
      <c r="A174" s="537"/>
      <c r="B174" s="392" t="str">
        <f>'8-1.설비자재산출(전력통신)'!C93</f>
        <v>잡자재</v>
      </c>
      <c r="C174" s="1238" t="str">
        <f>'8-1.설비자재산출(전력통신)'!D93</f>
        <v>전선, 케이블 배관자재의 2~5%</v>
      </c>
      <c r="D174" s="430" t="str">
        <f>'8-1.설비자재산출(전력통신)'!I93</f>
        <v>식</v>
      </c>
      <c r="E174" s="1234">
        <v>0.02</v>
      </c>
      <c r="F174" s="1200">
        <f>G114+G115+G116+G125+G120+G121+G122+G124</f>
        <v>939355</v>
      </c>
      <c r="G174" s="1200">
        <f t="shared" si="65"/>
        <v>18787</v>
      </c>
      <c r="H174" s="248"/>
      <c r="I174" s="237"/>
      <c r="J174" s="537"/>
      <c r="K174" s="459"/>
      <c r="L174" s="459"/>
      <c r="M174" s="430"/>
      <c r="N174" s="394"/>
      <c r="O174" s="393"/>
      <c r="P174" s="471"/>
      <c r="Q174" s="245"/>
    </row>
    <row r="175" spans="1:21" s="34" customFormat="1" ht="24.95" customHeight="1">
      <c r="A175" s="537"/>
      <c r="B175" s="459"/>
      <c r="C175" s="466"/>
      <c r="D175" s="394"/>
      <c r="E175" s="394"/>
      <c r="F175" s="1200"/>
      <c r="G175" s="1218"/>
      <c r="H175" s="245"/>
      <c r="J175" s="537"/>
      <c r="K175" s="459"/>
      <c r="L175" s="466"/>
      <c r="M175" s="394"/>
      <c r="N175" s="394" t="e">
        <f>#REF!+#REF!</f>
        <v>#REF!</v>
      </c>
      <c r="O175" s="393"/>
      <c r="P175" s="474"/>
      <c r="Q175" s="245"/>
      <c r="R175" s="34" t="e">
        <f t="shared" si="41"/>
        <v>#REF!</v>
      </c>
      <c r="S175" s="34">
        <f t="shared" si="42"/>
        <v>0</v>
      </c>
      <c r="T175" s="34" t="e">
        <f>#REF!+#REF!</f>
        <v>#REF!</v>
      </c>
      <c r="U175" s="34" t="e">
        <f t="shared" si="64"/>
        <v>#REF!</v>
      </c>
    </row>
    <row r="176" spans="1:21" s="34" customFormat="1" ht="24.95" customHeight="1">
      <c r="A176" s="532" t="str">
        <f>'8-1.설비자재산출(전력통신)'!A95</f>
        <v>2. 전원설비</v>
      </c>
      <c r="B176" s="466"/>
      <c r="C176" s="466"/>
      <c r="D176" s="394"/>
      <c r="E176" s="394"/>
      <c r="F176" s="1200"/>
      <c r="G176" s="1216">
        <f>SUM(G177:G193)</f>
        <v>16306791</v>
      </c>
      <c r="H176" s="245"/>
      <c r="J176" s="532" t="str">
        <f t="shared" ref="J176:J193" si="66">$A176</f>
        <v>2. 전원설비</v>
      </c>
      <c r="K176" s="466"/>
      <c r="L176" s="466"/>
      <c r="M176" s="394"/>
      <c r="N176" s="394" t="e">
        <f>#REF!+#REF!</f>
        <v>#REF!</v>
      </c>
      <c r="O176" s="393"/>
      <c r="P176" s="469" t="e">
        <f>SUM(P177:P193)</f>
        <v>#REF!</v>
      </c>
      <c r="Q176" s="245"/>
      <c r="R176" s="34" t="e">
        <f t="shared" si="41"/>
        <v>#REF!</v>
      </c>
      <c r="S176" s="34" t="e">
        <f t="shared" si="42"/>
        <v>#REF!</v>
      </c>
      <c r="T176" s="34" t="e">
        <f>#REF!+#REF!</f>
        <v>#REF!</v>
      </c>
      <c r="U176" s="34" t="e">
        <f t="shared" si="64"/>
        <v>#REF!</v>
      </c>
    </row>
    <row r="177" spans="1:21" s="34" customFormat="1" ht="24.95" customHeight="1">
      <c r="A177" s="537"/>
      <c r="B177" s="392" t="str">
        <f>'8-1.설비자재산출(전력통신)'!C110</f>
        <v>난연성전원케이블</v>
      </c>
      <c r="C177" s="1238" t="str">
        <f>'8-1.설비자재산출(전력통신)'!D110</f>
        <v>FR-CVV-S, 25SQ/4C</v>
      </c>
      <c r="D177" s="430" t="str">
        <f>'8-1.설비자재산출(전력통신)'!I110</f>
        <v>m</v>
      </c>
      <c r="E177" s="394">
        <f>'8-1.설비자재산출(전력통신)'!N110</f>
        <v>303</v>
      </c>
      <c r="F177" s="1200">
        <f>VLOOKUP(C177,'8-6.자재단가비교표'!$C$7:$O$332,12,0)</f>
        <v>23796.986399999998</v>
      </c>
      <c r="G177" s="1200">
        <f t="shared" ref="G177" si="67">INT(E177*F177)</f>
        <v>7210486</v>
      </c>
      <c r="H177" s="248" t="str">
        <f>VLOOKUP(C177,'8-6.자재단가비교표'!$C$7:$O$332,13,0)</f>
        <v>견적가</v>
      </c>
      <c r="I177" s="237"/>
      <c r="J177" s="537">
        <f t="shared" si="66"/>
        <v>0</v>
      </c>
      <c r="K177" s="459" t="str">
        <f t="shared" ref="K177:K193" si="68">$B177</f>
        <v>난연성전원케이블</v>
      </c>
      <c r="L177" s="459" t="str">
        <f t="shared" ref="L177:L193" si="69">$C177</f>
        <v>FR-CVV-S, 25SQ/4C</v>
      </c>
      <c r="M177" s="430" t="str">
        <f t="shared" ref="M177:M193" si="70">$D177</f>
        <v>m</v>
      </c>
      <c r="N177" s="394" t="e">
        <f>#REF!+#REF!</f>
        <v>#REF!</v>
      </c>
      <c r="O177" s="393">
        <f>VLOOKUP(L177,'8-6.자재단가비교표'!$C$8:$O$332,12,0)</f>
        <v>23796.986399999998</v>
      </c>
      <c r="P177" s="471" t="e">
        <f t="shared" ref="P177:P193" si="71">INT(N177*O177)</f>
        <v>#REF!</v>
      </c>
      <c r="Q177" s="245" t="str">
        <f>VLOOKUP(L177,'8-6.자재단가비교표'!$C$8:$O$328,13,0)</f>
        <v>견적가</v>
      </c>
      <c r="R177" s="34" t="e">
        <f t="shared" si="41"/>
        <v>#REF!</v>
      </c>
      <c r="S177" s="34" t="e">
        <f t="shared" si="42"/>
        <v>#REF!</v>
      </c>
      <c r="T177" s="34" t="e">
        <f>#REF!+#REF!</f>
        <v>#REF!</v>
      </c>
      <c r="U177" s="34" t="e">
        <f t="shared" si="64"/>
        <v>#REF!</v>
      </c>
    </row>
    <row r="178" spans="1:21" s="34" customFormat="1" ht="24.95" customHeight="1">
      <c r="A178" s="537"/>
      <c r="B178" s="392" t="str">
        <f>'8-1.설비자재산출(전력통신)'!C111</f>
        <v>난연성전원케이블</v>
      </c>
      <c r="C178" s="1238" t="str">
        <f>'8-1.설비자재산출(전력통신)'!D111</f>
        <v>FR-CVV-S, 16SQ/4C</v>
      </c>
      <c r="D178" s="430" t="str">
        <f>'8-1.설비자재산출(전력통신)'!I111</f>
        <v>m</v>
      </c>
      <c r="E178" s="394">
        <f>'8-1.설비자재산출(전력통신)'!N111</f>
        <v>16</v>
      </c>
      <c r="F178" s="1200">
        <f>VLOOKUP(C178,'8-6.자재단가비교표'!$C$7:$O$332,12,0)</f>
        <v>15645.2901</v>
      </c>
      <c r="G178" s="1200">
        <f t="shared" ref="G178:G186" si="72">INT(E178*F178)</f>
        <v>250324</v>
      </c>
      <c r="H178" s="248" t="str">
        <f>VLOOKUP(C178,'8-6.자재단가비교표'!$C$7:$O$332,13,0)</f>
        <v>견적가</v>
      </c>
      <c r="I178" s="237"/>
      <c r="J178" s="537">
        <f t="shared" si="66"/>
        <v>0</v>
      </c>
      <c r="K178" s="459" t="str">
        <f t="shared" si="68"/>
        <v>난연성전원케이블</v>
      </c>
      <c r="L178" s="459" t="str">
        <f t="shared" si="69"/>
        <v>FR-CVV-S, 16SQ/4C</v>
      </c>
      <c r="M178" s="430" t="str">
        <f t="shared" si="70"/>
        <v>m</v>
      </c>
      <c r="N178" s="394" t="e">
        <f>#REF!+#REF!</f>
        <v>#REF!</v>
      </c>
      <c r="O178" s="393">
        <f>VLOOKUP(L178,'8-6.자재단가비교표'!$C$8:$O$332,12,0)</f>
        <v>15645.2901</v>
      </c>
      <c r="P178" s="471" t="e">
        <f t="shared" si="71"/>
        <v>#REF!</v>
      </c>
      <c r="Q178" s="245" t="str">
        <f>VLOOKUP(L178,'8-6.자재단가비교표'!$C$8:$O$328,13,0)</f>
        <v>견적가</v>
      </c>
      <c r="R178" s="34" t="e">
        <f t="shared" si="41"/>
        <v>#REF!</v>
      </c>
      <c r="S178" s="34" t="e">
        <f t="shared" si="42"/>
        <v>#REF!</v>
      </c>
      <c r="T178" s="34" t="e">
        <f>#REF!+#REF!</f>
        <v>#REF!</v>
      </c>
      <c r="U178" s="34" t="e">
        <f t="shared" si="64"/>
        <v>#REF!</v>
      </c>
    </row>
    <row r="179" spans="1:21" s="34" customFormat="1" ht="24.95" customHeight="1">
      <c r="A179" s="537"/>
      <c r="B179" s="392" t="str">
        <f>'8-1.설비자재산출(전력통신)'!C112</f>
        <v>난연성전원케이블</v>
      </c>
      <c r="C179" s="1238" t="str">
        <f>'8-1.설비자재산출(전력통신)'!D112</f>
        <v>FR-CVV-S, 16SQ/3C</v>
      </c>
      <c r="D179" s="430" t="str">
        <f>'8-1.설비자재산출(전력통신)'!I112</f>
        <v>m</v>
      </c>
      <c r="E179" s="394">
        <f>'8-1.설비자재산출(전력통신)'!N112</f>
        <v>455</v>
      </c>
      <c r="F179" s="1200">
        <f>VLOOKUP(C179,'8-6.자재단가비교표'!$C$7:$O$332,12,0)</f>
        <v>15645.2901</v>
      </c>
      <c r="G179" s="1200">
        <f t="shared" si="72"/>
        <v>7118606</v>
      </c>
      <c r="H179" s="248" t="str">
        <f>VLOOKUP(C179,'8-6.자재단가비교표'!$C$7:$O$332,13,0)</f>
        <v>견적가</v>
      </c>
      <c r="I179" s="237"/>
      <c r="J179" s="537">
        <f t="shared" si="66"/>
        <v>0</v>
      </c>
      <c r="K179" s="459" t="str">
        <f t="shared" si="68"/>
        <v>난연성전원케이블</v>
      </c>
      <c r="L179" s="459" t="str">
        <f t="shared" si="69"/>
        <v>FR-CVV-S, 16SQ/3C</v>
      </c>
      <c r="M179" s="430" t="str">
        <f t="shared" si="70"/>
        <v>m</v>
      </c>
      <c r="N179" s="394" t="e">
        <f>#REF!+#REF!</f>
        <v>#REF!</v>
      </c>
      <c r="O179" s="393">
        <f>VLOOKUP(L179,'8-6.자재단가비교표'!$C$8:$O$332,12,0)</f>
        <v>15645.2901</v>
      </c>
      <c r="P179" s="471" t="e">
        <f t="shared" si="71"/>
        <v>#REF!</v>
      </c>
      <c r="Q179" s="245" t="str">
        <f>VLOOKUP(L179,'8-6.자재단가비교표'!$C$8:$O$328,13,0)</f>
        <v>견적가</v>
      </c>
      <c r="R179" s="34" t="e">
        <f t="shared" si="41"/>
        <v>#REF!</v>
      </c>
      <c r="S179" s="34" t="e">
        <f t="shared" si="42"/>
        <v>#REF!</v>
      </c>
      <c r="T179" s="34" t="e">
        <f>#REF!+#REF!</f>
        <v>#REF!</v>
      </c>
      <c r="U179" s="34" t="e">
        <f t="shared" si="64"/>
        <v>#REF!</v>
      </c>
    </row>
    <row r="180" spans="1:21" s="34" customFormat="1" ht="24.95" customHeight="1">
      <c r="A180" s="537"/>
      <c r="B180" s="392" t="str">
        <f>'8-1.설비자재산출(전력통신)'!C113</f>
        <v>난연성전원케이블</v>
      </c>
      <c r="C180" s="1238" t="str">
        <f>'8-1.설비자재산출(전력통신)'!D113</f>
        <v>FR-CVV-S, 16SQ/2C</v>
      </c>
      <c r="D180" s="430" t="str">
        <f>'8-1.설비자재산출(전력통신)'!I113</f>
        <v>m</v>
      </c>
      <c r="E180" s="394">
        <f>'8-1.설비자재산출(전력통신)'!N113</f>
        <v>38</v>
      </c>
      <c r="F180" s="1200">
        <f>VLOOKUP(C180,'8-6.자재단가비교표'!$C$7:$O$332,12,0)</f>
        <v>15645.2901</v>
      </c>
      <c r="G180" s="1200">
        <f t="shared" si="72"/>
        <v>594521</v>
      </c>
      <c r="H180" s="248" t="str">
        <f>VLOOKUP(C180,'8-6.자재단가비교표'!$C$7:$O$332,13,0)</f>
        <v>견적가</v>
      </c>
      <c r="I180" s="237"/>
      <c r="J180" s="537">
        <f t="shared" si="66"/>
        <v>0</v>
      </c>
      <c r="K180" s="459" t="str">
        <f t="shared" si="68"/>
        <v>난연성전원케이블</v>
      </c>
      <c r="L180" s="459" t="str">
        <f t="shared" si="69"/>
        <v>FR-CVV-S, 16SQ/2C</v>
      </c>
      <c r="M180" s="430" t="str">
        <f t="shared" si="70"/>
        <v>m</v>
      </c>
      <c r="N180" s="394" t="e">
        <f>#REF!+#REF!</f>
        <v>#REF!</v>
      </c>
      <c r="O180" s="393">
        <f>VLOOKUP(L180,'8-6.자재단가비교표'!$C$8:$O$332,12,0)</f>
        <v>15645.2901</v>
      </c>
      <c r="P180" s="471" t="e">
        <f t="shared" si="71"/>
        <v>#REF!</v>
      </c>
      <c r="Q180" s="245" t="str">
        <f>VLOOKUP(L180,'8-6.자재단가비교표'!$C$8:$O$328,13,0)</f>
        <v>견적가</v>
      </c>
      <c r="R180" s="34" t="e">
        <f t="shared" ref="R180:R193" si="73">E180-N180</f>
        <v>#REF!</v>
      </c>
      <c r="S180" s="34" t="e">
        <f t="shared" ref="S180:S193" si="74">G180-P180</f>
        <v>#REF!</v>
      </c>
      <c r="T180" s="34" t="e">
        <f>#REF!+#REF!</f>
        <v>#REF!</v>
      </c>
      <c r="U180" s="34" t="e">
        <f t="shared" si="64"/>
        <v>#REF!</v>
      </c>
    </row>
    <row r="181" spans="1:21" s="34" customFormat="1" ht="24.95" customHeight="1">
      <c r="A181" s="537"/>
      <c r="B181" s="392" t="str">
        <f>'8-1.설비자재산출(전력통신)'!C114</f>
        <v>접지케이블</v>
      </c>
      <c r="C181" s="1238" t="str">
        <f>'8-1.설비자재산출(전력통신)'!D114</f>
        <v>F-GV, 16SQ</v>
      </c>
      <c r="D181" s="430" t="str">
        <f>'8-1.설비자재산출(전력통신)'!I114</f>
        <v>m</v>
      </c>
      <c r="E181" s="394">
        <f>'8-1.설비자재산출(전력통신)'!N114</f>
        <v>48</v>
      </c>
      <c r="F181" s="1200">
        <f>VLOOKUP(C181,'8-6.자재단가비교표'!$C$7:$O$332,12,0)</f>
        <v>2628.0226499999999</v>
      </c>
      <c r="G181" s="1200">
        <f t="shared" si="72"/>
        <v>126145</v>
      </c>
      <c r="H181" s="248" t="str">
        <f>VLOOKUP(C181,'8-6.자재단가비교표'!$C$7:$O$332,13,0)</f>
        <v>물가정보</v>
      </c>
      <c r="I181" s="237"/>
      <c r="J181" s="537">
        <f t="shared" si="66"/>
        <v>0</v>
      </c>
      <c r="K181" s="459" t="str">
        <f t="shared" si="68"/>
        <v>접지케이블</v>
      </c>
      <c r="L181" s="459" t="str">
        <f t="shared" si="69"/>
        <v>F-GV, 16SQ</v>
      </c>
      <c r="M181" s="430" t="str">
        <f t="shared" si="70"/>
        <v>m</v>
      </c>
      <c r="N181" s="394" t="e">
        <f>#REF!+#REF!</f>
        <v>#REF!</v>
      </c>
      <c r="O181" s="393">
        <f>VLOOKUP(L181,'8-6.자재단가비교표'!$C$8:$O$332,12,0)</f>
        <v>2628.0226499999999</v>
      </c>
      <c r="P181" s="471" t="e">
        <f t="shared" si="71"/>
        <v>#REF!</v>
      </c>
      <c r="Q181" s="245" t="str">
        <f>VLOOKUP(L181,'8-6.자재단가비교표'!$C$8:$O$328,13,0)</f>
        <v>물가정보</v>
      </c>
      <c r="R181" s="34" t="e">
        <f t="shared" si="73"/>
        <v>#REF!</v>
      </c>
      <c r="S181" s="34" t="e">
        <f t="shared" si="74"/>
        <v>#REF!</v>
      </c>
      <c r="T181" s="34" t="e">
        <f>#REF!+#REF!</f>
        <v>#REF!</v>
      </c>
      <c r="U181" s="34" t="e">
        <f t="shared" si="64"/>
        <v>#REF!</v>
      </c>
    </row>
    <row r="182" spans="1:21" s="34" customFormat="1" ht="24.95" customHeight="1">
      <c r="A182" s="537"/>
      <c r="B182" s="392" t="str">
        <f>'8-1.설비자재산출(전력통신)'!C115</f>
        <v>UTP케이블</v>
      </c>
      <c r="C182" s="1238" t="str">
        <f>'8-1.설비자재산출(전력통신)'!D115</f>
        <v>CAT.5E 4P</v>
      </c>
      <c r="D182" s="430" t="str">
        <f>'8-1.설비자재산출(전력통신)'!I115</f>
        <v>m</v>
      </c>
      <c r="E182" s="394">
        <f>'8-1.설비자재산출(전력통신)'!N115</f>
        <v>56</v>
      </c>
      <c r="F182" s="1200">
        <f>VLOOKUP(C182,'8-6.자재단가비교표'!$C$7:$O$332,12,0)</f>
        <v>693.20129999999995</v>
      </c>
      <c r="G182" s="1200">
        <f t="shared" si="72"/>
        <v>38819</v>
      </c>
      <c r="H182" s="248" t="str">
        <f>VLOOKUP(C182,'8-6.자재단가비교표'!$C$7:$O$332,13,0)</f>
        <v>물가자료</v>
      </c>
      <c r="I182" s="237"/>
      <c r="J182" s="537">
        <f t="shared" si="66"/>
        <v>0</v>
      </c>
      <c r="K182" s="459" t="str">
        <f t="shared" si="68"/>
        <v>UTP케이블</v>
      </c>
      <c r="L182" s="459" t="str">
        <f t="shared" si="69"/>
        <v>CAT.5E 4P</v>
      </c>
      <c r="M182" s="430" t="str">
        <f t="shared" si="70"/>
        <v>m</v>
      </c>
      <c r="N182" s="394" t="e">
        <f>#REF!+#REF!</f>
        <v>#REF!</v>
      </c>
      <c r="O182" s="393">
        <f>VLOOKUP(L182,'8-6.자재단가비교표'!$C$8:$O$332,12,0)</f>
        <v>693.20129999999995</v>
      </c>
      <c r="P182" s="471" t="e">
        <f t="shared" si="71"/>
        <v>#REF!</v>
      </c>
      <c r="Q182" s="245" t="str">
        <f>VLOOKUP(L182,'8-6.자재단가비교표'!$C$8:$O$328,13,0)</f>
        <v>물가자료</v>
      </c>
      <c r="R182" s="34" t="e">
        <f t="shared" si="73"/>
        <v>#REF!</v>
      </c>
      <c r="S182" s="34" t="e">
        <f t="shared" si="74"/>
        <v>#REF!</v>
      </c>
      <c r="T182" s="34" t="e">
        <f>#REF!+#REF!</f>
        <v>#REF!</v>
      </c>
      <c r="U182" s="34" t="e">
        <f t="shared" si="64"/>
        <v>#REF!</v>
      </c>
    </row>
    <row r="183" spans="1:21" s="34" customFormat="1" ht="24.95" customHeight="1">
      <c r="A183" s="537"/>
      <c r="B183" s="392" t="str">
        <f>'8-1.설비자재산출(전력통신)'!C116</f>
        <v>후렉시블전선관</v>
      </c>
      <c r="C183" s="1238" t="str">
        <f>'8-1.설비자재산출(전력통신)'!D116</f>
        <v>16㎜, 일반방수(GW-16)</v>
      </c>
      <c r="D183" s="430" t="str">
        <f>'8-1.설비자재산출(전력통신)'!I116</f>
        <v>m</v>
      </c>
      <c r="E183" s="394">
        <f>'8-1.설비자재산출(전력통신)'!N116</f>
        <v>22</v>
      </c>
      <c r="F183" s="1200">
        <f>VLOOKUP(C183,'8-6.자재단가비교표'!$C$7:$O$332,12,0)</f>
        <v>1983.0821999999998</v>
      </c>
      <c r="G183" s="1200">
        <f t="shared" si="72"/>
        <v>43627</v>
      </c>
      <c r="H183" s="248" t="s">
        <v>3170</v>
      </c>
      <c r="I183" s="237"/>
      <c r="J183" s="537">
        <f t="shared" si="66"/>
        <v>0</v>
      </c>
      <c r="K183" s="459" t="str">
        <f t="shared" si="68"/>
        <v>후렉시블전선관</v>
      </c>
      <c r="L183" s="459" t="str">
        <f t="shared" si="69"/>
        <v>16㎜, 일반방수(GW-16)</v>
      </c>
      <c r="M183" s="430" t="str">
        <f t="shared" si="70"/>
        <v>m</v>
      </c>
      <c r="N183" s="394" t="e">
        <f>#REF!+#REF!</f>
        <v>#REF!</v>
      </c>
      <c r="O183" s="393">
        <f>VLOOKUP(L183,'8-6.자재단가비교표'!$C$8:$O$332,12,0)</f>
        <v>1983.0821999999998</v>
      </c>
      <c r="P183" s="471" t="e">
        <f t="shared" si="71"/>
        <v>#REF!</v>
      </c>
      <c r="Q183" s="245">
        <f>VLOOKUP(L183,'8-6.자재단가비교표'!$C$8:$O$328,13,0)</f>
        <v>0</v>
      </c>
      <c r="R183" s="34" t="e">
        <f t="shared" si="73"/>
        <v>#REF!</v>
      </c>
      <c r="S183" s="34" t="e">
        <f t="shared" si="74"/>
        <v>#REF!</v>
      </c>
      <c r="T183" s="34" t="e">
        <f>#REF!+#REF!</f>
        <v>#REF!</v>
      </c>
      <c r="U183" s="34" t="e">
        <f t="shared" si="64"/>
        <v>#REF!</v>
      </c>
    </row>
    <row r="184" spans="1:21" s="34" customFormat="1" ht="24.95" customHeight="1">
      <c r="A184" s="537"/>
      <c r="B184" s="392" t="str">
        <f>'8-1.설비자재산출(전력통신)'!C117</f>
        <v>셋트앙카(STS)</v>
      </c>
      <c r="C184" s="1238" t="str">
        <f>'8-1.설비자재산출(전력통신)'!D117</f>
        <v>Φ3/8, 75㎜</v>
      </c>
      <c r="D184" s="430" t="str">
        <f>'8-1.설비자재산출(전력통신)'!I117</f>
        <v>개</v>
      </c>
      <c r="E184" s="394">
        <f>'8-1.설비자재산출(전력통신)'!N117</f>
        <v>56</v>
      </c>
      <c r="F184" s="1200">
        <f>VLOOKUP(C184,'8-6.자재단가비교표'!$C$7:$O$332,12,0)</f>
        <v>623.00369999999998</v>
      </c>
      <c r="G184" s="1200">
        <f t="shared" si="72"/>
        <v>34888</v>
      </c>
      <c r="H184" s="248" t="str">
        <f>VLOOKUP(C184,'8-6.자재단가비교표'!$C$7:$O$332,13,0)</f>
        <v>물가자료</v>
      </c>
      <c r="I184" s="237"/>
      <c r="J184" s="537">
        <f t="shared" si="66"/>
        <v>0</v>
      </c>
      <c r="K184" s="459" t="str">
        <f t="shared" si="68"/>
        <v>셋트앙카(STS)</v>
      </c>
      <c r="L184" s="459" t="str">
        <f t="shared" si="69"/>
        <v>Φ3/8, 75㎜</v>
      </c>
      <c r="M184" s="430" t="str">
        <f t="shared" si="70"/>
        <v>개</v>
      </c>
      <c r="N184" s="394" t="e">
        <f>#REF!+#REF!</f>
        <v>#REF!</v>
      </c>
      <c r="O184" s="393">
        <f>VLOOKUP(L184,'8-6.자재단가비교표'!$C$8:$O$332,12,0)</f>
        <v>623.00369999999998</v>
      </c>
      <c r="P184" s="471" t="e">
        <f t="shared" si="71"/>
        <v>#REF!</v>
      </c>
      <c r="Q184" s="245" t="str">
        <f>VLOOKUP(L184,'8-6.자재단가비교표'!$C$8:$O$328,13,0)</f>
        <v>물가자료</v>
      </c>
      <c r="R184" s="34" t="e">
        <f t="shared" si="73"/>
        <v>#REF!</v>
      </c>
      <c r="S184" s="34" t="e">
        <f t="shared" si="74"/>
        <v>#REF!</v>
      </c>
      <c r="T184" s="34" t="e">
        <f>#REF!+#REF!</f>
        <v>#REF!</v>
      </c>
      <c r="U184" s="34" t="e">
        <f t="shared" si="64"/>
        <v>#REF!</v>
      </c>
    </row>
    <row r="185" spans="1:21" s="34" customFormat="1" ht="24.95" hidden="1" customHeight="1">
      <c r="A185" s="537"/>
      <c r="B185" s="392" t="str">
        <f>'8-1.설비자재산출(전력통신)'!C118</f>
        <v>전산볼트</v>
      </c>
      <c r="C185" s="1238" t="str">
        <f>'8-1.설비자재산출(전력통신)'!D118</f>
        <v>M10,철</v>
      </c>
      <c r="D185" s="430" t="str">
        <f>'8-1.설비자재산출(전력통신)'!I118</f>
        <v>개</v>
      </c>
      <c r="E185" s="394">
        <f>'8-1.설비자재산출(전력통신)'!N118</f>
        <v>24</v>
      </c>
      <c r="F185" s="1200">
        <f>VLOOKUP(C185,'8-6.자재단가비교표'!$C$7:$O$332,12,0)</f>
        <v>0</v>
      </c>
      <c r="G185" s="1200">
        <f t="shared" si="72"/>
        <v>0</v>
      </c>
      <c r="H185" s="248">
        <f>VLOOKUP(C185,'8-6.자재단가비교표'!$C$7:$O$332,13,0)</f>
        <v>0</v>
      </c>
      <c r="I185" s="237"/>
      <c r="J185" s="537">
        <f t="shared" si="66"/>
        <v>0</v>
      </c>
      <c r="K185" s="459" t="str">
        <f t="shared" si="68"/>
        <v>전산볼트</v>
      </c>
      <c r="L185" s="459" t="str">
        <f t="shared" si="69"/>
        <v>M10,철</v>
      </c>
      <c r="M185" s="430" t="str">
        <f t="shared" si="70"/>
        <v>개</v>
      </c>
      <c r="N185" s="394" t="e">
        <f>#REF!+#REF!</f>
        <v>#REF!</v>
      </c>
      <c r="O185" s="393">
        <f>VLOOKUP(L185,'8-6.자재단가비교표'!$C$8:$O$332,12,0)</f>
        <v>0</v>
      </c>
      <c r="P185" s="471" t="e">
        <f t="shared" si="71"/>
        <v>#REF!</v>
      </c>
      <c r="Q185" s="245">
        <f>VLOOKUP(L185,'8-6.자재단가비교표'!$C$8:$O$328,13,0)</f>
        <v>0</v>
      </c>
      <c r="R185" s="34" t="e">
        <f t="shared" si="73"/>
        <v>#REF!</v>
      </c>
      <c r="S185" s="34" t="e">
        <f t="shared" si="74"/>
        <v>#REF!</v>
      </c>
      <c r="T185" s="34" t="e">
        <f>#REF!+#REF!</f>
        <v>#REF!</v>
      </c>
      <c r="U185" s="34" t="e">
        <f t="shared" si="64"/>
        <v>#REF!</v>
      </c>
    </row>
    <row r="186" spans="1:21" s="34" customFormat="1" ht="24.95" hidden="1" customHeight="1">
      <c r="A186" s="537"/>
      <c r="B186" s="392" t="str">
        <f>'8-1.설비자재산출(전력통신)'!C119</f>
        <v>바닥고정브라켓(평마루용)</v>
      </c>
      <c r="C186" s="1238" t="str">
        <f>'8-1.설비자재산출(전력통신)'!D119</f>
        <v>600*750*25</v>
      </c>
      <c r="D186" s="430" t="str">
        <f>'8-1.설비자재산출(전력통신)'!I119</f>
        <v>EA</v>
      </c>
      <c r="E186" s="394">
        <f>'8-1.설비자재산출(전력통신)'!N119</f>
        <v>18</v>
      </c>
      <c r="F186" s="1200">
        <f>VLOOKUP(C186,'8-6.자재단가비교표'!$C$7:$O$332,12,0)</f>
        <v>0</v>
      </c>
      <c r="G186" s="1200">
        <f t="shared" si="72"/>
        <v>0</v>
      </c>
      <c r="H186" s="248">
        <f>VLOOKUP(C186,'8-6.자재단가비교표'!$C$7:$O$332,13,0)</f>
        <v>0</v>
      </c>
      <c r="I186" s="237"/>
      <c r="J186" s="537">
        <f t="shared" si="66"/>
        <v>0</v>
      </c>
      <c r="K186" s="459" t="str">
        <f t="shared" si="68"/>
        <v>바닥고정브라켓(평마루용)</v>
      </c>
      <c r="L186" s="459" t="str">
        <f t="shared" si="69"/>
        <v>600*750*25</v>
      </c>
      <c r="M186" s="430" t="str">
        <f t="shared" si="70"/>
        <v>EA</v>
      </c>
      <c r="N186" s="394" t="e">
        <f>#REF!+#REF!</f>
        <v>#REF!</v>
      </c>
      <c r="O186" s="393">
        <f>VLOOKUP(L186,'8-6.자재단가비교표'!$C$8:$O$332,12,0)</f>
        <v>0</v>
      </c>
      <c r="P186" s="471" t="e">
        <f t="shared" si="71"/>
        <v>#REF!</v>
      </c>
      <c r="Q186" s="245">
        <f>VLOOKUP(L186,'8-6.자재단가비교표'!$C$8:$O$328,13,0)</f>
        <v>0</v>
      </c>
      <c r="R186" s="34" t="e">
        <f t="shared" si="73"/>
        <v>#REF!</v>
      </c>
      <c r="S186" s="34" t="e">
        <f t="shared" si="74"/>
        <v>#REF!</v>
      </c>
      <c r="T186" s="34" t="e">
        <f>#REF!+#REF!</f>
        <v>#REF!</v>
      </c>
      <c r="U186" s="34" t="e">
        <f t="shared" si="64"/>
        <v>#REF!</v>
      </c>
    </row>
    <row r="187" spans="1:21" s="34" customFormat="1" ht="24.95" customHeight="1">
      <c r="A187" s="537"/>
      <c r="B187" s="392" t="str">
        <f>'8-1.설비자재산출(전력통신)'!C120</f>
        <v>랙명판</v>
      </c>
      <c r="C187" s="1238" t="str">
        <f>'8-1.설비자재산출(전력통신)'!D120</f>
        <v>AL,190*75*1t,헤어라인/검정색도색후 실크인쇄,후면 벨크로</v>
      </c>
      <c r="D187" s="430" t="str">
        <f>'8-1.설비자재산출(전력통신)'!I120</f>
        <v>EA</v>
      </c>
      <c r="E187" s="394">
        <f>'8-1.설비자재산출(전력통신)'!N120</f>
        <v>14</v>
      </c>
      <c r="F187" s="1200">
        <f>VLOOKUP(C187,'8-6.자재단가비교표'!$C$7:$O$332,12,0)</f>
        <v>30711.45</v>
      </c>
      <c r="G187" s="1200">
        <f t="shared" ref="G187:G193" si="75">INT(E187*F187)</f>
        <v>429960</v>
      </c>
      <c r="H187" s="248" t="str">
        <f>VLOOKUP(C187,'8-6.자재단가비교표'!$C$7:$O$332,13,0)</f>
        <v>견적가</v>
      </c>
      <c r="I187" s="237"/>
      <c r="J187" s="537">
        <f t="shared" si="66"/>
        <v>0</v>
      </c>
      <c r="K187" s="459" t="str">
        <f t="shared" si="68"/>
        <v>랙명판</v>
      </c>
      <c r="L187" s="459" t="str">
        <f t="shared" si="69"/>
        <v>AL,190*75*1t,헤어라인/검정색도색후 실크인쇄,후면 벨크로</v>
      </c>
      <c r="M187" s="430" t="str">
        <f t="shared" si="70"/>
        <v>EA</v>
      </c>
      <c r="N187" s="394" t="e">
        <f>#REF!+#REF!</f>
        <v>#REF!</v>
      </c>
      <c r="O187" s="393">
        <f>VLOOKUP(L187,'8-6.자재단가비교표'!$C$8:$O$332,12,0)</f>
        <v>30711.45</v>
      </c>
      <c r="P187" s="471" t="e">
        <f t="shared" si="71"/>
        <v>#REF!</v>
      </c>
      <c r="Q187" s="245" t="str">
        <f>VLOOKUP(L187,'8-6.자재단가비교표'!$C$8:$O$328,13,0)</f>
        <v>견적가</v>
      </c>
      <c r="R187" s="34" t="e">
        <f t="shared" si="73"/>
        <v>#REF!</v>
      </c>
      <c r="S187" s="34" t="e">
        <f t="shared" si="74"/>
        <v>#REF!</v>
      </c>
      <c r="T187" s="34" t="e">
        <f>#REF!+#REF!</f>
        <v>#REF!</v>
      </c>
      <c r="U187" s="34" t="e">
        <f t="shared" si="64"/>
        <v>#REF!</v>
      </c>
    </row>
    <row r="188" spans="1:21" s="34" customFormat="1" ht="24.95" customHeight="1">
      <c r="A188" s="537"/>
      <c r="B188" s="392" t="str">
        <f>'8-1.설비자재산출(전력통신)'!C121</f>
        <v>동관단자</v>
      </c>
      <c r="C188" s="1238" t="str">
        <f>'8-1.설비자재산출(전력통신)'!D121</f>
        <v>16㎟*2C</v>
      </c>
      <c r="D188" s="430" t="str">
        <f>'8-1.설비자재산출(전력통신)'!I121</f>
        <v>개</v>
      </c>
      <c r="E188" s="394">
        <f>'8-1.설비자재산출(전력통신)'!N121</f>
        <v>20</v>
      </c>
      <c r="F188" s="1200">
        <f>VLOOKUP(C188,'8-6.자재단가비교표'!$C$7:$O$332,12,0)</f>
        <v>596.67959999999994</v>
      </c>
      <c r="G188" s="1200">
        <f t="shared" si="75"/>
        <v>11933</v>
      </c>
      <c r="H188" s="248" t="str">
        <f>VLOOKUP(C188,'8-6.자재단가비교표'!$C$7:$O$332,13,0)</f>
        <v>물가자료</v>
      </c>
      <c r="I188" s="237"/>
      <c r="J188" s="537">
        <f t="shared" si="66"/>
        <v>0</v>
      </c>
      <c r="K188" s="459" t="str">
        <f t="shared" si="68"/>
        <v>동관단자</v>
      </c>
      <c r="L188" s="459" t="str">
        <f t="shared" si="69"/>
        <v>16㎟*2C</v>
      </c>
      <c r="M188" s="430" t="str">
        <f t="shared" si="70"/>
        <v>개</v>
      </c>
      <c r="N188" s="394" t="e">
        <f>#REF!+#REF!</f>
        <v>#REF!</v>
      </c>
      <c r="O188" s="393">
        <f>VLOOKUP(L188,'8-6.자재단가비교표'!$C$8:$O$332,12,0)</f>
        <v>596.67959999999994</v>
      </c>
      <c r="P188" s="471" t="e">
        <f t="shared" si="71"/>
        <v>#REF!</v>
      </c>
      <c r="Q188" s="245" t="str">
        <f>VLOOKUP(L188,'8-6.자재단가비교표'!$C$8:$O$328,13,0)</f>
        <v>물가자료</v>
      </c>
      <c r="R188" s="34" t="e">
        <f t="shared" si="73"/>
        <v>#REF!</v>
      </c>
      <c r="S188" s="34" t="e">
        <f t="shared" si="74"/>
        <v>#REF!</v>
      </c>
      <c r="T188" s="34" t="e">
        <f>#REF!+#REF!</f>
        <v>#REF!</v>
      </c>
      <c r="U188" s="34" t="e">
        <f t="shared" si="64"/>
        <v>#REF!</v>
      </c>
    </row>
    <row r="189" spans="1:21" s="34" customFormat="1" ht="24.95" customHeight="1">
      <c r="A189" s="537"/>
      <c r="B189" s="392" t="str">
        <f>'8-1.설비자재산출(전력통신)'!C122</f>
        <v>동관단자</v>
      </c>
      <c r="C189" s="1238" t="str">
        <f>'8-1.설비자재산출(전력통신)'!D122</f>
        <v>16㎟*3C</v>
      </c>
      <c r="D189" s="430" t="str">
        <f>'8-1.설비자재산출(전력통신)'!I122</f>
        <v>개</v>
      </c>
      <c r="E189" s="394">
        <f>'8-1.설비자재산출(전력통신)'!N122</f>
        <v>18</v>
      </c>
      <c r="F189" s="1200">
        <f>VLOOKUP(C189,'8-6.자재단가비교표'!$C$7:$O$332,12,0)</f>
        <v>596.67959999999994</v>
      </c>
      <c r="G189" s="1200">
        <f t="shared" si="75"/>
        <v>10740</v>
      </c>
      <c r="H189" s="248" t="str">
        <f>VLOOKUP(C189,'8-6.자재단가비교표'!$C$7:$O$332,13,0)</f>
        <v>물가자료</v>
      </c>
      <c r="I189" s="237"/>
      <c r="J189" s="537">
        <f t="shared" si="66"/>
        <v>0</v>
      </c>
      <c r="K189" s="459" t="str">
        <f t="shared" si="68"/>
        <v>동관단자</v>
      </c>
      <c r="L189" s="459" t="str">
        <f t="shared" si="69"/>
        <v>16㎟*3C</v>
      </c>
      <c r="M189" s="430" t="str">
        <f t="shared" si="70"/>
        <v>개</v>
      </c>
      <c r="N189" s="394" t="e">
        <f>#REF!+#REF!</f>
        <v>#REF!</v>
      </c>
      <c r="O189" s="393">
        <f>VLOOKUP(L189,'8-6.자재단가비교표'!$C$8:$O$332,12,0)</f>
        <v>596.67959999999994</v>
      </c>
      <c r="P189" s="471" t="e">
        <f t="shared" si="71"/>
        <v>#REF!</v>
      </c>
      <c r="Q189" s="245" t="str">
        <f>VLOOKUP(L189,'8-6.자재단가비교표'!$C$8:$O$328,13,0)</f>
        <v>물가자료</v>
      </c>
      <c r="R189" s="34" t="e">
        <f t="shared" si="73"/>
        <v>#REF!</v>
      </c>
      <c r="S189" s="34" t="e">
        <f t="shared" si="74"/>
        <v>#REF!</v>
      </c>
      <c r="T189" s="34" t="e">
        <f>#REF!+#REF!</f>
        <v>#REF!</v>
      </c>
      <c r="U189" s="34" t="e">
        <f t="shared" si="64"/>
        <v>#REF!</v>
      </c>
    </row>
    <row r="190" spans="1:21" s="34" customFormat="1" ht="24.95" customHeight="1">
      <c r="A190" s="533"/>
      <c r="B190" s="392" t="str">
        <f>'8-1.설비자재산출(전력통신)'!C123</f>
        <v>동관단자</v>
      </c>
      <c r="C190" s="1238" t="str">
        <f>'8-1.설비자재산출(전력통신)'!D123</f>
        <v>16㎟*4C</v>
      </c>
      <c r="D190" s="430" t="str">
        <f>'8-1.설비자재산출(전력통신)'!I123</f>
        <v>개</v>
      </c>
      <c r="E190" s="394">
        <f>'8-1.설비자재산출(전력통신)'!N123</f>
        <v>16</v>
      </c>
      <c r="F190" s="1200">
        <f>VLOOKUP(C190,'8-6.자재단가비교표'!$C$7:$O$332,12,0)</f>
        <v>324.66390000000001</v>
      </c>
      <c r="G190" s="1200">
        <f t="shared" si="75"/>
        <v>5194</v>
      </c>
      <c r="H190" s="248" t="str">
        <f>VLOOKUP(C190,'8-6.자재단가비교표'!$C$7:$O$332,13,0)</f>
        <v>물가자료</v>
      </c>
      <c r="J190" s="533">
        <f t="shared" si="66"/>
        <v>0</v>
      </c>
      <c r="K190" s="459" t="str">
        <f t="shared" si="68"/>
        <v>동관단자</v>
      </c>
      <c r="L190" s="459" t="str">
        <f t="shared" si="69"/>
        <v>16㎟*4C</v>
      </c>
      <c r="M190" s="430" t="str">
        <f t="shared" si="70"/>
        <v>개</v>
      </c>
      <c r="N190" s="394" t="e">
        <f>#REF!+#REF!</f>
        <v>#REF!</v>
      </c>
      <c r="O190" s="393">
        <f>VLOOKUP(L190,'8-6.자재단가비교표'!$C$8:$O$332,12,0)</f>
        <v>324.66390000000001</v>
      </c>
      <c r="P190" s="393" t="e">
        <f t="shared" si="71"/>
        <v>#REF!</v>
      </c>
      <c r="Q190" s="248" t="str">
        <f>VLOOKUP(L190,'8-6.자재단가비교표'!$C$8:$O$328,13,0)</f>
        <v>물가자료</v>
      </c>
      <c r="R190" s="34" t="e">
        <f t="shared" si="73"/>
        <v>#REF!</v>
      </c>
      <c r="S190" s="34" t="e">
        <f t="shared" si="74"/>
        <v>#REF!</v>
      </c>
      <c r="T190" s="34" t="e">
        <f>#REF!+#REF!</f>
        <v>#REF!</v>
      </c>
      <c r="U190" s="34" t="e">
        <f t="shared" si="64"/>
        <v>#REF!</v>
      </c>
    </row>
    <row r="191" spans="1:21" s="34" customFormat="1" ht="24.95" customHeight="1">
      <c r="A191" s="533"/>
      <c r="B191" s="392" t="str">
        <f>'8-1.설비자재산출(전력통신)'!C124</f>
        <v>동관단자</v>
      </c>
      <c r="C191" s="1238" t="str">
        <f>'8-1.설비자재산출(전력통신)'!D124</f>
        <v>35㎟*4C</v>
      </c>
      <c r="D191" s="430" t="str">
        <f>'8-1.설비자재산출(전력통신)'!I124</f>
        <v>개</v>
      </c>
      <c r="E191" s="394">
        <f>'8-1.설비자재산출(전력통신)'!N124</f>
        <v>16</v>
      </c>
      <c r="F191" s="1200">
        <f>VLOOKUP(C191,'8-6.자재단가비교표'!$C$7:$O$332,12,0)</f>
        <v>386.08679999999998</v>
      </c>
      <c r="G191" s="1200">
        <f t="shared" si="75"/>
        <v>6177</v>
      </c>
      <c r="H191" s="248" t="str">
        <f>VLOOKUP(C191,'8-6.자재단가비교표'!$C$7:$O$332,13,0)</f>
        <v>물가자료</v>
      </c>
      <c r="J191" s="533">
        <f t="shared" si="66"/>
        <v>0</v>
      </c>
      <c r="K191" s="459" t="str">
        <f t="shared" si="68"/>
        <v>동관단자</v>
      </c>
      <c r="L191" s="459" t="str">
        <f t="shared" si="69"/>
        <v>35㎟*4C</v>
      </c>
      <c r="M191" s="430" t="str">
        <f t="shared" si="70"/>
        <v>개</v>
      </c>
      <c r="N191" s="394" t="e">
        <f>#REF!+#REF!</f>
        <v>#REF!</v>
      </c>
      <c r="O191" s="393">
        <f>VLOOKUP(L191,'8-6.자재단가비교표'!$C$8:$O$332,12,0)</f>
        <v>386.08679999999998</v>
      </c>
      <c r="P191" s="393" t="e">
        <f t="shared" si="71"/>
        <v>#REF!</v>
      </c>
      <c r="Q191" s="248" t="str">
        <f>VLOOKUP(L191,'8-6.자재단가비교표'!$C$8:$O$328,13,0)</f>
        <v>물가자료</v>
      </c>
      <c r="R191" s="34" t="e">
        <f t="shared" si="73"/>
        <v>#REF!</v>
      </c>
      <c r="S191" s="34" t="e">
        <f t="shared" si="74"/>
        <v>#REF!</v>
      </c>
      <c r="T191" s="34" t="e">
        <f>#REF!+#REF!</f>
        <v>#REF!</v>
      </c>
      <c r="U191" s="34" t="e">
        <f t="shared" si="64"/>
        <v>#REF!</v>
      </c>
    </row>
    <row r="192" spans="1:21" s="34" customFormat="1" ht="24.95" customHeight="1">
      <c r="A192" s="533"/>
      <c r="B192" s="392" t="str">
        <f>'8-1.설비자재산출(전력통신)'!C125</f>
        <v>난연성제어케이블</v>
      </c>
      <c r="C192" s="1238" t="str">
        <f>'8-1.설비자재산출(전력통신)'!D125</f>
        <v>FR-CVV-S, 2.5SQ/2C</v>
      </c>
      <c r="D192" s="430" t="str">
        <f>'8-1.설비자재산출(전력통신)'!I125</f>
        <v>m</v>
      </c>
      <c r="E192" s="394">
        <f>'8-1.설비자재산출(전력통신)'!N125</f>
        <v>43</v>
      </c>
      <c r="F192" s="1200">
        <f>VLOOKUP(C192,'8-6.자재단가비교표'!$C$8:$O$332,12,0)</f>
        <v>2737.7064</v>
      </c>
      <c r="G192" s="1200">
        <f t="shared" si="75"/>
        <v>117721</v>
      </c>
      <c r="H192" s="248" t="str">
        <f>VLOOKUP(C192,'8-6.자재단가비교표'!$C$7:$O$332,13,0)</f>
        <v>견적가</v>
      </c>
      <c r="J192" s="533">
        <f t="shared" si="66"/>
        <v>0</v>
      </c>
      <c r="K192" s="459" t="str">
        <f t="shared" si="68"/>
        <v>난연성제어케이블</v>
      </c>
      <c r="L192" s="459" t="str">
        <f t="shared" si="69"/>
        <v>FR-CVV-S, 2.5SQ/2C</v>
      </c>
      <c r="M192" s="430" t="str">
        <f t="shared" si="70"/>
        <v>m</v>
      </c>
      <c r="N192" s="394" t="e">
        <f>#REF!+#REF!</f>
        <v>#REF!</v>
      </c>
      <c r="O192" s="393">
        <f>VLOOKUP(L192,'8-6.자재단가비교표'!$C$8:$O$332,12,0)</f>
        <v>2737.7064</v>
      </c>
      <c r="P192" s="393" t="e">
        <f t="shared" si="71"/>
        <v>#REF!</v>
      </c>
      <c r="Q192" s="248" t="str">
        <f>VLOOKUP(L192,'8-6.자재단가비교표'!$C$8:$O$328,13,0)</f>
        <v>견적가</v>
      </c>
      <c r="R192" s="34" t="e">
        <f t="shared" si="73"/>
        <v>#REF!</v>
      </c>
      <c r="S192" s="34" t="e">
        <f t="shared" si="74"/>
        <v>#REF!</v>
      </c>
      <c r="T192" s="34" t="e">
        <f>#REF!+#REF!</f>
        <v>#REF!</v>
      </c>
      <c r="U192" s="34" t="e">
        <f t="shared" si="64"/>
        <v>#REF!</v>
      </c>
    </row>
    <row r="193" spans="1:28" s="34" customFormat="1" ht="24.95" customHeight="1">
      <c r="A193" s="537"/>
      <c r="B193" s="392" t="str">
        <f>'8-1.설비자재산출(전력통신)'!C126</f>
        <v>잡자재</v>
      </c>
      <c r="C193" s="1238" t="str">
        <f>'8-1.설비자재산출(전력통신)'!D126</f>
        <v>전선, 케이블 배관자재의 2~5%</v>
      </c>
      <c r="D193" s="430" t="str">
        <f>'8-1.설비자재산출(전력통신)'!I126</f>
        <v>식</v>
      </c>
      <c r="E193" s="1234">
        <v>0.02</v>
      </c>
      <c r="F193" s="1200">
        <f>G177+G178+G179+G180+G181+G182+G183</f>
        <v>15382528</v>
      </c>
      <c r="G193" s="1200">
        <f t="shared" si="75"/>
        <v>307650</v>
      </c>
      <c r="H193" s="248"/>
      <c r="I193" s="237"/>
      <c r="J193" s="537">
        <f t="shared" si="66"/>
        <v>0</v>
      </c>
      <c r="K193" s="459" t="str">
        <f t="shared" si="68"/>
        <v>잡자재</v>
      </c>
      <c r="L193" s="459" t="str">
        <f t="shared" si="69"/>
        <v>전선, 케이블 배관자재의 2~5%</v>
      </c>
      <c r="M193" s="430" t="str">
        <f t="shared" si="70"/>
        <v>식</v>
      </c>
      <c r="N193" s="394" t="e">
        <f>#REF!+#REF!</f>
        <v>#REF!</v>
      </c>
      <c r="O193" s="393" t="e">
        <f>VLOOKUP(L193,'8-6.자재단가비교표'!$C$8:$O$332,12,0)</f>
        <v>#N/A</v>
      </c>
      <c r="P193" s="471" t="e">
        <f t="shared" si="71"/>
        <v>#REF!</v>
      </c>
      <c r="Q193" s="245" t="e">
        <f>VLOOKUP(L193,'8-6.자재단가비교표'!$C$8:$O$328,13,0)</f>
        <v>#N/A</v>
      </c>
      <c r="R193" s="34" t="e">
        <f t="shared" si="73"/>
        <v>#REF!</v>
      </c>
      <c r="S193" s="34" t="e">
        <f t="shared" si="74"/>
        <v>#REF!</v>
      </c>
      <c r="T193" s="34" t="e">
        <f>#REF!+#REF!</f>
        <v>#REF!</v>
      </c>
      <c r="U193" s="34" t="e">
        <f t="shared" si="64"/>
        <v>#REF!</v>
      </c>
    </row>
    <row r="194" spans="1:28" s="34" customFormat="1" ht="24.95" customHeight="1">
      <c r="A194" s="537"/>
      <c r="B194" s="459"/>
      <c r="C194" s="466"/>
      <c r="D194" s="430"/>
      <c r="E194" s="394"/>
      <c r="F194" s="1200"/>
      <c r="G194" s="1208"/>
      <c r="H194" s="245"/>
      <c r="I194" s="237"/>
      <c r="J194" s="537"/>
      <c r="K194" s="459"/>
      <c r="L194" s="459"/>
      <c r="M194" s="430"/>
      <c r="N194" s="394" t="e">
        <f>#REF!+#REF!</f>
        <v>#REF!</v>
      </c>
      <c r="O194" s="393"/>
      <c r="P194" s="471"/>
      <c r="Q194" s="245"/>
      <c r="R194" s="34" t="e">
        <f t="shared" ref="R194:R333" si="76">E194-N194</f>
        <v>#REF!</v>
      </c>
      <c r="S194" s="34">
        <f t="shared" ref="S194:S333" si="77">G194-P194</f>
        <v>0</v>
      </c>
      <c r="T194" s="34" t="e">
        <f>#REF!+#REF!</f>
        <v>#REF!</v>
      </c>
      <c r="U194" s="34" t="e">
        <f t="shared" si="64"/>
        <v>#REF!</v>
      </c>
    </row>
    <row r="195" spans="1:28" s="34" customFormat="1" ht="24.95" customHeight="1">
      <c r="A195" s="532" t="str">
        <f>'8-1.설비자재산출(전력통신)'!A128</f>
        <v>3. LAN, EPIA, 정보보호</v>
      </c>
      <c r="B195" s="466"/>
      <c r="C195" s="466"/>
      <c r="D195" s="394"/>
      <c r="E195" s="394"/>
      <c r="F195" s="1200"/>
      <c r="G195" s="1216">
        <f>SUM(G196:G227)</f>
        <v>1788725</v>
      </c>
      <c r="H195" s="245"/>
      <c r="J195" s="532" t="str">
        <f t="shared" ref="J195:J206" si="78">$A195</f>
        <v>3. LAN, EPIA, 정보보호</v>
      </c>
      <c r="K195" s="466"/>
      <c r="L195" s="466"/>
      <c r="M195" s="394"/>
      <c r="N195" s="394" t="e">
        <f>#REF!+#REF!</f>
        <v>#REF!</v>
      </c>
      <c r="O195" s="393"/>
      <c r="P195" s="469" t="e">
        <f>SUM(P196:P227)</f>
        <v>#REF!</v>
      </c>
      <c r="Q195" s="245"/>
      <c r="R195" s="34" t="e">
        <f t="shared" si="76"/>
        <v>#REF!</v>
      </c>
      <c r="S195" s="34" t="e">
        <f t="shared" si="77"/>
        <v>#REF!</v>
      </c>
      <c r="T195" s="34" t="e">
        <f>#REF!+#REF!</f>
        <v>#REF!</v>
      </c>
      <c r="U195" s="34" t="e">
        <f t="shared" si="64"/>
        <v>#REF!</v>
      </c>
    </row>
    <row r="196" spans="1:28" s="34" customFormat="1" ht="24.95" hidden="1" customHeight="1">
      <c r="A196" s="533"/>
      <c r="B196" s="392" t="str">
        <f>'8-1.설비자재산출(전력통신)'!C162</f>
        <v>19" RACK(MDF/내진)</v>
      </c>
      <c r="C196" s="1238" t="str">
        <f>'8-1.설비자재산출(전력통신)'!D162</f>
        <v>경하중,MDF,내진, 600(W)*750(D)*2000(H)</v>
      </c>
      <c r="D196" s="430" t="str">
        <f>'8-1.설비자재산출(전력통신)'!I162</f>
        <v>EA</v>
      </c>
      <c r="E196" s="394">
        <f>'8-1.설비자재산출(전력통신)'!N162</f>
        <v>0</v>
      </c>
      <c r="F196" s="1200">
        <f>VLOOKUP(C196,'8-6.자재단가비교표'!$C$7:$O$332,12,0)</f>
        <v>0</v>
      </c>
      <c r="G196" s="1200">
        <f>INT(E196*F196)</f>
        <v>0</v>
      </c>
      <c r="H196" s="248"/>
      <c r="J196" s="533">
        <f t="shared" si="78"/>
        <v>0</v>
      </c>
      <c r="K196" s="459" t="str">
        <f t="shared" ref="K196:K206" si="79">$B196</f>
        <v>19" RACK(MDF/내진)</v>
      </c>
      <c r="L196" s="459" t="str">
        <f t="shared" ref="L196:L206" si="80">$C196</f>
        <v>경하중,MDF,내진, 600(W)*750(D)*2000(H)</v>
      </c>
      <c r="M196" s="430" t="str">
        <f t="shared" ref="M196:M206" si="81">$D196</f>
        <v>EA</v>
      </c>
      <c r="N196" s="394" t="e">
        <f>#REF!+#REF!</f>
        <v>#REF!</v>
      </c>
      <c r="O196" s="393">
        <f>VLOOKUP(L196,'8-6.자재단가비교표'!$C$8:$O$332,12,0)</f>
        <v>0</v>
      </c>
      <c r="P196" s="393" t="e">
        <f>INT(N196*O196)</f>
        <v>#REF!</v>
      </c>
      <c r="Q196" s="248">
        <f>VLOOKUP(L196,'8-6.자재단가비교표'!$C$8:$O$328,13,0)</f>
        <v>0</v>
      </c>
      <c r="R196" s="34" t="e">
        <f t="shared" si="76"/>
        <v>#REF!</v>
      </c>
      <c r="S196" s="34" t="e">
        <f t="shared" si="77"/>
        <v>#REF!</v>
      </c>
      <c r="T196" s="34" t="e">
        <f>#REF!+#REF!</f>
        <v>#REF!</v>
      </c>
      <c r="U196" s="34" t="e">
        <f t="shared" si="64"/>
        <v>#REF!</v>
      </c>
    </row>
    <row r="197" spans="1:28" s="34" customFormat="1" ht="24.95" hidden="1" customHeight="1">
      <c r="A197" s="533"/>
      <c r="B197" s="392" t="str">
        <f>'8-1.설비자재산출(전력통신)'!C163</f>
        <v>19" RACK(LAN/내진)</v>
      </c>
      <c r="C197" s="1238" t="str">
        <f>'8-1.설비자재산출(전력통신)'!D163</f>
        <v>경하중,LAN,내진, 600(W)*750(D)*2000(H)</v>
      </c>
      <c r="D197" s="430" t="str">
        <f>'8-1.설비자재산출(전력통신)'!I163</f>
        <v>EA</v>
      </c>
      <c r="E197" s="394">
        <f>'8-1.설비자재산출(전력통신)'!N163</f>
        <v>0</v>
      </c>
      <c r="F197" s="1200">
        <f>VLOOKUP(C197,'8-6.자재단가비교표'!$C$7:$O$332,12,0)</f>
        <v>2088378.5999999999</v>
      </c>
      <c r="G197" s="1200">
        <f t="shared" ref="G197:G227" si="82">INT(E197*F197)</f>
        <v>0</v>
      </c>
      <c r="H197" s="248" t="str">
        <f>VLOOKUP(C197,'8-6.자재단가비교표'!$C$7:$O$332,13,0)</f>
        <v>견적가</v>
      </c>
      <c r="J197" s="533">
        <f t="shared" si="78"/>
        <v>0</v>
      </c>
      <c r="K197" s="459" t="str">
        <f t="shared" si="79"/>
        <v>19" RACK(LAN/내진)</v>
      </c>
      <c r="L197" s="459" t="str">
        <f t="shared" si="80"/>
        <v>경하중,LAN,내진, 600(W)*750(D)*2000(H)</v>
      </c>
      <c r="M197" s="430" t="str">
        <f t="shared" si="81"/>
        <v>EA</v>
      </c>
      <c r="N197" s="394" t="e">
        <f>#REF!+#REF!</f>
        <v>#REF!</v>
      </c>
      <c r="O197" s="393">
        <f>VLOOKUP(L197,'8-6.자재단가비교표'!$C$8:$O$332,12,0)</f>
        <v>2088378.5999999999</v>
      </c>
      <c r="P197" s="393" t="e">
        <f>INT(N197*O197)</f>
        <v>#REF!</v>
      </c>
      <c r="Q197" s="248" t="str">
        <f>VLOOKUP(L197,'8-6.자재단가비교표'!$C$8:$O$328,13,0)</f>
        <v>견적가</v>
      </c>
      <c r="R197" s="34" t="e">
        <f t="shared" si="76"/>
        <v>#REF!</v>
      </c>
      <c r="S197" s="34" t="e">
        <f t="shared" si="77"/>
        <v>#REF!</v>
      </c>
      <c r="T197" s="34" t="e">
        <f>#REF!+#REF!</f>
        <v>#REF!</v>
      </c>
      <c r="U197" s="34" t="e">
        <f t="shared" si="64"/>
        <v>#REF!</v>
      </c>
    </row>
    <row r="198" spans="1:28" s="34" customFormat="1" ht="24.95" hidden="1" customHeight="1">
      <c r="A198" s="533"/>
      <c r="B198" s="392" t="str">
        <f>'8-1.설비자재산출(전력통신)'!C164</f>
        <v>셋트앙카(STS)</v>
      </c>
      <c r="C198" s="1238" t="str">
        <f>'8-1.설비자재산출(전력통신)'!D164</f>
        <v>Φ3/8, 75㎜</v>
      </c>
      <c r="D198" s="430" t="str">
        <f>'8-1.설비자재산출(전력통신)'!I164</f>
        <v>개</v>
      </c>
      <c r="E198" s="394">
        <f>'8-1.설비자재산출(전력통신)'!N164</f>
        <v>0</v>
      </c>
      <c r="F198" s="1200">
        <f>VLOOKUP(C198,'8-6.자재단가비교표'!$C$7:$O$332,12,0)</f>
        <v>623.00369999999998</v>
      </c>
      <c r="G198" s="1200">
        <f t="shared" si="82"/>
        <v>0</v>
      </c>
      <c r="H198" s="248" t="str">
        <f>VLOOKUP(C198,'8-6.자재단가비교표'!$C$7:$O$332,13,0)</f>
        <v>물가자료</v>
      </c>
      <c r="J198" s="533">
        <f t="shared" si="78"/>
        <v>0</v>
      </c>
      <c r="K198" s="459" t="str">
        <f t="shared" si="79"/>
        <v>셋트앙카(STS)</v>
      </c>
      <c r="L198" s="459" t="str">
        <f t="shared" si="80"/>
        <v>Φ3/8, 75㎜</v>
      </c>
      <c r="M198" s="430" t="str">
        <f t="shared" si="81"/>
        <v>개</v>
      </c>
      <c r="N198" s="394" t="e">
        <f>#REF!+#REF!</f>
        <v>#REF!</v>
      </c>
      <c r="O198" s="393">
        <f>VLOOKUP(L198,'8-6.자재단가비교표'!$C$8:$O$332,12,0)</f>
        <v>623.00369999999998</v>
      </c>
      <c r="P198" s="393" t="e">
        <f>INT(N198*O198)</f>
        <v>#REF!</v>
      </c>
      <c r="Q198" s="248" t="str">
        <f>VLOOKUP(L198,'8-6.자재단가비교표'!$C$8:$O$328,13,0)</f>
        <v>물가자료</v>
      </c>
      <c r="R198" s="34" t="e">
        <f t="shared" si="76"/>
        <v>#REF!</v>
      </c>
      <c r="S198" s="34" t="e">
        <f t="shared" si="77"/>
        <v>#REF!</v>
      </c>
      <c r="T198" s="34" t="e">
        <f>#REF!+#REF!</f>
        <v>#REF!</v>
      </c>
      <c r="U198" s="34" t="e">
        <f t="shared" si="64"/>
        <v>#REF!</v>
      </c>
    </row>
    <row r="199" spans="1:28" s="34" customFormat="1" ht="24.95" customHeight="1">
      <c r="A199" s="533"/>
      <c r="B199" s="392" t="str">
        <f>'8-1.설비자재산출(전력통신)'!C165</f>
        <v>접지케이블</v>
      </c>
      <c r="C199" s="1238" t="str">
        <f>'8-1.설비자재산출(전력통신)'!D165</f>
        <v>F-GV, 6SQ</v>
      </c>
      <c r="D199" s="430" t="str">
        <f>'8-1.설비자재산출(전력통신)'!I165</f>
        <v>m</v>
      </c>
      <c r="E199" s="394">
        <f>'8-1.설비자재산출(전력통신)'!N165</f>
        <v>6</v>
      </c>
      <c r="F199" s="1200">
        <f>VLOOKUP(C199,'8-6.자재단가비교표'!$C$7:$O$332,12,0)</f>
        <v>1079.2881</v>
      </c>
      <c r="G199" s="1200">
        <f t="shared" si="82"/>
        <v>6475</v>
      </c>
      <c r="H199" s="248" t="str">
        <f>VLOOKUP(C199,'8-6.자재단가비교표'!$C$7:$O$332,13,0)</f>
        <v>물가정보</v>
      </c>
      <c r="J199" s="533">
        <f t="shared" si="78"/>
        <v>0</v>
      </c>
      <c r="K199" s="459" t="str">
        <f t="shared" si="79"/>
        <v>접지케이블</v>
      </c>
      <c r="L199" s="459" t="str">
        <f t="shared" si="80"/>
        <v>F-GV, 6SQ</v>
      </c>
      <c r="M199" s="430" t="str">
        <f t="shared" si="81"/>
        <v>m</v>
      </c>
      <c r="N199" s="394" t="e">
        <f>#REF!+#REF!</f>
        <v>#REF!</v>
      </c>
      <c r="O199" s="393">
        <f>VLOOKUP(L199,'8-6.자재단가비교표'!$C$8:$O$332,12,0)</f>
        <v>1079.2881</v>
      </c>
      <c r="P199" s="393" t="e">
        <f t="shared" ref="P199:P202" si="83">INT(N199*O199)</f>
        <v>#REF!</v>
      </c>
      <c r="Q199" s="248" t="str">
        <f>VLOOKUP(L199,'8-6.자재단가비교표'!$C$8:$O$328,13,0)</f>
        <v>물가정보</v>
      </c>
      <c r="R199" s="34" t="e">
        <f t="shared" si="76"/>
        <v>#REF!</v>
      </c>
      <c r="S199" s="34" t="e">
        <f t="shared" si="77"/>
        <v>#REF!</v>
      </c>
      <c r="T199" s="34" t="e">
        <f>#REF!+#REF!</f>
        <v>#REF!</v>
      </c>
      <c r="U199" s="34" t="e">
        <f t="shared" si="64"/>
        <v>#REF!</v>
      </c>
    </row>
    <row r="200" spans="1:28" s="34" customFormat="1" ht="24.95" hidden="1" customHeight="1">
      <c r="A200" s="533"/>
      <c r="B200" s="392" t="str">
        <f>'8-1.설비자재산출(전력통신)'!C166</f>
        <v>콘센트</v>
      </c>
      <c r="C200" s="1238" t="str">
        <f>'8-1.설비자재산출(전력통신)'!D166</f>
        <v>노출, 접지 2구</v>
      </c>
      <c r="D200" s="430" t="str">
        <f>'8-1.설비자재산출(전력통신)'!I166</f>
        <v>개</v>
      </c>
      <c r="E200" s="394">
        <f>'8-1.설비자재산출(전력통신)'!N166</f>
        <v>0</v>
      </c>
      <c r="F200" s="1200">
        <f>VLOOKUP(C200,'8-6.자재단가비교표'!$C$7:$O$332,12,0)</f>
        <v>1754.94</v>
      </c>
      <c r="G200" s="1200">
        <f t="shared" si="82"/>
        <v>0</v>
      </c>
      <c r="H200" s="248" t="str">
        <f>VLOOKUP(C200,'8-6.자재단가비교표'!$C$7:$O$332,13,0)</f>
        <v>물가자료</v>
      </c>
      <c r="J200" s="533">
        <f t="shared" si="78"/>
        <v>0</v>
      </c>
      <c r="K200" s="459" t="str">
        <f t="shared" si="79"/>
        <v>콘센트</v>
      </c>
      <c r="L200" s="459" t="str">
        <f t="shared" si="80"/>
        <v>노출, 접지 2구</v>
      </c>
      <c r="M200" s="430" t="str">
        <f t="shared" si="81"/>
        <v>개</v>
      </c>
      <c r="N200" s="394" t="e">
        <f>#REF!+#REF!</f>
        <v>#REF!</v>
      </c>
      <c r="O200" s="393">
        <f>VLOOKUP(L200,'8-6.자재단가비교표'!$C$8:$O$332,12,0)</f>
        <v>1754.94</v>
      </c>
      <c r="P200" s="393" t="e">
        <f t="shared" si="83"/>
        <v>#REF!</v>
      </c>
      <c r="Q200" s="248" t="str">
        <f>VLOOKUP(L200,'8-6.자재단가비교표'!$C$8:$O$328,13,0)</f>
        <v>물가자료</v>
      </c>
      <c r="R200" s="34" t="e">
        <f t="shared" si="76"/>
        <v>#REF!</v>
      </c>
      <c r="S200" s="34" t="e">
        <f t="shared" si="77"/>
        <v>#REF!</v>
      </c>
      <c r="T200" s="34" t="e">
        <f>#REF!+#REF!</f>
        <v>#REF!</v>
      </c>
      <c r="U200" s="34" t="e">
        <f t="shared" si="64"/>
        <v>#REF!</v>
      </c>
    </row>
    <row r="201" spans="1:28" s="34" customFormat="1" ht="24.95" hidden="1" customHeight="1">
      <c r="A201" s="533"/>
      <c r="B201" s="392" t="str">
        <f>'8-1.설비자재산출(전력통신)'!C167</f>
        <v>바닥고정브라켓(평마루용)</v>
      </c>
      <c r="C201" s="1238" t="str">
        <f>'8-1.설비자재산출(전력통신)'!D167</f>
        <v>600*750*25</v>
      </c>
      <c r="D201" s="430" t="str">
        <f>'8-1.설비자재산출(전력통신)'!I167</f>
        <v>EA</v>
      </c>
      <c r="E201" s="394">
        <f>'8-1.설비자재산출(전력통신)'!N167</f>
        <v>0</v>
      </c>
      <c r="F201" s="1200">
        <f>VLOOKUP(C201,'8-6.자재단가비교표'!$C$7:$O$332,12,0)</f>
        <v>0</v>
      </c>
      <c r="G201" s="1200">
        <f t="shared" si="82"/>
        <v>0</v>
      </c>
      <c r="H201" s="248">
        <f>VLOOKUP(C201,'8-6.자재단가비교표'!$C$7:$O$332,13,0)</f>
        <v>0</v>
      </c>
      <c r="J201" s="533">
        <f t="shared" si="78"/>
        <v>0</v>
      </c>
      <c r="K201" s="459" t="str">
        <f t="shared" si="79"/>
        <v>바닥고정브라켓(평마루용)</v>
      </c>
      <c r="L201" s="459" t="str">
        <f t="shared" si="80"/>
        <v>600*750*25</v>
      </c>
      <c r="M201" s="430" t="str">
        <f t="shared" si="81"/>
        <v>EA</v>
      </c>
      <c r="N201" s="394" t="e">
        <f>#REF!+#REF!</f>
        <v>#REF!</v>
      </c>
      <c r="O201" s="393">
        <f>VLOOKUP(L201,'8-6.자재단가비교표'!$C$8:$O$332,12,0)</f>
        <v>0</v>
      </c>
      <c r="P201" s="393" t="e">
        <f t="shared" si="83"/>
        <v>#REF!</v>
      </c>
      <c r="Q201" s="248">
        <f>VLOOKUP(L201,'8-6.자재단가비교표'!$C$8:$O$328,13,0)</f>
        <v>0</v>
      </c>
      <c r="R201" s="34" t="e">
        <f t="shared" si="76"/>
        <v>#REF!</v>
      </c>
      <c r="S201" s="34" t="e">
        <f t="shared" si="77"/>
        <v>#REF!</v>
      </c>
      <c r="T201" s="34" t="e">
        <f>#REF!+#REF!</f>
        <v>#REF!</v>
      </c>
      <c r="U201" s="34" t="e">
        <f t="shared" si="64"/>
        <v>#REF!</v>
      </c>
    </row>
    <row r="202" spans="1:28" s="34" customFormat="1" ht="24.95" customHeight="1">
      <c r="A202" s="533"/>
      <c r="B202" s="392" t="str">
        <f>'8-1.설비자재산출(전력통신)'!C168</f>
        <v>랙명판</v>
      </c>
      <c r="C202" s="1238" t="str">
        <f>'8-1.설비자재산출(전력통신)'!D168</f>
        <v>AL,190*75*1t,헤어라인/검정색도색후 실크인쇄,후면 벨크로</v>
      </c>
      <c r="D202" s="430" t="str">
        <f>'8-1.설비자재산출(전력통신)'!I168</f>
        <v>개</v>
      </c>
      <c r="E202" s="394">
        <f>'8-1.설비자재산출(전력통신)'!N168</f>
        <v>3</v>
      </c>
      <c r="F202" s="1200">
        <f>VLOOKUP(C202,'8-6.자재단가비교표'!$C$7:$O$332,12,0)</f>
        <v>30711.45</v>
      </c>
      <c r="G202" s="1200">
        <f t="shared" si="82"/>
        <v>92134</v>
      </c>
      <c r="H202" s="248" t="str">
        <f>VLOOKUP(C202,'8-6.자재단가비교표'!$C$7:$O$332,13,0)</f>
        <v>견적가</v>
      </c>
      <c r="J202" s="533">
        <f t="shared" si="78"/>
        <v>0</v>
      </c>
      <c r="K202" s="459" t="str">
        <f t="shared" si="79"/>
        <v>랙명판</v>
      </c>
      <c r="L202" s="459" t="str">
        <f t="shared" si="80"/>
        <v>AL,190*75*1t,헤어라인/검정색도색후 실크인쇄,후면 벨크로</v>
      </c>
      <c r="M202" s="430" t="str">
        <f t="shared" si="81"/>
        <v>개</v>
      </c>
      <c r="N202" s="394" t="e">
        <f>#REF!+#REF!</f>
        <v>#REF!</v>
      </c>
      <c r="O202" s="393">
        <f>VLOOKUP(L202,'8-6.자재단가비교표'!$C$8:$O$332,12,0)</f>
        <v>30711.45</v>
      </c>
      <c r="P202" s="393" t="e">
        <f t="shared" si="83"/>
        <v>#REF!</v>
      </c>
      <c r="Q202" s="248" t="str">
        <f>VLOOKUP(L202,'8-6.자재단가비교표'!$C$8:$O$328,13,0)</f>
        <v>견적가</v>
      </c>
      <c r="R202" s="34" t="e">
        <f t="shared" si="76"/>
        <v>#REF!</v>
      </c>
      <c r="S202" s="34" t="e">
        <f t="shared" si="77"/>
        <v>#REF!</v>
      </c>
      <c r="T202" s="34" t="e">
        <f>#REF!+#REF!</f>
        <v>#REF!</v>
      </c>
      <c r="U202" s="34" t="e">
        <f t="shared" si="64"/>
        <v>#REF!</v>
      </c>
    </row>
    <row r="203" spans="1:28" s="34" customFormat="1" ht="24.95" customHeight="1">
      <c r="A203" s="533"/>
      <c r="B203" s="392" t="str">
        <f>'8-1.설비자재산출(전력통신)'!C169</f>
        <v>HUB</v>
      </c>
      <c r="C203" s="1238" t="str">
        <f>'8-1.설비자재산출(전력통신)'!D169</f>
        <v>24포트 10/100</v>
      </c>
      <c r="D203" s="430" t="str">
        <f>'8-1.설비자재산출(전력통신)'!I169</f>
        <v>대</v>
      </c>
      <c r="E203" s="394">
        <f>'8-1.설비자재산출(전력통신)'!N169</f>
        <v>3</v>
      </c>
      <c r="F203" s="1200">
        <f>VLOOKUP(C203,'8-6.자재단가비교표'!$C$7:$O$332,12,0)</f>
        <v>324663.89999999997</v>
      </c>
      <c r="G203" s="1200">
        <f>INT(E203*F203)</f>
        <v>973991</v>
      </c>
      <c r="H203" s="248" t="str">
        <f>VLOOKUP(C203,'8-6.자재단가비교표'!$C$7:$O$332,13,0)</f>
        <v>견적가</v>
      </c>
      <c r="J203" s="533">
        <f t="shared" si="78"/>
        <v>0</v>
      </c>
      <c r="K203" s="459" t="str">
        <f t="shared" si="79"/>
        <v>HUB</v>
      </c>
      <c r="L203" s="459" t="str">
        <f t="shared" si="80"/>
        <v>24포트 10/100</v>
      </c>
      <c r="M203" s="430" t="str">
        <f t="shared" si="81"/>
        <v>대</v>
      </c>
      <c r="N203" s="394" t="e">
        <f>#REF!+#REF!</f>
        <v>#REF!</v>
      </c>
      <c r="O203" s="393">
        <f>VLOOKUP(L203,'8-6.자재단가비교표'!$C$8:$O$332,12,0)</f>
        <v>324663.89999999997</v>
      </c>
      <c r="P203" s="393" t="e">
        <f>INT(N203*O203)</f>
        <v>#REF!</v>
      </c>
      <c r="Q203" s="248" t="str">
        <f>VLOOKUP(L203,'8-6.자재단가비교표'!$C$8:$O$328,13,0)</f>
        <v>견적가</v>
      </c>
      <c r="R203" s="34" t="e">
        <f t="shared" si="76"/>
        <v>#REF!</v>
      </c>
      <c r="S203" s="34" t="e">
        <f t="shared" si="77"/>
        <v>#REF!</v>
      </c>
      <c r="T203" s="34" t="e">
        <f>#REF!+#REF!</f>
        <v>#REF!</v>
      </c>
      <c r="U203" s="34" t="e">
        <f t="shared" si="64"/>
        <v>#REF!</v>
      </c>
      <c r="AB203" s="1353"/>
    </row>
    <row r="204" spans="1:28" s="34" customFormat="1" ht="24.95" hidden="1" customHeight="1">
      <c r="A204" s="533"/>
      <c r="B204" s="392" t="str">
        <f>'8-1.설비자재산출(전력통신)'!C170</f>
        <v>PADP</v>
      </c>
      <c r="C204" s="1238" t="str">
        <f>'8-1.설비자재산출(전력통신)'!D170</f>
        <v>48V to 48V, 2채널</v>
      </c>
      <c r="D204" s="430" t="str">
        <f>'8-1.설비자재산출(전력통신)'!I170</f>
        <v>대</v>
      </c>
      <c r="E204" s="394">
        <f>'8-1.설비자재산출(전력통신)'!N170</f>
        <v>0</v>
      </c>
      <c r="F204" s="1200">
        <f>VLOOKUP(C204,'8-6.자재단가비교표'!$C$7:$O$332,12,0)</f>
        <v>833596.5</v>
      </c>
      <c r="G204" s="1200">
        <f t="shared" si="82"/>
        <v>0</v>
      </c>
      <c r="H204" s="248" t="str">
        <f>VLOOKUP(C204,'8-6.자재단가비교표'!$C$7:$O$332,13,0)</f>
        <v>견적가</v>
      </c>
      <c r="J204" s="533">
        <f t="shared" si="78"/>
        <v>0</v>
      </c>
      <c r="K204" s="459" t="str">
        <f t="shared" si="79"/>
        <v>PADP</v>
      </c>
      <c r="L204" s="459" t="str">
        <f t="shared" si="80"/>
        <v>48V to 48V, 2채널</v>
      </c>
      <c r="M204" s="430" t="str">
        <f t="shared" si="81"/>
        <v>대</v>
      </c>
      <c r="N204" s="394" t="e">
        <f>#REF!+#REF!</f>
        <v>#REF!</v>
      </c>
      <c r="O204" s="393">
        <f>VLOOKUP(L204,'8-6.자재단가비교표'!$C$8:$O$332,12,0)</f>
        <v>833596.5</v>
      </c>
      <c r="P204" s="393" t="e">
        <f t="shared" ref="P204:P206" si="84">INT(N204*O204)</f>
        <v>#REF!</v>
      </c>
      <c r="Q204" s="248" t="str">
        <f>VLOOKUP(L204,'8-6.자재단가비교표'!$C$8:$O$328,13,0)</f>
        <v>견적가</v>
      </c>
      <c r="R204" s="34" t="e">
        <f t="shared" si="76"/>
        <v>#REF!</v>
      </c>
      <c r="S204" s="34" t="e">
        <f t="shared" si="77"/>
        <v>#REF!</v>
      </c>
      <c r="T204" s="34" t="e">
        <f>#REF!+#REF!</f>
        <v>#REF!</v>
      </c>
      <c r="U204" s="34" t="e">
        <f t="shared" si="64"/>
        <v>#REF!</v>
      </c>
    </row>
    <row r="205" spans="1:28" s="34" customFormat="1" ht="24.95" customHeight="1">
      <c r="A205" s="533"/>
      <c r="B205" s="392" t="str">
        <f>'8-1.설비자재산출(전력통신)'!C171</f>
        <v>난연성전원케이블</v>
      </c>
      <c r="C205" s="1238" t="str">
        <f>'8-1.설비자재산출(전력통신)'!D171</f>
        <v>FR-CVV-S, 6SQ/2C</v>
      </c>
      <c r="D205" s="430" t="str">
        <f>'8-1.설비자재산출(전력통신)'!I171</f>
        <v>m</v>
      </c>
      <c r="E205" s="394">
        <f>'8-1.설비자재산출(전력통신)'!N171+'8-1.설비자재산출(전력통신)'!N172</f>
        <v>40</v>
      </c>
      <c r="F205" s="1200">
        <f>VLOOKUP(C205,'8-6.자재단가비교표'!$C$7:$O$332,12,0)</f>
        <v>4457.5475999999999</v>
      </c>
      <c r="G205" s="1200">
        <f t="shared" si="82"/>
        <v>178301</v>
      </c>
      <c r="H205" s="248" t="str">
        <f>VLOOKUP(C205,'8-6.자재단가비교표'!$C$7:$O$332,13,0)</f>
        <v>견적가</v>
      </c>
      <c r="J205" s="533">
        <f t="shared" si="78"/>
        <v>0</v>
      </c>
      <c r="K205" s="459" t="str">
        <f t="shared" si="79"/>
        <v>난연성전원케이블</v>
      </c>
      <c r="L205" s="459" t="str">
        <f t="shared" si="80"/>
        <v>FR-CVV-S, 6SQ/2C</v>
      </c>
      <c r="M205" s="430" t="str">
        <f t="shared" si="81"/>
        <v>m</v>
      </c>
      <c r="N205" s="394" t="e">
        <f>#REF!+#REF!</f>
        <v>#REF!</v>
      </c>
      <c r="O205" s="393">
        <f>VLOOKUP(L205,'8-6.자재단가비교표'!$C$8:$O$332,12,0)</f>
        <v>4457.5475999999999</v>
      </c>
      <c r="P205" s="393" t="e">
        <f t="shared" si="84"/>
        <v>#REF!</v>
      </c>
      <c r="Q205" s="248" t="str">
        <f>VLOOKUP(L205,'8-6.자재단가비교표'!$C$8:$O$328,13,0)</f>
        <v>견적가</v>
      </c>
      <c r="R205" s="34" t="e">
        <f t="shared" si="76"/>
        <v>#REF!</v>
      </c>
      <c r="S205" s="34" t="e">
        <f t="shared" si="77"/>
        <v>#REF!</v>
      </c>
      <c r="T205" s="34" t="e">
        <f>#REF!+#REF!</f>
        <v>#REF!</v>
      </c>
      <c r="U205" s="34" t="e">
        <f t="shared" si="64"/>
        <v>#REF!</v>
      </c>
    </row>
    <row r="206" spans="1:28" s="34" customFormat="1" ht="24.95" hidden="1" customHeight="1">
      <c r="A206" s="533"/>
      <c r="B206" s="392" t="str">
        <f>'8-1.설비자재산출(전력통신)'!C172</f>
        <v>난연성전원케이블</v>
      </c>
      <c r="C206" s="1238" t="str">
        <f>'8-1.설비자재산출(전력통신)'!D172</f>
        <v>FR-CVV-S, 6SQ/2C</v>
      </c>
      <c r="D206" s="430" t="str">
        <f>'8-1.설비자재산출(전력통신)'!I172</f>
        <v>m</v>
      </c>
      <c r="E206" s="394"/>
      <c r="F206" s="1200">
        <f>VLOOKUP(C206,'8-6.자재단가비교표'!$C$7:$O$332,12,0)</f>
        <v>4457.5475999999999</v>
      </c>
      <c r="G206" s="1200">
        <f t="shared" si="82"/>
        <v>0</v>
      </c>
      <c r="H206" s="248" t="str">
        <f>VLOOKUP(C206,'8-6.자재단가비교표'!$C$7:$O$332,13,0)</f>
        <v>견적가</v>
      </c>
      <c r="J206" s="533">
        <f t="shared" si="78"/>
        <v>0</v>
      </c>
      <c r="K206" s="459" t="str">
        <f t="shared" si="79"/>
        <v>난연성전원케이블</v>
      </c>
      <c r="L206" s="459" t="str">
        <f t="shared" si="80"/>
        <v>FR-CVV-S, 6SQ/2C</v>
      </c>
      <c r="M206" s="430" t="str">
        <f t="shared" si="81"/>
        <v>m</v>
      </c>
      <c r="N206" s="394" t="e">
        <f>#REF!+#REF!</f>
        <v>#REF!</v>
      </c>
      <c r="O206" s="393">
        <f>VLOOKUP(L206,'8-6.자재단가비교표'!$C$8:$O$332,12,0)</f>
        <v>4457.5475999999999</v>
      </c>
      <c r="P206" s="393" t="e">
        <f t="shared" si="84"/>
        <v>#REF!</v>
      </c>
      <c r="Q206" s="248" t="str">
        <f>VLOOKUP(L206,'8-6.자재단가비교표'!$C$8:$O$328,13,0)</f>
        <v>견적가</v>
      </c>
      <c r="R206" s="34" t="e">
        <f t="shared" si="76"/>
        <v>#REF!</v>
      </c>
      <c r="S206" s="34" t="e">
        <f t="shared" si="77"/>
        <v>#REF!</v>
      </c>
      <c r="T206" s="34" t="e">
        <f>#REF!+#REF!</f>
        <v>#REF!</v>
      </c>
      <c r="U206" s="34" t="e">
        <f t="shared" si="64"/>
        <v>#REF!</v>
      </c>
    </row>
    <row r="207" spans="1:28" s="34" customFormat="1" ht="24.95" customHeight="1">
      <c r="A207" s="533"/>
      <c r="B207" s="392" t="str">
        <f>'8-1.설비자재산출(전력통신)'!C173</f>
        <v>UTP케이블</v>
      </c>
      <c r="C207" s="1238" t="str">
        <f>'8-1.설비자재산출(전력통신)'!D173</f>
        <v>CAT.5E 4P</v>
      </c>
      <c r="D207" s="430" t="str">
        <f>'8-1.설비자재산출(전력통신)'!I173</f>
        <v>m</v>
      </c>
      <c r="E207" s="394">
        <f>'8-1.설비자재산출(전력통신)'!N173</f>
        <v>16</v>
      </c>
      <c r="F207" s="1200">
        <f>VLOOKUP(C207,'8-6.자재단가비교표'!$C$7:$O$332,12,0)</f>
        <v>693.20129999999995</v>
      </c>
      <c r="G207" s="1200">
        <f t="shared" si="82"/>
        <v>11091</v>
      </c>
      <c r="H207" s="248" t="str">
        <f>VLOOKUP(C207,'8-6.자재단가비교표'!$C$7:$O$332,13,0)</f>
        <v>물가자료</v>
      </c>
      <c r="J207" s="533"/>
      <c r="K207" s="459"/>
      <c r="L207" s="459"/>
      <c r="M207" s="430"/>
      <c r="N207" s="394"/>
      <c r="O207" s="393"/>
      <c r="P207" s="393"/>
      <c r="Q207" s="248"/>
    </row>
    <row r="208" spans="1:28" s="34" customFormat="1" ht="24.95" customHeight="1">
      <c r="A208" s="533"/>
      <c r="B208" s="392" t="str">
        <f>'8-1.설비자재산출(전력통신)'!C174</f>
        <v>후렉시블전선관</v>
      </c>
      <c r="C208" s="1238" t="str">
        <f>'8-1.설비자재산출(전력통신)'!D174</f>
        <v>16㎜, 일반방수(GW-16)</v>
      </c>
      <c r="D208" s="430" t="str">
        <f>'8-1.설비자재산출(전력통신)'!I174</f>
        <v>m</v>
      </c>
      <c r="E208" s="394">
        <f>'8-1.설비자재산출(전력통신)'!N174</f>
        <v>5</v>
      </c>
      <c r="F208" s="1200">
        <f>VLOOKUP(C208,'8-6.자재단가비교표'!$C$7:$O$332,12,0)</f>
        <v>1983.0821999999998</v>
      </c>
      <c r="G208" s="1200">
        <f t="shared" si="82"/>
        <v>9915</v>
      </c>
      <c r="H208" s="248" t="s">
        <v>3170</v>
      </c>
      <c r="J208" s="533"/>
      <c r="K208" s="459"/>
      <c r="L208" s="459"/>
      <c r="M208" s="430"/>
      <c r="N208" s="394"/>
      <c r="O208" s="393"/>
      <c r="P208" s="393"/>
      <c r="Q208" s="248"/>
    </row>
    <row r="209" spans="1:17" s="34" customFormat="1" ht="24.95" hidden="1" customHeight="1">
      <c r="A209" s="533"/>
      <c r="B209" s="392" t="str">
        <f>'8-1.설비자재산출(전력통신)'!C175</f>
        <v>광모뎀 전원2중화 장치</v>
      </c>
      <c r="C209" s="1238" t="str">
        <f>'8-1.설비자재산출(전력통신)'!D175</f>
        <v>입력DC48/220V 출력DC 24V</v>
      </c>
      <c r="D209" s="430" t="str">
        <f>'8-1.설비자재산출(전력통신)'!I175</f>
        <v>대</v>
      </c>
      <c r="E209" s="394">
        <f>'8-1.설비자재산출(전력통신)'!N175</f>
        <v>0</v>
      </c>
      <c r="F209" s="1200">
        <f>VLOOKUP(C209,'8-6.자재단가비교표'!$C$7:$O$332,12,0)</f>
        <v>526482</v>
      </c>
      <c r="G209" s="1200">
        <f t="shared" si="82"/>
        <v>0</v>
      </c>
      <c r="H209" s="248" t="str">
        <f>VLOOKUP(C209,'8-6.자재단가비교표'!$C$7:$O$332,13,0)</f>
        <v>견적가</v>
      </c>
      <c r="J209" s="533"/>
      <c r="K209" s="459"/>
      <c r="L209" s="459"/>
      <c r="M209" s="430"/>
      <c r="N209" s="394"/>
      <c r="O209" s="393"/>
      <c r="P209" s="393"/>
      <c r="Q209" s="248"/>
    </row>
    <row r="210" spans="1:17" s="34" customFormat="1" ht="24.95" hidden="1" customHeight="1">
      <c r="A210" s="533"/>
      <c r="B210" s="392" t="str">
        <f>'8-1.설비자재산출(전력통신)'!C176</f>
        <v>광점퍼코드</v>
      </c>
      <c r="C210" s="1238" t="str">
        <f>'8-1.설비자재산출(전력통신)'!D176</f>
        <v>1C SC/APC-SC/APC, 15m</v>
      </c>
      <c r="D210" s="430" t="str">
        <f>'8-1.설비자재산출(전력통신)'!I176</f>
        <v>m</v>
      </c>
      <c r="E210" s="394">
        <f>'8-1.설비자재산출(전력통신)'!N176</f>
        <v>0</v>
      </c>
      <c r="F210" s="1200">
        <f>VLOOKUP(C210,'8-6.자재단가비교표'!$C$7:$O$332,12,0)</f>
        <v>13162.05</v>
      </c>
      <c r="G210" s="1200">
        <f t="shared" si="82"/>
        <v>0</v>
      </c>
      <c r="H210" s="248" t="str">
        <f>VLOOKUP(C210,'8-6.자재단가비교표'!$C$7:$O$332,13,0)</f>
        <v>견적가</v>
      </c>
      <c r="J210" s="533"/>
      <c r="K210" s="459"/>
      <c r="L210" s="459"/>
      <c r="M210" s="430"/>
      <c r="N210" s="394"/>
      <c r="O210" s="393"/>
      <c r="P210" s="393"/>
      <c r="Q210" s="248"/>
    </row>
    <row r="211" spans="1:17" s="34" customFormat="1" ht="24.95" hidden="1" customHeight="1">
      <c r="A211" s="533"/>
      <c r="B211" s="392" t="str">
        <f>'8-1.설비자재산출(전력통신)'!C177</f>
        <v>L2 연계장치</v>
      </c>
      <c r="C211" s="1238" t="str">
        <f>'8-1.설비자재산출(전력통신)'!D177</f>
        <v>1Port-Gigabit Ring</v>
      </c>
      <c r="D211" s="430" t="str">
        <f>'8-1.설비자재산출(전력통신)'!I177</f>
        <v>대</v>
      </c>
      <c r="E211" s="394">
        <f>'8-1.설비자재산출(전력통신)'!N177</f>
        <v>0</v>
      </c>
      <c r="F211" s="1200">
        <f>VLOOKUP(C211,'8-6.자재단가비교표'!$C$7:$O$332,12,0)</f>
        <v>1491699</v>
      </c>
      <c r="G211" s="1200">
        <f t="shared" si="82"/>
        <v>0</v>
      </c>
      <c r="H211" s="248" t="str">
        <f>VLOOKUP(C211,'8-6.자재단가비교표'!$C$7:$O$332,13,0)</f>
        <v>견적가</v>
      </c>
      <c r="J211" s="533"/>
      <c r="K211" s="459"/>
      <c r="L211" s="459"/>
      <c r="M211" s="430"/>
      <c r="N211" s="394"/>
      <c r="O211" s="393"/>
      <c r="P211" s="393"/>
      <c r="Q211" s="248"/>
    </row>
    <row r="212" spans="1:17" s="34" customFormat="1" ht="24.95" customHeight="1">
      <c r="A212" s="533"/>
      <c r="B212" s="392" t="str">
        <f>'8-1.설비자재산출(전력통신)'!C178</f>
        <v>문감지기</v>
      </c>
      <c r="C212" s="1238" t="str">
        <f>'8-1.설비자재산출(전력통신)'!D178</f>
        <v>일반형</v>
      </c>
      <c r="D212" s="430" t="str">
        <f>'8-1.설비자재산출(전력통신)'!I178</f>
        <v>개</v>
      </c>
      <c r="E212" s="394">
        <f>'8-1.설비자재산출(전력통신)'!N178</f>
        <v>6</v>
      </c>
      <c r="F212" s="1200">
        <f>VLOOKUP(C212,'8-6.자재단가비교표'!$C$7:$O$332,12,0)</f>
        <v>52648.2</v>
      </c>
      <c r="G212" s="1200">
        <f t="shared" si="82"/>
        <v>315889</v>
      </c>
      <c r="H212" s="248" t="str">
        <f>VLOOKUP(C212,'8-6.자재단가비교표'!$C$7:$O$332,13,0)</f>
        <v>견적가</v>
      </c>
      <c r="J212" s="533"/>
      <c r="K212" s="459"/>
      <c r="L212" s="459"/>
      <c r="M212" s="430"/>
      <c r="N212" s="394"/>
      <c r="O212" s="393"/>
      <c r="P212" s="393"/>
      <c r="Q212" s="248"/>
    </row>
    <row r="213" spans="1:17" s="34" customFormat="1" ht="24.95" customHeight="1">
      <c r="A213" s="533"/>
      <c r="B213" s="392" t="str">
        <f>'8-1.설비자재산출(전력통신)'!C179</f>
        <v>UTP케이블</v>
      </c>
      <c r="C213" s="1238" t="str">
        <f>'8-1.설비자재산출(전력통신)'!D179</f>
        <v>CAT.5E 4P</v>
      </c>
      <c r="D213" s="430" t="str">
        <f>'8-1.설비자재산출(전력통신)'!I179</f>
        <v>m</v>
      </c>
      <c r="E213" s="394">
        <f>'8-1.설비자재산출(전력통신)'!N179</f>
        <v>111</v>
      </c>
      <c r="F213" s="1200">
        <f>VLOOKUP(C213,'8-6.자재단가비교표'!$C$7:$O$332,12,0)</f>
        <v>693.20129999999995</v>
      </c>
      <c r="G213" s="1200">
        <f t="shared" si="82"/>
        <v>76945</v>
      </c>
      <c r="H213" s="248" t="str">
        <f>VLOOKUP(C213,'8-6.자재단가비교표'!$C$7:$O$332,13,0)</f>
        <v>물가자료</v>
      </c>
      <c r="J213" s="533"/>
      <c r="K213" s="459"/>
      <c r="L213" s="459"/>
      <c r="M213" s="430"/>
      <c r="N213" s="394"/>
      <c r="O213" s="393"/>
      <c r="P213" s="393"/>
      <c r="Q213" s="248"/>
    </row>
    <row r="214" spans="1:17" s="34" customFormat="1" ht="24.95" customHeight="1">
      <c r="A214" s="533"/>
      <c r="B214" s="392" t="str">
        <f>'8-1.설비자재산출(전력통신)'!C180</f>
        <v>후렉시블전선관</v>
      </c>
      <c r="C214" s="1238" t="str">
        <f>'8-1.설비자재산출(전력통신)'!D180</f>
        <v>16㎜, 일반방수(GW-16)</v>
      </c>
      <c r="D214" s="430" t="str">
        <f>'8-1.설비자재산출(전력통신)'!I180</f>
        <v>m</v>
      </c>
      <c r="E214" s="394">
        <f>'8-1.설비자재산출(전력통신)'!N180</f>
        <v>58.5</v>
      </c>
      <c r="F214" s="1200">
        <f>VLOOKUP(C214,'8-6.자재단가비교표'!$C$7:$O$332,12,0)</f>
        <v>1983.0821999999998</v>
      </c>
      <c r="G214" s="1200">
        <f t="shared" si="82"/>
        <v>116010</v>
      </c>
      <c r="H214" s="248" t="s">
        <v>3170</v>
      </c>
      <c r="J214" s="533"/>
      <c r="K214" s="459"/>
      <c r="L214" s="459"/>
      <c r="M214" s="430"/>
      <c r="N214" s="394"/>
      <c r="O214" s="393"/>
      <c r="P214" s="393"/>
      <c r="Q214" s="248"/>
    </row>
    <row r="215" spans="1:17" s="34" customFormat="1" ht="24.95" hidden="1" customHeight="1">
      <c r="A215" s="533"/>
      <c r="B215" s="392" t="str">
        <f>'8-1.설비자재산출(전력통신)'!C181</f>
        <v>파워링</v>
      </c>
      <c r="C215" s="1238" t="str">
        <f>'8-1.설비자재산출(전력통신)'!D181</f>
        <v>출력 30VAC이상, 100M용 방수형 전원선 포함</v>
      </c>
      <c r="D215" s="430" t="str">
        <f>'8-1.설비자재산출(전력통신)'!I181</f>
        <v>개</v>
      </c>
      <c r="E215" s="394">
        <f>'8-1.설비자재산출(전력통신)'!N181</f>
        <v>0</v>
      </c>
      <c r="F215" s="1200">
        <f>VLOOKUP(C215,'8-6.자재단가비교표'!$C$7:$O$332,12,0)</f>
        <v>0</v>
      </c>
      <c r="G215" s="1200">
        <f t="shared" si="82"/>
        <v>0</v>
      </c>
      <c r="H215" s="248">
        <f>VLOOKUP(C215,'8-6.자재단가비교표'!$C$7:$O$332,13,0)</f>
        <v>0</v>
      </c>
      <c r="J215" s="533"/>
      <c r="K215" s="459"/>
      <c r="L215" s="459"/>
      <c r="M215" s="430"/>
      <c r="N215" s="394"/>
      <c r="O215" s="393"/>
      <c r="P215" s="393"/>
      <c r="Q215" s="248"/>
    </row>
    <row r="216" spans="1:17" s="34" customFormat="1" ht="24.95" hidden="1" customHeight="1">
      <c r="A216" s="533"/>
      <c r="B216" s="392" t="str">
        <f>'8-1.설비자재산출(전력통신)'!C182</f>
        <v>파워링전원장치</v>
      </c>
      <c r="C216" s="1238" t="str">
        <f>'8-1.설비자재산출(전력통신)'!D182</f>
        <v>50W, 12Vdc/24Vdc 출력</v>
      </c>
      <c r="D216" s="430" t="str">
        <f>'8-1.설비자재산출(전력통신)'!I182</f>
        <v>개</v>
      </c>
      <c r="E216" s="394">
        <f>'8-1.설비자재산출(전력통신)'!N182</f>
        <v>0</v>
      </c>
      <c r="F216" s="1200">
        <f>VLOOKUP(C216,'8-6.자재단가비교표'!$C$7:$O$332,12,0)</f>
        <v>0</v>
      </c>
      <c r="G216" s="1200">
        <f t="shared" si="82"/>
        <v>0</v>
      </c>
      <c r="H216" s="248">
        <f>VLOOKUP(C216,'8-6.자재단가비교표'!$C$7:$O$332,13,0)</f>
        <v>0</v>
      </c>
      <c r="J216" s="533"/>
      <c r="K216" s="459"/>
      <c r="L216" s="459"/>
      <c r="M216" s="430"/>
      <c r="N216" s="394"/>
      <c r="O216" s="393"/>
      <c r="P216" s="393"/>
      <c r="Q216" s="248"/>
    </row>
    <row r="217" spans="1:17" s="34" customFormat="1" ht="24.95" hidden="1" customHeight="1">
      <c r="A217" s="533"/>
      <c r="B217" s="392" t="str">
        <f>'8-1.설비자재산출(전력통신)'!C183</f>
        <v>PLC 송전용 커플러</v>
      </c>
      <c r="C217" s="1238" t="str">
        <f>'8-1.설비자재산출(전력통신)'!D183</f>
        <v>비접촉식, 100M용 5C 케이블 포함</v>
      </c>
      <c r="D217" s="430" t="str">
        <f>'8-1.설비자재산출(전력통신)'!I183</f>
        <v>개</v>
      </c>
      <c r="E217" s="394">
        <f>'8-1.설비자재산출(전력통신)'!N183</f>
        <v>0</v>
      </c>
      <c r="F217" s="1200">
        <f>VLOOKUP(C217,'8-6.자재단가비교표'!$C$7:$O$332,12,0)</f>
        <v>0</v>
      </c>
      <c r="G217" s="1200">
        <f t="shared" si="82"/>
        <v>0</v>
      </c>
      <c r="H217" s="248">
        <f>VLOOKUP(C217,'8-6.자재단가비교표'!$C$7:$O$332,13,0)</f>
        <v>0</v>
      </c>
      <c r="J217" s="533"/>
      <c r="K217" s="459"/>
      <c r="L217" s="459"/>
      <c r="M217" s="430"/>
      <c r="N217" s="394"/>
      <c r="O217" s="393"/>
      <c r="P217" s="393"/>
      <c r="Q217" s="248"/>
    </row>
    <row r="218" spans="1:17" s="34" customFormat="1" ht="24.95" hidden="1" customHeight="1">
      <c r="A218" s="533"/>
      <c r="B218" s="392" t="str">
        <f>'8-1.설비자재산출(전력통신)'!C184</f>
        <v>전력선모뎀</v>
      </c>
      <c r="C218" s="1238" t="str">
        <f>'8-1.설비자재산출(전력통신)'!D184</f>
        <v>BNC connector, RJ45 *2, 10/100/1000Mbps지원</v>
      </c>
      <c r="D218" s="430" t="str">
        <f>'8-1.설비자재산출(전력통신)'!I184</f>
        <v>개</v>
      </c>
      <c r="E218" s="394">
        <f>'8-1.설비자재산출(전력통신)'!N184</f>
        <v>0</v>
      </c>
      <c r="F218" s="1200">
        <f>VLOOKUP(C218,'8-6.자재단가비교표'!$C$7:$O$332,12,0)</f>
        <v>0</v>
      </c>
      <c r="G218" s="1200">
        <f t="shared" si="82"/>
        <v>0</v>
      </c>
      <c r="H218" s="248">
        <f>VLOOKUP(C218,'8-6.자재단가비교표'!$C$7:$O$332,13,0)</f>
        <v>0</v>
      </c>
      <c r="J218" s="533"/>
      <c r="K218" s="459"/>
      <c r="L218" s="459"/>
      <c r="M218" s="430"/>
      <c r="N218" s="394"/>
      <c r="O218" s="393"/>
      <c r="P218" s="393"/>
      <c r="Q218" s="248"/>
    </row>
    <row r="219" spans="1:17" s="34" customFormat="1" ht="24.95" hidden="1" customHeight="1">
      <c r="A219" s="533"/>
      <c r="B219" s="392" t="str">
        <f>'8-1.설비자재산출(전력통신)'!C185</f>
        <v>지능형전원장치</v>
      </c>
      <c r="C219" s="1238" t="str">
        <f>'8-1.설비자재산출(전력통신)'!D185</f>
        <v>다중입력 및 출력지원, 원격제어</v>
      </c>
      <c r="D219" s="430" t="str">
        <f>'8-1.설비자재산출(전력통신)'!I185</f>
        <v>대</v>
      </c>
      <c r="E219" s="394">
        <f>'8-1.설비자재산출(전력통신)'!N185</f>
        <v>0</v>
      </c>
      <c r="F219" s="1200">
        <f>VLOOKUP(C219,'8-6.자재단가비교표'!$C$7:$O$332,12,0)</f>
        <v>0</v>
      </c>
      <c r="G219" s="1200">
        <f t="shared" si="82"/>
        <v>0</v>
      </c>
      <c r="H219" s="248">
        <f>VLOOKUP(C219,'8-6.자재단가비교표'!$C$7:$O$332,13,0)</f>
        <v>0</v>
      </c>
      <c r="J219" s="533"/>
      <c r="K219" s="459"/>
      <c r="L219" s="459"/>
      <c r="M219" s="430"/>
      <c r="N219" s="394"/>
      <c r="O219" s="393"/>
      <c r="P219" s="393"/>
      <c r="Q219" s="248"/>
    </row>
    <row r="220" spans="1:17" s="34" customFormat="1" ht="24.95" hidden="1" customHeight="1">
      <c r="A220" s="533"/>
      <c r="B220" s="392" t="str">
        <f>'8-1.설비자재산출(전력통신)'!C186</f>
        <v>철탑용광전송장치</v>
      </c>
      <c r="C220" s="1238" t="str">
        <f>'8-1.설비자재산출(전력통신)'!D186</f>
        <v>1core, cwdm 8파장</v>
      </c>
      <c r="D220" s="430" t="str">
        <f>'8-1.설비자재산출(전력통신)'!I186</f>
        <v>대</v>
      </c>
      <c r="E220" s="394">
        <f>'8-1.설비자재산출(전력통신)'!N186</f>
        <v>0</v>
      </c>
      <c r="F220" s="1200">
        <f>VLOOKUP(C220,'8-6.자재단가비교표'!$C$7:$O$332,12,0)</f>
        <v>0</v>
      </c>
      <c r="G220" s="1200">
        <f t="shared" si="82"/>
        <v>0</v>
      </c>
      <c r="H220" s="248">
        <f>VLOOKUP(C220,'8-6.자재단가비교표'!$C$7:$O$332,13,0)</f>
        <v>0</v>
      </c>
      <c r="J220" s="533"/>
      <c r="K220" s="459"/>
      <c r="L220" s="459"/>
      <c r="M220" s="430"/>
      <c r="N220" s="394"/>
      <c r="O220" s="393"/>
      <c r="P220" s="393"/>
      <c r="Q220" s="248"/>
    </row>
    <row r="221" spans="1:17" s="34" customFormat="1" ht="24.95" hidden="1" customHeight="1">
      <c r="A221" s="533"/>
      <c r="B221" s="392" t="str">
        <f>'8-1.설비자재산출(전력통신)'!C187</f>
        <v>에너지 저장장치</v>
      </c>
      <c r="C221" s="1238" t="str">
        <f>'8-1.설비자재산출(전력통신)'!D187</f>
        <v>DC12C 100Ah*2</v>
      </c>
      <c r="D221" s="430" t="str">
        <f>'8-1.설비자재산출(전력통신)'!I187</f>
        <v>식</v>
      </c>
      <c r="E221" s="394">
        <f>'8-1.설비자재산출(전력통신)'!N187</f>
        <v>0</v>
      </c>
      <c r="F221" s="1200">
        <f>VLOOKUP(C221,'8-6.자재단가비교표'!$C$7:$O$332,12,0)</f>
        <v>0</v>
      </c>
      <c r="G221" s="1200">
        <f t="shared" si="82"/>
        <v>0</v>
      </c>
      <c r="H221" s="248">
        <f>VLOOKUP(C221,'8-6.자재단가비교표'!$C$7:$O$332,13,0)</f>
        <v>0</v>
      </c>
      <c r="J221" s="533"/>
      <c r="K221" s="459"/>
      <c r="L221" s="459"/>
      <c r="M221" s="430"/>
      <c r="N221" s="394"/>
      <c r="O221" s="393"/>
      <c r="P221" s="393"/>
      <c r="Q221" s="248"/>
    </row>
    <row r="222" spans="1:17" s="34" customFormat="1" ht="24.95" hidden="1" customHeight="1">
      <c r="A222" s="533"/>
      <c r="B222" s="392" t="str">
        <f>'8-1.설비자재산출(전력통신)'!C188</f>
        <v>옥외 함체</v>
      </c>
      <c r="C222" s="1238" t="str">
        <f>'8-1.설비자재산출(전력통신)'!D188</f>
        <v>제작품</v>
      </c>
      <c r="D222" s="430" t="str">
        <f>'8-1.설비자재산출(전력통신)'!I188</f>
        <v>개</v>
      </c>
      <c r="E222" s="394">
        <f>'8-1.설비자재산출(전력통신)'!N188</f>
        <v>0</v>
      </c>
      <c r="F222" s="1200">
        <f>VLOOKUP(C222,'8-6.자재단가비교표'!$C$7:$O$332,12,0)</f>
        <v>0</v>
      </c>
      <c r="G222" s="1200">
        <f t="shared" si="82"/>
        <v>0</v>
      </c>
      <c r="H222" s="248">
        <f>VLOOKUP(C222,'8-6.자재단가비교표'!$C$7:$O$332,13,0)</f>
        <v>0</v>
      </c>
      <c r="J222" s="533"/>
      <c r="K222" s="459"/>
      <c r="L222" s="459"/>
      <c r="M222" s="430"/>
      <c r="N222" s="394"/>
      <c r="O222" s="393"/>
      <c r="P222" s="393"/>
      <c r="Q222" s="248"/>
    </row>
    <row r="223" spans="1:17" s="34" customFormat="1" ht="24.95" hidden="1" customHeight="1">
      <c r="A223" s="533"/>
      <c r="B223" s="392" t="str">
        <f>'8-1.설비자재산출(전력통신)'!C189</f>
        <v>회전형 카메라</v>
      </c>
      <c r="C223" s="1238" t="str">
        <f>'8-1.설비자재산출(전력통신)'!D189</f>
        <v>FHD, IR 100M 이상, 30배 이상</v>
      </c>
      <c r="D223" s="430" t="str">
        <f>'8-1.설비자재산출(전력통신)'!I189</f>
        <v>대</v>
      </c>
      <c r="E223" s="394">
        <f>'8-1.설비자재산출(전력통신)'!N189</f>
        <v>0</v>
      </c>
      <c r="F223" s="1200">
        <f>VLOOKUP(C223,'8-6.자재단가비교표'!$C$7:$O$332,12,0)</f>
        <v>0</v>
      </c>
      <c r="G223" s="1200">
        <f t="shared" si="82"/>
        <v>0</v>
      </c>
      <c r="H223" s="248">
        <f>VLOOKUP(C223,'8-6.자재단가비교표'!$C$7:$O$332,13,0)</f>
        <v>0</v>
      </c>
      <c r="J223" s="533"/>
      <c r="K223" s="459"/>
      <c r="L223" s="459"/>
      <c r="M223" s="430"/>
      <c r="N223" s="394"/>
      <c r="O223" s="393"/>
      <c r="P223" s="393"/>
      <c r="Q223" s="248"/>
    </row>
    <row r="224" spans="1:17" s="34" customFormat="1" ht="24.95" hidden="1" customHeight="1">
      <c r="A224" s="533"/>
      <c r="B224" s="392" t="str">
        <f>'8-1.설비자재산출(전력통신)'!C190</f>
        <v>고정용 카메라</v>
      </c>
      <c r="C224" s="1238" t="str">
        <f>'8-1.설비자재산출(전력통신)'!D190</f>
        <v>FHD, IR 20M이상, 4배 이상</v>
      </c>
      <c r="D224" s="430" t="str">
        <f>'8-1.설비자재산출(전력통신)'!I190</f>
        <v>대</v>
      </c>
      <c r="E224" s="394">
        <f>'8-1.설비자재산출(전력통신)'!N190</f>
        <v>0</v>
      </c>
      <c r="F224" s="1200">
        <f>VLOOKUP(C224,'8-6.자재단가비교표'!$C$7:$O$332,12,0)</f>
        <v>0</v>
      </c>
      <c r="G224" s="1200">
        <f t="shared" si="82"/>
        <v>0</v>
      </c>
      <c r="H224" s="248">
        <f>VLOOKUP(C224,'8-6.자재단가비교표'!$C$7:$O$332,13,0)</f>
        <v>0</v>
      </c>
      <c r="J224" s="533"/>
      <c r="K224" s="459"/>
      <c r="L224" s="459"/>
      <c r="M224" s="430"/>
      <c r="N224" s="394"/>
      <c r="O224" s="393"/>
      <c r="P224" s="393"/>
      <c r="Q224" s="248"/>
    </row>
    <row r="225" spans="1:17" s="34" customFormat="1" ht="24.95" hidden="1" customHeight="1">
      <c r="A225" s="533"/>
      <c r="B225" s="392" t="str">
        <f>'8-1.설비자재산출(전력통신)'!C191</f>
        <v>시각감지모듈</v>
      </c>
      <c r="C225" s="1238" t="str">
        <f>'8-1.설비자재산출(전력통신)'!D191</f>
        <v>송전탑접근감시</v>
      </c>
      <c r="D225" s="430" t="str">
        <f>'8-1.설비자재산출(전력통신)'!I191</f>
        <v>개</v>
      </c>
      <c r="E225" s="394">
        <f>'8-1.설비자재산출(전력통신)'!N191</f>
        <v>0</v>
      </c>
      <c r="F225" s="1200">
        <f>VLOOKUP(C225,'8-6.자재단가비교표'!$C$7:$O$332,12,0)</f>
        <v>0</v>
      </c>
      <c r="G225" s="1200">
        <f t="shared" si="82"/>
        <v>0</v>
      </c>
      <c r="H225" s="248">
        <f>VLOOKUP(C225,'8-6.자재단가비교표'!$C$7:$O$332,13,0)</f>
        <v>0</v>
      </c>
      <c r="J225" s="533"/>
      <c r="K225" s="459"/>
      <c r="L225" s="459"/>
      <c r="M225" s="430"/>
      <c r="N225" s="394"/>
      <c r="O225" s="393"/>
      <c r="P225" s="393"/>
      <c r="Q225" s="248"/>
    </row>
    <row r="226" spans="1:17" s="34" customFormat="1" ht="24.95" hidden="1" customHeight="1">
      <c r="A226" s="533"/>
      <c r="B226" s="392" t="str">
        <f>'8-1.설비자재산출(전력통신)'!C192</f>
        <v>카메라 브라켓</v>
      </c>
      <c r="C226" s="1238" t="str">
        <f>'8-1.설비자재산출(전력통신)'!D192</f>
        <v>SUS</v>
      </c>
      <c r="D226" s="430" t="str">
        <f>'8-1.설비자재산출(전력통신)'!I192</f>
        <v>개</v>
      </c>
      <c r="E226" s="394">
        <f>'8-1.설비자재산출(전력통신)'!N192</f>
        <v>0</v>
      </c>
      <c r="F226" s="1200">
        <f>VLOOKUP(C226,'8-6.자재단가비교표'!$C$7:$O$332,12,0)</f>
        <v>0</v>
      </c>
      <c r="G226" s="1200">
        <f t="shared" si="82"/>
        <v>0</v>
      </c>
      <c r="H226" s="248">
        <f>VLOOKUP(C226,'8-6.자재단가비교표'!$C$7:$O$332,13,0)</f>
        <v>0</v>
      </c>
      <c r="J226" s="533"/>
      <c r="K226" s="459"/>
      <c r="L226" s="459"/>
      <c r="M226" s="430"/>
      <c r="N226" s="394"/>
      <c r="O226" s="393"/>
      <c r="P226" s="393"/>
      <c r="Q226" s="248"/>
    </row>
    <row r="227" spans="1:17" s="34" customFormat="1" ht="24.95" customHeight="1">
      <c r="A227" s="533"/>
      <c r="B227" s="392" t="str">
        <f>'8-1.설비자재산출(전력통신)'!C193</f>
        <v>잡자재</v>
      </c>
      <c r="C227" s="1238" t="str">
        <f>'8-1.설비자재산출(전력통신)'!D193</f>
        <v>전선, 케이블 배관자재의 2~5%</v>
      </c>
      <c r="D227" s="430" t="str">
        <f>'8-1.설비자재산출(전력통신)'!I193</f>
        <v>식</v>
      </c>
      <c r="E227" s="1235">
        <v>0.02</v>
      </c>
      <c r="F227" s="1200">
        <f>G199+G205+G206+G207+G208+G213+G214</f>
        <v>398737</v>
      </c>
      <c r="G227" s="1200">
        <f t="shared" si="82"/>
        <v>7974</v>
      </c>
      <c r="H227" s="248"/>
      <c r="J227" s="533"/>
      <c r="K227" s="459"/>
      <c r="L227" s="459"/>
      <c r="M227" s="430"/>
      <c r="N227" s="394"/>
      <c r="O227" s="393"/>
      <c r="P227" s="393"/>
      <c r="Q227" s="248"/>
    </row>
    <row r="228" spans="1:17" s="34" customFormat="1" ht="24.95" customHeight="1">
      <c r="A228" s="533"/>
      <c r="B228" s="392"/>
      <c r="C228" s="1238"/>
      <c r="D228" s="430"/>
      <c r="E228" s="1235"/>
      <c r="F228" s="1200"/>
      <c r="G228" s="1200"/>
      <c r="H228" s="248"/>
      <c r="J228" s="533"/>
      <c r="K228" s="459"/>
      <c r="L228" s="459"/>
      <c r="M228" s="430"/>
      <c r="N228" s="394"/>
      <c r="O228" s="393"/>
      <c r="P228" s="393"/>
      <c r="Q228" s="248"/>
    </row>
    <row r="229" spans="1:17" s="34" customFormat="1" ht="24.95" customHeight="1">
      <c r="A229" s="532" t="str">
        <f>'8-1.설비자재산출(전력통신)'!A195</f>
        <v>4. IP계통운영통신시스템</v>
      </c>
      <c r="B229" s="466"/>
      <c r="C229" s="466"/>
      <c r="D229" s="394"/>
      <c r="E229" s="394"/>
      <c r="F229" s="1200"/>
      <c r="G229" s="1216">
        <f>SUM(G230:G247)</f>
        <v>1204261</v>
      </c>
      <c r="H229" s="245"/>
      <c r="J229" s="533"/>
      <c r="K229" s="459"/>
      <c r="L229" s="459"/>
      <c r="M229" s="430"/>
      <c r="N229" s="394"/>
      <c r="O229" s="393"/>
      <c r="P229" s="393"/>
      <c r="Q229" s="248"/>
    </row>
    <row r="230" spans="1:17" s="34" customFormat="1" ht="24.95" hidden="1" customHeight="1">
      <c r="A230" s="533"/>
      <c r="B230" s="392" t="str">
        <f>'8-1.설비자재산출(전력통신)'!C201</f>
        <v>19" RACK(IP/내진)</v>
      </c>
      <c r="C230" s="392" t="str">
        <f>'8-1.설비자재산출(전력통신)'!D201</f>
        <v>경하중,IP,내진, 600(W)*750(D)*2000(H)</v>
      </c>
      <c r="D230" s="430" t="str">
        <f>'8-1.설비자재산출(전력통신)'!I201</f>
        <v>대</v>
      </c>
      <c r="E230" s="394">
        <f>'8-1.설비자재산출(전력통신)'!N201</f>
        <v>0</v>
      </c>
      <c r="F230" s="1200">
        <f>VLOOKUP(C230,'8-6.자재단가비교표'!$C$7:$O$332,12,0)</f>
        <v>0</v>
      </c>
      <c r="G230" s="1200">
        <f>INT(E230*F230)</f>
        <v>0</v>
      </c>
      <c r="H230" s="248"/>
      <c r="J230" s="533"/>
      <c r="K230" s="459"/>
      <c r="L230" s="459"/>
      <c r="M230" s="430"/>
      <c r="N230" s="394"/>
      <c r="O230" s="393"/>
      <c r="P230" s="393"/>
      <c r="Q230" s="248"/>
    </row>
    <row r="231" spans="1:17" s="34" customFormat="1" ht="24.95" customHeight="1">
      <c r="A231" s="533"/>
      <c r="B231" s="392" t="str">
        <f>'8-1.설비자재산출(전력통신)'!C202</f>
        <v>HUB</v>
      </c>
      <c r="C231" s="392" t="str">
        <f>'8-1.설비자재산출(전력통신)'!D202</f>
        <v>10/100 24포트-POE</v>
      </c>
      <c r="D231" s="430" t="str">
        <f>'8-1.설비자재산출(전력통신)'!I202</f>
        <v>대</v>
      </c>
      <c r="E231" s="394">
        <f>'8-1.설비자재산출(전력통신)'!N202</f>
        <v>1</v>
      </c>
      <c r="F231" s="1200">
        <f>VLOOKUP(C231,'8-6.자재단가비교표'!$C$7:$O$332,12,0)</f>
        <v>833596.5</v>
      </c>
      <c r="G231" s="1200">
        <f t="shared" ref="G231:G241" si="85">INT(E231*F231)</f>
        <v>833596</v>
      </c>
      <c r="H231" s="248" t="str">
        <f>VLOOKUP(C231,'8-6.자재단가비교표'!$C$7:$O$332,13,0)</f>
        <v>견적가</v>
      </c>
      <c r="J231" s="533"/>
      <c r="K231" s="459"/>
      <c r="L231" s="459"/>
      <c r="M231" s="430"/>
      <c r="N231" s="394"/>
      <c r="O231" s="393"/>
      <c r="P231" s="393"/>
      <c r="Q231" s="248"/>
    </row>
    <row r="232" spans="1:17" s="34" customFormat="1" ht="24.95" hidden="1" customHeight="1">
      <c r="A232" s="533"/>
      <c r="B232" s="392" t="str">
        <f>'8-1.설비자재산출(전력통신)'!C203</f>
        <v>유무선 전화기</v>
      </c>
      <c r="C232" s="392" t="str">
        <f>'8-1.설비자재산출(전력통신)'!D203</f>
        <v>1.7GHz DCP, CID</v>
      </c>
      <c r="D232" s="430" t="str">
        <f>'8-1.설비자재산출(전력통신)'!I203</f>
        <v>대</v>
      </c>
      <c r="E232" s="394">
        <f>'8-1.설비자재산출(전력통신)'!N203</f>
        <v>0</v>
      </c>
      <c r="F232" s="1200">
        <f>VLOOKUP(C232,'8-6.자재단가비교표'!$C$7:$O$332,12,0)</f>
        <v>0</v>
      </c>
      <c r="G232" s="1200">
        <f t="shared" si="85"/>
        <v>0</v>
      </c>
      <c r="H232" s="248">
        <f>VLOOKUP(C232,'8-6.자재단가비교표'!$C$7:$O$332,13,0)</f>
        <v>0</v>
      </c>
      <c r="J232" s="533"/>
      <c r="K232" s="459"/>
      <c r="L232" s="459"/>
      <c r="M232" s="430"/>
      <c r="N232" s="394"/>
      <c r="O232" s="393"/>
      <c r="P232" s="393"/>
      <c r="Q232" s="248"/>
    </row>
    <row r="233" spans="1:17" s="34" customFormat="1" ht="24.95" customHeight="1">
      <c r="A233" s="533"/>
      <c r="B233" s="392" t="str">
        <f>'8-1.설비자재산출(전력통신)'!C204</f>
        <v>UTP케이블</v>
      </c>
      <c r="C233" s="392" t="str">
        <f>'8-1.설비자재산출(전력통신)'!D204</f>
        <v>CAT.5E 4P</v>
      </c>
      <c r="D233" s="430" t="str">
        <f>'8-1.설비자재산출(전력통신)'!I204</f>
        <v>m</v>
      </c>
      <c r="E233" s="394">
        <f>'8-1.설비자재산출(전력통신)'!N204</f>
        <v>12</v>
      </c>
      <c r="F233" s="1200">
        <f>VLOOKUP(C233,'8-6.자재단가비교표'!$C$7:$O$332,12,0)</f>
        <v>693.20129999999995</v>
      </c>
      <c r="G233" s="1200">
        <f t="shared" si="85"/>
        <v>8318</v>
      </c>
      <c r="H233" s="248" t="str">
        <f>VLOOKUP(C233,'8-6.자재단가비교표'!$C$7:$O$332,13,0)</f>
        <v>물가자료</v>
      </c>
      <c r="J233" s="533"/>
      <c r="K233" s="459"/>
      <c r="L233" s="459"/>
      <c r="M233" s="430"/>
      <c r="N233" s="394"/>
      <c r="O233" s="393"/>
      <c r="P233" s="393"/>
      <c r="Q233" s="248"/>
    </row>
    <row r="234" spans="1:17" s="34" customFormat="1" ht="24.95" customHeight="1">
      <c r="A234" s="533"/>
      <c r="B234" s="392" t="str">
        <f>'8-1.설비자재산출(전력통신)'!C205</f>
        <v>UTP케이블</v>
      </c>
      <c r="C234" s="392" t="str">
        <f>'8-1.설비자재산출(전력통신)'!D205</f>
        <v>CAT.5E 4P</v>
      </c>
      <c r="D234" s="430" t="str">
        <f>'8-1.설비자재산출(전력통신)'!I205</f>
        <v>m</v>
      </c>
      <c r="E234" s="394">
        <f>'8-1.설비자재산출(전력통신)'!N205</f>
        <v>9</v>
      </c>
      <c r="F234" s="1200">
        <f>VLOOKUP(C234,'8-6.자재단가비교표'!$C$7:$O$332,12,0)</f>
        <v>693.20129999999995</v>
      </c>
      <c r="G234" s="1200">
        <f t="shared" si="85"/>
        <v>6238</v>
      </c>
      <c r="H234" s="248" t="str">
        <f>VLOOKUP(C234,'8-6.자재단가비교표'!$C$7:$O$332,13,0)</f>
        <v>물가자료</v>
      </c>
      <c r="J234" s="533"/>
      <c r="K234" s="459"/>
      <c r="L234" s="459"/>
      <c r="M234" s="430"/>
      <c r="N234" s="394"/>
      <c r="O234" s="393"/>
      <c r="P234" s="393"/>
      <c r="Q234" s="248"/>
    </row>
    <row r="235" spans="1:17" s="34" customFormat="1" ht="24.95" customHeight="1">
      <c r="A235" s="533"/>
      <c r="B235" s="392" t="str">
        <f>'8-1.설비자재산출(전력통신)'!C206</f>
        <v>UTP케이블</v>
      </c>
      <c r="C235" s="392" t="str">
        <f>'8-1.설비자재산출(전력통신)'!D206</f>
        <v>CAT.5E 4P</v>
      </c>
      <c r="D235" s="430" t="str">
        <f>'8-1.설비자재산출(전력통신)'!I206</f>
        <v>m</v>
      </c>
      <c r="E235" s="394">
        <f>'8-1.설비자재산출(전력통신)'!N206</f>
        <v>243</v>
      </c>
      <c r="F235" s="1200">
        <f>VLOOKUP(C235,'8-6.자재단가비교표'!$C$7:$O$332,12,0)</f>
        <v>693.20129999999995</v>
      </c>
      <c r="G235" s="1200">
        <f t="shared" si="85"/>
        <v>168447</v>
      </c>
      <c r="H235" s="248" t="str">
        <f>VLOOKUP(C235,'8-6.자재단가비교표'!$C$7:$O$332,13,0)</f>
        <v>물가자료</v>
      </c>
      <c r="J235" s="533"/>
      <c r="K235" s="459"/>
      <c r="L235" s="459"/>
      <c r="M235" s="430"/>
      <c r="N235" s="394"/>
      <c r="O235" s="393"/>
      <c r="P235" s="393"/>
      <c r="Q235" s="248"/>
    </row>
    <row r="236" spans="1:17" s="34" customFormat="1" ht="24.95" hidden="1" customHeight="1">
      <c r="A236" s="533"/>
      <c r="B236" s="392" t="str">
        <f>'8-1.설비자재산출(전력통신)'!C207</f>
        <v>UTP케이블</v>
      </c>
      <c r="C236" s="392" t="str">
        <f>'8-1.설비자재산출(전력통신)'!D207</f>
        <v>CAT.5E 4P</v>
      </c>
      <c r="D236" s="430" t="str">
        <f>'8-1.설비자재산출(전력통신)'!I207</f>
        <v>m</v>
      </c>
      <c r="E236" s="394">
        <f>'8-1.설비자재산출(전력통신)'!N207</f>
        <v>0</v>
      </c>
      <c r="F236" s="1200">
        <f>VLOOKUP(C236,'8-6.자재단가비교표'!$C$7:$O$332,12,0)</f>
        <v>693.20129999999995</v>
      </c>
      <c r="G236" s="1200">
        <f t="shared" si="85"/>
        <v>0</v>
      </c>
      <c r="H236" s="248" t="str">
        <f>VLOOKUP(C236,'8-6.자재단가비교표'!$C$7:$O$332,13,0)</f>
        <v>물가자료</v>
      </c>
      <c r="J236" s="533"/>
      <c r="K236" s="459"/>
      <c r="L236" s="459"/>
      <c r="M236" s="430"/>
      <c r="N236" s="394"/>
      <c r="O236" s="393"/>
      <c r="P236" s="393"/>
      <c r="Q236" s="248"/>
    </row>
    <row r="237" spans="1:17" s="34" customFormat="1" ht="24.95" customHeight="1">
      <c r="A237" s="533"/>
      <c r="B237" s="392" t="str">
        <f>'8-1.설비자재산출(전력통신)'!C208</f>
        <v>후렉시블전선관</v>
      </c>
      <c r="C237" s="392" t="str">
        <f>'8-1.설비자재산출(전력통신)'!D208</f>
        <v>16㎜, 일반방수(GW-16)</v>
      </c>
      <c r="D237" s="430" t="str">
        <f>'8-1.설비자재산출(전력통신)'!I208</f>
        <v>m</v>
      </c>
      <c r="E237" s="394">
        <f>'8-1.설비자재산출(전력통신)'!N208</f>
        <v>12</v>
      </c>
      <c r="F237" s="1200">
        <f>VLOOKUP(C237,'8-6.자재단가비교표'!$C$7:$O$332,12,0)</f>
        <v>1983.0821999999998</v>
      </c>
      <c r="G237" s="1200">
        <f t="shared" si="85"/>
        <v>23796</v>
      </c>
      <c r="H237" s="248" t="s">
        <v>2441</v>
      </c>
      <c r="J237" s="533"/>
      <c r="K237" s="459"/>
      <c r="L237" s="459"/>
      <c r="M237" s="430"/>
      <c r="N237" s="394"/>
      <c r="O237" s="393"/>
      <c r="P237" s="393"/>
      <c r="Q237" s="248"/>
    </row>
    <row r="238" spans="1:17" s="34" customFormat="1" ht="24.95" customHeight="1">
      <c r="A238" s="533"/>
      <c r="B238" s="392" t="str">
        <f>'8-1.설비자재산출(전력통신)'!C209</f>
        <v>후렉시블전선관</v>
      </c>
      <c r="C238" s="392" t="str">
        <f>'8-1.설비자재산출(전력통신)'!D209</f>
        <v>16㎜, 일반방수(GW-16)</v>
      </c>
      <c r="D238" s="430" t="str">
        <f>'8-1.설비자재산출(전력통신)'!I209</f>
        <v>m</v>
      </c>
      <c r="E238" s="394">
        <f>'8-1.설비자재산출(전력통신)'!N209</f>
        <v>81</v>
      </c>
      <c r="F238" s="1200">
        <f>VLOOKUP(C238,'8-6.자재단가비교표'!$C$7:$O$332,12,0)</f>
        <v>1983.0821999999998</v>
      </c>
      <c r="G238" s="1200">
        <f t="shared" si="85"/>
        <v>160629</v>
      </c>
      <c r="H238" s="248" t="s">
        <v>2441</v>
      </c>
      <c r="J238" s="533"/>
      <c r="K238" s="459"/>
      <c r="L238" s="459"/>
      <c r="M238" s="430"/>
      <c r="N238" s="394"/>
      <c r="O238" s="393"/>
      <c r="P238" s="393"/>
      <c r="Q238" s="248"/>
    </row>
    <row r="239" spans="1:17" s="34" customFormat="1" ht="24.95" hidden="1" customHeight="1">
      <c r="A239" s="533"/>
      <c r="B239" s="392" t="str">
        <f>'8-1.설비자재산출(전력통신)'!C210</f>
        <v>후렉시블전선관</v>
      </c>
      <c r="C239" s="392" t="str">
        <f>'8-1.설비자재산출(전력통신)'!D210</f>
        <v>16㎜, 일반방수(GW-16)</v>
      </c>
      <c r="D239" s="430" t="str">
        <f>'8-1.설비자재산출(전력통신)'!I210</f>
        <v>m</v>
      </c>
      <c r="E239" s="394">
        <f>'8-1.설비자재산출(전력통신)'!N210</f>
        <v>0</v>
      </c>
      <c r="F239" s="1200">
        <f>VLOOKUP(C239,'8-6.자재단가비교표'!$C$7:$O$332,12,0)</f>
        <v>1983.0821999999998</v>
      </c>
      <c r="G239" s="1200">
        <f t="shared" si="85"/>
        <v>0</v>
      </c>
      <c r="H239" s="248" t="s">
        <v>3170</v>
      </c>
      <c r="J239" s="533"/>
      <c r="K239" s="459"/>
      <c r="L239" s="459"/>
      <c r="M239" s="430"/>
      <c r="N239" s="394"/>
      <c r="O239" s="393"/>
      <c r="P239" s="393"/>
      <c r="Q239" s="248"/>
    </row>
    <row r="240" spans="1:17" s="34" customFormat="1" ht="24.95" hidden="1" customHeight="1">
      <c r="A240" s="533"/>
      <c r="B240" s="392" t="str">
        <f>'8-1.설비자재산출(전력통신)'!C211</f>
        <v>난연성전원케이블</v>
      </c>
      <c r="C240" s="392" t="str">
        <f>'8-1.설비자재산출(전력통신)'!D211</f>
        <v>FR-CVV-S, 2.5SQ/2C</v>
      </c>
      <c r="D240" s="430" t="str">
        <f>'8-1.설비자재산출(전력통신)'!I211</f>
        <v>m</v>
      </c>
      <c r="E240" s="394">
        <f>'8-1.설비자재산출(전력통신)'!N211</f>
        <v>0</v>
      </c>
      <c r="F240" s="1200">
        <f>VLOOKUP(C240,'8-6.자재단가비교표'!$C$7:$O$332,12,0)</f>
        <v>2737.7064</v>
      </c>
      <c r="G240" s="1200">
        <f t="shared" si="85"/>
        <v>0</v>
      </c>
      <c r="H240" s="248" t="str">
        <f>VLOOKUP(C240,'8-6.자재단가비교표'!$C$7:$O$332,13,0)</f>
        <v>견적가</v>
      </c>
      <c r="J240" s="533"/>
      <c r="K240" s="459"/>
      <c r="L240" s="459"/>
      <c r="M240" s="430"/>
      <c r="N240" s="394"/>
      <c r="O240" s="393"/>
      <c r="P240" s="393"/>
      <c r="Q240" s="248"/>
    </row>
    <row r="241" spans="1:17" s="34" customFormat="1" ht="24.95" hidden="1" customHeight="1">
      <c r="A241" s="533"/>
      <c r="B241" s="392" t="str">
        <f>'8-1.설비자재산출(전력통신)'!C212</f>
        <v>콘센트(노출 접지 220V2구)</v>
      </c>
      <c r="C241" s="392" t="str">
        <f>'8-1.설비자재산출(전력통신)'!D212</f>
        <v>노출, 접지 2구</v>
      </c>
      <c r="D241" s="430" t="str">
        <f>'8-1.설비자재산출(전력통신)'!I212</f>
        <v>개</v>
      </c>
      <c r="E241" s="394">
        <f>'8-1.설비자재산출(전력통신)'!N212</f>
        <v>0</v>
      </c>
      <c r="F241" s="1200">
        <f>VLOOKUP(C241,'8-6.자재단가비교표'!$C$7:$O$332,12,0)</f>
        <v>1754.94</v>
      </c>
      <c r="G241" s="1200">
        <f t="shared" si="85"/>
        <v>0</v>
      </c>
      <c r="H241" s="248" t="str">
        <f>VLOOKUP(C241,'8-6.자재단가비교표'!$C$7:$O$332,13,0)</f>
        <v>물가자료</v>
      </c>
      <c r="J241" s="533"/>
      <c r="K241" s="459"/>
      <c r="L241" s="459"/>
      <c r="M241" s="430"/>
      <c r="N241" s="394"/>
      <c r="O241" s="393"/>
      <c r="P241" s="393"/>
      <c r="Q241" s="248"/>
    </row>
    <row r="242" spans="1:17" s="34" customFormat="1" ht="24.95" hidden="1" customHeight="1">
      <c r="A242" s="533"/>
      <c r="B242" s="392" t="str">
        <f>'8-1.설비자재산출(전력통신)'!C213</f>
        <v>난연성전원케이블</v>
      </c>
      <c r="C242" s="392" t="str">
        <f>'8-1.설비자재산출(전력통신)'!D213</f>
        <v>FR-CVV-S, 6SQ/2C</v>
      </c>
      <c r="D242" s="430" t="str">
        <f>'8-1.설비자재산출(전력통신)'!I213</f>
        <v>m</v>
      </c>
      <c r="E242" s="394">
        <f>'8-1.설비자재산출(전력통신)'!N213</f>
        <v>0</v>
      </c>
      <c r="F242" s="1200">
        <f>VLOOKUP(C242,'8-6.자재단가비교표'!$C$7:$O$332,12,0)</f>
        <v>4457.5475999999999</v>
      </c>
      <c r="G242" s="1200">
        <f t="shared" ref="G242:G247" si="86">INT(E242*F242)</f>
        <v>0</v>
      </c>
      <c r="H242" s="248" t="str">
        <f>VLOOKUP(C242,'8-6.자재단가비교표'!$C$7:$O$332,13,0)</f>
        <v>견적가</v>
      </c>
      <c r="J242" s="533"/>
      <c r="K242" s="459"/>
      <c r="L242" s="459"/>
      <c r="M242" s="430"/>
      <c r="N242" s="394"/>
      <c r="O242" s="393"/>
      <c r="P242" s="393"/>
      <c r="Q242" s="248"/>
    </row>
    <row r="243" spans="1:17" s="34" customFormat="1" ht="24.95" customHeight="1">
      <c r="A243" s="533"/>
      <c r="B243" s="392" t="str">
        <f>'8-1.설비자재산출(전력통신)'!C214</f>
        <v>접지케이블</v>
      </c>
      <c r="C243" s="392" t="str">
        <f>'8-1.설비자재산출(전력통신)'!D214</f>
        <v>F-GV, 6SQ</v>
      </c>
      <c r="D243" s="430" t="str">
        <f>'8-1.설비자재산출(전력통신)'!I214</f>
        <v>m</v>
      </c>
      <c r="E243" s="394">
        <f>'8-1.설비자재산출(전력통신)'!N214</f>
        <v>3</v>
      </c>
      <c r="F243" s="1200">
        <f>VLOOKUP(C243,'8-6.자재단가비교표'!$C$7:$O$332,12,0)</f>
        <v>1079.2881</v>
      </c>
      <c r="G243" s="1200">
        <f t="shared" si="86"/>
        <v>3237</v>
      </c>
      <c r="H243" s="248" t="str">
        <f>VLOOKUP(C243,'8-6.자재단가비교표'!$C$7:$O$332,13,0)</f>
        <v>물가정보</v>
      </c>
      <c r="J243" s="533"/>
      <c r="K243" s="459"/>
      <c r="L243" s="459"/>
      <c r="M243" s="430"/>
      <c r="N243" s="394"/>
      <c r="O243" s="393"/>
      <c r="P243" s="393"/>
      <c r="Q243" s="248"/>
    </row>
    <row r="244" spans="1:17" s="34" customFormat="1" ht="24.95" hidden="1" customHeight="1">
      <c r="A244" s="533"/>
      <c r="B244" s="392" t="str">
        <f>'8-1.설비자재산출(전력통신)'!C215</f>
        <v>셋트앙카(STS)</v>
      </c>
      <c r="C244" s="392" t="str">
        <f>'8-1.설비자재산출(전력통신)'!D215</f>
        <v>Φ3/8, 75㎜</v>
      </c>
      <c r="D244" s="430" t="str">
        <f>'8-1.설비자재산출(전력통신)'!I215</f>
        <v>EA</v>
      </c>
      <c r="E244" s="394">
        <f>'8-1.설비자재산출(전력통신)'!N215</f>
        <v>0</v>
      </c>
      <c r="F244" s="1200">
        <f>VLOOKUP(C244,'8-6.자재단가비교표'!$C$7:$O$332,12,0)</f>
        <v>623.00369999999998</v>
      </c>
      <c r="G244" s="1200">
        <f t="shared" si="86"/>
        <v>0</v>
      </c>
      <c r="H244" s="248"/>
      <c r="J244" s="533"/>
      <c r="K244" s="459"/>
      <c r="L244" s="459"/>
      <c r="M244" s="430"/>
      <c r="N244" s="394"/>
      <c r="O244" s="393"/>
      <c r="P244" s="393"/>
      <c r="Q244" s="248"/>
    </row>
    <row r="245" spans="1:17" s="34" customFormat="1" ht="24.95" hidden="1" customHeight="1">
      <c r="A245" s="533"/>
      <c r="B245" s="392" t="str">
        <f>'8-1.설비자재산출(전력통신)'!C216</f>
        <v>전산볼트(M10,철)</v>
      </c>
      <c r="C245" s="392" t="str">
        <f>'8-1.설비자재산출(전력통신)'!D216</f>
        <v>M10,철</v>
      </c>
      <c r="D245" s="430" t="str">
        <f>'8-1.설비자재산출(전력통신)'!I216</f>
        <v>EA</v>
      </c>
      <c r="E245" s="394">
        <f>'8-1.설비자재산출(전력통신)'!N216</f>
        <v>0</v>
      </c>
      <c r="F245" s="1200">
        <f>VLOOKUP(C245,'8-6.자재단가비교표'!$C$7:$O$332,12,0)</f>
        <v>0</v>
      </c>
      <c r="G245" s="1200">
        <f t="shared" si="86"/>
        <v>0</v>
      </c>
      <c r="H245" s="248"/>
      <c r="J245" s="533"/>
      <c r="K245" s="459"/>
      <c r="L245" s="459"/>
      <c r="M245" s="430"/>
      <c r="N245" s="394"/>
      <c r="O245" s="393"/>
      <c r="P245" s="393"/>
      <c r="Q245" s="248"/>
    </row>
    <row r="246" spans="1:17" s="34" customFormat="1" ht="24.95" hidden="1" customHeight="1">
      <c r="A246" s="533"/>
      <c r="B246" s="392" t="str">
        <f>'8-1.설비자재산출(전력통신)'!C217</f>
        <v>랙명판(AL,190*75*1t)</v>
      </c>
      <c r="C246" s="392" t="str">
        <f>'8-1.설비자재산출(전력통신)'!D217</f>
        <v>AL,190*75*1t,헤어라인/검정색도색후 실크인쇄,후면 벨크로</v>
      </c>
      <c r="D246" s="430" t="str">
        <f>'8-1.설비자재산출(전력통신)'!I217</f>
        <v>개</v>
      </c>
      <c r="E246" s="394">
        <f>'8-1.설비자재산출(전력통신)'!N217</f>
        <v>0</v>
      </c>
      <c r="F246" s="1200">
        <f>VLOOKUP(C246,'8-6.자재단가비교표'!$C$7:$O$332,12,0)</f>
        <v>30711.45</v>
      </c>
      <c r="G246" s="1200">
        <f t="shared" si="86"/>
        <v>0</v>
      </c>
      <c r="H246" s="248"/>
      <c r="J246" s="533"/>
      <c r="K246" s="459"/>
      <c r="L246" s="459"/>
      <c r="M246" s="430"/>
      <c r="N246" s="394"/>
      <c r="O246" s="393"/>
      <c r="P246" s="393"/>
      <c r="Q246" s="248"/>
    </row>
    <row r="247" spans="1:17" s="34" customFormat="1" ht="24.95" hidden="1" customHeight="1">
      <c r="A247" s="533"/>
      <c r="B247" s="392" t="str">
        <f>'8-1.설비자재산출(전력통신)'!C218</f>
        <v>콘센트(노출 접지 220V2구)</v>
      </c>
      <c r="C247" s="392" t="str">
        <f>'8-1.설비자재산출(전력통신)'!D218</f>
        <v>노출, 접지 2구</v>
      </c>
      <c r="D247" s="430" t="str">
        <f>'8-1.설비자재산출(전력통신)'!I218</f>
        <v>개</v>
      </c>
      <c r="E247" s="394">
        <f>'8-1.설비자재산출(전력통신)'!N218</f>
        <v>0</v>
      </c>
      <c r="F247" s="1200">
        <f>VLOOKUP(C247,'8-6.자재단가비교표'!$C$7:$O$332,12,0)</f>
        <v>1754.94</v>
      </c>
      <c r="G247" s="1200">
        <f t="shared" si="86"/>
        <v>0</v>
      </c>
      <c r="H247" s="248"/>
      <c r="J247" s="533"/>
      <c r="K247" s="459"/>
      <c r="L247" s="459"/>
      <c r="M247" s="430"/>
      <c r="N247" s="394"/>
      <c r="O247" s="393"/>
      <c r="P247" s="393"/>
      <c r="Q247" s="248"/>
    </row>
    <row r="248" spans="1:17" s="34" customFormat="1" ht="24.95" customHeight="1">
      <c r="A248" s="533"/>
      <c r="B248" s="392"/>
      <c r="C248" s="392"/>
      <c r="D248" s="430"/>
      <c r="E248" s="394"/>
      <c r="F248" s="1200"/>
      <c r="G248" s="1200"/>
      <c r="H248" s="248"/>
      <c r="J248" s="533"/>
      <c r="K248" s="459"/>
      <c r="L248" s="459"/>
      <c r="M248" s="430"/>
      <c r="N248" s="394"/>
      <c r="O248" s="393"/>
      <c r="P248" s="393"/>
      <c r="Q248" s="248"/>
    </row>
    <row r="249" spans="1:17" s="34" customFormat="1" ht="24.95" customHeight="1">
      <c r="A249" s="532" t="s">
        <v>2945</v>
      </c>
      <c r="B249" s="466"/>
      <c r="C249" s="466"/>
      <c r="D249" s="394"/>
      <c r="E249" s="394"/>
      <c r="F249" s="1200"/>
      <c r="G249" s="1216">
        <f>SUM(G250:G315)</f>
        <v>47243778.880000003</v>
      </c>
      <c r="H249" s="245"/>
      <c r="J249" s="533"/>
      <c r="K249" s="459"/>
      <c r="L249" s="459"/>
      <c r="M249" s="430"/>
      <c r="N249" s="394"/>
      <c r="O249" s="393"/>
      <c r="P249" s="393"/>
      <c r="Q249" s="248"/>
    </row>
    <row r="250" spans="1:17" s="1364" customFormat="1" ht="24.95" hidden="1" customHeight="1">
      <c r="A250" s="1359"/>
      <c r="B250" s="1439" t="str">
        <f>'8-2.설비자재산출(무인보안)'!D62</f>
        <v>벽부형브라켓</v>
      </c>
      <c r="C250" s="1439" t="str">
        <f>'8-2.설비자재산출(무인보안)'!E62</f>
        <v>벽부형</v>
      </c>
      <c r="D250" s="1365" t="str">
        <f>'8-2.설비자재산출(무인보안)'!G62</f>
        <v>개</v>
      </c>
      <c r="E250" s="1355">
        <f>'8-2.설비자재산출(무인보안)'!H62</f>
        <v>0</v>
      </c>
      <c r="F250" s="1440">
        <f>VLOOKUP(C250,'8-6.자재단가비교표'!$C$7:$O$332,12,0)</f>
        <v>0</v>
      </c>
      <c r="G250" s="1440">
        <f>INT(E250*F250)</f>
        <v>0</v>
      </c>
      <c r="H250" s="1363"/>
      <c r="J250" s="1359"/>
      <c r="K250" s="1441"/>
      <c r="L250" s="1441"/>
      <c r="M250" s="1365"/>
      <c r="N250" s="1355"/>
      <c r="O250" s="1367"/>
      <c r="P250" s="1367"/>
      <c r="Q250" s="1363"/>
    </row>
    <row r="251" spans="1:17" s="1364" customFormat="1" ht="24.95" hidden="1" customHeight="1">
      <c r="A251" s="1359"/>
      <c r="B251" s="1439" t="str">
        <f>'8-2.설비자재산출(무인보안)'!D63</f>
        <v>옥내용 스피커</v>
      </c>
      <c r="C251" s="1439" t="str">
        <f>'8-2.설비자재산출(무인보안)'!E63</f>
        <v>컬럼, 20W</v>
      </c>
      <c r="D251" s="1365" t="str">
        <f>'8-2.설비자재산출(무인보안)'!G63</f>
        <v>개</v>
      </c>
      <c r="E251" s="1355">
        <f>'8-2.설비자재산출(무인보안)'!H63</f>
        <v>0</v>
      </c>
      <c r="F251" s="1440">
        <f>VLOOKUP(C251,'8-6.자재단가비교표'!$C$7:$O$332,12,0)</f>
        <v>106173.87</v>
      </c>
      <c r="G251" s="1440">
        <f t="shared" ref="G251:G259" si="87">INT(E251*F251)</f>
        <v>0</v>
      </c>
      <c r="H251" s="1363"/>
      <c r="J251" s="1359"/>
      <c r="K251" s="1441"/>
      <c r="L251" s="1441"/>
      <c r="M251" s="1365"/>
      <c r="N251" s="1355"/>
      <c r="O251" s="1367"/>
      <c r="P251" s="1367"/>
      <c r="Q251" s="1363"/>
    </row>
    <row r="252" spans="1:17" s="1364" customFormat="1" ht="24.95" customHeight="1">
      <c r="A252" s="533"/>
      <c r="B252" s="392" t="str">
        <f>'8-2.설비자재산출(무인보안)'!D64</f>
        <v>옥외용 스피커</v>
      </c>
      <c r="C252" s="392" t="str">
        <f>'8-2.설비자재산출(무인보안)'!E64</f>
        <v>컬럼, 30W</v>
      </c>
      <c r="D252" s="430" t="str">
        <f>'8-2.설비자재산출(무인보안)'!G64</f>
        <v>개</v>
      </c>
      <c r="E252" s="394">
        <f>'8-2.설비자재산출(무인보안)'!H64</f>
        <v>8</v>
      </c>
      <c r="F252" s="1200">
        <f>VLOOKUP(C252,'8-6.자재단가비교표'!$C$7:$O$332,12,0)</f>
        <v>147414.96</v>
      </c>
      <c r="G252" s="1200">
        <f t="shared" si="87"/>
        <v>1179319</v>
      </c>
      <c r="H252" s="248" t="str">
        <f>VLOOKUP(C252,'8-6.자재단가비교표'!$C$7:$O$332,13,0)</f>
        <v>견적가</v>
      </c>
      <c r="J252" s="1359"/>
      <c r="K252" s="1441"/>
      <c r="L252" s="1441"/>
      <c r="M252" s="1365"/>
      <c r="N252" s="1355"/>
      <c r="O252" s="1367"/>
      <c r="P252" s="1367"/>
      <c r="Q252" s="1363"/>
    </row>
    <row r="253" spans="1:17" s="1364" customFormat="1" ht="24.95" hidden="1" customHeight="1">
      <c r="A253" s="1359"/>
      <c r="B253" s="1439" t="str">
        <f>'8-2.설비자재산출(무인보안)'!D65</f>
        <v>카메라 지지대</v>
      </c>
      <c r="C253" s="1439" t="str">
        <f>'8-2.설비자재산출(무인보안)'!E65</f>
        <v>스테인레스, 1.8m, 3T</v>
      </c>
      <c r="D253" s="1365" t="str">
        <f>'8-2.설비자재산출(무인보안)'!G65</f>
        <v>개</v>
      </c>
      <c r="E253" s="1355">
        <f>'8-2.설비자재산출(무인보안)'!H65</f>
        <v>0</v>
      </c>
      <c r="F253" s="1440">
        <f>VLOOKUP(C253,'8-6.자재단가비교표'!$C$7:$O$332,12,0)</f>
        <v>0</v>
      </c>
      <c r="G253" s="1440">
        <f t="shared" si="87"/>
        <v>0</v>
      </c>
      <c r="H253" s="248">
        <f>VLOOKUP(C253,'8-6.자재단가비교표'!$C$7:$O$332,13,0)</f>
        <v>0</v>
      </c>
      <c r="J253" s="1359"/>
      <c r="K253" s="1441"/>
      <c r="L253" s="1441"/>
      <c r="M253" s="1365"/>
      <c r="N253" s="1355"/>
      <c r="O253" s="1367"/>
      <c r="P253" s="1367"/>
      <c r="Q253" s="1363"/>
    </row>
    <row r="254" spans="1:17" s="1364" customFormat="1" ht="24.95" hidden="1" customHeight="1">
      <c r="A254" s="1359"/>
      <c r="B254" s="1439" t="str">
        <f>'8-2.설비자재산출(무인보안)'!D66</f>
        <v>카메라 브라켓(폴부착형)</v>
      </c>
      <c r="C254" s="1439" t="str">
        <f>'8-2.설비자재산출(무인보안)'!E66</f>
        <v>SUS 304, 600*89￠*2T</v>
      </c>
      <c r="D254" s="1365" t="str">
        <f>'8-2.설비자재산출(무인보안)'!G66</f>
        <v>개</v>
      </c>
      <c r="E254" s="1355">
        <f>'8-2.설비자재산출(무인보안)'!H66</f>
        <v>0</v>
      </c>
      <c r="F254" s="1440">
        <f>VLOOKUP(C254,'8-6.자재단가비교표'!$C$7:$O$332,12,0)</f>
        <v>210592.8</v>
      </c>
      <c r="G254" s="1440">
        <f t="shared" si="87"/>
        <v>0</v>
      </c>
      <c r="H254" s="248" t="str">
        <f>VLOOKUP(C254,'8-6.자재단가비교표'!$C$7:$O$332,13,0)</f>
        <v>견적가</v>
      </c>
      <c r="J254" s="1359"/>
      <c r="K254" s="1441"/>
      <c r="L254" s="1441"/>
      <c r="M254" s="1365"/>
      <c r="N254" s="1355"/>
      <c r="O254" s="1367"/>
      <c r="P254" s="1367"/>
      <c r="Q254" s="1363"/>
    </row>
    <row r="255" spans="1:17" s="34" customFormat="1" ht="24.95" customHeight="1">
      <c r="A255" s="533"/>
      <c r="B255" s="392" t="str">
        <f>'8-2.설비자재산출(무인보안)'!D67</f>
        <v>OFD</v>
      </c>
      <c r="C255" s="392" t="str">
        <f>'8-2.설비자재산출(무인보안)'!E67</f>
        <v>FDF-24C, Rack type</v>
      </c>
      <c r="D255" s="430" t="str">
        <f>'8-2.설비자재산출(무인보안)'!G67</f>
        <v>개</v>
      </c>
      <c r="E255" s="394">
        <f>'8-2.설비자재산출(무인보안)'!H67</f>
        <v>2</v>
      </c>
      <c r="F255" s="1200">
        <f>VLOOKUP(C255,'8-6.자재단가비교표'!$C$7:$O$332,12,0)</f>
        <v>42996.03</v>
      </c>
      <c r="G255" s="1200">
        <f t="shared" si="87"/>
        <v>85992</v>
      </c>
      <c r="H255" s="248" t="str">
        <f>VLOOKUP(C255,'8-6.자재단가비교표'!$C$7:$O$332,13,0)</f>
        <v>견적가</v>
      </c>
      <c r="J255" s="533"/>
      <c r="K255" s="459"/>
      <c r="L255" s="459"/>
      <c r="M255" s="430"/>
      <c r="N255" s="394"/>
      <c r="O255" s="393"/>
      <c r="P255" s="393"/>
      <c r="Q255" s="248"/>
    </row>
    <row r="256" spans="1:17" s="34" customFormat="1" ht="24.95" customHeight="1">
      <c r="A256" s="533"/>
      <c r="B256" s="392" t="str">
        <f>'8-2.설비자재산출(무인보안)'!D68</f>
        <v>광심선분배함</v>
      </c>
      <c r="C256" s="392" t="str">
        <f>'8-2.설비자재산출(무인보안)'!E68</f>
        <v>FDF-8core, SC Connector Type</v>
      </c>
      <c r="D256" s="430" t="str">
        <f>'8-2.설비자재산출(무인보안)'!G68</f>
        <v>개</v>
      </c>
      <c r="E256" s="394">
        <f>'8-2.설비자재산출(무인보안)'!H68</f>
        <v>38</v>
      </c>
      <c r="F256" s="1200">
        <f>VLOOKUP(C256,'8-6.자재단가비교표'!$C$7:$O$332,12,0)</f>
        <v>13162.05</v>
      </c>
      <c r="G256" s="1200">
        <f t="shared" si="87"/>
        <v>500157</v>
      </c>
      <c r="H256" s="248" t="str">
        <f>VLOOKUP(C256,'8-6.자재단가비교표'!$C$7:$O$332,13,0)</f>
        <v>견적가</v>
      </c>
      <c r="J256" s="533"/>
      <c r="K256" s="459"/>
      <c r="L256" s="459"/>
      <c r="M256" s="430"/>
      <c r="N256" s="394"/>
      <c r="O256" s="393"/>
      <c r="P256" s="393"/>
      <c r="Q256" s="248"/>
    </row>
    <row r="257" spans="1:17" s="34" customFormat="1" ht="24.95" customHeight="1">
      <c r="A257" s="533"/>
      <c r="B257" s="392" t="str">
        <f>'8-2.설비자재산출(무인보안)'!D69</f>
        <v>광전송장치용 전원장치</v>
      </c>
      <c r="C257" s="392" t="str">
        <f>'8-2.설비자재산출(무인보안)'!E69</f>
        <v>입220V/출DC24 1A, 15V 6A</v>
      </c>
      <c r="D257" s="430" t="str">
        <f>'8-2.설비자재산출(무인보안)'!G69</f>
        <v>개</v>
      </c>
      <c r="E257" s="394">
        <f>'8-2.설비자재산출(무인보안)'!H69</f>
        <v>39</v>
      </c>
      <c r="F257" s="1200">
        <f>VLOOKUP(C257,'8-6.자재단가비교표'!$C$7:$O$332,12,0)</f>
        <v>131620.5</v>
      </c>
      <c r="G257" s="1200">
        <f t="shared" si="87"/>
        <v>5133199</v>
      </c>
      <c r="H257" s="248" t="str">
        <f>VLOOKUP(C257,'8-6.자재단가비교표'!$C$7:$O$332,13,0)</f>
        <v>견적가</v>
      </c>
      <c r="J257" s="533"/>
      <c r="K257" s="459"/>
      <c r="L257" s="459"/>
      <c r="M257" s="430"/>
      <c r="N257" s="394"/>
      <c r="O257" s="393"/>
      <c r="P257" s="393"/>
      <c r="Q257" s="248"/>
    </row>
    <row r="258" spans="1:17" s="1364" customFormat="1" ht="24.95" hidden="1" customHeight="1">
      <c r="A258" s="1359"/>
      <c r="B258" s="1439" t="str">
        <f>'8-2.설비자재산출(무인보안)'!D70</f>
        <v>감지기용전원장치</v>
      </c>
      <c r="C258" s="1439" t="str">
        <f>'8-2.설비자재산출(무인보안)'!E70</f>
        <v>입220V/출DC24 1A, 15V 6A</v>
      </c>
      <c r="D258" s="1365" t="str">
        <f>'8-2.설비자재산출(무인보안)'!G70</f>
        <v>개</v>
      </c>
      <c r="E258" s="1355">
        <f>'8-2.설비자재산출(무인보안)'!H70</f>
        <v>0</v>
      </c>
      <c r="F258" s="1440">
        <f>VLOOKUP(C258,'8-6.자재단가비교표'!$C$7:$O$332,12,0)</f>
        <v>131620.5</v>
      </c>
      <c r="G258" s="1440">
        <f t="shared" si="87"/>
        <v>0</v>
      </c>
      <c r="H258" s="1363" t="str">
        <f>VLOOKUP(C258,'8-6.자재단가비교표'!$C$7:$O$332,13,0)</f>
        <v>견적가</v>
      </c>
      <c r="J258" s="1359"/>
      <c r="K258" s="1441"/>
      <c r="L258" s="1441"/>
      <c r="M258" s="1365"/>
      <c r="N258" s="1355"/>
      <c r="O258" s="1367"/>
      <c r="P258" s="1367"/>
      <c r="Q258" s="1363"/>
    </row>
    <row r="259" spans="1:17" s="34" customFormat="1" ht="24.95" customHeight="1">
      <c r="A259" s="533"/>
      <c r="B259" s="392" t="str">
        <f>'8-2.설비자재산출(무인보안)'!D71</f>
        <v>광아답터</v>
      </c>
      <c r="C259" s="392" t="str">
        <f>'8-2.설비자재산출(무인보안)'!E71</f>
        <v>SC, 세라믹 ,MM</v>
      </c>
      <c r="D259" s="430" t="str">
        <f>'8-2.설비자재산출(무인보안)'!G71</f>
        <v>개</v>
      </c>
      <c r="E259" s="394">
        <f>'8-2.설비자재산출(무인보안)'!H71</f>
        <v>312</v>
      </c>
      <c r="F259" s="1200">
        <f>VLOOKUP(C259,'8-6.자재단가비교표'!$C$7:$O$332,12,0)</f>
        <v>614.22899999999993</v>
      </c>
      <c r="G259" s="1200">
        <f t="shared" si="87"/>
        <v>191639</v>
      </c>
      <c r="H259" s="248" t="str">
        <f>VLOOKUP(C259,'8-6.자재단가비교표'!$C$7:$O$332,13,0)</f>
        <v>견적가</v>
      </c>
      <c r="J259" s="533"/>
      <c r="K259" s="459"/>
      <c r="L259" s="459"/>
      <c r="M259" s="430"/>
      <c r="N259" s="394"/>
      <c r="O259" s="393"/>
      <c r="P259" s="393"/>
      <c r="Q259" s="248"/>
    </row>
    <row r="260" spans="1:17" s="34" customFormat="1" ht="24.95" customHeight="1">
      <c r="A260" s="533"/>
      <c r="B260" s="392" t="str">
        <f>'8-2.설비자재산출(무인보안)'!D72</f>
        <v>점퍼코드</v>
      </c>
      <c r="C260" s="392" t="str">
        <f>'8-2.설비자재산출(무인보안)'!E72</f>
        <v>OJC-SC/APC-SM-LC,  2m</v>
      </c>
      <c r="D260" s="430" t="str">
        <f>'8-2.설비자재산출(무인보안)'!G72</f>
        <v>개</v>
      </c>
      <c r="E260" s="394">
        <f>'8-2.설비자재산출(무인보안)'!H72</f>
        <v>156</v>
      </c>
      <c r="F260" s="1200">
        <f>VLOOKUP(C260,'8-6.자재단가비교표'!$C$7:$O$332,12,0)</f>
        <v>13162.05</v>
      </c>
      <c r="G260" s="1200">
        <f t="shared" ref="G260:G269" si="88">INT(E260*F260)</f>
        <v>2053279</v>
      </c>
      <c r="H260" s="248" t="str">
        <f>VLOOKUP(C260,'8-6.자재단가비교표'!$C$7:$O$332,13,0)</f>
        <v>견적가</v>
      </c>
      <c r="J260" s="533"/>
      <c r="K260" s="459"/>
      <c r="L260" s="459"/>
      <c r="M260" s="430"/>
      <c r="N260" s="394"/>
      <c r="O260" s="393"/>
      <c r="P260" s="393"/>
      <c r="Q260" s="248"/>
    </row>
    <row r="261" spans="1:17" s="1364" customFormat="1" ht="24.95" hidden="1" customHeight="1">
      <c r="A261" s="1359"/>
      <c r="B261" s="1439" t="str">
        <f>'8-2.설비자재산출(무인보안)'!D73</f>
        <v>옥외용광점퍼코드</v>
      </c>
      <c r="C261" s="1439" t="str">
        <f>'8-2.설비자재산출(무인보안)'!E73</f>
        <v>OJC-SC/PC-MM-LC/PC-2C(50m용)</v>
      </c>
      <c r="D261" s="1365" t="str">
        <f>'8-2.설비자재산출(무인보안)'!G73</f>
        <v>개</v>
      </c>
      <c r="E261" s="1355">
        <f>'8-2.설비자재산출(무인보안)'!H73</f>
        <v>0</v>
      </c>
      <c r="F261" s="1440">
        <f>VLOOKUP(C261,'8-6.자재단가비교표'!$C$7:$O$332,12,0)</f>
        <v>47383.38</v>
      </c>
      <c r="G261" s="1200">
        <f t="shared" si="88"/>
        <v>0</v>
      </c>
      <c r="H261" s="1363" t="str">
        <f>VLOOKUP(C261,'8-6.자재단가비교표'!$C$7:$O$332,13,0)</f>
        <v>견적가</v>
      </c>
      <c r="J261" s="1359"/>
      <c r="K261" s="1441"/>
      <c r="L261" s="1441"/>
      <c r="M261" s="1365"/>
      <c r="N261" s="1355"/>
      <c r="O261" s="1367"/>
      <c r="P261" s="1367"/>
      <c r="Q261" s="1363"/>
    </row>
    <row r="262" spans="1:17" s="1364" customFormat="1" ht="24.95" customHeight="1">
      <c r="A262" s="533"/>
      <c r="B262" s="392" t="str">
        <f>'8-2.설비자재산출(무인보안)'!D74</f>
        <v>ㄷ'자 카메라 폴대</v>
      </c>
      <c r="C262" s="392" t="str">
        <f>'8-2.설비자재산출(무인보안)'!E74</f>
        <v>일반형, W700 X H700 X 200</v>
      </c>
      <c r="D262" s="430" t="str">
        <f>'8-2.설비자재산출(무인보안)'!G74</f>
        <v>대</v>
      </c>
      <c r="E262" s="394">
        <f>'8-2.설비자재산출(무인보안)'!H74</f>
        <v>4</v>
      </c>
      <c r="F262" s="1200">
        <f>'8-6.자재단가비교표'!N279</f>
        <v>324663.89999999997</v>
      </c>
      <c r="G262" s="1200">
        <f t="shared" si="88"/>
        <v>1298655</v>
      </c>
      <c r="H262" s="248" t="str">
        <f>VLOOKUP(C262,'8-6.자재단가비교표'!$C$7:$O$332,13,0)</f>
        <v>견적가</v>
      </c>
      <c r="J262" s="1359"/>
      <c r="K262" s="1441"/>
      <c r="L262" s="1441"/>
      <c r="M262" s="1365"/>
      <c r="N262" s="1355"/>
      <c r="O262" s="1367"/>
      <c r="P262" s="1367"/>
      <c r="Q262" s="1363"/>
    </row>
    <row r="263" spans="1:17" s="1364" customFormat="1" ht="24.95" customHeight="1">
      <c r="A263" s="533"/>
      <c r="B263" s="1724" t="str">
        <f>'8-2.설비자재산출(무인보안)'!D75</f>
        <v>카메라지지대 기초</v>
      </c>
      <c r="C263" s="1724" t="str">
        <f>'8-2.설비자재산출(무인보안)'!E75</f>
        <v>500*800*1000H이상, 앵커포함</v>
      </c>
      <c r="D263" s="1725" t="str">
        <f>'8-2.설비자재산출(무인보안)'!G75</f>
        <v>식</v>
      </c>
      <c r="E263" s="410">
        <f>'8-2.설비자재산출(무인보안)'!H75</f>
        <v>8</v>
      </c>
      <c r="F263" s="1726">
        <f>VLOOKUP(C263,'8-6.자재단가비교표'!$C$7:$O$332,12,0)</f>
        <v>162331.94999999998</v>
      </c>
      <c r="G263" s="1726">
        <f t="shared" si="88"/>
        <v>1298655</v>
      </c>
      <c r="H263" s="1727" t="str">
        <f>VLOOKUP(C263,'8-6.자재단가비교표'!$C$7:$O$332,13,0)</f>
        <v>견적가</v>
      </c>
      <c r="J263" s="1359"/>
      <c r="K263" s="1441"/>
      <c r="L263" s="1441"/>
      <c r="M263" s="1365"/>
      <c r="N263" s="1355"/>
      <c r="O263" s="1367"/>
      <c r="P263" s="1367"/>
      <c r="Q263" s="1363"/>
    </row>
    <row r="264" spans="1:17" s="1364" customFormat="1" ht="24.95" hidden="1" customHeight="1">
      <c r="A264" s="1359"/>
      <c r="B264" s="1439" t="str">
        <f>'8-2.설비자재산출(무인보안)'!D76</f>
        <v>감지기 폴</v>
      </c>
      <c r="C264" s="1439" t="str">
        <f>'8-2.설비자재산출(무인보안)'!E76</f>
        <v>400*400*400H기초포함</v>
      </c>
      <c r="D264" s="1365" t="str">
        <f>'8-2.설비자재산출(무인보안)'!G76</f>
        <v>식</v>
      </c>
      <c r="E264" s="1355">
        <f>'8-2.설비자재산출(무인보안)'!H76</f>
        <v>0</v>
      </c>
      <c r="F264" s="1440">
        <f>VLOOKUP(C264,'8-6.자재단가비교표'!$C$7:$O$332,12,0)</f>
        <v>228142.19999999998</v>
      </c>
      <c r="G264" s="1440">
        <f t="shared" si="88"/>
        <v>0</v>
      </c>
      <c r="H264" s="1363" t="str">
        <f>VLOOKUP(C264,'8-6.자재단가비교표'!$C$7:$O$332,13,0)</f>
        <v>견적가</v>
      </c>
      <c r="J264" s="1359"/>
      <c r="K264" s="1441"/>
      <c r="L264" s="1441"/>
      <c r="M264" s="1365"/>
      <c r="N264" s="1355"/>
      <c r="O264" s="1367"/>
      <c r="P264" s="1367"/>
      <c r="Q264" s="1363"/>
    </row>
    <row r="265" spans="1:17" s="34" customFormat="1" ht="24.95" customHeight="1">
      <c r="A265" s="533"/>
      <c r="B265" s="392" t="str">
        <f>'8-2.설비자재산출(무인보안)'!D77</f>
        <v>CCTV안내판</v>
      </c>
      <c r="C265" s="392" t="str">
        <f>'8-2.설비자재산출(무인보안)'!E77</f>
        <v>알루미늄</v>
      </c>
      <c r="D265" s="430" t="str">
        <f>'8-2.설비자재산출(무인보안)'!G77</f>
        <v>개</v>
      </c>
      <c r="E265" s="394">
        <f>'8-2.설비자재산출(무인보안)'!H77</f>
        <v>1</v>
      </c>
      <c r="F265" s="1200">
        <f>VLOOKUP(C265,'8-6.자재단가비교표'!$C$7:$O$332,12,0)</f>
        <v>157944.6</v>
      </c>
      <c r="G265" s="1200">
        <f t="shared" si="88"/>
        <v>157944</v>
      </c>
      <c r="H265" s="248" t="str">
        <f>VLOOKUP(C265,'8-6.자재단가비교표'!$C$7:$O$332,13,0)</f>
        <v>견적가</v>
      </c>
      <c r="J265" s="533"/>
      <c r="K265" s="459"/>
      <c r="L265" s="459"/>
      <c r="M265" s="430"/>
      <c r="N265" s="394"/>
      <c r="O265" s="393"/>
      <c r="P265" s="393"/>
      <c r="Q265" s="248"/>
    </row>
    <row r="266" spans="1:17" s="34" customFormat="1" ht="24.95" customHeight="1">
      <c r="A266" s="533"/>
      <c r="B266" s="392" t="str">
        <f>'8-2.설비자재산출(무인보안)'!D78</f>
        <v>광케이블</v>
      </c>
      <c r="C266" s="392" t="str">
        <f>'8-2.설비자재산출(무인보안)'!E78</f>
        <v>FOFC-SM-4C</v>
      </c>
      <c r="D266" s="430" t="str">
        <f>'8-2.설비자재산출(무인보안)'!G78</f>
        <v>m</v>
      </c>
      <c r="E266" s="394">
        <f>'8-2.설비자재산출(무인보안)'!H78</f>
        <v>2650.3</v>
      </c>
      <c r="F266" s="1200">
        <f>VLOOKUP(C266,'8-6.자재단가비교표'!$C$7:$O$332,12,0)</f>
        <v>877.47</v>
      </c>
      <c r="G266" s="1200">
        <f t="shared" si="88"/>
        <v>2325558</v>
      </c>
      <c r="H266" s="248" t="str">
        <f>VLOOKUP(C266,'8-6.자재단가비교표'!$C$7:$O$332,13,0)</f>
        <v>물가자료</v>
      </c>
      <c r="J266" s="533"/>
      <c r="K266" s="459"/>
      <c r="L266" s="459"/>
      <c r="M266" s="430"/>
      <c r="N266" s="394"/>
      <c r="O266" s="393"/>
      <c r="P266" s="393"/>
      <c r="Q266" s="248"/>
    </row>
    <row r="267" spans="1:17" s="34" customFormat="1" ht="24.95" customHeight="1">
      <c r="A267" s="533"/>
      <c r="B267" s="392" t="str">
        <f>'8-2.설비자재산출(무인보안)'!D79</f>
        <v>케이블 명찰</v>
      </c>
      <c r="C267" s="392" t="str">
        <f>'8-2.설비자재산출(무인보안)'!E79</f>
        <v>포맥스, 230x60mm</v>
      </c>
      <c r="D267" s="430" t="str">
        <f>'8-2.설비자재산출(무인보안)'!G79</f>
        <v>개</v>
      </c>
      <c r="E267" s="394">
        <f>'8-2.설비자재산출(무인보안)'!H79</f>
        <v>16</v>
      </c>
      <c r="F267" s="1200">
        <f>VLOOKUP(C267,'8-6.자재단가비교표'!$C$7:$O$332,12,0)</f>
        <v>2632.41</v>
      </c>
      <c r="G267" s="1200">
        <f t="shared" si="88"/>
        <v>42118</v>
      </c>
      <c r="H267" s="248" t="str">
        <f>VLOOKUP(C267,'8-6.자재단가비교표'!$C$7:$O$332,13,0)</f>
        <v>견적가</v>
      </c>
      <c r="J267" s="533"/>
      <c r="K267" s="459"/>
      <c r="L267" s="459"/>
      <c r="M267" s="430"/>
      <c r="N267" s="394"/>
      <c r="O267" s="393"/>
      <c r="P267" s="393"/>
      <c r="Q267" s="248"/>
    </row>
    <row r="268" spans="1:17" s="34" customFormat="1" ht="24.95" customHeight="1">
      <c r="A268" s="533"/>
      <c r="B268" s="392" t="str">
        <f>'8-2.설비자재산출(무인보안)'!D80</f>
        <v>전원케이블</v>
      </c>
      <c r="C268" s="392" t="str">
        <f>'8-2.설비자재산출(무인보안)'!E80</f>
        <v>FR-CVVS 16SQ-2C</v>
      </c>
      <c r="D268" s="430" t="str">
        <f>'8-2.설비자재산출(무인보안)'!G80</f>
        <v>m</v>
      </c>
      <c r="E268" s="394">
        <f>'8-2.설비자재산출(무인보안)'!H80</f>
        <v>20.5</v>
      </c>
      <c r="F268" s="1200">
        <f>VLOOKUP(C268,'8-6.자재단가비교표'!$C$7:$O$332,12,0)</f>
        <v>7712.9612999999999</v>
      </c>
      <c r="G268" s="1200">
        <f t="shared" si="88"/>
        <v>158115</v>
      </c>
      <c r="H268" s="248" t="str">
        <f>VLOOKUP(C268,'8-6.자재단가비교표'!$C$7:$O$332,13,0)</f>
        <v>견적가</v>
      </c>
      <c r="J268" s="533"/>
      <c r="K268" s="459"/>
      <c r="L268" s="459"/>
      <c r="M268" s="430"/>
      <c r="N268" s="394"/>
      <c r="O268" s="393"/>
      <c r="P268" s="393"/>
      <c r="Q268" s="248"/>
    </row>
    <row r="269" spans="1:17" s="34" customFormat="1" ht="24.95" customHeight="1">
      <c r="A269" s="533"/>
      <c r="B269" s="392" t="str">
        <f>'8-2.설비자재산출(무인보안)'!D81</f>
        <v>전원케이블</v>
      </c>
      <c r="C269" s="392" t="str">
        <f>'8-2.설비자재산출(무인보안)'!E81</f>
        <v>FR-CVVS 2.5SQ-2C</v>
      </c>
      <c r="D269" s="430" t="str">
        <f>'8-2.설비자재산출(무인보안)'!G81</f>
        <v>m</v>
      </c>
      <c r="E269" s="394">
        <f>'8-2.설비자재산출(무인보안)'!H81</f>
        <v>7393.7</v>
      </c>
      <c r="F269" s="1200">
        <f>VLOOKUP(C269,'8-6.자재단가비교표'!$C$7:$O$332,12,0)</f>
        <v>2291.9516399999998</v>
      </c>
      <c r="G269" s="1200">
        <f t="shared" si="88"/>
        <v>16946002</v>
      </c>
      <c r="H269" s="248" t="str">
        <f>VLOOKUP(C269,'8-6.자재단가비교표'!$C$7:$O$332,13,0)</f>
        <v>견적가</v>
      </c>
      <c r="J269" s="533"/>
      <c r="K269" s="459"/>
      <c r="L269" s="459"/>
      <c r="M269" s="430"/>
      <c r="N269" s="394"/>
      <c r="O269" s="393"/>
      <c r="P269" s="393"/>
      <c r="Q269" s="248"/>
    </row>
    <row r="270" spans="1:17" s="1364" customFormat="1" ht="24.95" hidden="1" customHeight="1">
      <c r="A270" s="1359"/>
      <c r="B270" s="1439" t="str">
        <f>'8-2.설비자재산출(무인보안)'!D82</f>
        <v>전원케이블</v>
      </c>
      <c r="C270" s="1439" t="str">
        <f>'8-2.설비자재산출(무인보안)'!E82</f>
        <v>FR-CVVS 4SQ-2C</v>
      </c>
      <c r="D270" s="1365" t="str">
        <f>'8-2.설비자재산출(무인보안)'!G82</f>
        <v>m</v>
      </c>
      <c r="E270" s="1355">
        <f>'8-2.설비자재산출(무인보안)'!H82</f>
        <v>0</v>
      </c>
      <c r="F270" s="1440">
        <f>VLOOKUP(C270,'8-6.자재단가비교표'!$C$7:$O$332,12,0)</f>
        <v>3553.7534999999998</v>
      </c>
      <c r="G270" s="1440">
        <f>INT(E270*F270)</f>
        <v>0</v>
      </c>
      <c r="H270" s="1363" t="str">
        <f>VLOOKUP(C270,'8-6.자재단가비교표'!$C$7:$O$332,13,0)</f>
        <v>견적가</v>
      </c>
      <c r="J270" s="1359"/>
      <c r="K270" s="1441"/>
      <c r="L270" s="1441"/>
      <c r="M270" s="1365"/>
      <c r="N270" s="1355"/>
      <c r="O270" s="1367"/>
      <c r="P270" s="1367"/>
      <c r="Q270" s="1363"/>
    </row>
    <row r="271" spans="1:17" s="1364" customFormat="1" ht="24.95" hidden="1" customHeight="1">
      <c r="A271" s="1359"/>
      <c r="B271" s="1439" t="str">
        <f>'8-2.설비자재산출(무인보안)'!D83</f>
        <v>전원케이블</v>
      </c>
      <c r="C271" s="1439" t="str">
        <f>'8-2.설비자재산출(무인보안)'!E83</f>
        <v>FR-CVVS 6SQ-2C</v>
      </c>
      <c r="D271" s="1365" t="str">
        <f>'8-2.설비자재산출(무인보안)'!G83</f>
        <v>m</v>
      </c>
      <c r="E271" s="1355">
        <f>'8-2.설비자재산출(무인보안)'!H83</f>
        <v>0</v>
      </c>
      <c r="F271" s="1440">
        <f>VLOOKUP(C271,'8-6.자재단가비교표'!$C$7:$O$332,12,0)</f>
        <v>4146.0457500000002</v>
      </c>
      <c r="G271" s="1440">
        <f t="shared" ref="G271:G283" si="89">INT(E271*F271)</f>
        <v>0</v>
      </c>
      <c r="H271" s="1363" t="str">
        <f>VLOOKUP(C271,'8-6.자재단가비교표'!$C$7:$O$332,13,0)</f>
        <v>견적가</v>
      </c>
      <c r="J271" s="1359"/>
      <c r="K271" s="1441"/>
      <c r="L271" s="1441"/>
      <c r="M271" s="1365"/>
      <c r="N271" s="1355"/>
      <c r="O271" s="1367"/>
      <c r="P271" s="1367"/>
      <c r="Q271" s="1363"/>
    </row>
    <row r="272" spans="1:17" s="1364" customFormat="1" ht="24.95" hidden="1" customHeight="1">
      <c r="A272" s="1359"/>
      <c r="B272" s="1439" t="str">
        <f>'8-2.설비자재산출(무인보안)'!D84</f>
        <v>전원케이블</v>
      </c>
      <c r="C272" s="1439" t="str">
        <f>'8-2.설비자재산출(무인보안)'!E84</f>
        <v>FR-CVVS 1.5SQ-2C</v>
      </c>
      <c r="D272" s="1365" t="str">
        <f>'8-2.설비자재산출(무인보안)'!G84</f>
        <v>m</v>
      </c>
      <c r="E272" s="1355">
        <f>'8-2.설비자재산출(무인보안)'!H84</f>
        <v>0</v>
      </c>
      <c r="F272" s="1440">
        <f>VLOOKUP(C272,'8-6.자재단가비교표'!$C$7:$O$332,12,0)</f>
        <v>1407.4618800000001</v>
      </c>
      <c r="G272" s="1440">
        <f t="shared" si="89"/>
        <v>0</v>
      </c>
      <c r="H272" s="1363" t="str">
        <f>VLOOKUP(C272,'8-6.자재단가비교표'!$C$7:$O$332,13,0)</f>
        <v>견적가</v>
      </c>
      <c r="J272" s="1359"/>
      <c r="K272" s="1441"/>
      <c r="L272" s="1441"/>
      <c r="M272" s="1365"/>
      <c r="N272" s="1355"/>
      <c r="O272" s="1367"/>
      <c r="P272" s="1367"/>
      <c r="Q272" s="1363"/>
    </row>
    <row r="273" spans="1:17" s="34" customFormat="1" ht="24.95" customHeight="1">
      <c r="A273" s="533"/>
      <c r="B273" s="392" t="str">
        <f>'8-2.설비자재산출(무인보안)'!D85</f>
        <v>제어케이블</v>
      </c>
      <c r="C273" s="392" t="str">
        <f>'8-2.설비자재산출(무인보안)'!E85</f>
        <v>FR-CVVS 1.5SQ-4C</v>
      </c>
      <c r="D273" s="430" t="str">
        <f>'8-2.설비자재산출(무인보안)'!G85</f>
        <v>m</v>
      </c>
      <c r="E273" s="394">
        <f>'8-2.설비자재산출(무인보안)'!H85</f>
        <v>43.2</v>
      </c>
      <c r="F273" s="1200">
        <f>VLOOKUP(C273,'8-6.자재단가비교표'!$C$7:$O$332,12,0)</f>
        <v>2084.8687199999999</v>
      </c>
      <c r="G273" s="1200">
        <f t="shared" si="89"/>
        <v>90066</v>
      </c>
      <c r="H273" s="248" t="str">
        <f>VLOOKUP(C273,'8-6.자재단가비교표'!$C$7:$O$332,13,0)</f>
        <v>견적가</v>
      </c>
      <c r="J273" s="533"/>
      <c r="K273" s="459"/>
      <c r="L273" s="459"/>
      <c r="M273" s="430"/>
      <c r="N273" s="394"/>
      <c r="O273" s="393"/>
      <c r="P273" s="393"/>
      <c r="Q273" s="248"/>
    </row>
    <row r="274" spans="1:17" s="34" customFormat="1" ht="24.95" customHeight="1">
      <c r="A274" s="533"/>
      <c r="B274" s="392" t="str">
        <f>'8-2.설비자재산출(무인보안)'!D86</f>
        <v>제어케이블</v>
      </c>
      <c r="C274" s="392" t="str">
        <f>'8-2.설비자재산출(무인보안)'!E86</f>
        <v>FR-CVVS 1.5SQ-15C</v>
      </c>
      <c r="D274" s="430" t="str">
        <f>'8-2.설비자재산출(무인보안)'!G86</f>
        <v>m</v>
      </c>
      <c r="E274" s="394">
        <f>'8-2.설비자재산출(무인보안)'!H86</f>
        <v>43.2</v>
      </c>
      <c r="F274" s="1200">
        <f>VLOOKUP(C274,'8-6.자재단가비교표'!$C$7:$O$332,12,0)</f>
        <v>7326.8744999999999</v>
      </c>
      <c r="G274" s="1200">
        <f t="shared" si="89"/>
        <v>316520</v>
      </c>
      <c r="H274" s="248" t="str">
        <f>VLOOKUP(C274,'8-6.자재단가비교표'!$C$7:$O$332,13,0)</f>
        <v>견적가</v>
      </c>
      <c r="J274" s="533"/>
      <c r="K274" s="459"/>
      <c r="L274" s="459"/>
      <c r="M274" s="430"/>
      <c r="N274" s="394"/>
      <c r="O274" s="393"/>
      <c r="P274" s="393"/>
      <c r="Q274" s="248"/>
    </row>
    <row r="275" spans="1:17" s="1364" customFormat="1" ht="24.95" hidden="1" customHeight="1">
      <c r="A275" s="1359"/>
      <c r="B275" s="1439" t="str">
        <f>'8-2.설비자재산출(무인보안)'!D87</f>
        <v>동축케이블</v>
      </c>
      <c r="C275" s="1439" t="str">
        <f>'8-2.설비자재산출(무인보안)'!E87</f>
        <v>ECX 3C-2V</v>
      </c>
      <c r="D275" s="1365" t="str">
        <f>'8-2.설비자재산출(무인보안)'!G87</f>
        <v>m</v>
      </c>
      <c r="E275" s="1355">
        <f>'8-2.설비자재산출(무인보안)'!H87</f>
        <v>0</v>
      </c>
      <c r="F275" s="1440"/>
      <c r="G275" s="1440">
        <f t="shared" si="89"/>
        <v>0</v>
      </c>
      <c r="H275" s="1363" t="e">
        <f>VLOOKUP(C275,'8-6.자재단가비교표'!$C$7:$O$332,13,0)</f>
        <v>#N/A</v>
      </c>
      <c r="J275" s="1359"/>
      <c r="K275" s="1441"/>
      <c r="L275" s="1441"/>
      <c r="M275" s="1365"/>
      <c r="N275" s="1355"/>
      <c r="O275" s="1367"/>
      <c r="P275" s="1367"/>
      <c r="Q275" s="1363"/>
    </row>
    <row r="276" spans="1:17" s="34" customFormat="1" ht="24.95" customHeight="1">
      <c r="A276" s="533"/>
      <c r="B276" s="392" t="str">
        <f>'8-2.설비자재산출(무인보안)'!D88</f>
        <v>UTP케이블</v>
      </c>
      <c r="C276" s="392" t="str">
        <f>'8-2.설비자재산출(무인보안)'!E88</f>
        <v>CAT. 5E CM 4P_일반(회색)</v>
      </c>
      <c r="D276" s="430" t="str">
        <f>'8-2.설비자재산출(무인보안)'!G88</f>
        <v>m</v>
      </c>
      <c r="E276" s="394">
        <f>'8-2.설비자재산출(무인보안)'!H88</f>
        <v>32</v>
      </c>
      <c r="F276" s="1200">
        <f>VLOOKUP(C276,'8-6.자재단가비교표'!$C$7:$O$332,12,0)</f>
        <v>693.20129999999995</v>
      </c>
      <c r="G276" s="1200">
        <f t="shared" si="89"/>
        <v>22182</v>
      </c>
      <c r="H276" s="248" t="str">
        <f>VLOOKUP(C276,'8-6.자재단가비교표'!$C$7:$O$332,13,0)</f>
        <v>물가자료</v>
      </c>
      <c r="J276" s="533"/>
      <c r="K276" s="459"/>
      <c r="L276" s="459"/>
      <c r="M276" s="430"/>
      <c r="N276" s="394"/>
      <c r="O276" s="393"/>
      <c r="P276" s="393"/>
      <c r="Q276" s="248"/>
    </row>
    <row r="277" spans="1:17" s="34" customFormat="1" ht="24.95" customHeight="1">
      <c r="A277" s="533"/>
      <c r="B277" s="392" t="str">
        <f>'8-2.설비자재산출(무인보안)'!D89</f>
        <v>S-FTP 케이블</v>
      </c>
      <c r="C277" s="392" t="str">
        <f>'8-2.설비자재산출(무인보안)'!E89</f>
        <v>CAT. 5E CM 4P_SFTP(회색)</v>
      </c>
      <c r="D277" s="430" t="str">
        <f>'8-2.설비자재산출(무인보안)'!G89</f>
        <v>m</v>
      </c>
      <c r="E277" s="394">
        <f>'8-2.설비자재산출(무인보안)'!H89</f>
        <v>5726.2</v>
      </c>
      <c r="F277" s="1200">
        <f>VLOOKUP(C277,'8-6.자재단가비교표'!$C$7:$O$332,12,0)</f>
        <v>1579.4459999999999</v>
      </c>
      <c r="G277" s="1200">
        <f t="shared" si="89"/>
        <v>9044223</v>
      </c>
      <c r="H277" s="248" t="str">
        <f>VLOOKUP(C277,'8-6.자재단가비교표'!$C$7:$O$332,13,0)</f>
        <v>견적가</v>
      </c>
      <c r="J277" s="533"/>
      <c r="K277" s="459"/>
      <c r="L277" s="459"/>
      <c r="M277" s="430"/>
      <c r="N277" s="394"/>
      <c r="O277" s="393"/>
      <c r="P277" s="393"/>
      <c r="Q277" s="248"/>
    </row>
    <row r="278" spans="1:17" s="1364" customFormat="1" ht="24.95" hidden="1" customHeight="1">
      <c r="A278" s="1359"/>
      <c r="B278" s="1439" t="str">
        <f>'8-2.설비자재산출(무인보안)'!D90</f>
        <v>데이터케이블</v>
      </c>
      <c r="C278" s="1439" t="str">
        <f>'8-2.설비자재산출(무인보안)'!E90</f>
        <v>20AWG/0.5㎟ 2C, 조작,실드</v>
      </c>
      <c r="D278" s="1365" t="str">
        <f>'8-2.설비자재산출(무인보안)'!G90</f>
        <v>m</v>
      </c>
      <c r="E278" s="1355">
        <f>'8-2.설비자재산출(무인보안)'!H90</f>
        <v>0</v>
      </c>
      <c r="F278" s="1440">
        <f>VLOOKUP(C278,'8-6.자재단가비교표'!$C$7:$O$332,12,0)</f>
        <v>500.15789999999998</v>
      </c>
      <c r="G278" s="1440">
        <f t="shared" si="89"/>
        <v>0</v>
      </c>
      <c r="H278" s="1363" t="str">
        <f>VLOOKUP(C278,'8-6.자재단가비교표'!$C$7:$O$332,13,0)</f>
        <v>물가자료</v>
      </c>
      <c r="J278" s="1359"/>
      <c r="K278" s="1441"/>
      <c r="L278" s="1441"/>
      <c r="M278" s="1365"/>
      <c r="N278" s="1355"/>
      <c r="O278" s="1367"/>
      <c r="P278" s="1367"/>
      <c r="Q278" s="1363"/>
    </row>
    <row r="279" spans="1:17" s="1364" customFormat="1" ht="24.95" hidden="1" customHeight="1">
      <c r="A279" s="1359"/>
      <c r="B279" s="1439" t="str">
        <f>'8-2.설비자재산출(무인보안)'!D91</f>
        <v>데이터케이블</v>
      </c>
      <c r="C279" s="1439" t="str">
        <f>'8-2.설비자재산출(무인보안)'!E91</f>
        <v>20AWG/0.5㎟ 4C, 조작,실드</v>
      </c>
      <c r="D279" s="1365" t="str">
        <f>'8-2.설비자재산출(무인보안)'!G91</f>
        <v>m</v>
      </c>
      <c r="E279" s="1355">
        <f>'8-2.설비자재산출(무인보안)'!H91</f>
        <v>0</v>
      </c>
      <c r="F279" s="1440">
        <f>VLOOKUP(C279,'8-6.자재단가비교표'!$C$7:$O$332,12,0)</f>
        <v>728.30009999999993</v>
      </c>
      <c r="G279" s="1440">
        <f t="shared" si="89"/>
        <v>0</v>
      </c>
      <c r="H279" s="1363" t="str">
        <f>VLOOKUP(C279,'8-6.자재단가비교표'!$C$7:$O$332,13,0)</f>
        <v>물가자료</v>
      </c>
      <c r="J279" s="1359"/>
      <c r="K279" s="1441"/>
      <c r="L279" s="1441"/>
      <c r="M279" s="1365"/>
      <c r="N279" s="1355"/>
      <c r="O279" s="1367"/>
      <c r="P279" s="1367"/>
      <c r="Q279" s="1363"/>
    </row>
    <row r="280" spans="1:17" s="34" customFormat="1" ht="24.95" customHeight="1">
      <c r="A280" s="533"/>
      <c r="B280" s="392" t="str">
        <f>'8-2.설비자재산출(무인보안)'!D92</f>
        <v>데이터케이블</v>
      </c>
      <c r="C280" s="392" t="str">
        <f>'8-2.설비자재산출(무인보안)'!E92</f>
        <v>20AWG/0.5㎟ 6C, 조작,실드</v>
      </c>
      <c r="D280" s="430" t="str">
        <f>'8-2.설비자재산출(무인보안)'!G92</f>
        <v>m</v>
      </c>
      <c r="E280" s="394">
        <f>'8-2.설비자재산출(무인보안)'!H92</f>
        <v>1414.9</v>
      </c>
      <c r="F280" s="1200">
        <f>VLOOKUP(C280,'8-6.자재단가비교표'!$C$7:$O$332,12,0)</f>
        <v>965.21699999999998</v>
      </c>
      <c r="G280" s="1200">
        <f t="shared" si="89"/>
        <v>1365685</v>
      </c>
      <c r="H280" s="248" t="str">
        <f>VLOOKUP(C280,'8-6.자재단가비교표'!$C$7:$O$332,13,0)</f>
        <v>물가자료</v>
      </c>
      <c r="J280" s="533"/>
      <c r="K280" s="459"/>
      <c r="L280" s="459"/>
      <c r="M280" s="430"/>
      <c r="N280" s="394"/>
      <c r="O280" s="393"/>
      <c r="P280" s="393"/>
      <c r="Q280" s="248"/>
    </row>
    <row r="281" spans="1:17" s="34" customFormat="1" ht="24.95" customHeight="1">
      <c r="A281" s="533"/>
      <c r="B281" s="392" t="str">
        <f>'8-2.설비자재산출(무인보안)'!D93</f>
        <v>접지케이블</v>
      </c>
      <c r="C281" s="392" t="str">
        <f>'8-2.설비자재산출(무인보안)'!E93</f>
        <v>F-GV 6SQ</v>
      </c>
      <c r="D281" s="430" t="str">
        <f>'8-2.설비자재산출(무인보안)'!G93</f>
        <v>m</v>
      </c>
      <c r="E281" s="394">
        <f>'8-2.설비자재산출(무인보안)'!H93</f>
        <v>136.5</v>
      </c>
      <c r="F281" s="1200">
        <f>VLOOKUP(C281,'8-6.자재단가비교표'!$C$7:$O$332,12,0)</f>
        <v>1079.2881</v>
      </c>
      <c r="G281" s="1200">
        <f t="shared" si="89"/>
        <v>147322</v>
      </c>
      <c r="H281" s="248" t="str">
        <f>VLOOKUP(C281,'8-6.자재단가비교표'!$C$7:$O$332,13,0)</f>
        <v>물가정보</v>
      </c>
      <c r="J281" s="533"/>
      <c r="K281" s="459"/>
      <c r="L281" s="459"/>
      <c r="M281" s="430"/>
      <c r="N281" s="394"/>
      <c r="O281" s="393"/>
      <c r="P281" s="393"/>
      <c r="Q281" s="248"/>
    </row>
    <row r="282" spans="1:17" s="1364" customFormat="1" ht="24.95" hidden="1" customHeight="1">
      <c r="A282" s="1359"/>
      <c r="B282" s="1439" t="str">
        <f>'8-2.설비자재산출(무인보안)'!D94</f>
        <v>접지케이블</v>
      </c>
      <c r="C282" s="1439" t="str">
        <f>'8-2.설비자재산출(무인보안)'!E94</f>
        <v>F-GV 16SQ</v>
      </c>
      <c r="D282" s="1365" t="str">
        <f>'8-2.설비자재산출(무인보안)'!G94</f>
        <v>m</v>
      </c>
      <c r="E282" s="1355">
        <f>'8-2.설비자재산출(무인보안)'!H94</f>
        <v>0</v>
      </c>
      <c r="F282" s="1440">
        <f>VLOOKUP(C282,'8-6.자재단가비교표'!$C$7:$O$332,12,0)</f>
        <v>2195.42994</v>
      </c>
      <c r="G282" s="1440">
        <f t="shared" si="89"/>
        <v>0</v>
      </c>
      <c r="H282" s="1363" t="str">
        <f>VLOOKUP(C282,'8-6.자재단가비교표'!$C$7:$O$332,13,0)</f>
        <v>물가정보</v>
      </c>
      <c r="J282" s="1359"/>
      <c r="K282" s="1441"/>
      <c r="L282" s="1441"/>
      <c r="M282" s="1365"/>
      <c r="N282" s="1355"/>
      <c r="O282" s="1367"/>
      <c r="P282" s="1367"/>
      <c r="Q282" s="1363"/>
    </row>
    <row r="283" spans="1:17" s="1364" customFormat="1" ht="24.95" hidden="1" customHeight="1">
      <c r="A283" s="1359"/>
      <c r="B283" s="1439" t="str">
        <f>'8-2.설비자재산출(무인보안)'!D95</f>
        <v>접지케이블</v>
      </c>
      <c r="C283" s="1439" t="str">
        <f>'8-2.설비자재산출(무인보안)'!E95</f>
        <v>F-GV 95SQ</v>
      </c>
      <c r="D283" s="1365" t="str">
        <f>'8-2.설비자재산출(무인보안)'!G95</f>
        <v>m</v>
      </c>
      <c r="E283" s="1355">
        <f>'8-2.설비자재산출(무인보안)'!H95</f>
        <v>0</v>
      </c>
      <c r="F283" s="1440">
        <f>VLOOKUP(C283,'8-6.자재단가비교표'!$C$7:$O$332,12,0)</f>
        <v>12274.927829999999</v>
      </c>
      <c r="G283" s="1440">
        <f t="shared" si="89"/>
        <v>0</v>
      </c>
      <c r="H283" s="1363" t="str">
        <f>VLOOKUP(C283,'8-6.자재단가비교표'!$C$7:$O$332,13,0)</f>
        <v>물가정보</v>
      </c>
      <c r="J283" s="1359"/>
      <c r="K283" s="1441"/>
      <c r="L283" s="1441"/>
      <c r="M283" s="1365"/>
      <c r="N283" s="1355"/>
      <c r="O283" s="1367"/>
      <c r="P283" s="1367"/>
      <c r="Q283" s="1363"/>
    </row>
    <row r="284" spans="1:17" s="1364" customFormat="1" ht="24.95" hidden="1" customHeight="1">
      <c r="A284" s="1359"/>
      <c r="B284" s="1439" t="str">
        <f>'8-2.설비자재산출(무인보안)'!D96</f>
        <v>ELP전선관</v>
      </c>
      <c r="C284" s="1439" t="str">
        <f>'8-2.설비자재산출(무인보안)'!E96</f>
        <v>30㎜</v>
      </c>
      <c r="D284" s="1365" t="str">
        <f>'8-2.설비자재산출(무인보안)'!G96</f>
        <v>m</v>
      </c>
      <c r="E284" s="1355">
        <f>'8-2.설비자재산출(무인보안)'!H96</f>
        <v>0</v>
      </c>
      <c r="F284" s="1440">
        <f>VLOOKUP(C284,'8-6.자재단가비교표'!$C$7:$O$332,12,0)</f>
        <v>315.88920000000002</v>
      </c>
      <c r="G284" s="1440">
        <f t="shared" ref="G284:G292" si="90">INT(E284*F284)</f>
        <v>0</v>
      </c>
      <c r="H284" s="1363" t="str">
        <f>VLOOKUP(C284,'8-6.자재단가비교표'!$C$7:$O$332,13,0)</f>
        <v>물가자료</v>
      </c>
      <c r="J284" s="1359"/>
      <c r="K284" s="1441"/>
      <c r="L284" s="1441"/>
      <c r="M284" s="1365"/>
      <c r="N284" s="1355"/>
      <c r="O284" s="1367"/>
      <c r="P284" s="1367"/>
      <c r="Q284" s="1363"/>
    </row>
    <row r="285" spans="1:17" s="1364" customFormat="1" ht="24.95" hidden="1" customHeight="1">
      <c r="A285" s="1359"/>
      <c r="B285" s="1439" t="str">
        <f>'8-2.설비자재산출(무인보안)'!D97</f>
        <v>ELP전선관</v>
      </c>
      <c r="C285" s="1439" t="str">
        <f>'8-2.설비자재산출(무인보안)'!E97</f>
        <v>40㎜</v>
      </c>
      <c r="D285" s="1365" t="str">
        <f>'8-2.설비자재산출(무인보안)'!G97</f>
        <v>m</v>
      </c>
      <c r="E285" s="1355">
        <f>'8-2.설비자재산출(무인보안)'!H97</f>
        <v>0</v>
      </c>
      <c r="F285" s="1440">
        <f>VLOOKUP(C285,'8-6.자재단가비교표'!$C$7:$O$332,12,0)</f>
        <v>482.60849999999999</v>
      </c>
      <c r="G285" s="1440">
        <f t="shared" si="90"/>
        <v>0</v>
      </c>
      <c r="H285" s="1363" t="str">
        <f>VLOOKUP(C285,'8-6.자재단가비교표'!$C$7:$O$332,13,0)</f>
        <v>물가정보</v>
      </c>
      <c r="J285" s="1359"/>
      <c r="K285" s="1441"/>
      <c r="L285" s="1441"/>
      <c r="M285" s="1365"/>
      <c r="N285" s="1355"/>
      <c r="O285" s="1367"/>
      <c r="P285" s="1367"/>
      <c r="Q285" s="1363"/>
    </row>
    <row r="286" spans="1:17" s="1364" customFormat="1" ht="24.95" hidden="1" customHeight="1">
      <c r="A286" s="1359"/>
      <c r="B286" s="1439" t="str">
        <f>'8-2.설비자재산출(무인보안)'!D98</f>
        <v>강제전선관</v>
      </c>
      <c r="C286" s="1439" t="str">
        <f>'8-2.설비자재산출(무인보안)'!E98</f>
        <v>강제전선관, 22㎜</v>
      </c>
      <c r="D286" s="1365" t="str">
        <f>'8-2.설비자재산출(무인보안)'!G98</f>
        <v>m</v>
      </c>
      <c r="E286" s="1355">
        <f>'8-2.설비자재산출(무인보안)'!H98</f>
        <v>0</v>
      </c>
      <c r="F286" s="1440">
        <f>VLOOKUP(C286,'8-6.자재단가비교표'!$C$7:$O$332,12,0)</f>
        <v>3509.88</v>
      </c>
      <c r="G286" s="1440">
        <f t="shared" si="90"/>
        <v>0</v>
      </c>
      <c r="H286" s="1363" t="str">
        <f>VLOOKUP(C286,'8-6.자재단가비교표'!$C$7:$O$332,13,0)</f>
        <v>물가자료</v>
      </c>
      <c r="J286" s="1359"/>
      <c r="K286" s="1441"/>
      <c r="L286" s="1441"/>
      <c r="M286" s="1365"/>
      <c r="N286" s="1355"/>
      <c r="O286" s="1367"/>
      <c r="P286" s="1367"/>
      <c r="Q286" s="1363"/>
    </row>
    <row r="287" spans="1:17" s="1364" customFormat="1" ht="24.95" hidden="1" customHeight="1">
      <c r="A287" s="1359"/>
      <c r="B287" s="1439" t="str">
        <f>'8-2.설비자재산출(무인보안)'!D99</f>
        <v>강제전선관</v>
      </c>
      <c r="C287" s="1439" t="str">
        <f>'8-2.설비자재산출(무인보안)'!E99</f>
        <v>강제전선관, 28㎜</v>
      </c>
      <c r="D287" s="1365" t="str">
        <f>'8-2.설비자재산출(무인보안)'!G99</f>
        <v>m</v>
      </c>
      <c r="E287" s="1355">
        <f>'8-2.설비자재산출(무인보안)'!H99</f>
        <v>0</v>
      </c>
      <c r="F287" s="1440">
        <f>VLOOKUP(C287,'8-6.자재단가비교표'!$C$7:$O$332,12,0)</f>
        <v>4562.8440000000001</v>
      </c>
      <c r="G287" s="1440">
        <f t="shared" si="90"/>
        <v>0</v>
      </c>
      <c r="H287" s="1363" t="str">
        <f>VLOOKUP(C287,'8-6.자재단가비교표'!$C$7:$O$332,13,0)</f>
        <v>물가자료</v>
      </c>
      <c r="J287" s="1359"/>
      <c r="K287" s="1441"/>
      <c r="L287" s="1441"/>
      <c r="M287" s="1365"/>
      <c r="N287" s="1355"/>
      <c r="O287" s="1367"/>
      <c r="P287" s="1367"/>
      <c r="Q287" s="1363"/>
    </row>
    <row r="288" spans="1:17" s="1364" customFormat="1" ht="24.95" hidden="1" customHeight="1">
      <c r="A288" s="1359"/>
      <c r="B288" s="1439" t="str">
        <f>'8-2.설비자재산출(무인보안)'!D100</f>
        <v>플랙시블전선관</v>
      </c>
      <c r="C288" s="1439" t="str">
        <f>'8-2.설비자재산출(무인보안)'!E100</f>
        <v>GW-22㎜</v>
      </c>
      <c r="D288" s="1365" t="str">
        <f>'8-2.설비자재산출(무인보안)'!G100</f>
        <v>m</v>
      </c>
      <c r="E288" s="1355">
        <f>'8-2.설비자재산출(무인보안)'!H100</f>
        <v>0</v>
      </c>
      <c r="F288" s="1440">
        <f>VLOOKUP(C288,'8-6.자재단가비교표'!$C$7:$O$332,12,0)</f>
        <v>820.43444999999997</v>
      </c>
      <c r="G288" s="1440">
        <f t="shared" si="90"/>
        <v>0</v>
      </c>
      <c r="H288" s="1363" t="str">
        <f>VLOOKUP(C288,'8-6.자재단가비교표'!$C$7:$O$332,13,0)</f>
        <v>물가정보</v>
      </c>
      <c r="J288" s="1359"/>
      <c r="K288" s="1441"/>
      <c r="L288" s="1441"/>
      <c r="M288" s="1365"/>
      <c r="N288" s="1355"/>
      <c r="O288" s="1367"/>
      <c r="P288" s="1367"/>
      <c r="Q288" s="1363"/>
    </row>
    <row r="289" spans="1:17" s="1364" customFormat="1" ht="24.95" hidden="1" customHeight="1">
      <c r="A289" s="1359"/>
      <c r="B289" s="1439" t="str">
        <f>'8-2.설비자재산출(무인보안)'!D101</f>
        <v>플랙시블전선관</v>
      </c>
      <c r="C289" s="1439" t="str">
        <f>'8-2.설비자재산출(무인보안)'!E101</f>
        <v>GW-28㎜</v>
      </c>
      <c r="D289" s="1365" t="str">
        <f>'8-2.설비자재산출(무인보안)'!G101</f>
        <v>m</v>
      </c>
      <c r="E289" s="1355">
        <f>'8-2.설비자재산출(무인보안)'!H101</f>
        <v>0</v>
      </c>
      <c r="F289" s="1440">
        <f>VLOOKUP(C289,'8-6.자재단가비교표'!$C$7:$O$332,12,0)</f>
        <v>1109.99955</v>
      </c>
      <c r="G289" s="1440">
        <f t="shared" si="90"/>
        <v>0</v>
      </c>
      <c r="H289" s="1363" t="str">
        <f>VLOOKUP(C289,'8-6.자재단가비교표'!$C$7:$O$332,13,0)</f>
        <v>물가정보</v>
      </c>
      <c r="J289" s="1359"/>
      <c r="K289" s="1441"/>
      <c r="L289" s="1441"/>
      <c r="M289" s="1365"/>
      <c r="N289" s="1355"/>
      <c r="O289" s="1367"/>
      <c r="P289" s="1367"/>
      <c r="Q289" s="1363"/>
    </row>
    <row r="290" spans="1:17" s="1364" customFormat="1" ht="24.95" hidden="1" customHeight="1">
      <c r="A290" s="1359"/>
      <c r="B290" s="1439" t="str">
        <f>'8-2.설비자재산출(무인보안)'!D102</f>
        <v>알류미늄덕트</v>
      </c>
      <c r="C290" s="1439" t="str">
        <f>'8-2.설비자재산출(무인보안)'!E102</f>
        <v>150*100</v>
      </c>
      <c r="D290" s="1365" t="str">
        <f>'8-2.설비자재산출(무인보안)'!G102</f>
        <v>m</v>
      </c>
      <c r="E290" s="1355">
        <f>'8-2.설비자재산출(무인보안)'!H102</f>
        <v>0</v>
      </c>
      <c r="F290" s="1440">
        <f>VLOOKUP(C290,'8-6.자재단가비교표'!$C$7:$O$332,12,0)</f>
        <v>38696.426999999996</v>
      </c>
      <c r="G290" s="1440">
        <f t="shared" si="90"/>
        <v>0</v>
      </c>
      <c r="H290" s="1363" t="str">
        <f>VLOOKUP(C290,'8-6.자재단가비교표'!$C$7:$O$332,13,0)</f>
        <v>물가자료</v>
      </c>
      <c r="J290" s="1359"/>
      <c r="K290" s="1441"/>
      <c r="L290" s="1441"/>
      <c r="M290" s="1365"/>
      <c r="N290" s="1355"/>
      <c r="O290" s="1367"/>
      <c r="P290" s="1367"/>
      <c r="Q290" s="1363"/>
    </row>
    <row r="291" spans="1:17" s="1364" customFormat="1" ht="24.95" hidden="1" customHeight="1">
      <c r="A291" s="1359"/>
      <c r="B291" s="1439" t="str">
        <f>'8-2.설비자재산출(무인보안)'!D103</f>
        <v>노말밴드</v>
      </c>
      <c r="C291" s="1439" t="str">
        <f>'8-2.설비자재산출(무인보안)'!E103</f>
        <v>노말밴드, 28㎜</v>
      </c>
      <c r="D291" s="1365" t="str">
        <f>'8-2.설비자재산출(무인보안)'!G103</f>
        <v>개</v>
      </c>
      <c r="E291" s="1355">
        <f>'8-2.설비자재산출(무인보안)'!H103</f>
        <v>0</v>
      </c>
      <c r="F291" s="1440">
        <f>VLOOKUP(C291,'8-6.자재단가비교표'!$C$7:$O$332,12,0)</f>
        <v>3537.0815699999998</v>
      </c>
      <c r="G291" s="1440">
        <f t="shared" si="90"/>
        <v>0</v>
      </c>
      <c r="H291" s="1363" t="str">
        <f>VLOOKUP(C291,'8-6.자재단가비교표'!$C$7:$O$332,13,0)</f>
        <v>물가정보</v>
      </c>
      <c r="J291" s="1359"/>
      <c r="K291" s="1441"/>
      <c r="L291" s="1441"/>
      <c r="M291" s="1365"/>
      <c r="N291" s="1355"/>
      <c r="O291" s="1367"/>
      <c r="P291" s="1367"/>
      <c r="Q291" s="1363"/>
    </row>
    <row r="292" spans="1:17" s="34" customFormat="1" ht="24.95" customHeight="1">
      <c r="A292" s="533"/>
      <c r="B292" s="392" t="str">
        <f>'8-2.설비자재산출(무인보안)'!D104</f>
        <v>셋트앙카(STS)</v>
      </c>
      <c r="C292" s="392" t="str">
        <f>'8-2.설비자재산출(무인보안)'!E104</f>
        <v>M10(3/8), 75㎜</v>
      </c>
      <c r="D292" s="430" t="str">
        <f>'8-2.설비자재산출(무인보안)'!G104</f>
        <v>개</v>
      </c>
      <c r="E292" s="394">
        <f>'8-2.설비자재산출(무인보안)'!H104</f>
        <v>32</v>
      </c>
      <c r="F292" s="1200">
        <f>VLOOKUP(C292,'8-6.자재단가비교표'!$C$7:$O$332,12,0)</f>
        <v>623.00369999999998</v>
      </c>
      <c r="G292" s="1200">
        <f t="shared" si="90"/>
        <v>19936</v>
      </c>
      <c r="H292" s="248" t="str">
        <f>VLOOKUP(C292,'8-6.자재단가비교표'!$C$7:$O$332,13,0)</f>
        <v>물가자료</v>
      </c>
      <c r="J292" s="533"/>
      <c r="K292" s="459"/>
      <c r="L292" s="459"/>
      <c r="M292" s="430"/>
      <c r="N292" s="394"/>
      <c r="O292" s="393"/>
      <c r="P292" s="393"/>
      <c r="Q292" s="248"/>
    </row>
    <row r="293" spans="1:17" s="1364" customFormat="1" ht="24.95" hidden="1" customHeight="1">
      <c r="A293" s="1359"/>
      <c r="B293" s="1439" t="str">
        <f>'8-2.설비자재산출(무인보안)'!D105</f>
        <v>U-찬넬</v>
      </c>
      <c r="C293" s="1439" t="str">
        <f>'8-2.설비자재산출(무인보안)'!E105</f>
        <v>40*40*2.6t, 1m, 용융</v>
      </c>
      <c r="D293" s="1365" t="str">
        <f>'8-2.설비자재산출(무인보안)'!G105</f>
        <v>m</v>
      </c>
      <c r="E293" s="1355">
        <f>'8-2.설비자재산출(무인보안)'!H105</f>
        <v>0</v>
      </c>
      <c r="F293" s="1440">
        <f>VLOOKUP(C293,'8-6.자재단가비교표'!$C$7:$O$332,12,0)</f>
        <v>0</v>
      </c>
      <c r="G293" s="1440">
        <f t="shared" ref="G293:G312" si="91">INT(E293*F293)</f>
        <v>0</v>
      </c>
      <c r="H293" s="1363">
        <f>VLOOKUP(C293,'8-6.자재단가비교표'!$C$7:$O$332,13,0)</f>
        <v>0</v>
      </c>
      <c r="J293" s="1359"/>
      <c r="K293" s="1441"/>
      <c r="L293" s="1441"/>
      <c r="M293" s="1365"/>
      <c r="N293" s="1355"/>
      <c r="O293" s="1367"/>
      <c r="P293" s="1367"/>
      <c r="Q293" s="1363"/>
    </row>
    <row r="294" spans="1:17" s="1364" customFormat="1" ht="24.95" hidden="1" customHeight="1">
      <c r="A294" s="1359"/>
      <c r="B294" s="1439" t="str">
        <f>'8-2.설비자재산출(무인보안)'!D106</f>
        <v>찬넬용클램프</v>
      </c>
      <c r="C294" s="1439" t="str">
        <f>'8-2.설비자재산출(무인보안)'!E106</f>
        <v>22㎜, 용융</v>
      </c>
      <c r="D294" s="1365" t="str">
        <f>'8-2.설비자재산출(무인보안)'!G106</f>
        <v>개</v>
      </c>
      <c r="E294" s="1355">
        <f>'8-2.설비자재산출(무인보안)'!H106</f>
        <v>0</v>
      </c>
      <c r="F294" s="1440">
        <f>VLOOKUP(C294,'8-6.자재단가비교표'!$C$7:$O$332,12,0)</f>
        <v>0</v>
      </c>
      <c r="G294" s="1440">
        <f t="shared" si="91"/>
        <v>0</v>
      </c>
      <c r="H294" s="1363">
        <f>VLOOKUP(C294,'8-6.자재단가비교표'!$C$7:$O$332,13,0)</f>
        <v>0</v>
      </c>
      <c r="J294" s="1359"/>
      <c r="K294" s="1441"/>
      <c r="L294" s="1441"/>
      <c r="M294" s="1365"/>
      <c r="N294" s="1355"/>
      <c r="O294" s="1367"/>
      <c r="P294" s="1367"/>
      <c r="Q294" s="1363"/>
    </row>
    <row r="295" spans="1:17" s="1364" customFormat="1" ht="24.95" hidden="1" customHeight="1">
      <c r="A295" s="1359"/>
      <c r="B295" s="1439" t="str">
        <f>'8-2.설비자재산출(무인보안)'!D107</f>
        <v>찬넬용클램프</v>
      </c>
      <c r="C295" s="1439" t="str">
        <f>'8-2.설비자재산출(무인보안)'!E107</f>
        <v>28㎜, 용융</v>
      </c>
      <c r="D295" s="1365" t="str">
        <f>'8-2.설비자재산출(무인보안)'!G107</f>
        <v>개</v>
      </c>
      <c r="E295" s="1355">
        <f>'8-2.설비자재산출(무인보안)'!H107</f>
        <v>0</v>
      </c>
      <c r="F295" s="1440">
        <f>VLOOKUP(C295,'8-6.자재단가비교표'!$C$7:$O$332,12,0)</f>
        <v>0</v>
      </c>
      <c r="G295" s="1440">
        <f t="shared" si="91"/>
        <v>0</v>
      </c>
      <c r="H295" s="1363">
        <f>VLOOKUP(C295,'8-6.자재단가비교표'!$C$7:$O$332,13,0)</f>
        <v>0</v>
      </c>
      <c r="J295" s="1359"/>
      <c r="K295" s="1441"/>
      <c r="L295" s="1441"/>
      <c r="M295" s="1365"/>
      <c r="N295" s="1355"/>
      <c r="O295" s="1367"/>
      <c r="P295" s="1367"/>
      <c r="Q295" s="1363"/>
    </row>
    <row r="296" spans="1:17" s="1364" customFormat="1" ht="24.95" hidden="1" customHeight="1">
      <c r="A296" s="1359"/>
      <c r="B296" s="1439" t="str">
        <f>'8-2.설비자재산출(무인보안)'!D108</f>
        <v>스트롱앵커</v>
      </c>
      <c r="C296" s="1439" t="str">
        <f>'8-2.설비자재산출(무인보안)'!E108</f>
        <v>스트롱앵커, 16㎜</v>
      </c>
      <c r="D296" s="1365" t="str">
        <f>'8-2.설비자재산출(무인보안)'!G108</f>
        <v>개</v>
      </c>
      <c r="E296" s="1355">
        <f>'8-2.설비자재산출(무인보안)'!H108</f>
        <v>0</v>
      </c>
      <c r="F296" s="1440">
        <f>VLOOKUP(C296,'8-6.자재단가비교표'!$C$7:$O$332,12,0)</f>
        <v>833.59649999999999</v>
      </c>
      <c r="G296" s="1440">
        <f t="shared" si="91"/>
        <v>0</v>
      </c>
      <c r="H296" s="1363" t="str">
        <f>VLOOKUP(C296,'8-6.자재단가비교표'!$C$7:$O$332,13,0)</f>
        <v>물가자료</v>
      </c>
      <c r="J296" s="1359"/>
      <c r="K296" s="1441"/>
      <c r="L296" s="1441"/>
      <c r="M296" s="1365"/>
      <c r="N296" s="1355"/>
      <c r="O296" s="1367"/>
      <c r="P296" s="1367"/>
      <c r="Q296" s="1363"/>
    </row>
    <row r="297" spans="1:17" s="1364" customFormat="1" ht="24.95" hidden="1" customHeight="1">
      <c r="A297" s="1359"/>
      <c r="B297" s="1439" t="str">
        <f>'8-2.설비자재산출(무인보안)'!D109</f>
        <v>행거볼트</v>
      </c>
      <c r="C297" s="1439" t="str">
        <f>'8-2.설비자재산출(무인보안)'!E109</f>
        <v>M16 * 1000㎜</v>
      </c>
      <c r="D297" s="1365" t="str">
        <f>'8-2.설비자재산출(무인보안)'!G109</f>
        <v>개</v>
      </c>
      <c r="E297" s="1355">
        <f>'8-2.설비자재산출(무인보안)'!H109</f>
        <v>0</v>
      </c>
      <c r="F297" s="1440">
        <f>VLOOKUP(C297,'8-6.자재단가비교표'!$C$7:$O$332,12,0)</f>
        <v>0</v>
      </c>
      <c r="G297" s="1440">
        <f t="shared" si="91"/>
        <v>0</v>
      </c>
      <c r="H297" s="1363">
        <f>VLOOKUP(C297,'8-6.자재단가비교표'!$C$7:$O$332,13,0)</f>
        <v>0</v>
      </c>
      <c r="J297" s="1359"/>
      <c r="K297" s="1441"/>
      <c r="L297" s="1441"/>
      <c r="M297" s="1365"/>
      <c r="N297" s="1355"/>
      <c r="O297" s="1367"/>
      <c r="P297" s="1367"/>
      <c r="Q297" s="1363"/>
    </row>
    <row r="298" spans="1:17" s="1364" customFormat="1" ht="24.95" hidden="1" customHeight="1">
      <c r="A298" s="1359"/>
      <c r="B298" s="1439" t="str">
        <f>'8-2.설비자재산출(무인보안)'!D110</f>
        <v>6각 너트</v>
      </c>
      <c r="C298" s="1439" t="str">
        <f>'8-2.설비자재산출(무인보안)'!E110</f>
        <v>3/8, M16</v>
      </c>
      <c r="D298" s="1365" t="str">
        <f>'8-2.설비자재산출(무인보안)'!G110</f>
        <v>개</v>
      </c>
      <c r="E298" s="1355">
        <f>'8-2.설비자재산출(무인보안)'!H110</f>
        <v>0</v>
      </c>
      <c r="F298" s="1440">
        <f>VLOOKUP(C298,'8-6.자재단가비교표'!$C$7:$O$332,12,0)</f>
        <v>0</v>
      </c>
      <c r="G298" s="1440">
        <f t="shared" si="91"/>
        <v>0</v>
      </c>
      <c r="H298" s="1363">
        <f>VLOOKUP(C298,'8-6.자재단가비교표'!$C$7:$O$332,13,0)</f>
        <v>0</v>
      </c>
      <c r="J298" s="1359"/>
      <c r="K298" s="1441"/>
      <c r="L298" s="1441"/>
      <c r="M298" s="1365"/>
      <c r="N298" s="1355"/>
      <c r="O298" s="1367"/>
      <c r="P298" s="1367"/>
      <c r="Q298" s="1363"/>
    </row>
    <row r="299" spans="1:17" s="1364" customFormat="1" ht="24.95" hidden="1" customHeight="1">
      <c r="A299" s="1359"/>
      <c r="B299" s="1439" t="str">
        <f>'8-2.설비자재산출(무인보안)'!D111</f>
        <v>스프링와샤</v>
      </c>
      <c r="C299" s="1439" t="str">
        <f>'8-2.설비자재산출(무인보안)'!E111</f>
        <v>D16</v>
      </c>
      <c r="D299" s="1365" t="str">
        <f>'8-2.설비자재산출(무인보안)'!G111</f>
        <v>개</v>
      </c>
      <c r="E299" s="1355">
        <f>'8-2.설비자재산출(무인보안)'!H111</f>
        <v>0</v>
      </c>
      <c r="F299" s="1440">
        <f>VLOOKUP(C299,'8-6.자재단가비교표'!$C$7:$O$332,12,0)</f>
        <v>0</v>
      </c>
      <c r="G299" s="1440">
        <f t="shared" si="91"/>
        <v>0</v>
      </c>
      <c r="H299" s="1363">
        <f>VLOOKUP(C299,'8-6.자재단가비교표'!$C$7:$O$332,13,0)</f>
        <v>0</v>
      </c>
      <c r="J299" s="1359"/>
      <c r="K299" s="1441"/>
      <c r="L299" s="1441"/>
      <c r="M299" s="1365"/>
      <c r="N299" s="1355"/>
      <c r="O299" s="1367"/>
      <c r="P299" s="1367"/>
      <c r="Q299" s="1363"/>
    </row>
    <row r="300" spans="1:17" s="34" customFormat="1" ht="24.95" customHeight="1">
      <c r="A300" s="533"/>
      <c r="B300" s="392" t="str">
        <f>'8-2.설비자재산출(무인보안)'!D112</f>
        <v>모듈러 플러그</v>
      </c>
      <c r="C300" s="392" t="str">
        <f>'8-2.설비자재산출(무인보안)'!E112</f>
        <v>RJ-45 STP용</v>
      </c>
      <c r="D300" s="430" t="str">
        <f>'8-2.설비자재산출(무인보안)'!G112</f>
        <v>개</v>
      </c>
      <c r="E300" s="394">
        <f>'8-2.설비자재산출(무인보안)'!H112</f>
        <v>314</v>
      </c>
      <c r="F300" s="1200">
        <f>VLOOKUP(C300,'8-6.자재단가비교표'!$C$7:$O$332,12,0)</f>
        <v>552.80610000000001</v>
      </c>
      <c r="G300" s="1200">
        <f t="shared" si="91"/>
        <v>173581</v>
      </c>
      <c r="H300" s="248" t="str">
        <f>VLOOKUP(C300,'8-6.자재단가비교표'!$C$7:$O$332,13,0)</f>
        <v>견적가</v>
      </c>
      <c r="J300" s="533"/>
      <c r="K300" s="459"/>
      <c r="L300" s="459"/>
      <c r="M300" s="430"/>
      <c r="N300" s="394"/>
      <c r="O300" s="393"/>
      <c r="P300" s="393"/>
      <c r="Q300" s="248"/>
    </row>
    <row r="301" spans="1:17" s="1364" customFormat="1" ht="24.95" hidden="1" customHeight="1">
      <c r="A301" s="1359"/>
      <c r="B301" s="1439" t="str">
        <f>'8-2.설비자재산출(무인보안)'!D113</f>
        <v>콘넥터(영상)</v>
      </c>
      <c r="C301" s="1439" t="str">
        <f>'8-2.설비자재산출(무인보안)'!E113</f>
        <v>BNC, 3C</v>
      </c>
      <c r="D301" s="1365" t="str">
        <f>'8-2.설비자재산출(무인보안)'!G113</f>
        <v>개</v>
      </c>
      <c r="E301" s="1355">
        <f>'8-2.설비자재산출(무인보안)'!H113</f>
        <v>0</v>
      </c>
      <c r="F301" s="1440"/>
      <c r="G301" s="1440">
        <f t="shared" si="91"/>
        <v>0</v>
      </c>
      <c r="H301" s="1363" t="e">
        <f>VLOOKUP(C301,'8-6.자재단가비교표'!$C$7:$O$332,13,0)</f>
        <v>#N/A</v>
      </c>
      <c r="J301" s="1359"/>
      <c r="K301" s="1441"/>
      <c r="L301" s="1441"/>
      <c r="M301" s="1365"/>
      <c r="N301" s="1355"/>
      <c r="O301" s="1367"/>
      <c r="P301" s="1367"/>
      <c r="Q301" s="1363"/>
    </row>
    <row r="302" spans="1:17" s="1364" customFormat="1" ht="24.95" hidden="1" customHeight="1">
      <c r="A302" s="1359"/>
      <c r="B302" s="1439" t="str">
        <f>'8-2.설비자재산출(무인보안)'!D114</f>
        <v>PA 단말기</v>
      </c>
      <c r="C302" s="1439" t="str">
        <f>'8-2.설비자재산출(무인보안)'!E114</f>
        <v>구내방송연계용</v>
      </c>
      <c r="D302" s="1365" t="str">
        <f>'8-2.설비자재산출(무인보안)'!G114</f>
        <v>개</v>
      </c>
      <c r="E302" s="1355">
        <f>'8-2.설비자재산출(무인보안)'!H114</f>
        <v>0</v>
      </c>
      <c r="F302" s="1440">
        <f>VLOOKUP(C302,'8-6.자재단가비교표'!$C$7:$O$332,12,0)</f>
        <v>1930434</v>
      </c>
      <c r="G302" s="1440">
        <f t="shared" si="91"/>
        <v>0</v>
      </c>
      <c r="H302" s="1363" t="str">
        <f>VLOOKUP(C302,'8-6.자재단가비교표'!$C$7:$O$332,13,0)</f>
        <v>견적가</v>
      </c>
      <c r="J302" s="1359"/>
      <c r="K302" s="1441"/>
      <c r="L302" s="1441"/>
      <c r="M302" s="1365"/>
      <c r="N302" s="1355"/>
      <c r="O302" s="1367"/>
      <c r="P302" s="1367"/>
      <c r="Q302" s="1363"/>
    </row>
    <row r="303" spans="1:17" s="1364" customFormat="1" ht="24.95" hidden="1" customHeight="1">
      <c r="A303" s="1359"/>
      <c r="B303" s="1439" t="str">
        <f>'8-2.설비자재산출(무인보안)'!D115</f>
        <v>PULL BOX</v>
      </c>
      <c r="C303" s="1439" t="str">
        <f>'8-2.설비자재산출(무인보안)'!E115</f>
        <v>100*100*100, 1.6t</v>
      </c>
      <c r="D303" s="1365" t="str">
        <f>'8-2.설비자재산출(무인보안)'!G115</f>
        <v>개</v>
      </c>
      <c r="E303" s="1355">
        <f>'8-2.설비자재산출(무인보안)'!H115</f>
        <v>0</v>
      </c>
      <c r="F303" s="1440">
        <f>VLOOKUP(C303,'8-6.자재단가비교표'!$C$7:$O$332,12,0)</f>
        <v>0</v>
      </c>
      <c r="G303" s="1440">
        <f t="shared" si="91"/>
        <v>0</v>
      </c>
      <c r="H303" s="1363" t="str">
        <f>VLOOKUP(C303,'8-6.자재단가비교표'!$C$7:$O$332,13,0)</f>
        <v>견적가</v>
      </c>
      <c r="J303" s="1359"/>
      <c r="K303" s="1441"/>
      <c r="L303" s="1441"/>
      <c r="M303" s="1365"/>
      <c r="N303" s="1355"/>
      <c r="O303" s="1367"/>
      <c r="P303" s="1367"/>
      <c r="Q303" s="1363"/>
    </row>
    <row r="304" spans="1:17" s="1364" customFormat="1" ht="24.95" hidden="1" customHeight="1">
      <c r="A304" s="1359"/>
      <c r="B304" s="1439" t="str">
        <f>'8-2.설비자재산출(무인보안)'!D116</f>
        <v>합성수지전기함</v>
      </c>
      <c r="C304" s="1439" t="str">
        <f>'8-2.설비자재산출(무인보안)'!E116</f>
        <v>ABS, 300㎜*200㎜*180㎜</v>
      </c>
      <c r="D304" s="1365" t="str">
        <f>'8-2.설비자재산출(무인보안)'!G116</f>
        <v>개</v>
      </c>
      <c r="E304" s="1355">
        <f>'8-2.설비자재산출(무인보안)'!H116</f>
        <v>0</v>
      </c>
      <c r="F304" s="1440">
        <f>VLOOKUP(C304,'8-6.자재단가비교표'!$C$7:$O$332,12,0)</f>
        <v>0</v>
      </c>
      <c r="G304" s="1440">
        <f t="shared" si="91"/>
        <v>0</v>
      </c>
      <c r="H304" s="1363">
        <f>VLOOKUP(C304,'8-6.자재단가비교표'!$C$7:$O$332,13,0)</f>
        <v>0</v>
      </c>
      <c r="J304" s="1359"/>
      <c r="K304" s="1441"/>
      <c r="L304" s="1441"/>
      <c r="M304" s="1365"/>
      <c r="N304" s="1355"/>
      <c r="O304" s="1367"/>
      <c r="P304" s="1367"/>
      <c r="Q304" s="1363"/>
    </row>
    <row r="305" spans="1:21" s="1364" customFormat="1" ht="24.95" hidden="1" customHeight="1">
      <c r="A305" s="1359"/>
      <c r="B305" s="1439" t="str">
        <f>'8-2.설비자재산출(무인보안)'!D117</f>
        <v>단자대</v>
      </c>
      <c r="C305" s="1439" t="str">
        <f>'8-2.설비자재산출(무인보안)'!E117</f>
        <v>20A,10P</v>
      </c>
      <c r="D305" s="1365" t="str">
        <f>'8-2.설비자재산출(무인보안)'!G117</f>
        <v>개</v>
      </c>
      <c r="E305" s="1355">
        <f>'8-2.설비자재산출(무인보안)'!H117</f>
        <v>0</v>
      </c>
      <c r="F305" s="1440">
        <f>VLOOKUP(C305,'8-6.자재단가비교표'!$C$7:$O$332,12,0)</f>
        <v>877.47</v>
      </c>
      <c r="G305" s="1440">
        <f t="shared" si="91"/>
        <v>0</v>
      </c>
      <c r="H305" s="1363" t="str">
        <f>VLOOKUP(C305,'8-6.자재단가비교표'!$C$7:$O$332,13,0)</f>
        <v>견적가</v>
      </c>
      <c r="J305" s="1359"/>
      <c r="K305" s="1441"/>
      <c r="L305" s="1441"/>
      <c r="M305" s="1365"/>
      <c r="N305" s="1355"/>
      <c r="O305" s="1367"/>
      <c r="P305" s="1367"/>
      <c r="Q305" s="1363"/>
    </row>
    <row r="306" spans="1:21" s="34" customFormat="1" ht="24.95" customHeight="1">
      <c r="A306" s="533"/>
      <c r="B306" s="392" t="str">
        <f>'8-2.설비자재산출(무인보안)'!D118</f>
        <v>함체명판</v>
      </c>
      <c r="C306" s="392" t="str">
        <f>'8-2.설비자재산출(무인보안)'!E118</f>
        <v>아크릴(백색/검정색글자)</v>
      </c>
      <c r="D306" s="430" t="str">
        <f>'8-2.설비자재산출(무인보안)'!G118</f>
        <v>개</v>
      </c>
      <c r="E306" s="394">
        <f>'8-2.설비자재산출(무인보안)'!H118</f>
        <v>164</v>
      </c>
      <c r="F306" s="1200">
        <f>VLOOKUP(C306,'8-6.자재단가비교표'!$C$7:$O$332,12,0)</f>
        <v>24569.16</v>
      </c>
      <c r="G306" s="1200">
        <f t="shared" si="91"/>
        <v>4029342</v>
      </c>
      <c r="H306" s="248" t="str">
        <f>VLOOKUP(C306,'8-6.자재단가비교표'!$C$7:$O$332,13,0)</f>
        <v>견적가</v>
      </c>
      <c r="J306" s="533"/>
      <c r="K306" s="459"/>
      <c r="L306" s="459"/>
      <c r="M306" s="430"/>
      <c r="N306" s="394"/>
      <c r="O306" s="393"/>
      <c r="P306" s="393"/>
      <c r="Q306" s="248"/>
    </row>
    <row r="307" spans="1:21" s="34" customFormat="1" ht="24.95" customHeight="1">
      <c r="A307" s="533"/>
      <c r="B307" s="392" t="str">
        <f>'8-2.설비자재산출(무인보안)'!D119</f>
        <v>랙명판</v>
      </c>
      <c r="C307" s="392" t="str">
        <f>'8-2.설비자재산출(무인보안)'!E119</f>
        <v>AL,190*75*1t,헤어라인/검정색도색후 실크인쇄,후면 벨크로</v>
      </c>
      <c r="D307" s="430" t="str">
        <f>'8-2.설비자재산출(무인보안)'!G119</f>
        <v>개</v>
      </c>
      <c r="E307" s="394">
        <f>'8-2.설비자재산출(무인보안)'!H119</f>
        <v>2</v>
      </c>
      <c r="F307" s="1200">
        <f>VLOOKUP(C307,'8-6.자재단가비교표'!$C$7:$O$332,12,0)</f>
        <v>30711.45</v>
      </c>
      <c r="G307" s="1200">
        <f t="shared" si="91"/>
        <v>61422</v>
      </c>
      <c r="H307" s="248" t="str">
        <f>VLOOKUP(C307,'8-6.자재단가비교표'!$C$7:$O$332,13,0)</f>
        <v>견적가</v>
      </c>
      <c r="J307" s="533"/>
      <c r="K307" s="459"/>
      <c r="L307" s="459"/>
      <c r="M307" s="430"/>
      <c r="N307" s="394"/>
      <c r="O307" s="393"/>
      <c r="P307" s="393"/>
      <c r="Q307" s="248"/>
    </row>
    <row r="308" spans="1:21" s="1364" customFormat="1" ht="24.95" hidden="1" customHeight="1">
      <c r="A308" s="1359"/>
      <c r="B308" s="1439" t="str">
        <f>'8-2.설비자재산출(무인보안)'!D120</f>
        <v>KVM스위치</v>
      </c>
      <c r="C308" s="1439" t="str">
        <f>'8-2.설비자재산출(무인보안)'!E120</f>
        <v>8CH 이상</v>
      </c>
      <c r="D308" s="1365" t="str">
        <f>'8-2.설비자재산출(무인보안)'!G120</f>
        <v>개</v>
      </c>
      <c r="E308" s="1355">
        <f>'8-2.설비자재산출(무인보안)'!H120</f>
        <v>0</v>
      </c>
      <c r="F308" s="1440">
        <f>VLOOKUP(C308,'8-6.자재단가비교표'!$C$7:$O$332,12,0)</f>
        <v>0</v>
      </c>
      <c r="G308" s="1440">
        <f t="shared" si="91"/>
        <v>0</v>
      </c>
      <c r="H308" s="1363">
        <f>VLOOKUP(C308,'8-6.자재단가비교표'!$C$7:$O$332,13,0)</f>
        <v>0</v>
      </c>
      <c r="J308" s="1359"/>
      <c r="K308" s="1441"/>
      <c r="L308" s="1441"/>
      <c r="M308" s="1365"/>
      <c r="N308" s="1355"/>
      <c r="O308" s="1367"/>
      <c r="P308" s="1367"/>
      <c r="Q308" s="1363"/>
    </row>
    <row r="309" spans="1:21" s="1364" customFormat="1" ht="24.95" hidden="1" customHeight="1">
      <c r="A309" s="1359"/>
      <c r="B309" s="1439" t="str">
        <f>'8-2.설비자재산출(무인보안)'!D121</f>
        <v>닌연CD전선관</v>
      </c>
      <c r="C309" s="1439" t="str">
        <f>'8-2.설비자재산출(무인보안)'!E121</f>
        <v>22C</v>
      </c>
      <c r="D309" s="1365" t="str">
        <f>'8-2.설비자재산출(무인보안)'!G121</f>
        <v>m</v>
      </c>
      <c r="E309" s="1355">
        <f>'8-2.설비자재산출(무인보안)'!H121</f>
        <v>0</v>
      </c>
      <c r="F309" s="1440">
        <f>VLOOKUP(C309,'8-6.자재단가비교표'!$C$7:$O$332,12,0)</f>
        <v>0</v>
      </c>
      <c r="G309" s="1440">
        <f t="shared" si="91"/>
        <v>0</v>
      </c>
      <c r="H309" s="1363" t="str">
        <f>VLOOKUP(C309,'8-6.자재단가비교표'!$C$7:$O$332,13,0)</f>
        <v>견적가</v>
      </c>
      <c r="J309" s="1359"/>
      <c r="K309" s="1441"/>
      <c r="L309" s="1441"/>
      <c r="M309" s="1365"/>
      <c r="N309" s="1355"/>
      <c r="O309" s="1367"/>
      <c r="P309" s="1367"/>
      <c r="Q309" s="1363"/>
    </row>
    <row r="310" spans="1:21" s="1364" customFormat="1" ht="24.95" hidden="1" customHeight="1">
      <c r="A310" s="1359"/>
      <c r="B310" s="1439" t="str">
        <f>'8-2.설비자재산출(무인보안)'!D122</f>
        <v>적외선감지기브라켓</v>
      </c>
      <c r="C310" s="1439" t="str">
        <f>'8-2.설비자재산출(무인보안)'!E122</f>
        <v>벽면부착형, SUS</v>
      </c>
      <c r="D310" s="1365" t="str">
        <f>'8-2.설비자재산출(무인보안)'!G122</f>
        <v>개</v>
      </c>
      <c r="E310" s="1355">
        <f>'8-2.설비자재산출(무인보안)'!H122</f>
        <v>0</v>
      </c>
      <c r="F310" s="1440">
        <f>VLOOKUP(C310,'8-6.자재단가비교표'!$C$7:$O$332,12,0)</f>
        <v>0</v>
      </c>
      <c r="G310" s="1440">
        <f t="shared" si="91"/>
        <v>0</v>
      </c>
      <c r="H310" s="1363">
        <f>VLOOKUP(C310,'8-6.자재단가비교표'!$C$7:$O$332,13,0)</f>
        <v>0</v>
      </c>
      <c r="J310" s="1359"/>
      <c r="K310" s="1441"/>
      <c r="L310" s="1441"/>
      <c r="M310" s="1365"/>
      <c r="N310" s="1355"/>
      <c r="O310" s="1367"/>
      <c r="P310" s="1367"/>
      <c r="Q310" s="1363"/>
    </row>
    <row r="311" spans="1:21" s="1364" customFormat="1" ht="24.95" hidden="1" customHeight="1">
      <c r="A311" s="1359"/>
      <c r="B311" s="1439" t="str">
        <f>'8-2.설비자재산출(무인보안)'!D123</f>
        <v>안전발판사다리(말비계)</v>
      </c>
      <c r="C311" s="1439" t="str">
        <f>'8-2.설비자재산출(무인보안)'!E123</f>
        <v>최대사용하중120kg미만,사용높이4.8m,안전난간,전도방지대,이동바퀴 포함</v>
      </c>
      <c r="D311" s="1365" t="str">
        <f>'8-2.설비자재산출(무인보안)'!G123</f>
        <v>개</v>
      </c>
      <c r="E311" s="1355">
        <f>'8-2.설비자재산출(무인보안)'!H123</f>
        <v>0</v>
      </c>
      <c r="F311" s="1440">
        <f>VLOOKUP(C311,'8-6.자재단가비교표'!$C$7:$O$332,12,0)</f>
        <v>0</v>
      </c>
      <c r="G311" s="1440">
        <f t="shared" si="91"/>
        <v>0</v>
      </c>
      <c r="H311" s="1363">
        <f>VLOOKUP(C311,'8-6.자재단가비교표'!$C$7:$O$332,13,0)</f>
        <v>0</v>
      </c>
      <c r="J311" s="1359"/>
      <c r="K311" s="1441"/>
      <c r="L311" s="1441"/>
      <c r="M311" s="1365"/>
      <c r="N311" s="1355"/>
      <c r="O311" s="1367"/>
      <c r="P311" s="1367"/>
      <c r="Q311" s="1363"/>
    </row>
    <row r="312" spans="1:21" s="1364" customFormat="1" ht="24.95" hidden="1" customHeight="1">
      <c r="A312" s="1359"/>
      <c r="B312" s="1439" t="str">
        <f>'8-2.설비자재산출(무인보안)'!D124</f>
        <v>압착슬리이브</v>
      </c>
      <c r="C312" s="1439" t="str">
        <f>'8-2.설비자재산출(무인보안)'!E124</f>
        <v>동압착슬리브-C형 150㎟</v>
      </c>
      <c r="D312" s="1365" t="str">
        <f>'8-2.설비자재산출(무인보안)'!G124</f>
        <v>개</v>
      </c>
      <c r="E312" s="1355">
        <f>'8-2.설비자재산출(무인보안)'!H124</f>
        <v>0</v>
      </c>
      <c r="F312" s="1440">
        <f>VLOOKUP(C312,'8-6.자재단가비교표'!$C$7:$O$332,12,0)</f>
        <v>4000</v>
      </c>
      <c r="G312" s="1440">
        <f t="shared" si="91"/>
        <v>0</v>
      </c>
      <c r="H312" s="1363" t="str">
        <f>VLOOKUP(C312,'8-6.자재단가비교표'!$C$7:$O$332,13,0)</f>
        <v>물가자료</v>
      </c>
      <c r="J312" s="1359"/>
      <c r="K312" s="1441"/>
      <c r="L312" s="1441"/>
      <c r="M312" s="1365"/>
      <c r="N312" s="1355"/>
      <c r="O312" s="1367"/>
      <c r="P312" s="1367"/>
      <c r="Q312" s="1363"/>
    </row>
    <row r="313" spans="1:21" s="34" customFormat="1" ht="24.95" hidden="1" customHeight="1">
      <c r="A313" s="533"/>
      <c r="B313" s="392" t="str">
        <f>'8-2.설비자재산출(무인보안)'!D125</f>
        <v>로비폰</v>
      </c>
      <c r="C313" s="392" t="str">
        <f>'8-2.설비자재산출(무인보안)'!E125</f>
        <v>로비폰(자기)</v>
      </c>
      <c r="D313" s="430" t="str">
        <f>'8-2.설비자재산출(무인보안)'!G125</f>
        <v>개</v>
      </c>
      <c r="E313" s="394">
        <f>'8-2.설비자재산출(무인보안)'!H125</f>
        <v>0</v>
      </c>
      <c r="F313" s="1200">
        <f>VLOOKUP(C313,'8-6.자재단가비교표'!$C$7:$O$332,12,0)</f>
        <v>320000</v>
      </c>
      <c r="G313" s="1200">
        <f t="shared" ref="G313:G314" si="92">INT(E313*F313)</f>
        <v>0</v>
      </c>
      <c r="H313" s="248" t="str">
        <f>VLOOKUP(C313,'8-6.자재단가비교표'!$C$7:$O$332,13,0)</f>
        <v>견적가</v>
      </c>
      <c r="J313" s="533"/>
      <c r="K313" s="459"/>
      <c r="L313" s="459"/>
      <c r="M313" s="430"/>
      <c r="N313" s="394"/>
      <c r="O313" s="393"/>
      <c r="P313" s="393"/>
      <c r="Q313" s="248"/>
    </row>
    <row r="314" spans="1:21" s="34" customFormat="1" ht="24.95" hidden="1" customHeight="1">
      <c r="A314" s="533"/>
      <c r="B314" s="392" t="str">
        <f>'8-2.설비자재산출(무인보안)'!D126</f>
        <v>IP비디오폰</v>
      </c>
      <c r="C314" s="392" t="str">
        <f>'8-2.설비자재산출(무인보안)'!E126</f>
        <v>IP비디오폰(로비폰 연동, 모기)</v>
      </c>
      <c r="D314" s="430" t="str">
        <f>'8-2.설비자재산출(무인보안)'!G126</f>
        <v>개</v>
      </c>
      <c r="E314" s="394">
        <f>'8-2.설비자재산출(무인보안)'!H126</f>
        <v>0</v>
      </c>
      <c r="F314" s="1200">
        <f>VLOOKUP(C314,'8-6.자재단가비교표'!$C$7:$O$332,12,0)</f>
        <v>305000</v>
      </c>
      <c r="G314" s="1200">
        <f t="shared" si="92"/>
        <v>0</v>
      </c>
      <c r="H314" s="248" t="str">
        <f>VLOOKUP(C314,'8-6.자재단가비교표'!$C$7:$O$332,13,0)</f>
        <v>견적가</v>
      </c>
      <c r="J314" s="533"/>
      <c r="K314" s="459"/>
      <c r="L314" s="459"/>
      <c r="M314" s="430"/>
      <c r="N314" s="394"/>
      <c r="O314" s="393"/>
      <c r="P314" s="393"/>
      <c r="Q314" s="248"/>
    </row>
    <row r="315" spans="1:21" s="34" customFormat="1" ht="24.95" customHeight="1">
      <c r="A315" s="533"/>
      <c r="B315" s="392" t="s">
        <v>3316</v>
      </c>
      <c r="C315" s="392" t="s">
        <v>3317</v>
      </c>
      <c r="D315" s="430" t="s">
        <v>3318</v>
      </c>
      <c r="E315" s="1234">
        <v>0.02</v>
      </c>
      <c r="F315" s="1200">
        <f>G281+G280+G277+G276+G274+G273+G269+G268+G260</f>
        <v>30143394</v>
      </c>
      <c r="G315" s="1200">
        <f>E315*F315</f>
        <v>602867.88</v>
      </c>
      <c r="H315" s="248"/>
      <c r="J315" s="533"/>
      <c r="K315" s="459"/>
      <c r="L315" s="459"/>
      <c r="M315" s="430"/>
      <c r="N315" s="394"/>
      <c r="O315" s="393"/>
      <c r="P315" s="393"/>
      <c r="Q315" s="248"/>
    </row>
    <row r="316" spans="1:21" s="34" customFormat="1" ht="24.95" customHeight="1">
      <c r="A316" s="537"/>
      <c r="B316" s="459"/>
      <c r="C316" s="466"/>
      <c r="D316" s="430"/>
      <c r="E316" s="394"/>
      <c r="F316" s="1200"/>
      <c r="G316" s="1208"/>
      <c r="H316" s="248"/>
      <c r="J316" s="537"/>
      <c r="K316" s="459"/>
      <c r="L316" s="459"/>
      <c r="M316" s="430"/>
      <c r="N316" s="394" t="e">
        <f>#REF!+#REF!</f>
        <v>#REF!</v>
      </c>
      <c r="O316" s="393"/>
      <c r="P316" s="471"/>
      <c r="Q316" s="248"/>
      <c r="R316" s="34" t="e">
        <f t="shared" si="76"/>
        <v>#REF!</v>
      </c>
      <c r="S316" s="34">
        <f t="shared" si="77"/>
        <v>0</v>
      </c>
      <c r="T316" s="34" t="e">
        <f>#REF!+#REF!</f>
        <v>#REF!</v>
      </c>
      <c r="U316" s="34" t="e">
        <f t="shared" si="64"/>
        <v>#REF!</v>
      </c>
    </row>
    <row r="317" spans="1:21" s="34" customFormat="1" ht="24.95" customHeight="1">
      <c r="A317" s="539" t="s">
        <v>55</v>
      </c>
      <c r="B317" s="475"/>
      <c r="C317" s="476"/>
      <c r="D317" s="477"/>
      <c r="E317" s="478"/>
      <c r="F317" s="1206"/>
      <c r="G317" s="1216">
        <f>G318+G556</f>
        <v>276203502</v>
      </c>
      <c r="H317" s="249"/>
      <c r="J317" s="539" t="s">
        <v>55</v>
      </c>
      <c r="K317" s="475"/>
      <c r="L317" s="476"/>
      <c r="M317" s="477"/>
      <c r="N317" s="478" t="e">
        <f>#REF!+#REF!</f>
        <v>#REF!</v>
      </c>
      <c r="O317" s="479"/>
      <c r="P317" s="469" t="e">
        <f>P318+P556</f>
        <v>#REF!</v>
      </c>
      <c r="Q317" s="249"/>
      <c r="R317" s="34" t="e">
        <f t="shared" si="76"/>
        <v>#REF!</v>
      </c>
      <c r="S317" s="34" t="e">
        <f t="shared" si="77"/>
        <v>#REF!</v>
      </c>
      <c r="T317" s="34" t="e">
        <f>#REF!+#REF!</f>
        <v>#REF!</v>
      </c>
      <c r="U317" s="34" t="e">
        <f t="shared" si="64"/>
        <v>#REF!</v>
      </c>
    </row>
    <row r="318" spans="1:21" s="34" customFormat="1" ht="24.95" customHeight="1">
      <c r="A318" s="529" t="s">
        <v>56</v>
      </c>
      <c r="B318" s="466"/>
      <c r="C318" s="480"/>
      <c r="D318" s="394"/>
      <c r="E318" s="481"/>
      <c r="F318" s="1200"/>
      <c r="G318" s="1216">
        <f>SUM(G319,G341,G393,G414)+G444+G461</f>
        <v>239344456</v>
      </c>
      <c r="H318" s="245"/>
      <c r="J318" s="529" t="s">
        <v>56</v>
      </c>
      <c r="K318" s="466"/>
      <c r="L318" s="480"/>
      <c r="M318" s="394"/>
      <c r="N318" s="481" t="e">
        <f>#REF!+#REF!</f>
        <v>#REF!</v>
      </c>
      <c r="O318" s="467"/>
      <c r="P318" s="469" t="e">
        <f>SUM(#REF!,P319,#REF!,P341,P393,P414,#REF!)</f>
        <v>#REF!</v>
      </c>
      <c r="Q318" s="245"/>
      <c r="R318" s="34" t="e">
        <f t="shared" si="76"/>
        <v>#REF!</v>
      </c>
      <c r="S318" s="34" t="e">
        <f t="shared" si="77"/>
        <v>#REF!</v>
      </c>
      <c r="T318" s="34" t="e">
        <f>#REF!+#REF!</f>
        <v>#REF!</v>
      </c>
      <c r="U318" s="34" t="e">
        <f t="shared" si="64"/>
        <v>#REF!</v>
      </c>
    </row>
    <row r="319" spans="1:21" s="34" customFormat="1" ht="24.95" hidden="1" customHeight="1">
      <c r="A319" s="536"/>
      <c r="B319" s="466"/>
      <c r="C319" s="480"/>
      <c r="D319" s="394"/>
      <c r="E319" s="481"/>
      <c r="F319" s="1200"/>
      <c r="G319" s="1216"/>
      <c r="H319" s="245"/>
      <c r="J319" s="536">
        <f t="shared" ref="J319:J339" si="93">$A319</f>
        <v>0</v>
      </c>
      <c r="K319" s="466"/>
      <c r="L319" s="480"/>
      <c r="M319" s="394"/>
      <c r="N319" s="481" t="e">
        <f>#REF!+#REF!</f>
        <v>#REF!</v>
      </c>
      <c r="O319" s="467"/>
      <c r="P319" s="469" t="e">
        <f>SUM(P320:P339)</f>
        <v>#REF!</v>
      </c>
      <c r="Q319" s="245"/>
      <c r="R319" s="34" t="e">
        <f t="shared" si="76"/>
        <v>#REF!</v>
      </c>
      <c r="S319" s="34" t="e">
        <f t="shared" si="77"/>
        <v>#REF!</v>
      </c>
      <c r="T319" s="34" t="e">
        <f>#REF!+#REF!</f>
        <v>#REF!</v>
      </c>
      <c r="U319" s="34" t="e">
        <f t="shared" ref="U319:U339" si="94">P319-T319</f>
        <v>#REF!</v>
      </c>
    </row>
    <row r="320" spans="1:21" s="34" customFormat="1" ht="24.95" hidden="1" customHeight="1">
      <c r="A320" s="533"/>
      <c r="B320" s="480"/>
      <c r="C320" s="480"/>
      <c r="D320" s="457"/>
      <c r="E320" s="457"/>
      <c r="F320" s="1207"/>
      <c r="G320" s="1207"/>
      <c r="H320" s="248"/>
      <c r="J320" s="533">
        <f t="shared" si="93"/>
        <v>0</v>
      </c>
      <c r="K320" s="480">
        <f t="shared" ref="K320:K339" si="95">$B320</f>
        <v>0</v>
      </c>
      <c r="L320" s="480">
        <f t="shared" ref="L320:L339" si="96">$C320</f>
        <v>0</v>
      </c>
      <c r="M320" s="457">
        <f t="shared" ref="M320:M339" si="97">$D320</f>
        <v>0</v>
      </c>
      <c r="N320" s="457" t="e">
        <f>#REF!+#REF!</f>
        <v>#REF!</v>
      </c>
      <c r="O320" s="482">
        <f t="shared" ref="O320:O339" si="98">$F320</f>
        <v>0</v>
      </c>
      <c r="P320" s="456" t="e">
        <f>INT(N320*O320)</f>
        <v>#REF!</v>
      </c>
      <c r="Q320" s="248">
        <f t="shared" ref="Q320:Q339" si="99">$H320</f>
        <v>0</v>
      </c>
      <c r="R320" s="34" t="e">
        <f t="shared" si="76"/>
        <v>#REF!</v>
      </c>
      <c r="S320" s="34" t="e">
        <f t="shared" si="77"/>
        <v>#REF!</v>
      </c>
      <c r="T320" s="34" t="e">
        <f>#REF!+#REF!</f>
        <v>#REF!</v>
      </c>
      <c r="U320" s="34" t="e">
        <f t="shared" si="94"/>
        <v>#REF!</v>
      </c>
    </row>
    <row r="321" spans="1:21" s="642" customFormat="1" ht="24.95" hidden="1" customHeight="1">
      <c r="A321" s="533"/>
      <c r="B321" s="480"/>
      <c r="C321" s="480"/>
      <c r="D321" s="457"/>
      <c r="E321" s="457"/>
      <c r="F321" s="1207"/>
      <c r="G321" s="1207"/>
      <c r="H321" s="248"/>
      <c r="J321" s="538">
        <f t="shared" si="93"/>
        <v>0</v>
      </c>
      <c r="K321" s="452">
        <f t="shared" si="95"/>
        <v>0</v>
      </c>
      <c r="L321" s="452">
        <f t="shared" si="96"/>
        <v>0</v>
      </c>
      <c r="M321" s="453">
        <f t="shared" si="97"/>
        <v>0</v>
      </c>
      <c r="N321" s="453" t="e">
        <f>#REF!+#REF!</f>
        <v>#REF!</v>
      </c>
      <c r="O321" s="454">
        <f t="shared" si="98"/>
        <v>0</v>
      </c>
      <c r="P321" s="455" t="e">
        <f>INT(N321*O321)</f>
        <v>#REF!</v>
      </c>
      <c r="Q321" s="247">
        <f t="shared" si="99"/>
        <v>0</v>
      </c>
      <c r="R321" s="34" t="e">
        <f t="shared" si="76"/>
        <v>#REF!</v>
      </c>
      <c r="S321" s="34" t="e">
        <f t="shared" si="77"/>
        <v>#REF!</v>
      </c>
      <c r="T321" s="34" t="e">
        <f>#REF!+#REF!</f>
        <v>#REF!</v>
      </c>
      <c r="U321" s="34" t="e">
        <f t="shared" si="94"/>
        <v>#REF!</v>
      </c>
    </row>
    <row r="322" spans="1:21" s="642" customFormat="1" ht="24.95" hidden="1" customHeight="1">
      <c r="A322" s="533"/>
      <c r="B322" s="480"/>
      <c r="C322" s="480"/>
      <c r="D322" s="457"/>
      <c r="E322" s="457"/>
      <c r="F322" s="1207"/>
      <c r="G322" s="1207"/>
      <c r="H322" s="248"/>
      <c r="J322" s="538">
        <f t="shared" si="93"/>
        <v>0</v>
      </c>
      <c r="K322" s="452">
        <f t="shared" si="95"/>
        <v>0</v>
      </c>
      <c r="L322" s="452">
        <f t="shared" si="96"/>
        <v>0</v>
      </c>
      <c r="M322" s="453">
        <f t="shared" si="97"/>
        <v>0</v>
      </c>
      <c r="N322" s="453" t="e">
        <f>#REF!+#REF!</f>
        <v>#REF!</v>
      </c>
      <c r="O322" s="454">
        <f t="shared" si="98"/>
        <v>0</v>
      </c>
      <c r="P322" s="455" t="e">
        <f t="shared" ref="P322" si="100">INT(N322*O322)</f>
        <v>#REF!</v>
      </c>
      <c r="Q322" s="247">
        <f t="shared" si="99"/>
        <v>0</v>
      </c>
      <c r="R322" s="34" t="e">
        <f t="shared" si="76"/>
        <v>#REF!</v>
      </c>
      <c r="S322" s="34" t="e">
        <f t="shared" si="77"/>
        <v>#REF!</v>
      </c>
      <c r="T322" s="34" t="e">
        <f>#REF!+#REF!</f>
        <v>#REF!</v>
      </c>
      <c r="U322" s="34" t="e">
        <f t="shared" si="94"/>
        <v>#REF!</v>
      </c>
    </row>
    <row r="323" spans="1:21" s="34" customFormat="1" ht="24.95" hidden="1" customHeight="1">
      <c r="A323" s="533"/>
      <c r="B323" s="480"/>
      <c r="C323" s="480"/>
      <c r="D323" s="457"/>
      <c r="E323" s="457"/>
      <c r="F323" s="1207"/>
      <c r="G323" s="1207"/>
      <c r="H323" s="248"/>
      <c r="J323" s="533">
        <f t="shared" si="93"/>
        <v>0</v>
      </c>
      <c r="K323" s="480">
        <f t="shared" si="95"/>
        <v>0</v>
      </c>
      <c r="L323" s="480">
        <f t="shared" si="96"/>
        <v>0</v>
      </c>
      <c r="M323" s="457">
        <f t="shared" si="97"/>
        <v>0</v>
      </c>
      <c r="N323" s="457" t="e">
        <f>#REF!+#REF!</f>
        <v>#REF!</v>
      </c>
      <c r="O323" s="482">
        <f t="shared" si="98"/>
        <v>0</v>
      </c>
      <c r="P323" s="456" t="e">
        <f>INT(N323*O323)</f>
        <v>#REF!</v>
      </c>
      <c r="Q323" s="248">
        <f t="shared" si="99"/>
        <v>0</v>
      </c>
      <c r="R323" s="34" t="e">
        <f t="shared" si="76"/>
        <v>#REF!</v>
      </c>
      <c r="S323" s="34" t="e">
        <f t="shared" si="77"/>
        <v>#REF!</v>
      </c>
      <c r="T323" s="34" t="e">
        <f>#REF!+#REF!</f>
        <v>#REF!</v>
      </c>
      <c r="U323" s="34" t="e">
        <f t="shared" si="94"/>
        <v>#REF!</v>
      </c>
    </row>
    <row r="324" spans="1:21" s="34" customFormat="1" ht="24.95" hidden="1" customHeight="1">
      <c r="A324" s="533"/>
      <c r="B324" s="480"/>
      <c r="C324" s="480"/>
      <c r="D324" s="457"/>
      <c r="E324" s="457"/>
      <c r="F324" s="1207"/>
      <c r="G324" s="1207"/>
      <c r="H324" s="248"/>
      <c r="J324" s="533">
        <f t="shared" si="93"/>
        <v>0</v>
      </c>
      <c r="K324" s="480">
        <f t="shared" si="95"/>
        <v>0</v>
      </c>
      <c r="L324" s="480">
        <f t="shared" si="96"/>
        <v>0</v>
      </c>
      <c r="M324" s="457">
        <f t="shared" si="97"/>
        <v>0</v>
      </c>
      <c r="N324" s="457" t="e">
        <f>#REF!+#REF!</f>
        <v>#REF!</v>
      </c>
      <c r="O324" s="482">
        <f t="shared" si="98"/>
        <v>0</v>
      </c>
      <c r="P324" s="456" t="e">
        <f t="shared" ref="P324" si="101">INT(N324*O324)</f>
        <v>#REF!</v>
      </c>
      <c r="Q324" s="248">
        <f t="shared" si="99"/>
        <v>0</v>
      </c>
      <c r="R324" s="34" t="e">
        <f t="shared" si="76"/>
        <v>#REF!</v>
      </c>
      <c r="S324" s="34" t="e">
        <f t="shared" si="77"/>
        <v>#REF!</v>
      </c>
      <c r="T324" s="34" t="e">
        <f>#REF!+#REF!</f>
        <v>#REF!</v>
      </c>
      <c r="U324" s="34" t="e">
        <f t="shared" si="94"/>
        <v>#REF!</v>
      </c>
    </row>
    <row r="325" spans="1:21" s="642" customFormat="1" ht="24.95" hidden="1" customHeight="1">
      <c r="A325" s="533"/>
      <c r="B325" s="480"/>
      <c r="C325" s="480"/>
      <c r="D325" s="457"/>
      <c r="E325" s="457"/>
      <c r="F325" s="1207"/>
      <c r="G325" s="1207"/>
      <c r="H325" s="248"/>
      <c r="J325" s="538">
        <f t="shared" si="93"/>
        <v>0</v>
      </c>
      <c r="K325" s="452">
        <f t="shared" si="95"/>
        <v>0</v>
      </c>
      <c r="L325" s="452">
        <f t="shared" si="96"/>
        <v>0</v>
      </c>
      <c r="M325" s="453">
        <f t="shared" si="97"/>
        <v>0</v>
      </c>
      <c r="N325" s="453" t="e">
        <f>#REF!+#REF!</f>
        <v>#REF!</v>
      </c>
      <c r="O325" s="454">
        <f t="shared" si="98"/>
        <v>0</v>
      </c>
      <c r="P325" s="455" t="e">
        <f>INT(N325*O325)</f>
        <v>#REF!</v>
      </c>
      <c r="Q325" s="247">
        <f t="shared" si="99"/>
        <v>0</v>
      </c>
      <c r="R325" s="34" t="e">
        <f t="shared" si="76"/>
        <v>#REF!</v>
      </c>
      <c r="S325" s="34" t="e">
        <f t="shared" si="77"/>
        <v>#REF!</v>
      </c>
      <c r="T325" s="34" t="e">
        <f>#REF!+#REF!</f>
        <v>#REF!</v>
      </c>
      <c r="U325" s="34" t="e">
        <f t="shared" si="94"/>
        <v>#REF!</v>
      </c>
    </row>
    <row r="326" spans="1:21" s="642" customFormat="1" ht="24.95" hidden="1" customHeight="1">
      <c r="A326" s="533"/>
      <c r="B326" s="480"/>
      <c r="C326" s="480"/>
      <c r="D326" s="457"/>
      <c r="E326" s="457"/>
      <c r="F326" s="1207"/>
      <c r="G326" s="1207"/>
      <c r="H326" s="248"/>
      <c r="J326" s="538"/>
      <c r="K326" s="452"/>
      <c r="L326" s="452"/>
      <c r="M326" s="453"/>
      <c r="N326" s="453"/>
      <c r="O326" s="454"/>
      <c r="P326" s="455"/>
      <c r="Q326" s="247"/>
      <c r="R326" s="34"/>
      <c r="S326" s="34"/>
      <c r="T326" s="34"/>
      <c r="U326" s="34"/>
    </row>
    <row r="327" spans="1:21" s="34" customFormat="1" ht="24.95" hidden="1" customHeight="1">
      <c r="A327" s="533"/>
      <c r="B327" s="480"/>
      <c r="C327" s="480"/>
      <c r="D327" s="457"/>
      <c r="E327" s="457"/>
      <c r="F327" s="1207"/>
      <c r="G327" s="1207"/>
      <c r="H327" s="248"/>
      <c r="J327" s="533">
        <f t="shared" si="93"/>
        <v>0</v>
      </c>
      <c r="K327" s="480">
        <f t="shared" si="95"/>
        <v>0</v>
      </c>
      <c r="L327" s="480">
        <f t="shared" si="96"/>
        <v>0</v>
      </c>
      <c r="M327" s="457">
        <f t="shared" si="97"/>
        <v>0</v>
      </c>
      <c r="N327" s="457" t="e">
        <f>#REF!+#REF!</f>
        <v>#REF!</v>
      </c>
      <c r="O327" s="482">
        <f t="shared" si="98"/>
        <v>0</v>
      </c>
      <c r="P327" s="456" t="e">
        <f>INT(N327*O327)</f>
        <v>#REF!</v>
      </c>
      <c r="Q327" s="248">
        <f t="shared" si="99"/>
        <v>0</v>
      </c>
      <c r="R327" s="34" t="e">
        <f t="shared" si="76"/>
        <v>#REF!</v>
      </c>
      <c r="S327" s="34" t="e">
        <f t="shared" si="77"/>
        <v>#REF!</v>
      </c>
      <c r="T327" s="34" t="e">
        <f>#REF!+#REF!</f>
        <v>#REF!</v>
      </c>
      <c r="U327" s="34" t="e">
        <f t="shared" si="94"/>
        <v>#REF!</v>
      </c>
    </row>
    <row r="328" spans="1:21" s="34" customFormat="1" ht="24.95" hidden="1" customHeight="1">
      <c r="A328" s="533"/>
      <c r="B328" s="480"/>
      <c r="C328" s="480"/>
      <c r="D328" s="457"/>
      <c r="E328" s="457"/>
      <c r="F328" s="1207"/>
      <c r="G328" s="1207"/>
      <c r="H328" s="248"/>
      <c r="J328" s="533">
        <f t="shared" si="93"/>
        <v>0</v>
      </c>
      <c r="K328" s="480">
        <f t="shared" si="95"/>
        <v>0</v>
      </c>
      <c r="L328" s="480">
        <f t="shared" si="96"/>
        <v>0</v>
      </c>
      <c r="M328" s="457">
        <f t="shared" si="97"/>
        <v>0</v>
      </c>
      <c r="N328" s="457" t="e">
        <f>#REF!+#REF!</f>
        <v>#REF!</v>
      </c>
      <c r="O328" s="482">
        <f t="shared" si="98"/>
        <v>0</v>
      </c>
      <c r="P328" s="456" t="e">
        <f t="shared" ref="P328:P332" si="102">INT(N328*O328)</f>
        <v>#REF!</v>
      </c>
      <c r="Q328" s="248">
        <f t="shared" si="99"/>
        <v>0</v>
      </c>
      <c r="R328" s="34" t="e">
        <f t="shared" si="76"/>
        <v>#REF!</v>
      </c>
      <c r="S328" s="34" t="e">
        <f t="shared" si="77"/>
        <v>#REF!</v>
      </c>
      <c r="T328" s="34" t="e">
        <f>#REF!+#REF!</f>
        <v>#REF!</v>
      </c>
      <c r="U328" s="34" t="e">
        <f t="shared" si="94"/>
        <v>#REF!</v>
      </c>
    </row>
    <row r="329" spans="1:21" s="34" customFormat="1" ht="24.95" hidden="1" customHeight="1">
      <c r="A329" s="533"/>
      <c r="B329" s="480"/>
      <c r="C329" s="480"/>
      <c r="D329" s="457"/>
      <c r="E329" s="457"/>
      <c r="F329" s="1207"/>
      <c r="G329" s="1207"/>
      <c r="H329" s="248"/>
      <c r="J329" s="533">
        <f t="shared" si="93"/>
        <v>0</v>
      </c>
      <c r="K329" s="480">
        <f t="shared" si="95"/>
        <v>0</v>
      </c>
      <c r="L329" s="480">
        <f t="shared" si="96"/>
        <v>0</v>
      </c>
      <c r="M329" s="457">
        <f t="shared" si="97"/>
        <v>0</v>
      </c>
      <c r="N329" s="457" t="e">
        <f>#REF!+#REF!</f>
        <v>#REF!</v>
      </c>
      <c r="O329" s="482">
        <f t="shared" si="98"/>
        <v>0</v>
      </c>
      <c r="P329" s="456" t="e">
        <f t="shared" si="102"/>
        <v>#REF!</v>
      </c>
      <c r="Q329" s="248">
        <f t="shared" si="99"/>
        <v>0</v>
      </c>
      <c r="R329" s="34" t="e">
        <f t="shared" si="76"/>
        <v>#REF!</v>
      </c>
      <c r="S329" s="34" t="e">
        <f t="shared" si="77"/>
        <v>#REF!</v>
      </c>
      <c r="T329" s="34" t="e">
        <f>#REF!+#REF!</f>
        <v>#REF!</v>
      </c>
      <c r="U329" s="34" t="e">
        <f t="shared" si="94"/>
        <v>#REF!</v>
      </c>
    </row>
    <row r="330" spans="1:21" s="34" customFormat="1" ht="24.95" hidden="1" customHeight="1">
      <c r="A330" s="533"/>
      <c r="B330" s="480"/>
      <c r="C330" s="480"/>
      <c r="D330" s="457"/>
      <c r="E330" s="457"/>
      <c r="F330" s="1207"/>
      <c r="G330" s="1207"/>
      <c r="H330" s="248"/>
      <c r="J330" s="533">
        <f t="shared" si="93"/>
        <v>0</v>
      </c>
      <c r="K330" s="480">
        <f t="shared" si="95"/>
        <v>0</v>
      </c>
      <c r="L330" s="480">
        <f t="shared" si="96"/>
        <v>0</v>
      </c>
      <c r="M330" s="457">
        <f t="shared" si="97"/>
        <v>0</v>
      </c>
      <c r="N330" s="457" t="e">
        <f>#REF!+#REF!</f>
        <v>#REF!</v>
      </c>
      <c r="O330" s="482">
        <f t="shared" si="98"/>
        <v>0</v>
      </c>
      <c r="P330" s="456" t="e">
        <f t="shared" si="102"/>
        <v>#REF!</v>
      </c>
      <c r="Q330" s="248">
        <f t="shared" si="99"/>
        <v>0</v>
      </c>
      <c r="R330" s="34" t="e">
        <f t="shared" si="76"/>
        <v>#REF!</v>
      </c>
      <c r="S330" s="34" t="e">
        <f t="shared" si="77"/>
        <v>#REF!</v>
      </c>
      <c r="T330" s="34" t="e">
        <f>#REF!+#REF!</f>
        <v>#REF!</v>
      </c>
      <c r="U330" s="34" t="e">
        <f t="shared" si="94"/>
        <v>#REF!</v>
      </c>
    </row>
    <row r="331" spans="1:21" s="642" customFormat="1" ht="24.95" hidden="1" customHeight="1">
      <c r="A331" s="533"/>
      <c r="B331" s="480"/>
      <c r="C331" s="480"/>
      <c r="D331" s="457"/>
      <c r="E331" s="457"/>
      <c r="F331" s="1207"/>
      <c r="G331" s="1207"/>
      <c r="H331" s="248"/>
      <c r="J331" s="538">
        <f t="shared" si="93"/>
        <v>0</v>
      </c>
      <c r="K331" s="452">
        <f t="shared" si="95"/>
        <v>0</v>
      </c>
      <c r="L331" s="452">
        <f t="shared" si="96"/>
        <v>0</v>
      </c>
      <c r="M331" s="453">
        <f t="shared" si="97"/>
        <v>0</v>
      </c>
      <c r="N331" s="453" t="e">
        <f>#REF!+#REF!</f>
        <v>#REF!</v>
      </c>
      <c r="O331" s="454">
        <f t="shared" si="98"/>
        <v>0</v>
      </c>
      <c r="P331" s="455" t="e">
        <f t="shared" si="102"/>
        <v>#REF!</v>
      </c>
      <c r="Q331" s="247">
        <f t="shared" si="99"/>
        <v>0</v>
      </c>
      <c r="R331" s="34" t="e">
        <f t="shared" si="76"/>
        <v>#REF!</v>
      </c>
      <c r="S331" s="34" t="e">
        <f t="shared" si="77"/>
        <v>#REF!</v>
      </c>
      <c r="T331" s="34" t="e">
        <f>#REF!+#REF!</f>
        <v>#REF!</v>
      </c>
      <c r="U331" s="34" t="e">
        <f t="shared" si="94"/>
        <v>#REF!</v>
      </c>
    </row>
    <row r="332" spans="1:21" s="34" customFormat="1" ht="24.95" hidden="1" customHeight="1">
      <c r="A332" s="533"/>
      <c r="B332" s="480"/>
      <c r="C332" s="480"/>
      <c r="D332" s="457"/>
      <c r="E332" s="457"/>
      <c r="F332" s="1207"/>
      <c r="G332" s="1207"/>
      <c r="H332" s="248"/>
      <c r="J332" s="533">
        <f t="shared" si="93"/>
        <v>0</v>
      </c>
      <c r="K332" s="480">
        <f t="shared" si="95"/>
        <v>0</v>
      </c>
      <c r="L332" s="480">
        <f t="shared" si="96"/>
        <v>0</v>
      </c>
      <c r="M332" s="457">
        <f t="shared" si="97"/>
        <v>0</v>
      </c>
      <c r="N332" s="457" t="e">
        <f>#REF!+#REF!</f>
        <v>#REF!</v>
      </c>
      <c r="O332" s="482">
        <f t="shared" si="98"/>
        <v>0</v>
      </c>
      <c r="P332" s="456" t="e">
        <f t="shared" si="102"/>
        <v>#REF!</v>
      </c>
      <c r="Q332" s="248">
        <f t="shared" si="99"/>
        <v>0</v>
      </c>
      <c r="R332" s="34" t="e">
        <f t="shared" si="76"/>
        <v>#REF!</v>
      </c>
      <c r="S332" s="34" t="e">
        <f t="shared" si="77"/>
        <v>#REF!</v>
      </c>
      <c r="T332" s="34" t="e">
        <f>#REF!+#REF!</f>
        <v>#REF!</v>
      </c>
      <c r="U332" s="34" t="e">
        <f t="shared" si="94"/>
        <v>#REF!</v>
      </c>
    </row>
    <row r="333" spans="1:21" s="642" customFormat="1" ht="24.95" hidden="1" customHeight="1">
      <c r="A333" s="533"/>
      <c r="B333" s="480"/>
      <c r="C333" s="480"/>
      <c r="D333" s="457"/>
      <c r="E333" s="457"/>
      <c r="F333" s="1207"/>
      <c r="G333" s="1207"/>
      <c r="H333" s="248"/>
      <c r="J333" s="538">
        <f t="shared" si="93"/>
        <v>0</v>
      </c>
      <c r="K333" s="452">
        <f t="shared" si="95"/>
        <v>0</v>
      </c>
      <c r="L333" s="452">
        <f t="shared" si="96"/>
        <v>0</v>
      </c>
      <c r="M333" s="453">
        <f t="shared" si="97"/>
        <v>0</v>
      </c>
      <c r="N333" s="453" t="e">
        <f>#REF!+#REF!</f>
        <v>#REF!</v>
      </c>
      <c r="O333" s="454">
        <f t="shared" si="98"/>
        <v>0</v>
      </c>
      <c r="P333" s="455" t="e">
        <f>INT(N333*O333)</f>
        <v>#REF!</v>
      </c>
      <c r="Q333" s="247">
        <f t="shared" si="99"/>
        <v>0</v>
      </c>
      <c r="R333" s="34" t="e">
        <f t="shared" si="76"/>
        <v>#REF!</v>
      </c>
      <c r="S333" s="34" t="e">
        <f t="shared" si="77"/>
        <v>#REF!</v>
      </c>
      <c r="T333" s="34" t="e">
        <f>#REF!+#REF!</f>
        <v>#REF!</v>
      </c>
      <c r="U333" s="34" t="e">
        <f t="shared" si="94"/>
        <v>#REF!</v>
      </c>
    </row>
    <row r="334" spans="1:21" s="34" customFormat="1" ht="24.95" hidden="1" customHeight="1">
      <c r="A334" s="533"/>
      <c r="B334" s="480"/>
      <c r="C334" s="480"/>
      <c r="D334" s="457"/>
      <c r="E334" s="457"/>
      <c r="F334" s="1207"/>
      <c r="G334" s="1207"/>
      <c r="H334" s="248"/>
      <c r="I334" s="237">
        <f>E334+E335*2+E336*3</f>
        <v>0</v>
      </c>
      <c r="J334" s="533">
        <f t="shared" si="93"/>
        <v>0</v>
      </c>
      <c r="K334" s="480">
        <f t="shared" si="95"/>
        <v>0</v>
      </c>
      <c r="L334" s="480">
        <f t="shared" si="96"/>
        <v>0</v>
      </c>
      <c r="M334" s="457">
        <f t="shared" si="97"/>
        <v>0</v>
      </c>
      <c r="N334" s="457" t="e">
        <f>#REF!+#REF!</f>
        <v>#REF!</v>
      </c>
      <c r="O334" s="482">
        <f t="shared" si="98"/>
        <v>0</v>
      </c>
      <c r="P334" s="456" t="e">
        <f t="shared" ref="P334:P337" si="103">INT(N334*O334)</f>
        <v>#REF!</v>
      </c>
      <c r="Q334" s="248">
        <f t="shared" si="99"/>
        <v>0</v>
      </c>
      <c r="R334" s="34" t="e">
        <f t="shared" ref="R334:R339" si="104">E334-N334</f>
        <v>#REF!</v>
      </c>
      <c r="S334" s="34" t="e">
        <f t="shared" ref="S334:S339" si="105">G334-P334</f>
        <v>#REF!</v>
      </c>
      <c r="T334" s="34" t="e">
        <f>#REF!+#REF!</f>
        <v>#REF!</v>
      </c>
      <c r="U334" s="34" t="e">
        <f t="shared" si="94"/>
        <v>#REF!</v>
      </c>
    </row>
    <row r="335" spans="1:21" s="34" customFormat="1" ht="24.95" hidden="1" customHeight="1">
      <c r="A335" s="533"/>
      <c r="B335" s="480"/>
      <c r="C335" s="480"/>
      <c r="D335" s="457"/>
      <c r="E335" s="457"/>
      <c r="F335" s="1207"/>
      <c r="G335" s="1207"/>
      <c r="H335" s="248"/>
      <c r="J335" s="533">
        <f t="shared" si="93"/>
        <v>0</v>
      </c>
      <c r="K335" s="480">
        <f t="shared" si="95"/>
        <v>0</v>
      </c>
      <c r="L335" s="480">
        <f t="shared" si="96"/>
        <v>0</v>
      </c>
      <c r="M335" s="457">
        <f t="shared" si="97"/>
        <v>0</v>
      </c>
      <c r="N335" s="457" t="e">
        <f>#REF!+#REF!</f>
        <v>#REF!</v>
      </c>
      <c r="O335" s="482">
        <f t="shared" si="98"/>
        <v>0</v>
      </c>
      <c r="P335" s="456" t="e">
        <f t="shared" si="103"/>
        <v>#REF!</v>
      </c>
      <c r="Q335" s="248">
        <f t="shared" si="99"/>
        <v>0</v>
      </c>
      <c r="R335" s="34" t="e">
        <f t="shared" si="104"/>
        <v>#REF!</v>
      </c>
      <c r="S335" s="34" t="e">
        <f t="shared" si="105"/>
        <v>#REF!</v>
      </c>
      <c r="T335" s="34" t="e">
        <f>#REF!+#REF!</f>
        <v>#REF!</v>
      </c>
      <c r="U335" s="34" t="e">
        <f t="shared" si="94"/>
        <v>#REF!</v>
      </c>
    </row>
    <row r="336" spans="1:21" s="34" customFormat="1" ht="24.95" hidden="1" customHeight="1">
      <c r="A336" s="533"/>
      <c r="B336" s="480"/>
      <c r="C336" s="480"/>
      <c r="D336" s="457"/>
      <c r="E336" s="457"/>
      <c r="F336" s="1207"/>
      <c r="G336" s="1207"/>
      <c r="H336" s="248"/>
      <c r="J336" s="538">
        <f t="shared" si="93"/>
        <v>0</v>
      </c>
      <c r="K336" s="452">
        <f t="shared" si="95"/>
        <v>0</v>
      </c>
      <c r="L336" s="452">
        <f t="shared" si="96"/>
        <v>0</v>
      </c>
      <c r="M336" s="453">
        <f t="shared" si="97"/>
        <v>0</v>
      </c>
      <c r="N336" s="453" t="e">
        <f>#REF!+#REF!</f>
        <v>#REF!</v>
      </c>
      <c r="O336" s="454">
        <f t="shared" si="98"/>
        <v>0</v>
      </c>
      <c r="P336" s="455" t="e">
        <f t="shared" si="103"/>
        <v>#REF!</v>
      </c>
      <c r="Q336" s="247">
        <f t="shared" si="99"/>
        <v>0</v>
      </c>
      <c r="R336" s="34" t="e">
        <f t="shared" si="104"/>
        <v>#REF!</v>
      </c>
      <c r="S336" s="34" t="e">
        <f t="shared" si="105"/>
        <v>#REF!</v>
      </c>
      <c r="T336" s="34" t="e">
        <f>#REF!+#REF!</f>
        <v>#REF!</v>
      </c>
      <c r="U336" s="34" t="e">
        <f t="shared" si="94"/>
        <v>#REF!</v>
      </c>
    </row>
    <row r="337" spans="1:21" s="34" customFormat="1" ht="24.95" hidden="1" customHeight="1">
      <c r="A337" s="533"/>
      <c r="B337" s="480"/>
      <c r="C337" s="480"/>
      <c r="D337" s="457"/>
      <c r="E337" s="457"/>
      <c r="F337" s="1207"/>
      <c r="G337" s="1207"/>
      <c r="H337" s="248"/>
      <c r="I337" s="237" t="e">
        <f>E337+E338*2+E339*4</f>
        <v>#REF!</v>
      </c>
      <c r="J337" s="533">
        <f t="shared" si="93"/>
        <v>0</v>
      </c>
      <c r="K337" s="480">
        <f t="shared" si="95"/>
        <v>0</v>
      </c>
      <c r="L337" s="480">
        <f t="shared" si="96"/>
        <v>0</v>
      </c>
      <c r="M337" s="457">
        <f t="shared" si="97"/>
        <v>0</v>
      </c>
      <c r="N337" s="457" t="e">
        <f>#REF!+#REF!</f>
        <v>#REF!</v>
      </c>
      <c r="O337" s="482">
        <f t="shared" si="98"/>
        <v>0</v>
      </c>
      <c r="P337" s="456" t="e">
        <f t="shared" si="103"/>
        <v>#REF!</v>
      </c>
      <c r="Q337" s="248">
        <f t="shared" si="99"/>
        <v>0</v>
      </c>
      <c r="R337" s="34" t="e">
        <f t="shared" si="104"/>
        <v>#REF!</v>
      </c>
      <c r="S337" s="34" t="e">
        <f t="shared" si="105"/>
        <v>#REF!</v>
      </c>
      <c r="T337" s="34" t="e">
        <f>#REF!+#REF!</f>
        <v>#REF!</v>
      </c>
      <c r="U337" s="34" t="e">
        <f t="shared" si="94"/>
        <v>#REF!</v>
      </c>
    </row>
    <row r="338" spans="1:21" s="34" customFormat="1" ht="24.95" hidden="1" customHeight="1">
      <c r="A338" s="533"/>
      <c r="B338" s="480" t="e">
        <f>'8-3.노무산출'!#REF!</f>
        <v>#REF!</v>
      </c>
      <c r="C338" s="480" t="e">
        <f>'8-3.노무산출'!#REF!</f>
        <v>#REF!</v>
      </c>
      <c r="D338" s="457" t="e">
        <f>'8-3.노무산출'!#REF!</f>
        <v>#REF!</v>
      </c>
      <c r="E338" s="457" t="e">
        <f>'8-3.노무산출'!#REF!</f>
        <v>#REF!</v>
      </c>
      <c r="F338" s="1207" t="e">
        <f>VLOOKUP(C338,'8-3.노무산출'!$C$43:$K$257,8,FALSE)</f>
        <v>#REF!</v>
      </c>
      <c r="G338" s="1207" t="e">
        <f t="shared" ref="G338:G339" si="106">INT(E338*F338)</f>
        <v>#REF!</v>
      </c>
      <c r="H338" s="248" t="e">
        <f>VLOOKUP(C338,'8-3.노무산출'!$C$43:$K$257,10,FALSE)</f>
        <v>#REF!</v>
      </c>
      <c r="J338" s="533">
        <f t="shared" si="93"/>
        <v>0</v>
      </c>
      <c r="K338" s="480" t="e">
        <f t="shared" si="95"/>
        <v>#REF!</v>
      </c>
      <c r="L338" s="480" t="e">
        <f t="shared" si="96"/>
        <v>#REF!</v>
      </c>
      <c r="M338" s="457" t="e">
        <f t="shared" si="97"/>
        <v>#REF!</v>
      </c>
      <c r="N338" s="457" t="e">
        <f>#REF!+#REF!</f>
        <v>#REF!</v>
      </c>
      <c r="O338" s="482" t="e">
        <f t="shared" si="98"/>
        <v>#REF!</v>
      </c>
      <c r="P338" s="456" t="e">
        <f>INT(N338*O338)</f>
        <v>#REF!</v>
      </c>
      <c r="Q338" s="248" t="e">
        <f t="shared" si="99"/>
        <v>#REF!</v>
      </c>
      <c r="R338" s="34" t="e">
        <f t="shared" si="104"/>
        <v>#REF!</v>
      </c>
      <c r="S338" s="34" t="e">
        <f t="shared" si="105"/>
        <v>#REF!</v>
      </c>
      <c r="T338" s="34" t="e">
        <f>#REF!+#REF!</f>
        <v>#REF!</v>
      </c>
      <c r="U338" s="34" t="e">
        <f t="shared" si="94"/>
        <v>#REF!</v>
      </c>
    </row>
    <row r="339" spans="1:21" s="34" customFormat="1" ht="24.95" hidden="1" customHeight="1">
      <c r="A339" s="533"/>
      <c r="B339" s="480" t="e">
        <f>'8-3.노무산출'!#REF!</f>
        <v>#REF!</v>
      </c>
      <c r="C339" s="480" t="e">
        <f>'8-3.노무산출'!#REF!</f>
        <v>#REF!</v>
      </c>
      <c r="D339" s="457" t="e">
        <f>'8-3.노무산출'!#REF!</f>
        <v>#REF!</v>
      </c>
      <c r="E339" s="457" t="e">
        <f>'8-3.노무산출'!#REF!</f>
        <v>#REF!</v>
      </c>
      <c r="F339" s="1207" t="e">
        <f>VLOOKUP(C339,'8-3.노무산출'!$C$43:$K$257,8,FALSE)</f>
        <v>#REF!</v>
      </c>
      <c r="G339" s="1207" t="e">
        <f t="shared" si="106"/>
        <v>#REF!</v>
      </c>
      <c r="H339" s="248" t="e">
        <f>VLOOKUP(C339,'8-3.노무산출'!$C$43:$K$257,10,FALSE)</f>
        <v>#REF!</v>
      </c>
      <c r="J339" s="533">
        <f t="shared" si="93"/>
        <v>0</v>
      </c>
      <c r="K339" s="480" t="e">
        <f t="shared" si="95"/>
        <v>#REF!</v>
      </c>
      <c r="L339" s="480" t="e">
        <f t="shared" si="96"/>
        <v>#REF!</v>
      </c>
      <c r="M339" s="457" t="e">
        <f t="shared" si="97"/>
        <v>#REF!</v>
      </c>
      <c r="N339" s="457" t="e">
        <f>#REF!+#REF!</f>
        <v>#REF!</v>
      </c>
      <c r="O339" s="482" t="e">
        <f t="shared" si="98"/>
        <v>#REF!</v>
      </c>
      <c r="P339" s="456" t="e">
        <f>INT(N339*O339)</f>
        <v>#REF!</v>
      </c>
      <c r="Q339" s="248" t="e">
        <f t="shared" si="99"/>
        <v>#REF!</v>
      </c>
      <c r="R339" s="34" t="e">
        <f t="shared" si="104"/>
        <v>#REF!</v>
      </c>
      <c r="S339" s="34" t="e">
        <f t="shared" si="105"/>
        <v>#REF!</v>
      </c>
      <c r="T339" s="34" t="e">
        <f>#REF!+#REF!</f>
        <v>#REF!</v>
      </c>
      <c r="U339" s="34" t="e">
        <f t="shared" si="94"/>
        <v>#REF!</v>
      </c>
    </row>
    <row r="340" spans="1:21" s="34" customFormat="1" ht="24.95" customHeight="1">
      <c r="A340" s="533"/>
      <c r="B340" s="480"/>
      <c r="C340" s="480"/>
      <c r="D340" s="457"/>
      <c r="E340" s="457"/>
      <c r="F340" s="1207"/>
      <c r="G340" s="1207"/>
      <c r="H340" s="248"/>
      <c r="J340" s="533"/>
      <c r="K340" s="480"/>
      <c r="L340" s="480"/>
      <c r="M340" s="457"/>
      <c r="N340" s="457" t="e">
        <f>#REF!+#REF!</f>
        <v>#REF!</v>
      </c>
      <c r="O340" s="482"/>
      <c r="P340" s="456"/>
      <c r="Q340" s="248"/>
      <c r="R340" s="34" t="e">
        <f t="shared" ref="R340:R403" si="107">E340-N340</f>
        <v>#REF!</v>
      </c>
      <c r="S340" s="34">
        <f t="shared" ref="S340:S403" si="108">G340-P340</f>
        <v>0</v>
      </c>
      <c r="T340" s="34" t="e">
        <f>#REF!+#REF!</f>
        <v>#REF!</v>
      </c>
      <c r="U340" s="34" t="e">
        <f t="shared" ref="U340:U399" si="109">P340-T340</f>
        <v>#REF!</v>
      </c>
    </row>
    <row r="341" spans="1:21" s="34" customFormat="1" ht="24.95" customHeight="1">
      <c r="A341" s="536" t="str">
        <f>A113</f>
        <v>1. 송변전광전송단말장치</v>
      </c>
      <c r="B341" s="456"/>
      <c r="C341" s="393"/>
      <c r="D341" s="394"/>
      <c r="E341" s="394"/>
      <c r="F341" s="1200"/>
      <c r="G341" s="1216">
        <f>SUM(G342:G391)</f>
        <v>18783666</v>
      </c>
      <c r="H341" s="248"/>
      <c r="J341" s="536" t="str">
        <f t="shared" ref="J341:J357" si="110">$A341</f>
        <v>1. 송변전광전송단말장치</v>
      </c>
      <c r="K341" s="456"/>
      <c r="L341" s="393"/>
      <c r="M341" s="394"/>
      <c r="N341" s="394" t="e">
        <f>#REF!+#REF!</f>
        <v>#REF!</v>
      </c>
      <c r="O341" s="458"/>
      <c r="P341" s="469" t="e">
        <f>SUM(P342:P391)</f>
        <v>#REF!</v>
      </c>
      <c r="Q341" s="248"/>
      <c r="R341" s="34" t="e">
        <f t="shared" si="107"/>
        <v>#REF!</v>
      </c>
      <c r="S341" s="34" t="e">
        <f t="shared" si="108"/>
        <v>#REF!</v>
      </c>
      <c r="T341" s="34" t="e">
        <f>#REF!+#REF!</f>
        <v>#REF!</v>
      </c>
      <c r="U341" s="34" t="e">
        <f t="shared" si="109"/>
        <v>#REF!</v>
      </c>
    </row>
    <row r="342" spans="1:21" s="34" customFormat="1" ht="24.95" customHeight="1">
      <c r="A342" s="533"/>
      <c r="B342" s="456" t="str">
        <f>'8-3.노무산출'!B44</f>
        <v>송변전용 광단말장치 설치</v>
      </c>
      <c r="C342" s="456" t="str">
        <f>'8-3.노무산출'!C44</f>
        <v>HSR-10G</v>
      </c>
      <c r="D342" s="457" t="str">
        <f>'8-3.노무산출'!D44</f>
        <v>대</v>
      </c>
      <c r="E342" s="394">
        <f>'8-3.노무산출'!H44</f>
        <v>3</v>
      </c>
      <c r="F342" s="1207">
        <f>VLOOKUP(C342,'8-3.노무산출'!$C$43:$K$257,7,FALSE)</f>
        <v>2835567</v>
      </c>
      <c r="G342" s="1207">
        <f t="shared" ref="G342" si="111">INT(E342*F342)</f>
        <v>8506701</v>
      </c>
      <c r="H342" s="248" t="str">
        <f>VLOOKUP(C342,'8-3.노무산출'!$C$43:$K$257,9,0)</f>
        <v>품1-1.</v>
      </c>
      <c r="J342" s="533">
        <f t="shared" si="110"/>
        <v>0</v>
      </c>
      <c r="K342" s="456" t="str">
        <f t="shared" ref="K342:K357" si="112">$B342</f>
        <v>송변전용 광단말장치 설치</v>
      </c>
      <c r="L342" s="480" t="str">
        <f t="shared" ref="L342:L357" si="113">$C342</f>
        <v>HSR-10G</v>
      </c>
      <c r="M342" s="394" t="str">
        <f t="shared" ref="M342:M357" si="114">$D342</f>
        <v>대</v>
      </c>
      <c r="N342" s="394" t="e">
        <f>#REF!+#REF!</f>
        <v>#REF!</v>
      </c>
      <c r="O342" s="458">
        <f t="shared" ref="O342:O357" si="115">$F342</f>
        <v>2835567</v>
      </c>
      <c r="P342" s="393" t="e">
        <f>INT(N342*O342)</f>
        <v>#REF!</v>
      </c>
      <c r="Q342" s="311" t="str">
        <f t="shared" ref="Q342:Q357" si="116">$H342</f>
        <v>품1-1.</v>
      </c>
      <c r="R342" s="34" t="e">
        <f t="shared" si="107"/>
        <v>#REF!</v>
      </c>
      <c r="S342" s="34" t="e">
        <f t="shared" si="108"/>
        <v>#REF!</v>
      </c>
      <c r="T342" s="34" t="e">
        <f>#REF!+#REF!</f>
        <v>#REF!</v>
      </c>
      <c r="U342" s="34" t="e">
        <f t="shared" si="109"/>
        <v>#REF!</v>
      </c>
    </row>
    <row r="343" spans="1:21" s="34" customFormat="1" ht="24.95" hidden="1" customHeight="1">
      <c r="A343" s="533"/>
      <c r="B343" s="456" t="str">
        <f>'8-3.노무산출'!B45</f>
        <v>송변전용 광단말장치용 광전송유니트설치</v>
      </c>
      <c r="C343" s="456" t="str">
        <f>'8-3.노무산출'!C45</f>
        <v>CTRU 2매 및 8파장 기준</v>
      </c>
      <c r="D343" s="457" t="str">
        <f>'8-3.노무산출'!D45</f>
        <v>2유니트</v>
      </c>
      <c r="E343" s="394">
        <f>'8-3.노무산출'!H45</f>
        <v>0</v>
      </c>
      <c r="F343" s="1207">
        <f>VLOOKUP(C343,'8-3.노무산출'!$C$43:$K$257,7,FALSE)</f>
        <v>1310720</v>
      </c>
      <c r="G343" s="1207">
        <f t="shared" ref="G343:G352" si="117">INT(E343*F343)</f>
        <v>0</v>
      </c>
      <c r="H343" s="248" t="str">
        <f>VLOOKUP(C343,'8-3.노무산출'!$C$43:$K$257,9,0)</f>
        <v>품1-1-1.</v>
      </c>
      <c r="J343" s="533">
        <f t="shared" si="110"/>
        <v>0</v>
      </c>
      <c r="K343" s="456" t="str">
        <f t="shared" si="112"/>
        <v>송변전용 광단말장치용 광전송유니트설치</v>
      </c>
      <c r="L343" s="480" t="str">
        <f t="shared" si="113"/>
        <v>CTRU 2매 및 8파장 기준</v>
      </c>
      <c r="M343" s="394" t="str">
        <f t="shared" si="114"/>
        <v>2유니트</v>
      </c>
      <c r="N343" s="394" t="e">
        <f>#REF!+#REF!</f>
        <v>#REF!</v>
      </c>
      <c r="O343" s="458">
        <f t="shared" si="115"/>
        <v>1310720</v>
      </c>
      <c r="P343" s="393" t="e">
        <f>INT(N343*O343)</f>
        <v>#REF!</v>
      </c>
      <c r="Q343" s="311" t="str">
        <f t="shared" si="116"/>
        <v>품1-1-1.</v>
      </c>
      <c r="R343" s="34" t="e">
        <f t="shared" si="107"/>
        <v>#REF!</v>
      </c>
      <c r="S343" s="34" t="e">
        <f t="shared" si="108"/>
        <v>#REF!</v>
      </c>
      <c r="T343" s="34" t="e">
        <f>#REF!+#REF!</f>
        <v>#REF!</v>
      </c>
      <c r="U343" s="34" t="e">
        <f t="shared" si="109"/>
        <v>#REF!</v>
      </c>
    </row>
    <row r="344" spans="1:21" s="34" customFormat="1" ht="24.95" customHeight="1">
      <c r="A344" s="533"/>
      <c r="B344" s="456" t="str">
        <f>'8-3.노무산출'!B46</f>
        <v>HSR-PtoP unit 설치</v>
      </c>
      <c r="C344" s="456" t="str">
        <f>'8-3.노무산출'!C46</f>
        <v>신형)HSR-PTP</v>
      </c>
      <c r="D344" s="457" t="str">
        <f>'8-3.노무산출'!D46</f>
        <v>대</v>
      </c>
      <c r="E344" s="394">
        <f>'8-3.노무산출'!H46</f>
        <v>2</v>
      </c>
      <c r="F344" s="1207">
        <f>VLOOKUP(C344,'8-3.노무산출'!$C$43:$K$257,7,FALSE)</f>
        <v>1156346</v>
      </c>
      <c r="G344" s="1207">
        <f t="shared" si="117"/>
        <v>2312692</v>
      </c>
      <c r="H344" s="248" t="str">
        <f>VLOOKUP(C344,'8-3.노무산출'!$C$43:$K$257,9,0)</f>
        <v>품1-2.</v>
      </c>
      <c r="J344" s="533">
        <f t="shared" si="110"/>
        <v>0</v>
      </c>
      <c r="K344" s="456" t="str">
        <f t="shared" si="112"/>
        <v>HSR-PtoP unit 설치</v>
      </c>
      <c r="L344" s="456" t="str">
        <f t="shared" si="113"/>
        <v>신형)HSR-PTP</v>
      </c>
      <c r="M344" s="394" t="str">
        <f t="shared" si="114"/>
        <v>대</v>
      </c>
      <c r="N344" s="394" t="e">
        <f>#REF!+#REF!</f>
        <v>#REF!</v>
      </c>
      <c r="O344" s="458">
        <f t="shared" si="115"/>
        <v>1156346</v>
      </c>
      <c r="P344" s="393" t="e">
        <f>INT(N344*O344)</f>
        <v>#REF!</v>
      </c>
      <c r="Q344" s="311" t="str">
        <f t="shared" si="116"/>
        <v>품1-2.</v>
      </c>
      <c r="R344" s="34" t="e">
        <f t="shared" si="107"/>
        <v>#REF!</v>
      </c>
      <c r="S344" s="34" t="e">
        <f t="shared" si="108"/>
        <v>#REF!</v>
      </c>
      <c r="T344" s="34" t="e">
        <f>#REF!+#REF!</f>
        <v>#REF!</v>
      </c>
      <c r="U344" s="34" t="e">
        <f t="shared" si="109"/>
        <v>#REF!</v>
      </c>
    </row>
    <row r="345" spans="1:21" s="34" customFormat="1" ht="24.95" customHeight="1">
      <c r="A345" s="533"/>
      <c r="B345" s="456" t="str">
        <f>'8-3.노무산출'!B47</f>
        <v>송광치/IDF/단자/PITR 랙 설치</v>
      </c>
      <c r="C345" s="456" t="str">
        <f>'8-3.노무산출'!C47</f>
        <v>19" Rack</v>
      </c>
      <c r="D345" s="457" t="str">
        <f>'8-3.노무산출'!D47</f>
        <v>대</v>
      </c>
      <c r="E345" s="394">
        <f>'8-3.노무산출'!H47</f>
        <v>4</v>
      </c>
      <c r="F345" s="1207">
        <f>VLOOKUP(C345,'8-3.노무산출'!$C$43:$K$257,7,FALSE)</f>
        <v>252964</v>
      </c>
      <c r="G345" s="1207">
        <f t="shared" si="117"/>
        <v>1011856</v>
      </c>
      <c r="H345" s="248" t="str">
        <f>VLOOKUP(C345,'8-3.노무산출'!$C$43:$K$257,9,0)</f>
        <v>품1-3.</v>
      </c>
      <c r="J345" s="533">
        <f t="shared" si="110"/>
        <v>0</v>
      </c>
      <c r="K345" s="456" t="str">
        <f t="shared" si="112"/>
        <v>송광치/IDF/단자/PITR 랙 설치</v>
      </c>
      <c r="L345" s="456" t="str">
        <f t="shared" si="113"/>
        <v>19" Rack</v>
      </c>
      <c r="M345" s="394" t="str">
        <f t="shared" si="114"/>
        <v>대</v>
      </c>
      <c r="N345" s="394" t="e">
        <f>#REF!+#REF!</f>
        <v>#REF!</v>
      </c>
      <c r="O345" s="458">
        <f t="shared" si="115"/>
        <v>252964</v>
      </c>
      <c r="P345" s="393" t="e">
        <f>INT(N345*O345)</f>
        <v>#REF!</v>
      </c>
      <c r="Q345" s="311" t="str">
        <f t="shared" si="116"/>
        <v>품1-3.</v>
      </c>
      <c r="R345" s="34" t="e">
        <f t="shared" si="107"/>
        <v>#REF!</v>
      </c>
      <c r="S345" s="34" t="e">
        <f t="shared" si="108"/>
        <v>#REF!</v>
      </c>
      <c r="T345" s="34" t="e">
        <f>#REF!+#REF!</f>
        <v>#REF!</v>
      </c>
      <c r="U345" s="34" t="e">
        <f t="shared" si="109"/>
        <v>#REF!</v>
      </c>
    </row>
    <row r="346" spans="1:21" s="34" customFormat="1" ht="24.95" hidden="1" customHeight="1">
      <c r="A346" s="533"/>
      <c r="B346" s="456" t="e">
        <f>'8-3.노무산출'!B48</f>
        <v>#N/A</v>
      </c>
      <c r="C346" s="456" t="e">
        <f>'8-3.노무산출'!C48</f>
        <v>#N/A</v>
      </c>
      <c r="D346" s="457" t="e">
        <f>'8-3.노무산출'!D48</f>
        <v>#N/A</v>
      </c>
      <c r="E346" s="394">
        <f>'8-3.노무산출'!H48</f>
        <v>0</v>
      </c>
      <c r="F346" s="1207" t="e">
        <f>VLOOKUP(C346,'8-3.노무산출'!$C$43:$K$257,7,FALSE)</f>
        <v>#N/A</v>
      </c>
      <c r="G346" s="1207"/>
      <c r="H346" s="248" t="e">
        <f>VLOOKUP(C346,'8-3.노무산출'!$C$43:$K$257,9,0)</f>
        <v>#N/A</v>
      </c>
      <c r="J346" s="533">
        <f t="shared" si="110"/>
        <v>0</v>
      </c>
      <c r="K346" s="456" t="e">
        <f t="shared" si="112"/>
        <v>#N/A</v>
      </c>
      <c r="L346" s="393" t="e">
        <f t="shared" si="113"/>
        <v>#N/A</v>
      </c>
      <c r="M346" s="394" t="e">
        <f t="shared" si="114"/>
        <v>#N/A</v>
      </c>
      <c r="N346" s="394" t="e">
        <f>#REF!+#REF!</f>
        <v>#REF!</v>
      </c>
      <c r="O346" s="483" t="e">
        <f t="shared" si="115"/>
        <v>#N/A</v>
      </c>
      <c r="P346" s="393" t="e">
        <f t="shared" ref="P346:P347" si="118">INT(N346*O346)</f>
        <v>#REF!</v>
      </c>
      <c r="Q346" s="312" t="e">
        <f t="shared" si="116"/>
        <v>#N/A</v>
      </c>
      <c r="R346" s="34" t="e">
        <f t="shared" si="107"/>
        <v>#REF!</v>
      </c>
      <c r="S346" s="34" t="e">
        <f t="shared" si="108"/>
        <v>#REF!</v>
      </c>
      <c r="T346" s="34" t="e">
        <f>#REF!+#REF!</f>
        <v>#REF!</v>
      </c>
      <c r="U346" s="34" t="e">
        <f t="shared" si="109"/>
        <v>#REF!</v>
      </c>
    </row>
    <row r="347" spans="1:21" s="34" customFormat="1" ht="24.95" hidden="1" customHeight="1">
      <c r="A347" s="533"/>
      <c r="B347" s="456" t="e">
        <f>'8-3.노무산출'!B49</f>
        <v>#N/A</v>
      </c>
      <c r="C347" s="456" t="e">
        <f>'8-3.노무산출'!C49</f>
        <v>#N/A</v>
      </c>
      <c r="D347" s="457" t="e">
        <f>'8-3.노무산출'!D49</f>
        <v>#N/A</v>
      </c>
      <c r="E347" s="394">
        <f>'8-3.노무산출'!H49</f>
        <v>0</v>
      </c>
      <c r="F347" s="1207" t="e">
        <f>VLOOKUP(C347,'8-3.노무산출'!$C$43:$K$257,7,FALSE)</f>
        <v>#N/A</v>
      </c>
      <c r="G347" s="1207"/>
      <c r="H347" s="248" t="e">
        <f>VLOOKUP(C347,'8-3.노무산출'!$C$43:$K$257,9,0)</f>
        <v>#N/A</v>
      </c>
      <c r="J347" s="533">
        <f t="shared" si="110"/>
        <v>0</v>
      </c>
      <c r="K347" s="456" t="e">
        <f t="shared" si="112"/>
        <v>#N/A</v>
      </c>
      <c r="L347" s="393" t="e">
        <f t="shared" si="113"/>
        <v>#N/A</v>
      </c>
      <c r="M347" s="394" t="e">
        <f t="shared" si="114"/>
        <v>#N/A</v>
      </c>
      <c r="N347" s="394" t="e">
        <f>#REF!+#REF!</f>
        <v>#REF!</v>
      </c>
      <c r="O347" s="483" t="e">
        <f t="shared" si="115"/>
        <v>#N/A</v>
      </c>
      <c r="P347" s="393" t="e">
        <f t="shared" si="118"/>
        <v>#REF!</v>
      </c>
      <c r="Q347" s="312" t="e">
        <f t="shared" si="116"/>
        <v>#N/A</v>
      </c>
      <c r="R347" s="34" t="e">
        <f t="shared" si="107"/>
        <v>#REF!</v>
      </c>
      <c r="S347" s="34" t="e">
        <f t="shared" si="108"/>
        <v>#REF!</v>
      </c>
      <c r="T347" s="34" t="e">
        <f>#REF!+#REF!</f>
        <v>#REF!</v>
      </c>
      <c r="U347" s="34" t="e">
        <f t="shared" si="109"/>
        <v>#REF!</v>
      </c>
    </row>
    <row r="348" spans="1:21" s="34" customFormat="1" ht="24.95" customHeight="1">
      <c r="A348" s="533"/>
      <c r="B348" s="456" t="str">
        <f>'8-3.노무산출'!B50</f>
        <v>L3 스위치 설치 및 시험</v>
      </c>
      <c r="C348" s="456" t="str">
        <f>'8-3.노무산출'!C50</f>
        <v>본체 설치</v>
      </c>
      <c r="D348" s="457">
        <f>'8-3.노무산출'!D50</f>
        <v>0</v>
      </c>
      <c r="E348" s="394">
        <f>'8-3.노무산출'!H50</f>
        <v>6</v>
      </c>
      <c r="F348" s="1207">
        <f>VLOOKUP(C348,'8-3.노무산출'!$C$43:$K$257,7,FALSE)</f>
        <v>458028</v>
      </c>
      <c r="G348" s="1207">
        <f t="shared" si="117"/>
        <v>2748168</v>
      </c>
      <c r="H348" s="248" t="str">
        <f>VLOOKUP(C348,'8-3.노무산출'!$C$43:$K$257,9,0)</f>
        <v>품1-4.</v>
      </c>
      <c r="J348" s="533">
        <f t="shared" si="110"/>
        <v>0</v>
      </c>
      <c r="K348" s="456" t="str">
        <f t="shared" si="112"/>
        <v>L3 스위치 설치 및 시험</v>
      </c>
      <c r="L348" s="393" t="str">
        <f t="shared" si="113"/>
        <v>본체 설치</v>
      </c>
      <c r="M348" s="394">
        <f t="shared" si="114"/>
        <v>0</v>
      </c>
      <c r="N348" s="394" t="e">
        <f>#REF!+#REF!</f>
        <v>#REF!</v>
      </c>
      <c r="O348" s="483">
        <f t="shared" si="115"/>
        <v>458028</v>
      </c>
      <c r="P348" s="393" t="e">
        <f>INT(N348*O348)</f>
        <v>#REF!</v>
      </c>
      <c r="Q348" s="312" t="str">
        <f t="shared" si="116"/>
        <v>품1-4.</v>
      </c>
      <c r="R348" s="34" t="e">
        <f t="shared" si="107"/>
        <v>#REF!</v>
      </c>
      <c r="S348" s="34" t="e">
        <f t="shared" si="108"/>
        <v>#REF!</v>
      </c>
      <c r="T348" s="34" t="e">
        <f>#REF!+#REF!</f>
        <v>#REF!</v>
      </c>
      <c r="U348" s="34" t="e">
        <f t="shared" si="109"/>
        <v>#REF!</v>
      </c>
    </row>
    <row r="349" spans="1:21" s="34" customFormat="1" ht="24.95" customHeight="1">
      <c r="A349" s="533"/>
      <c r="B349" s="456" t="str">
        <f>'8-3.노무산출'!B51</f>
        <v>유니트 실장</v>
      </c>
      <c r="C349" s="456" t="str">
        <f>'8-3.노무산출'!C51</f>
        <v>IDF,QDF,VDF,CTRU등</v>
      </c>
      <c r="D349" s="457" t="str">
        <f>'8-3.노무산출'!D51</f>
        <v>개</v>
      </c>
      <c r="E349" s="394">
        <f>'8-3.노무산출'!H51</f>
        <v>11</v>
      </c>
      <c r="F349" s="1207">
        <f>VLOOKUP(C349,'8-3.노무산출'!$C$43:$K$257,7,FALSE)</f>
        <v>5524</v>
      </c>
      <c r="G349" s="1207">
        <f t="shared" si="117"/>
        <v>60764</v>
      </c>
      <c r="H349" s="248" t="str">
        <f>VLOOKUP(C349,'8-3.노무산출'!$C$43:$K$257,9,0)</f>
        <v>품1-5.</v>
      </c>
      <c r="J349" s="533">
        <f t="shared" si="110"/>
        <v>0</v>
      </c>
      <c r="K349" s="456" t="str">
        <f t="shared" si="112"/>
        <v>유니트 실장</v>
      </c>
      <c r="L349" s="393" t="str">
        <f t="shared" si="113"/>
        <v>IDF,QDF,VDF,CTRU등</v>
      </c>
      <c r="M349" s="394" t="str">
        <f t="shared" si="114"/>
        <v>개</v>
      </c>
      <c r="N349" s="394" t="e">
        <f>#REF!+#REF!</f>
        <v>#REF!</v>
      </c>
      <c r="O349" s="483">
        <f t="shared" si="115"/>
        <v>5524</v>
      </c>
      <c r="P349" s="393" t="e">
        <f t="shared" ref="P349" si="119">INT(N349*O349)</f>
        <v>#REF!</v>
      </c>
      <c r="Q349" s="312" t="str">
        <f t="shared" si="116"/>
        <v>품1-5.</v>
      </c>
      <c r="R349" s="34" t="e">
        <f t="shared" si="107"/>
        <v>#REF!</v>
      </c>
      <c r="S349" s="34" t="e">
        <f t="shared" si="108"/>
        <v>#REF!</v>
      </c>
      <c r="T349" s="34" t="e">
        <f>#REF!+#REF!</f>
        <v>#REF!</v>
      </c>
      <c r="U349" s="34" t="e">
        <f t="shared" si="109"/>
        <v>#REF!</v>
      </c>
    </row>
    <row r="350" spans="1:21" s="34" customFormat="1" ht="24.95" hidden="1" customHeight="1">
      <c r="A350" s="533"/>
      <c r="B350" s="456" t="str">
        <f>'8-3.노무산출'!B52</f>
        <v>제어케이블 포설</v>
      </c>
      <c r="C350" s="456" t="str">
        <f>'8-3.노무산출'!C52</f>
        <v>6SQ/2C 1열</v>
      </c>
      <c r="D350" s="457" t="str">
        <f>'8-3.노무산출'!D52</f>
        <v>m</v>
      </c>
      <c r="E350" s="394">
        <f>'8-3.노무산출'!H52</f>
        <v>0</v>
      </c>
      <c r="F350" s="1207">
        <f>VLOOKUP(C350,'8-3.노무산출'!$C$43:$K$257,7,FALSE)</f>
        <v>8355</v>
      </c>
      <c r="G350" s="1207">
        <f t="shared" si="117"/>
        <v>0</v>
      </c>
      <c r="H350" s="248" t="str">
        <f>VLOOKUP(C350,'8-3.노무산출'!$C$43:$K$257,9,0)</f>
        <v>품1-6.</v>
      </c>
      <c r="J350" s="533">
        <f t="shared" si="110"/>
        <v>0</v>
      </c>
      <c r="K350" s="456" t="str">
        <f t="shared" si="112"/>
        <v>제어케이블 포설</v>
      </c>
      <c r="L350" s="393" t="str">
        <f t="shared" si="113"/>
        <v>6SQ/2C 1열</v>
      </c>
      <c r="M350" s="394" t="str">
        <f t="shared" si="114"/>
        <v>m</v>
      </c>
      <c r="N350" s="394" t="e">
        <f>#REF!+#REF!</f>
        <v>#REF!</v>
      </c>
      <c r="O350" s="458">
        <f t="shared" si="115"/>
        <v>8355</v>
      </c>
      <c r="P350" s="393" t="e">
        <f>INT(N350*O350)</f>
        <v>#REF!</v>
      </c>
      <c r="Q350" s="311" t="str">
        <f t="shared" si="116"/>
        <v>품1-6.</v>
      </c>
      <c r="R350" s="34" t="e">
        <f t="shared" si="107"/>
        <v>#REF!</v>
      </c>
      <c r="S350" s="34" t="e">
        <f t="shared" si="108"/>
        <v>#REF!</v>
      </c>
      <c r="T350" s="34" t="e">
        <f>#REF!+#REF!</f>
        <v>#REF!</v>
      </c>
      <c r="U350" s="34" t="e">
        <f t="shared" si="109"/>
        <v>#REF!</v>
      </c>
    </row>
    <row r="351" spans="1:21" s="34" customFormat="1" ht="24.95" hidden="1" customHeight="1">
      <c r="A351" s="533"/>
      <c r="B351" s="456" t="str">
        <f>'8-3.노무산출'!B53</f>
        <v>제어케이블 포설</v>
      </c>
      <c r="C351" s="456" t="str">
        <f>'8-3.노무산출'!C53</f>
        <v>6SQ/2C 2열</v>
      </c>
      <c r="D351" s="457" t="str">
        <f>'8-3.노무산출'!D53</f>
        <v>m</v>
      </c>
      <c r="E351" s="394">
        <f>'8-3.노무산출'!H53</f>
        <v>0</v>
      </c>
      <c r="F351" s="1207">
        <f>VLOOKUP(C351,'8-3.노무산출'!$C$43:$K$257,7,FALSE)</f>
        <v>15040</v>
      </c>
      <c r="G351" s="1207">
        <f t="shared" si="117"/>
        <v>0</v>
      </c>
      <c r="H351" s="248" t="str">
        <f>VLOOKUP(C351,'8-3.노무산출'!$C$43:$K$257,9,0)</f>
        <v>품1-6-1.</v>
      </c>
      <c r="J351" s="533">
        <f t="shared" si="110"/>
        <v>0</v>
      </c>
      <c r="K351" s="456" t="str">
        <f t="shared" si="112"/>
        <v>제어케이블 포설</v>
      </c>
      <c r="L351" s="393" t="str">
        <f t="shared" si="113"/>
        <v>6SQ/2C 2열</v>
      </c>
      <c r="M351" s="394" t="str">
        <f t="shared" si="114"/>
        <v>m</v>
      </c>
      <c r="N351" s="394" t="e">
        <f>#REF!+#REF!</f>
        <v>#REF!</v>
      </c>
      <c r="O351" s="458">
        <f t="shared" si="115"/>
        <v>15040</v>
      </c>
      <c r="P351" s="393" t="e">
        <f t="shared" ref="P351:P357" si="120">INT(N351*O351)</f>
        <v>#REF!</v>
      </c>
      <c r="Q351" s="311" t="str">
        <f t="shared" si="116"/>
        <v>품1-6-1.</v>
      </c>
      <c r="R351" s="34" t="e">
        <f t="shared" si="107"/>
        <v>#REF!</v>
      </c>
      <c r="S351" s="34" t="e">
        <f t="shared" si="108"/>
        <v>#REF!</v>
      </c>
      <c r="T351" s="34" t="e">
        <f>#REF!+#REF!</f>
        <v>#REF!</v>
      </c>
      <c r="U351" s="34" t="e">
        <f t="shared" si="109"/>
        <v>#REF!</v>
      </c>
    </row>
    <row r="352" spans="1:21" s="34" customFormat="1" ht="24.95" customHeight="1">
      <c r="A352" s="533"/>
      <c r="B352" s="456" t="str">
        <f>'8-3.노무산출'!B54</f>
        <v>제어케이블 포설</v>
      </c>
      <c r="C352" s="456" t="str">
        <f>'8-3.노무산출'!C54</f>
        <v>6SQ/2C 3열</v>
      </c>
      <c r="D352" s="457" t="str">
        <f>'8-3.노무산출'!D54</f>
        <v>m</v>
      </c>
      <c r="E352" s="394">
        <f>'8-3.노무산출'!H54</f>
        <v>52</v>
      </c>
      <c r="F352" s="1207">
        <f>VLOOKUP(C352,'8-3.노무산출'!$C$43:$K$257,7,FALSE)</f>
        <v>21725</v>
      </c>
      <c r="G352" s="1207">
        <f t="shared" si="117"/>
        <v>1129700</v>
      </c>
      <c r="H352" s="248" t="str">
        <f>VLOOKUP(C352,'8-3.노무산출'!$C$43:$K$257,9,0)</f>
        <v>품1-6-2.</v>
      </c>
      <c r="J352" s="533">
        <f t="shared" si="110"/>
        <v>0</v>
      </c>
      <c r="K352" s="456" t="str">
        <f t="shared" si="112"/>
        <v>제어케이블 포설</v>
      </c>
      <c r="L352" s="393" t="str">
        <f t="shared" si="113"/>
        <v>6SQ/2C 3열</v>
      </c>
      <c r="M352" s="394" t="str">
        <f t="shared" si="114"/>
        <v>m</v>
      </c>
      <c r="N352" s="394" t="e">
        <f>#REF!+#REF!</f>
        <v>#REF!</v>
      </c>
      <c r="O352" s="483">
        <f t="shared" si="115"/>
        <v>21725</v>
      </c>
      <c r="P352" s="393" t="e">
        <f t="shared" si="120"/>
        <v>#REF!</v>
      </c>
      <c r="Q352" s="312" t="str">
        <f t="shared" si="116"/>
        <v>품1-6-2.</v>
      </c>
      <c r="R352" s="34" t="e">
        <f t="shared" si="107"/>
        <v>#REF!</v>
      </c>
      <c r="S352" s="34" t="e">
        <f t="shared" si="108"/>
        <v>#REF!</v>
      </c>
      <c r="T352" s="34" t="e">
        <f>#REF!+#REF!</f>
        <v>#REF!</v>
      </c>
      <c r="U352" s="34" t="e">
        <f t="shared" si="109"/>
        <v>#REF!</v>
      </c>
    </row>
    <row r="353" spans="1:21" s="34" customFormat="1" ht="24.95" hidden="1" customHeight="1">
      <c r="A353" s="533"/>
      <c r="B353" s="456" t="e">
        <f>'8-3.노무산출'!B55</f>
        <v>#N/A</v>
      </c>
      <c r="C353" s="456" t="e">
        <f>'8-3.노무산출'!C55</f>
        <v>#N/A</v>
      </c>
      <c r="D353" s="457" t="e">
        <f>'8-3.노무산출'!D55</f>
        <v>#N/A</v>
      </c>
      <c r="E353" s="394">
        <f>'8-3.노무산출'!H55</f>
        <v>0</v>
      </c>
      <c r="F353" s="1207" t="e">
        <f>VLOOKUP(C353,'8-3.노무산출'!$C$43:$K$257,7,FALSE)</f>
        <v>#N/A</v>
      </c>
      <c r="G353" s="1207"/>
      <c r="H353" s="248" t="e">
        <f>VLOOKUP(C353,'8-3.노무산출'!$C$43:$K$257,9,0)</f>
        <v>#N/A</v>
      </c>
      <c r="J353" s="533">
        <f t="shared" si="110"/>
        <v>0</v>
      </c>
      <c r="K353" s="456" t="e">
        <f t="shared" si="112"/>
        <v>#N/A</v>
      </c>
      <c r="L353" s="393" t="e">
        <f t="shared" si="113"/>
        <v>#N/A</v>
      </c>
      <c r="M353" s="394" t="e">
        <f t="shared" si="114"/>
        <v>#N/A</v>
      </c>
      <c r="N353" s="394" t="e">
        <f>#REF!+#REF!</f>
        <v>#REF!</v>
      </c>
      <c r="O353" s="458" t="e">
        <f t="shared" si="115"/>
        <v>#N/A</v>
      </c>
      <c r="P353" s="393" t="e">
        <f t="shared" si="120"/>
        <v>#REF!</v>
      </c>
      <c r="Q353" s="311" t="e">
        <f t="shared" si="116"/>
        <v>#N/A</v>
      </c>
      <c r="R353" s="34" t="e">
        <f t="shared" si="107"/>
        <v>#REF!</v>
      </c>
      <c r="S353" s="34" t="e">
        <f t="shared" si="108"/>
        <v>#REF!</v>
      </c>
      <c r="T353" s="34" t="e">
        <f>#REF!+#REF!</f>
        <v>#REF!</v>
      </c>
      <c r="U353" s="34" t="e">
        <f t="shared" si="109"/>
        <v>#REF!</v>
      </c>
    </row>
    <row r="354" spans="1:21" s="34" customFormat="1" ht="24.95" hidden="1" customHeight="1">
      <c r="A354" s="533"/>
      <c r="B354" s="456" t="e">
        <f>'8-3.노무산출'!B56</f>
        <v>#N/A</v>
      </c>
      <c r="C354" s="456" t="e">
        <f>'8-3.노무산출'!C56</f>
        <v>#N/A</v>
      </c>
      <c r="D354" s="457" t="e">
        <f>'8-3.노무산출'!D56</f>
        <v>#N/A</v>
      </c>
      <c r="E354" s="394">
        <f>'8-3.노무산출'!H56</f>
        <v>0</v>
      </c>
      <c r="F354" s="1207" t="e">
        <f>VLOOKUP(C354,'8-3.노무산출'!$C$43:$K$257,7,FALSE)</f>
        <v>#N/A</v>
      </c>
      <c r="G354" s="1207"/>
      <c r="H354" s="248" t="e">
        <f>VLOOKUP(C354,'8-3.노무산출'!$C$43:$K$257,9,0)</f>
        <v>#N/A</v>
      </c>
      <c r="J354" s="533">
        <f t="shared" si="110"/>
        <v>0</v>
      </c>
      <c r="K354" s="456" t="e">
        <f t="shared" si="112"/>
        <v>#N/A</v>
      </c>
      <c r="L354" s="393" t="e">
        <f t="shared" si="113"/>
        <v>#N/A</v>
      </c>
      <c r="M354" s="394" t="e">
        <f t="shared" si="114"/>
        <v>#N/A</v>
      </c>
      <c r="N354" s="394" t="e">
        <f>#REF!+#REF!</f>
        <v>#REF!</v>
      </c>
      <c r="O354" s="483" t="e">
        <f t="shared" si="115"/>
        <v>#N/A</v>
      </c>
      <c r="P354" s="393" t="e">
        <f t="shared" si="120"/>
        <v>#REF!</v>
      </c>
      <c r="Q354" s="312" t="e">
        <f t="shared" si="116"/>
        <v>#N/A</v>
      </c>
      <c r="R354" s="34" t="e">
        <f t="shared" si="107"/>
        <v>#REF!</v>
      </c>
      <c r="S354" s="34" t="e">
        <f t="shared" si="108"/>
        <v>#REF!</v>
      </c>
      <c r="T354" s="34" t="e">
        <f>#REF!+#REF!</f>
        <v>#REF!</v>
      </c>
      <c r="U354" s="34" t="e">
        <f t="shared" si="109"/>
        <v>#REF!</v>
      </c>
    </row>
    <row r="355" spans="1:21" s="34" customFormat="1" ht="24.95" hidden="1" customHeight="1">
      <c r="A355" s="533"/>
      <c r="B355" s="456" t="e">
        <f>'8-3.노무산출'!B57</f>
        <v>#N/A</v>
      </c>
      <c r="C355" s="456" t="e">
        <f>'8-3.노무산출'!C57</f>
        <v>#N/A</v>
      </c>
      <c r="D355" s="457" t="e">
        <f>'8-3.노무산출'!D57</f>
        <v>#N/A</v>
      </c>
      <c r="E355" s="394">
        <f>'8-3.노무산출'!H57</f>
        <v>0</v>
      </c>
      <c r="F355" s="1207" t="e">
        <f>VLOOKUP(C355,'8-3.노무산출'!$C$43:$K$257,7,FALSE)</f>
        <v>#N/A</v>
      </c>
      <c r="G355" s="1207"/>
      <c r="H355" s="248" t="e">
        <f>VLOOKUP(C355,'8-3.노무산출'!$C$43:$K$257,9,0)</f>
        <v>#N/A</v>
      </c>
      <c r="J355" s="533">
        <f t="shared" si="110"/>
        <v>0</v>
      </c>
      <c r="K355" s="456" t="e">
        <f t="shared" si="112"/>
        <v>#N/A</v>
      </c>
      <c r="L355" s="393" t="e">
        <f t="shared" si="113"/>
        <v>#N/A</v>
      </c>
      <c r="M355" s="394" t="e">
        <f t="shared" si="114"/>
        <v>#N/A</v>
      </c>
      <c r="N355" s="394" t="e">
        <f>#REF!+#REF!</f>
        <v>#REF!</v>
      </c>
      <c r="O355" s="483" t="e">
        <f t="shared" si="115"/>
        <v>#N/A</v>
      </c>
      <c r="P355" s="393" t="e">
        <f t="shared" si="120"/>
        <v>#REF!</v>
      </c>
      <c r="Q355" s="312" t="e">
        <f t="shared" si="116"/>
        <v>#N/A</v>
      </c>
      <c r="R355" s="34" t="e">
        <f t="shared" si="107"/>
        <v>#REF!</v>
      </c>
      <c r="S355" s="34" t="e">
        <f t="shared" si="108"/>
        <v>#REF!</v>
      </c>
      <c r="T355" s="34" t="e">
        <f>#REF!+#REF!</f>
        <v>#REF!</v>
      </c>
      <c r="U355" s="34" t="e">
        <f t="shared" si="109"/>
        <v>#REF!</v>
      </c>
    </row>
    <row r="356" spans="1:21" s="34" customFormat="1" ht="24.95" hidden="1" customHeight="1">
      <c r="A356" s="533"/>
      <c r="B356" s="456" t="e">
        <f>'8-3.노무산출'!B58</f>
        <v>#N/A</v>
      </c>
      <c r="C356" s="456" t="e">
        <f>'8-3.노무산출'!C58</f>
        <v>#N/A</v>
      </c>
      <c r="D356" s="457" t="e">
        <f>'8-3.노무산출'!D58</f>
        <v>#N/A</v>
      </c>
      <c r="E356" s="394">
        <f>'8-3.노무산출'!H58</f>
        <v>0</v>
      </c>
      <c r="F356" s="1207" t="e">
        <f>VLOOKUP(C356,'8-3.노무산출'!$C$43:$K$257,7,FALSE)</f>
        <v>#N/A</v>
      </c>
      <c r="G356" s="1207"/>
      <c r="H356" s="248" t="e">
        <f>VLOOKUP(C356,'8-3.노무산출'!$C$43:$K$257,9,0)</f>
        <v>#N/A</v>
      </c>
      <c r="J356" s="533">
        <f t="shared" si="110"/>
        <v>0</v>
      </c>
      <c r="K356" s="456" t="e">
        <f t="shared" si="112"/>
        <v>#N/A</v>
      </c>
      <c r="L356" s="393" t="e">
        <f t="shared" si="113"/>
        <v>#N/A</v>
      </c>
      <c r="M356" s="394" t="e">
        <f t="shared" si="114"/>
        <v>#N/A</v>
      </c>
      <c r="N356" s="394" t="e">
        <f>#REF!+#REF!</f>
        <v>#REF!</v>
      </c>
      <c r="O356" s="483" t="e">
        <f t="shared" si="115"/>
        <v>#N/A</v>
      </c>
      <c r="P356" s="393" t="e">
        <f t="shared" si="120"/>
        <v>#REF!</v>
      </c>
      <c r="Q356" s="312" t="e">
        <f t="shared" si="116"/>
        <v>#N/A</v>
      </c>
      <c r="R356" s="34" t="e">
        <f t="shared" si="107"/>
        <v>#REF!</v>
      </c>
      <c r="S356" s="34" t="e">
        <f t="shared" si="108"/>
        <v>#REF!</v>
      </c>
      <c r="T356" s="34" t="e">
        <f>#REF!+#REF!</f>
        <v>#REF!</v>
      </c>
      <c r="U356" s="34" t="e">
        <f t="shared" si="109"/>
        <v>#REF!</v>
      </c>
    </row>
    <row r="357" spans="1:21" s="34" customFormat="1" ht="24.95" hidden="1" customHeight="1">
      <c r="A357" s="533"/>
      <c r="B357" s="456" t="e">
        <f>'8-3.노무산출'!B59</f>
        <v>#N/A</v>
      </c>
      <c r="C357" s="456" t="e">
        <f>'8-3.노무산출'!C59</f>
        <v>#N/A</v>
      </c>
      <c r="D357" s="457" t="e">
        <f>'8-3.노무산출'!D59</f>
        <v>#N/A</v>
      </c>
      <c r="E357" s="394">
        <f>'8-3.노무산출'!H59</f>
        <v>0</v>
      </c>
      <c r="F357" s="1207" t="e">
        <f>VLOOKUP(C357,'8-3.노무산출'!$C$43:$K$257,7,FALSE)</f>
        <v>#N/A</v>
      </c>
      <c r="G357" s="1207"/>
      <c r="H357" s="248" t="e">
        <f>VLOOKUP(C357,'8-3.노무산출'!$C$43:$K$257,9,0)</f>
        <v>#N/A</v>
      </c>
      <c r="J357" s="533">
        <f t="shared" si="110"/>
        <v>0</v>
      </c>
      <c r="K357" s="456" t="e">
        <f t="shared" si="112"/>
        <v>#N/A</v>
      </c>
      <c r="L357" s="393" t="e">
        <f t="shared" si="113"/>
        <v>#N/A</v>
      </c>
      <c r="M357" s="394" t="e">
        <f t="shared" si="114"/>
        <v>#N/A</v>
      </c>
      <c r="N357" s="394" t="e">
        <f>#REF!+#REF!</f>
        <v>#REF!</v>
      </c>
      <c r="O357" s="483" t="e">
        <f t="shared" si="115"/>
        <v>#N/A</v>
      </c>
      <c r="P357" s="393" t="e">
        <f t="shared" si="120"/>
        <v>#REF!</v>
      </c>
      <c r="Q357" s="312" t="e">
        <f t="shared" si="116"/>
        <v>#N/A</v>
      </c>
      <c r="R357" s="34" t="e">
        <f t="shared" si="107"/>
        <v>#REF!</v>
      </c>
      <c r="S357" s="34" t="e">
        <f t="shared" si="108"/>
        <v>#REF!</v>
      </c>
      <c r="T357" s="34" t="e">
        <f>#REF!+#REF!</f>
        <v>#REF!</v>
      </c>
      <c r="U357" s="34" t="e">
        <f t="shared" si="109"/>
        <v>#REF!</v>
      </c>
    </row>
    <row r="358" spans="1:21" s="34" customFormat="1" ht="24.95" hidden="1" customHeight="1">
      <c r="A358" s="533"/>
      <c r="B358" s="456" t="e">
        <f>'8-3.노무산출'!B60</f>
        <v>#N/A</v>
      </c>
      <c r="C358" s="456" t="e">
        <f>'8-3.노무산출'!C60</f>
        <v>#N/A</v>
      </c>
      <c r="D358" s="457" t="e">
        <f>'8-3.노무산출'!D60</f>
        <v>#N/A</v>
      </c>
      <c r="E358" s="394">
        <f>'8-3.노무산출'!H60</f>
        <v>0</v>
      </c>
      <c r="F358" s="1207" t="e">
        <f>VLOOKUP(C358,'8-3.노무산출'!$C$43:$K$257,7,FALSE)</f>
        <v>#N/A</v>
      </c>
      <c r="G358" s="1207"/>
      <c r="H358" s="248" t="e">
        <f>VLOOKUP(C358,'8-3.노무산출'!$C$43:$K$257,9,0)</f>
        <v>#N/A</v>
      </c>
      <c r="J358" s="533"/>
      <c r="K358" s="456"/>
      <c r="L358" s="393"/>
      <c r="M358" s="394"/>
      <c r="N358" s="394"/>
      <c r="O358" s="483"/>
      <c r="P358" s="393"/>
      <c r="Q358" s="312"/>
    </row>
    <row r="359" spans="1:21" s="34" customFormat="1" ht="24.95" customHeight="1">
      <c r="A359" s="533"/>
      <c r="B359" s="456" t="str">
        <f>'8-3.노무산출'!B61</f>
        <v>광점퍼코드 포설</v>
      </c>
      <c r="C359" s="456" t="str">
        <f>'8-3.노무산출'!C61</f>
        <v>SC/PC(APC)↔SC/APC, 2열</v>
      </c>
      <c r="D359" s="457" t="str">
        <f>'8-3.노무산출'!D61</f>
        <v>m</v>
      </c>
      <c r="E359" s="394">
        <f>'8-3.노무산출'!H61</f>
        <v>44</v>
      </c>
      <c r="F359" s="1207">
        <f>VLOOKUP(C359,'8-3.노무산출'!$C$43:$K$257,7,FALSE)</f>
        <v>8851</v>
      </c>
      <c r="G359" s="1207">
        <f t="shared" ref="G359" si="121">INT(E359*F359)</f>
        <v>389444</v>
      </c>
      <c r="H359" s="248" t="str">
        <f>VLOOKUP(C359,'8-3.노무산출'!$C$43:$K$257,9,0)</f>
        <v>품1-7.</v>
      </c>
      <c r="J359" s="533"/>
      <c r="K359" s="456"/>
      <c r="L359" s="393"/>
      <c r="M359" s="394"/>
      <c r="N359" s="394"/>
      <c r="O359" s="483"/>
      <c r="P359" s="393"/>
      <c r="Q359" s="312"/>
    </row>
    <row r="360" spans="1:21" s="34" customFormat="1" ht="24" hidden="1" customHeight="1">
      <c r="A360" s="533"/>
      <c r="B360" s="456" t="e">
        <f>'8-3.노무산출'!B62</f>
        <v>#N/A</v>
      </c>
      <c r="C360" s="456" t="e">
        <f>'8-3.노무산출'!C62</f>
        <v>#N/A</v>
      </c>
      <c r="D360" s="457" t="e">
        <f>'8-3.노무산출'!D62</f>
        <v>#N/A</v>
      </c>
      <c r="E360" s="394">
        <f>'8-3.노무산출'!H62</f>
        <v>0</v>
      </c>
      <c r="F360" s="1207" t="e">
        <f>VLOOKUP(C360,'8-3.노무산출'!$C$43:$K$257,7,FALSE)</f>
        <v>#N/A</v>
      </c>
      <c r="G360" s="1207"/>
      <c r="H360" s="248" t="e">
        <f>VLOOKUP(C360,'8-3.노무산출'!$C$43:$K$257,9,0)</f>
        <v>#N/A</v>
      </c>
      <c r="J360" s="533"/>
      <c r="K360" s="456"/>
      <c r="L360" s="393"/>
      <c r="M360" s="394"/>
      <c r="N360" s="394"/>
      <c r="O360" s="483"/>
      <c r="P360" s="393"/>
      <c r="Q360" s="312"/>
    </row>
    <row r="361" spans="1:21" s="34" customFormat="1" ht="24.95" hidden="1" customHeight="1">
      <c r="A361" s="533"/>
      <c r="B361" s="456" t="e">
        <f>'8-3.노무산출'!B63</f>
        <v>#N/A</v>
      </c>
      <c r="C361" s="456" t="e">
        <f>'8-3.노무산출'!C63</f>
        <v>#N/A</v>
      </c>
      <c r="D361" s="457" t="e">
        <f>'8-3.노무산출'!D63</f>
        <v>#N/A</v>
      </c>
      <c r="E361" s="394">
        <f>'8-3.노무산출'!H63</f>
        <v>0</v>
      </c>
      <c r="F361" s="1207" t="e">
        <f>VLOOKUP(C361,'8-3.노무산출'!$C$43:$K$257,7,FALSE)</f>
        <v>#N/A</v>
      </c>
      <c r="G361" s="1207"/>
      <c r="H361" s="248" t="e">
        <f>VLOOKUP(C361,'8-3.노무산출'!$C$43:$K$257,9,0)</f>
        <v>#N/A</v>
      </c>
      <c r="J361" s="533"/>
      <c r="K361" s="456"/>
      <c r="L361" s="393"/>
      <c r="M361" s="394"/>
      <c r="N361" s="394"/>
      <c r="O361" s="483"/>
      <c r="P361" s="393"/>
      <c r="Q361" s="312"/>
    </row>
    <row r="362" spans="1:21" s="34" customFormat="1" ht="24.95" hidden="1" customHeight="1">
      <c r="A362" s="533"/>
      <c r="B362" s="456" t="e">
        <f>'8-3.노무산출'!B64</f>
        <v>#N/A</v>
      </c>
      <c r="C362" s="456" t="e">
        <f>'8-3.노무산출'!C64</f>
        <v>#N/A</v>
      </c>
      <c r="D362" s="457" t="e">
        <f>'8-3.노무산출'!D64</f>
        <v>#N/A</v>
      </c>
      <c r="E362" s="394">
        <f>'8-3.노무산출'!H64</f>
        <v>0</v>
      </c>
      <c r="F362" s="1207" t="e">
        <f>VLOOKUP(C362,'8-3.노무산출'!$C$43:$K$257,7,FALSE)</f>
        <v>#N/A</v>
      </c>
      <c r="G362" s="1207"/>
      <c r="H362" s="248" t="e">
        <f>VLOOKUP(C362,'8-3.노무산출'!$C$43:$K$257,9,0)</f>
        <v>#N/A</v>
      </c>
      <c r="J362" s="533"/>
      <c r="K362" s="456"/>
      <c r="L362" s="393"/>
      <c r="M362" s="394"/>
      <c r="N362" s="394"/>
      <c r="O362" s="483"/>
      <c r="P362" s="393"/>
      <c r="Q362" s="312"/>
    </row>
    <row r="363" spans="1:21" s="34" customFormat="1" ht="24.95" hidden="1" customHeight="1">
      <c r="A363" s="533"/>
      <c r="B363" s="456" t="e">
        <f>'8-3.노무산출'!B65</f>
        <v>#N/A</v>
      </c>
      <c r="C363" s="456" t="e">
        <f>'8-3.노무산출'!C65</f>
        <v>#N/A</v>
      </c>
      <c r="D363" s="457" t="e">
        <f>'8-3.노무산출'!D65</f>
        <v>#N/A</v>
      </c>
      <c r="E363" s="394">
        <f>'8-3.노무산출'!H65</f>
        <v>0</v>
      </c>
      <c r="F363" s="1207" t="e">
        <f>VLOOKUP(C363,'8-3.노무산출'!$C$43:$K$257,7,FALSE)</f>
        <v>#N/A</v>
      </c>
      <c r="G363" s="1207"/>
      <c r="H363" s="248" t="e">
        <f>VLOOKUP(C363,'8-3.노무산출'!$C$43:$K$257,9,0)</f>
        <v>#N/A</v>
      </c>
      <c r="J363" s="533"/>
      <c r="K363" s="456"/>
      <c r="L363" s="393"/>
      <c r="M363" s="394"/>
      <c r="N363" s="394"/>
      <c r="O363" s="483"/>
      <c r="P363" s="393"/>
      <c r="Q363" s="312"/>
    </row>
    <row r="364" spans="1:21" s="34" customFormat="1" ht="24.95" hidden="1" customHeight="1">
      <c r="A364" s="533"/>
      <c r="B364" s="456" t="e">
        <f>'8-3.노무산출'!B66</f>
        <v>#N/A</v>
      </c>
      <c r="C364" s="456" t="e">
        <f>'8-3.노무산출'!C66</f>
        <v>#N/A</v>
      </c>
      <c r="D364" s="457" t="e">
        <f>'8-3.노무산출'!D66</f>
        <v>#N/A</v>
      </c>
      <c r="E364" s="394">
        <f>'8-3.노무산출'!H66</f>
        <v>0</v>
      </c>
      <c r="F364" s="1207" t="e">
        <f>VLOOKUP(C364,'8-3.노무산출'!$C$43:$K$257,7,FALSE)</f>
        <v>#N/A</v>
      </c>
      <c r="G364" s="1207"/>
      <c r="H364" s="248" t="e">
        <f>VLOOKUP(C364,'8-3.노무산출'!$C$43:$K$257,9,0)</f>
        <v>#N/A</v>
      </c>
      <c r="J364" s="533"/>
      <c r="K364" s="456"/>
      <c r="L364" s="393"/>
      <c r="M364" s="394"/>
      <c r="N364" s="394"/>
      <c r="O364" s="483"/>
      <c r="P364" s="393"/>
      <c r="Q364" s="312"/>
    </row>
    <row r="365" spans="1:21" s="34" customFormat="1" ht="24.95" hidden="1" customHeight="1">
      <c r="A365" s="533"/>
      <c r="B365" s="456" t="e">
        <f>'8-3.노무산출'!B67</f>
        <v>#N/A</v>
      </c>
      <c r="C365" s="456" t="e">
        <f>'8-3.노무산출'!C67</f>
        <v>#N/A</v>
      </c>
      <c r="D365" s="457" t="e">
        <f>'8-3.노무산출'!D67</f>
        <v>#N/A</v>
      </c>
      <c r="E365" s="394">
        <f>'8-3.노무산출'!H67</f>
        <v>0</v>
      </c>
      <c r="F365" s="1207" t="e">
        <f>VLOOKUP(C365,'8-3.노무산출'!$C$43:$K$257,7,FALSE)</f>
        <v>#N/A</v>
      </c>
      <c r="G365" s="1207"/>
      <c r="H365" s="248" t="e">
        <f>VLOOKUP(C365,'8-3.노무산출'!$C$43:$K$257,9,0)</f>
        <v>#N/A</v>
      </c>
      <c r="J365" s="533"/>
      <c r="K365" s="456"/>
      <c r="L365" s="393"/>
      <c r="M365" s="394"/>
      <c r="N365" s="394"/>
      <c r="O365" s="483"/>
      <c r="P365" s="393"/>
      <c r="Q365" s="312"/>
    </row>
    <row r="366" spans="1:21" s="34" customFormat="1" ht="24.95" hidden="1" customHeight="1">
      <c r="A366" s="533"/>
      <c r="B366" s="456" t="e">
        <f>'8-3.노무산출'!B68</f>
        <v>#N/A</v>
      </c>
      <c r="C366" s="456" t="e">
        <f>'8-3.노무산출'!C68</f>
        <v>#N/A</v>
      </c>
      <c r="D366" s="457" t="e">
        <f>'8-3.노무산출'!D68</f>
        <v>#N/A</v>
      </c>
      <c r="E366" s="394">
        <f>'8-3.노무산출'!H68</f>
        <v>0</v>
      </c>
      <c r="F366" s="1207" t="e">
        <f>VLOOKUP(C366,'8-3.노무산출'!$C$43:$K$257,7,FALSE)</f>
        <v>#N/A</v>
      </c>
      <c r="G366" s="1207"/>
      <c r="H366" s="248" t="e">
        <f>VLOOKUP(C366,'8-3.노무산출'!$C$43:$K$257,9,0)</f>
        <v>#N/A</v>
      </c>
      <c r="J366" s="533"/>
      <c r="K366" s="456"/>
      <c r="L366" s="393"/>
      <c r="M366" s="394"/>
      <c r="N366" s="394"/>
      <c r="O366" s="483"/>
      <c r="P366" s="393"/>
      <c r="Q366" s="312"/>
    </row>
    <row r="367" spans="1:21" s="34" customFormat="1" ht="24.95" customHeight="1">
      <c r="A367" s="533"/>
      <c r="B367" s="456" t="str">
        <f>'8-3.노무산출'!B69</f>
        <v>UTP케이블 포설</v>
      </c>
      <c r="C367" s="456" t="str">
        <f>'8-3.노무산출'!C69</f>
        <v>CAT.5 4Pr, 2열</v>
      </c>
      <c r="D367" s="457" t="str">
        <f>'8-3.노무산출'!D69</f>
        <v>m</v>
      </c>
      <c r="E367" s="394">
        <f>'8-3.노무산출'!H69</f>
        <v>41</v>
      </c>
      <c r="F367" s="1207">
        <f>VLOOKUP(C367,'8-3.노무산출'!$C$43:$K$257,7,FALSE)</f>
        <v>10444</v>
      </c>
      <c r="G367" s="1207">
        <f t="shared" ref="G367:G382" si="122">INT(E367*F367)</f>
        <v>428204</v>
      </c>
      <c r="H367" s="248" t="str">
        <f>VLOOKUP(C367,'8-3.노무산출'!$C$43:$K$257,9,0)</f>
        <v>품1-8.</v>
      </c>
      <c r="J367" s="533"/>
      <c r="K367" s="456"/>
      <c r="L367" s="393"/>
      <c r="M367" s="394"/>
      <c r="N367" s="394"/>
      <c r="O367" s="483"/>
      <c r="P367" s="393"/>
      <c r="Q367" s="312"/>
    </row>
    <row r="368" spans="1:21" s="34" customFormat="1" ht="24.95" hidden="1" customHeight="1">
      <c r="A368" s="533"/>
      <c r="B368" s="456" t="e">
        <f>'8-3.노무산출'!B70</f>
        <v>#N/A</v>
      </c>
      <c r="C368" s="456" t="e">
        <f>'8-3.노무산출'!C70</f>
        <v>#N/A</v>
      </c>
      <c r="D368" s="457" t="e">
        <f>'8-3.노무산출'!D70</f>
        <v>#N/A</v>
      </c>
      <c r="E368" s="394">
        <f>'8-3.노무산출'!H70</f>
        <v>0</v>
      </c>
      <c r="F368" s="1207" t="e">
        <f>VLOOKUP(C368,'8-3.노무산출'!$C$43:$K$257,7,FALSE)</f>
        <v>#N/A</v>
      </c>
      <c r="G368" s="1207"/>
      <c r="H368" s="248" t="e">
        <f>VLOOKUP(C368,'8-3.노무산출'!$C$43:$K$257,9,0)</f>
        <v>#N/A</v>
      </c>
      <c r="J368" s="533"/>
      <c r="K368" s="456"/>
      <c r="L368" s="393"/>
      <c r="M368" s="394"/>
      <c r="N368" s="394"/>
      <c r="O368" s="483"/>
      <c r="P368" s="393"/>
      <c r="Q368" s="312"/>
    </row>
    <row r="369" spans="1:17" s="34" customFormat="1" ht="24.95" hidden="1" customHeight="1">
      <c r="A369" s="533"/>
      <c r="B369" s="456" t="e">
        <f>'8-3.노무산출'!B71</f>
        <v>#N/A</v>
      </c>
      <c r="C369" s="456" t="e">
        <f>'8-3.노무산출'!C71</f>
        <v>#N/A</v>
      </c>
      <c r="D369" s="457" t="e">
        <f>'8-3.노무산출'!D71</f>
        <v>#N/A</v>
      </c>
      <c r="E369" s="394">
        <f>'8-3.노무산출'!H71</f>
        <v>0</v>
      </c>
      <c r="F369" s="1207" t="e">
        <f>VLOOKUP(C369,'8-3.노무산출'!$C$43:$K$257,7,FALSE)</f>
        <v>#N/A</v>
      </c>
      <c r="G369" s="1207"/>
      <c r="H369" s="248" t="e">
        <f>VLOOKUP(C369,'8-3.노무산출'!$C$43:$K$257,9,0)</f>
        <v>#N/A</v>
      </c>
      <c r="J369" s="533"/>
      <c r="K369" s="456"/>
      <c r="L369" s="393"/>
      <c r="M369" s="394"/>
      <c r="N369" s="394"/>
      <c r="O369" s="483"/>
      <c r="P369" s="393"/>
      <c r="Q369" s="312"/>
    </row>
    <row r="370" spans="1:17" s="34" customFormat="1" ht="24.95" customHeight="1">
      <c r="A370" s="533"/>
      <c r="B370" s="456" t="str">
        <f>'8-3.노무산출'!B72</f>
        <v>후렉시블전선관 시설</v>
      </c>
      <c r="C370" s="456" t="str">
        <f>'8-3.노무산출'!C72</f>
        <v>금속가요전선관 22㎜</v>
      </c>
      <c r="D370" s="457" t="str">
        <f>'8-3.노무산출'!D72</f>
        <v>m</v>
      </c>
      <c r="E370" s="394">
        <f>'8-3.노무산출'!H72</f>
        <v>44</v>
      </c>
      <c r="F370" s="1207">
        <f>VLOOKUP(C370,'8-3.노무산출'!$C$43:$K$257,7,FALSE)</f>
        <v>19087</v>
      </c>
      <c r="G370" s="1207">
        <f t="shared" si="122"/>
        <v>839828</v>
      </c>
      <c r="H370" s="248" t="str">
        <f>VLOOKUP(C370,'8-3.노무산출'!$C$43:$K$257,9,0)</f>
        <v>품1-9.</v>
      </c>
      <c r="J370" s="533"/>
      <c r="K370" s="456"/>
      <c r="L370" s="393"/>
      <c r="M370" s="394"/>
      <c r="N370" s="394"/>
      <c r="O370" s="483"/>
      <c r="P370" s="393"/>
      <c r="Q370" s="312"/>
    </row>
    <row r="371" spans="1:17" s="34" customFormat="1" ht="24.95" customHeight="1">
      <c r="A371" s="533"/>
      <c r="B371" s="456" t="str">
        <f>'8-3.노무산출'!B73</f>
        <v>후렉시블전선관 시설</v>
      </c>
      <c r="C371" s="456" t="str">
        <f>'8-3.노무산출'!C73</f>
        <v>금속가요전선관 16㎜</v>
      </c>
      <c r="D371" s="457" t="str">
        <f>'8-3.노무산출'!D73</f>
        <v>m</v>
      </c>
      <c r="E371" s="394">
        <f>'8-3.노무산출'!H73</f>
        <v>68</v>
      </c>
      <c r="F371" s="1207">
        <f>VLOOKUP(C371,'8-3.노무산출'!$C$43:$K$257,7,FALSE)</f>
        <v>14234</v>
      </c>
      <c r="G371" s="1207">
        <f t="shared" si="122"/>
        <v>967912</v>
      </c>
      <c r="H371" s="248" t="str">
        <f>VLOOKUP(C371,'8-3.노무산출'!$C$43:$K$257,9,0)</f>
        <v>품1-10.</v>
      </c>
      <c r="J371" s="533"/>
      <c r="K371" s="456"/>
      <c r="L371" s="393"/>
      <c r="M371" s="394"/>
      <c r="N371" s="394"/>
      <c r="O371" s="483"/>
      <c r="P371" s="393"/>
      <c r="Q371" s="312"/>
    </row>
    <row r="372" spans="1:17" s="34" customFormat="1" ht="24.95" customHeight="1">
      <c r="A372" s="533"/>
      <c r="B372" s="456" t="str">
        <f>'8-3.노무산출'!B74</f>
        <v>접지선 포설</v>
      </c>
      <c r="C372" s="456" t="str">
        <f>'8-3.노무산출'!C74</f>
        <v>10㎟ 이하</v>
      </c>
      <c r="D372" s="457" t="str">
        <f>'8-3.노무산출'!D74</f>
        <v>m</v>
      </c>
      <c r="E372" s="394">
        <f>'8-3.노무산출'!H74</f>
        <v>15</v>
      </c>
      <c r="F372" s="1207">
        <f>VLOOKUP(C372,'8-3.노무산출'!$C$43:$K$257,7,FALSE)</f>
        <v>3732</v>
      </c>
      <c r="G372" s="1207">
        <f t="shared" si="122"/>
        <v>55980</v>
      </c>
      <c r="H372" s="248" t="str">
        <f>VLOOKUP(C372,'8-3.노무산출'!$C$43:$K$257,9,0)</f>
        <v>품1-11.</v>
      </c>
      <c r="J372" s="533"/>
      <c r="K372" s="456"/>
      <c r="L372" s="393"/>
      <c r="M372" s="394"/>
      <c r="N372" s="394"/>
      <c r="O372" s="483"/>
      <c r="P372" s="393"/>
      <c r="Q372" s="312"/>
    </row>
    <row r="373" spans="1:17" s="34" customFormat="1" ht="24.95" customHeight="1">
      <c r="A373" s="533"/>
      <c r="B373" s="456" t="str">
        <f>'8-3.노무산출'!B75</f>
        <v>접지선 접속</v>
      </c>
      <c r="C373" s="456" t="str">
        <f>'8-3.노무산출'!C75</f>
        <v>압착단자</v>
      </c>
      <c r="D373" s="457" t="str">
        <f>'8-3.노무산출'!D75</f>
        <v>개</v>
      </c>
      <c r="E373" s="394">
        <f>'8-3.노무산출'!H75</f>
        <v>5</v>
      </c>
      <c r="F373" s="1207">
        <f>VLOOKUP(C373,'8-3.노무산출'!$C$43:$K$257,7,FALSE)</f>
        <v>7465</v>
      </c>
      <c r="G373" s="1207">
        <f t="shared" si="122"/>
        <v>37325</v>
      </c>
      <c r="H373" s="248" t="str">
        <f>VLOOKUP(C373,'8-3.노무산출'!$C$43:$K$257,9,0)</f>
        <v>품1-12.</v>
      </c>
      <c r="J373" s="533"/>
      <c r="K373" s="456"/>
      <c r="L373" s="393"/>
      <c r="M373" s="394"/>
      <c r="N373" s="394"/>
      <c r="O373" s="483"/>
      <c r="P373" s="393"/>
      <c r="Q373" s="312"/>
    </row>
    <row r="374" spans="1:17" s="34" customFormat="1" ht="24.95" customHeight="1">
      <c r="A374" s="533"/>
      <c r="B374" s="456" t="str">
        <f>'8-3.노무산출'!B76</f>
        <v>케이블 심선성단 및 수용</v>
      </c>
      <c r="C374" s="456" t="str">
        <f>'8-3.노무산출'!C76</f>
        <v>케이블 심선성단 및 수용</v>
      </c>
      <c r="D374" s="457" t="str">
        <f>'8-3.노무산출'!D76</f>
        <v>단자</v>
      </c>
      <c r="E374" s="394">
        <f>'8-3.노무산출'!H76</f>
        <v>168</v>
      </c>
      <c r="F374" s="1207">
        <f>VLOOKUP(C374,'8-3.노무산출'!$C$43:$K$257,7,FALSE)</f>
        <v>1254</v>
      </c>
      <c r="G374" s="1207">
        <f t="shared" si="122"/>
        <v>210672</v>
      </c>
      <c r="H374" s="248" t="str">
        <f>VLOOKUP(C374,'8-3.노무산출'!$C$43:$K$257,9,0)</f>
        <v>품1-13.</v>
      </c>
      <c r="J374" s="533"/>
      <c r="K374" s="456"/>
      <c r="L374" s="393"/>
      <c r="M374" s="394"/>
      <c r="N374" s="394"/>
      <c r="O374" s="483"/>
      <c r="P374" s="393"/>
      <c r="Q374" s="312"/>
    </row>
    <row r="375" spans="1:17" s="34" customFormat="1" ht="24.95" hidden="1" customHeight="1">
      <c r="A375" s="533"/>
      <c r="B375" s="456" t="str">
        <f>'8-3.노무산출'!B77</f>
        <v>PtoP(120단자) : QDF(IDF) [2단자*12T]*2(Tx,Rx)=48, VDF [6단자*4CH]*2(in,out)=48, MDF [6단자*4CH]=24</v>
      </c>
      <c r="C375" s="456">
        <f>'8-3.노무산출'!C77</f>
        <v>0</v>
      </c>
      <c r="D375" s="457">
        <f>'8-3.노무산출'!D77</f>
        <v>0</v>
      </c>
      <c r="E375" s="394">
        <f>'8-3.노무산출'!H77</f>
        <v>0</v>
      </c>
      <c r="F375" s="1207">
        <f>VLOOKUP(C375,'8-3.노무산출'!$C$43:$K$257,7,FALSE)</f>
        <v>278486</v>
      </c>
      <c r="G375" s="1207">
        <f t="shared" si="122"/>
        <v>0</v>
      </c>
      <c r="H375" s="248" t="str">
        <f>VLOOKUP(C375,'8-3.노무산출'!$C$43:$K$257,9,0)</f>
        <v>품5-18</v>
      </c>
      <c r="J375" s="533"/>
      <c r="K375" s="456"/>
      <c r="L375" s="393"/>
      <c r="M375" s="394"/>
      <c r="N375" s="394"/>
      <c r="O375" s="483"/>
      <c r="P375" s="393"/>
      <c r="Q375" s="312"/>
    </row>
    <row r="376" spans="1:17" s="34" customFormat="1" ht="24.95" hidden="1" customHeight="1">
      <c r="A376" s="533"/>
      <c r="B376" s="456" t="str">
        <f>'8-3.노무산출'!B78</f>
        <v>HSR PtoP(48단자) : QDF(IDF) [2단자*12T]*2(Tx,Rx)=48,     C-MUX(432단자) : VDF [6단자*24CH]*2(in,out)=288, MDF [6단자*24CH]=144</v>
      </c>
      <c r="C376" s="456">
        <f>'8-3.노무산출'!C78</f>
        <v>0</v>
      </c>
      <c r="D376" s="457">
        <f>'8-3.노무산출'!D78</f>
        <v>0</v>
      </c>
      <c r="E376" s="394">
        <f>'8-3.노무산출'!H78</f>
        <v>0</v>
      </c>
      <c r="F376" s="1207">
        <f>VLOOKUP(C376,'8-3.노무산출'!$C$43:$K$257,7,FALSE)</f>
        <v>278486</v>
      </c>
      <c r="G376" s="1207">
        <f t="shared" si="122"/>
        <v>0</v>
      </c>
      <c r="H376" s="248" t="str">
        <f>VLOOKUP(C376,'8-3.노무산출'!$C$43:$K$257,9,0)</f>
        <v>품5-18</v>
      </c>
      <c r="J376" s="533"/>
      <c r="K376" s="456"/>
      <c r="L376" s="393"/>
      <c r="M376" s="394"/>
      <c r="N376" s="394"/>
      <c r="O376" s="483"/>
      <c r="P376" s="393"/>
      <c r="Q376" s="312"/>
    </row>
    <row r="377" spans="1:17" s="34" customFormat="1" ht="24.95" hidden="1" customHeight="1">
      <c r="A377" s="533"/>
      <c r="B377" s="456" t="str">
        <f>'8-3.노무산출'!B79</f>
        <v>LIU(48단자) : QDF(IDF) [2단자*12T]*2(Tx,Rx)=48,              LIU-DS(80단자) : QDF(IDF) [2단자*20T]*2(Tx,Rx)=80</v>
      </c>
      <c r="C377" s="456">
        <f>'8-3.노무산출'!C79</f>
        <v>0</v>
      </c>
      <c r="D377" s="457">
        <f>'8-3.노무산출'!D79</f>
        <v>0</v>
      </c>
      <c r="E377" s="394">
        <f>'8-3.노무산출'!H79</f>
        <v>0</v>
      </c>
      <c r="F377" s="1207">
        <f>VLOOKUP(C377,'8-3.노무산출'!$C$43:$K$257,7,FALSE)</f>
        <v>278486</v>
      </c>
      <c r="G377" s="1207">
        <f t="shared" si="122"/>
        <v>0</v>
      </c>
      <c r="H377" s="248" t="str">
        <f>VLOOKUP(C377,'8-3.노무산출'!$C$43:$K$257,9,0)</f>
        <v>품5-18</v>
      </c>
      <c r="J377" s="533"/>
      <c r="K377" s="456"/>
      <c r="L377" s="393"/>
      <c r="M377" s="394"/>
      <c r="N377" s="394"/>
      <c r="O377" s="483"/>
      <c r="P377" s="393"/>
      <c r="Q377" s="312"/>
    </row>
    <row r="378" spans="1:17" s="34" customFormat="1" ht="24.95" customHeight="1">
      <c r="A378" s="533"/>
      <c r="B378" s="456" t="str">
        <f>'8-3.노무산출'!B80</f>
        <v>케이블 도통점검</v>
      </c>
      <c r="C378" s="456" t="str">
        <f>'8-3.노무산출'!C80</f>
        <v>케이블 도통점검</v>
      </c>
      <c r="D378" s="457" t="str">
        <f>'8-3.노무산출'!D80</f>
        <v>단자</v>
      </c>
      <c r="E378" s="394">
        <f>'8-3.노무산출'!H80</f>
        <v>84</v>
      </c>
      <c r="F378" s="1207">
        <f>VLOOKUP(C378,'8-3.노무산출'!$C$43:$K$257,7,FALSE)</f>
        <v>1005</v>
      </c>
      <c r="G378" s="1207">
        <f t="shared" si="122"/>
        <v>84420</v>
      </c>
      <c r="H378" s="248" t="str">
        <f>VLOOKUP(C378,'8-3.노무산출'!$C$43:$K$257,9,0)</f>
        <v>품1-14.</v>
      </c>
      <c r="J378" s="533"/>
      <c r="K378" s="456"/>
      <c r="L378" s="393"/>
      <c r="M378" s="394"/>
      <c r="N378" s="394"/>
      <c r="O378" s="483"/>
      <c r="P378" s="393"/>
      <c r="Q378" s="312"/>
    </row>
    <row r="379" spans="1:17" s="34" customFormat="1" ht="24.95" hidden="1" customHeight="1">
      <c r="A379" s="533"/>
      <c r="B379" s="456" t="str">
        <f>'8-3.노무산출'!B81</f>
        <v>PtoP(48P) : QDF(IDF) [12T]*2(Tx,Rx)=24, VDF [3P*4CH]=12, MDF [3P*4CH]=12</v>
      </c>
      <c r="C379" s="456">
        <f>'8-3.노무산출'!C81</f>
        <v>0</v>
      </c>
      <c r="D379" s="457">
        <f>'8-3.노무산출'!D81</f>
        <v>0</v>
      </c>
      <c r="E379" s="394">
        <f>'8-3.노무산출'!H81</f>
        <v>0</v>
      </c>
      <c r="F379" s="1207">
        <f>VLOOKUP(C379,'8-3.노무산출'!$C$43:$K$257,7,FALSE)</f>
        <v>278486</v>
      </c>
      <c r="G379" s="1207">
        <f t="shared" si="122"/>
        <v>0</v>
      </c>
      <c r="H379" s="248" t="str">
        <f>VLOOKUP(C379,'8-3.노무산출'!$C$43:$K$257,9,0)</f>
        <v>품5-18</v>
      </c>
      <c r="J379" s="533"/>
      <c r="K379" s="456"/>
      <c r="L379" s="393"/>
      <c r="M379" s="394"/>
      <c r="N379" s="394"/>
      <c r="O379" s="483"/>
      <c r="P379" s="393"/>
      <c r="Q379" s="312"/>
    </row>
    <row r="380" spans="1:17" s="34" customFormat="1" ht="24.95" hidden="1" customHeight="1">
      <c r="A380" s="533"/>
      <c r="B380" s="456" t="str">
        <f>'8-3.노무산출'!B82</f>
        <v>HSR PtoP(24P) : QDF(IDF) [12T]*2(Tx,Rx)=24,   C-MUX(144P) : VDF [3P*24CH]=72, MDF [3P*24CH]=72</v>
      </c>
      <c r="C380" s="456">
        <f>'8-3.노무산출'!C82</f>
        <v>0</v>
      </c>
      <c r="D380" s="457">
        <f>'8-3.노무산출'!D82</f>
        <v>0</v>
      </c>
      <c r="E380" s="394">
        <f>'8-3.노무산출'!H82</f>
        <v>0</v>
      </c>
      <c r="F380" s="1207">
        <f>VLOOKUP(C380,'8-3.노무산출'!$C$43:$K$257,7,FALSE)</f>
        <v>278486</v>
      </c>
      <c r="G380" s="1207">
        <f t="shared" si="122"/>
        <v>0</v>
      </c>
      <c r="H380" s="248" t="str">
        <f>VLOOKUP(C380,'8-3.노무산출'!$C$43:$K$257,9,0)</f>
        <v>품5-18</v>
      </c>
      <c r="J380" s="533"/>
      <c r="K380" s="456"/>
      <c r="L380" s="393"/>
      <c r="M380" s="394"/>
      <c r="N380" s="394"/>
      <c r="O380" s="483"/>
      <c r="P380" s="393"/>
      <c r="Q380" s="312"/>
    </row>
    <row r="381" spans="1:17" s="34" customFormat="1" ht="24.95" hidden="1" customHeight="1">
      <c r="A381" s="533"/>
      <c r="B381" s="456" t="str">
        <f>'8-3.노무산출'!B83</f>
        <v>LIU(24P) : QDF(IDF) [12T]*2(Tx,Rx)=24,            LIU-DS(40P) : QDF(IDF) [20T]*2(Tx,Rx)=40</v>
      </c>
      <c r="C381" s="456">
        <f>'8-3.노무산출'!C83</f>
        <v>0</v>
      </c>
      <c r="D381" s="457">
        <f>'8-3.노무산출'!D83</f>
        <v>0</v>
      </c>
      <c r="E381" s="394">
        <f>'8-3.노무산출'!H83</f>
        <v>0</v>
      </c>
      <c r="F381" s="1207">
        <f>VLOOKUP(C381,'8-3.노무산출'!$C$43:$K$257,7,FALSE)</f>
        <v>278486</v>
      </c>
      <c r="G381" s="1207">
        <f t="shared" si="122"/>
        <v>0</v>
      </c>
      <c r="H381" s="248" t="str">
        <f>VLOOKUP(C381,'8-3.노무산출'!$C$43:$K$257,9,0)</f>
        <v>품5-18</v>
      </c>
      <c r="J381" s="533"/>
      <c r="K381" s="456"/>
      <c r="L381" s="393"/>
      <c r="M381" s="394"/>
      <c r="N381" s="394"/>
      <c r="O381" s="483"/>
      <c r="P381" s="393"/>
      <c r="Q381" s="312"/>
    </row>
    <row r="382" spans="1:17" s="34" customFormat="1" ht="24.95" hidden="1" customHeight="1">
      <c r="A382" s="533"/>
      <c r="B382" s="456" t="str">
        <f>'8-3.노무산출'!B84</f>
        <v>단자블럭 설치</v>
      </c>
      <c r="C382" s="456" t="str">
        <f>'8-3.노무산출'!C84</f>
        <v>블럭단자, QDF 10P</v>
      </c>
      <c r="D382" s="457" t="str">
        <f>'8-3.노무산출'!D84</f>
        <v>개</v>
      </c>
      <c r="E382" s="394">
        <f>'8-3.노무산출'!H84</f>
        <v>0</v>
      </c>
      <c r="F382" s="1207">
        <f>VLOOKUP(C382,'8-3.노무산출'!$C$43:$K$257,7,FALSE)</f>
        <v>11618</v>
      </c>
      <c r="G382" s="1207">
        <f t="shared" si="122"/>
        <v>0</v>
      </c>
      <c r="H382" s="248" t="str">
        <f>VLOOKUP(C382,'8-3.노무산출'!$C$43:$K$257,9,0)</f>
        <v>품1-31.</v>
      </c>
      <c r="J382" s="533"/>
      <c r="K382" s="456"/>
      <c r="L382" s="393"/>
      <c r="M382" s="394"/>
      <c r="N382" s="394"/>
      <c r="O382" s="483"/>
      <c r="P382" s="393"/>
      <c r="Q382" s="312"/>
    </row>
    <row r="383" spans="1:17" s="34" customFormat="1" ht="24.75" hidden="1" customHeight="1">
      <c r="A383" s="533"/>
      <c r="B383" s="456" t="str">
        <f>'8-3.노무산출'!B85</f>
        <v>콘센트 설치</v>
      </c>
      <c r="C383" s="456" t="str">
        <f>'8-3.노무산출'!C85</f>
        <v>노출 접지 2구</v>
      </c>
      <c r="D383" s="457" t="str">
        <f>'8-3.노무산출'!D85</f>
        <v>개</v>
      </c>
      <c r="E383" s="394">
        <f>'8-3.노무산출'!H85</f>
        <v>0</v>
      </c>
      <c r="F383" s="1207">
        <f>VLOOKUP(C383,'8-3.노무산출'!$C$43:$K$257,7,FALSE)</f>
        <v>23042</v>
      </c>
      <c r="G383" s="1207">
        <f t="shared" ref="G383:G391" si="123">INT(E383*F383)</f>
        <v>0</v>
      </c>
      <c r="H383" s="248" t="str">
        <f>VLOOKUP(C383,'8-3.노무산출'!$C$43:$K$257,9,0)</f>
        <v>품1-33.</v>
      </c>
      <c r="J383" s="533"/>
      <c r="K383" s="456"/>
      <c r="L383" s="393"/>
      <c r="M383" s="394"/>
      <c r="N383" s="394"/>
      <c r="O383" s="483"/>
      <c r="P383" s="393"/>
      <c r="Q383" s="312"/>
    </row>
    <row r="384" spans="1:17" s="34" customFormat="1" ht="24.95" hidden="1" customHeight="1">
      <c r="A384" s="533"/>
      <c r="B384" s="456" t="str">
        <f>'8-3.노무산출'!B86</f>
        <v>동축 케이블 포설</v>
      </c>
      <c r="C384" s="456" t="str">
        <f>'8-3.노무산출'!C86</f>
        <v>RG 58</v>
      </c>
      <c r="D384" s="457" t="str">
        <f>'8-3.노무산출'!D86</f>
        <v>m</v>
      </c>
      <c r="E384" s="394">
        <f>'8-3.노무산출'!H86</f>
        <v>0</v>
      </c>
      <c r="F384" s="1207">
        <f>VLOOKUP(C384,'8-3.노무산출'!$C$43:$K$257,8,FALSE)</f>
        <v>0</v>
      </c>
      <c r="G384" s="1207">
        <f t="shared" si="123"/>
        <v>0</v>
      </c>
      <c r="H384" s="248" t="e">
        <f>VLOOKUP(C384,'8-3.노무산출'!$C$43:$K$257,10,FALSE)</f>
        <v>#REF!</v>
      </c>
      <c r="J384" s="533"/>
      <c r="K384" s="456"/>
      <c r="L384" s="393"/>
      <c r="M384" s="394"/>
      <c r="N384" s="394"/>
      <c r="O384" s="483"/>
      <c r="P384" s="393"/>
      <c r="Q384" s="312"/>
    </row>
    <row r="385" spans="1:21" s="34" customFormat="1" ht="24.95" hidden="1" customHeight="1">
      <c r="A385" s="533"/>
      <c r="B385" s="456" t="str">
        <f>'8-3.노무산출'!B87</f>
        <v>광케이블 포설</v>
      </c>
      <c r="C385" s="456" t="str">
        <f>'8-3.노무산출'!C87</f>
        <v>인력견인포설(관로,구내),주간</v>
      </c>
      <c r="D385" s="457" t="str">
        <f>'8-3.노무산출'!D87</f>
        <v>m</v>
      </c>
      <c r="E385" s="394">
        <f>'8-3.노무산출'!H87</f>
        <v>0</v>
      </c>
      <c r="F385" s="1207">
        <f>VLOOKUP(C385,'8-3.노무산출'!$C$43:$K$257,8,FALSE)</f>
        <v>0</v>
      </c>
      <c r="G385" s="1207">
        <f t="shared" si="123"/>
        <v>0</v>
      </c>
      <c r="H385" s="248" t="e">
        <f>VLOOKUP(C385,'8-3.노무산출'!$C$43:$K$257,10,FALSE)</f>
        <v>#REF!</v>
      </c>
      <c r="J385" s="533"/>
      <c r="K385" s="456"/>
      <c r="L385" s="393"/>
      <c r="M385" s="394"/>
      <c r="N385" s="394"/>
      <c r="O385" s="483"/>
      <c r="P385" s="393"/>
      <c r="Q385" s="312"/>
    </row>
    <row r="386" spans="1:21" s="34" customFormat="1" ht="24.95" hidden="1" customHeight="1">
      <c r="A386" s="533"/>
      <c r="B386" s="456" t="str">
        <f>'8-3.노무산출'!B88</f>
        <v>광케이블 포설</v>
      </c>
      <c r="C386" s="456" t="str">
        <f>'8-3.노무산출'!C88</f>
        <v>인력견인포설(관로,구내),야간</v>
      </c>
      <c r="D386" s="457" t="str">
        <f>'8-3.노무산출'!D88</f>
        <v>m</v>
      </c>
      <c r="E386" s="394">
        <f>'8-3.노무산출'!H88</f>
        <v>0</v>
      </c>
      <c r="F386" s="1207">
        <f>VLOOKUP(C386,'8-3.노무산출'!$C$43:$K$257,8,FALSE)</f>
        <v>0</v>
      </c>
      <c r="G386" s="1207">
        <f t="shared" si="123"/>
        <v>0</v>
      </c>
      <c r="H386" s="248" t="e">
        <f>VLOOKUP(C386,'8-3.노무산출'!$C$43:$K$257,10,FALSE)</f>
        <v>#REF!</v>
      </c>
      <c r="J386" s="533"/>
      <c r="K386" s="456"/>
      <c r="L386" s="393"/>
      <c r="M386" s="394"/>
      <c r="N386" s="394"/>
      <c r="O386" s="483"/>
      <c r="P386" s="393"/>
      <c r="Q386" s="312"/>
    </row>
    <row r="387" spans="1:21" s="34" customFormat="1" ht="24.95" hidden="1" customHeight="1">
      <c r="A387" s="533"/>
      <c r="B387" s="456" t="str">
        <f>'8-3.노무산출'!B89</f>
        <v>광케이블 국내성단</v>
      </c>
      <c r="C387" s="456" t="str">
        <f>'8-3.노무산출'!C89</f>
        <v>13-71코아</v>
      </c>
      <c r="D387" s="457" t="str">
        <f>'8-3.노무산출'!D89</f>
        <v>코아</v>
      </c>
      <c r="E387" s="394">
        <f>'8-3.노무산출'!H89</f>
        <v>0</v>
      </c>
      <c r="F387" s="1207">
        <f>VLOOKUP(C387,'8-3.노무산출'!$C$43:$K$257,8,FALSE)</f>
        <v>0</v>
      </c>
      <c r="G387" s="1207">
        <f t="shared" si="123"/>
        <v>0</v>
      </c>
      <c r="H387" s="248" t="e">
        <f>VLOOKUP(C387,'8-3.노무산출'!$C$43:$K$257,10,FALSE)</f>
        <v>#REF!</v>
      </c>
      <c r="J387" s="533"/>
      <c r="K387" s="456"/>
      <c r="L387" s="393"/>
      <c r="M387" s="394"/>
      <c r="N387" s="394"/>
      <c r="O387" s="483"/>
      <c r="P387" s="393"/>
      <c r="Q387" s="312"/>
    </row>
    <row r="388" spans="1:21" s="34" customFormat="1" ht="24.95" hidden="1" customHeight="1">
      <c r="A388" s="533"/>
      <c r="B388" s="456" t="str">
        <f>'8-3.노무산출'!B90</f>
        <v>광케이블 측정 및 시험</v>
      </c>
      <c r="C388" s="456" t="str">
        <f>'8-3.노무산출'!C90</f>
        <v>최종시험</v>
      </c>
      <c r="D388" s="457" t="str">
        <f>'8-3.노무산출'!D90</f>
        <v>코아</v>
      </c>
      <c r="E388" s="394">
        <f>'8-3.노무산출'!H90</f>
        <v>0</v>
      </c>
      <c r="F388" s="1207">
        <f>VLOOKUP(C388,'8-3.노무산출'!$C$43:$K$257,8,FALSE)</f>
        <v>0</v>
      </c>
      <c r="G388" s="1207">
        <f t="shared" si="123"/>
        <v>0</v>
      </c>
      <c r="H388" s="248" t="e">
        <f>VLOOKUP(C388,'8-3.노무산출'!$C$43:$K$257,10,FALSE)</f>
        <v>#REF!</v>
      </c>
      <c r="J388" s="533"/>
      <c r="K388" s="456"/>
      <c r="L388" s="393"/>
      <c r="M388" s="394"/>
      <c r="N388" s="394"/>
      <c r="O388" s="483"/>
      <c r="P388" s="393"/>
      <c r="Q388" s="312"/>
    </row>
    <row r="389" spans="1:21" s="34" customFormat="1" ht="24.95" hidden="1" customHeight="1">
      <c r="A389" s="533"/>
      <c r="B389" s="456" t="str">
        <f>'8-3.노무산출'!B91</f>
        <v>OFD셀프 설치</v>
      </c>
      <c r="C389" s="456" t="str">
        <f>'8-3.노무산출'!C91</f>
        <v>OFD셀프 설치</v>
      </c>
      <c r="D389" s="457" t="str">
        <f>'8-3.노무산출'!D91</f>
        <v>개소</v>
      </c>
      <c r="E389" s="394">
        <f>'8-3.노무산출'!H91</f>
        <v>0</v>
      </c>
      <c r="F389" s="1207">
        <f>VLOOKUP(C389,'8-3.노무산출'!$C$43:$K$257,8,FALSE)</f>
        <v>0</v>
      </c>
      <c r="G389" s="1207">
        <f t="shared" si="123"/>
        <v>0</v>
      </c>
      <c r="H389" s="248" t="e">
        <f>VLOOKUP(C389,'8-3.노무산출'!$C$43:$K$257,10,FALSE)</f>
        <v>#REF!</v>
      </c>
      <c r="J389" s="533"/>
      <c r="K389" s="456"/>
      <c r="L389" s="393"/>
      <c r="M389" s="394"/>
      <c r="N389" s="394"/>
      <c r="O389" s="483"/>
      <c r="P389" s="393"/>
      <c r="Q389" s="312"/>
    </row>
    <row r="390" spans="1:21" s="34" customFormat="1" ht="24.95" hidden="1" customHeight="1">
      <c r="A390" s="533"/>
      <c r="B390" s="456" t="str">
        <f>'8-3.노무산출'!B92</f>
        <v>케이블 명찰 취부</v>
      </c>
      <c r="C390" s="456" t="str">
        <f>'8-3.노무산출'!C92</f>
        <v>식별표시용,주간</v>
      </c>
      <c r="D390" s="457" t="str">
        <f>'8-3.노무산출'!D92</f>
        <v>개</v>
      </c>
      <c r="E390" s="394">
        <f>'8-3.노무산출'!H92</f>
        <v>0</v>
      </c>
      <c r="F390" s="1207">
        <f>VLOOKUP(C390,'8-3.노무산출'!$C$43:$K$257,8,FALSE)</f>
        <v>0</v>
      </c>
      <c r="G390" s="1207">
        <f t="shared" si="123"/>
        <v>0</v>
      </c>
      <c r="H390" s="248" t="e">
        <f>VLOOKUP(C390,'8-3.노무산출'!$C$43:$K$257,10,FALSE)</f>
        <v>#REF!</v>
      </c>
      <c r="J390" s="533"/>
      <c r="K390" s="456"/>
      <c r="L390" s="393"/>
      <c r="M390" s="394"/>
      <c r="N390" s="394"/>
      <c r="O390" s="483"/>
      <c r="P390" s="393"/>
      <c r="Q390" s="312"/>
    </row>
    <row r="391" spans="1:21" s="34" customFormat="1" ht="24.95" hidden="1" customHeight="1">
      <c r="A391" s="533"/>
      <c r="B391" s="456" t="str">
        <f>'8-3.노무산출'!B93</f>
        <v>케이블 명찰 취부</v>
      </c>
      <c r="C391" s="456" t="str">
        <f>'8-3.노무산출'!C93</f>
        <v>식별표시용,야간</v>
      </c>
      <c r="D391" s="457" t="str">
        <f>'8-3.노무산출'!D93</f>
        <v>개</v>
      </c>
      <c r="E391" s="394">
        <f>'8-3.노무산출'!H93</f>
        <v>0</v>
      </c>
      <c r="F391" s="1207">
        <f>VLOOKUP(C391,'8-3.노무산출'!$C$43:$K$257,8,FALSE)</f>
        <v>0</v>
      </c>
      <c r="G391" s="1207">
        <f t="shared" si="123"/>
        <v>0</v>
      </c>
      <c r="H391" s="248" t="e">
        <f>VLOOKUP(C391,'8-3.노무산출'!$C$43:$K$257,10,FALSE)</f>
        <v>#REF!</v>
      </c>
      <c r="J391" s="533"/>
      <c r="K391" s="456"/>
      <c r="L391" s="393"/>
      <c r="M391" s="394"/>
      <c r="N391" s="394"/>
      <c r="O391" s="483"/>
      <c r="P391" s="393"/>
      <c r="Q391" s="312"/>
    </row>
    <row r="392" spans="1:21" s="34" customFormat="1" ht="24.95" customHeight="1">
      <c r="A392" s="533"/>
      <c r="B392" s="456"/>
      <c r="C392" s="393"/>
      <c r="D392" s="394"/>
      <c r="E392" s="394"/>
      <c r="F392" s="1200"/>
      <c r="G392" s="1200"/>
      <c r="H392" s="311"/>
      <c r="J392" s="533"/>
      <c r="K392" s="456"/>
      <c r="L392" s="393"/>
      <c r="M392" s="394"/>
      <c r="N392" s="394" t="e">
        <f>#REF!+#REF!</f>
        <v>#REF!</v>
      </c>
      <c r="O392" s="458"/>
      <c r="P392" s="393"/>
      <c r="Q392" s="311"/>
      <c r="R392" s="34" t="e">
        <f t="shared" si="107"/>
        <v>#REF!</v>
      </c>
      <c r="S392" s="34">
        <f t="shared" si="108"/>
        <v>0</v>
      </c>
      <c r="T392" s="34" t="e">
        <f>#REF!+#REF!</f>
        <v>#REF!</v>
      </c>
      <c r="U392" s="34" t="e">
        <f t="shared" si="109"/>
        <v>#REF!</v>
      </c>
    </row>
    <row r="393" spans="1:21" s="34" customFormat="1" ht="24.95" customHeight="1">
      <c r="A393" s="532" t="str">
        <f>A176</f>
        <v>2. 전원설비</v>
      </c>
      <c r="B393" s="456"/>
      <c r="C393" s="393"/>
      <c r="D393" s="394"/>
      <c r="E393" s="394"/>
      <c r="F393" s="1200"/>
      <c r="G393" s="1216">
        <f>SUM(G394:G412)</f>
        <v>27254707</v>
      </c>
      <c r="H393" s="311"/>
      <c r="J393" s="536" t="str">
        <f t="shared" ref="J393:J412" si="124">$A393</f>
        <v>2. 전원설비</v>
      </c>
      <c r="K393" s="456"/>
      <c r="L393" s="393"/>
      <c r="M393" s="394"/>
      <c r="N393" s="394" t="e">
        <f>#REF!+#REF!</f>
        <v>#REF!</v>
      </c>
      <c r="O393" s="458"/>
      <c r="P393" s="469" t="e">
        <f>SUM(P394:P412)</f>
        <v>#REF!</v>
      </c>
      <c r="Q393" s="311"/>
      <c r="R393" s="34" t="e">
        <f t="shared" si="107"/>
        <v>#REF!</v>
      </c>
      <c r="S393" s="34" t="e">
        <f t="shared" si="108"/>
        <v>#REF!</v>
      </c>
      <c r="T393" s="34" t="e">
        <f>#REF!+#REF!</f>
        <v>#REF!</v>
      </c>
      <c r="U393" s="34" t="e">
        <f t="shared" si="109"/>
        <v>#REF!</v>
      </c>
    </row>
    <row r="394" spans="1:21" s="34" customFormat="1" ht="24.95" customHeight="1">
      <c r="A394" s="533"/>
      <c r="B394" s="456" t="str">
        <f>'8-3.노무산출'!B96</f>
        <v>UPS 설치</v>
      </c>
      <c r="C394" s="456" t="str">
        <f>'8-3.노무산출'!C96</f>
        <v>15kVA/5kVA</v>
      </c>
      <c r="D394" s="457" t="str">
        <f>'8-3.노무산출'!D96</f>
        <v>대</v>
      </c>
      <c r="E394" s="394">
        <f>'8-3.노무산출'!H96</f>
        <v>2</v>
      </c>
      <c r="F394" s="1207">
        <f>VLOOKUP(C394,'8-3.노무산출'!$C$43:$K$257,7,FALSE)</f>
        <v>252964</v>
      </c>
      <c r="G394" s="1207">
        <f t="shared" ref="G394:G412" si="125">INT(E394*F394)</f>
        <v>505928</v>
      </c>
      <c r="H394" s="248" t="str">
        <f>VLOOKUP(C394,'8-3.노무산출'!$C$43:$K$257,9,FALSE)</f>
        <v>품2-1.</v>
      </c>
      <c r="J394" s="533">
        <f t="shared" si="124"/>
        <v>0</v>
      </c>
      <c r="K394" s="456" t="str">
        <f t="shared" ref="K394:K412" si="126">$B394</f>
        <v>UPS 설치</v>
      </c>
      <c r="L394" s="456" t="str">
        <f t="shared" ref="L394:L412" si="127">$C394</f>
        <v>15kVA/5kVA</v>
      </c>
      <c r="M394" s="430" t="str">
        <f t="shared" ref="M394:M412" si="128">$D394</f>
        <v>대</v>
      </c>
      <c r="N394" s="394" t="e">
        <f>#REF!+#REF!</f>
        <v>#REF!</v>
      </c>
      <c r="O394" s="458">
        <f t="shared" ref="O394:O412" si="129">$F394</f>
        <v>252964</v>
      </c>
      <c r="P394" s="393" t="e">
        <f t="shared" ref="P394:P397" si="130">INT(N394*O394)</f>
        <v>#REF!</v>
      </c>
      <c r="Q394" s="311" t="str">
        <f t="shared" ref="Q394:Q412" si="131">$H394</f>
        <v>품2-1.</v>
      </c>
      <c r="R394" s="34" t="e">
        <f t="shared" si="107"/>
        <v>#REF!</v>
      </c>
      <c r="S394" s="34" t="e">
        <f t="shared" si="108"/>
        <v>#REF!</v>
      </c>
      <c r="T394" s="34" t="e">
        <f>#REF!+#REF!</f>
        <v>#REF!</v>
      </c>
      <c r="U394" s="34" t="e">
        <f t="shared" si="109"/>
        <v>#REF!</v>
      </c>
    </row>
    <row r="395" spans="1:21" s="34" customFormat="1" ht="24.95" customHeight="1">
      <c r="A395" s="533"/>
      <c r="B395" s="456" t="str">
        <f>'8-3.노무산출'!B97</f>
        <v>충전기 설치</v>
      </c>
      <c r="C395" s="456" t="str">
        <f>'8-3.노무산출'!C97</f>
        <v>50A</v>
      </c>
      <c r="D395" s="457" t="str">
        <f>'8-3.노무산출'!D97</f>
        <v>대</v>
      </c>
      <c r="E395" s="394">
        <f>'8-3.노무산출'!H97</f>
        <v>3</v>
      </c>
      <c r="F395" s="1207">
        <f>VLOOKUP(C395,'8-3.노무산출'!$C$43:$K$257,7,FALSE)</f>
        <v>252964</v>
      </c>
      <c r="G395" s="1207">
        <f t="shared" si="125"/>
        <v>758892</v>
      </c>
      <c r="H395" s="248" t="str">
        <f>VLOOKUP(C395,'8-3.노무산출'!$C$43:$K$257,9,FALSE)</f>
        <v>품2-2.</v>
      </c>
      <c r="J395" s="533">
        <f t="shared" si="124"/>
        <v>0</v>
      </c>
      <c r="K395" s="456" t="str">
        <f t="shared" si="126"/>
        <v>충전기 설치</v>
      </c>
      <c r="L395" s="456" t="str">
        <f t="shared" si="127"/>
        <v>50A</v>
      </c>
      <c r="M395" s="430" t="str">
        <f t="shared" si="128"/>
        <v>대</v>
      </c>
      <c r="N395" s="394" t="e">
        <f>#REF!+#REF!</f>
        <v>#REF!</v>
      </c>
      <c r="O395" s="458">
        <f t="shared" si="129"/>
        <v>252964</v>
      </c>
      <c r="P395" s="393" t="e">
        <f t="shared" si="130"/>
        <v>#REF!</v>
      </c>
      <c r="Q395" s="311" t="str">
        <f t="shared" si="131"/>
        <v>품2-2.</v>
      </c>
      <c r="R395" s="34" t="e">
        <f t="shared" si="107"/>
        <v>#REF!</v>
      </c>
      <c r="S395" s="34" t="e">
        <f t="shared" si="108"/>
        <v>#REF!</v>
      </c>
      <c r="T395" s="34" t="e">
        <f>#REF!+#REF!</f>
        <v>#REF!</v>
      </c>
      <c r="U395" s="34" t="e">
        <f t="shared" si="109"/>
        <v>#REF!</v>
      </c>
    </row>
    <row r="396" spans="1:21" s="34" customFormat="1" ht="24.95" customHeight="1">
      <c r="A396" s="533"/>
      <c r="B396" s="456" t="str">
        <f>'8-3.노무산출'!B98</f>
        <v>전원분전반 설치</v>
      </c>
      <c r="C396" s="456" t="str">
        <f>'8-3.노무산출'!C98</f>
        <v>장치거치 준용</v>
      </c>
      <c r="D396" s="457" t="str">
        <f>'8-3.노무산출'!D98</f>
        <v>대</v>
      </c>
      <c r="E396" s="394">
        <f>'8-3.노무산출'!H98</f>
        <v>2</v>
      </c>
      <c r="F396" s="1207">
        <f>VLOOKUP(C396,'8-3.노무산출'!$C$43:$K$257,7,FALSE)</f>
        <v>252964</v>
      </c>
      <c r="G396" s="1207">
        <f t="shared" si="125"/>
        <v>505928</v>
      </c>
      <c r="H396" s="248" t="str">
        <f>VLOOKUP(C396,'8-3.노무산출'!$C$43:$K$257,9,FALSE)</f>
        <v>품2-3.</v>
      </c>
      <c r="J396" s="533">
        <f t="shared" si="124"/>
        <v>0</v>
      </c>
      <c r="K396" s="456" t="str">
        <f t="shared" si="126"/>
        <v>전원분전반 설치</v>
      </c>
      <c r="L396" s="456" t="str">
        <f t="shared" si="127"/>
        <v>장치거치 준용</v>
      </c>
      <c r="M396" s="430" t="str">
        <f t="shared" si="128"/>
        <v>대</v>
      </c>
      <c r="N396" s="394" t="e">
        <f>#REF!+#REF!</f>
        <v>#REF!</v>
      </c>
      <c r="O396" s="458">
        <f t="shared" si="129"/>
        <v>252964</v>
      </c>
      <c r="P396" s="393" t="e">
        <f t="shared" si="130"/>
        <v>#REF!</v>
      </c>
      <c r="Q396" s="311" t="str">
        <f t="shared" si="131"/>
        <v>품2-3.</v>
      </c>
      <c r="R396" s="34" t="e">
        <f t="shared" si="107"/>
        <v>#REF!</v>
      </c>
      <c r="S396" s="34" t="e">
        <f t="shared" si="108"/>
        <v>#REF!</v>
      </c>
      <c r="T396" s="34" t="e">
        <f>#REF!+#REF!</f>
        <v>#REF!</v>
      </c>
      <c r="U396" s="34" t="e">
        <f t="shared" si="109"/>
        <v>#REF!</v>
      </c>
    </row>
    <row r="397" spans="1:21" s="34" customFormat="1" ht="24.95" customHeight="1">
      <c r="A397" s="533"/>
      <c r="B397" s="456" t="str">
        <f>'8-3.노무산출'!B99</f>
        <v>밧데리함 설치</v>
      </c>
      <c r="C397" s="456" t="str">
        <f>'8-3.노무산출'!C99</f>
        <v>장치거치 준용</v>
      </c>
      <c r="D397" s="457" t="str">
        <f>'8-3.노무산출'!D99</f>
        <v>대</v>
      </c>
      <c r="E397" s="394">
        <f>'8-3.노무산출'!H99</f>
        <v>9</v>
      </c>
      <c r="F397" s="1207">
        <f>VLOOKUP(C397,'8-3.노무산출'!$C$43:$K$257,7,FALSE)</f>
        <v>252964</v>
      </c>
      <c r="G397" s="1207">
        <f t="shared" si="125"/>
        <v>2276676</v>
      </c>
      <c r="H397" s="248" t="str">
        <f>VLOOKUP(C397,'8-3.노무산출'!$C$43:$K$257,9,FALSE)</f>
        <v>품2-3.</v>
      </c>
      <c r="J397" s="538">
        <f t="shared" si="124"/>
        <v>0</v>
      </c>
      <c r="K397" s="455" t="str">
        <f t="shared" si="126"/>
        <v>밧데리함 설치</v>
      </c>
      <c r="L397" s="455" t="str">
        <f t="shared" si="127"/>
        <v>장치거치 준용</v>
      </c>
      <c r="M397" s="449" t="str">
        <f t="shared" si="128"/>
        <v>대</v>
      </c>
      <c r="N397" s="450" t="e">
        <f>#REF!+#REF!</f>
        <v>#REF!</v>
      </c>
      <c r="O397" s="484">
        <f t="shared" si="129"/>
        <v>252964</v>
      </c>
      <c r="P397" s="451" t="e">
        <f t="shared" si="130"/>
        <v>#REF!</v>
      </c>
      <c r="Q397" s="313" t="str">
        <f t="shared" si="131"/>
        <v>품2-3.</v>
      </c>
      <c r="R397" s="34" t="e">
        <f t="shared" si="107"/>
        <v>#REF!</v>
      </c>
      <c r="S397" s="34" t="e">
        <f t="shared" si="108"/>
        <v>#REF!</v>
      </c>
      <c r="T397" s="34" t="e">
        <f>#REF!+#REF!</f>
        <v>#REF!</v>
      </c>
      <c r="U397" s="34" t="e">
        <f t="shared" si="109"/>
        <v>#REF!</v>
      </c>
    </row>
    <row r="398" spans="1:21" s="34" customFormat="1" ht="24.95" customHeight="1">
      <c r="A398" s="533"/>
      <c r="B398" s="456" t="str">
        <f>'8-3.노무산출'!B100</f>
        <v>통신용 구내 전력케이블 신설</v>
      </c>
      <c r="C398" s="456" t="str">
        <f>'8-3.노무산출'!C100</f>
        <v>25SQ 이하 4심</v>
      </c>
      <c r="D398" s="457" t="str">
        <f>'8-3.노무산출'!D100</f>
        <v>m</v>
      </c>
      <c r="E398" s="394">
        <f>'8-3.노무산출'!H100</f>
        <v>303</v>
      </c>
      <c r="F398" s="1207">
        <f>VLOOKUP(C398,'8-3.노무산출'!$C$43:$K$257,7,FALSE)</f>
        <v>30174</v>
      </c>
      <c r="G398" s="1207">
        <f t="shared" si="125"/>
        <v>9142722</v>
      </c>
      <c r="H398" s="248" t="str">
        <f>VLOOKUP(C398,'8-3.노무산출'!$C$43:$K$257,9,FALSE)</f>
        <v>품2-5.</v>
      </c>
      <c r="J398" s="533">
        <f t="shared" si="124"/>
        <v>0</v>
      </c>
      <c r="K398" s="456" t="str">
        <f t="shared" si="126"/>
        <v>통신용 구내 전력케이블 신설</v>
      </c>
      <c r="L398" s="456" t="str">
        <f t="shared" si="127"/>
        <v>25SQ 이하 4심</v>
      </c>
      <c r="M398" s="430" t="str">
        <f t="shared" si="128"/>
        <v>m</v>
      </c>
      <c r="N398" s="394" t="e">
        <f>#REF!+#REF!</f>
        <v>#REF!</v>
      </c>
      <c r="O398" s="458">
        <f t="shared" si="129"/>
        <v>30174</v>
      </c>
      <c r="P398" s="393" t="e">
        <f>INT(N398*O398)</f>
        <v>#REF!</v>
      </c>
      <c r="Q398" s="311" t="str">
        <f t="shared" si="131"/>
        <v>품2-5.</v>
      </c>
      <c r="R398" s="34" t="e">
        <f t="shared" si="107"/>
        <v>#REF!</v>
      </c>
      <c r="S398" s="34" t="e">
        <f t="shared" si="108"/>
        <v>#REF!</v>
      </c>
      <c r="T398" s="34" t="e">
        <f>#REF!+#REF!</f>
        <v>#REF!</v>
      </c>
      <c r="U398" s="34" t="e">
        <f t="shared" si="109"/>
        <v>#REF!</v>
      </c>
    </row>
    <row r="399" spans="1:21" s="34" customFormat="1" ht="24.95" customHeight="1">
      <c r="A399" s="533"/>
      <c r="B399" s="456" t="str">
        <f>'8-3.노무산출'!B101</f>
        <v>통신용 구내 전력케이블 신설</v>
      </c>
      <c r="C399" s="456" t="str">
        <f>'8-3.노무산출'!C101</f>
        <v>16SQ 이하 4심</v>
      </c>
      <c r="D399" s="457" t="str">
        <f>'8-3.노무산출'!D101</f>
        <v>m</v>
      </c>
      <c r="E399" s="394">
        <f>'8-3.노무산출'!H101</f>
        <v>16</v>
      </c>
      <c r="F399" s="1207">
        <f>VLOOKUP(C399,'8-3.노무산출'!$C$43:$K$257,7,FALSE)</f>
        <v>23133</v>
      </c>
      <c r="G399" s="1207">
        <f t="shared" si="125"/>
        <v>370128</v>
      </c>
      <c r="H399" s="248" t="str">
        <f>VLOOKUP(C399,'8-3.노무산출'!$C$43:$K$257,9,FALSE)</f>
        <v>품2-6.</v>
      </c>
      <c r="J399" s="538">
        <f t="shared" si="124"/>
        <v>0</v>
      </c>
      <c r="K399" s="455" t="str">
        <f t="shared" si="126"/>
        <v>통신용 구내 전력케이블 신설</v>
      </c>
      <c r="L399" s="455" t="str">
        <f t="shared" si="127"/>
        <v>16SQ 이하 4심</v>
      </c>
      <c r="M399" s="449" t="str">
        <f t="shared" si="128"/>
        <v>m</v>
      </c>
      <c r="N399" s="450" t="e">
        <f>#REF!+#REF!</f>
        <v>#REF!</v>
      </c>
      <c r="O399" s="484">
        <f t="shared" si="129"/>
        <v>23133</v>
      </c>
      <c r="P399" s="451" t="e">
        <f t="shared" ref="P399:P400" si="132">INT(N399*O399)</f>
        <v>#REF!</v>
      </c>
      <c r="Q399" s="313" t="str">
        <f t="shared" si="131"/>
        <v>품2-6.</v>
      </c>
      <c r="R399" s="34" t="e">
        <f t="shared" si="107"/>
        <v>#REF!</v>
      </c>
      <c r="S399" s="34" t="e">
        <f t="shared" si="108"/>
        <v>#REF!</v>
      </c>
      <c r="T399" s="34" t="e">
        <f>#REF!+#REF!</f>
        <v>#REF!</v>
      </c>
      <c r="U399" s="34" t="e">
        <f t="shared" si="109"/>
        <v>#REF!</v>
      </c>
    </row>
    <row r="400" spans="1:21" s="34" customFormat="1" ht="24.95" customHeight="1">
      <c r="A400" s="533"/>
      <c r="B400" s="456" t="str">
        <f>'8-3.노무산출'!B102</f>
        <v>통신용 구내 전력케이블 신설</v>
      </c>
      <c r="C400" s="456" t="str">
        <f>'8-3.노무산출'!C102</f>
        <v>16SQ 이하 3심</v>
      </c>
      <c r="D400" s="457" t="str">
        <f>'8-3.노무산출'!D102</f>
        <v>m</v>
      </c>
      <c r="E400" s="394">
        <f>'8-3.노무산출'!H102</f>
        <v>150</v>
      </c>
      <c r="F400" s="1207">
        <f>VLOOKUP(C400,'8-3.노무산출'!$C$43:$K$257,7,FALSE)</f>
        <v>17795</v>
      </c>
      <c r="G400" s="1207">
        <f t="shared" si="125"/>
        <v>2669250</v>
      </c>
      <c r="H400" s="248" t="str">
        <f>VLOOKUP(C400,'8-3.노무산출'!$C$43:$K$257,9,FALSE)</f>
        <v>품2-7.</v>
      </c>
      <c r="J400" s="537">
        <f t="shared" si="124"/>
        <v>0</v>
      </c>
      <c r="K400" s="456" t="str">
        <f t="shared" si="126"/>
        <v>통신용 구내 전력케이블 신설</v>
      </c>
      <c r="L400" s="456" t="str">
        <f t="shared" si="127"/>
        <v>16SQ 이하 3심</v>
      </c>
      <c r="M400" s="430" t="str">
        <f t="shared" si="128"/>
        <v>m</v>
      </c>
      <c r="N400" s="394" t="e">
        <f>#REF!+#REF!</f>
        <v>#REF!</v>
      </c>
      <c r="O400" s="458">
        <f t="shared" si="129"/>
        <v>17795</v>
      </c>
      <c r="P400" s="393" t="e">
        <f t="shared" si="132"/>
        <v>#REF!</v>
      </c>
      <c r="Q400" s="311" t="str">
        <f t="shared" si="131"/>
        <v>품2-7.</v>
      </c>
      <c r="R400" s="34" t="e">
        <f t="shared" si="107"/>
        <v>#REF!</v>
      </c>
      <c r="S400" s="34" t="e">
        <f t="shared" si="108"/>
        <v>#REF!</v>
      </c>
      <c r="T400" s="34" t="e">
        <f>#REF!+#REF!</f>
        <v>#REF!</v>
      </c>
      <c r="U400" s="34" t="e">
        <f t="shared" ref="U400:U581" si="133">P400-T400</f>
        <v>#REF!</v>
      </c>
    </row>
    <row r="401" spans="1:21" s="34" customFormat="1" ht="24.95" customHeight="1">
      <c r="A401" s="533"/>
      <c r="B401" s="456" t="str">
        <f>'8-3.노무산출'!B103</f>
        <v>통신용 구내 전력케이블 신설</v>
      </c>
      <c r="C401" s="456" t="str">
        <f>'8-3.노무산출'!C103</f>
        <v>16SQ 이하 3심, 2열 동시</v>
      </c>
      <c r="D401" s="457" t="str">
        <f>'8-3.노무산출'!D103</f>
        <v>m</v>
      </c>
      <c r="E401" s="394">
        <f>'8-3.노무산출'!H103</f>
        <v>153</v>
      </c>
      <c r="F401" s="1207">
        <f>VLOOKUP(C401,'8-3.노무산출'!$C$43:$K$257,7,FALSE)</f>
        <v>32031</v>
      </c>
      <c r="G401" s="1207">
        <f t="shared" ref="G401" si="134">INT(E401*F401)</f>
        <v>4900743</v>
      </c>
      <c r="H401" s="248" t="str">
        <f>VLOOKUP(C401,'8-3.노무산출'!$C$43:$K$257,9,FALSE)</f>
        <v>품2-7-1.</v>
      </c>
      <c r="J401" s="537"/>
      <c r="K401" s="456"/>
      <c r="L401" s="456"/>
      <c r="M401" s="430"/>
      <c r="N401" s="394"/>
      <c r="O401" s="458"/>
      <c r="P401" s="393"/>
      <c r="Q401" s="311"/>
    </row>
    <row r="402" spans="1:21" s="34" customFormat="1" ht="24.95" customHeight="1">
      <c r="A402" s="533"/>
      <c r="B402" s="456" t="str">
        <f>'8-3.노무산출'!B104</f>
        <v>통신용 구내 전력케이블 신설</v>
      </c>
      <c r="C402" s="456" t="str">
        <f>'8-3.노무산출'!C104</f>
        <v>16SQ 이하 2심</v>
      </c>
      <c r="D402" s="457" t="str">
        <f>'8-3.노무산출'!D104</f>
        <v>m</v>
      </c>
      <c r="E402" s="394">
        <f>'8-3.노무산출'!H104</f>
        <v>38</v>
      </c>
      <c r="F402" s="1207">
        <f>VLOOKUP(C402,'8-3.노무산출'!$C$43:$K$257,7,FALSE)</f>
        <v>12456</v>
      </c>
      <c r="G402" s="1207">
        <f t="shared" si="125"/>
        <v>473328</v>
      </c>
      <c r="H402" s="248" t="str">
        <f>VLOOKUP(C402,'8-3.노무산출'!$C$43:$K$257,9,FALSE)</f>
        <v>품2-8.</v>
      </c>
      <c r="J402" s="533">
        <f t="shared" si="124"/>
        <v>0</v>
      </c>
      <c r="K402" s="456" t="str">
        <f t="shared" si="126"/>
        <v>통신용 구내 전력케이블 신설</v>
      </c>
      <c r="L402" s="456" t="str">
        <f t="shared" si="127"/>
        <v>16SQ 이하 2심</v>
      </c>
      <c r="M402" s="430" t="str">
        <f t="shared" si="128"/>
        <v>m</v>
      </c>
      <c r="N402" s="394" t="e">
        <f>#REF!+#REF!</f>
        <v>#REF!</v>
      </c>
      <c r="O402" s="458">
        <f t="shared" si="129"/>
        <v>12456</v>
      </c>
      <c r="P402" s="393" t="e">
        <f>INT(N402*O402)</f>
        <v>#REF!</v>
      </c>
      <c r="Q402" s="311" t="str">
        <f t="shared" si="131"/>
        <v>품2-8.</v>
      </c>
      <c r="R402" s="34" t="e">
        <f t="shared" si="107"/>
        <v>#REF!</v>
      </c>
      <c r="S402" s="34" t="e">
        <f t="shared" si="108"/>
        <v>#REF!</v>
      </c>
      <c r="T402" s="34" t="e">
        <f>#REF!+#REF!</f>
        <v>#REF!</v>
      </c>
      <c r="U402" s="34" t="e">
        <f t="shared" si="133"/>
        <v>#REF!</v>
      </c>
    </row>
    <row r="403" spans="1:21" s="34" customFormat="1" ht="24.95" customHeight="1">
      <c r="A403" s="533"/>
      <c r="B403" s="456" t="str">
        <f>'8-3.노무산출'!B105</f>
        <v>접지선 포설</v>
      </c>
      <c r="C403" s="456" t="str">
        <f>'8-3.노무산출'!C105</f>
        <v>35㎟ 이하</v>
      </c>
      <c r="D403" s="457" t="str">
        <f>'8-3.노무산출'!D105</f>
        <v>m</v>
      </c>
      <c r="E403" s="394">
        <f>'8-3.노무산출'!H105</f>
        <v>48</v>
      </c>
      <c r="F403" s="1207">
        <f>VLOOKUP(C403,'8-3.노무산출'!$C$43:$K$257,7,FALSE)</f>
        <v>4479</v>
      </c>
      <c r="G403" s="1207">
        <f t="shared" si="125"/>
        <v>214992</v>
      </c>
      <c r="H403" s="248" t="str">
        <f>VLOOKUP(C403,'8-3.노무산출'!$C$43:$K$257,9,FALSE)</f>
        <v>품2-9.</v>
      </c>
      <c r="J403" s="537">
        <f t="shared" si="124"/>
        <v>0</v>
      </c>
      <c r="K403" s="456" t="str">
        <f t="shared" si="126"/>
        <v>접지선 포설</v>
      </c>
      <c r="L403" s="480" t="str">
        <f t="shared" si="127"/>
        <v>35㎟ 이하</v>
      </c>
      <c r="M403" s="430" t="str">
        <f t="shared" si="128"/>
        <v>m</v>
      </c>
      <c r="N403" s="394" t="e">
        <f>#REF!+#REF!</f>
        <v>#REF!</v>
      </c>
      <c r="O403" s="458">
        <f t="shared" si="129"/>
        <v>4479</v>
      </c>
      <c r="P403" s="393" t="e">
        <f t="shared" ref="P403:P404" si="135">INT(N403*O403)</f>
        <v>#REF!</v>
      </c>
      <c r="Q403" s="311" t="str">
        <f t="shared" si="131"/>
        <v>품2-9.</v>
      </c>
      <c r="R403" s="34" t="e">
        <f t="shared" si="107"/>
        <v>#REF!</v>
      </c>
      <c r="S403" s="34" t="e">
        <f t="shared" si="108"/>
        <v>#REF!</v>
      </c>
      <c r="T403" s="34" t="e">
        <f>#REF!+#REF!</f>
        <v>#REF!</v>
      </c>
      <c r="U403" s="34" t="e">
        <f t="shared" si="133"/>
        <v>#REF!</v>
      </c>
    </row>
    <row r="404" spans="1:21" s="34" customFormat="1" ht="24.95" customHeight="1">
      <c r="A404" s="533"/>
      <c r="B404" s="456" t="str">
        <f>'8-3.노무산출'!B106</f>
        <v>접지선 접속</v>
      </c>
      <c r="C404" s="456" t="str">
        <f>'8-3.노무산출'!C106</f>
        <v>압착단자</v>
      </c>
      <c r="D404" s="457" t="str">
        <f>'8-3.노무산출'!D106</f>
        <v>개</v>
      </c>
      <c r="E404" s="394">
        <f>'8-3.노무산출'!H106</f>
        <v>16</v>
      </c>
      <c r="F404" s="1207">
        <f>VLOOKUP(C404,'8-3.노무산출'!$C$43:$K$257,7,FALSE)</f>
        <v>7465</v>
      </c>
      <c r="G404" s="1207">
        <f t="shared" si="125"/>
        <v>119440</v>
      </c>
      <c r="H404" s="248" t="s">
        <v>1097</v>
      </c>
      <c r="J404" s="537">
        <f t="shared" si="124"/>
        <v>0</v>
      </c>
      <c r="K404" s="456" t="str">
        <f t="shared" si="126"/>
        <v>접지선 접속</v>
      </c>
      <c r="L404" s="456" t="str">
        <f t="shared" si="127"/>
        <v>압착단자</v>
      </c>
      <c r="M404" s="430" t="str">
        <f t="shared" si="128"/>
        <v>개</v>
      </c>
      <c r="N404" s="394" t="e">
        <f>#REF!+#REF!</f>
        <v>#REF!</v>
      </c>
      <c r="O404" s="458">
        <f t="shared" si="129"/>
        <v>7465</v>
      </c>
      <c r="P404" s="393" t="e">
        <f t="shared" si="135"/>
        <v>#REF!</v>
      </c>
      <c r="Q404" s="311" t="str">
        <f t="shared" si="131"/>
        <v>품2-10.</v>
      </c>
      <c r="R404" s="34" t="e">
        <f t="shared" ref="R404:R412" si="136">E404-N404</f>
        <v>#REF!</v>
      </c>
      <c r="S404" s="34" t="e">
        <f t="shared" ref="S404:S412" si="137">G404-P404</f>
        <v>#REF!</v>
      </c>
      <c r="T404" s="34" t="e">
        <f>#REF!+#REF!</f>
        <v>#REF!</v>
      </c>
      <c r="U404" s="34" t="e">
        <f t="shared" si="133"/>
        <v>#REF!</v>
      </c>
    </row>
    <row r="405" spans="1:21" s="34" customFormat="1" ht="24.95" hidden="1" customHeight="1">
      <c r="A405" s="533"/>
      <c r="B405" s="456" t="e">
        <f>'8-3.노무산출'!B107</f>
        <v>#N/A</v>
      </c>
      <c r="C405" s="456" t="e">
        <f>'8-3.노무산출'!C107</f>
        <v>#N/A</v>
      </c>
      <c r="D405" s="457" t="e">
        <f>'8-3.노무산출'!D107</f>
        <v>#N/A</v>
      </c>
      <c r="E405" s="394">
        <f>'8-3.노무산출'!H107</f>
        <v>0</v>
      </c>
      <c r="F405" s="1207" t="e">
        <f>VLOOKUP(C405,'8-3.노무산출'!$C$43:$K$257,7,FALSE)</f>
        <v>#N/A</v>
      </c>
      <c r="G405" s="1207"/>
      <c r="H405" s="248">
        <v>0</v>
      </c>
      <c r="J405" s="537">
        <f t="shared" si="124"/>
        <v>0</v>
      </c>
      <c r="K405" s="456" t="e">
        <f t="shared" si="126"/>
        <v>#N/A</v>
      </c>
      <c r="L405" s="456" t="e">
        <f t="shared" si="127"/>
        <v>#N/A</v>
      </c>
      <c r="M405" s="430" t="e">
        <f t="shared" si="128"/>
        <v>#N/A</v>
      </c>
      <c r="N405" s="394" t="e">
        <f>#REF!+#REF!</f>
        <v>#REF!</v>
      </c>
      <c r="O405" s="458" t="e">
        <f t="shared" si="129"/>
        <v>#N/A</v>
      </c>
      <c r="P405" s="393" t="e">
        <f>INT(N405*O405)</f>
        <v>#REF!</v>
      </c>
      <c r="Q405" s="311">
        <f t="shared" si="131"/>
        <v>0</v>
      </c>
      <c r="R405" s="34" t="e">
        <f t="shared" si="136"/>
        <v>#REF!</v>
      </c>
      <c r="S405" s="34" t="e">
        <f t="shared" si="137"/>
        <v>#REF!</v>
      </c>
      <c r="T405" s="34" t="e">
        <f>#REF!+#REF!</f>
        <v>#REF!</v>
      </c>
      <c r="U405" s="34" t="e">
        <f t="shared" si="133"/>
        <v>#REF!</v>
      </c>
    </row>
    <row r="406" spans="1:21" s="34" customFormat="1" ht="24.95" customHeight="1">
      <c r="A406" s="533"/>
      <c r="B406" s="456" t="str">
        <f>'8-3.노무산출'!B108</f>
        <v>UTP케이블 포설</v>
      </c>
      <c r="C406" s="456" t="str">
        <f>'8-3.노무산출'!C108</f>
        <v>CAT.5 4Pr, 2열</v>
      </c>
      <c r="D406" s="457" t="str">
        <f>'8-3.노무산출'!D108</f>
        <v>m</v>
      </c>
      <c r="E406" s="394">
        <f>'8-3.노무산출'!H108</f>
        <v>56</v>
      </c>
      <c r="F406" s="1207">
        <f>VLOOKUP(C406,'8-3.노무산출'!$C$43:$K$257,7,FALSE)</f>
        <v>10444</v>
      </c>
      <c r="G406" s="1207">
        <f t="shared" si="125"/>
        <v>584864</v>
      </c>
      <c r="H406" s="248" t="s">
        <v>1098</v>
      </c>
      <c r="J406" s="537">
        <f t="shared" si="124"/>
        <v>0</v>
      </c>
      <c r="K406" s="456" t="str">
        <f t="shared" si="126"/>
        <v>UTP케이블 포설</v>
      </c>
      <c r="L406" s="456" t="str">
        <f t="shared" si="127"/>
        <v>CAT.5 4Pr, 2열</v>
      </c>
      <c r="M406" s="430" t="str">
        <f t="shared" si="128"/>
        <v>m</v>
      </c>
      <c r="N406" s="394" t="e">
        <f>#REF!+#REF!</f>
        <v>#REF!</v>
      </c>
      <c r="O406" s="458">
        <f t="shared" si="129"/>
        <v>10444</v>
      </c>
      <c r="P406" s="393" t="e">
        <f t="shared" ref="P406:P412" si="138">INT(N406*O406)</f>
        <v>#REF!</v>
      </c>
      <c r="Q406" s="311" t="str">
        <f t="shared" si="131"/>
        <v>품2-11.</v>
      </c>
      <c r="R406" s="34" t="e">
        <f t="shared" si="136"/>
        <v>#REF!</v>
      </c>
      <c r="S406" s="34" t="e">
        <f t="shared" si="137"/>
        <v>#REF!</v>
      </c>
      <c r="T406" s="34" t="e">
        <f>#REF!+#REF!</f>
        <v>#REF!</v>
      </c>
      <c r="U406" s="34" t="e">
        <f t="shared" si="133"/>
        <v>#REF!</v>
      </c>
    </row>
    <row r="407" spans="1:21" s="34" customFormat="1" ht="24.95" customHeight="1">
      <c r="A407" s="533"/>
      <c r="B407" s="456" t="str">
        <f>'8-3.노무산출'!B109</f>
        <v>후렉시블전선관 시설</v>
      </c>
      <c r="C407" s="456" t="str">
        <f>'8-3.노무산출'!C109</f>
        <v>금속가요전선관 16㎜</v>
      </c>
      <c r="D407" s="457" t="str">
        <f>'8-3.노무산출'!D109</f>
        <v>m</v>
      </c>
      <c r="E407" s="394">
        <f>'8-3.노무산출'!H109</f>
        <v>22</v>
      </c>
      <c r="F407" s="1207">
        <f>VLOOKUP(C407,'8-3.노무산출'!$C$43:$K$257,7,FALSE)</f>
        <v>14234</v>
      </c>
      <c r="G407" s="1207">
        <f t="shared" si="125"/>
        <v>313148</v>
      </c>
      <c r="H407" s="248" t="s">
        <v>1099</v>
      </c>
      <c r="J407" s="533">
        <f t="shared" si="124"/>
        <v>0</v>
      </c>
      <c r="K407" s="456" t="str">
        <f t="shared" si="126"/>
        <v>후렉시블전선관 시설</v>
      </c>
      <c r="L407" s="456" t="str">
        <f t="shared" si="127"/>
        <v>금속가요전선관 16㎜</v>
      </c>
      <c r="M407" s="430" t="str">
        <f t="shared" si="128"/>
        <v>m</v>
      </c>
      <c r="N407" s="394" t="e">
        <f>#REF!+#REF!</f>
        <v>#REF!</v>
      </c>
      <c r="O407" s="458">
        <f t="shared" si="129"/>
        <v>14234</v>
      </c>
      <c r="P407" s="393" t="e">
        <f t="shared" si="138"/>
        <v>#REF!</v>
      </c>
      <c r="Q407" s="311" t="str">
        <f t="shared" si="131"/>
        <v>품2-12.</v>
      </c>
      <c r="R407" s="34" t="e">
        <f t="shared" si="136"/>
        <v>#REF!</v>
      </c>
      <c r="S407" s="34" t="e">
        <f t="shared" si="137"/>
        <v>#REF!</v>
      </c>
      <c r="T407" s="34" t="e">
        <f>#REF!+#REF!</f>
        <v>#REF!</v>
      </c>
      <c r="U407" s="34" t="e">
        <f t="shared" si="133"/>
        <v>#REF!</v>
      </c>
    </row>
    <row r="408" spans="1:21" s="34" customFormat="1" ht="24.95" customHeight="1">
      <c r="A408" s="533"/>
      <c r="B408" s="456" t="str">
        <f>'8-3.노무산출'!B110</f>
        <v>통신용 전력케이블 단말처리</v>
      </c>
      <c r="C408" s="456" t="str">
        <f>'8-3.노무산출'!C110</f>
        <v>16㎟*2C</v>
      </c>
      <c r="D408" s="457" t="str">
        <f>'8-3.노무산출'!D110</f>
        <v>개소</v>
      </c>
      <c r="E408" s="394">
        <f>'8-3.노무산출'!H110</f>
        <v>20</v>
      </c>
      <c r="F408" s="1207">
        <f>VLOOKUP(C408,'8-3.노무산출'!$C$43:$K$257,7,FALSE)</f>
        <v>39458</v>
      </c>
      <c r="G408" s="1207">
        <f t="shared" si="125"/>
        <v>789160</v>
      </c>
      <c r="H408" s="248" t="s">
        <v>1100</v>
      </c>
      <c r="J408" s="533">
        <f t="shared" si="124"/>
        <v>0</v>
      </c>
      <c r="K408" s="456" t="str">
        <f t="shared" si="126"/>
        <v>통신용 전력케이블 단말처리</v>
      </c>
      <c r="L408" s="456" t="str">
        <f t="shared" si="127"/>
        <v>16㎟*2C</v>
      </c>
      <c r="M408" s="430" t="str">
        <f t="shared" si="128"/>
        <v>개소</v>
      </c>
      <c r="N408" s="394" t="e">
        <f>#REF!+#REF!</f>
        <v>#REF!</v>
      </c>
      <c r="O408" s="458">
        <f t="shared" si="129"/>
        <v>39458</v>
      </c>
      <c r="P408" s="393" t="e">
        <f t="shared" si="138"/>
        <v>#REF!</v>
      </c>
      <c r="Q408" s="311" t="str">
        <f t="shared" si="131"/>
        <v>품2-13.</v>
      </c>
      <c r="R408" s="34" t="e">
        <f t="shared" si="136"/>
        <v>#REF!</v>
      </c>
      <c r="S408" s="34" t="e">
        <f t="shared" si="137"/>
        <v>#REF!</v>
      </c>
      <c r="T408" s="34" t="e">
        <f>#REF!+#REF!</f>
        <v>#REF!</v>
      </c>
      <c r="U408" s="34" t="e">
        <f t="shared" si="133"/>
        <v>#REF!</v>
      </c>
    </row>
    <row r="409" spans="1:21" s="34" customFormat="1" ht="24.95" customHeight="1">
      <c r="A409" s="533"/>
      <c r="B409" s="456" t="str">
        <f>'8-3.노무산출'!B111</f>
        <v>통신용 전력케이블 단말처리</v>
      </c>
      <c r="C409" s="456" t="str">
        <f>'8-3.노무산출'!C111</f>
        <v>16㎟*3C</v>
      </c>
      <c r="D409" s="457" t="str">
        <f>'8-3.노무산출'!D111</f>
        <v>개소</v>
      </c>
      <c r="E409" s="394">
        <f>'8-3.노무산출'!H111</f>
        <v>18</v>
      </c>
      <c r="F409" s="1207">
        <f>VLOOKUP(C409,'8-3.노무산출'!$C$43:$K$257,7,FALSE)</f>
        <v>49903</v>
      </c>
      <c r="G409" s="1207">
        <f t="shared" si="125"/>
        <v>898254</v>
      </c>
      <c r="H409" s="248" t="s">
        <v>1101</v>
      </c>
      <c r="J409" s="538">
        <f t="shared" si="124"/>
        <v>0</v>
      </c>
      <c r="K409" s="455" t="str">
        <f t="shared" si="126"/>
        <v>통신용 전력케이블 단말처리</v>
      </c>
      <c r="L409" s="455" t="str">
        <f t="shared" si="127"/>
        <v>16㎟*3C</v>
      </c>
      <c r="M409" s="449" t="str">
        <f t="shared" si="128"/>
        <v>개소</v>
      </c>
      <c r="N409" s="450" t="e">
        <f>#REF!+#REF!</f>
        <v>#REF!</v>
      </c>
      <c r="O409" s="484">
        <f t="shared" si="129"/>
        <v>49903</v>
      </c>
      <c r="P409" s="451" t="e">
        <f t="shared" si="138"/>
        <v>#REF!</v>
      </c>
      <c r="Q409" s="313" t="str">
        <f t="shared" si="131"/>
        <v>품2-14.</v>
      </c>
      <c r="R409" s="34" t="e">
        <f t="shared" si="136"/>
        <v>#REF!</v>
      </c>
      <c r="S409" s="34" t="e">
        <f t="shared" si="137"/>
        <v>#REF!</v>
      </c>
      <c r="T409" s="34" t="e">
        <f>#REF!+#REF!</f>
        <v>#REF!</v>
      </c>
      <c r="U409" s="34" t="e">
        <f t="shared" si="133"/>
        <v>#REF!</v>
      </c>
    </row>
    <row r="410" spans="1:21" s="34" customFormat="1" ht="24.95" customHeight="1">
      <c r="A410" s="533"/>
      <c r="B410" s="456" t="str">
        <f>'8-3.노무산출'!B112</f>
        <v>통신용 전력케이블 단말처리</v>
      </c>
      <c r="C410" s="456" t="str">
        <f>'8-3.노무산출'!C112</f>
        <v>16㎟*4C</v>
      </c>
      <c r="D410" s="457" t="str">
        <f>'8-3.노무산출'!D112</f>
        <v>개소</v>
      </c>
      <c r="E410" s="394">
        <f>'8-3.노무산출'!H112</f>
        <v>16</v>
      </c>
      <c r="F410" s="1207">
        <f>VLOOKUP(C410,'8-3.노무산출'!$C$43:$K$257,7,FALSE)</f>
        <v>60348</v>
      </c>
      <c r="G410" s="1207">
        <f t="shared" si="125"/>
        <v>965568</v>
      </c>
      <c r="H410" s="248" t="s">
        <v>1102</v>
      </c>
      <c r="J410" s="533">
        <f t="shared" si="124"/>
        <v>0</v>
      </c>
      <c r="K410" s="456" t="str">
        <f t="shared" si="126"/>
        <v>통신용 전력케이블 단말처리</v>
      </c>
      <c r="L410" s="456" t="str">
        <f t="shared" si="127"/>
        <v>16㎟*4C</v>
      </c>
      <c r="M410" s="430" t="str">
        <f t="shared" si="128"/>
        <v>개소</v>
      </c>
      <c r="N410" s="394" t="e">
        <f>#REF!+#REF!</f>
        <v>#REF!</v>
      </c>
      <c r="O410" s="458">
        <f t="shared" si="129"/>
        <v>60348</v>
      </c>
      <c r="P410" s="393" t="e">
        <f t="shared" si="138"/>
        <v>#REF!</v>
      </c>
      <c r="Q410" s="311" t="str">
        <f t="shared" si="131"/>
        <v>품2-15.</v>
      </c>
      <c r="R410" s="34" t="e">
        <f t="shared" si="136"/>
        <v>#REF!</v>
      </c>
      <c r="S410" s="34" t="e">
        <f t="shared" si="137"/>
        <v>#REF!</v>
      </c>
      <c r="T410" s="34" t="e">
        <f>#REF!+#REF!</f>
        <v>#REF!</v>
      </c>
      <c r="U410" s="34" t="e">
        <f t="shared" si="133"/>
        <v>#REF!</v>
      </c>
    </row>
    <row r="411" spans="1:21" s="34" customFormat="1" ht="24.95" customHeight="1">
      <c r="A411" s="533"/>
      <c r="B411" s="456" t="str">
        <f>'8-3.노무산출'!B113</f>
        <v>통신용 전력케이블 단말처리</v>
      </c>
      <c r="C411" s="456" t="str">
        <f>'8-3.노무산출'!C113</f>
        <v>25㎟*4C</v>
      </c>
      <c r="D411" s="457" t="str">
        <f>'8-3.노무산출'!D113</f>
        <v>개소</v>
      </c>
      <c r="E411" s="394">
        <f>'8-3.노무산출'!H113</f>
        <v>16</v>
      </c>
      <c r="F411" s="1207">
        <f>VLOOKUP(C411,'8-3.노무산출'!$C$43:$K$257,7,FALSE)</f>
        <v>78917</v>
      </c>
      <c r="G411" s="1207">
        <f t="shared" si="125"/>
        <v>1262672</v>
      </c>
      <c r="H411" s="248" t="s">
        <v>1103</v>
      </c>
      <c r="J411" s="533">
        <f t="shared" si="124"/>
        <v>0</v>
      </c>
      <c r="K411" s="456" t="str">
        <f t="shared" si="126"/>
        <v>통신용 전력케이블 단말처리</v>
      </c>
      <c r="L411" s="456" t="str">
        <f t="shared" si="127"/>
        <v>25㎟*4C</v>
      </c>
      <c r="M411" s="430" t="str">
        <f t="shared" si="128"/>
        <v>개소</v>
      </c>
      <c r="N411" s="394" t="e">
        <f>#REF!+#REF!</f>
        <v>#REF!</v>
      </c>
      <c r="O411" s="458">
        <f t="shared" si="129"/>
        <v>78917</v>
      </c>
      <c r="P411" s="393" t="e">
        <f t="shared" si="138"/>
        <v>#REF!</v>
      </c>
      <c r="Q411" s="311" t="str">
        <f t="shared" si="131"/>
        <v>품2-16.</v>
      </c>
      <c r="R411" s="34" t="e">
        <f t="shared" si="136"/>
        <v>#REF!</v>
      </c>
      <c r="S411" s="34" t="e">
        <f t="shared" si="137"/>
        <v>#REF!</v>
      </c>
      <c r="T411" s="34" t="e">
        <f>#REF!+#REF!</f>
        <v>#REF!</v>
      </c>
      <c r="U411" s="34" t="e">
        <f t="shared" si="133"/>
        <v>#REF!</v>
      </c>
    </row>
    <row r="412" spans="1:21" s="34" customFormat="1" ht="24.95" customHeight="1">
      <c r="A412" s="533"/>
      <c r="B412" s="456" t="str">
        <f>'8-3.노무산출'!B114</f>
        <v>제어케이블 포설</v>
      </c>
      <c r="C412" s="456" t="str">
        <f>'8-3.노무산출'!C114</f>
        <v>2.5SQ/2C, 2열</v>
      </c>
      <c r="D412" s="457" t="str">
        <f>'8-3.노무산출'!D114</f>
        <v>m</v>
      </c>
      <c r="E412" s="394">
        <f>'8-3.노무산출'!H114</f>
        <v>43</v>
      </c>
      <c r="F412" s="1207">
        <f>VLOOKUP(C412,'8-3.노무산출'!$C$43:$K$257,7,FALSE)</f>
        <v>11698</v>
      </c>
      <c r="G412" s="1207">
        <f t="shared" si="125"/>
        <v>503014</v>
      </c>
      <c r="H412" s="248" t="str">
        <f>VLOOKUP(C412,'8-3.노무산출'!$C$43:$K$257,9,FALSE)</f>
        <v>품4-18.</v>
      </c>
      <c r="J412" s="533">
        <f t="shared" si="124"/>
        <v>0</v>
      </c>
      <c r="K412" s="456" t="str">
        <f t="shared" si="126"/>
        <v>제어케이블 포설</v>
      </c>
      <c r="L412" s="456" t="str">
        <f t="shared" si="127"/>
        <v>2.5SQ/2C, 2열</v>
      </c>
      <c r="M412" s="430" t="str">
        <f t="shared" si="128"/>
        <v>m</v>
      </c>
      <c r="N412" s="394" t="e">
        <f>#REF!+#REF!</f>
        <v>#REF!</v>
      </c>
      <c r="O412" s="458">
        <f t="shared" si="129"/>
        <v>11698</v>
      </c>
      <c r="P412" s="393" t="e">
        <f t="shared" si="138"/>
        <v>#REF!</v>
      </c>
      <c r="Q412" s="311" t="str">
        <f t="shared" si="131"/>
        <v>품4-18.</v>
      </c>
      <c r="R412" s="34" t="e">
        <f t="shared" si="136"/>
        <v>#REF!</v>
      </c>
      <c r="S412" s="34" t="e">
        <f t="shared" si="137"/>
        <v>#REF!</v>
      </c>
      <c r="T412" s="34" t="e">
        <f>#REF!+#REF!</f>
        <v>#REF!</v>
      </c>
      <c r="U412" s="34" t="e">
        <f t="shared" si="133"/>
        <v>#REF!</v>
      </c>
    </row>
    <row r="413" spans="1:21" s="34" customFormat="1" ht="24.95" customHeight="1">
      <c r="A413" s="533"/>
      <c r="B413" s="456"/>
      <c r="C413" s="456"/>
      <c r="D413" s="457"/>
      <c r="E413" s="394"/>
      <c r="F413" s="1200"/>
      <c r="G413" s="1200"/>
      <c r="H413" s="311"/>
      <c r="J413" s="533"/>
      <c r="K413" s="456"/>
      <c r="L413" s="393"/>
      <c r="M413" s="430"/>
      <c r="N413" s="394"/>
      <c r="O413" s="458"/>
      <c r="P413" s="393"/>
      <c r="Q413" s="248"/>
    </row>
    <row r="414" spans="1:21" s="34" customFormat="1" ht="24.95" customHeight="1">
      <c r="A414" s="532" t="str">
        <f>A195</f>
        <v>3. LAN, EPIA, 정보보호</v>
      </c>
      <c r="B414" s="456"/>
      <c r="C414" s="393"/>
      <c r="D414" s="430"/>
      <c r="E414" s="394"/>
      <c r="F414" s="1200"/>
      <c r="G414" s="1219">
        <f>SUM(G415:G442)</f>
        <v>2616844</v>
      </c>
      <c r="H414" s="248"/>
      <c r="J414" s="532" t="str">
        <f t="shared" ref="J414:J425" si="139">$A414</f>
        <v>3. LAN, EPIA, 정보보호</v>
      </c>
      <c r="K414" s="456"/>
      <c r="L414" s="393"/>
      <c r="M414" s="430"/>
      <c r="N414" s="394" t="e">
        <f>#REF!+#REF!</f>
        <v>#REF!</v>
      </c>
      <c r="O414" s="458"/>
      <c r="P414" s="586" t="e">
        <f>SUM(P415:P442)</f>
        <v>#REF!</v>
      </c>
      <c r="Q414" s="248"/>
      <c r="R414" s="34" t="e">
        <f t="shared" ref="R414:R574" si="140">E414-N414</f>
        <v>#REF!</v>
      </c>
      <c r="S414" s="34" t="e">
        <f t="shared" ref="S414:S581" si="141">G414-P414</f>
        <v>#REF!</v>
      </c>
      <c r="T414" s="34" t="e">
        <f>#REF!+#REF!</f>
        <v>#REF!</v>
      </c>
      <c r="U414" s="34" t="e">
        <f t="shared" si="133"/>
        <v>#REF!</v>
      </c>
    </row>
    <row r="415" spans="1:21" s="34" customFormat="1" ht="24.95" hidden="1" customHeight="1">
      <c r="A415" s="533"/>
      <c r="B415" s="456" t="e">
        <f>'8-3.노무산출'!B117</f>
        <v>#N/A</v>
      </c>
      <c r="C415" s="456" t="e">
        <f>'8-3.노무산출'!C117</f>
        <v>#N/A</v>
      </c>
      <c r="D415" s="457" t="e">
        <f>'8-3.노무산출'!D117</f>
        <v>#N/A</v>
      </c>
      <c r="E415" s="394">
        <f>'8-3.노무산출'!H117</f>
        <v>0</v>
      </c>
      <c r="F415" s="1207" t="e">
        <f>VLOOKUP(C415,'8-3.노무산출'!$C$43:$K$257,7,FALSE)</f>
        <v>#N/A</v>
      </c>
      <c r="G415" s="1207"/>
      <c r="H415" s="248" t="e">
        <f>VLOOKUP(C415,'8-3.노무산출'!$C$43:$K$257,9,FALSE)</f>
        <v>#N/A</v>
      </c>
      <c r="J415" s="533">
        <f t="shared" si="139"/>
        <v>0</v>
      </c>
      <c r="K415" s="456" t="e">
        <f t="shared" ref="K415:K425" si="142">$B415</f>
        <v>#N/A</v>
      </c>
      <c r="L415" s="456" t="e">
        <f t="shared" ref="L415:L425" si="143">$C415</f>
        <v>#N/A</v>
      </c>
      <c r="M415" s="430" t="e">
        <f t="shared" ref="M415:M425" si="144">$D415</f>
        <v>#N/A</v>
      </c>
      <c r="N415" s="394" t="e">
        <f>#REF!+#REF!</f>
        <v>#REF!</v>
      </c>
      <c r="O415" s="458" t="e">
        <f t="shared" ref="O415:O425" si="145">$F415</f>
        <v>#N/A</v>
      </c>
      <c r="P415" s="393" t="e">
        <f>INT(N415*O415)</f>
        <v>#REF!</v>
      </c>
      <c r="Q415" s="311" t="e">
        <f t="shared" ref="Q415:Q425" si="146">$H415</f>
        <v>#N/A</v>
      </c>
      <c r="R415" s="34" t="e">
        <f t="shared" si="140"/>
        <v>#REF!</v>
      </c>
      <c r="S415" s="34" t="e">
        <f t="shared" si="141"/>
        <v>#REF!</v>
      </c>
      <c r="T415" s="34" t="e">
        <f>#REF!+#REF!</f>
        <v>#REF!</v>
      </c>
      <c r="U415" s="34" t="e">
        <f t="shared" si="133"/>
        <v>#REF!</v>
      </c>
    </row>
    <row r="416" spans="1:21" s="34" customFormat="1" ht="24.95" hidden="1" customHeight="1">
      <c r="A416" s="533"/>
      <c r="B416" s="456" t="e">
        <f>'8-3.노무산출'!B118</f>
        <v>#N/A</v>
      </c>
      <c r="C416" s="456" t="e">
        <f>'8-3.노무산출'!C118</f>
        <v>#N/A</v>
      </c>
      <c r="D416" s="457" t="e">
        <f>'8-3.노무산출'!D118</f>
        <v>#N/A</v>
      </c>
      <c r="E416" s="394">
        <f>'8-3.노무산출'!H118</f>
        <v>0</v>
      </c>
      <c r="F416" s="1207" t="e">
        <f>VLOOKUP(C416,'8-3.노무산출'!$C$43:$K$257,7,FALSE)</f>
        <v>#N/A</v>
      </c>
      <c r="G416" s="1207"/>
      <c r="H416" s="248" t="e">
        <f>VLOOKUP(C416,'8-3.노무산출'!$C$43:$K$257,9,FALSE)</f>
        <v>#N/A</v>
      </c>
      <c r="J416" s="533">
        <f t="shared" si="139"/>
        <v>0</v>
      </c>
      <c r="K416" s="456" t="e">
        <f t="shared" si="142"/>
        <v>#N/A</v>
      </c>
      <c r="L416" s="456" t="e">
        <f t="shared" si="143"/>
        <v>#N/A</v>
      </c>
      <c r="M416" s="430" t="e">
        <f t="shared" si="144"/>
        <v>#N/A</v>
      </c>
      <c r="N416" s="394" t="e">
        <f>#REF!+#REF!</f>
        <v>#REF!</v>
      </c>
      <c r="O416" s="458" t="e">
        <f t="shared" si="145"/>
        <v>#N/A</v>
      </c>
      <c r="P416" s="393" t="e">
        <f>INT(N416*O416)</f>
        <v>#REF!</v>
      </c>
      <c r="Q416" s="311" t="e">
        <f t="shared" si="146"/>
        <v>#N/A</v>
      </c>
      <c r="R416" s="34" t="e">
        <f t="shared" si="140"/>
        <v>#REF!</v>
      </c>
      <c r="S416" s="34" t="e">
        <f t="shared" si="141"/>
        <v>#REF!</v>
      </c>
      <c r="T416" s="34" t="e">
        <f>#REF!+#REF!</f>
        <v>#REF!</v>
      </c>
      <c r="U416" s="34" t="e">
        <f t="shared" si="133"/>
        <v>#REF!</v>
      </c>
    </row>
    <row r="417" spans="1:21" s="34" customFormat="1" ht="24.95" hidden="1" customHeight="1">
      <c r="A417" s="533"/>
      <c r="B417" s="456" t="e">
        <f>'8-3.노무산출'!B119</f>
        <v>#N/A</v>
      </c>
      <c r="C417" s="456" t="e">
        <f>'8-3.노무산출'!C119</f>
        <v>#N/A</v>
      </c>
      <c r="D417" s="457" t="e">
        <f>'8-3.노무산출'!D119</f>
        <v>#N/A</v>
      </c>
      <c r="E417" s="394">
        <f>'8-3.노무산출'!H119</f>
        <v>0</v>
      </c>
      <c r="F417" s="1207" t="e">
        <f>VLOOKUP(C417,'8-3.노무산출'!$C$43:$K$257,7,FALSE)</f>
        <v>#N/A</v>
      </c>
      <c r="G417" s="1207"/>
      <c r="H417" s="248" t="e">
        <f>VLOOKUP(C417,'8-3.노무산출'!$C$43:$K$257,9,FALSE)</f>
        <v>#N/A</v>
      </c>
      <c r="J417" s="533">
        <f t="shared" si="139"/>
        <v>0</v>
      </c>
      <c r="K417" s="456" t="e">
        <f t="shared" si="142"/>
        <v>#N/A</v>
      </c>
      <c r="L417" s="456" t="e">
        <f t="shared" si="143"/>
        <v>#N/A</v>
      </c>
      <c r="M417" s="430" t="e">
        <f t="shared" si="144"/>
        <v>#N/A</v>
      </c>
      <c r="N417" s="394" t="e">
        <f>#REF!+#REF!</f>
        <v>#REF!</v>
      </c>
      <c r="O417" s="458" t="e">
        <f t="shared" si="145"/>
        <v>#N/A</v>
      </c>
      <c r="P417" s="393" t="e">
        <f t="shared" ref="P417:P425" si="147">INT(N417*O417)</f>
        <v>#REF!</v>
      </c>
      <c r="Q417" s="311" t="e">
        <f t="shared" si="146"/>
        <v>#N/A</v>
      </c>
      <c r="R417" s="34" t="e">
        <f t="shared" si="140"/>
        <v>#REF!</v>
      </c>
      <c r="S417" s="34" t="e">
        <f t="shared" si="141"/>
        <v>#REF!</v>
      </c>
      <c r="T417" s="34" t="e">
        <f>#REF!+#REF!</f>
        <v>#REF!</v>
      </c>
      <c r="U417" s="34" t="e">
        <f t="shared" si="133"/>
        <v>#REF!</v>
      </c>
    </row>
    <row r="418" spans="1:21" s="34" customFormat="1" ht="24.95" hidden="1" customHeight="1">
      <c r="A418" s="533"/>
      <c r="B418" s="456" t="e">
        <f>'8-3.노무산출'!B120</f>
        <v>#N/A</v>
      </c>
      <c r="C418" s="456" t="e">
        <f>'8-3.노무산출'!C120</f>
        <v>#N/A</v>
      </c>
      <c r="D418" s="457" t="e">
        <f>'8-3.노무산출'!D120</f>
        <v>#N/A</v>
      </c>
      <c r="E418" s="394">
        <f>'8-3.노무산출'!H120</f>
        <v>0</v>
      </c>
      <c r="F418" s="1207" t="e">
        <f>VLOOKUP(C418,'8-3.노무산출'!$C$43:$K$257,7,FALSE)</f>
        <v>#N/A</v>
      </c>
      <c r="G418" s="1207"/>
      <c r="H418" s="248" t="e">
        <f>VLOOKUP(C418,'8-3.노무산출'!$C$43:$K$257,9,FALSE)</f>
        <v>#N/A</v>
      </c>
      <c r="J418" s="533">
        <f t="shared" si="139"/>
        <v>0</v>
      </c>
      <c r="K418" s="456" t="e">
        <f t="shared" si="142"/>
        <v>#N/A</v>
      </c>
      <c r="L418" s="456" t="e">
        <f t="shared" si="143"/>
        <v>#N/A</v>
      </c>
      <c r="M418" s="430" t="e">
        <f t="shared" si="144"/>
        <v>#N/A</v>
      </c>
      <c r="N418" s="394" t="e">
        <f>#REF!+#REF!</f>
        <v>#REF!</v>
      </c>
      <c r="O418" s="458" t="e">
        <f t="shared" si="145"/>
        <v>#N/A</v>
      </c>
      <c r="P418" s="393" t="e">
        <f t="shared" si="147"/>
        <v>#REF!</v>
      </c>
      <c r="Q418" s="311" t="e">
        <f t="shared" si="146"/>
        <v>#N/A</v>
      </c>
      <c r="R418" s="34" t="e">
        <f t="shared" si="140"/>
        <v>#REF!</v>
      </c>
      <c r="S418" s="34" t="e">
        <f t="shared" si="141"/>
        <v>#REF!</v>
      </c>
      <c r="T418" s="34" t="e">
        <f>#REF!+#REF!</f>
        <v>#REF!</v>
      </c>
      <c r="U418" s="34" t="e">
        <f t="shared" si="133"/>
        <v>#REF!</v>
      </c>
    </row>
    <row r="419" spans="1:21" s="34" customFormat="1" ht="24.95" hidden="1" customHeight="1">
      <c r="A419" s="533"/>
      <c r="B419" s="456" t="e">
        <f>'8-3.노무산출'!B121</f>
        <v>#N/A</v>
      </c>
      <c r="C419" s="456" t="e">
        <f>'8-3.노무산출'!C121</f>
        <v>#N/A</v>
      </c>
      <c r="D419" s="457" t="e">
        <f>'8-3.노무산출'!D121</f>
        <v>#N/A</v>
      </c>
      <c r="E419" s="394">
        <f>'8-3.노무산출'!H121</f>
        <v>0</v>
      </c>
      <c r="F419" s="1207" t="e">
        <f>VLOOKUP(C419,'8-3.노무산출'!$C$43:$K$257,7,FALSE)</f>
        <v>#N/A</v>
      </c>
      <c r="G419" s="1207"/>
      <c r="H419" s="248" t="e">
        <f>VLOOKUP(C419,'8-3.노무산출'!$C$43:$K$257,9,FALSE)</f>
        <v>#N/A</v>
      </c>
      <c r="J419" s="533">
        <f t="shared" si="139"/>
        <v>0</v>
      </c>
      <c r="K419" s="456" t="e">
        <f t="shared" si="142"/>
        <v>#N/A</v>
      </c>
      <c r="L419" s="456" t="e">
        <f t="shared" si="143"/>
        <v>#N/A</v>
      </c>
      <c r="M419" s="430" t="e">
        <f t="shared" si="144"/>
        <v>#N/A</v>
      </c>
      <c r="N419" s="394" t="e">
        <f>#REF!+#REF!</f>
        <v>#REF!</v>
      </c>
      <c r="O419" s="458" t="e">
        <f t="shared" si="145"/>
        <v>#N/A</v>
      </c>
      <c r="P419" s="393" t="e">
        <f t="shared" si="147"/>
        <v>#REF!</v>
      </c>
      <c r="Q419" s="311" t="e">
        <f t="shared" si="146"/>
        <v>#N/A</v>
      </c>
      <c r="R419" s="34" t="e">
        <f t="shared" si="140"/>
        <v>#REF!</v>
      </c>
      <c r="S419" s="34" t="e">
        <f t="shared" si="141"/>
        <v>#REF!</v>
      </c>
      <c r="T419" s="34" t="e">
        <f>#REF!+#REF!</f>
        <v>#REF!</v>
      </c>
      <c r="U419" s="34" t="e">
        <f t="shared" si="133"/>
        <v>#REF!</v>
      </c>
    </row>
    <row r="420" spans="1:21" s="34" customFormat="1" ht="24.95" hidden="1" customHeight="1">
      <c r="A420" s="533"/>
      <c r="B420" s="456" t="e">
        <f>'8-3.노무산출'!B122</f>
        <v>#N/A</v>
      </c>
      <c r="C420" s="456" t="e">
        <f>'8-3.노무산출'!C122</f>
        <v>#N/A</v>
      </c>
      <c r="D420" s="457" t="e">
        <f>'8-3.노무산출'!D122</f>
        <v>#N/A</v>
      </c>
      <c r="E420" s="394">
        <f>'8-3.노무산출'!H122</f>
        <v>0</v>
      </c>
      <c r="F420" s="1207" t="e">
        <f>VLOOKUP(C420,'8-3.노무산출'!$C$43:$K$257,7,FALSE)</f>
        <v>#N/A</v>
      </c>
      <c r="G420" s="1207"/>
      <c r="H420" s="248" t="e">
        <f>VLOOKUP(C420,'8-3.노무산출'!$C$43:$K$257,9,FALSE)</f>
        <v>#N/A</v>
      </c>
      <c r="J420" s="533">
        <f t="shared" si="139"/>
        <v>0</v>
      </c>
      <c r="K420" s="456" t="e">
        <f t="shared" si="142"/>
        <v>#N/A</v>
      </c>
      <c r="L420" s="456" t="e">
        <f t="shared" si="143"/>
        <v>#N/A</v>
      </c>
      <c r="M420" s="430" t="e">
        <f t="shared" si="144"/>
        <v>#N/A</v>
      </c>
      <c r="N420" s="394" t="e">
        <f>#REF!+#REF!</f>
        <v>#REF!</v>
      </c>
      <c r="O420" s="458" t="e">
        <f t="shared" si="145"/>
        <v>#N/A</v>
      </c>
      <c r="P420" s="393" t="e">
        <f t="shared" si="147"/>
        <v>#REF!</v>
      </c>
      <c r="Q420" s="311" t="e">
        <f t="shared" si="146"/>
        <v>#N/A</v>
      </c>
      <c r="R420" s="34" t="e">
        <f t="shared" si="140"/>
        <v>#REF!</v>
      </c>
      <c r="S420" s="34" t="e">
        <f t="shared" si="141"/>
        <v>#REF!</v>
      </c>
      <c r="T420" s="34" t="e">
        <f>#REF!+#REF!</f>
        <v>#REF!</v>
      </c>
      <c r="U420" s="34" t="e">
        <f t="shared" si="133"/>
        <v>#REF!</v>
      </c>
    </row>
    <row r="421" spans="1:21" s="34" customFormat="1" ht="24.95" hidden="1" customHeight="1">
      <c r="A421" s="533"/>
      <c r="B421" s="456" t="e">
        <f>'8-3.노무산출'!B123</f>
        <v>#N/A</v>
      </c>
      <c r="C421" s="456" t="e">
        <f>'8-3.노무산출'!C123</f>
        <v>#N/A</v>
      </c>
      <c r="D421" s="457" t="e">
        <f>'8-3.노무산출'!D123</f>
        <v>#N/A</v>
      </c>
      <c r="E421" s="394">
        <f>'8-3.노무산출'!H123</f>
        <v>0</v>
      </c>
      <c r="F421" s="1207" t="e">
        <f>VLOOKUP(C421,'8-3.노무산출'!$C$43:$K$257,7,FALSE)</f>
        <v>#N/A</v>
      </c>
      <c r="G421" s="1207"/>
      <c r="H421" s="248" t="e">
        <f>VLOOKUP(C421,'8-3.노무산출'!$C$43:$K$257,9,FALSE)</f>
        <v>#N/A</v>
      </c>
      <c r="J421" s="533">
        <f t="shared" si="139"/>
        <v>0</v>
      </c>
      <c r="K421" s="456" t="e">
        <f t="shared" si="142"/>
        <v>#N/A</v>
      </c>
      <c r="L421" s="456" t="e">
        <f t="shared" si="143"/>
        <v>#N/A</v>
      </c>
      <c r="M421" s="430" t="e">
        <f t="shared" si="144"/>
        <v>#N/A</v>
      </c>
      <c r="N421" s="394" t="e">
        <f>#REF!+#REF!</f>
        <v>#REF!</v>
      </c>
      <c r="O421" s="458" t="e">
        <f t="shared" si="145"/>
        <v>#N/A</v>
      </c>
      <c r="P421" s="393" t="e">
        <f t="shared" si="147"/>
        <v>#REF!</v>
      </c>
      <c r="Q421" s="311" t="e">
        <f t="shared" si="146"/>
        <v>#N/A</v>
      </c>
      <c r="R421" s="34" t="e">
        <f t="shared" si="140"/>
        <v>#REF!</v>
      </c>
      <c r="S421" s="34" t="e">
        <f t="shared" si="141"/>
        <v>#REF!</v>
      </c>
      <c r="T421" s="34" t="e">
        <f>#REF!+#REF!</f>
        <v>#REF!</v>
      </c>
      <c r="U421" s="34" t="e">
        <f t="shared" si="133"/>
        <v>#REF!</v>
      </c>
    </row>
    <row r="422" spans="1:21" s="34" customFormat="1" ht="24.95" customHeight="1">
      <c r="A422" s="533"/>
      <c r="B422" s="456" t="str">
        <f>'8-3.노무산출'!B124</f>
        <v>HUB 설치</v>
      </c>
      <c r="C422" s="456" t="str">
        <f>'8-3.노무산출'!C124</f>
        <v>Dummy 허브 설치</v>
      </c>
      <c r="D422" s="457" t="str">
        <f>'8-3.노무산출'!D124</f>
        <v>대</v>
      </c>
      <c r="E422" s="394">
        <f>'8-3.노무산출'!H124</f>
        <v>5</v>
      </c>
      <c r="F422" s="1207">
        <f>VLOOKUP(C422,'8-3.노무산출'!$C$43:$K$257,7,FALSE)</f>
        <v>66023</v>
      </c>
      <c r="G422" s="1207">
        <f t="shared" ref="G422:G425" si="148">INT(E422*F422)</f>
        <v>330115</v>
      </c>
      <c r="H422" s="248" t="str">
        <f>VLOOKUP(C422,'8-3.노무산출'!$C$43:$K$257,9,FALSE)</f>
        <v>품3-1.</v>
      </c>
      <c r="J422" s="533">
        <f t="shared" si="139"/>
        <v>0</v>
      </c>
      <c r="K422" s="456" t="str">
        <f t="shared" si="142"/>
        <v>HUB 설치</v>
      </c>
      <c r="L422" s="456" t="str">
        <f t="shared" si="143"/>
        <v>Dummy 허브 설치</v>
      </c>
      <c r="M422" s="430" t="str">
        <f t="shared" si="144"/>
        <v>대</v>
      </c>
      <c r="N422" s="394" t="e">
        <f>#REF!+#REF!</f>
        <v>#REF!</v>
      </c>
      <c r="O422" s="458">
        <f t="shared" si="145"/>
        <v>66023</v>
      </c>
      <c r="P422" s="393" t="e">
        <f t="shared" si="147"/>
        <v>#REF!</v>
      </c>
      <c r="Q422" s="311" t="str">
        <f t="shared" si="146"/>
        <v>품3-1.</v>
      </c>
      <c r="R422" s="34" t="e">
        <f t="shared" si="140"/>
        <v>#REF!</v>
      </c>
      <c r="S422" s="34" t="e">
        <f t="shared" si="141"/>
        <v>#REF!</v>
      </c>
      <c r="T422" s="34" t="e">
        <f>#REF!+#REF!</f>
        <v>#REF!</v>
      </c>
      <c r="U422" s="34" t="e">
        <f t="shared" si="133"/>
        <v>#REF!</v>
      </c>
    </row>
    <row r="423" spans="1:21" s="34" customFormat="1" ht="24.95" hidden="1" customHeight="1">
      <c r="A423" s="533"/>
      <c r="B423" s="456" t="e">
        <f>'8-3.노무산출'!B125</f>
        <v>#N/A</v>
      </c>
      <c r="C423" s="456" t="e">
        <f>'8-3.노무산출'!C125</f>
        <v>#N/A</v>
      </c>
      <c r="D423" s="457" t="e">
        <f>'8-3.노무산출'!D125</f>
        <v>#N/A</v>
      </c>
      <c r="E423" s="394">
        <f>'8-3.노무산출'!H125</f>
        <v>0</v>
      </c>
      <c r="F423" s="1207" t="e">
        <f>VLOOKUP(C423,'8-3.노무산출'!$C$43:$K$257,7,FALSE)</f>
        <v>#N/A</v>
      </c>
      <c r="G423" s="1207"/>
      <c r="H423" s="248" t="e">
        <f>VLOOKUP(C423,'8-3.노무산출'!$C$43:$K$257,9,FALSE)</f>
        <v>#N/A</v>
      </c>
      <c r="J423" s="533">
        <f t="shared" si="139"/>
        <v>0</v>
      </c>
      <c r="K423" s="456" t="e">
        <f t="shared" si="142"/>
        <v>#N/A</v>
      </c>
      <c r="L423" s="456" t="e">
        <f t="shared" si="143"/>
        <v>#N/A</v>
      </c>
      <c r="M423" s="430" t="e">
        <f t="shared" si="144"/>
        <v>#N/A</v>
      </c>
      <c r="N423" s="394" t="e">
        <f>#REF!+#REF!</f>
        <v>#REF!</v>
      </c>
      <c r="O423" s="458" t="e">
        <f t="shared" si="145"/>
        <v>#N/A</v>
      </c>
      <c r="P423" s="393" t="e">
        <f t="shared" si="147"/>
        <v>#REF!</v>
      </c>
      <c r="Q423" s="311" t="e">
        <f t="shared" si="146"/>
        <v>#N/A</v>
      </c>
      <c r="R423" s="34" t="e">
        <f t="shared" si="140"/>
        <v>#REF!</v>
      </c>
      <c r="S423" s="34" t="e">
        <f t="shared" si="141"/>
        <v>#REF!</v>
      </c>
      <c r="T423" s="34" t="e">
        <f>#REF!+#REF!</f>
        <v>#REF!</v>
      </c>
      <c r="U423" s="34" t="e">
        <f t="shared" si="133"/>
        <v>#REF!</v>
      </c>
    </row>
    <row r="424" spans="1:21" s="34" customFormat="1" ht="24.95" customHeight="1">
      <c r="A424" s="533"/>
      <c r="B424" s="456" t="str">
        <f>'8-3.노무산출'!B127</f>
        <v>포인트연결어댑터(EPIA) 설치</v>
      </c>
      <c r="C424" s="456" t="str">
        <f>'8-3.노무산출'!C127</f>
        <v>포인트연결어댑터(EPIA) 설치</v>
      </c>
      <c r="D424" s="457" t="str">
        <f>'8-3.노무산출'!D127</f>
        <v>대</v>
      </c>
      <c r="E424" s="394">
        <f>'8-3.노무산출'!H127</f>
        <v>2</v>
      </c>
      <c r="F424" s="1207">
        <f>VLOOKUP(C424,'8-3.노무산출'!$C$43:$K$257,7,FALSE)</f>
        <v>29537</v>
      </c>
      <c r="G424" s="1207">
        <f t="shared" si="148"/>
        <v>59074</v>
      </c>
      <c r="H424" s="248" t="str">
        <f>VLOOKUP(C424,'8-3.노무산출'!$C$43:$K$257,9,FALSE)</f>
        <v>품3-2.</v>
      </c>
      <c r="J424" s="533">
        <f t="shared" si="139"/>
        <v>0</v>
      </c>
      <c r="K424" s="456" t="str">
        <f t="shared" si="142"/>
        <v>포인트연결어댑터(EPIA) 설치</v>
      </c>
      <c r="L424" s="456" t="str">
        <f t="shared" si="143"/>
        <v>포인트연결어댑터(EPIA) 설치</v>
      </c>
      <c r="M424" s="430" t="str">
        <f t="shared" si="144"/>
        <v>대</v>
      </c>
      <c r="N424" s="394" t="e">
        <f>#REF!+#REF!</f>
        <v>#REF!</v>
      </c>
      <c r="O424" s="458">
        <f t="shared" si="145"/>
        <v>29537</v>
      </c>
      <c r="P424" s="393" t="e">
        <f t="shared" si="147"/>
        <v>#REF!</v>
      </c>
      <c r="Q424" s="311" t="str">
        <f t="shared" si="146"/>
        <v>품3-2.</v>
      </c>
      <c r="R424" s="34" t="e">
        <f t="shared" si="140"/>
        <v>#REF!</v>
      </c>
      <c r="S424" s="34" t="e">
        <f t="shared" si="141"/>
        <v>#REF!</v>
      </c>
      <c r="T424" s="34" t="e">
        <f>#REF!+#REF!</f>
        <v>#REF!</v>
      </c>
      <c r="U424" s="34" t="e">
        <f t="shared" si="133"/>
        <v>#REF!</v>
      </c>
    </row>
    <row r="425" spans="1:21" s="34" customFormat="1" ht="24.95" customHeight="1">
      <c r="A425" s="533"/>
      <c r="B425" s="456" t="str">
        <f>'8-3.노무산출'!B128</f>
        <v>온도센서 설치</v>
      </c>
      <c r="C425" s="456" t="str">
        <f>'8-3.노무산출'!C128</f>
        <v>열선감지기 준용</v>
      </c>
      <c r="D425" s="457" t="str">
        <f>'8-3.노무산출'!D128</f>
        <v>대</v>
      </c>
      <c r="E425" s="394">
        <f>'8-3.노무산출'!H128</f>
        <v>2</v>
      </c>
      <c r="F425" s="1207">
        <f>VLOOKUP(C425,'8-3.노무산출'!$C$43:$K$257,7,FALSE)</f>
        <v>19335</v>
      </c>
      <c r="G425" s="1207">
        <f t="shared" si="148"/>
        <v>38670</v>
      </c>
      <c r="H425" s="248" t="str">
        <f>VLOOKUP(C425,'8-3.노무산출'!$C$43:$K$257,9,FALSE)</f>
        <v>품3-3.</v>
      </c>
      <c r="J425" s="533">
        <f t="shared" si="139"/>
        <v>0</v>
      </c>
      <c r="K425" s="456" t="str">
        <f t="shared" si="142"/>
        <v>온도센서 설치</v>
      </c>
      <c r="L425" s="456" t="str">
        <f t="shared" si="143"/>
        <v>열선감지기 준용</v>
      </c>
      <c r="M425" s="430" t="str">
        <f t="shared" si="144"/>
        <v>대</v>
      </c>
      <c r="N425" s="394" t="e">
        <f>#REF!+#REF!</f>
        <v>#REF!</v>
      </c>
      <c r="O425" s="458">
        <f t="shared" si="145"/>
        <v>19335</v>
      </c>
      <c r="P425" s="393" t="e">
        <f t="shared" si="147"/>
        <v>#REF!</v>
      </c>
      <c r="Q425" s="311" t="str">
        <f t="shared" si="146"/>
        <v>품3-3.</v>
      </c>
      <c r="R425" s="34" t="e">
        <f t="shared" si="140"/>
        <v>#REF!</v>
      </c>
      <c r="S425" s="34" t="e">
        <f t="shared" si="141"/>
        <v>#REF!</v>
      </c>
      <c r="T425" s="34" t="e">
        <f>#REF!+#REF!</f>
        <v>#REF!</v>
      </c>
      <c r="U425" s="34" t="e">
        <f t="shared" si="133"/>
        <v>#REF!</v>
      </c>
    </row>
    <row r="426" spans="1:21" s="34" customFormat="1" ht="24.95" customHeight="1">
      <c r="A426" s="533"/>
      <c r="B426" s="456" t="str">
        <f>'8-3.노무산출'!B129</f>
        <v>AC전압검출기 설치</v>
      </c>
      <c r="C426" s="456" t="str">
        <f>'8-3.노무산출'!C129</f>
        <v>전환기 준용</v>
      </c>
      <c r="D426" s="457" t="str">
        <f>'8-3.노무산출'!D129</f>
        <v>대</v>
      </c>
      <c r="E426" s="394">
        <f>'8-3.노무산출'!H129</f>
        <v>2</v>
      </c>
      <c r="F426" s="1207">
        <f>VLOOKUP(C426,'8-3.노무산출'!$C$43:$K$257,7,FALSE)</f>
        <v>37328</v>
      </c>
      <c r="G426" s="1207">
        <f t="shared" ref="G426:G434" si="149">INT(E426*F426)</f>
        <v>74656</v>
      </c>
      <c r="H426" s="248" t="str">
        <f>VLOOKUP(C426,'8-3.노무산출'!$C$43:$K$257,9,FALSE)</f>
        <v>품3-4.</v>
      </c>
      <c r="J426" s="533"/>
      <c r="K426" s="456"/>
      <c r="L426" s="456"/>
      <c r="M426" s="430"/>
      <c r="N426" s="394"/>
      <c r="O426" s="458"/>
      <c r="P426" s="393"/>
      <c r="Q426" s="311"/>
    </row>
    <row r="427" spans="1:21" s="34" customFormat="1" ht="24.95" customHeight="1">
      <c r="A427" s="533"/>
      <c r="B427" s="456" t="str">
        <f>'8-3.노무산출'!B130</f>
        <v>자석감지기 설치</v>
      </c>
      <c r="C427" s="456" t="str">
        <f>'8-3.노무산출'!C130</f>
        <v>문감지기</v>
      </c>
      <c r="D427" s="457" t="str">
        <f>'8-3.노무산출'!D130</f>
        <v>대</v>
      </c>
      <c r="E427" s="394">
        <f>'8-3.노무산출'!H130</f>
        <v>6</v>
      </c>
      <c r="F427" s="1207">
        <f>VLOOKUP(C427,'8-3.노무산출'!$C$43:$K$257,7,FALSE)</f>
        <v>19335</v>
      </c>
      <c r="G427" s="1207">
        <f t="shared" si="149"/>
        <v>116010</v>
      </c>
      <c r="H427" s="248" t="str">
        <f>VLOOKUP(C427,'8-3.노무산출'!$C$43:$K$257,9,FALSE)</f>
        <v>품3-5.</v>
      </c>
      <c r="J427" s="533"/>
      <c r="K427" s="456"/>
      <c r="L427" s="456"/>
      <c r="M427" s="430"/>
      <c r="N427" s="394"/>
      <c r="O427" s="458"/>
      <c r="P427" s="393"/>
      <c r="Q427" s="311"/>
    </row>
    <row r="428" spans="1:21" s="34" customFormat="1" ht="24.95" hidden="1" customHeight="1">
      <c r="A428" s="533"/>
      <c r="B428" s="456" t="e">
        <f>'8-3.노무산출'!B131</f>
        <v>#N/A</v>
      </c>
      <c r="C428" s="456" t="e">
        <f>'8-3.노무산출'!C131</f>
        <v>#N/A</v>
      </c>
      <c r="D428" s="457" t="e">
        <f>'8-3.노무산출'!D131</f>
        <v>#N/A</v>
      </c>
      <c r="E428" s="394">
        <f>'8-3.노무산출'!H131</f>
        <v>0</v>
      </c>
      <c r="F428" s="1207" t="e">
        <f>VLOOKUP(C428,'8-3.노무산출'!$C$43:$K$257,7,FALSE)</f>
        <v>#N/A</v>
      </c>
      <c r="G428" s="1207"/>
      <c r="H428" s="248" t="e">
        <f>VLOOKUP(C428,'8-3.노무산출'!$C$43:$K$257,9,FALSE)</f>
        <v>#N/A</v>
      </c>
      <c r="J428" s="533"/>
      <c r="K428" s="456"/>
      <c r="L428" s="456"/>
      <c r="M428" s="430"/>
      <c r="N428" s="394"/>
      <c r="O428" s="458"/>
      <c r="P428" s="393"/>
      <c r="Q428" s="311"/>
    </row>
    <row r="429" spans="1:21" s="34" customFormat="1" ht="24.95" customHeight="1">
      <c r="A429" s="533"/>
      <c r="B429" s="456" t="str">
        <f>'8-3.노무산출'!B132</f>
        <v>제어케이블 포설</v>
      </c>
      <c r="C429" s="456" t="str">
        <f>'8-3.노무산출'!C132</f>
        <v>6SQ/2C</v>
      </c>
      <c r="D429" s="457" t="str">
        <f>'8-3.노무산출'!D132</f>
        <v>m</v>
      </c>
      <c r="E429" s="394">
        <f>'8-3.노무산출'!H132</f>
        <v>40</v>
      </c>
      <c r="F429" s="1207">
        <f>VLOOKUP(C429,'8-3.노무산출'!$C$43:$K$257,7,FALSE)</f>
        <v>8355</v>
      </c>
      <c r="G429" s="1207">
        <f t="shared" si="149"/>
        <v>334200</v>
      </c>
      <c r="H429" s="248" t="str">
        <f>VLOOKUP(C429,'8-3.노무산출'!$C$43:$K$257,9,FALSE)</f>
        <v>품3-6.</v>
      </c>
      <c r="J429" s="533"/>
      <c r="K429" s="456"/>
      <c r="L429" s="456"/>
      <c r="M429" s="430"/>
      <c r="N429" s="394"/>
      <c r="O429" s="458"/>
      <c r="P429" s="393"/>
      <c r="Q429" s="311"/>
    </row>
    <row r="430" spans="1:21" s="34" customFormat="1" ht="24.95" hidden="1" customHeight="1">
      <c r="A430" s="533"/>
      <c r="B430" s="456" t="e">
        <f>'8-3.노무산출'!B133</f>
        <v>#N/A</v>
      </c>
      <c r="C430" s="456" t="e">
        <f>'8-3.노무산출'!C133</f>
        <v>#N/A</v>
      </c>
      <c r="D430" s="457" t="e">
        <f>'8-3.노무산출'!D133</f>
        <v>#N/A</v>
      </c>
      <c r="E430" s="394">
        <f>'8-3.노무산출'!H133</f>
        <v>0</v>
      </c>
      <c r="F430" s="1207" t="e">
        <f>VLOOKUP(C430,'8-3.노무산출'!$C$43:$K$257,7,FALSE)</f>
        <v>#N/A</v>
      </c>
      <c r="G430" s="1207"/>
      <c r="H430" s="248" t="e">
        <f>VLOOKUP(C430,'8-3.노무산출'!$C$43:$K$257,9,FALSE)</f>
        <v>#N/A</v>
      </c>
      <c r="J430" s="533"/>
      <c r="K430" s="456"/>
      <c r="L430" s="456"/>
      <c r="M430" s="430"/>
      <c r="N430" s="394"/>
      <c r="O430" s="458"/>
      <c r="P430" s="393"/>
      <c r="Q430" s="311"/>
    </row>
    <row r="431" spans="1:21" s="34" customFormat="1" ht="24.95" customHeight="1">
      <c r="A431" s="533"/>
      <c r="B431" s="456" t="str">
        <f>'8-3.노무산출'!B134</f>
        <v>UTP케이블 포설</v>
      </c>
      <c r="C431" s="456" t="str">
        <f>'8-3.노무산출'!C134</f>
        <v>CAT.5 4Pr</v>
      </c>
      <c r="D431" s="457" t="str">
        <f>'8-3.노무산출'!D134</f>
        <v>m</v>
      </c>
      <c r="E431" s="394">
        <f>'8-3.노무산출'!H134</f>
        <v>111</v>
      </c>
      <c r="F431" s="1207">
        <f>VLOOKUP(C431,'8-3.노무산출'!$C$43:$K$257,7,FALSE)</f>
        <v>5802</v>
      </c>
      <c r="G431" s="1207">
        <f t="shared" si="149"/>
        <v>644022</v>
      </c>
      <c r="H431" s="248" t="str">
        <f>VLOOKUP(C431,'8-3.노무산출'!$C$43:$K$257,9,FALSE)</f>
        <v>품3-7.</v>
      </c>
      <c r="J431" s="533"/>
      <c r="K431" s="456"/>
      <c r="L431" s="456"/>
      <c r="M431" s="430"/>
      <c r="N431" s="394"/>
      <c r="O431" s="458"/>
      <c r="P431" s="393"/>
      <c r="Q431" s="311"/>
    </row>
    <row r="432" spans="1:21" s="34" customFormat="1" ht="24.95" hidden="1" customHeight="1">
      <c r="A432" s="533"/>
      <c r="B432" s="456" t="str">
        <f>'8-3.노무산출'!B135</f>
        <v>UTP케이블 포설</v>
      </c>
      <c r="C432" s="456" t="str">
        <f>'8-3.노무산출'!C135</f>
        <v>CAT.5 4Pr, 2열</v>
      </c>
      <c r="D432" s="457" t="str">
        <f>'8-3.노무산출'!D135</f>
        <v>m</v>
      </c>
      <c r="E432" s="394">
        <f>'8-3.노무산출'!H135</f>
        <v>0</v>
      </c>
      <c r="F432" s="1207">
        <f>VLOOKUP(C432,'8-3.노무산출'!$C$43:$K$257,7,FALSE)</f>
        <v>10444</v>
      </c>
      <c r="G432" s="1207">
        <f t="shared" si="149"/>
        <v>0</v>
      </c>
      <c r="H432" s="248" t="str">
        <f>VLOOKUP(C432,'8-3.노무산출'!$C$43:$K$257,9,FALSE)</f>
        <v>품1-8.</v>
      </c>
      <c r="J432" s="533"/>
      <c r="K432" s="456"/>
      <c r="L432" s="456"/>
      <c r="M432" s="430"/>
      <c r="N432" s="394"/>
      <c r="O432" s="458"/>
      <c r="P432" s="393"/>
      <c r="Q432" s="311"/>
    </row>
    <row r="433" spans="1:17" s="34" customFormat="1" ht="24.95" hidden="1" customHeight="1">
      <c r="A433" s="533"/>
      <c r="B433" s="456" t="str">
        <f>'8-3.노무산출'!B136</f>
        <v>UTP케이블 포설</v>
      </c>
      <c r="C433" s="456" t="str">
        <f>'8-3.노무산출'!C136</f>
        <v>CAT.5 4Pr,3열</v>
      </c>
      <c r="D433" s="457" t="str">
        <f>'8-3.노무산출'!D136</f>
        <v>m</v>
      </c>
      <c r="E433" s="394">
        <f>'8-3.노무산출'!H136</f>
        <v>0</v>
      </c>
      <c r="F433" s="1207">
        <f>VLOOKUP(C433,'8-3.노무산출'!$C$43:$K$257,7,FALSE)</f>
        <v>15087</v>
      </c>
      <c r="G433" s="1207">
        <f t="shared" si="149"/>
        <v>0</v>
      </c>
      <c r="H433" s="248" t="str">
        <f>VLOOKUP(C433,'8-3.노무산출'!$C$43:$K$257,9,FALSE)</f>
        <v>품3-8-1</v>
      </c>
      <c r="J433" s="533"/>
      <c r="K433" s="456"/>
      <c r="L433" s="456"/>
      <c r="M433" s="430"/>
      <c r="N433" s="394"/>
      <c r="O433" s="458"/>
      <c r="P433" s="393"/>
      <c r="Q433" s="311"/>
    </row>
    <row r="434" spans="1:17" s="34" customFormat="1" ht="24.95" customHeight="1">
      <c r="A434" s="533"/>
      <c r="B434" s="456" t="str">
        <f>'8-3.노무산출'!B137</f>
        <v>UTP케이블 포설</v>
      </c>
      <c r="C434" s="456" t="str">
        <f>'8-3.노무산출'!C137</f>
        <v>CAT.5 4Pr,4열</v>
      </c>
      <c r="D434" s="457" t="str">
        <f>'8-3.노무산출'!D137</f>
        <v>m</v>
      </c>
      <c r="E434" s="394">
        <f>'8-3.노무산출'!H137</f>
        <v>4</v>
      </c>
      <c r="F434" s="1207">
        <f>VLOOKUP(C434,'8-3.노무산출'!$C$43:$K$257,7,FALSE)</f>
        <v>19729</v>
      </c>
      <c r="G434" s="1207">
        <f t="shared" si="149"/>
        <v>78916</v>
      </c>
      <c r="H434" s="248" t="str">
        <f>VLOOKUP(C434,'8-3.노무산출'!$C$43:$K$257,9,FALSE)</f>
        <v>품3-8-2</v>
      </c>
      <c r="J434" s="533"/>
      <c r="K434" s="456"/>
      <c r="L434" s="456"/>
      <c r="M434" s="430"/>
      <c r="N434" s="394"/>
      <c r="O434" s="458"/>
      <c r="P434" s="393"/>
      <c r="Q434" s="311"/>
    </row>
    <row r="435" spans="1:17" s="34" customFormat="1" ht="24.95" hidden="1" customHeight="1">
      <c r="A435" s="533"/>
      <c r="B435" s="456" t="str">
        <f>'8-3.노무산출'!B138</f>
        <v>UTP케이블 포설</v>
      </c>
      <c r="C435" s="456" t="str">
        <f>'8-3.노무산출'!C138</f>
        <v>CAT.5 4Pr,5열</v>
      </c>
      <c r="D435" s="457" t="str">
        <f>'8-3.노무산출'!D138</f>
        <v>m</v>
      </c>
      <c r="E435" s="394">
        <f>'8-3.노무산출'!H138</f>
        <v>0</v>
      </c>
      <c r="F435" s="1207">
        <f>VLOOKUP(C435,'8-3.노무산출'!$C$43:$K$257,7,FALSE)</f>
        <v>24371</v>
      </c>
      <c r="G435" s="1207">
        <f t="shared" ref="G435:G439" si="150">INT(E435*F435)</f>
        <v>0</v>
      </c>
      <c r="H435" s="248" t="str">
        <f>VLOOKUP(C435,'8-3.노무산출'!$C$43:$K$257,9,FALSE)</f>
        <v>품3-8-3</v>
      </c>
      <c r="J435" s="533"/>
      <c r="K435" s="456"/>
      <c r="L435" s="456"/>
      <c r="M435" s="430"/>
      <c r="N435" s="394"/>
      <c r="O435" s="458"/>
      <c r="P435" s="393"/>
      <c r="Q435" s="311"/>
    </row>
    <row r="436" spans="1:17" s="34" customFormat="1" ht="24.95" customHeight="1">
      <c r="A436" s="533"/>
      <c r="B436" s="456" t="str">
        <f>'8-3.노무산출'!B139</f>
        <v>후렉시블전선관 시설</v>
      </c>
      <c r="C436" s="456" t="str">
        <f>'8-3.노무산출'!C139</f>
        <v>금속가요전선관 16㎜</v>
      </c>
      <c r="D436" s="457" t="str">
        <f>'8-3.노무산출'!D139</f>
        <v>m</v>
      </c>
      <c r="E436" s="394">
        <f>'8-3.노무산출'!H139</f>
        <v>63.5</v>
      </c>
      <c r="F436" s="1207">
        <f>VLOOKUP(C436,'8-3.노무산출'!$C$43:$K$257,7,FALSE)</f>
        <v>14234</v>
      </c>
      <c r="G436" s="1207">
        <f t="shared" si="150"/>
        <v>903859</v>
      </c>
      <c r="H436" s="248" t="s">
        <v>3009</v>
      </c>
      <c r="J436" s="533"/>
      <c r="K436" s="456"/>
      <c r="L436" s="456"/>
      <c r="M436" s="430"/>
      <c r="N436" s="394"/>
      <c r="O436" s="458"/>
      <c r="P436" s="393"/>
      <c r="Q436" s="311"/>
    </row>
    <row r="437" spans="1:17" s="34" customFormat="1" ht="24.95" hidden="1" customHeight="1">
      <c r="A437" s="533"/>
      <c r="B437" s="456" t="str">
        <f>'8-3.노무산출'!B140</f>
        <v>후렉시블전선관 시설</v>
      </c>
      <c r="C437" s="456" t="str">
        <f>'8-3.노무산출'!C140</f>
        <v>금속가요전선관 22㎜</v>
      </c>
      <c r="D437" s="457" t="str">
        <f>'8-3.노무산출'!D140</f>
        <v>m</v>
      </c>
      <c r="E437" s="394">
        <f>'8-3.노무산출'!H140</f>
        <v>0</v>
      </c>
      <c r="F437" s="1207">
        <f>VLOOKUP(C437,'8-3.노무산출'!$C$43:$K$257,7,FALSE)</f>
        <v>19087</v>
      </c>
      <c r="G437" s="1207">
        <f t="shared" si="150"/>
        <v>0</v>
      </c>
      <c r="H437" s="248" t="s">
        <v>3300</v>
      </c>
      <c r="J437" s="533"/>
      <c r="K437" s="456"/>
      <c r="L437" s="456"/>
      <c r="M437" s="430"/>
      <c r="N437" s="394"/>
      <c r="O437" s="458"/>
      <c r="P437" s="393"/>
      <c r="Q437" s="311"/>
    </row>
    <row r="438" spans="1:17" s="34" customFormat="1" ht="24.95" customHeight="1">
      <c r="A438" s="533"/>
      <c r="B438" s="456" t="str">
        <f>'8-3.노무산출'!B141</f>
        <v>접지선 포설</v>
      </c>
      <c r="C438" s="456" t="str">
        <f>'8-3.노무산출'!C141</f>
        <v>10㎟ 이하</v>
      </c>
      <c r="D438" s="457" t="str">
        <f>'8-3.노무산출'!D141</f>
        <v>m</v>
      </c>
      <c r="E438" s="394">
        <f>'8-3.노무산출'!H141</f>
        <v>6</v>
      </c>
      <c r="F438" s="1207">
        <f>VLOOKUP(C438,'8-3.노무산출'!$C$43:$K$257,7,FALSE)</f>
        <v>3732</v>
      </c>
      <c r="G438" s="1207">
        <f t="shared" si="150"/>
        <v>22392</v>
      </c>
      <c r="H438" s="248" t="s">
        <v>3010</v>
      </c>
      <c r="J438" s="533"/>
      <c r="K438" s="456"/>
      <c r="L438" s="456"/>
      <c r="M438" s="430"/>
      <c r="N438" s="394"/>
      <c r="O438" s="458"/>
      <c r="P438" s="393"/>
      <c r="Q438" s="311"/>
    </row>
    <row r="439" spans="1:17" s="34" customFormat="1" ht="24.95" customHeight="1">
      <c r="A439" s="533"/>
      <c r="B439" s="456" t="str">
        <f>'8-3.노무산출'!B142</f>
        <v>접지선 접속</v>
      </c>
      <c r="C439" s="456" t="str">
        <f>'8-3.노무산출'!C142</f>
        <v>압착단자</v>
      </c>
      <c r="D439" s="457" t="str">
        <f>'8-3.노무산출'!D142</f>
        <v>개</v>
      </c>
      <c r="E439" s="394">
        <f>'8-3.노무산출'!H142</f>
        <v>2</v>
      </c>
      <c r="F439" s="1207">
        <f>VLOOKUP(C439,'8-3.노무산출'!$C$43:$K$257,7,FALSE)</f>
        <v>7465</v>
      </c>
      <c r="G439" s="1207">
        <f t="shared" si="150"/>
        <v>14930</v>
      </c>
      <c r="H439" s="248" t="s">
        <v>3302</v>
      </c>
      <c r="J439" s="533"/>
      <c r="K439" s="456"/>
      <c r="L439" s="456"/>
      <c r="M439" s="430"/>
      <c r="N439" s="394"/>
      <c r="O439" s="458"/>
      <c r="P439" s="393"/>
      <c r="Q439" s="311"/>
    </row>
    <row r="440" spans="1:17" s="34" customFormat="1" ht="24.95" hidden="1" customHeight="1">
      <c r="A440" s="533"/>
      <c r="B440" s="456" t="e">
        <f>'8-3.노무산출'!B143</f>
        <v>#N/A</v>
      </c>
      <c r="C440" s="456" t="e">
        <f>'8-3.노무산출'!C143</f>
        <v>#N/A</v>
      </c>
      <c r="D440" s="457" t="e">
        <f>'8-3.노무산출'!D143</f>
        <v>#N/A</v>
      </c>
      <c r="E440" s="394">
        <f>'8-3.노무산출'!H143</f>
        <v>0</v>
      </c>
      <c r="F440" s="1207" t="e">
        <f>VLOOKUP(C440,'8-3.노무산출'!$C$43:$K$257,7,FALSE)</f>
        <v>#N/A</v>
      </c>
      <c r="G440" s="1207"/>
      <c r="H440" s="248" t="e">
        <f>VLOOKUP(C440,'8-3.노무산출'!$C$43:$K$257,9,FALSE)</f>
        <v>#N/A</v>
      </c>
      <c r="J440" s="533"/>
      <c r="K440" s="456"/>
      <c r="L440" s="456"/>
      <c r="M440" s="430"/>
      <c r="N440" s="394"/>
      <c r="O440" s="458"/>
      <c r="P440" s="393"/>
      <c r="Q440" s="311"/>
    </row>
    <row r="441" spans="1:17" s="34" customFormat="1" ht="24.95" hidden="1" customHeight="1">
      <c r="A441" s="533"/>
      <c r="B441" s="456" t="e">
        <f>'8-3.노무산출'!B144</f>
        <v>#N/A</v>
      </c>
      <c r="C441" s="456" t="e">
        <f>'8-3.노무산출'!C144</f>
        <v>#N/A</v>
      </c>
      <c r="D441" s="457" t="e">
        <f>'8-3.노무산출'!D144</f>
        <v>#N/A</v>
      </c>
      <c r="E441" s="394">
        <f>'8-3.노무산출'!H144</f>
        <v>0</v>
      </c>
      <c r="F441" s="1207" t="e">
        <f>VLOOKUP(C441,'8-3.노무산출'!$C$43:$K$257,7,FALSE)</f>
        <v>#N/A</v>
      </c>
      <c r="G441" s="1207"/>
      <c r="H441" s="248" t="e">
        <f>VLOOKUP(C441,'8-3.노무산출'!$C$43:$K$257,9,FALSE)</f>
        <v>#N/A</v>
      </c>
      <c r="J441" s="533"/>
      <c r="K441" s="456"/>
      <c r="L441" s="456"/>
      <c r="M441" s="430"/>
      <c r="N441" s="394"/>
      <c r="O441" s="458"/>
      <c r="P441" s="393"/>
      <c r="Q441" s="311"/>
    </row>
    <row r="442" spans="1:17" s="34" customFormat="1" ht="24.95" hidden="1" customHeight="1">
      <c r="A442" s="533"/>
      <c r="B442" s="456" t="e">
        <f>'8-3.노무산출'!B145</f>
        <v>#N/A</v>
      </c>
      <c r="C442" s="456" t="e">
        <f>'8-3.노무산출'!C145</f>
        <v>#N/A</v>
      </c>
      <c r="D442" s="457" t="e">
        <f>'8-3.노무산출'!D145</f>
        <v>#N/A</v>
      </c>
      <c r="E442" s="394">
        <f>'8-3.노무산출'!H145</f>
        <v>0</v>
      </c>
      <c r="F442" s="1207" t="e">
        <f>VLOOKUP(C442,'8-3.노무산출'!$C$43:$K$257,7,FALSE)</f>
        <v>#N/A</v>
      </c>
      <c r="G442" s="1207"/>
      <c r="H442" s="248" t="e">
        <f>VLOOKUP(C442,'8-3.노무산출'!$C$43:$K$257,9,FALSE)</f>
        <v>#N/A</v>
      </c>
      <c r="J442" s="533"/>
      <c r="K442" s="456"/>
      <c r="L442" s="456"/>
      <c r="M442" s="430"/>
      <c r="N442" s="394"/>
      <c r="O442" s="458"/>
      <c r="P442" s="393"/>
      <c r="Q442" s="311"/>
    </row>
    <row r="443" spans="1:17" s="34" customFormat="1" ht="24.95" customHeight="1">
      <c r="A443" s="533"/>
      <c r="B443" s="456"/>
      <c r="C443" s="456"/>
      <c r="D443" s="457"/>
      <c r="E443" s="394"/>
      <c r="F443" s="1207"/>
      <c r="G443" s="1207"/>
      <c r="H443" s="248"/>
      <c r="J443" s="533"/>
      <c r="K443" s="456"/>
      <c r="L443" s="456"/>
      <c r="M443" s="430"/>
      <c r="N443" s="394"/>
      <c r="O443" s="458"/>
      <c r="P443" s="393"/>
      <c r="Q443" s="311"/>
    </row>
    <row r="444" spans="1:17" s="34" customFormat="1" ht="24.95" customHeight="1">
      <c r="A444" s="532" t="str">
        <f>A229</f>
        <v>4. IP계통운영통신시스템</v>
      </c>
      <c r="B444" s="456"/>
      <c r="C444" s="393"/>
      <c r="D444" s="430"/>
      <c r="E444" s="394"/>
      <c r="F444" s="1200"/>
      <c r="G444" s="1219">
        <f>SUM(G445:G459)</f>
        <v>2869166</v>
      </c>
      <c r="H444" s="248"/>
      <c r="J444" s="533"/>
      <c r="K444" s="456"/>
      <c r="L444" s="456"/>
      <c r="M444" s="430"/>
      <c r="N444" s="394"/>
      <c r="O444" s="458"/>
      <c r="P444" s="393"/>
      <c r="Q444" s="311"/>
    </row>
    <row r="445" spans="1:17" s="34" customFormat="1" ht="24.95" hidden="1" customHeight="1">
      <c r="A445" s="533"/>
      <c r="B445" s="456" t="e">
        <f>'8-3.노무산출'!B148</f>
        <v>#N/A</v>
      </c>
      <c r="C445" s="456" t="e">
        <f>'8-3.노무산출'!C148</f>
        <v>#N/A</v>
      </c>
      <c r="D445" s="457" t="e">
        <f>'8-3.노무산출'!D148</f>
        <v>#N/A</v>
      </c>
      <c r="E445" s="394">
        <f>'8-3.노무산출'!H148</f>
        <v>0</v>
      </c>
      <c r="F445" s="1207" t="e">
        <f>VLOOKUP(C445,'8-3.노무산출'!$C$43:$K$257,8,FALSE)</f>
        <v>#N/A</v>
      </c>
      <c r="G445" s="1207"/>
      <c r="H445" s="248" t="e">
        <f>VLOOKUP(C445,'8-3.노무산출'!$C$43:$K$257,10,FALSE)</f>
        <v>#N/A</v>
      </c>
      <c r="J445" s="533"/>
      <c r="K445" s="456"/>
      <c r="L445" s="456"/>
      <c r="M445" s="430"/>
      <c r="N445" s="394"/>
      <c r="O445" s="458"/>
      <c r="P445" s="393"/>
      <c r="Q445" s="311"/>
    </row>
    <row r="446" spans="1:17" s="34" customFormat="1" ht="24.95" hidden="1" customHeight="1">
      <c r="A446" s="533"/>
      <c r="B446" s="456" t="e">
        <f>'8-3.노무산출'!B149</f>
        <v>#N/A</v>
      </c>
      <c r="C446" s="456" t="e">
        <f>'8-3.노무산출'!C149</f>
        <v>#N/A</v>
      </c>
      <c r="D446" s="457" t="e">
        <f>'8-3.노무산출'!D149</f>
        <v>#N/A</v>
      </c>
      <c r="E446" s="394">
        <f>'8-3.노무산출'!H149</f>
        <v>0</v>
      </c>
      <c r="F446" s="1207" t="e">
        <f>VLOOKUP(C446,'8-3.노무산출'!$C$43:$K$257,8,FALSE)</f>
        <v>#N/A</v>
      </c>
      <c r="G446" s="1207"/>
      <c r="H446" s="248" t="e">
        <f>VLOOKUP(C446,'8-3.노무산출'!$C$43:$K$257,10,FALSE)</f>
        <v>#N/A</v>
      </c>
      <c r="J446" s="533"/>
      <c r="K446" s="456"/>
      <c r="L446" s="456"/>
      <c r="M446" s="430"/>
      <c r="N446" s="394"/>
      <c r="O446" s="458"/>
      <c r="P446" s="393"/>
      <c r="Q446" s="311"/>
    </row>
    <row r="447" spans="1:17" s="34" customFormat="1" ht="24.95" customHeight="1">
      <c r="A447" s="533"/>
      <c r="B447" s="456" t="str">
        <f>'8-3.노무산출'!B150</f>
        <v>HUB 설치</v>
      </c>
      <c r="C447" s="456" t="str">
        <f>'8-3.노무산출'!C150</f>
        <v>Dummy 허브 설치</v>
      </c>
      <c r="D447" s="457" t="str">
        <f>'8-3.노무산출'!D150</f>
        <v>대</v>
      </c>
      <c r="E447" s="394">
        <f>'8-3.노무산출'!H150</f>
        <v>1</v>
      </c>
      <c r="F447" s="1207">
        <f>VLOOKUP(C447,'8-3.노무산출'!$C$43:$K$257,7,FALSE)</f>
        <v>66023</v>
      </c>
      <c r="G447" s="1207">
        <f t="shared" ref="G447:G459" si="151">INT(E447*F447)</f>
        <v>66023</v>
      </c>
      <c r="H447" s="248" t="s">
        <v>797</v>
      </c>
      <c r="J447" s="533"/>
      <c r="K447" s="456"/>
      <c r="L447" s="456"/>
      <c r="M447" s="430"/>
      <c r="N447" s="394"/>
      <c r="O447" s="458"/>
      <c r="P447" s="393"/>
      <c r="Q447" s="311"/>
    </row>
    <row r="448" spans="1:17" s="34" customFormat="1" ht="24.95" customHeight="1">
      <c r="A448" s="533"/>
      <c r="B448" s="456" t="str">
        <f>'8-3.노무산출'!B151</f>
        <v>통합형계통운영시스템용 콘솔</v>
      </c>
      <c r="C448" s="456" t="str">
        <f>'8-3.노무산출'!C151</f>
        <v>사령원콘솔</v>
      </c>
      <c r="D448" s="457" t="str">
        <f>'8-3.노무산출'!D151</f>
        <v>대</v>
      </c>
      <c r="E448" s="394">
        <f>'8-3.노무산출'!H151</f>
        <v>3</v>
      </c>
      <c r="F448" s="1207">
        <f>VLOOKUP(C448,'8-3.노무산출'!$C$43:$K$257,7,FALSE)</f>
        <v>41432</v>
      </c>
      <c r="G448" s="1207">
        <f t="shared" si="151"/>
        <v>124296</v>
      </c>
      <c r="H448" s="248" t="s">
        <v>858</v>
      </c>
      <c r="J448" s="533"/>
      <c r="K448" s="456"/>
      <c r="L448" s="456"/>
      <c r="M448" s="430"/>
      <c r="N448" s="394"/>
      <c r="O448" s="458"/>
      <c r="P448" s="393"/>
      <c r="Q448" s="311"/>
    </row>
    <row r="449" spans="1:17" s="34" customFormat="1" ht="24.95" hidden="1" customHeight="1">
      <c r="A449" s="533"/>
      <c r="B449" s="456" t="e">
        <f>'8-3.노무산출'!B152</f>
        <v>#N/A</v>
      </c>
      <c r="C449" s="456" t="e">
        <f>'8-3.노무산출'!C152</f>
        <v>#N/A</v>
      </c>
      <c r="D449" s="457" t="e">
        <f>'8-3.노무산출'!D152</f>
        <v>#N/A</v>
      </c>
      <c r="E449" s="394">
        <f>'8-3.노무산출'!H152</f>
        <v>0</v>
      </c>
      <c r="F449" s="1207" t="e">
        <f>VLOOKUP(C449,'8-3.노무산출'!$C$43:$K$257,7,FALSE)</f>
        <v>#N/A</v>
      </c>
      <c r="G449" s="1207"/>
      <c r="H449" s="248">
        <v>0</v>
      </c>
      <c r="J449" s="533"/>
      <c r="K449" s="456"/>
      <c r="L449" s="456"/>
      <c r="M449" s="430"/>
      <c r="N449" s="394"/>
      <c r="O449" s="458"/>
      <c r="P449" s="393"/>
      <c r="Q449" s="311"/>
    </row>
    <row r="450" spans="1:17" s="34" customFormat="1" ht="24.95" hidden="1" customHeight="1">
      <c r="A450" s="533"/>
      <c r="B450" s="456" t="e">
        <f>'8-3.노무산출'!B153</f>
        <v>#N/A</v>
      </c>
      <c r="C450" s="456" t="e">
        <f>'8-3.노무산출'!C153</f>
        <v>#N/A</v>
      </c>
      <c r="D450" s="457" t="e">
        <f>'8-3.노무산출'!D153</f>
        <v>#N/A</v>
      </c>
      <c r="E450" s="394">
        <f>'8-3.노무산출'!H153</f>
        <v>0</v>
      </c>
      <c r="F450" s="1207" t="e">
        <f>VLOOKUP(C450,'8-3.노무산출'!$C$43:$K$257,7,FALSE)</f>
        <v>#N/A</v>
      </c>
      <c r="G450" s="1207"/>
      <c r="H450" s="248">
        <v>0</v>
      </c>
      <c r="J450" s="533"/>
      <c r="K450" s="456"/>
      <c r="L450" s="456"/>
      <c r="M450" s="430"/>
      <c r="N450" s="394"/>
      <c r="O450" s="458"/>
      <c r="P450" s="393"/>
      <c r="Q450" s="311"/>
    </row>
    <row r="451" spans="1:17" s="34" customFormat="1" ht="24.95" customHeight="1">
      <c r="A451" s="533"/>
      <c r="B451" s="456" t="str">
        <f>'8-3.노무산출'!B154</f>
        <v>접지선 포설</v>
      </c>
      <c r="C451" s="456" t="str">
        <f>'8-3.노무산출'!C154</f>
        <v>10㎟ 이하</v>
      </c>
      <c r="D451" s="457" t="str">
        <f>'8-3.노무산출'!D154</f>
        <v>m</v>
      </c>
      <c r="E451" s="394">
        <f>'8-3.노무산출'!H154</f>
        <v>3</v>
      </c>
      <c r="F451" s="1207">
        <f>VLOOKUP(C451,'8-3.노무산출'!$C$43:$K$257,7,FALSE)</f>
        <v>3732</v>
      </c>
      <c r="G451" s="1207">
        <f t="shared" si="151"/>
        <v>11196</v>
      </c>
      <c r="H451" s="248" t="s">
        <v>798</v>
      </c>
      <c r="J451" s="533"/>
      <c r="K451" s="456"/>
      <c r="L451" s="456"/>
      <c r="M451" s="430"/>
      <c r="N451" s="394"/>
      <c r="O451" s="458"/>
      <c r="P451" s="393"/>
      <c r="Q451" s="311"/>
    </row>
    <row r="452" spans="1:17" s="34" customFormat="1" ht="24.95" hidden="1" customHeight="1">
      <c r="A452" s="533"/>
      <c r="B452" s="456" t="e">
        <f>'8-3.노무산출'!B155</f>
        <v>#N/A</v>
      </c>
      <c r="C452" s="456" t="e">
        <f>'8-3.노무산출'!C155</f>
        <v>#N/A</v>
      </c>
      <c r="D452" s="457" t="e">
        <f>'8-3.노무산출'!D155</f>
        <v>#N/A</v>
      </c>
      <c r="E452" s="394">
        <f>'8-3.노무산출'!H155</f>
        <v>0</v>
      </c>
      <c r="F452" s="1207" t="e">
        <f>VLOOKUP(C452,'8-3.노무산출'!$C$43:$K$257,7,FALSE)</f>
        <v>#N/A</v>
      </c>
      <c r="G452" s="1207"/>
      <c r="H452" s="248">
        <v>0</v>
      </c>
      <c r="J452" s="533"/>
      <c r="K452" s="456"/>
      <c r="L452" s="456"/>
      <c r="M452" s="430"/>
      <c r="N452" s="394"/>
      <c r="O452" s="458"/>
      <c r="P452" s="393"/>
      <c r="Q452" s="311"/>
    </row>
    <row r="453" spans="1:17" s="34" customFormat="1" ht="24.95" hidden="1" customHeight="1">
      <c r="A453" s="533"/>
      <c r="B453" s="456" t="e">
        <f>'8-3.노무산출'!B156</f>
        <v>#N/A</v>
      </c>
      <c r="C453" s="456" t="e">
        <f>'8-3.노무산출'!C156</f>
        <v>#N/A</v>
      </c>
      <c r="D453" s="457" t="e">
        <f>'8-3.노무산출'!D156</f>
        <v>#N/A</v>
      </c>
      <c r="E453" s="394">
        <f>'8-3.노무산출'!H156</f>
        <v>0</v>
      </c>
      <c r="F453" s="1207" t="e">
        <f>VLOOKUP(C453,'8-3.노무산출'!$C$43:$K$257,7,FALSE)</f>
        <v>#N/A</v>
      </c>
      <c r="G453" s="1207"/>
      <c r="H453" s="248">
        <v>0</v>
      </c>
      <c r="J453" s="533"/>
      <c r="K453" s="456"/>
      <c r="L453" s="456"/>
      <c r="M453" s="430"/>
      <c r="N453" s="394"/>
      <c r="O453" s="458"/>
      <c r="P453" s="393"/>
      <c r="Q453" s="311"/>
    </row>
    <row r="454" spans="1:17" s="34" customFormat="1" ht="24.95" customHeight="1">
      <c r="A454" s="533"/>
      <c r="B454" s="456" t="str">
        <f>'8-3.노무산출'!B157</f>
        <v>UTP케이블 포설</v>
      </c>
      <c r="C454" s="456" t="str">
        <f>'8-3.노무산출'!C157</f>
        <v>CAT.5 4Pr</v>
      </c>
      <c r="D454" s="457" t="str">
        <f>'8-3.노무산출'!D157</f>
        <v>m</v>
      </c>
      <c r="E454" s="394">
        <f>'8-3.노무산출'!H157</f>
        <v>21</v>
      </c>
      <c r="F454" s="1207">
        <f>VLOOKUP(C454,'8-3.노무산출'!$C$43:$K$257,7,FALSE)</f>
        <v>5802</v>
      </c>
      <c r="G454" s="1207">
        <f t="shared" si="151"/>
        <v>121842</v>
      </c>
      <c r="H454" s="248" t="s">
        <v>799</v>
      </c>
      <c r="J454" s="533"/>
      <c r="K454" s="456"/>
      <c r="L454" s="456"/>
      <c r="M454" s="430"/>
      <c r="N454" s="394"/>
      <c r="O454" s="458"/>
      <c r="P454" s="393"/>
      <c r="Q454" s="311"/>
    </row>
    <row r="455" spans="1:17" s="34" customFormat="1" ht="24.95" hidden="1" customHeight="1">
      <c r="A455" s="533"/>
      <c r="B455" s="456" t="e">
        <f>'8-3.노무산출'!B158</f>
        <v>#N/A</v>
      </c>
      <c r="C455" s="456" t="e">
        <f>'8-3.노무산출'!C158</f>
        <v>#N/A</v>
      </c>
      <c r="D455" s="457" t="e">
        <f>'8-3.노무산출'!D158</f>
        <v>#N/A</v>
      </c>
      <c r="E455" s="394">
        <f>'8-3.노무산출'!H158</f>
        <v>0</v>
      </c>
      <c r="F455" s="1207" t="e">
        <f>VLOOKUP(C455,'8-3.노무산출'!$C$43:$K$257,7,FALSE)</f>
        <v>#N/A</v>
      </c>
      <c r="G455" s="1207"/>
      <c r="H455" s="248">
        <v>0</v>
      </c>
      <c r="J455" s="533"/>
      <c r="K455" s="456"/>
      <c r="L455" s="456"/>
      <c r="M455" s="430"/>
      <c r="N455" s="394"/>
      <c r="O455" s="458"/>
      <c r="P455" s="393"/>
      <c r="Q455" s="311"/>
    </row>
    <row r="456" spans="1:17" s="34" customFormat="1" ht="24.95" customHeight="1">
      <c r="A456" s="533"/>
      <c r="B456" s="456" t="str">
        <f>'8-3.노무산출'!B159</f>
        <v>UTP케이블 포설</v>
      </c>
      <c r="C456" s="456" t="str">
        <f>'8-3.노무산출'!C159</f>
        <v>CAT.5 4Pr, 3열</v>
      </c>
      <c r="D456" s="457" t="str">
        <f>'8-3.노무산출'!D159</f>
        <v>m</v>
      </c>
      <c r="E456" s="394">
        <f>'8-3.노무산출'!H159</f>
        <v>81</v>
      </c>
      <c r="F456" s="1207">
        <f>VLOOKUP(C456,'8-3.노무산출'!$C$43:$K$257,7,FALSE)</f>
        <v>15087</v>
      </c>
      <c r="G456" s="1207">
        <f t="shared" si="151"/>
        <v>1222047</v>
      </c>
      <c r="H456" s="248" t="s">
        <v>800</v>
      </c>
      <c r="J456" s="533"/>
      <c r="K456" s="456"/>
      <c r="L456" s="456"/>
      <c r="M456" s="430"/>
      <c r="N456" s="394"/>
      <c r="O456" s="458"/>
      <c r="P456" s="393"/>
      <c r="Q456" s="311"/>
    </row>
    <row r="457" spans="1:17" s="34" customFormat="1" ht="24.95" hidden="1" customHeight="1">
      <c r="A457" s="533"/>
      <c r="B457" s="456" t="str">
        <f>'8-3.노무산출'!B160</f>
        <v>UTP케이블 포설</v>
      </c>
      <c r="C457" s="456" t="str">
        <f>'8-3.노무산출'!C160</f>
        <v>CAT.5 4Pr, 4열</v>
      </c>
      <c r="D457" s="457" t="str">
        <f>'8-3.노무산출'!D160</f>
        <v>m</v>
      </c>
      <c r="E457" s="394">
        <f>'8-3.노무산출'!H160</f>
        <v>0</v>
      </c>
      <c r="F457" s="1207">
        <f>VLOOKUP(C457,'8-3.노무산출'!$C$43:$K$257,7,FALSE)</f>
        <v>19729</v>
      </c>
      <c r="G457" s="1207">
        <f t="shared" si="151"/>
        <v>0</v>
      </c>
      <c r="H457" s="248" t="s">
        <v>1029</v>
      </c>
      <c r="J457" s="533"/>
      <c r="K457" s="456"/>
      <c r="L457" s="456"/>
      <c r="M457" s="430"/>
      <c r="N457" s="394"/>
      <c r="O457" s="458"/>
      <c r="P457" s="393"/>
      <c r="Q457" s="311"/>
    </row>
    <row r="458" spans="1:17" s="34" customFormat="1" ht="24.95" customHeight="1">
      <c r="A458" s="533"/>
      <c r="B458" s="456" t="str">
        <f>'8-3.노무산출'!B161</f>
        <v>후렉시블전선관 시설</v>
      </c>
      <c r="C458" s="456" t="str">
        <f>'8-3.노무산출'!C161</f>
        <v>금속가요전선관 16㎜</v>
      </c>
      <c r="D458" s="457" t="str">
        <f>'8-3.노무산출'!D161</f>
        <v>m</v>
      </c>
      <c r="E458" s="394">
        <f>'8-3.노무산출'!H161</f>
        <v>93</v>
      </c>
      <c r="F458" s="1207">
        <f>VLOOKUP(C458,'8-3.노무산출'!$C$43:$K$257,7,FALSE)</f>
        <v>14234</v>
      </c>
      <c r="G458" s="1207">
        <f t="shared" si="151"/>
        <v>1323762</v>
      </c>
      <c r="H458" s="248" t="s">
        <v>801</v>
      </c>
      <c r="J458" s="533"/>
      <c r="K458" s="456"/>
      <c r="L458" s="456"/>
      <c r="M458" s="430"/>
      <c r="N458" s="394"/>
      <c r="O458" s="458"/>
      <c r="P458" s="393"/>
      <c r="Q458" s="311"/>
    </row>
    <row r="459" spans="1:17" s="34" customFormat="1" ht="24.95" hidden="1" customHeight="1">
      <c r="A459" s="533"/>
      <c r="B459" s="456" t="str">
        <f>'8-3.노무산출'!B162</f>
        <v>콘센트 설치</v>
      </c>
      <c r="C459" s="456" t="str">
        <f>'8-3.노무산출'!C162</f>
        <v>노출 접지 2구</v>
      </c>
      <c r="D459" s="457" t="str">
        <f>'8-3.노무산출'!D162</f>
        <v>개</v>
      </c>
      <c r="E459" s="394">
        <f>'8-3.노무산출'!H162</f>
        <v>0</v>
      </c>
      <c r="F459" s="1207">
        <f>VLOOKUP(C459,'8-3.노무산출'!$C$43:$K$257,8,FALSE)</f>
        <v>0</v>
      </c>
      <c r="G459" s="1207">
        <f t="shared" si="151"/>
        <v>0</v>
      </c>
      <c r="H459" s="248" t="str">
        <f>VLOOKUP(C459,'8-3.노무산출'!$C$43:$K$257,9,FALSE)</f>
        <v>품1-33.</v>
      </c>
      <c r="J459" s="533"/>
      <c r="K459" s="456"/>
      <c r="L459" s="456"/>
      <c r="M459" s="430"/>
      <c r="N459" s="394"/>
      <c r="O459" s="458"/>
      <c r="P459" s="393"/>
      <c r="Q459" s="311"/>
    </row>
    <row r="460" spans="1:17" s="34" customFormat="1" ht="24.95" customHeight="1">
      <c r="A460" s="533"/>
      <c r="B460" s="456"/>
      <c r="C460" s="456"/>
      <c r="D460" s="457"/>
      <c r="E460" s="394"/>
      <c r="F460" s="1207"/>
      <c r="G460" s="1207"/>
      <c r="H460" s="248"/>
      <c r="J460" s="533"/>
      <c r="K460" s="456"/>
      <c r="L460" s="456"/>
      <c r="M460" s="430"/>
      <c r="N460" s="394"/>
      <c r="O460" s="458"/>
      <c r="P460" s="393"/>
      <c r="Q460" s="311"/>
    </row>
    <row r="461" spans="1:17" s="34" customFormat="1" ht="24.95" customHeight="1">
      <c r="A461" s="532" t="str">
        <f>A249</f>
        <v>5. 무인보안시스템</v>
      </c>
      <c r="B461" s="456"/>
      <c r="C461" s="393"/>
      <c r="D461" s="430"/>
      <c r="E461" s="394"/>
      <c r="F461" s="1200"/>
      <c r="G461" s="1219">
        <f>SUM(G462:G554)</f>
        <v>187820073</v>
      </c>
      <c r="H461" s="248"/>
      <c r="J461" s="533"/>
      <c r="K461" s="456"/>
      <c r="L461" s="456"/>
      <c r="M461" s="430"/>
      <c r="N461" s="394"/>
      <c r="O461" s="458"/>
      <c r="P461" s="393"/>
      <c r="Q461" s="311"/>
    </row>
    <row r="462" spans="1:17" s="34" customFormat="1" ht="24.95" customHeight="1">
      <c r="A462" s="533"/>
      <c r="B462" s="456" t="str">
        <f>'8-3.노무산출'!B165</f>
        <v>사용자시스템시설</v>
      </c>
      <c r="C462" s="456" t="str">
        <f>'8-3.노무산출'!C165</f>
        <v>단말기설치</v>
      </c>
      <c r="D462" s="457" t="str">
        <f>'8-3.노무산출'!D165</f>
        <v>대</v>
      </c>
      <c r="E462" s="394">
        <f>'8-3.노무산출'!H165</f>
        <v>4</v>
      </c>
      <c r="F462" s="1207">
        <f>VLOOKUP(C462,'8-3.노무산출'!$C$43:$K$257,7,FALSE)</f>
        <v>92450</v>
      </c>
      <c r="G462" s="1207">
        <f t="shared" ref="G462" si="152">INT(E462*F462)</f>
        <v>369800</v>
      </c>
      <c r="H462" s="248" t="str">
        <f>VLOOKUP(C462,'8-3.노무산출'!$C$43:$K$257,9,FALSE)</f>
        <v>품5-1</v>
      </c>
      <c r="J462" s="533"/>
      <c r="K462" s="456"/>
      <c r="L462" s="456"/>
      <c r="M462" s="430"/>
      <c r="N462" s="394"/>
      <c r="O462" s="458"/>
      <c r="P462" s="393"/>
      <c r="Q462" s="311"/>
    </row>
    <row r="463" spans="1:17" s="34" customFormat="1" ht="24.95" customHeight="1">
      <c r="A463" s="533"/>
      <c r="B463" s="456" t="str">
        <f>'8-3.노무산출'!B166</f>
        <v>KVM스위치</v>
      </c>
      <c r="C463" s="456" t="str">
        <f>'8-3.노무산출'!C166</f>
        <v>부대장치</v>
      </c>
      <c r="D463" s="457" t="str">
        <f>'8-3.노무산출'!D166</f>
        <v>대</v>
      </c>
      <c r="E463" s="394">
        <f>'8-3.노무산출'!H166</f>
        <v>1</v>
      </c>
      <c r="F463" s="1207">
        <f>VLOOKUP(C463,'8-3.노무산출'!$C$43:$K$257,7,FALSE)</f>
        <v>124630</v>
      </c>
      <c r="G463" s="1207">
        <f t="shared" ref="G463:G500" si="153">INT(E463*F463)</f>
        <v>124630</v>
      </c>
      <c r="H463" s="248" t="str">
        <f>VLOOKUP(C463,'8-3.노무산출'!$C$43:$K$257,9,FALSE)</f>
        <v>품5-2</v>
      </c>
      <c r="J463" s="533"/>
      <c r="K463" s="456"/>
      <c r="L463" s="456"/>
      <c r="M463" s="430"/>
      <c r="N463" s="394"/>
      <c r="O463" s="458"/>
      <c r="P463" s="393"/>
      <c r="Q463" s="311"/>
    </row>
    <row r="464" spans="1:17" s="34" customFormat="1" ht="24.95" customHeight="1">
      <c r="A464" s="533"/>
      <c r="B464" s="456" t="str">
        <f>'8-3.노무산출'!B167</f>
        <v>현장녹화장치 설치</v>
      </c>
      <c r="C464" s="456" t="str">
        <f>'8-3.노무산출'!C167</f>
        <v>영상저장장치</v>
      </c>
      <c r="D464" s="457" t="str">
        <f>'8-3.노무산출'!D167</f>
        <v>대</v>
      </c>
      <c r="E464" s="394">
        <f>'8-3.노무산출'!H167</f>
        <v>3</v>
      </c>
      <c r="F464" s="1207">
        <f>VLOOKUP(C464,'8-3.노무산출'!$C$43:$K$257,7,FALSE)</f>
        <v>97616</v>
      </c>
      <c r="G464" s="1207">
        <f t="shared" si="153"/>
        <v>292848</v>
      </c>
      <c r="H464" s="248" t="str">
        <f>VLOOKUP(C464,'8-3.노무산출'!$C$43:$K$257,9,FALSE)</f>
        <v>품5-3</v>
      </c>
      <c r="J464" s="533"/>
      <c r="K464" s="456"/>
      <c r="L464" s="456"/>
      <c r="M464" s="430"/>
      <c r="N464" s="394"/>
      <c r="O464" s="458"/>
      <c r="P464" s="393"/>
      <c r="Q464" s="311"/>
    </row>
    <row r="465" spans="1:17" s="34" customFormat="1" ht="24.95" customHeight="1">
      <c r="A465" s="533"/>
      <c r="B465" s="456" t="str">
        <f>'8-3.노무산출'!B168</f>
        <v>55" TV Monitor 설치</v>
      </c>
      <c r="C465" s="456" t="str">
        <f>'8-3.노무산출'!C168</f>
        <v>41" 이상</v>
      </c>
      <c r="D465" s="457" t="str">
        <f>'8-3.노무산출'!D168</f>
        <v>대</v>
      </c>
      <c r="E465" s="394">
        <f>'8-3.노무산출'!H168</f>
        <v>4</v>
      </c>
      <c r="F465" s="1207">
        <f>VLOOKUP(C465,'8-3.노무산출'!$C$43:$K$257,7,FALSE)</f>
        <v>315154</v>
      </c>
      <c r="G465" s="1207">
        <f t="shared" ref="G465" si="154">INT(E465*F465)</f>
        <v>1260616</v>
      </c>
      <c r="H465" s="248" t="str">
        <f>VLOOKUP(C465,'8-3.노무산출'!$C$43:$K$257,9,FALSE)</f>
        <v>품5-4</v>
      </c>
      <c r="J465" s="533"/>
      <c r="K465" s="456"/>
      <c r="L465" s="456"/>
      <c r="M465" s="430"/>
      <c r="N465" s="394"/>
      <c r="O465" s="458"/>
      <c r="P465" s="393"/>
      <c r="Q465" s="311"/>
    </row>
    <row r="466" spans="1:17" s="34" customFormat="1" ht="24.95" customHeight="1">
      <c r="A466" s="533"/>
      <c r="B466" s="456" t="str">
        <f>'8-3.노무산출'!B169</f>
        <v>카메라설치</v>
      </c>
      <c r="C466" s="456" t="str">
        <f>'8-3.노무산출'!C169</f>
        <v>스피트돔 카메라</v>
      </c>
      <c r="D466" s="457" t="str">
        <f>'8-3.노무산출'!D169</f>
        <v>대</v>
      </c>
      <c r="E466" s="394">
        <f>'8-3.노무산출'!H169</f>
        <v>127</v>
      </c>
      <c r="F466" s="1207">
        <f>VLOOKUP(C466,'8-3.노무산출'!$C$43:$K$257,7,FALSE)</f>
        <v>151423</v>
      </c>
      <c r="G466" s="1207">
        <f t="shared" si="153"/>
        <v>19230721</v>
      </c>
      <c r="H466" s="248" t="str">
        <f>VLOOKUP(C466,'8-3.노무산출'!$C$43:$K$257,9,FALSE)</f>
        <v>품5-5</v>
      </c>
      <c r="J466" s="533"/>
      <c r="K466" s="456"/>
      <c r="L466" s="456"/>
      <c r="M466" s="430"/>
      <c r="N466" s="394"/>
      <c r="O466" s="458"/>
      <c r="P466" s="393"/>
      <c r="Q466" s="311"/>
    </row>
    <row r="467" spans="1:17" s="34" customFormat="1" ht="24.95" customHeight="1">
      <c r="A467" s="533"/>
      <c r="B467" s="456" t="str">
        <f>'8-3.노무산출'!B170</f>
        <v>카메라설치</v>
      </c>
      <c r="C467" s="456" t="str">
        <f>'8-3.노무산출'!C170</f>
        <v>고정형카메라</v>
      </c>
      <c r="D467" s="457" t="str">
        <f>'8-3.노무산출'!D170</f>
        <v>대</v>
      </c>
      <c r="E467" s="394">
        <f>'8-3.노무산출'!H170</f>
        <v>1</v>
      </c>
      <c r="F467" s="1207">
        <f>VLOOKUP(C467,'8-3.노무산출'!$C$43:$K$257,7,FALSE)</f>
        <v>90853</v>
      </c>
      <c r="G467" s="1207">
        <f t="shared" si="153"/>
        <v>90853</v>
      </c>
      <c r="H467" s="248" t="str">
        <f>VLOOKUP(C467,'8-3.노무산출'!$C$43:$K$257,9,FALSE)</f>
        <v>품5-6</v>
      </c>
      <c r="J467" s="533"/>
      <c r="K467" s="456"/>
      <c r="L467" s="456"/>
      <c r="M467" s="430"/>
      <c r="N467" s="394"/>
      <c r="O467" s="458"/>
      <c r="P467" s="393"/>
      <c r="Q467" s="311"/>
    </row>
    <row r="468" spans="1:17" s="34" customFormat="1" ht="24.95" hidden="1" customHeight="1">
      <c r="A468" s="533"/>
      <c r="B468" s="456" t="str">
        <f>'8-3.노무산출'!B171</f>
        <v>카메라 송수신제어 및 레벨조정</v>
      </c>
      <c r="C468" s="456" t="str">
        <f>'8-3.노무산출'!C171</f>
        <v>일체형</v>
      </c>
      <c r="D468" s="457" t="str">
        <f>'8-3.노무산출'!D171</f>
        <v>set</v>
      </c>
      <c r="E468" s="394">
        <f>'8-3.노무산출'!H171</f>
        <v>0</v>
      </c>
      <c r="F468" s="1207">
        <f>VLOOKUP(C468,'8-3.노무산출'!$C$43:$K$257,7,FALSE)</f>
        <v>317913</v>
      </c>
      <c r="G468" s="1207">
        <f t="shared" si="153"/>
        <v>0</v>
      </c>
      <c r="H468" s="248" t="str">
        <f>VLOOKUP(C468,'8-3.노무산출'!$C$43:$K$257,9,FALSE)</f>
        <v>품5-7</v>
      </c>
      <c r="J468" s="533"/>
      <c r="K468" s="456"/>
      <c r="L468" s="456"/>
      <c r="M468" s="430"/>
      <c r="N468" s="394"/>
      <c r="O468" s="458"/>
      <c r="P468" s="393"/>
      <c r="Q468" s="311"/>
    </row>
    <row r="469" spans="1:17" s="34" customFormat="1" ht="24.95" customHeight="1">
      <c r="A469" s="533"/>
      <c r="B469" s="456" t="str">
        <f>'8-3.노무산출'!B172</f>
        <v>카메라 종합시험</v>
      </c>
      <c r="C469" s="456" t="str">
        <f>'8-3.노무산출'!C172</f>
        <v>일체형(10대이하)</v>
      </c>
      <c r="D469" s="457" t="str">
        <f>'8-3.노무산출'!D172</f>
        <v>대</v>
      </c>
      <c r="E469" s="394">
        <f>'8-3.노무산출'!H172</f>
        <v>11</v>
      </c>
      <c r="F469" s="1207">
        <f>VLOOKUP(C469,'8-3.노무산출'!$C$43:$K$257,7,FALSE)</f>
        <v>32741</v>
      </c>
      <c r="G469" s="1207">
        <f t="shared" si="153"/>
        <v>360151</v>
      </c>
      <c r="H469" s="248" t="str">
        <f>VLOOKUP(C469,'8-3.노무산출'!$C$43:$K$257,9,FALSE)</f>
        <v>품5-7-1</v>
      </c>
      <c r="J469" s="533"/>
      <c r="K469" s="456"/>
      <c r="L469" s="456"/>
      <c r="M469" s="430"/>
      <c r="N469" s="394"/>
      <c r="O469" s="458"/>
      <c r="P469" s="393"/>
      <c r="Q469" s="311"/>
    </row>
    <row r="470" spans="1:17" s="34" customFormat="1" ht="24.95" customHeight="1">
      <c r="A470" s="533"/>
      <c r="B470" s="456" t="str">
        <f>'8-3.노무산출'!B173</f>
        <v>카메라 종합시험</v>
      </c>
      <c r="C470" s="456" t="str">
        <f>'8-3.노무산출'!C173</f>
        <v>일체형(11대이상)</v>
      </c>
      <c r="D470" s="457" t="str">
        <f>'8-3.노무산출'!D173</f>
        <v>대</v>
      </c>
      <c r="E470" s="394">
        <f>'8-3.노무산출'!H173</f>
        <v>117</v>
      </c>
      <c r="F470" s="1207">
        <f>VLOOKUP(C470,'8-3.노무산출'!$C$43:$K$257,7,FALSE)</f>
        <v>1963</v>
      </c>
      <c r="G470" s="1207">
        <f t="shared" si="153"/>
        <v>229671</v>
      </c>
      <c r="H470" s="248" t="str">
        <f>VLOOKUP(C470,'8-3.노무산출'!$C$43:$K$257,9,FALSE)</f>
        <v>품5-7-2</v>
      </c>
      <c r="J470" s="533"/>
      <c r="K470" s="456"/>
      <c r="L470" s="456"/>
      <c r="M470" s="430"/>
      <c r="N470" s="394"/>
      <c r="O470" s="458"/>
      <c r="P470" s="393"/>
      <c r="Q470" s="311"/>
    </row>
    <row r="471" spans="1:17" s="34" customFormat="1" ht="24.95" hidden="1" customHeight="1">
      <c r="A471" s="533"/>
      <c r="B471" s="456" t="str">
        <f>'8-3.노무산출'!B174</f>
        <v>오디오 앰프</v>
      </c>
      <c r="C471" s="456" t="str">
        <f>'8-3.노무산출'!C174</f>
        <v>부대장치</v>
      </c>
      <c r="D471" s="457" t="str">
        <f>'8-3.노무산출'!D174</f>
        <v>대</v>
      </c>
      <c r="E471" s="394">
        <f>'8-3.노무산출'!H174</f>
        <v>0</v>
      </c>
      <c r="F471" s="1207">
        <f>VLOOKUP(C471,'8-3.노무산출'!$C$43:$K$257,7,FALSE)</f>
        <v>124630</v>
      </c>
      <c r="G471" s="1207">
        <f t="shared" si="153"/>
        <v>0</v>
      </c>
      <c r="H471" s="248" t="str">
        <f>VLOOKUP(C471,'8-3.노무산출'!$C$43:$K$257,9,FALSE)</f>
        <v>품5-2</v>
      </c>
      <c r="J471" s="533"/>
      <c r="K471" s="456"/>
      <c r="L471" s="456"/>
      <c r="M471" s="430"/>
      <c r="N471" s="394"/>
      <c r="O471" s="458"/>
      <c r="P471" s="393"/>
      <c r="Q471" s="311"/>
    </row>
    <row r="472" spans="1:17" s="34" customFormat="1" ht="24.95" customHeight="1">
      <c r="A472" s="533"/>
      <c r="B472" s="456" t="str">
        <f>'8-3.노무산출'!B175</f>
        <v>랙 설치</v>
      </c>
      <c r="C472" s="456" t="str">
        <f>'8-3.노무산출'!C175</f>
        <v>랙 설치</v>
      </c>
      <c r="D472" s="457" t="str">
        <f>'8-3.노무산출'!D175</f>
        <v>대</v>
      </c>
      <c r="E472" s="394">
        <f>'8-3.노무산출'!H175</f>
        <v>2</v>
      </c>
      <c r="F472" s="1207">
        <f>VLOOKUP(C472,'8-3.노무산출'!$C$43:$K$257,7,FALSE)</f>
        <v>252964</v>
      </c>
      <c r="G472" s="1207">
        <f t="shared" si="153"/>
        <v>505928</v>
      </c>
      <c r="H472" s="248" t="str">
        <f>VLOOKUP(C472,'8-3.노무산출'!$C$43:$K$257,9,FALSE)</f>
        <v>품5-9</v>
      </c>
      <c r="J472" s="533"/>
      <c r="K472" s="456"/>
      <c r="L472" s="456"/>
      <c r="M472" s="430"/>
      <c r="N472" s="394"/>
      <c r="O472" s="458"/>
      <c r="P472" s="393"/>
      <c r="Q472" s="311"/>
    </row>
    <row r="473" spans="1:17" s="34" customFormat="1" ht="24.95" customHeight="1">
      <c r="A473" s="533"/>
      <c r="B473" s="456" t="str">
        <f>'8-3.노무산출'!B176</f>
        <v>지능형전원공급장치 설치</v>
      </c>
      <c r="C473" s="456" t="str">
        <f>'8-3.노무산출'!C176</f>
        <v>부대장치</v>
      </c>
      <c r="D473" s="457" t="str">
        <f>'8-3.노무산출'!D176</f>
        <v>set</v>
      </c>
      <c r="E473" s="394">
        <f>'8-3.노무산출'!H176</f>
        <v>3</v>
      </c>
      <c r="F473" s="1207">
        <f>VLOOKUP(C473,'8-3.노무산출'!$C$43:$K$257,7,FALSE)</f>
        <v>124630</v>
      </c>
      <c r="G473" s="1207">
        <f t="shared" si="153"/>
        <v>373890</v>
      </c>
      <c r="H473" s="248" t="str">
        <f>VLOOKUP(C473,'8-3.노무산출'!$C$43:$K$257,9,FALSE)</f>
        <v>품5-2</v>
      </c>
      <c r="J473" s="533"/>
      <c r="K473" s="456"/>
      <c r="L473" s="456"/>
      <c r="M473" s="430"/>
      <c r="N473" s="394"/>
      <c r="O473" s="458"/>
      <c r="P473" s="393"/>
      <c r="Q473" s="311"/>
    </row>
    <row r="474" spans="1:17" s="34" customFormat="1" ht="24.95" customHeight="1">
      <c r="A474" s="533"/>
      <c r="B474" s="456" t="str">
        <f>'8-3.노무산출'!B177</f>
        <v>오토리프트 설치</v>
      </c>
      <c r="C474" s="456" t="str">
        <f>'8-3.노무산출'!C177</f>
        <v>실내</v>
      </c>
      <c r="D474" s="457" t="str">
        <f>'8-3.노무산출'!D177</f>
        <v>대</v>
      </c>
      <c r="E474" s="394">
        <f>'8-3.노무산출'!H177</f>
        <v>69</v>
      </c>
      <c r="F474" s="1207">
        <f>VLOOKUP(C474,'8-3.노무산출'!$C$43:$K$257,7,FALSE)</f>
        <v>331899</v>
      </c>
      <c r="G474" s="1207">
        <f t="shared" si="153"/>
        <v>22901031</v>
      </c>
      <c r="H474" s="248" t="str">
        <f>VLOOKUP(C474,'8-3.노무산출'!$C$43:$K$257,9,FALSE)</f>
        <v>품5-11</v>
      </c>
      <c r="J474" s="533"/>
      <c r="K474" s="456"/>
      <c r="L474" s="456"/>
      <c r="M474" s="430"/>
      <c r="N474" s="394"/>
      <c r="O474" s="458"/>
      <c r="P474" s="393"/>
      <c r="Q474" s="311"/>
    </row>
    <row r="475" spans="1:17" s="34" customFormat="1" ht="24.95" customHeight="1">
      <c r="A475" s="533"/>
      <c r="B475" s="456" t="str">
        <f>'8-3.노무산출'!B178</f>
        <v>오토리프트 설치</v>
      </c>
      <c r="C475" s="456" t="str">
        <f>'8-3.노무산출'!C178</f>
        <v>실외</v>
      </c>
      <c r="D475" s="457" t="str">
        <f>'8-3.노무산출'!D178</f>
        <v>대</v>
      </c>
      <c r="E475" s="394">
        <f>'8-3.노무산출'!H178</f>
        <v>8</v>
      </c>
      <c r="F475" s="1207">
        <f>VLOOKUP(C475,'8-3.노무산출'!$C$43:$K$257,7,FALSE)</f>
        <v>184388</v>
      </c>
      <c r="G475" s="1207">
        <f t="shared" si="153"/>
        <v>1475104</v>
      </c>
      <c r="H475" s="248" t="str">
        <f>VLOOKUP(C475,'8-3.노무산출'!$C$43:$K$257,9,FALSE)</f>
        <v>품5-11-1</v>
      </c>
      <c r="J475" s="533"/>
      <c r="K475" s="456"/>
      <c r="L475" s="456"/>
      <c r="M475" s="430"/>
      <c r="N475" s="394"/>
      <c r="O475" s="458"/>
      <c r="P475" s="393"/>
      <c r="Q475" s="311"/>
    </row>
    <row r="476" spans="1:17" s="34" customFormat="1" ht="24.95" customHeight="1">
      <c r="A476" s="533"/>
      <c r="B476" s="456" t="str">
        <f>'8-3.노무산출'!B179</f>
        <v>누전보호형 써지보호기</v>
      </c>
      <c r="C476" s="456" t="str">
        <f>'8-3.노무산출'!C179</f>
        <v>전원용</v>
      </c>
      <c r="D476" s="457" t="str">
        <f>'8-3.노무산출'!D179</f>
        <v>개</v>
      </c>
      <c r="E476" s="394">
        <f>'8-3.노무산출'!H179</f>
        <v>128</v>
      </c>
      <c r="F476" s="1207">
        <f>VLOOKUP(C476,'8-3.노무산출'!$C$43:$K$257,7,FALSE)</f>
        <v>47780</v>
      </c>
      <c r="G476" s="1207">
        <f t="shared" si="153"/>
        <v>6115840</v>
      </c>
      <c r="H476" s="248" t="str">
        <f>VLOOKUP(C476,'8-3.노무산출'!$C$43:$K$257,9,FALSE)</f>
        <v>품5-12</v>
      </c>
      <c r="J476" s="533"/>
      <c r="K476" s="456"/>
      <c r="L476" s="456"/>
      <c r="M476" s="430"/>
      <c r="N476" s="394"/>
      <c r="O476" s="458"/>
      <c r="P476" s="393"/>
      <c r="Q476" s="311"/>
    </row>
    <row r="477" spans="1:17" s="34" customFormat="1" ht="24.95" customHeight="1">
      <c r="A477" s="533"/>
      <c r="B477" s="456" t="str">
        <f>'8-3.노무산출'!B180</f>
        <v>디지털 경보수신반 설치</v>
      </c>
      <c r="C477" s="456" t="str">
        <f>'8-3.노무산출'!C180</f>
        <v>메인주장치</v>
      </c>
      <c r="D477" s="457" t="str">
        <f>'8-3.노무산출'!D180</f>
        <v>대</v>
      </c>
      <c r="E477" s="394">
        <f>'8-3.노무산출'!H180</f>
        <v>1</v>
      </c>
      <c r="F477" s="1207">
        <f>VLOOKUP(C477,'8-3.노무산출'!$C$43:$K$257,7,FALSE)</f>
        <v>468023</v>
      </c>
      <c r="G477" s="1207">
        <f t="shared" si="153"/>
        <v>468023</v>
      </c>
      <c r="H477" s="248" t="str">
        <f>VLOOKUP(C477,'8-3.노무산출'!$C$43:$K$257,9,FALSE)</f>
        <v>품5-13</v>
      </c>
      <c r="J477" s="533"/>
      <c r="K477" s="456"/>
      <c r="L477" s="456"/>
      <c r="M477" s="430"/>
      <c r="N477" s="394"/>
      <c r="O477" s="458"/>
      <c r="P477" s="393"/>
      <c r="Q477" s="311"/>
    </row>
    <row r="478" spans="1:17" s="34" customFormat="1" ht="24.95" hidden="1" customHeight="1">
      <c r="A478" s="533"/>
      <c r="B478" s="456" t="str">
        <f>'8-3.노무산출'!B181</f>
        <v>주장치 함체설치</v>
      </c>
      <c r="C478" s="456" t="str">
        <f>'8-3.노무산출'!C181</f>
        <v>벽면 400*400*150</v>
      </c>
      <c r="D478" s="457" t="str">
        <f>'8-3.노무산출'!D181</f>
        <v>개</v>
      </c>
      <c r="E478" s="394">
        <f>'8-3.노무산출'!H181</f>
        <v>0</v>
      </c>
      <c r="F478" s="1207">
        <f>VLOOKUP(C478,'8-3.노무산출'!$C$43:$K$257,7,FALSE)</f>
        <v>197094</v>
      </c>
      <c r="G478" s="1207">
        <f t="shared" si="153"/>
        <v>0</v>
      </c>
      <c r="H478" s="248" t="str">
        <f>VLOOKUP(C478,'8-3.노무산출'!$C$43:$K$257,9,FALSE)</f>
        <v>품5-14</v>
      </c>
      <c r="J478" s="533"/>
      <c r="K478" s="456"/>
      <c r="L478" s="456"/>
      <c r="M478" s="430"/>
      <c r="N478" s="394"/>
      <c r="O478" s="458"/>
      <c r="P478" s="393"/>
      <c r="Q478" s="311"/>
    </row>
    <row r="479" spans="1:17" s="34" customFormat="1" ht="24.95" customHeight="1">
      <c r="A479" s="533"/>
      <c r="B479" s="456" t="str">
        <f>'8-3.노무산출'!B182</f>
        <v>카드리더 설치</v>
      </c>
      <c r="C479" s="456" t="str">
        <f>'8-3.노무산출'!C182</f>
        <v>통합형</v>
      </c>
      <c r="D479" s="457" t="str">
        <f>'8-3.노무산출'!D182</f>
        <v>대</v>
      </c>
      <c r="E479" s="394">
        <f>'8-3.노무산출'!H182</f>
        <v>6</v>
      </c>
      <c r="F479" s="1207">
        <f>VLOOKUP(C479,'8-3.노무산출'!$C$43:$K$257,7,FALSE)</f>
        <v>404468</v>
      </c>
      <c r="G479" s="1207">
        <f t="shared" si="153"/>
        <v>2426808</v>
      </c>
      <c r="H479" s="248" t="str">
        <f>VLOOKUP(C479,'8-3.노무산출'!$C$43:$K$257,9,FALSE)</f>
        <v>품5-15</v>
      </c>
      <c r="J479" s="533"/>
      <c r="K479" s="456"/>
      <c r="L479" s="456"/>
      <c r="M479" s="430"/>
      <c r="N479" s="394"/>
      <c r="O479" s="458"/>
      <c r="P479" s="393"/>
      <c r="Q479" s="311"/>
    </row>
    <row r="480" spans="1:17" s="1364" customFormat="1" ht="24.95" hidden="1" customHeight="1">
      <c r="A480" s="1359"/>
      <c r="B480" s="1360" t="str">
        <f>'8-3.노무산출'!B183</f>
        <v>카드리더 함체설치</v>
      </c>
      <c r="C480" s="1360" t="str">
        <f>'8-3.노무산출'!C183</f>
        <v>400*400*150</v>
      </c>
      <c r="D480" s="1361" t="str">
        <f>'8-3.노무산출'!D183</f>
        <v>개</v>
      </c>
      <c r="E480" s="1355">
        <f>'8-3.노무산출'!H183</f>
        <v>0</v>
      </c>
      <c r="F480" s="1207">
        <f>VLOOKUP(C480,'8-3.노무산출'!$C$43:$K$257,7,FALSE)</f>
        <v>197094</v>
      </c>
      <c r="G480" s="1362">
        <f t="shared" si="153"/>
        <v>0</v>
      </c>
      <c r="H480" s="248" t="str">
        <f>VLOOKUP(C480,'8-3.노무산출'!$C$43:$K$257,9,FALSE)</f>
        <v>품5-16</v>
      </c>
      <c r="J480" s="1359"/>
      <c r="K480" s="1360"/>
      <c r="L480" s="1360"/>
      <c r="M480" s="1365"/>
      <c r="N480" s="1355"/>
      <c r="O480" s="1366"/>
      <c r="P480" s="1367"/>
      <c r="Q480" s="1368"/>
    </row>
    <row r="481" spans="1:17" s="34" customFormat="1" ht="24.95" hidden="1" customHeight="1">
      <c r="A481" s="533"/>
      <c r="B481" s="456" t="str">
        <f>'8-3.노무산출'!B184</f>
        <v>EM Lock 설치</v>
      </c>
      <c r="C481" s="456" t="str">
        <f>'8-3.노무산출'!C184</f>
        <v>통합형, EM LOCK</v>
      </c>
      <c r="D481" s="457" t="str">
        <f>'8-3.노무산출'!D184</f>
        <v>대</v>
      </c>
      <c r="E481" s="394">
        <f>'8-3.노무산출'!H184</f>
        <v>0</v>
      </c>
      <c r="F481" s="1207">
        <f>VLOOKUP(C481,'8-3.노무산출'!$C$43:$K$257,7,FALSE)</f>
        <v>318270</v>
      </c>
      <c r="G481" s="1207">
        <f t="shared" si="153"/>
        <v>0</v>
      </c>
      <c r="H481" s="248" t="str">
        <f>VLOOKUP(C481,'8-3.노무산출'!$C$43:$K$257,9,FALSE)</f>
        <v>품5-17</v>
      </c>
      <c r="J481" s="533"/>
      <c r="K481" s="456"/>
      <c r="L481" s="456"/>
      <c r="M481" s="430"/>
      <c r="N481" s="394"/>
      <c r="O481" s="458"/>
      <c r="P481" s="393"/>
      <c r="Q481" s="311"/>
    </row>
    <row r="482" spans="1:17" s="34" customFormat="1" ht="24.95" hidden="1" customHeight="1">
      <c r="A482" s="533"/>
      <c r="B482" s="456" t="str">
        <f>'8-3.노무산출'!B185</f>
        <v>출구버튼 설치</v>
      </c>
      <c r="C482" s="456">
        <f>'8-3.노무산출'!C185</f>
        <v>0</v>
      </c>
      <c r="D482" s="457" t="str">
        <f>'8-3.노무산출'!D185</f>
        <v>개</v>
      </c>
      <c r="E482" s="394">
        <f>'8-3.노무산출'!H185</f>
        <v>0</v>
      </c>
      <c r="F482" s="1207">
        <f>VLOOKUP(C482,'8-3.노무산출'!$C$43:$K$257,7,FALSE)</f>
        <v>278486</v>
      </c>
      <c r="G482" s="1207">
        <f t="shared" si="153"/>
        <v>0</v>
      </c>
      <c r="H482" s="248" t="str">
        <f>VLOOKUP(C482,'8-3.노무산출'!$C$43:$K$257,9,FALSE)</f>
        <v>품5-18</v>
      </c>
      <c r="J482" s="533"/>
      <c r="K482" s="456"/>
      <c r="L482" s="456"/>
      <c r="M482" s="430"/>
      <c r="N482" s="394"/>
      <c r="O482" s="458"/>
      <c r="P482" s="393"/>
      <c r="Q482" s="311"/>
    </row>
    <row r="483" spans="1:17" s="34" customFormat="1" ht="24.95" hidden="1" customHeight="1">
      <c r="A483" s="533"/>
      <c r="B483" s="456" t="str">
        <f>'8-3.노무산출'!B186</f>
        <v>신호전송기 설치</v>
      </c>
      <c r="C483" s="456" t="str">
        <f>'8-3.노무산출'!C186</f>
        <v>4i-node</v>
      </c>
      <c r="D483" s="457" t="str">
        <f>'8-3.노무산출'!D186</f>
        <v>대</v>
      </c>
      <c r="E483" s="394">
        <f>'8-3.노무산출'!H186</f>
        <v>0</v>
      </c>
      <c r="F483" s="1207">
        <f>VLOOKUP(C483,'8-3.노무산출'!$C$43:$K$257,7,FALSE)</f>
        <v>79566</v>
      </c>
      <c r="G483" s="1207">
        <f t="shared" si="153"/>
        <v>0</v>
      </c>
      <c r="H483" s="248" t="str">
        <f>VLOOKUP(C483,'8-3.노무산출'!$C$43:$K$257,9,FALSE)</f>
        <v>품5-19</v>
      </c>
      <c r="J483" s="533"/>
      <c r="K483" s="456"/>
      <c r="L483" s="456"/>
      <c r="M483" s="430"/>
      <c r="N483" s="394"/>
      <c r="O483" s="458"/>
      <c r="P483" s="393"/>
      <c r="Q483" s="311"/>
    </row>
    <row r="484" spans="1:17" s="34" customFormat="1" ht="24.95" hidden="1" customHeight="1">
      <c r="A484" s="533"/>
      <c r="B484" s="456" t="str">
        <f>'8-3.노무산출'!B187</f>
        <v>열선감지기 설치</v>
      </c>
      <c r="C484" s="456" t="str">
        <f>'8-3.노무산출'!C187</f>
        <v>일반형,자가진단형</v>
      </c>
      <c r="D484" s="457" t="str">
        <f>'8-3.노무산출'!D187</f>
        <v>개</v>
      </c>
      <c r="E484" s="394">
        <f>'8-3.노무산출'!H187</f>
        <v>0</v>
      </c>
      <c r="F484" s="1207">
        <f>VLOOKUP(C484,'8-3.노무산출'!$C$43:$K$257,7,FALSE)</f>
        <v>19335</v>
      </c>
      <c r="G484" s="1207">
        <f t="shared" si="153"/>
        <v>0</v>
      </c>
      <c r="H484" s="248" t="str">
        <f>VLOOKUP(C484,'8-3.노무산출'!$C$43:$K$257,9,FALSE)</f>
        <v>품5-20</v>
      </c>
      <c r="J484" s="533"/>
      <c r="K484" s="456"/>
      <c r="L484" s="456"/>
      <c r="M484" s="430"/>
      <c r="N484" s="394"/>
      <c r="O484" s="458"/>
      <c r="P484" s="393"/>
      <c r="Q484" s="311"/>
    </row>
    <row r="485" spans="1:17" s="34" customFormat="1" ht="24.95" hidden="1" customHeight="1">
      <c r="A485" s="533"/>
      <c r="B485" s="456" t="str">
        <f>'8-3.노무산출'!B188</f>
        <v>자석감지기 설치</v>
      </c>
      <c r="C485" s="456" t="str">
        <f>'8-3.노무산출'!C188</f>
        <v>일반형,자가진단형</v>
      </c>
      <c r="D485" s="457" t="str">
        <f>'8-3.노무산출'!D188</f>
        <v>개</v>
      </c>
      <c r="E485" s="394">
        <f>'8-3.노무산출'!H188</f>
        <v>0</v>
      </c>
      <c r="F485" s="1207">
        <f>VLOOKUP(C485,'8-3.노무산출'!$C$43:$K$257,7,FALSE)</f>
        <v>19335</v>
      </c>
      <c r="G485" s="1207">
        <f t="shared" si="153"/>
        <v>0</v>
      </c>
      <c r="H485" s="248" t="str">
        <f>VLOOKUP(C485,'8-3.노무산출'!$C$43:$K$257,9,FALSE)</f>
        <v>품5-20</v>
      </c>
      <c r="J485" s="533"/>
      <c r="K485" s="456"/>
      <c r="L485" s="456"/>
      <c r="M485" s="430"/>
      <c r="N485" s="394"/>
      <c r="O485" s="458"/>
      <c r="P485" s="393"/>
      <c r="Q485" s="311"/>
    </row>
    <row r="486" spans="1:17" s="34" customFormat="1" ht="24.95" hidden="1" customHeight="1">
      <c r="A486" s="533"/>
      <c r="B486" s="456" t="str">
        <f>'8-3.노무산출'!B189</f>
        <v>셔터감지기 설치</v>
      </c>
      <c r="C486" s="456" t="str">
        <f>'8-3.노무산출'!C189</f>
        <v>일반형,자가진단형</v>
      </c>
      <c r="D486" s="457" t="str">
        <f>'8-3.노무산출'!D189</f>
        <v>개</v>
      </c>
      <c r="E486" s="394">
        <f>'8-3.노무산출'!H189</f>
        <v>0</v>
      </c>
      <c r="F486" s="1207">
        <f>VLOOKUP(C486,'8-3.노무산출'!$C$43:$K$257,7,FALSE)</f>
        <v>19335</v>
      </c>
      <c r="G486" s="1207">
        <f t="shared" si="153"/>
        <v>0</v>
      </c>
      <c r="H486" s="248" t="str">
        <f>VLOOKUP(C486,'8-3.노무산출'!$C$43:$K$257,9,FALSE)</f>
        <v>품5-20</v>
      </c>
      <c r="J486" s="533"/>
      <c r="K486" s="456"/>
      <c r="L486" s="456"/>
      <c r="M486" s="430"/>
      <c r="N486" s="394"/>
      <c r="O486" s="458"/>
      <c r="P486" s="393"/>
      <c r="Q486" s="311"/>
    </row>
    <row r="487" spans="1:17" s="34" customFormat="1" ht="24.95" hidden="1" customHeight="1">
      <c r="A487" s="533"/>
      <c r="B487" s="456" t="str">
        <f>'8-3.노무산출'!B190</f>
        <v>마이크로웨이브 감지기 설치</v>
      </c>
      <c r="C487" s="456">
        <f>'8-3.노무산출'!C190</f>
        <v>0</v>
      </c>
      <c r="D487" s="457" t="str">
        <f>'8-3.노무산출'!D190</f>
        <v>조</v>
      </c>
      <c r="E487" s="394">
        <f>'8-3.노무산출'!H190</f>
        <v>0</v>
      </c>
      <c r="F487" s="1207">
        <f>VLOOKUP(C487,'8-3.노무산출'!$C$43:$K$257,7,FALSE)</f>
        <v>278486</v>
      </c>
      <c r="G487" s="1207">
        <f t="shared" si="153"/>
        <v>0</v>
      </c>
      <c r="H487" s="248" t="str">
        <f>VLOOKUP(C487,'8-3.노무산출'!$C$43:$K$257,9,FALSE)</f>
        <v>품5-18</v>
      </c>
      <c r="J487" s="533"/>
      <c r="K487" s="456"/>
      <c r="L487" s="456"/>
      <c r="M487" s="430"/>
      <c r="N487" s="394"/>
      <c r="O487" s="458"/>
      <c r="P487" s="393"/>
      <c r="Q487" s="311"/>
    </row>
    <row r="488" spans="1:17" s="34" customFormat="1" ht="24.95" customHeight="1">
      <c r="A488" s="533"/>
      <c r="B488" s="456" t="str">
        <f>'8-3.노무산출'!B191</f>
        <v>광이더넷 스위치 설치</v>
      </c>
      <c r="C488" s="456" t="str">
        <f>'8-3.노무산출'!C191</f>
        <v>인텔리전트 허브</v>
      </c>
      <c r="D488" s="457" t="str">
        <f>'8-3.노무산출'!D191</f>
        <v>대</v>
      </c>
      <c r="E488" s="394">
        <f>'8-3.노무산출'!H191</f>
        <v>1</v>
      </c>
      <c r="F488" s="1207">
        <f>VLOOKUP(C488,'8-3.노무산출'!$C$43:$K$257,7,FALSE)</f>
        <v>216182</v>
      </c>
      <c r="G488" s="1207">
        <f t="shared" si="153"/>
        <v>216182</v>
      </c>
      <c r="H488" s="248" t="str">
        <f>VLOOKUP(C488,'8-3.노무산출'!$C$43:$K$257,9,FALSE)</f>
        <v>품5-24</v>
      </c>
      <c r="J488" s="533"/>
      <c r="K488" s="456"/>
      <c r="L488" s="456"/>
      <c r="M488" s="430"/>
      <c r="N488" s="394"/>
      <c r="O488" s="458"/>
      <c r="P488" s="393"/>
      <c r="Q488" s="311"/>
    </row>
    <row r="489" spans="1:17" s="34" customFormat="1" ht="24.95" customHeight="1">
      <c r="A489" s="533"/>
      <c r="B489" s="456" t="str">
        <f>'8-3.노무산출'!B192</f>
        <v>광이더넷 스위치 설치</v>
      </c>
      <c r="C489" s="456" t="str">
        <f>'8-3.노무산출'!C192</f>
        <v>Dummy</v>
      </c>
      <c r="D489" s="457" t="str">
        <f>'8-3.노무산출'!D192</f>
        <v>대</v>
      </c>
      <c r="E489" s="394">
        <f>'8-3.노무산출'!H192</f>
        <v>39</v>
      </c>
      <c r="F489" s="1207">
        <f>VLOOKUP(C489,'8-3.노무산출'!$C$43:$K$257,7,FALSE)</f>
        <v>66023</v>
      </c>
      <c r="G489" s="1207">
        <f t="shared" si="153"/>
        <v>2574897</v>
      </c>
      <c r="H489" s="248" t="str">
        <f>VLOOKUP(C489,'8-3.노무산출'!$C$43:$K$257,9,FALSE)</f>
        <v>품5-24-1</v>
      </c>
      <c r="J489" s="533"/>
      <c r="K489" s="456"/>
      <c r="L489" s="456"/>
      <c r="M489" s="430"/>
      <c r="N489" s="394"/>
      <c r="O489" s="458"/>
      <c r="P489" s="393"/>
      <c r="Q489" s="311"/>
    </row>
    <row r="490" spans="1:17" s="34" customFormat="1" ht="24.95" customHeight="1">
      <c r="A490" s="533"/>
      <c r="B490" s="456" t="str">
        <f>'8-3.노무산출'!B193</f>
        <v>보조전원장치 설치</v>
      </c>
      <c r="C490" s="456" t="str">
        <f>'8-3.노무산출'!C193</f>
        <v>220VAC/12VDC 3A</v>
      </c>
      <c r="D490" s="457" t="str">
        <f>'8-3.노무산출'!D193</f>
        <v>개</v>
      </c>
      <c r="E490" s="394">
        <f>'8-3.노무산출'!H193</f>
        <v>39</v>
      </c>
      <c r="F490" s="1207">
        <f>VLOOKUP(C490,'8-3.노무산출'!$C$43:$K$257,7,FALSE)</f>
        <v>100062</v>
      </c>
      <c r="G490" s="1207">
        <f t="shared" si="153"/>
        <v>3902418</v>
      </c>
      <c r="H490" s="248" t="str">
        <f>VLOOKUP(C490,'8-3.노무산출'!$C$43:$K$257,9,FALSE)</f>
        <v>품5-25</v>
      </c>
      <c r="J490" s="533"/>
      <c r="K490" s="456"/>
      <c r="L490" s="456"/>
      <c r="M490" s="430"/>
      <c r="N490" s="394"/>
      <c r="O490" s="458"/>
      <c r="P490" s="393"/>
      <c r="Q490" s="311"/>
    </row>
    <row r="491" spans="1:17" s="34" customFormat="1" ht="24.95" customHeight="1">
      <c r="A491" s="533"/>
      <c r="B491" s="456" t="str">
        <f>'8-3.노무산출'!B194</f>
        <v>스피커설치(옥내,옥외)</v>
      </c>
      <c r="C491" s="456" t="str">
        <f>'8-3.노무산출'!C194</f>
        <v>30W 이하</v>
      </c>
      <c r="D491" s="457" t="str">
        <f>'8-3.노무산출'!D194</f>
        <v>대</v>
      </c>
      <c r="E491" s="394">
        <f>'8-3.노무산출'!H194</f>
        <v>8</v>
      </c>
      <c r="F491" s="1207">
        <f>VLOOKUP(C491,'8-3.노무산출'!$C$43:$K$257,7,FALSE)</f>
        <v>53033</v>
      </c>
      <c r="G491" s="1207">
        <f t="shared" si="153"/>
        <v>424264</v>
      </c>
      <c r="H491" s="248" t="str">
        <f>VLOOKUP(C491,'8-3.노무산출'!$C$43:$K$257,9,FALSE)</f>
        <v>품5-26</v>
      </c>
      <c r="J491" s="533"/>
      <c r="K491" s="456"/>
      <c r="L491" s="456"/>
      <c r="M491" s="430"/>
      <c r="N491" s="394"/>
      <c r="O491" s="458"/>
      <c r="P491" s="393"/>
      <c r="Q491" s="311"/>
    </row>
    <row r="492" spans="1:17" s="34" customFormat="1" ht="24.95" hidden="1" customHeight="1">
      <c r="A492" s="533"/>
      <c r="B492" s="456" t="str">
        <f>'8-3.노무산출'!B195</f>
        <v>브라켓설치</v>
      </c>
      <c r="C492" s="456" t="str">
        <f>'8-3.노무산출'!C195</f>
        <v>일반형</v>
      </c>
      <c r="D492" s="457" t="str">
        <f>'8-3.노무산출'!D195</f>
        <v>대</v>
      </c>
      <c r="E492" s="394">
        <f>'8-3.노무산출'!H195</f>
        <v>0</v>
      </c>
      <c r="F492" s="1207">
        <f>VLOOKUP(C492,'8-3.노무산출'!$C$43:$K$257,7,FALSE)</f>
        <v>98047</v>
      </c>
      <c r="G492" s="1207">
        <f t="shared" si="153"/>
        <v>0</v>
      </c>
      <c r="H492" s="248" t="str">
        <f>VLOOKUP(C492,'8-3.노무산출'!$C$43:$K$257,9,FALSE)</f>
        <v>품5-27</v>
      </c>
      <c r="J492" s="533"/>
      <c r="K492" s="456"/>
      <c r="L492" s="456"/>
      <c r="M492" s="430"/>
      <c r="N492" s="394"/>
      <c r="O492" s="458"/>
      <c r="P492" s="393"/>
      <c r="Q492" s="311"/>
    </row>
    <row r="493" spans="1:17" s="34" customFormat="1" ht="24.95" hidden="1" customHeight="1">
      <c r="A493" s="533"/>
      <c r="B493" s="456" t="str">
        <f>'8-3.노무산출'!B196</f>
        <v>브라켓설치</v>
      </c>
      <c r="C493" s="456" t="str">
        <f>'8-3.노무산출'!C196</f>
        <v>천정형</v>
      </c>
      <c r="D493" s="457" t="str">
        <f>'8-3.노무산출'!D196</f>
        <v>대</v>
      </c>
      <c r="E493" s="394">
        <f>'8-3.노무산출'!H196</f>
        <v>0</v>
      </c>
      <c r="F493" s="1207">
        <f>VLOOKUP(C493,'8-3.노무산출'!$C$43:$K$257,7,FALSE)</f>
        <v>132151</v>
      </c>
      <c r="G493" s="1207">
        <f t="shared" si="153"/>
        <v>0</v>
      </c>
      <c r="H493" s="248" t="str">
        <f>VLOOKUP(C493,'8-3.노무산출'!$C$43:$K$257,9,FALSE)</f>
        <v>품27-1</v>
      </c>
      <c r="J493" s="533"/>
      <c r="K493" s="456"/>
      <c r="L493" s="456"/>
      <c r="M493" s="430"/>
      <c r="N493" s="394"/>
      <c r="O493" s="458"/>
      <c r="P493" s="393"/>
      <c r="Q493" s="311"/>
    </row>
    <row r="494" spans="1:17" s="34" customFormat="1" ht="24.95" hidden="1" customHeight="1">
      <c r="A494" s="533"/>
      <c r="B494" s="456" t="str">
        <f>'8-3.노무산출'!B197</f>
        <v>영상처리장치함체 설치</v>
      </c>
      <c r="C494" s="456" t="str">
        <f>'8-3.노무산출'!C197</f>
        <v>벽면 450*550*200</v>
      </c>
      <c r="D494" s="457" t="str">
        <f>'8-3.노무산출'!D197</f>
        <v>개</v>
      </c>
      <c r="E494" s="394">
        <f>'8-3.노무산출'!H197</f>
        <v>0</v>
      </c>
      <c r="F494" s="1207">
        <f>VLOOKUP(C494,'8-3.노무산출'!$C$43:$K$257,7,FALSE)</f>
        <v>335106</v>
      </c>
      <c r="G494" s="1207">
        <f t="shared" si="153"/>
        <v>0</v>
      </c>
      <c r="H494" s="248" t="str">
        <f>VLOOKUP(C494,'8-3.노무산출'!$C$43:$K$257,9,FALSE)</f>
        <v>품5-28</v>
      </c>
      <c r="J494" s="533"/>
      <c r="K494" s="456"/>
      <c r="L494" s="456"/>
      <c r="M494" s="430"/>
      <c r="N494" s="394"/>
      <c r="O494" s="458"/>
      <c r="P494" s="393"/>
      <c r="Q494" s="311"/>
    </row>
    <row r="495" spans="1:17" s="34" customFormat="1" ht="24.95" customHeight="1">
      <c r="A495" s="533"/>
      <c r="B495" s="456" t="str">
        <f>'8-3.노무산출'!B198</f>
        <v>카메라폴설치</v>
      </c>
      <c r="C495" s="456" t="str">
        <f>'8-3.노무산출'!C198</f>
        <v>6m이하, 작업대 포함</v>
      </c>
      <c r="D495" s="457" t="str">
        <f>'8-3.노무산출'!D198</f>
        <v>본</v>
      </c>
      <c r="E495" s="394">
        <f>'8-3.노무산출'!H198</f>
        <v>8</v>
      </c>
      <c r="F495" s="1207">
        <f>VLOOKUP(C495,'8-3.노무산출'!$C$43:$K$257,7,FALSE)</f>
        <v>645174</v>
      </c>
      <c r="G495" s="1207">
        <f t="shared" si="153"/>
        <v>5161392</v>
      </c>
      <c r="H495" s="248" t="str">
        <f>VLOOKUP(C495,'8-3.노무산출'!$C$43:$K$257,9,FALSE)</f>
        <v>품5-29</v>
      </c>
      <c r="J495" s="533"/>
      <c r="K495" s="456"/>
      <c r="L495" s="456"/>
      <c r="M495" s="430"/>
      <c r="N495" s="394"/>
      <c r="O495" s="458"/>
      <c r="P495" s="393"/>
      <c r="Q495" s="311"/>
    </row>
    <row r="496" spans="1:17" s="34" customFormat="1" ht="24.95" customHeight="1">
      <c r="A496" s="533"/>
      <c r="B496" s="456" t="str">
        <f>'8-3.노무산출'!B199</f>
        <v>카메라폴설치</v>
      </c>
      <c r="C496" s="456" t="str">
        <f>'8-3.노무산출'!C199</f>
        <v>3m 이하, 작업대 제외</v>
      </c>
      <c r="D496" s="457" t="str">
        <f>'8-3.노무산출'!D199</f>
        <v>본</v>
      </c>
      <c r="E496" s="394">
        <f>'8-3.노무산출'!H199</f>
        <v>4</v>
      </c>
      <c r="F496" s="1207">
        <f>VLOOKUP(C496,'8-3.노무산출'!$C$43:$K$257,7,FALSE)</f>
        <v>187698</v>
      </c>
      <c r="G496" s="1207">
        <f t="shared" si="153"/>
        <v>750792</v>
      </c>
      <c r="H496" s="248" t="str">
        <f>VLOOKUP(C496,'8-3.노무산출'!$C$43:$K$257,9,FALSE)</f>
        <v>픔29-1</v>
      </c>
      <c r="J496" s="533"/>
      <c r="K496" s="456"/>
      <c r="L496" s="456"/>
      <c r="M496" s="430"/>
      <c r="N496" s="394"/>
      <c r="O496" s="458"/>
      <c r="P496" s="393"/>
      <c r="Q496" s="311"/>
    </row>
    <row r="497" spans="1:17" s="34" customFormat="1" ht="24.95" hidden="1" customHeight="1">
      <c r="A497" s="533"/>
      <c r="B497" s="456" t="str">
        <f>'8-3.노무산출'!B200</f>
        <v>광전송장치 함체 설치</v>
      </c>
      <c r="C497" s="456" t="str">
        <f>'8-3.노무산출'!C200</f>
        <v>벽면 450*550*200</v>
      </c>
      <c r="D497" s="457" t="str">
        <f>'8-3.노무산출'!D200</f>
        <v>개</v>
      </c>
      <c r="E497" s="394">
        <f>'8-3.노무산출'!H200</f>
        <v>0</v>
      </c>
      <c r="F497" s="1207">
        <f>VLOOKUP(C497,'8-3.노무산출'!$C$43:$K$257,7,FALSE)</f>
        <v>335106</v>
      </c>
      <c r="G497" s="1207">
        <f t="shared" si="153"/>
        <v>0</v>
      </c>
      <c r="H497" s="248" t="str">
        <f>VLOOKUP(C497,'8-3.노무산출'!$C$43:$K$257,9,FALSE)</f>
        <v>품5-28</v>
      </c>
      <c r="J497" s="533"/>
      <c r="K497" s="456"/>
      <c r="L497" s="456"/>
      <c r="M497" s="430"/>
      <c r="N497" s="394"/>
      <c r="O497" s="458"/>
      <c r="P497" s="393"/>
      <c r="Q497" s="311"/>
    </row>
    <row r="498" spans="1:17" s="34" customFormat="1" ht="24.95" customHeight="1">
      <c r="A498" s="533"/>
      <c r="B498" s="456" t="str">
        <f>'8-3.노무산출'!B201</f>
        <v>광심선분배함 설치</v>
      </c>
      <c r="C498" s="456" t="str">
        <f>'8-3.노무산출'!C201</f>
        <v>8포트</v>
      </c>
      <c r="D498" s="457" t="str">
        <f>'8-3.노무산출'!D201</f>
        <v>개</v>
      </c>
      <c r="E498" s="394">
        <f>'8-3.노무산출'!H201</f>
        <v>40</v>
      </c>
      <c r="F498" s="1207">
        <f>VLOOKUP(C498,'8-3.노무산출'!$C$43:$K$257,7,FALSE)</f>
        <v>38366</v>
      </c>
      <c r="G498" s="1207">
        <f t="shared" si="153"/>
        <v>1534640</v>
      </c>
      <c r="H498" s="248" t="str">
        <f>VLOOKUP(C498,'8-3.노무산출'!$C$43:$K$257,9,FALSE)</f>
        <v>품5-31</v>
      </c>
      <c r="J498" s="533"/>
      <c r="K498" s="456"/>
      <c r="L498" s="456"/>
      <c r="M498" s="430"/>
      <c r="N498" s="394"/>
      <c r="O498" s="458"/>
      <c r="P498" s="393"/>
      <c r="Q498" s="311"/>
    </row>
    <row r="499" spans="1:17" s="34" customFormat="1" ht="24.95" customHeight="1">
      <c r="A499" s="533"/>
      <c r="B499" s="456" t="str">
        <f>'8-3.노무산출'!B202</f>
        <v>광점퍼코드포설</v>
      </c>
      <c r="C499" s="456" t="str">
        <f>'8-3.노무산출'!C202</f>
        <v>1 CORE용</v>
      </c>
      <c r="D499" s="457" t="str">
        <f>'8-3.노무산출'!D202</f>
        <v>m</v>
      </c>
      <c r="E499" s="394">
        <f>'8-3.노무산출'!H202</f>
        <v>156</v>
      </c>
      <c r="F499" s="1207">
        <f>VLOOKUP(C499,'8-3.노무산출'!$C$43:$K$257,7,FALSE)</f>
        <v>4916</v>
      </c>
      <c r="G499" s="1207">
        <f t="shared" si="153"/>
        <v>766896</v>
      </c>
      <c r="H499" s="248" t="str">
        <f>VLOOKUP(C499,'8-3.노무산출'!$C$43:$K$257,9,FALSE)</f>
        <v>품5-32</v>
      </c>
      <c r="J499" s="533"/>
      <c r="K499" s="456"/>
      <c r="L499" s="456"/>
      <c r="M499" s="430"/>
      <c r="N499" s="394"/>
      <c r="O499" s="458"/>
      <c r="P499" s="393"/>
      <c r="Q499" s="311"/>
    </row>
    <row r="500" spans="1:17" s="34" customFormat="1" ht="24.95" customHeight="1">
      <c r="A500" s="533"/>
      <c r="B500" s="456" t="str">
        <f>'8-3.노무산출'!B203</f>
        <v>광케이블 코어성단</v>
      </c>
      <c r="C500" s="456" t="str">
        <f>'8-3.노무산출'!C203</f>
        <v>멀티모드</v>
      </c>
      <c r="D500" s="457" t="str">
        <f>'8-3.노무산출'!D203</f>
        <v>코아</v>
      </c>
      <c r="E500" s="394">
        <f>'8-3.노무산출'!H203</f>
        <v>312</v>
      </c>
      <c r="F500" s="1207">
        <f>VLOOKUP(C500,'8-3.노무산출'!$C$43:$K$257,7,FALSE)</f>
        <v>34470</v>
      </c>
      <c r="G500" s="1207">
        <f t="shared" si="153"/>
        <v>10754640</v>
      </c>
      <c r="H500" s="248" t="str">
        <f>VLOOKUP(C500,'8-3.노무산출'!$C$43:$K$257,9,FALSE)</f>
        <v>품5-33</v>
      </c>
      <c r="J500" s="533"/>
      <c r="K500" s="456"/>
      <c r="L500" s="456"/>
      <c r="M500" s="430"/>
      <c r="N500" s="394"/>
      <c r="O500" s="458"/>
      <c r="P500" s="393"/>
      <c r="Q500" s="311"/>
    </row>
    <row r="501" spans="1:17" s="34" customFormat="1" ht="24.95" customHeight="1">
      <c r="A501" s="533"/>
      <c r="B501" s="456" t="str">
        <f>'8-3.노무산출'!B204</f>
        <v>광케이블 시험</v>
      </c>
      <c r="C501" s="456" t="str">
        <f>'8-3.노무산출'!C204</f>
        <v>멀티모드, 시험</v>
      </c>
      <c r="D501" s="457" t="str">
        <f>'8-3.노무산출'!D204</f>
        <v>코아</v>
      </c>
      <c r="E501" s="394">
        <f>'8-3.노무산출'!H204</f>
        <v>160</v>
      </c>
      <c r="F501" s="1207">
        <f>VLOOKUP(C501,'8-3.노무산출'!$C$43:$K$257,7,FALSE)</f>
        <v>24456</v>
      </c>
      <c r="G501" s="1207">
        <f t="shared" ref="G501:G509" si="155">INT(E501*F501)</f>
        <v>3912960</v>
      </c>
      <c r="H501" s="248" t="str">
        <f>VLOOKUP(C501,'8-3.노무산출'!$C$43:$K$257,9,FALSE)</f>
        <v>품5-34</v>
      </c>
      <c r="J501" s="533"/>
      <c r="K501" s="456"/>
      <c r="L501" s="456"/>
      <c r="M501" s="430"/>
      <c r="N501" s="394"/>
      <c r="O501" s="458"/>
      <c r="P501" s="393"/>
      <c r="Q501" s="311"/>
    </row>
    <row r="502" spans="1:17" s="34" customFormat="1" ht="24.95" customHeight="1">
      <c r="A502" s="533"/>
      <c r="B502" s="456" t="str">
        <f>'8-3.노무산출'!B205</f>
        <v>광섬유케이블 포설</v>
      </c>
      <c r="C502" s="456" t="str">
        <f>'8-3.노무산출'!C205</f>
        <v>12코아 이하</v>
      </c>
      <c r="D502" s="457" t="str">
        <f>'8-3.노무산출'!D205</f>
        <v>m</v>
      </c>
      <c r="E502" s="394">
        <f>'8-3.노무산출'!H205</f>
        <v>2466.3000000000002</v>
      </c>
      <c r="F502" s="1207">
        <f>VLOOKUP(C502,'8-3.노무산출'!$C$43:$K$257,7,FALSE)</f>
        <v>4681</v>
      </c>
      <c r="G502" s="1207">
        <f t="shared" si="155"/>
        <v>11544750</v>
      </c>
      <c r="H502" s="248" t="str">
        <f>VLOOKUP(C502,'8-3.노무산출'!$C$43:$K$257,9,FALSE)</f>
        <v>품5-35</v>
      </c>
      <c r="J502" s="533"/>
      <c r="K502" s="456"/>
      <c r="L502" s="456"/>
      <c r="M502" s="430"/>
      <c r="N502" s="394"/>
      <c r="O502" s="458"/>
      <c r="P502" s="393"/>
      <c r="Q502" s="311"/>
    </row>
    <row r="503" spans="1:17" s="34" customFormat="1" ht="24.95" customHeight="1">
      <c r="A503" s="533"/>
      <c r="B503" s="456" t="str">
        <f>'8-3.노무산출'!B206</f>
        <v>전원케이블 포설</v>
      </c>
      <c r="C503" s="456" t="str">
        <f>'8-3.노무산출'!C206</f>
        <v>FR-CVVS 16SQ-2C</v>
      </c>
      <c r="D503" s="457" t="str">
        <f>'8-3.노무산출'!D206</f>
        <v>m</v>
      </c>
      <c r="E503" s="394">
        <f>'8-3.노무산출'!H206</f>
        <v>19.5</v>
      </c>
      <c r="F503" s="1207">
        <f>VLOOKUP(C503,'8-3.노무산출'!$C$43:$K$257,7,FALSE)</f>
        <v>14947</v>
      </c>
      <c r="G503" s="1207">
        <f t="shared" si="155"/>
        <v>291466</v>
      </c>
      <c r="H503" s="248" t="str">
        <f>VLOOKUP(C503,'8-3.노무산출'!$C$43:$K$257,9,FALSE)</f>
        <v>품5-36</v>
      </c>
      <c r="J503" s="533"/>
      <c r="K503" s="456"/>
      <c r="L503" s="456"/>
      <c r="M503" s="430"/>
      <c r="N503" s="394"/>
      <c r="O503" s="458"/>
      <c r="P503" s="393"/>
      <c r="Q503" s="311"/>
    </row>
    <row r="504" spans="1:17" s="34" customFormat="1" ht="24.95" customHeight="1">
      <c r="A504" s="533"/>
      <c r="B504" s="456" t="str">
        <f>'8-3.노무산출'!B207</f>
        <v>전원케이블 포설</v>
      </c>
      <c r="C504" s="456" t="str">
        <f>'8-3.노무산출'!C207</f>
        <v>FR-CVVS 2.5SQ-2C,1열 포설</v>
      </c>
      <c r="D504" s="457" t="str">
        <f>'8-3.노무산출'!D207</f>
        <v>m</v>
      </c>
      <c r="E504" s="394">
        <f>'8-3.노무산출'!H207</f>
        <v>4035.3999999999978</v>
      </c>
      <c r="F504" s="1207">
        <f>VLOOKUP(C504,'8-3.노무산출'!$C$43:$K$257,7,FALSE)</f>
        <v>6499</v>
      </c>
      <c r="G504" s="1207">
        <f t="shared" si="155"/>
        <v>26226064</v>
      </c>
      <c r="H504" s="248" t="str">
        <f>VLOOKUP(C504,'8-3.노무산출'!$C$43:$K$257,9,FALSE)</f>
        <v>품5-37</v>
      </c>
      <c r="J504" s="533"/>
      <c r="K504" s="456"/>
      <c r="L504" s="456"/>
      <c r="M504" s="430"/>
      <c r="N504" s="394"/>
      <c r="O504" s="458"/>
      <c r="P504" s="393"/>
      <c r="Q504" s="311"/>
    </row>
    <row r="505" spans="1:17" s="34" customFormat="1" ht="24.95" customHeight="1">
      <c r="A505" s="533"/>
      <c r="B505" s="456" t="str">
        <f>'8-3.노무산출'!B208</f>
        <v>전원케이블 포설</v>
      </c>
      <c r="C505" s="456" t="str">
        <f>'8-3.노무산출'!C208</f>
        <v>FR-CVVS 2.5SQ-2C,2열 동시</v>
      </c>
      <c r="D505" s="457" t="str">
        <f>'8-3.노무산출'!D208</f>
        <v>m</v>
      </c>
      <c r="E505" s="394">
        <f>'8-3.노무산출'!H208</f>
        <v>751.0999999999998</v>
      </c>
      <c r="F505" s="1207">
        <f>VLOOKUP(C505,'8-3.노무산출'!$C$43:$K$257,7,FALSE)</f>
        <v>11698</v>
      </c>
      <c r="G505" s="1207">
        <f t="shared" si="155"/>
        <v>8786367</v>
      </c>
      <c r="H505" s="248" t="str">
        <f>VLOOKUP(C505,'8-3.노무산출'!$C$43:$K$257,9,FALSE)</f>
        <v>품5-37-1</v>
      </c>
      <c r="J505" s="533"/>
      <c r="K505" s="456"/>
      <c r="L505" s="456"/>
      <c r="M505" s="430"/>
      <c r="N505" s="394"/>
      <c r="O505" s="458"/>
      <c r="P505" s="393"/>
      <c r="Q505" s="311"/>
    </row>
    <row r="506" spans="1:17" s="34" customFormat="1" ht="24.95" customHeight="1">
      <c r="A506" s="533"/>
      <c r="B506" s="456" t="str">
        <f>'8-3.노무산출'!B209</f>
        <v>전원케이블 포설</v>
      </c>
      <c r="C506" s="456" t="str">
        <f>'8-3.노무산출'!C209</f>
        <v>FR-CVVS 2.5SQ-2C,3열 동시</v>
      </c>
      <c r="D506" s="457" t="str">
        <f>'8-3.노무산출'!D209</f>
        <v>m</v>
      </c>
      <c r="E506" s="394">
        <f>'8-3.노무산출'!H209</f>
        <v>350.90000000000003</v>
      </c>
      <c r="F506" s="1207">
        <f>VLOOKUP(C506,'8-3.노무산출'!$C$43:$K$257,7,FALSE)</f>
        <v>16897</v>
      </c>
      <c r="G506" s="1207">
        <f t="shared" si="155"/>
        <v>5929157</v>
      </c>
      <c r="H506" s="248" t="str">
        <f>VLOOKUP(C506,'8-3.노무산출'!$C$43:$K$257,9,FALSE)</f>
        <v>품5-37-2</v>
      </c>
      <c r="J506" s="533"/>
      <c r="K506" s="456"/>
      <c r="L506" s="456"/>
      <c r="M506" s="430"/>
      <c r="N506" s="394"/>
      <c r="O506" s="458"/>
      <c r="P506" s="393"/>
      <c r="Q506" s="311"/>
    </row>
    <row r="507" spans="1:17" s="34" customFormat="1" ht="24.95" customHeight="1">
      <c r="A507" s="533"/>
      <c r="B507" s="456" t="str">
        <f>'8-3.노무산출'!B210</f>
        <v>전원케이블 포설</v>
      </c>
      <c r="C507" s="456" t="str">
        <f>'8-3.노무산출'!C210</f>
        <v>FR-CVVS 2.5SQ-2C,4열 동시</v>
      </c>
      <c r="D507" s="457" t="str">
        <f>'8-3.노무산출'!D210</f>
        <v>m</v>
      </c>
      <c r="E507" s="394">
        <f>'8-3.노무산출'!H210</f>
        <v>72.100000000000009</v>
      </c>
      <c r="F507" s="1207">
        <f>VLOOKUP(C507,'8-3.노무산출'!$C$43:$K$257,7,FALSE)</f>
        <v>22096</v>
      </c>
      <c r="G507" s="1207">
        <f t="shared" si="155"/>
        <v>1593121</v>
      </c>
      <c r="H507" s="248" t="str">
        <f>VLOOKUP(C507,'8-3.노무산출'!$C$43:$K$257,9,FALSE)</f>
        <v>품5-37-3</v>
      </c>
      <c r="J507" s="533"/>
      <c r="K507" s="456"/>
      <c r="L507" s="456"/>
      <c r="M507" s="430"/>
      <c r="N507" s="394"/>
      <c r="O507" s="458"/>
      <c r="P507" s="393"/>
      <c r="Q507" s="311"/>
    </row>
    <row r="508" spans="1:17" s="34" customFormat="1" ht="24.95" hidden="1" customHeight="1">
      <c r="A508" s="533"/>
      <c r="B508" s="456" t="str">
        <f>'8-3.노무산출'!B211</f>
        <v>전원케이블 포설</v>
      </c>
      <c r="C508" s="456" t="str">
        <f>'8-3.노무산출'!C211</f>
        <v>FR-CVVS 1.5SQ-2C,1열 포설</v>
      </c>
      <c r="D508" s="457" t="str">
        <f>'8-3.노무산출'!D211</f>
        <v>m</v>
      </c>
      <c r="E508" s="394">
        <f>'8-3.노무산출'!H211</f>
        <v>0</v>
      </c>
      <c r="F508" s="1207">
        <f>VLOOKUP(C508,'8-3.노무산출'!$C$43:$K$257,7,FALSE)</f>
        <v>5570</v>
      </c>
      <c r="G508" s="1207">
        <f t="shared" si="155"/>
        <v>0</v>
      </c>
      <c r="H508" s="248" t="str">
        <f>VLOOKUP(C508,'8-3.노무산출'!$C$43:$K$257,9,FALSE)</f>
        <v>품5-38</v>
      </c>
      <c r="J508" s="533"/>
      <c r="K508" s="456"/>
      <c r="L508" s="456"/>
      <c r="M508" s="430"/>
      <c r="N508" s="394"/>
      <c r="O508" s="458"/>
      <c r="P508" s="393"/>
      <c r="Q508" s="311"/>
    </row>
    <row r="509" spans="1:17" s="34" customFormat="1" ht="24.95" hidden="1" customHeight="1">
      <c r="A509" s="533"/>
      <c r="B509" s="456" t="str">
        <f>'8-3.노무산출'!B212</f>
        <v>전원케이블 포설</v>
      </c>
      <c r="C509" s="456" t="str">
        <f>'8-3.노무산출'!C212</f>
        <v>FR-CVVS 1.5SQ-2C,2열 동시</v>
      </c>
      <c r="D509" s="457" t="str">
        <f>'8-3.노무산출'!D212</f>
        <v>m</v>
      </c>
      <c r="E509" s="394">
        <f>'8-3.노무산출'!H212</f>
        <v>0</v>
      </c>
      <c r="F509" s="1207">
        <f>VLOOKUP(C509,'8-3.노무산출'!$C$43:$K$257,7,FALSE)</f>
        <v>10027</v>
      </c>
      <c r="G509" s="1207">
        <f t="shared" si="155"/>
        <v>0</v>
      </c>
      <c r="H509" s="248" t="str">
        <f>VLOOKUP(C509,'8-3.노무산출'!$C$43:$K$257,9,FALSE)</f>
        <v>품38-1</v>
      </c>
      <c r="J509" s="533"/>
      <c r="K509" s="456"/>
      <c r="L509" s="456"/>
      <c r="M509" s="430"/>
      <c r="N509" s="394"/>
      <c r="O509" s="458"/>
      <c r="P509" s="393"/>
      <c r="Q509" s="311"/>
    </row>
    <row r="510" spans="1:17" s="34" customFormat="1" ht="24.95" hidden="1" customHeight="1">
      <c r="A510" s="533"/>
      <c r="B510" s="456" t="str">
        <f>'8-3.노무산출'!B213</f>
        <v>전원케이블 포설</v>
      </c>
      <c r="C510" s="456" t="str">
        <f>'8-3.노무산출'!C213</f>
        <v>FR-CVVS 1.5SQ-2C,3열 동시</v>
      </c>
      <c r="D510" s="457" t="str">
        <f>'8-3.노무산출'!D213</f>
        <v>m</v>
      </c>
      <c r="E510" s="394">
        <f>'8-3.노무산출'!H213</f>
        <v>0</v>
      </c>
      <c r="F510" s="1207">
        <f>VLOOKUP(C510,'8-3.노무산출'!$C$43:$K$257,7,FALSE)</f>
        <v>14483</v>
      </c>
      <c r="G510" s="1207">
        <f t="shared" ref="G510:G518" si="156">INT(E510*F510)</f>
        <v>0</v>
      </c>
      <c r="H510" s="248" t="str">
        <f>VLOOKUP(C510,'8-3.노무산출'!$C$43:$K$257,9,FALSE)</f>
        <v>픔38-2</v>
      </c>
      <c r="J510" s="533"/>
      <c r="K510" s="456"/>
      <c r="L510" s="456"/>
      <c r="M510" s="430"/>
      <c r="N510" s="394"/>
      <c r="O510" s="458"/>
      <c r="P510" s="393"/>
      <c r="Q510" s="311"/>
    </row>
    <row r="511" spans="1:17" s="34" customFormat="1" ht="24.95" hidden="1" customHeight="1">
      <c r="A511" s="533"/>
      <c r="B511" s="456" t="str">
        <f>'8-3.노무산출'!B214</f>
        <v>전원케이블 포설</v>
      </c>
      <c r="C511" s="456" t="str">
        <f>'8-3.노무산출'!C214</f>
        <v>FR-CVVS 1.5SQ-2C,4열 동시</v>
      </c>
      <c r="D511" s="457" t="str">
        <f>'8-3.노무산출'!D214</f>
        <v>m</v>
      </c>
      <c r="E511" s="394">
        <f>'8-3.노무산출'!H214</f>
        <v>0</v>
      </c>
      <c r="F511" s="1207">
        <f>VLOOKUP(C511,'8-3.노무산출'!$C$43:$K$257,7,FALSE)</f>
        <v>18940</v>
      </c>
      <c r="G511" s="1207">
        <f t="shared" si="156"/>
        <v>0</v>
      </c>
      <c r="H511" s="248" t="str">
        <f>VLOOKUP(C511,'8-3.노무산출'!$C$43:$K$257,9,FALSE)</f>
        <v>품38-3</v>
      </c>
      <c r="J511" s="533"/>
      <c r="K511" s="456"/>
      <c r="L511" s="456"/>
      <c r="M511" s="430"/>
      <c r="N511" s="394"/>
      <c r="O511" s="458"/>
      <c r="P511" s="393"/>
      <c r="Q511" s="311"/>
    </row>
    <row r="512" spans="1:17" s="34" customFormat="1" ht="24.95" customHeight="1">
      <c r="A512" s="533"/>
      <c r="B512" s="456" t="str">
        <f>'8-3.노무산출'!B215</f>
        <v>제어케이블포설</v>
      </c>
      <c r="C512" s="456" t="str">
        <f>'8-3.노무산출'!C215</f>
        <v>FR-CVVS 1.5SQ-4C</v>
      </c>
      <c r="D512" s="457" t="str">
        <f>'8-3.노무산출'!D215</f>
        <v>m</v>
      </c>
      <c r="E512" s="394">
        <f>'8-3.노무산출'!H215</f>
        <v>40.200000000000003</v>
      </c>
      <c r="F512" s="1207">
        <f>VLOOKUP(C512,'8-3.노무산출'!$C$43:$K$257,7,FALSE)</f>
        <v>10677</v>
      </c>
      <c r="G512" s="1207">
        <f t="shared" si="156"/>
        <v>429215</v>
      </c>
      <c r="H512" s="248" t="str">
        <f>VLOOKUP(C512,'8-3.노무산출'!$C$43:$K$257,9,FALSE)</f>
        <v>품5-39</v>
      </c>
      <c r="J512" s="533"/>
      <c r="K512" s="456"/>
      <c r="L512" s="456"/>
      <c r="M512" s="430"/>
      <c r="N512" s="394"/>
      <c r="O512" s="458"/>
      <c r="P512" s="393"/>
      <c r="Q512" s="311"/>
    </row>
    <row r="513" spans="1:17" s="34" customFormat="1" ht="24.95" customHeight="1">
      <c r="A513" s="533"/>
      <c r="B513" s="456" t="str">
        <f>'8-3.노무산출'!B216</f>
        <v>제어케이블포설</v>
      </c>
      <c r="C513" s="456" t="str">
        <f>'8-3.노무산출'!C216</f>
        <v>FR-CVVS 1.5SQ-15C</v>
      </c>
      <c r="D513" s="457" t="str">
        <f>'8-3.노무산출'!D216</f>
        <v>m</v>
      </c>
      <c r="E513" s="394">
        <f>'8-3.노무산출'!H216</f>
        <v>40.200000000000003</v>
      </c>
      <c r="F513" s="1207">
        <f>VLOOKUP(C513,'8-3.노무산출'!$C$43:$K$257,7,FALSE)</f>
        <v>24603</v>
      </c>
      <c r="G513" s="1207">
        <f t="shared" si="156"/>
        <v>989040</v>
      </c>
      <c r="H513" s="248" t="str">
        <f>VLOOKUP(C513,'8-3.노무산출'!$C$43:$K$257,9,FALSE)</f>
        <v>품5-40</v>
      </c>
      <c r="J513" s="533"/>
      <c r="K513" s="456"/>
      <c r="L513" s="456"/>
      <c r="M513" s="430"/>
      <c r="N513" s="394"/>
      <c r="O513" s="458"/>
      <c r="P513" s="393"/>
      <c r="Q513" s="311"/>
    </row>
    <row r="514" spans="1:17" s="34" customFormat="1" ht="24.95" hidden="1" customHeight="1">
      <c r="A514" s="533"/>
      <c r="B514" s="456" t="str">
        <f>'8-3.노무산출'!B217</f>
        <v>동축케이블</v>
      </c>
      <c r="C514" s="456" t="str">
        <f>'8-3.노무산출'!C217</f>
        <v>3C-2V</v>
      </c>
      <c r="D514" s="457" t="str">
        <f>'8-3.노무산출'!D217</f>
        <v>m</v>
      </c>
      <c r="E514" s="394">
        <f>'8-3.노무산출'!H217</f>
        <v>0</v>
      </c>
      <c r="F514" s="1207">
        <f>VLOOKUP(C514,'8-3.노무산출'!$C$43:$K$257,7,FALSE)</f>
        <v>6576</v>
      </c>
      <c r="G514" s="1207">
        <f t="shared" si="156"/>
        <v>0</v>
      </c>
      <c r="H514" s="248" t="str">
        <f>VLOOKUP(C514,'8-3.노무산출'!$C$43:$K$257,9,FALSE)</f>
        <v>품5-41</v>
      </c>
      <c r="J514" s="533"/>
      <c r="K514" s="456"/>
      <c r="L514" s="456"/>
      <c r="M514" s="430"/>
      <c r="N514" s="394"/>
      <c r="O514" s="458"/>
      <c r="P514" s="393"/>
      <c r="Q514" s="311"/>
    </row>
    <row r="515" spans="1:17" s="34" customFormat="1" ht="24.95" customHeight="1">
      <c r="A515" s="533"/>
      <c r="B515" s="456" t="str">
        <f>'8-3.노무산출'!B218</f>
        <v>UTP 케이블 포설</v>
      </c>
      <c r="C515" s="456" t="str">
        <f>'8-3.노무산출'!C218</f>
        <v>CAT.5e 4P</v>
      </c>
      <c r="D515" s="457" t="str">
        <f>'8-3.노무산출'!D218</f>
        <v>m</v>
      </c>
      <c r="E515" s="394">
        <f>'8-3.노무산출'!H218</f>
        <v>30</v>
      </c>
      <c r="F515" s="1207">
        <f>VLOOKUP(C515,'8-3.노무산출'!$C$43:$K$257,7,FALSE)</f>
        <v>5802</v>
      </c>
      <c r="G515" s="1207">
        <f t="shared" si="156"/>
        <v>174060</v>
      </c>
      <c r="H515" s="248" t="str">
        <f>VLOOKUP(C515,'8-3.노무산출'!$C$43:$K$257,9,FALSE)</f>
        <v>품5-42</v>
      </c>
      <c r="J515" s="533"/>
      <c r="K515" s="456"/>
      <c r="L515" s="456"/>
      <c r="M515" s="430"/>
      <c r="N515" s="394"/>
      <c r="O515" s="458"/>
      <c r="P515" s="393"/>
      <c r="Q515" s="311"/>
    </row>
    <row r="516" spans="1:17" s="34" customFormat="1" ht="24.95" customHeight="1">
      <c r="A516" s="533"/>
      <c r="B516" s="456" t="str">
        <f>'8-3.노무산출'!B219</f>
        <v>RS-데이터 케이블 포설</v>
      </c>
      <c r="C516" s="456" t="str">
        <f>'8-3.노무산출'!C219</f>
        <v>10P 이하, 1열</v>
      </c>
      <c r="D516" s="457" t="str">
        <f>'8-3.노무산출'!D219</f>
        <v>m</v>
      </c>
      <c r="E516" s="394">
        <f>'8-3.노무산출'!H219</f>
        <v>1316.899999999999</v>
      </c>
      <c r="F516" s="1207">
        <f>VLOOKUP(C516,'8-3.노무산출'!$C$43:$K$257,7,FALSE)</f>
        <v>6963</v>
      </c>
      <c r="G516" s="1207">
        <f t="shared" si="156"/>
        <v>9169574</v>
      </c>
      <c r="H516" s="248" t="str">
        <f>VLOOKUP(C516,'8-3.노무산출'!$C$43:$K$257,9,FALSE)</f>
        <v>품5-43</v>
      </c>
      <c r="J516" s="533"/>
      <c r="K516" s="456"/>
      <c r="L516" s="456"/>
      <c r="M516" s="430"/>
      <c r="N516" s="394"/>
      <c r="O516" s="458"/>
      <c r="P516" s="393"/>
      <c r="Q516" s="311"/>
    </row>
    <row r="517" spans="1:17" s="34" customFormat="1" ht="24.95" hidden="1" customHeight="1">
      <c r="A517" s="533"/>
      <c r="B517" s="456" t="str">
        <f>'8-3.노무산출'!B220</f>
        <v>RS-데이터 케이블 포설</v>
      </c>
      <c r="C517" s="456" t="str">
        <f>'8-3.노무산출'!C220</f>
        <v>10P 이하, 2열</v>
      </c>
      <c r="D517" s="457" t="str">
        <f>'8-3.노무산출'!D220</f>
        <v>m</v>
      </c>
      <c r="E517" s="394">
        <f>'8-3.노무산출'!H220</f>
        <v>0</v>
      </c>
      <c r="F517" s="1207">
        <f>VLOOKUP(C517,'8-3.노무산출'!$C$43:$K$257,7,FALSE)</f>
        <v>12533</v>
      </c>
      <c r="G517" s="1207">
        <f t="shared" si="156"/>
        <v>0</v>
      </c>
      <c r="H517" s="248" t="str">
        <f>VLOOKUP(C517,'8-3.노무산출'!$C$43:$K$257,9,FALSE)</f>
        <v>품43-1</v>
      </c>
      <c r="J517" s="533"/>
      <c r="K517" s="456"/>
      <c r="L517" s="456"/>
      <c r="M517" s="430"/>
      <c r="N517" s="394"/>
      <c r="O517" s="458"/>
      <c r="P517" s="393"/>
      <c r="Q517" s="311"/>
    </row>
    <row r="518" spans="1:17" s="34" customFormat="1" ht="24.95" hidden="1" customHeight="1">
      <c r="A518" s="533"/>
      <c r="B518" s="456" t="str">
        <f>'8-3.노무산출'!B221</f>
        <v>RS-데이터 케이블 포설</v>
      </c>
      <c r="C518" s="456" t="str">
        <f>'8-3.노무산출'!C221</f>
        <v>10P 이하, 3열</v>
      </c>
      <c r="D518" s="457" t="str">
        <f>'8-3.노무산출'!D221</f>
        <v>m</v>
      </c>
      <c r="E518" s="394">
        <f>'8-3.노무산출'!H221</f>
        <v>0</v>
      </c>
      <c r="F518" s="1207">
        <f>VLOOKUP(C518,'8-3.노무산출'!$C$43:$K$257,7,FALSE)</f>
        <v>18104</v>
      </c>
      <c r="G518" s="1207">
        <f t="shared" si="156"/>
        <v>0</v>
      </c>
      <c r="H518" s="248" t="str">
        <f>VLOOKUP(C518,'8-3.노무산출'!$C$43:$K$257,9,FALSE)</f>
        <v>품43-2</v>
      </c>
      <c r="J518" s="533"/>
      <c r="K518" s="456"/>
      <c r="L518" s="456"/>
      <c r="M518" s="430"/>
      <c r="N518" s="394"/>
      <c r="O518" s="458"/>
      <c r="P518" s="393"/>
      <c r="Q518" s="311"/>
    </row>
    <row r="519" spans="1:17" s="34" customFormat="1" ht="24.95" customHeight="1">
      <c r="A519" s="533"/>
      <c r="B519" s="456" t="str">
        <f>'8-3.노무산출'!B222</f>
        <v>S-FTP 케이블 포설</v>
      </c>
      <c r="C519" s="456" t="str">
        <f>'8-3.노무산출'!C222</f>
        <v>CAT.5e 4P,1열 포설</v>
      </c>
      <c r="D519" s="457" t="str">
        <f>'8-3.노무산출'!D222</f>
        <v>m</v>
      </c>
      <c r="E519" s="394">
        <f>'8-3.노무산출'!H222</f>
        <v>2357.2000000000025</v>
      </c>
      <c r="F519" s="1207">
        <f>VLOOKUP(C519,'8-3.노무산출'!$C$43:$K$257,7,FALSE)</f>
        <v>5802</v>
      </c>
      <c r="G519" s="1207">
        <f t="shared" ref="G519:G537" si="157">INT(E519*F519)</f>
        <v>13676474</v>
      </c>
      <c r="H519" s="248" t="str">
        <f>VLOOKUP(C519,'8-3.노무산출'!$C$43:$K$257,9,FALSE)</f>
        <v>품5-44</v>
      </c>
      <c r="J519" s="533"/>
      <c r="K519" s="456"/>
      <c r="L519" s="456"/>
      <c r="M519" s="430"/>
      <c r="N519" s="394"/>
      <c r="O519" s="458"/>
      <c r="P519" s="393"/>
      <c r="Q519" s="311"/>
    </row>
    <row r="520" spans="1:17" s="34" customFormat="1" ht="24.95" customHeight="1">
      <c r="A520" s="533"/>
      <c r="B520" s="456" t="str">
        <f>'8-3.노무산출'!B223</f>
        <v>S-FTP 케이블 포설</v>
      </c>
      <c r="C520" s="456" t="str">
        <f>'8-3.노무산출'!C223</f>
        <v>CAT.5e 4P,2열 동시</v>
      </c>
      <c r="D520" s="457" t="str">
        <f>'8-3.노무산출'!D223</f>
        <v>m</v>
      </c>
      <c r="E520" s="394">
        <f>'8-3.노무산출'!H223</f>
        <v>822.5</v>
      </c>
      <c r="F520" s="1207">
        <f>VLOOKUP(C520,'8-3.노무산출'!$C$43:$K$257,7,FALSE)</f>
        <v>10444</v>
      </c>
      <c r="G520" s="1207">
        <f t="shared" si="157"/>
        <v>8590190</v>
      </c>
      <c r="H520" s="248" t="str">
        <f>VLOOKUP(C520,'8-3.노무산출'!$C$43:$K$257,9,FALSE)</f>
        <v>품5-44-1</v>
      </c>
      <c r="J520" s="533"/>
      <c r="K520" s="456"/>
      <c r="L520" s="456"/>
      <c r="M520" s="430"/>
      <c r="N520" s="394"/>
      <c r="O520" s="458"/>
      <c r="P520" s="393"/>
      <c r="Q520" s="311"/>
    </row>
    <row r="521" spans="1:17" s="34" customFormat="1" ht="24.95" customHeight="1">
      <c r="A521" s="533"/>
      <c r="B521" s="456" t="str">
        <f>'8-3.노무산출'!B224</f>
        <v>S-FTP 케이블 포설</v>
      </c>
      <c r="C521" s="456" t="str">
        <f>'8-3.노무산출'!C224</f>
        <v>CAT.5e 4P,3열 동시</v>
      </c>
      <c r="D521" s="457" t="str">
        <f>'8-3.노무산출'!D224</f>
        <v>m</v>
      </c>
      <c r="E521" s="394">
        <f>'8-3.노무산출'!H224</f>
        <v>347</v>
      </c>
      <c r="F521" s="1207">
        <f>VLOOKUP(C521,'8-3.노무산출'!$C$43:$K$257,7,FALSE)</f>
        <v>15087</v>
      </c>
      <c r="G521" s="1207">
        <f t="shared" si="157"/>
        <v>5235189</v>
      </c>
      <c r="H521" s="248" t="str">
        <f>VLOOKUP(C521,'8-3.노무산출'!$C$43:$K$257,9,FALSE)</f>
        <v>품44-2</v>
      </c>
      <c r="J521" s="533"/>
      <c r="K521" s="456"/>
      <c r="L521" s="456"/>
      <c r="M521" s="430"/>
      <c r="N521" s="394"/>
      <c r="O521" s="458"/>
      <c r="P521" s="393"/>
      <c r="Q521" s="311"/>
    </row>
    <row r="522" spans="1:17" s="34" customFormat="1" ht="24.95" customHeight="1">
      <c r="A522" s="533"/>
      <c r="B522" s="456" t="str">
        <f>'8-3.노무산출'!B225</f>
        <v>S-FTP 케이블 포설</v>
      </c>
      <c r="C522" s="456" t="str">
        <f>'8-3.노무산출'!C225</f>
        <v>CAT.5e 4P,4열 동시</v>
      </c>
      <c r="D522" s="457" t="str">
        <f>'8-3.노무산출'!D225</f>
        <v>m</v>
      </c>
      <c r="E522" s="394">
        <f>'8-3.노무산출'!H225</f>
        <v>71</v>
      </c>
      <c r="F522" s="1207">
        <f>VLOOKUP(C522,'8-3.노무산출'!$C$43:$K$257,7,FALSE)</f>
        <v>19729</v>
      </c>
      <c r="G522" s="1207">
        <f t="shared" si="157"/>
        <v>1400759</v>
      </c>
      <c r="H522" s="248" t="str">
        <f>VLOOKUP(C522,'8-3.노무산출'!$C$43:$K$257,9,FALSE)</f>
        <v>품44-3</v>
      </c>
      <c r="J522" s="533"/>
      <c r="K522" s="456"/>
      <c r="L522" s="456"/>
      <c r="M522" s="430"/>
      <c r="N522" s="394"/>
      <c r="O522" s="458"/>
      <c r="P522" s="393"/>
      <c r="Q522" s="311"/>
    </row>
    <row r="523" spans="1:17" s="34" customFormat="1" ht="24.95" customHeight="1">
      <c r="A523" s="533"/>
      <c r="B523" s="456" t="str">
        <f>'8-3.노무산출'!B226</f>
        <v>접지선 포설</v>
      </c>
      <c r="C523" s="456" t="str">
        <f>'8-3.노무산출'!C226</f>
        <v>F-GV 6SQ</v>
      </c>
      <c r="D523" s="457" t="str">
        <f>'8-3.노무산출'!D226</f>
        <v>m</v>
      </c>
      <c r="E523" s="394">
        <f>'8-3.노무산출'!H226</f>
        <v>127.5</v>
      </c>
      <c r="F523" s="1207">
        <f>VLOOKUP(C523,'8-3.노무산출'!$C$43:$K$257,7,FALSE)</f>
        <v>3732</v>
      </c>
      <c r="G523" s="1207">
        <f t="shared" si="157"/>
        <v>475830</v>
      </c>
      <c r="H523" s="248" t="str">
        <f>VLOOKUP(C523,'8-3.노무산출'!$C$43:$K$257,9,FALSE)</f>
        <v>품5-45</v>
      </c>
      <c r="J523" s="533"/>
      <c r="K523" s="456"/>
      <c r="L523" s="456"/>
      <c r="M523" s="430"/>
      <c r="N523" s="394"/>
      <c r="O523" s="458"/>
      <c r="P523" s="393"/>
      <c r="Q523" s="311"/>
    </row>
    <row r="524" spans="1:17" s="34" customFormat="1" ht="24.95" hidden="1" customHeight="1">
      <c r="A524" s="533"/>
      <c r="B524" s="456" t="str">
        <f>'8-3.노무산출'!B227</f>
        <v>접지선 포설</v>
      </c>
      <c r="C524" s="456" t="str">
        <f>'8-3.노무산출'!C227</f>
        <v>F-GV 16SQ</v>
      </c>
      <c r="D524" s="457" t="str">
        <f>'8-3.노무산출'!D227</f>
        <v>m</v>
      </c>
      <c r="E524" s="394">
        <f>'8-3.노무산출'!H227</f>
        <v>0</v>
      </c>
      <c r="F524" s="1207">
        <f>VLOOKUP(C524,'8-3.노무산출'!$C$43:$K$257,7,FALSE)</f>
        <v>4479</v>
      </c>
      <c r="G524" s="1207">
        <f t="shared" si="157"/>
        <v>0</v>
      </c>
      <c r="H524" s="248" t="str">
        <f>VLOOKUP(C524,'8-3.노무산출'!$C$43:$K$257,9,FALSE)</f>
        <v>품5-46</v>
      </c>
      <c r="J524" s="533"/>
      <c r="K524" s="456"/>
      <c r="L524" s="456"/>
      <c r="M524" s="430"/>
      <c r="N524" s="394"/>
      <c r="O524" s="458"/>
      <c r="P524" s="393"/>
      <c r="Q524" s="311"/>
    </row>
    <row r="525" spans="1:17" s="34" customFormat="1" ht="24.95" hidden="1" customHeight="1">
      <c r="A525" s="533"/>
      <c r="B525" s="456" t="str">
        <f>'8-3.노무산출'!B228</f>
        <v>접지선 포설</v>
      </c>
      <c r="C525" s="456" t="str">
        <f>'8-3.노무산출'!C228</f>
        <v>F-GV 95SQ</v>
      </c>
      <c r="D525" s="457" t="str">
        <f>'8-3.노무산출'!D228</f>
        <v>m</v>
      </c>
      <c r="E525" s="394">
        <f>'8-3.노무산출'!H228</f>
        <v>0</v>
      </c>
      <c r="F525" s="1207">
        <f>VLOOKUP(C525,'8-3.노무산출'!$C$43:$K$257,7,FALSE)</f>
        <v>5599</v>
      </c>
      <c r="G525" s="1207">
        <f t="shared" si="157"/>
        <v>0</v>
      </c>
      <c r="H525" s="248" t="str">
        <f>VLOOKUP(C525,'8-3.노무산출'!$C$43:$K$257,9,FALSE)</f>
        <v>품5-47</v>
      </c>
      <c r="J525" s="533"/>
      <c r="K525" s="456"/>
      <c r="L525" s="456"/>
      <c r="M525" s="430"/>
      <c r="N525" s="394"/>
      <c r="O525" s="458"/>
      <c r="P525" s="393"/>
      <c r="Q525" s="311"/>
    </row>
    <row r="526" spans="1:17" s="34" customFormat="1" ht="24.95" hidden="1" customHeight="1">
      <c r="A526" s="533"/>
      <c r="B526" s="456" t="str">
        <f>'8-3.노무산출'!B229</f>
        <v>합성수지 파형관 시설</v>
      </c>
      <c r="C526" s="456" t="str">
        <f>'8-3.노무산출'!C229</f>
        <v>50mm이하</v>
      </c>
      <c r="D526" s="457" t="str">
        <f>'8-3.노무산출'!D229</f>
        <v>m</v>
      </c>
      <c r="E526" s="394">
        <f>'8-3.노무산출'!H229</f>
        <v>0</v>
      </c>
      <c r="F526" s="1207">
        <f>VLOOKUP(C526,'8-3.노무산출'!$C$43:$K$257,7,FALSE)</f>
        <v>8641</v>
      </c>
      <c r="G526" s="1207">
        <f t="shared" si="157"/>
        <v>0</v>
      </c>
      <c r="H526" s="248" t="str">
        <f>VLOOKUP(C526,'8-3.노무산출'!$C$43:$K$257,9,FALSE)</f>
        <v>품5-48</v>
      </c>
      <c r="J526" s="533"/>
      <c r="K526" s="456"/>
      <c r="L526" s="456"/>
      <c r="M526" s="430"/>
      <c r="N526" s="394"/>
      <c r="O526" s="458"/>
      <c r="P526" s="393"/>
      <c r="Q526" s="311"/>
    </row>
    <row r="527" spans="1:17" s="34" customFormat="1" ht="24.95" hidden="1" customHeight="1">
      <c r="A527" s="533"/>
      <c r="B527" s="456" t="str">
        <f>'8-3.노무산출'!B230</f>
        <v>후강전선관 시설</v>
      </c>
      <c r="C527" s="456" t="str">
        <f>'8-3.노무산출'!C230</f>
        <v>22㎜</v>
      </c>
      <c r="D527" s="457" t="str">
        <f>'8-3.노무산출'!D230</f>
        <v>m</v>
      </c>
      <c r="E527" s="394">
        <f>'8-3.노무산출'!H230</f>
        <v>0</v>
      </c>
      <c r="F527" s="1207">
        <f>VLOOKUP(C527,'8-3.노무산출'!$C$43:$K$257,7,FALSE)</f>
        <v>32849</v>
      </c>
      <c r="G527" s="1207">
        <f t="shared" si="157"/>
        <v>0</v>
      </c>
      <c r="H527" s="248" t="str">
        <f>VLOOKUP(C527,'8-3.노무산출'!$C$43:$K$257,9,FALSE)</f>
        <v>품5-49</v>
      </c>
      <c r="J527" s="533"/>
      <c r="K527" s="456"/>
      <c r="L527" s="456"/>
      <c r="M527" s="430"/>
      <c r="N527" s="394"/>
      <c r="O527" s="458"/>
      <c r="P527" s="393"/>
      <c r="Q527" s="311"/>
    </row>
    <row r="528" spans="1:17" s="34" customFormat="1" ht="24.95" hidden="1" customHeight="1">
      <c r="A528" s="533"/>
      <c r="B528" s="456" t="str">
        <f>'8-3.노무산출'!B231</f>
        <v>후강전선관 시설</v>
      </c>
      <c r="C528" s="456" t="str">
        <f>'8-3.노무산출'!C231</f>
        <v>28㎜</v>
      </c>
      <c r="D528" s="457" t="str">
        <f>'8-3.노무산출'!D231</f>
        <v>m</v>
      </c>
      <c r="E528" s="394">
        <f>'8-3.노무산출'!H231</f>
        <v>0</v>
      </c>
      <c r="F528" s="1207">
        <f>VLOOKUP(C528,'8-3.노무산출'!$C$43:$K$257,7,FALSE)</f>
        <v>41807</v>
      </c>
      <c r="G528" s="1207">
        <f t="shared" si="157"/>
        <v>0</v>
      </c>
      <c r="H528" s="248" t="str">
        <f>VLOOKUP(C528,'8-3.노무산출'!$C$43:$K$257,9,FALSE)</f>
        <v>품5-50</v>
      </c>
      <c r="J528" s="533"/>
      <c r="K528" s="456"/>
      <c r="L528" s="456"/>
      <c r="M528" s="430"/>
      <c r="N528" s="394"/>
      <c r="O528" s="458"/>
      <c r="P528" s="393"/>
      <c r="Q528" s="311"/>
    </row>
    <row r="529" spans="1:17" s="34" customFormat="1" ht="24.95" hidden="1" customHeight="1">
      <c r="A529" s="533"/>
      <c r="B529" s="456" t="str">
        <f>'8-3.노무산출'!B232</f>
        <v>플랙시블 전선관 시설</v>
      </c>
      <c r="C529" s="456" t="str">
        <f>'8-3.노무산출'!C232</f>
        <v>22mm</v>
      </c>
      <c r="D529" s="457" t="str">
        <f>'8-3.노무산출'!D232</f>
        <v>m</v>
      </c>
      <c r="E529" s="394">
        <f>'8-3.노무산출'!H232</f>
        <v>0</v>
      </c>
      <c r="F529" s="1207">
        <f>VLOOKUP(C529,'8-3.노무산출'!$C$43:$K$257,7,FALSE)</f>
        <v>19087</v>
      </c>
      <c r="G529" s="1207">
        <f t="shared" si="157"/>
        <v>0</v>
      </c>
      <c r="H529" s="248" t="str">
        <f>VLOOKUP(C529,'8-3.노무산출'!$C$43:$K$257,9,FALSE)</f>
        <v>품5-51</v>
      </c>
      <c r="J529" s="533"/>
      <c r="K529" s="456"/>
      <c r="L529" s="456"/>
      <c r="M529" s="430"/>
      <c r="N529" s="394"/>
      <c r="O529" s="458"/>
      <c r="P529" s="393"/>
      <c r="Q529" s="311"/>
    </row>
    <row r="530" spans="1:17" s="34" customFormat="1" ht="24.95" hidden="1" customHeight="1">
      <c r="A530" s="533"/>
      <c r="B530" s="456" t="str">
        <f>'8-3.노무산출'!B233</f>
        <v>플랙시블 전선관 시설</v>
      </c>
      <c r="C530" s="456" t="str">
        <f>'8-3.노무산출'!C233</f>
        <v>28mm</v>
      </c>
      <c r="D530" s="457" t="str">
        <f>'8-3.노무산출'!D233</f>
        <v>m</v>
      </c>
      <c r="E530" s="394">
        <f>'8-3.노무산출'!H233</f>
        <v>0</v>
      </c>
      <c r="F530" s="1207">
        <f>VLOOKUP(C530,'8-3.노무산출'!$C$43:$K$257,7,FALSE)</f>
        <v>23292</v>
      </c>
      <c r="G530" s="1207">
        <f t="shared" si="157"/>
        <v>0</v>
      </c>
      <c r="H530" s="248" t="str">
        <f>VLOOKUP(C530,'8-3.노무산출'!$C$43:$K$257,9,FALSE)</f>
        <v>품5-52</v>
      </c>
      <c r="J530" s="533"/>
      <c r="K530" s="456"/>
      <c r="L530" s="456"/>
      <c r="M530" s="430"/>
      <c r="N530" s="394"/>
      <c r="O530" s="458"/>
      <c r="P530" s="393"/>
      <c r="Q530" s="311"/>
    </row>
    <row r="531" spans="1:17" s="34" customFormat="1" ht="24.95" hidden="1" customHeight="1">
      <c r="A531" s="533"/>
      <c r="B531" s="456" t="str">
        <f>'8-3.노무산출'!B234</f>
        <v>금속닥트 신설</v>
      </c>
      <c r="C531" s="456" t="str">
        <f>'8-3.노무산출'!C234</f>
        <v>중형(150*100mm) 이하</v>
      </c>
      <c r="D531" s="457" t="str">
        <f>'8-3.노무산출'!D234</f>
        <v>m</v>
      </c>
      <c r="E531" s="394">
        <f>'8-3.노무산출'!H234</f>
        <v>0</v>
      </c>
      <c r="F531" s="1207">
        <f>VLOOKUP(C531,'8-3.노무산출'!$C$43:$K$257,7,FALSE)</f>
        <v>99542</v>
      </c>
      <c r="G531" s="1207">
        <f t="shared" si="157"/>
        <v>0</v>
      </c>
      <c r="H531" s="248" t="str">
        <f>VLOOKUP(C531,'8-3.노무산출'!$C$43:$K$257,9,FALSE)</f>
        <v>품5-53</v>
      </c>
      <c r="J531" s="533"/>
      <c r="K531" s="456"/>
      <c r="L531" s="456"/>
      <c r="M531" s="430"/>
      <c r="N531" s="394"/>
      <c r="O531" s="458"/>
      <c r="P531" s="393"/>
      <c r="Q531" s="311"/>
    </row>
    <row r="532" spans="1:17" s="34" customFormat="1" ht="24.95" hidden="1" customHeight="1">
      <c r="A532" s="533"/>
      <c r="B532" s="456" t="str">
        <f>'8-3.노무산출'!B235</f>
        <v>앙카볼트 설치</v>
      </c>
      <c r="C532" s="456" t="str">
        <f>'8-3.노무산출'!C235</f>
        <v>Φ13mm이하</v>
      </c>
      <c r="D532" s="457" t="str">
        <f>'8-3.노무산출'!D235</f>
        <v>개</v>
      </c>
      <c r="E532" s="394">
        <f>'8-3.노무산출'!H235</f>
        <v>0</v>
      </c>
      <c r="F532" s="1207">
        <f>VLOOKUP(C532,'8-3.노무산출'!$C$43:$K$257,7,FALSE)</f>
        <v>9954</v>
      </c>
      <c r="G532" s="1207">
        <f t="shared" si="157"/>
        <v>0</v>
      </c>
      <c r="H532" s="248" t="str">
        <f>VLOOKUP(C532,'8-3.노무산출'!$C$43:$K$257,9,FALSE)</f>
        <v>품5-54</v>
      </c>
      <c r="J532" s="533"/>
      <c r="K532" s="456"/>
      <c r="L532" s="456"/>
      <c r="M532" s="430"/>
      <c r="N532" s="394"/>
      <c r="O532" s="458"/>
      <c r="P532" s="393"/>
      <c r="Q532" s="311"/>
    </row>
    <row r="533" spans="1:17" s="34" customFormat="1" ht="24.95" customHeight="1">
      <c r="A533" s="533"/>
      <c r="B533" s="456" t="str">
        <f>'8-3.노무산출'!B236</f>
        <v>모듈라플러그 접속</v>
      </c>
      <c r="C533" s="456" t="str">
        <f>'8-3.노무산출'!C236</f>
        <v>S-FTP RJ-45, 접지</v>
      </c>
      <c r="D533" s="457" t="str">
        <f>'8-3.노무산출'!D236</f>
        <v>개</v>
      </c>
      <c r="E533" s="394">
        <f>'8-3.노무산출'!H236</f>
        <v>314</v>
      </c>
      <c r="F533" s="1207">
        <f>VLOOKUP(C533,'8-3.노무산출'!$C$43:$K$257,7,FALSE)</f>
        <v>4205</v>
      </c>
      <c r="G533" s="1207">
        <f t="shared" si="157"/>
        <v>1320370</v>
      </c>
      <c r="H533" s="248" t="str">
        <f>VLOOKUP(C533,'8-3.노무산출'!$C$43:$K$257,9,FALSE)</f>
        <v>품5-55</v>
      </c>
      <c r="J533" s="533"/>
      <c r="K533" s="456"/>
      <c r="L533" s="456"/>
      <c r="M533" s="430"/>
      <c r="N533" s="394"/>
      <c r="O533" s="458"/>
      <c r="P533" s="393"/>
      <c r="Q533" s="311"/>
    </row>
    <row r="534" spans="1:17" s="34" customFormat="1" ht="24.95" hidden="1" customHeight="1">
      <c r="A534" s="533"/>
      <c r="B534" s="456" t="str">
        <f>'8-3.노무산출'!B237</f>
        <v>콘넥터(영상)</v>
      </c>
      <c r="C534" s="456" t="str">
        <f>'8-3.노무산출'!C237</f>
        <v>BNC, 5C이하</v>
      </c>
      <c r="D534" s="457" t="str">
        <f>'8-3.노무산출'!D237</f>
        <v>개</v>
      </c>
      <c r="E534" s="394">
        <f>'8-3.노무산출'!H237</f>
        <v>0</v>
      </c>
      <c r="F534" s="1207">
        <f>VLOOKUP(C534,'8-3.노무산출'!$C$43:$K$257,7,FALSE)</f>
        <v>4977</v>
      </c>
      <c r="G534" s="1207">
        <f t="shared" si="157"/>
        <v>0</v>
      </c>
      <c r="H534" s="248" t="str">
        <f>VLOOKUP(C534,'8-3.노무산출'!$C$43:$K$257,9,FALSE)</f>
        <v>품5-56</v>
      </c>
      <c r="J534" s="533"/>
      <c r="K534" s="456"/>
      <c r="L534" s="456"/>
      <c r="M534" s="430"/>
      <c r="N534" s="394"/>
      <c r="O534" s="458"/>
      <c r="P534" s="393"/>
      <c r="Q534" s="311"/>
    </row>
    <row r="535" spans="1:17" s="34" customFormat="1" ht="24.95" hidden="1" customHeight="1">
      <c r="A535" s="533"/>
      <c r="B535" s="456" t="str">
        <f>'8-3.노무산출'!B238</f>
        <v>풀박스 설치</v>
      </c>
      <c r="C535" s="456" t="str">
        <f>'8-3.노무산출'!C238</f>
        <v>100㎠이하, 천정,노출</v>
      </c>
      <c r="D535" s="457" t="str">
        <f>'8-3.노무산출'!D238</f>
        <v>개</v>
      </c>
      <c r="E535" s="394">
        <f>'8-3.노무산출'!H238</f>
        <v>0</v>
      </c>
      <c r="F535" s="1207">
        <f>VLOOKUP(C535,'8-3.노무산출'!$C$43:$K$257,7,FALSE)</f>
        <v>11945</v>
      </c>
      <c r="G535" s="1207">
        <f t="shared" si="157"/>
        <v>0</v>
      </c>
      <c r="H535" s="248" t="str">
        <f>VLOOKUP(C535,'8-3.노무산출'!$C$43:$K$257,9,FALSE)</f>
        <v>품5-57-1</v>
      </c>
      <c r="J535" s="533"/>
      <c r="K535" s="456"/>
      <c r="L535" s="456"/>
      <c r="M535" s="430"/>
      <c r="N535" s="394"/>
      <c r="O535" s="458"/>
      <c r="P535" s="393"/>
      <c r="Q535" s="311"/>
    </row>
    <row r="536" spans="1:17" s="34" customFormat="1" ht="24.95" hidden="1" customHeight="1">
      <c r="A536" s="533"/>
      <c r="B536" s="456" t="str">
        <f>'8-3.노무산출'!B239</f>
        <v>풀박스 설치</v>
      </c>
      <c r="C536" s="456" t="str">
        <f>'8-3.노무산출'!C239</f>
        <v>100㎠이하, 벽체,노출</v>
      </c>
      <c r="D536" s="457" t="str">
        <f>'8-3.노무산출'!D239</f>
        <v>개</v>
      </c>
      <c r="E536" s="394">
        <f>'8-3.노무산출'!H239</f>
        <v>0</v>
      </c>
      <c r="F536" s="1207">
        <f>VLOOKUP(C536,'8-3.노무산출'!$C$43:$K$257,7,FALSE)</f>
        <v>50766</v>
      </c>
      <c r="G536" s="1207">
        <f t="shared" si="157"/>
        <v>0</v>
      </c>
      <c r="H536" s="248" t="str">
        <f>VLOOKUP(C536,'8-3.노무산출'!$C$43:$K$257,9,FALSE)</f>
        <v>품5-57-2</v>
      </c>
      <c r="J536" s="533"/>
      <c r="K536" s="456"/>
      <c r="L536" s="456"/>
      <c r="M536" s="430"/>
      <c r="N536" s="394"/>
      <c r="O536" s="458"/>
      <c r="P536" s="393"/>
      <c r="Q536" s="311"/>
    </row>
    <row r="537" spans="1:17" s="34" customFormat="1" ht="24.95" hidden="1" customHeight="1">
      <c r="A537" s="533"/>
      <c r="B537" s="456" t="str">
        <f>'8-3.노무산출'!B240</f>
        <v>풀박스 설치</v>
      </c>
      <c r="C537" s="456" t="str">
        <f>'8-3.노무산출'!C240</f>
        <v>625㎠이하, 벽체,노출</v>
      </c>
      <c r="D537" s="457" t="str">
        <f>'8-3.노무산출'!D240</f>
        <v>개</v>
      </c>
      <c r="E537" s="394">
        <f>'8-3.노무산출'!H240</f>
        <v>0</v>
      </c>
      <c r="F537" s="1207">
        <f>VLOOKUP(C537,'8-3.노무산출'!$C$43:$K$257,7,FALSE)</f>
        <v>164245</v>
      </c>
      <c r="G537" s="1207">
        <f t="shared" si="157"/>
        <v>0</v>
      </c>
      <c r="H537" s="248" t="str">
        <f>VLOOKUP(C537,'8-3.노무산출'!$C$43:$K$257,9,FALSE)</f>
        <v>품5-57-3</v>
      </c>
      <c r="J537" s="533"/>
      <c r="K537" s="456"/>
      <c r="L537" s="456"/>
      <c r="M537" s="430"/>
      <c r="N537" s="394"/>
      <c r="O537" s="458"/>
      <c r="P537" s="393"/>
      <c r="Q537" s="311"/>
    </row>
    <row r="538" spans="1:17" s="34" customFormat="1" ht="24.95" hidden="1" customHeight="1">
      <c r="A538" s="533"/>
      <c r="B538" s="456" t="str">
        <f>'8-3.노무산출'!B241</f>
        <v>풀박스 설치</v>
      </c>
      <c r="C538" s="456" t="str">
        <f>'8-3.노무산출'!C241</f>
        <v>900㎠이하, 벽체,노출</v>
      </c>
      <c r="D538" s="457" t="str">
        <f>'8-3.노무산출'!D241</f>
        <v>개</v>
      </c>
      <c r="E538" s="394">
        <f>'8-3.노무산출'!H241</f>
        <v>0</v>
      </c>
      <c r="F538" s="1207">
        <f>VLOOKUP(C538,'8-3.노무산출'!$C$43:$K$257,7,FALSE)</f>
        <v>179176</v>
      </c>
      <c r="G538" s="1207">
        <f t="shared" ref="G538:G546" si="158">INT(E538*F538)</f>
        <v>0</v>
      </c>
      <c r="H538" s="248" t="str">
        <f>VLOOKUP(C538,'8-3.노무산출'!$C$43:$K$257,9,FALSE)</f>
        <v>품5-57-4</v>
      </c>
      <c r="J538" s="533"/>
      <c r="K538" s="456"/>
      <c r="L538" s="456"/>
      <c r="M538" s="430"/>
      <c r="N538" s="394"/>
      <c r="O538" s="458"/>
      <c r="P538" s="393"/>
      <c r="Q538" s="311"/>
    </row>
    <row r="539" spans="1:17" s="34" customFormat="1" ht="24.95" customHeight="1">
      <c r="A539" s="533"/>
      <c r="B539" s="456" t="str">
        <f>'8-3.노무산출'!B242</f>
        <v>기초대 설치</v>
      </c>
      <c r="C539" s="456" t="str">
        <f>'8-3.노무산출'!C242</f>
        <v>CCTV폴(60cm*60cm*60cm이상)</v>
      </c>
      <c r="D539" s="457" t="str">
        <f>'8-3.노무산출'!D242</f>
        <v>개</v>
      </c>
      <c r="E539" s="394">
        <f>'8-3.노무산출'!H242</f>
        <v>8</v>
      </c>
      <c r="F539" s="1207">
        <f>VLOOKUP(C539,'8-3.노무산출'!$C$43:$K$257,7,FALSE)</f>
        <v>224879</v>
      </c>
      <c r="G539" s="1207">
        <f t="shared" si="158"/>
        <v>1799032</v>
      </c>
      <c r="H539" s="248" t="str">
        <f>VLOOKUP(C539,'8-3.노무산출'!$C$43:$K$257,9,FALSE)</f>
        <v>품5-57</v>
      </c>
      <c r="J539" s="533"/>
      <c r="K539" s="456"/>
      <c r="L539" s="456"/>
      <c r="M539" s="430"/>
      <c r="N539" s="394"/>
      <c r="O539" s="458"/>
      <c r="P539" s="393"/>
      <c r="Q539" s="311"/>
    </row>
    <row r="540" spans="1:17" s="34" customFormat="1" ht="24.95" hidden="1" customHeight="1">
      <c r="A540" s="533"/>
      <c r="B540" s="456" t="str">
        <f>'8-3.노무산출'!B243</f>
        <v>기기기초대 설치</v>
      </c>
      <c r="C540" s="456" t="str">
        <f>'8-3.노무산출'!C243</f>
        <v>감지기폴(40cm*40cm*40cm이상)</v>
      </c>
      <c r="D540" s="457" t="str">
        <f>'8-3.노무산출'!D243</f>
        <v>개</v>
      </c>
      <c r="E540" s="394">
        <f>'8-3.노무산출'!H243</f>
        <v>0</v>
      </c>
      <c r="F540" s="1207">
        <f>VLOOKUP(C540,'8-3.노무산출'!$C$43:$K$257,7,FALSE)</f>
        <v>56219</v>
      </c>
      <c r="G540" s="1207">
        <f t="shared" si="158"/>
        <v>0</v>
      </c>
      <c r="H540" s="248" t="str">
        <f>VLOOKUP(C540,'8-3.노무산출'!$C$43:$K$257,9,FALSE)</f>
        <v>품58-1</v>
      </c>
      <c r="J540" s="533"/>
      <c r="K540" s="456"/>
      <c r="L540" s="456"/>
      <c r="M540" s="430"/>
      <c r="N540" s="394"/>
      <c r="O540" s="458"/>
      <c r="P540" s="393"/>
      <c r="Q540" s="311"/>
    </row>
    <row r="541" spans="1:17" s="34" customFormat="1" ht="24.95" hidden="1" customHeight="1">
      <c r="A541" s="533"/>
      <c r="B541" s="456" t="str">
        <f>'8-3.노무산출'!B244</f>
        <v>합성수지함 설치</v>
      </c>
      <c r="C541" s="456" t="str">
        <f>'8-3.노무산출'!C244</f>
        <v>연결용박스</v>
      </c>
      <c r="D541" s="457" t="str">
        <f>'8-3.노무산출'!D244</f>
        <v>개</v>
      </c>
      <c r="E541" s="394">
        <f>'8-3.노무산출'!H244</f>
        <v>0</v>
      </c>
      <c r="F541" s="1207">
        <f>VLOOKUP(C541,'8-3.노무산출'!$C$43:$K$257,7,FALSE)</f>
        <v>9954</v>
      </c>
      <c r="G541" s="1207">
        <f t="shared" si="158"/>
        <v>0</v>
      </c>
      <c r="H541" s="248" t="str">
        <f>VLOOKUP(C541,'8-3.노무산출'!$C$43:$K$257,9,FALSE)</f>
        <v>품5-59</v>
      </c>
      <c r="J541" s="533"/>
      <c r="K541" s="456"/>
      <c r="L541" s="456"/>
      <c r="M541" s="430"/>
      <c r="N541" s="394"/>
      <c r="O541" s="458"/>
      <c r="P541" s="393"/>
      <c r="Q541" s="311"/>
    </row>
    <row r="542" spans="1:17" s="34" customFormat="1" ht="24.95" customHeight="1">
      <c r="A542" s="533"/>
      <c r="B542" s="456" t="str">
        <f>'8-3.노무산출'!B245</f>
        <v>안내판설치</v>
      </c>
      <c r="C542" s="456" t="str">
        <f>'8-3.노무산출'!C245</f>
        <v>안내판설치</v>
      </c>
      <c r="D542" s="457" t="str">
        <f>'8-3.노무산출'!D245</f>
        <v>개</v>
      </c>
      <c r="E542" s="394">
        <f>'8-3.노무산출'!H245</f>
        <v>1</v>
      </c>
      <c r="F542" s="1207">
        <f>VLOOKUP(C542,'8-3.노무산출'!$C$43:$K$257,7,FALSE)</f>
        <v>38366</v>
      </c>
      <c r="G542" s="1207">
        <f t="shared" si="158"/>
        <v>38366</v>
      </c>
      <c r="H542" s="248" t="str">
        <f>VLOOKUP(C542,'8-3.노무산출'!$C$43:$K$257,9,FALSE)</f>
        <v>품5-60</v>
      </c>
      <c r="J542" s="533"/>
      <c r="K542" s="456"/>
      <c r="L542" s="456"/>
      <c r="M542" s="430"/>
      <c r="N542" s="394"/>
      <c r="O542" s="458"/>
      <c r="P542" s="393"/>
      <c r="Q542" s="311"/>
    </row>
    <row r="543" spans="1:17" s="34" customFormat="1" ht="24.95" hidden="1" customHeight="1">
      <c r="A543" s="533"/>
      <c r="B543" s="456" t="str">
        <f>'8-3.노무산출'!B246</f>
        <v>접속및 단자설치</v>
      </c>
      <c r="C543" s="456" t="str">
        <f>'8-3.노무산출'!C246</f>
        <v>C형 및 원형 슬리브</v>
      </c>
      <c r="D543" s="457" t="str">
        <f>'8-3.노무산출'!D246</f>
        <v>개</v>
      </c>
      <c r="E543" s="394">
        <f>'8-3.노무산출'!H246</f>
        <v>0</v>
      </c>
      <c r="F543" s="1207">
        <f>VLOOKUP(C543,'8-3.노무산출'!$C$43:$K$257,7,FALSE)</f>
        <v>35743</v>
      </c>
      <c r="G543" s="1207">
        <f t="shared" si="158"/>
        <v>0</v>
      </c>
      <c r="H543" s="248" t="str">
        <f>VLOOKUP(C543,'8-3.노무산출'!$C$43:$K$257,9,FALSE)</f>
        <v>품5-61</v>
      </c>
      <c r="J543" s="533"/>
      <c r="K543" s="456"/>
      <c r="L543" s="456"/>
      <c r="M543" s="430"/>
      <c r="N543" s="394"/>
      <c r="O543" s="458"/>
      <c r="P543" s="393"/>
      <c r="Q543" s="311"/>
    </row>
    <row r="544" spans="1:17" s="34" customFormat="1" ht="24.95" hidden="1" customHeight="1">
      <c r="A544" s="533"/>
      <c r="B544" s="456" t="str">
        <f>'8-3.노무산출'!B247</f>
        <v>PA단말기 설치</v>
      </c>
      <c r="C544" s="456" t="str">
        <f>'8-3.노무산출'!C247</f>
        <v>부대장치</v>
      </c>
      <c r="D544" s="457" t="str">
        <f>'8-3.노무산출'!D247</f>
        <v>대</v>
      </c>
      <c r="E544" s="394">
        <f>'8-3.노무산출'!H247</f>
        <v>0</v>
      </c>
      <c r="F544" s="1207">
        <f>VLOOKUP(C544,'8-3.노무산출'!$C$43:$K$257,7,FALSE)</f>
        <v>124630</v>
      </c>
      <c r="G544" s="1207">
        <f t="shared" si="158"/>
        <v>0</v>
      </c>
      <c r="H544" s="248" t="str">
        <f>VLOOKUP(C544,'8-3.노무산출'!$C$43:$K$257,9,FALSE)</f>
        <v>품5-2</v>
      </c>
      <c r="J544" s="533"/>
      <c r="K544" s="456"/>
      <c r="L544" s="456"/>
      <c r="M544" s="430"/>
      <c r="N544" s="394"/>
      <c r="O544" s="458"/>
      <c r="P544" s="393"/>
      <c r="Q544" s="311"/>
    </row>
    <row r="545" spans="1:21" s="34" customFormat="1" ht="24.95" hidden="1" customHeight="1">
      <c r="A545" s="533"/>
      <c r="B545" s="456" t="str">
        <f>'8-3.노무산출'!B248</f>
        <v>전원케이블 포설</v>
      </c>
      <c r="C545" s="456" t="str">
        <f>'8-3.노무산출'!C248</f>
        <v>FR-CVVS 4SQ-2C,1열 포설</v>
      </c>
      <c r="D545" s="457" t="str">
        <f>'8-3.노무산출'!D248</f>
        <v>m</v>
      </c>
      <c r="E545" s="394">
        <f>'8-3.노무산출'!H248</f>
        <v>0</v>
      </c>
      <c r="F545" s="1207">
        <f>VLOOKUP(C545,'8-3.노무산출'!$C$43:$K$257,7,FALSE)</f>
        <v>7427</v>
      </c>
      <c r="G545" s="1207">
        <f t="shared" si="158"/>
        <v>0</v>
      </c>
      <c r="H545" s="248" t="str">
        <f>VLOOKUP(C545,'8-3.노무산출'!$C$43:$K$257,9,FALSE)</f>
        <v>품5-63</v>
      </c>
      <c r="J545" s="533"/>
      <c r="K545" s="456"/>
      <c r="L545" s="456"/>
      <c r="M545" s="430"/>
      <c r="N545" s="394"/>
      <c r="O545" s="458"/>
      <c r="P545" s="393"/>
      <c r="Q545" s="311"/>
    </row>
    <row r="546" spans="1:21" s="34" customFormat="1" ht="24.95" hidden="1" customHeight="1">
      <c r="A546" s="533"/>
      <c r="B546" s="456" t="str">
        <f>'8-3.노무산출'!B249</f>
        <v>전원케이블 포설</v>
      </c>
      <c r="C546" s="456" t="str">
        <f>'8-3.노무산출'!C249</f>
        <v>FR-CVVS 4SQ-2C,2열 동시</v>
      </c>
      <c r="D546" s="457" t="str">
        <f>'8-3.노무산출'!D249</f>
        <v>m</v>
      </c>
      <c r="E546" s="394">
        <f>'8-3.노무산출'!H249</f>
        <v>0</v>
      </c>
      <c r="F546" s="1207">
        <f>VLOOKUP(C546,'8-3.노무산출'!$C$43:$K$257,7,FALSE)</f>
        <v>13369</v>
      </c>
      <c r="G546" s="1207">
        <f t="shared" si="158"/>
        <v>0</v>
      </c>
      <c r="H546" s="248" t="str">
        <f>VLOOKUP(C546,'8-3.노무산출'!$C$43:$K$257,9,FALSE)</f>
        <v>품63-1</v>
      </c>
      <c r="J546" s="533"/>
      <c r="K546" s="456"/>
      <c r="L546" s="456"/>
      <c r="M546" s="430"/>
      <c r="N546" s="394"/>
      <c r="O546" s="458"/>
      <c r="P546" s="393"/>
      <c r="Q546" s="311"/>
    </row>
    <row r="547" spans="1:21" s="34" customFormat="1" ht="24.95" hidden="1" customHeight="1">
      <c r="A547" s="533"/>
      <c r="B547" s="456" t="str">
        <f>'8-3.노무산출'!B250</f>
        <v>전원케이블 포설</v>
      </c>
      <c r="C547" s="456" t="str">
        <f>'8-3.노무산출'!C250</f>
        <v>FR-CVVS 4SQ-2C,3열 동시</v>
      </c>
      <c r="D547" s="457" t="str">
        <f>'8-3.노무산출'!D250</f>
        <v>m</v>
      </c>
      <c r="E547" s="394">
        <f>'8-3.노무산출'!H250</f>
        <v>0</v>
      </c>
      <c r="F547" s="1207">
        <f>VLOOKUP(C547,'8-3.노무산출'!$C$43:$K$257,7,FALSE)</f>
        <v>19311</v>
      </c>
      <c r="G547" s="1207">
        <f t="shared" ref="G547:G554" si="159">INT(E547*F547)</f>
        <v>0</v>
      </c>
      <c r="H547" s="248" t="str">
        <f>VLOOKUP(C547,'8-3.노무산출'!$C$43:$K$257,9,FALSE)</f>
        <v>품63-2</v>
      </c>
      <c r="J547" s="533"/>
      <c r="K547" s="456"/>
      <c r="L547" s="456"/>
      <c r="M547" s="430"/>
      <c r="N547" s="394"/>
      <c r="O547" s="458"/>
      <c r="P547" s="393"/>
      <c r="Q547" s="311"/>
    </row>
    <row r="548" spans="1:21" s="34" customFormat="1" ht="24.95" hidden="1" customHeight="1">
      <c r="A548" s="533"/>
      <c r="B548" s="456" t="str">
        <f>'8-3.노무산출'!B251</f>
        <v>전원케이블 포설</v>
      </c>
      <c r="C548" s="456" t="str">
        <f>'8-3.노무산출'!C251</f>
        <v>FR-CVVS 4SQ-2C,4열 동시</v>
      </c>
      <c r="D548" s="457" t="str">
        <f>'8-3.노무산출'!D251</f>
        <v>m</v>
      </c>
      <c r="E548" s="394">
        <f>'8-3.노무산출'!H251</f>
        <v>0</v>
      </c>
      <c r="F548" s="1207">
        <f>VLOOKUP(C548,'8-3.노무산출'!$C$43:$K$257,7,FALSE)</f>
        <v>25253</v>
      </c>
      <c r="G548" s="1207">
        <f t="shared" si="159"/>
        <v>0</v>
      </c>
      <c r="H548" s="248" t="str">
        <f>VLOOKUP(C548,'8-3.노무산출'!$C$43:$K$257,9,FALSE)</f>
        <v>품63-3</v>
      </c>
      <c r="J548" s="533"/>
      <c r="K548" s="456"/>
      <c r="L548" s="456"/>
      <c r="M548" s="430"/>
      <c r="N548" s="394"/>
      <c r="O548" s="458"/>
      <c r="P548" s="393"/>
      <c r="Q548" s="311"/>
    </row>
    <row r="549" spans="1:21" s="34" customFormat="1" ht="24.95" hidden="1" customHeight="1">
      <c r="A549" s="533"/>
      <c r="B549" s="456" t="str">
        <f>'8-3.노무산출'!B252</f>
        <v>합성수지제 가요전선관</v>
      </c>
      <c r="C549" s="456" t="str">
        <f>'8-3.노무산출'!C252</f>
        <v>CD, 22㎜</v>
      </c>
      <c r="D549" s="457" t="str">
        <f>'8-3.노무산출'!D252</f>
        <v>M</v>
      </c>
      <c r="E549" s="394">
        <f>'8-3.노무산출'!H252</f>
        <v>0</v>
      </c>
      <c r="F549" s="1207">
        <f>VLOOKUP(C549,'8-3.노무산출'!$C$43:$K$257,7,FALSE)</f>
        <v>15528</v>
      </c>
      <c r="G549" s="1207">
        <f t="shared" si="159"/>
        <v>0</v>
      </c>
      <c r="H549" s="248" t="str">
        <f>VLOOKUP(C549,'8-3.노무산출'!$C$43:$K$257,9,FALSE)</f>
        <v>품5-64</v>
      </c>
      <c r="J549" s="533"/>
      <c r="K549" s="456"/>
      <c r="L549" s="456"/>
      <c r="M549" s="430"/>
      <c r="N549" s="394"/>
      <c r="O549" s="458"/>
      <c r="P549" s="393"/>
      <c r="Q549" s="311"/>
    </row>
    <row r="550" spans="1:21" s="34" customFormat="1" ht="24.95" hidden="1" customHeight="1">
      <c r="A550" s="533"/>
      <c r="B550" s="456" t="str">
        <f>'8-3.노무산출'!B253</f>
        <v>벽관통 구멍파기</v>
      </c>
      <c r="C550" s="456" t="str">
        <f>'8-3.노무산출'!C253</f>
        <v>직경 10cm, 벽두께 25cm</v>
      </c>
      <c r="D550" s="457" t="str">
        <f>'8-3.노무산출'!D253</f>
        <v>개소</v>
      </c>
      <c r="E550" s="394">
        <f>'8-3.노무산출'!H253</f>
        <v>0</v>
      </c>
      <c r="F550" s="1207">
        <f>VLOOKUP(C550,'8-3.노무산출'!$C$43:$K$257,7,FALSE)</f>
        <v>39396</v>
      </c>
      <c r="G550" s="1207">
        <f t="shared" si="159"/>
        <v>0</v>
      </c>
      <c r="H550" s="248" t="str">
        <f>VLOOKUP(C550,'8-3.노무산출'!$C$43:$K$257,9,FALSE)</f>
        <v>품5-65</v>
      </c>
      <c r="J550" s="533"/>
      <c r="K550" s="456"/>
      <c r="L550" s="456"/>
      <c r="M550" s="430"/>
      <c r="N550" s="394"/>
      <c r="O550" s="458"/>
      <c r="P550" s="393"/>
      <c r="Q550" s="311"/>
    </row>
    <row r="551" spans="1:21" s="34" customFormat="1" ht="24.95" hidden="1" customHeight="1">
      <c r="A551" s="533"/>
      <c r="B551" s="456" t="str">
        <f>'8-3.노무산출'!B254</f>
        <v>배관용 구멍뚫기(코어드릴 사용기준)</v>
      </c>
      <c r="C551" s="456" t="str">
        <f>'8-3.노무산출'!C254</f>
        <v>직경 2.5cm, 바닥두께 30cm 이하</v>
      </c>
      <c r="D551" s="457" t="str">
        <f>'8-3.노무산출'!D254</f>
        <v>개소</v>
      </c>
      <c r="E551" s="394">
        <f>'8-3.노무산출'!H254</f>
        <v>0</v>
      </c>
      <c r="F551" s="1207">
        <f>VLOOKUP(C551,'8-3.노무산출'!$C$43:$K$257,7,FALSE)</f>
        <v>58383</v>
      </c>
      <c r="G551" s="1207">
        <f t="shared" si="159"/>
        <v>0</v>
      </c>
      <c r="H551" s="248" t="str">
        <f>VLOOKUP(C551,'8-3.노무산출'!$C$43:$K$257,9,FALSE)</f>
        <v>품65-1</v>
      </c>
      <c r="J551" s="533"/>
      <c r="K551" s="456"/>
      <c r="L551" s="456"/>
      <c r="M551" s="430"/>
      <c r="N551" s="394"/>
      <c r="O551" s="458"/>
      <c r="P551" s="393"/>
      <c r="Q551" s="311"/>
    </row>
    <row r="552" spans="1:21" s="34" customFormat="1" ht="24.95" hidden="1" customHeight="1">
      <c r="A552" s="533"/>
      <c r="B552" s="456" t="str">
        <f>'8-3.노무산출'!B255</f>
        <v>배관용 구멍뚫기(코어드릴 사용기준)</v>
      </c>
      <c r="C552" s="456" t="str">
        <f>'8-3.노무산출'!C255</f>
        <v>직경 2.5cm, 벽두께 30cm 이하</v>
      </c>
      <c r="D552" s="457" t="str">
        <f>'8-3.노무산출'!D255</f>
        <v>개소</v>
      </c>
      <c r="E552" s="394">
        <f>'8-3.노무산출'!H255</f>
        <v>0</v>
      </c>
      <c r="F552" s="1207">
        <f>VLOOKUP(C552,'8-3.노무산출'!$C$43:$K$257,7,FALSE)</f>
        <v>75554</v>
      </c>
      <c r="G552" s="1207">
        <f t="shared" si="159"/>
        <v>0</v>
      </c>
      <c r="H552" s="248" t="str">
        <f>VLOOKUP(C552,'8-3.노무산출'!$C$43:$K$257,9,FALSE)</f>
        <v>품65-2</v>
      </c>
      <c r="J552" s="533"/>
      <c r="K552" s="456"/>
      <c r="L552" s="456"/>
      <c r="M552" s="430"/>
      <c r="N552" s="394"/>
      <c r="O552" s="458"/>
      <c r="P552" s="393"/>
      <c r="Q552" s="311"/>
    </row>
    <row r="553" spans="1:21" s="34" customFormat="1" ht="24.95" customHeight="1">
      <c r="A553" s="533"/>
      <c r="B553" s="456" t="str">
        <f>'8-3.노무산출'!B256</f>
        <v>케이블 명찰 취부</v>
      </c>
      <c r="C553" s="456" t="str">
        <f>'8-3.노무산출'!C256</f>
        <v>식별표시용</v>
      </c>
      <c r="D553" s="457" t="str">
        <f>'8-3.노무산출'!D256</f>
        <v>개</v>
      </c>
      <c r="E553" s="394">
        <f>'8-3.노무산출'!H256</f>
        <v>16</v>
      </c>
      <c r="F553" s="1207">
        <f>VLOOKUP(C553,'8-3.노무산출'!$C$43:$K$257,7,FALSE)</f>
        <v>1500</v>
      </c>
      <c r="G553" s="1207">
        <f t="shared" si="159"/>
        <v>24000</v>
      </c>
      <c r="H553" s="248" t="str">
        <f>VLOOKUP(C553,'8-3.노무산출'!$C$43:$K$257,9,FALSE)</f>
        <v>품5-66</v>
      </c>
      <c r="J553" s="533"/>
      <c r="K553" s="456"/>
      <c r="L553" s="456"/>
      <c r="M553" s="430"/>
      <c r="N553" s="394"/>
      <c r="O553" s="458"/>
      <c r="P553" s="393"/>
      <c r="Q553" s="311"/>
    </row>
    <row r="554" spans="1:21" s="34" customFormat="1" ht="24.95" customHeight="1">
      <c r="A554" s="533"/>
      <c r="B554" s="1762" t="str">
        <f>'8-3.노무산출'!B257</f>
        <v>신호수 배치</v>
      </c>
      <c r="C554" s="1762" t="str">
        <f>'8-3.노무산출'!C257</f>
        <v>-</v>
      </c>
      <c r="D554" s="409" t="str">
        <f>'8-3.노무산출'!D257</f>
        <v>인/일</v>
      </c>
      <c r="E554" s="410">
        <f>'8-3.노무산출'!H257</f>
        <v>26</v>
      </c>
      <c r="F554" s="1763">
        <f>VLOOKUP(C554,'8-3.노무산출'!$C$43:$K$257,7,FALSE)</f>
        <v>150079</v>
      </c>
      <c r="G554" s="1763">
        <f t="shared" si="159"/>
        <v>3902054</v>
      </c>
      <c r="H554" s="1727" t="str">
        <f>VLOOKUP(C554,'8-3.노무산출'!$C$43:$K$257,9,FALSE)</f>
        <v>품5-67</v>
      </c>
      <c r="J554" s="533"/>
      <c r="K554" s="456"/>
      <c r="L554" s="456"/>
      <c r="M554" s="430"/>
      <c r="N554" s="394"/>
      <c r="O554" s="458"/>
      <c r="P554" s="393"/>
      <c r="Q554" s="311"/>
    </row>
    <row r="555" spans="1:21" s="34" customFormat="1" ht="24.95" customHeight="1">
      <c r="A555" s="533"/>
      <c r="B555" s="456"/>
      <c r="C555" s="456"/>
      <c r="D555" s="457"/>
      <c r="E555" s="394"/>
      <c r="F555" s="1200"/>
      <c r="G555" s="1200"/>
      <c r="H555" s="311"/>
      <c r="J555" s="533"/>
      <c r="K555" s="456"/>
      <c r="L555" s="456"/>
      <c r="M555" s="457"/>
      <c r="N555" s="394" t="e">
        <f>#REF!+#REF!</f>
        <v>#REF!</v>
      </c>
      <c r="O555" s="458"/>
      <c r="P555" s="393"/>
      <c r="Q555" s="311"/>
      <c r="R555" s="34" t="e">
        <f t="shared" si="140"/>
        <v>#REF!</v>
      </c>
      <c r="S555" s="34">
        <f t="shared" si="141"/>
        <v>0</v>
      </c>
      <c r="T555" s="34" t="e">
        <f>#REF!+#REF!</f>
        <v>#REF!</v>
      </c>
      <c r="U555" s="34" t="e">
        <f t="shared" si="133"/>
        <v>#REF!</v>
      </c>
    </row>
    <row r="556" spans="1:21" s="35" customFormat="1" ht="24.95" customHeight="1">
      <c r="A556" s="529" t="s">
        <v>57</v>
      </c>
      <c r="B556" s="485"/>
      <c r="C556" s="485"/>
      <c r="D556" s="585"/>
      <c r="E556" s="394"/>
      <c r="F556" s="1209"/>
      <c r="G556" s="1216">
        <f>G557</f>
        <v>36859046</v>
      </c>
      <c r="H556" s="245"/>
      <c r="J556" s="529" t="s">
        <v>57</v>
      </c>
      <c r="K556" s="485"/>
      <c r="L556" s="485"/>
      <c r="M556" s="585"/>
      <c r="N556" s="394"/>
      <c r="O556" s="394"/>
      <c r="P556" s="469" t="e">
        <f>P557</f>
        <v>#REF!</v>
      </c>
      <c r="Q556" s="245"/>
      <c r="R556" s="34">
        <f t="shared" si="140"/>
        <v>0</v>
      </c>
      <c r="S556" s="34" t="e">
        <f t="shared" si="141"/>
        <v>#REF!</v>
      </c>
      <c r="T556" s="34" t="e">
        <f>#REF!+#REF!</f>
        <v>#REF!</v>
      </c>
      <c r="U556" s="34" t="e">
        <f t="shared" si="133"/>
        <v>#REF!</v>
      </c>
    </row>
    <row r="557" spans="1:21" s="34" customFormat="1" ht="24.95" customHeight="1">
      <c r="A557" s="536"/>
      <c r="B557" s="466" t="s">
        <v>216</v>
      </c>
      <c r="C557" s="394"/>
      <c r="D557" s="394"/>
      <c r="E557" s="486">
        <f>'8-7.적용근거'!$I13</f>
        <v>0.154</v>
      </c>
      <c r="F557" s="1210">
        <f>G318</f>
        <v>239344456</v>
      </c>
      <c r="G557" s="1200">
        <f>INT(E557*F557)</f>
        <v>36859046</v>
      </c>
      <c r="H557" s="250"/>
      <c r="J557" s="536"/>
      <c r="K557" s="466" t="s">
        <v>216</v>
      </c>
      <c r="L557" s="394"/>
      <c r="M557" s="394"/>
      <c r="N557" s="486">
        <f>'8-7.적용근거'!$I13</f>
        <v>0.154</v>
      </c>
      <c r="O557" s="429" t="e">
        <f>P318</f>
        <v>#REF!</v>
      </c>
      <c r="P557" s="393" t="e">
        <f>INT(N557*O557)</f>
        <v>#REF!</v>
      </c>
      <c r="Q557" s="250"/>
      <c r="R557" s="34">
        <f t="shared" si="140"/>
        <v>0</v>
      </c>
      <c r="S557" s="34" t="e">
        <f t="shared" si="141"/>
        <v>#REF!</v>
      </c>
      <c r="T557" s="34" t="e">
        <f>#REF!+#REF!</f>
        <v>#REF!</v>
      </c>
      <c r="U557" s="34" t="e">
        <f t="shared" si="133"/>
        <v>#REF!</v>
      </c>
    </row>
    <row r="558" spans="1:21" s="34" customFormat="1" ht="24.95" customHeight="1">
      <c r="A558" s="536"/>
      <c r="B558" s="393"/>
      <c r="C558" s="488"/>
      <c r="D558" s="488"/>
      <c r="E558" s="489"/>
      <c r="F558" s="1210"/>
      <c r="G558" s="1220"/>
      <c r="H558" s="250"/>
      <c r="J558" s="536"/>
      <c r="K558" s="393"/>
      <c r="L558" s="487"/>
      <c r="M558" s="488"/>
      <c r="N558" s="489"/>
      <c r="O558" s="429"/>
      <c r="P558" s="490"/>
      <c r="Q558" s="250"/>
      <c r="R558" s="34">
        <f t="shared" si="140"/>
        <v>0</v>
      </c>
      <c r="S558" s="34">
        <f t="shared" si="141"/>
        <v>0</v>
      </c>
      <c r="T558" s="34" t="e">
        <f>#REF!+#REF!</f>
        <v>#REF!</v>
      </c>
      <c r="U558" s="34" t="e">
        <f t="shared" si="133"/>
        <v>#REF!</v>
      </c>
    </row>
    <row r="559" spans="1:21" s="35" customFormat="1" ht="24.95" customHeight="1">
      <c r="A559" s="529" t="s">
        <v>59</v>
      </c>
      <c r="B559" s="485"/>
      <c r="C559" s="485"/>
      <c r="D559" s="585"/>
      <c r="E559" s="394"/>
      <c r="F559" s="1211"/>
      <c r="G559" s="1221">
        <f>G560+G562</f>
        <v>73421721</v>
      </c>
      <c r="H559" s="245"/>
      <c r="J559" s="529" t="s">
        <v>59</v>
      </c>
      <c r="K559" s="485"/>
      <c r="L559" s="485"/>
      <c r="M559" s="585"/>
      <c r="N559" s="394"/>
      <c r="O559" s="491"/>
      <c r="P559" s="492" t="e">
        <f>P560+P562</f>
        <v>#REF!</v>
      </c>
      <c r="Q559" s="245"/>
      <c r="R559" s="34">
        <f t="shared" si="140"/>
        <v>0</v>
      </c>
      <c r="S559" s="34" t="e">
        <f t="shared" si="141"/>
        <v>#REF!</v>
      </c>
      <c r="T559" s="34" t="e">
        <f>#REF!+#REF!</f>
        <v>#REF!</v>
      </c>
      <c r="U559" s="34" t="e">
        <f t="shared" si="133"/>
        <v>#REF!</v>
      </c>
    </row>
    <row r="560" spans="1:21" s="34" customFormat="1" ht="24.95" customHeight="1">
      <c r="A560" s="529" t="s">
        <v>221</v>
      </c>
      <c r="B560" s="393"/>
      <c r="C560" s="466"/>
      <c r="D560" s="394"/>
      <c r="E560" s="467"/>
      <c r="F560" s="1200"/>
      <c r="G560" s="1208">
        <v>0</v>
      </c>
      <c r="H560" s="245"/>
      <c r="J560" s="529" t="s">
        <v>221</v>
      </c>
      <c r="K560" s="393"/>
      <c r="L560" s="466"/>
      <c r="M560" s="394"/>
      <c r="N560" s="467"/>
      <c r="O560" s="493"/>
      <c r="P560" s="494">
        <v>0</v>
      </c>
      <c r="Q560" s="245"/>
      <c r="R560" s="34">
        <f t="shared" si="140"/>
        <v>0</v>
      </c>
      <c r="S560" s="34">
        <f t="shared" si="141"/>
        <v>0</v>
      </c>
      <c r="T560" s="34" t="e">
        <f>#REF!+#REF!</f>
        <v>#REF!</v>
      </c>
      <c r="U560" s="34" t="e">
        <f t="shared" si="133"/>
        <v>#REF!</v>
      </c>
    </row>
    <row r="561" spans="1:21" s="34" customFormat="1" ht="24.95" customHeight="1">
      <c r="A561" s="536"/>
      <c r="B561" s="393"/>
      <c r="C561" s="466"/>
      <c r="D561" s="495"/>
      <c r="E561" s="467"/>
      <c r="F561" s="1200"/>
      <c r="G561" s="1200"/>
      <c r="H561" s="245"/>
      <c r="J561" s="536"/>
      <c r="K561" s="393"/>
      <c r="L561" s="466"/>
      <c r="M561" s="495"/>
      <c r="N561" s="467"/>
      <c r="O561" s="429"/>
      <c r="P561" s="393"/>
      <c r="Q561" s="245"/>
      <c r="R561" s="34">
        <f t="shared" si="140"/>
        <v>0</v>
      </c>
      <c r="S561" s="34">
        <f t="shared" si="141"/>
        <v>0</v>
      </c>
      <c r="T561" s="34" t="e">
        <f>#REF!+#REF!</f>
        <v>#REF!</v>
      </c>
      <c r="U561" s="34" t="e">
        <f t="shared" si="133"/>
        <v>#REF!</v>
      </c>
    </row>
    <row r="562" spans="1:21" s="35" customFormat="1" ht="24.95" customHeight="1">
      <c r="A562" s="529" t="s">
        <v>220</v>
      </c>
      <c r="B562" s="496"/>
      <c r="C562" s="485"/>
      <c r="D562" s="585"/>
      <c r="E562" s="394"/>
      <c r="F562" s="1212"/>
      <c r="G562" s="1221">
        <f>SUM(G563,G564,G565,G566,G567,G568,G569,G570,G571,G574)</f>
        <v>73421721</v>
      </c>
      <c r="H562" s="245"/>
      <c r="J562" s="529" t="s">
        <v>220</v>
      </c>
      <c r="K562" s="496"/>
      <c r="L562" s="485"/>
      <c r="M562" s="585"/>
      <c r="N562" s="394"/>
      <c r="O562" s="468"/>
      <c r="P562" s="492" t="e">
        <f>SUM(P564,P565,P566,P567,P568,P569,P570,P571,P574)</f>
        <v>#REF!</v>
      </c>
      <c r="Q562" s="245"/>
      <c r="R562" s="34">
        <f t="shared" si="140"/>
        <v>0</v>
      </c>
      <c r="S562" s="34" t="e">
        <f t="shared" si="141"/>
        <v>#REF!</v>
      </c>
      <c r="T562" s="34" t="e">
        <f>#REF!+#REF!</f>
        <v>#REF!</v>
      </c>
      <c r="U562" s="34" t="e">
        <f t="shared" si="133"/>
        <v>#REF!</v>
      </c>
    </row>
    <row r="563" spans="1:21" s="35" customFormat="1" ht="24.95" customHeight="1">
      <c r="A563" s="1862" t="s">
        <v>3336</v>
      </c>
      <c r="B563" s="1863"/>
      <c r="C563" s="1690" t="s">
        <v>3337</v>
      </c>
      <c r="D563" s="585"/>
      <c r="E563" s="394"/>
      <c r="F563" s="1212"/>
      <c r="G563" s="1200">
        <f>'11-1. 기계경비'!G9</f>
        <v>2900000</v>
      </c>
      <c r="H563" s="245"/>
      <c r="J563" s="529"/>
      <c r="K563" s="496"/>
      <c r="L563" s="485"/>
      <c r="M563" s="585"/>
      <c r="N563" s="394"/>
      <c r="O563" s="468"/>
      <c r="P563" s="492"/>
      <c r="Q563" s="245"/>
      <c r="R563" s="34"/>
      <c r="S563" s="34"/>
      <c r="T563" s="34"/>
      <c r="U563" s="34"/>
    </row>
    <row r="564" spans="1:21" s="35" customFormat="1" ht="24.95" customHeight="1">
      <c r="A564" s="535" t="str">
        <f>"   "&amp;"가. 공구손료(직접노무비"&amp;"*"&amp;E564*100&amp;"%)"</f>
        <v xml:space="preserve">   가. 공구손료(직접노무비*3%)</v>
      </c>
      <c r="B564" s="497"/>
      <c r="C564" s="485"/>
      <c r="D564" s="585"/>
      <c r="E564" s="486">
        <f>'8-7.적용근거'!$I18</f>
        <v>0.03</v>
      </c>
      <c r="F564" s="1212">
        <f>G318-'8-8. 공구손료'!I251</f>
        <v>219527718.5</v>
      </c>
      <c r="G564" s="1200">
        <f t="shared" ref="G564:G570" si="160">INT(E564*F564)</f>
        <v>6585831</v>
      </c>
      <c r="H564" s="245"/>
      <c r="J564" s="535" t="s">
        <v>882</v>
      </c>
      <c r="K564" s="497"/>
      <c r="L564" s="485"/>
      <c r="M564" s="585"/>
      <c r="N564" s="498">
        <f>'8-7.적용근거'!$I18</f>
        <v>0.03</v>
      </c>
      <c r="O564" s="468" t="e">
        <f>P318</f>
        <v>#REF!</v>
      </c>
      <c r="P564" s="393" t="e">
        <f t="shared" ref="P564:P570" si="161">INT(N564*O564)</f>
        <v>#REF!</v>
      </c>
      <c r="Q564" s="245"/>
      <c r="R564" s="34">
        <f t="shared" si="140"/>
        <v>0</v>
      </c>
      <c r="S564" s="34" t="e">
        <f t="shared" si="141"/>
        <v>#REF!</v>
      </c>
      <c r="T564" s="34" t="e">
        <f>#REF!+#REF!</f>
        <v>#REF!</v>
      </c>
      <c r="U564" s="34" t="e">
        <f t="shared" si="133"/>
        <v>#REF!</v>
      </c>
    </row>
    <row r="565" spans="1:21" s="34" customFormat="1" ht="24.95" customHeight="1">
      <c r="A565" s="535" t="str">
        <f>"   "&amp;"나. 산재보험료(노무비"&amp;"*"&amp;E565*100&amp;"%)"</f>
        <v xml:space="preserve">   나. 산재보험료(노무비*3.626%)</v>
      </c>
      <c r="B565" s="393"/>
      <c r="C565" s="466"/>
      <c r="D565" s="394"/>
      <c r="E565" s="668">
        <f>'8-7.적용근거'!$I23</f>
        <v>3.6260000000000001E-2</v>
      </c>
      <c r="F565" s="1204">
        <f>G317</f>
        <v>276203502</v>
      </c>
      <c r="G565" s="1200">
        <f t="shared" si="160"/>
        <v>10015138</v>
      </c>
      <c r="H565" s="245"/>
      <c r="J565" s="535" t="s">
        <v>1417</v>
      </c>
      <c r="K565" s="393"/>
      <c r="L565" s="466"/>
      <c r="M565" s="394"/>
      <c r="N565" s="668">
        <f>'8-7.적용근거'!$I23</f>
        <v>3.6260000000000001E-2</v>
      </c>
      <c r="O565" s="468" t="e">
        <f>P317</f>
        <v>#REF!</v>
      </c>
      <c r="P565" s="393" t="e">
        <f t="shared" si="161"/>
        <v>#REF!</v>
      </c>
      <c r="Q565" s="245"/>
      <c r="R565" s="34">
        <f t="shared" si="140"/>
        <v>0</v>
      </c>
      <c r="S565" s="34" t="e">
        <f t="shared" si="141"/>
        <v>#REF!</v>
      </c>
      <c r="T565" s="34" t="e">
        <f>#REF!+#REF!</f>
        <v>#REF!</v>
      </c>
      <c r="U565" s="34" t="e">
        <f t="shared" si="133"/>
        <v>#REF!</v>
      </c>
    </row>
    <row r="566" spans="1:21" s="34" customFormat="1" ht="24.95" customHeight="1">
      <c r="A566" s="535" t="str">
        <f>"   "&amp;"다. 고용보험료(노무비"&amp;"*"&amp;E566*100&amp;"%)"</f>
        <v xml:space="preserve">   다. 고용보험료(노무비*1.01%)</v>
      </c>
      <c r="B566" s="393"/>
      <c r="C566" s="466"/>
      <c r="D566" s="394"/>
      <c r="E566" s="499">
        <f>'8-7.적용근거'!$I28</f>
        <v>1.01E-2</v>
      </c>
      <c r="F566" s="1204">
        <f>G317</f>
        <v>276203502</v>
      </c>
      <c r="G566" s="1200">
        <f t="shared" si="160"/>
        <v>2789655</v>
      </c>
      <c r="H566" s="245"/>
      <c r="J566" s="535" t="s">
        <v>1527</v>
      </c>
      <c r="K566" s="393"/>
      <c r="L566" s="466"/>
      <c r="M566" s="394"/>
      <c r="N566" s="499">
        <f>'8-7.적용근거'!$I28</f>
        <v>1.01E-2</v>
      </c>
      <c r="O566" s="468" t="e">
        <f>P317</f>
        <v>#REF!</v>
      </c>
      <c r="P566" s="393" t="e">
        <f t="shared" si="161"/>
        <v>#REF!</v>
      </c>
      <c r="Q566" s="245"/>
      <c r="R566" s="34">
        <f t="shared" si="140"/>
        <v>0</v>
      </c>
      <c r="S566" s="34" t="e">
        <f t="shared" si="141"/>
        <v>#REF!</v>
      </c>
      <c r="T566" s="34" t="e">
        <f>#REF!+#REF!</f>
        <v>#REF!</v>
      </c>
      <c r="U566" s="34" t="e">
        <f t="shared" si="133"/>
        <v>#REF!</v>
      </c>
    </row>
    <row r="567" spans="1:21" s="34" customFormat="1" ht="24.95" customHeight="1">
      <c r="A567" s="535" t="str">
        <f>"   "&amp;"라. 국민건강보험료(직접노무비"&amp;"*"&amp;E567*100&amp;"%)"</f>
        <v xml:space="preserve">   라. 국민건강보험료(직접노무비*3.545%)</v>
      </c>
      <c r="B567" s="393"/>
      <c r="C567" s="466"/>
      <c r="D567" s="394"/>
      <c r="E567" s="668">
        <f>'8-7.적용근거'!I32</f>
        <v>3.5450000000000002E-2</v>
      </c>
      <c r="F567" s="1204">
        <f>G318</f>
        <v>239344456</v>
      </c>
      <c r="G567" s="2400">
        <f>I567</f>
        <v>9649656</v>
      </c>
      <c r="H567" s="245" t="s">
        <v>3377</v>
      </c>
      <c r="I567" s="34">
        <v>9649656</v>
      </c>
      <c r="J567" s="535" t="s">
        <v>1418</v>
      </c>
      <c r="K567" s="393"/>
      <c r="L567" s="466"/>
      <c r="M567" s="394"/>
      <c r="N567" s="668" t="e">
        <f>'8-7.적용근거'!#REF!</f>
        <v>#REF!</v>
      </c>
      <c r="O567" s="468" t="e">
        <f>P318</f>
        <v>#REF!</v>
      </c>
      <c r="P567" s="393" t="e">
        <f t="shared" si="161"/>
        <v>#REF!</v>
      </c>
      <c r="Q567" s="245"/>
      <c r="R567" s="34" t="e">
        <f t="shared" si="140"/>
        <v>#REF!</v>
      </c>
      <c r="S567" s="34" t="e">
        <f t="shared" si="141"/>
        <v>#REF!</v>
      </c>
      <c r="T567" s="34" t="e">
        <f>#REF!+#REF!</f>
        <v>#REF!</v>
      </c>
      <c r="U567" s="34" t="e">
        <f t="shared" si="133"/>
        <v>#REF!</v>
      </c>
    </row>
    <row r="568" spans="1:21" s="34" customFormat="1" ht="24.95" customHeight="1">
      <c r="A568" s="535" t="str">
        <f>"   "&amp;"마. 국민연금보험료(직접노무비"&amp;"*"&amp;E568*100&amp;"%)"</f>
        <v xml:space="preserve">   마. 국민연금보험료(직접노무비*4.5%)</v>
      </c>
      <c r="B568" s="393"/>
      <c r="C568" s="466"/>
      <c r="D568" s="394"/>
      <c r="E568" s="499">
        <f>'8-7.적용근거'!$I36</f>
        <v>4.4999999999999998E-2</v>
      </c>
      <c r="F568" s="1204">
        <f>G318</f>
        <v>239344456</v>
      </c>
      <c r="G568" s="2400">
        <f t="shared" ref="G568:G569" si="162">I568</f>
        <v>12249211</v>
      </c>
      <c r="H568" s="245" t="s">
        <v>3377</v>
      </c>
      <c r="I568" s="34">
        <v>12249211</v>
      </c>
      <c r="J568" s="535" t="s">
        <v>1079</v>
      </c>
      <c r="K568" s="393"/>
      <c r="L568" s="466"/>
      <c r="M568" s="394"/>
      <c r="N568" s="499">
        <f>'8-7.적용근거'!$I36</f>
        <v>4.4999999999999998E-2</v>
      </c>
      <c r="O568" s="468" t="e">
        <f>P318</f>
        <v>#REF!</v>
      </c>
      <c r="P568" s="393" t="e">
        <f t="shared" si="161"/>
        <v>#REF!</v>
      </c>
      <c r="Q568" s="245"/>
      <c r="R568" s="34">
        <f t="shared" si="140"/>
        <v>0</v>
      </c>
      <c r="S568" s="34" t="e">
        <f t="shared" si="141"/>
        <v>#REF!</v>
      </c>
      <c r="T568" s="34" t="e">
        <f>#REF!+#REF!</f>
        <v>#REF!</v>
      </c>
      <c r="U568" s="34" t="e">
        <f t="shared" si="133"/>
        <v>#REF!</v>
      </c>
    </row>
    <row r="569" spans="1:21" s="34" customFormat="1" ht="24.95" customHeight="1">
      <c r="A569" s="535" t="str">
        <f>"   "&amp;"바. 노인장기요양보험료(건강보험료"&amp;"*"&amp;E569*100&amp;"%)"</f>
        <v xml:space="preserve">   바. 노인장기요양보험료(건강보험료*12.95%)</v>
      </c>
      <c r="B569" s="393"/>
      <c r="C569" s="466"/>
      <c r="D569" s="394"/>
      <c r="E569" s="499">
        <f>'8-7.적용근거'!$I43</f>
        <v>0.1295</v>
      </c>
      <c r="F569" s="1204">
        <f>G567</f>
        <v>9649656</v>
      </c>
      <c r="G569" s="2400">
        <f t="shared" si="162"/>
        <v>1249630</v>
      </c>
      <c r="H569" s="245" t="s">
        <v>3377</v>
      </c>
      <c r="I569" s="34">
        <v>1249630</v>
      </c>
      <c r="J569" s="535" t="s">
        <v>1419</v>
      </c>
      <c r="K569" s="393"/>
      <c r="L569" s="466"/>
      <c r="M569" s="394"/>
      <c r="N569" s="499">
        <f>'8-7.적용근거'!$I43</f>
        <v>0.1295</v>
      </c>
      <c r="O569" s="468" t="e">
        <f>P567</f>
        <v>#REF!</v>
      </c>
      <c r="P569" s="393" t="e">
        <f t="shared" si="161"/>
        <v>#REF!</v>
      </c>
      <c r="Q569" s="245"/>
      <c r="R569" s="34">
        <f t="shared" si="140"/>
        <v>0</v>
      </c>
      <c r="S569" s="34" t="e">
        <f t="shared" si="141"/>
        <v>#REF!</v>
      </c>
      <c r="T569" s="34" t="e">
        <f>#REF!+#REF!</f>
        <v>#REF!</v>
      </c>
      <c r="U569" s="34" t="e">
        <f t="shared" si="133"/>
        <v>#REF!</v>
      </c>
    </row>
    <row r="570" spans="1:21" s="34" customFormat="1" ht="24.95" customHeight="1">
      <c r="A570" s="535" t="str">
        <f>"   "&amp;"사. 퇴직공제부금(직접노무비"&amp;"*"&amp;E570*100&amp;"%)"</f>
        <v xml:space="preserve">   사. 퇴직공제부금(직접노무비*2.3%)</v>
      </c>
      <c r="B570" s="393"/>
      <c r="C570" s="466"/>
      <c r="D570" s="394"/>
      <c r="E570" s="499">
        <f>'8-7.적용근거'!$I40</f>
        <v>2.3E-2</v>
      </c>
      <c r="F570" s="1204">
        <f>G318</f>
        <v>239344456</v>
      </c>
      <c r="G570" s="1200">
        <f t="shared" si="160"/>
        <v>5504922</v>
      </c>
      <c r="H570" s="245"/>
      <c r="I570" s="34" t="s">
        <v>1376</v>
      </c>
      <c r="J570" s="535" t="s">
        <v>883</v>
      </c>
      <c r="K570" s="393"/>
      <c r="L570" s="466"/>
      <c r="M570" s="394"/>
      <c r="N570" s="499">
        <f>'8-7.적용근거'!$I40</f>
        <v>2.3E-2</v>
      </c>
      <c r="O570" s="468" t="e">
        <f>P318</f>
        <v>#REF!</v>
      </c>
      <c r="P570" s="393" t="e">
        <f t="shared" si="161"/>
        <v>#REF!</v>
      </c>
      <c r="Q570" s="245"/>
      <c r="R570" s="34">
        <f t="shared" si="140"/>
        <v>0</v>
      </c>
      <c r="S570" s="34" t="e">
        <f t="shared" si="141"/>
        <v>#REF!</v>
      </c>
      <c r="T570" s="34" t="e">
        <f>#REF!+#REF!</f>
        <v>#REF!</v>
      </c>
      <c r="U570" s="34" t="e">
        <f t="shared" si="133"/>
        <v>#REF!</v>
      </c>
    </row>
    <row r="571" spans="1:21" s="34" customFormat="1" ht="24.95" customHeight="1">
      <c r="A571" s="535" t="s">
        <v>884</v>
      </c>
      <c r="B571" s="393"/>
      <c r="C571" s="466"/>
      <c r="D571" s="394"/>
      <c r="E571" s="499"/>
      <c r="F571" s="1204"/>
      <c r="G571" s="1200">
        <f>MIN(G572:G573)</f>
        <v>8696079</v>
      </c>
      <c r="H571" s="245" t="s">
        <v>219</v>
      </c>
      <c r="J571" s="535" t="s">
        <v>884</v>
      </c>
      <c r="K571" s="393"/>
      <c r="L571" s="466"/>
      <c r="M571" s="394"/>
      <c r="N571" s="499"/>
      <c r="O571" s="468"/>
      <c r="P571" s="393" t="e">
        <f>MIN(P572:P573)</f>
        <v>#REF!</v>
      </c>
      <c r="Q571" s="245" t="s">
        <v>219</v>
      </c>
      <c r="R571" s="34">
        <f t="shared" si="140"/>
        <v>0</v>
      </c>
      <c r="S571" s="34" t="e">
        <f t="shared" si="141"/>
        <v>#REF!</v>
      </c>
      <c r="T571" s="34" t="e">
        <f>#REF!+#REF!</f>
        <v>#REF!</v>
      </c>
      <c r="U571" s="34" t="e">
        <f t="shared" si="133"/>
        <v>#REF!</v>
      </c>
    </row>
    <row r="572" spans="1:21" s="34" customFormat="1" ht="24.95" customHeight="1">
      <c r="A572" s="535"/>
      <c r="B572" s="393" t="s">
        <v>2394</v>
      </c>
      <c r="C572" s="466"/>
      <c r="D572" s="1257">
        <f>'8-7.적용근거'!H53</f>
        <v>2.07E-2</v>
      </c>
      <c r="E572" s="1259" t="str">
        <f>'8-7.적용근거'!I53&amp;"*1.2"</f>
        <v>*1.2</v>
      </c>
      <c r="F572" s="1204">
        <f>G111+G318</f>
        <v>307680941.88</v>
      </c>
      <c r="G572" s="2400">
        <f>I572</f>
        <v>8696079</v>
      </c>
      <c r="H572" s="245" t="s">
        <v>3377</v>
      </c>
      <c r="I572" s="608">
        <v>8696079</v>
      </c>
      <c r="J572" s="535"/>
      <c r="K572" s="393" t="s">
        <v>217</v>
      </c>
      <c r="L572" s="466"/>
      <c r="M572" s="394"/>
      <c r="N572" s="499">
        <f>'8-7.적용근거'!$I53*1.2</f>
        <v>0</v>
      </c>
      <c r="O572" s="468" t="e">
        <f>P111+P318</f>
        <v>#REF!</v>
      </c>
      <c r="P572" s="393" t="e">
        <f>INT(((P111+P318)*1.85%)*1.2)</f>
        <v>#REF!</v>
      </c>
      <c r="Q572" s="245"/>
      <c r="R572" s="34" t="e">
        <f t="shared" si="140"/>
        <v>#VALUE!</v>
      </c>
      <c r="S572" s="34" t="e">
        <f t="shared" si="141"/>
        <v>#REF!</v>
      </c>
      <c r="T572" s="34" t="e">
        <f>#REF!+#REF!</f>
        <v>#REF!</v>
      </c>
      <c r="U572" s="34" t="e">
        <f t="shared" si="133"/>
        <v>#REF!</v>
      </c>
    </row>
    <row r="573" spans="1:21" s="34" customFormat="1" ht="24.95" customHeight="1">
      <c r="A573" s="535"/>
      <c r="B573" s="393" t="s">
        <v>2395</v>
      </c>
      <c r="C573" s="466"/>
      <c r="D573" s="1257">
        <f>'8-7.적용근거'!H54</f>
        <v>1.5900000000000001E-2</v>
      </c>
      <c r="E573" s="1259" t="str">
        <f>'8-7.적용근거'!I54</f>
        <v>+2,450천원</v>
      </c>
      <c r="F573" s="1204"/>
      <c r="G573" s="1200"/>
      <c r="H573" s="245"/>
      <c r="I573" s="611"/>
      <c r="J573" s="535"/>
      <c r="K573" s="393" t="s">
        <v>218</v>
      </c>
      <c r="L573" s="466"/>
      <c r="M573" s="394"/>
      <c r="N573" s="499" t="str">
        <f>'8-7.적용근거'!$I54</f>
        <v>+2,450천원</v>
      </c>
      <c r="O573" s="468" t="e">
        <f>P6+P111+P318</f>
        <v>#REF!</v>
      </c>
      <c r="P573" s="393" t="e">
        <f>INT((P6+P111+P318)*1.2%+3250000)</f>
        <v>#REF!</v>
      </c>
      <c r="Q573" s="245"/>
      <c r="R573" s="34" t="e">
        <f t="shared" si="140"/>
        <v>#VALUE!</v>
      </c>
      <c r="S573" s="34" t="e">
        <f t="shared" si="141"/>
        <v>#REF!</v>
      </c>
      <c r="T573" s="34" t="e">
        <f>#REF!+#REF!</f>
        <v>#REF!</v>
      </c>
      <c r="U573" s="34" t="e">
        <f t="shared" si="133"/>
        <v>#REF!</v>
      </c>
    </row>
    <row r="574" spans="1:21" s="34" customFormat="1" ht="24.95" customHeight="1">
      <c r="A574" s="535" t="str">
        <f>"   "&amp;"자. 기타경비(지입재료비+노무비)"&amp;"*"&amp;E574*100&amp;"%"</f>
        <v xml:space="preserve">   자. 기타경비(지입재료비+노무비)*4%</v>
      </c>
      <c r="B574" s="393"/>
      <c r="C574" s="466"/>
      <c r="D574" s="394"/>
      <c r="E574" s="499">
        <f>'8-7.적용근거'!I75</f>
        <v>0.04</v>
      </c>
      <c r="F574" s="1204">
        <f>G111+G317</f>
        <v>344539987.88</v>
      </c>
      <c r="G574" s="1200">
        <f>INT(E574*F574)</f>
        <v>13781599</v>
      </c>
      <c r="H574" s="245"/>
      <c r="J574" s="535" t="s">
        <v>1453</v>
      </c>
      <c r="K574" s="393"/>
      <c r="L574" s="466"/>
      <c r="M574" s="394"/>
      <c r="N574" s="499">
        <f>'8-7.적용근거'!$I75</f>
        <v>0.04</v>
      </c>
      <c r="O574" s="468" t="e">
        <f>P111+P317</f>
        <v>#REF!</v>
      </c>
      <c r="P574" s="393" t="e">
        <f>INT(N574*O574)</f>
        <v>#REF!</v>
      </c>
      <c r="Q574" s="245"/>
      <c r="R574" s="34">
        <f t="shared" si="140"/>
        <v>0</v>
      </c>
      <c r="S574" s="34" t="e">
        <f t="shared" si="141"/>
        <v>#REF!</v>
      </c>
      <c r="T574" s="34" t="e">
        <f>#REF!+#REF!</f>
        <v>#REF!</v>
      </c>
      <c r="U574" s="34" t="e">
        <f t="shared" si="133"/>
        <v>#REF!</v>
      </c>
    </row>
    <row r="575" spans="1:21" s="34" customFormat="1" ht="24.95" customHeight="1">
      <c r="A575" s="535"/>
      <c r="B575" s="393"/>
      <c r="C575" s="466"/>
      <c r="D575" s="394"/>
      <c r="E575" s="499"/>
      <c r="F575" s="1204"/>
      <c r="G575" s="1200"/>
      <c r="H575" s="245"/>
      <c r="J575" s="535"/>
      <c r="K575" s="393"/>
      <c r="L575" s="466"/>
      <c r="M575" s="394"/>
      <c r="N575" s="499"/>
      <c r="O575" s="468"/>
      <c r="P575" s="393"/>
      <c r="Q575" s="245"/>
    </row>
    <row r="576" spans="1:21" s="34" customFormat="1" ht="24.95" customHeight="1">
      <c r="A576" s="540"/>
      <c r="B576" s="500"/>
      <c r="C576" s="466"/>
      <c r="D576" s="394"/>
      <c r="E576" s="501"/>
      <c r="F576" s="1204"/>
      <c r="G576" s="1222"/>
      <c r="H576" s="245"/>
      <c r="J576" s="540"/>
      <c r="K576" s="500"/>
      <c r="L576" s="466"/>
      <c r="M576" s="394"/>
      <c r="N576" s="501"/>
      <c r="O576" s="468"/>
      <c r="P576" s="502"/>
      <c r="Q576" s="245"/>
      <c r="R576" s="34">
        <f t="shared" ref="R576:R601" si="163">E576-N576</f>
        <v>0</v>
      </c>
      <c r="S576" s="34">
        <f t="shared" si="141"/>
        <v>0</v>
      </c>
      <c r="T576" s="34" t="e">
        <f>#REF!+#REF!</f>
        <v>#REF!</v>
      </c>
      <c r="U576" s="34" t="e">
        <f t="shared" si="133"/>
        <v>#REF!</v>
      </c>
    </row>
    <row r="577" spans="1:29" s="34" customFormat="1" ht="24.95" customHeight="1">
      <c r="A577" s="529" t="s">
        <v>60</v>
      </c>
      <c r="B577" s="393"/>
      <c r="C577" s="466"/>
      <c r="D577" s="394"/>
      <c r="E577" s="467"/>
      <c r="F577" s="1200"/>
      <c r="G577" s="1223">
        <f>G578</f>
        <v>33436936</v>
      </c>
      <c r="H577" s="251"/>
      <c r="J577" s="529" t="s">
        <v>60</v>
      </c>
      <c r="K577" s="393"/>
      <c r="L577" s="466"/>
      <c r="M577" s="394"/>
      <c r="N577" s="467"/>
      <c r="O577" s="429"/>
      <c r="P577" s="503" t="e">
        <f>P578</f>
        <v>#REF!</v>
      </c>
      <c r="Q577" s="251"/>
      <c r="R577" s="34">
        <f t="shared" si="163"/>
        <v>0</v>
      </c>
      <c r="S577" s="34" t="e">
        <f t="shared" si="141"/>
        <v>#REF!</v>
      </c>
      <c r="T577" s="34" t="e">
        <f>#REF!+#REF!</f>
        <v>#REF!</v>
      </c>
      <c r="U577" s="34" t="e">
        <f t="shared" si="133"/>
        <v>#REF!</v>
      </c>
    </row>
    <row r="578" spans="1:29" s="34" customFormat="1" ht="24.95" customHeight="1">
      <c r="A578" s="535"/>
      <c r="B578" s="393" t="s">
        <v>3363</v>
      </c>
      <c r="C578" s="504"/>
      <c r="D578" s="394"/>
      <c r="E578" s="1509">
        <f>'8-7.적용근거'!$I84</f>
        <v>0.08</v>
      </c>
      <c r="F578" s="1204">
        <f>G111+G317+G562</f>
        <v>417961708.88</v>
      </c>
      <c r="G578" s="1200">
        <f>INT(E578*F578)</f>
        <v>33436936</v>
      </c>
      <c r="H578" s="245"/>
      <c r="J578" s="535"/>
      <c r="K578" s="393" t="s">
        <v>222</v>
      </c>
      <c r="L578" s="504"/>
      <c r="M578" s="394"/>
      <c r="N578" s="505">
        <f>'8-7.적용근거'!$I84</f>
        <v>0.08</v>
      </c>
      <c r="O578" s="468" t="e">
        <f>P111+P317+P562</f>
        <v>#REF!</v>
      </c>
      <c r="P578" s="393" t="e">
        <f>INT(N578*O578)</f>
        <v>#REF!</v>
      </c>
      <c r="Q578" s="245"/>
      <c r="R578" s="34">
        <f t="shared" si="163"/>
        <v>0</v>
      </c>
      <c r="S578" s="34" t="e">
        <f t="shared" si="141"/>
        <v>#REF!</v>
      </c>
      <c r="T578" s="34" t="e">
        <f>#REF!+#REF!</f>
        <v>#REF!</v>
      </c>
      <c r="U578" s="34" t="e">
        <f t="shared" si="133"/>
        <v>#REF!</v>
      </c>
    </row>
    <row r="579" spans="1:29" s="34" customFormat="1" ht="24.95" customHeight="1">
      <c r="A579" s="535"/>
      <c r="B579" s="393"/>
      <c r="C579" s="466"/>
      <c r="D579" s="394"/>
      <c r="E579" s="506"/>
      <c r="F579" s="810"/>
      <c r="G579" s="1200"/>
      <c r="H579" s="245"/>
      <c r="J579" s="535"/>
      <c r="K579" s="393"/>
      <c r="L579" s="466"/>
      <c r="M579" s="394"/>
      <c r="N579" s="506"/>
      <c r="O579" s="466"/>
      <c r="P579" s="467"/>
      <c r="Q579" s="245"/>
      <c r="R579" s="34">
        <f t="shared" si="163"/>
        <v>0</v>
      </c>
      <c r="S579" s="34">
        <f t="shared" si="141"/>
        <v>0</v>
      </c>
      <c r="T579" s="34" t="e">
        <f>#REF!+#REF!</f>
        <v>#REF!</v>
      </c>
      <c r="U579" s="34" t="e">
        <f t="shared" si="133"/>
        <v>#REF!</v>
      </c>
    </row>
    <row r="580" spans="1:29" s="34" customFormat="1" ht="24.95" customHeight="1">
      <c r="A580" s="529" t="s">
        <v>61</v>
      </c>
      <c r="B580" s="393"/>
      <c r="C580" s="466"/>
      <c r="D580" s="394"/>
      <c r="E580" s="505"/>
      <c r="F580" s="1200"/>
      <c r="G580" s="1223">
        <f>G581+H581</f>
        <v>51445446</v>
      </c>
      <c r="H580" s="245" t="s">
        <v>3217</v>
      </c>
      <c r="J580" s="529" t="s">
        <v>61</v>
      </c>
      <c r="K580" s="393"/>
      <c r="L580" s="466"/>
      <c r="M580" s="394"/>
      <c r="N580" s="505"/>
      <c r="O580" s="429"/>
      <c r="P580" s="503" t="e">
        <f>P581+Q581</f>
        <v>#REF!</v>
      </c>
      <c r="Q580" s="245" t="s">
        <v>390</v>
      </c>
      <c r="R580" s="34">
        <f t="shared" si="163"/>
        <v>0</v>
      </c>
      <c r="S580" s="34" t="e">
        <f t="shared" si="141"/>
        <v>#REF!</v>
      </c>
      <c r="T580" s="34" t="e">
        <f>#REF!+#REF!</f>
        <v>#REF!</v>
      </c>
      <c r="U580" s="34" t="e">
        <f t="shared" si="133"/>
        <v>#REF!</v>
      </c>
    </row>
    <row r="581" spans="1:29" s="34" customFormat="1" ht="24.95" customHeight="1">
      <c r="A581" s="535"/>
      <c r="B581" s="393" t="s">
        <v>301</v>
      </c>
      <c r="C581" s="504"/>
      <c r="D581" s="394"/>
      <c r="E581" s="505">
        <v>0.13431000000000001</v>
      </c>
      <c r="F581" s="1204">
        <f>G577+G562+G317</f>
        <v>383062159</v>
      </c>
      <c r="G581" s="1200">
        <f>INT(E581*F581)</f>
        <v>51449078</v>
      </c>
      <c r="H581" s="245">
        <v>-3632</v>
      </c>
      <c r="J581" s="535"/>
      <c r="K581" s="393" t="s">
        <v>301</v>
      </c>
      <c r="L581" s="504"/>
      <c r="M581" s="394"/>
      <c r="N581" s="505">
        <f>'8-7.적용근거'!$I94</f>
        <v>0.15</v>
      </c>
      <c r="O581" s="468" t="e">
        <f>P577+P562+P317</f>
        <v>#REF!</v>
      </c>
      <c r="P581" s="393" t="e">
        <f>INT(N581*O581)</f>
        <v>#REF!</v>
      </c>
      <c r="Q581" s="245">
        <v>-524</v>
      </c>
      <c r="R581" s="34">
        <f t="shared" si="163"/>
        <v>-1.5689999999999982E-2</v>
      </c>
      <c r="S581" s="34" t="e">
        <f t="shared" si="141"/>
        <v>#REF!</v>
      </c>
      <c r="T581" s="34" t="e">
        <f>#REF!+#REF!</f>
        <v>#REF!</v>
      </c>
      <c r="U581" s="34" t="e">
        <f t="shared" si="133"/>
        <v>#REF!</v>
      </c>
    </row>
    <row r="582" spans="1:29" s="34" customFormat="1" ht="24.95" customHeight="1">
      <c r="A582" s="535"/>
      <c r="B582" s="393"/>
      <c r="C582" s="504"/>
      <c r="D582" s="394"/>
      <c r="E582" s="394"/>
      <c r="F582" s="1"/>
      <c r="G582" s="1200" t="s">
        <v>896</v>
      </c>
      <c r="H582" s="245"/>
      <c r="J582" s="535"/>
      <c r="K582" s="393"/>
      <c r="L582" s="504"/>
      <c r="M582" s="394"/>
      <c r="N582" s="394"/>
      <c r="O582" s="394"/>
      <c r="P582" s="467" t="s">
        <v>1</v>
      </c>
      <c r="Q582" s="245"/>
      <c r="R582" s="34">
        <f t="shared" si="163"/>
        <v>0</v>
      </c>
      <c r="T582" s="34" t="e">
        <f>#REF!+#REF!</f>
        <v>#REF!</v>
      </c>
      <c r="U582" s="34" t="e">
        <f t="shared" ref="U582:U601" si="164">P582-T582</f>
        <v>#VALUE!</v>
      </c>
    </row>
    <row r="583" spans="1:29" s="34" customFormat="1" ht="24.95" customHeight="1">
      <c r="A583" s="529" t="s">
        <v>302</v>
      </c>
      <c r="B583" s="393"/>
      <c r="C583" s="466"/>
      <c r="D583" s="394"/>
      <c r="E583" s="467"/>
      <c r="F583" s="1204"/>
      <c r="G583" s="1224">
        <f>SUM(G584:G585)</f>
        <v>502844090.88</v>
      </c>
      <c r="H583" s="245"/>
      <c r="J583" s="529" t="s">
        <v>302</v>
      </c>
      <c r="K583" s="393"/>
      <c r="L583" s="466"/>
      <c r="M583" s="394"/>
      <c r="N583" s="467"/>
      <c r="O583" s="468"/>
      <c r="P583" s="507" t="e">
        <f>SUM(P584:P585)</f>
        <v>#REF!</v>
      </c>
      <c r="Q583" s="245"/>
      <c r="R583" s="34">
        <f t="shared" si="163"/>
        <v>0</v>
      </c>
      <c r="S583" s="34" t="e">
        <f t="shared" ref="S583:S601" si="165">G583-P583</f>
        <v>#REF!</v>
      </c>
      <c r="T583" s="34" t="e">
        <f>#REF!+#REF!</f>
        <v>#REF!</v>
      </c>
      <c r="U583" s="34" t="e">
        <f t="shared" si="164"/>
        <v>#REF!</v>
      </c>
    </row>
    <row r="584" spans="1:29" s="34" customFormat="1" ht="24.95" customHeight="1">
      <c r="A584" s="529" t="s">
        <v>299</v>
      </c>
      <c r="B584" s="393"/>
      <c r="C584" s="466"/>
      <c r="D584" s="394"/>
      <c r="E584" s="467"/>
      <c r="F584" s="1204"/>
      <c r="G584" s="1224">
        <f>G587+G593</f>
        <v>0</v>
      </c>
      <c r="H584" s="245"/>
      <c r="J584" s="529" t="s">
        <v>299</v>
      </c>
      <c r="K584" s="393"/>
      <c r="L584" s="466"/>
      <c r="M584" s="394"/>
      <c r="N584" s="467"/>
      <c r="O584" s="468"/>
      <c r="P584" s="507" t="e">
        <f>P587+P593</f>
        <v>#REF!</v>
      </c>
      <c r="Q584" s="245"/>
      <c r="R584" s="34">
        <f t="shared" si="163"/>
        <v>0</v>
      </c>
      <c r="S584" s="34" t="e">
        <f t="shared" si="165"/>
        <v>#REF!</v>
      </c>
      <c r="T584" s="34" t="e">
        <f>#REF!+#REF!</f>
        <v>#REF!</v>
      </c>
      <c r="U584" s="34" t="e">
        <f t="shared" si="164"/>
        <v>#REF!</v>
      </c>
    </row>
    <row r="585" spans="1:29" s="34" customFormat="1" ht="24.95" customHeight="1">
      <c r="A585" s="529" t="s">
        <v>300</v>
      </c>
      <c r="B585" s="393"/>
      <c r="C585" s="466"/>
      <c r="D585" s="394"/>
      <c r="E585" s="467"/>
      <c r="F585" s="1204"/>
      <c r="G585" s="1224">
        <f>SUM(G588+G589+G594+G595+G596)</f>
        <v>502844090.88</v>
      </c>
      <c r="H585" s="245"/>
      <c r="J585" s="529" t="s">
        <v>300</v>
      </c>
      <c r="K585" s="393"/>
      <c r="L585" s="466"/>
      <c r="M585" s="394"/>
      <c r="N585" s="467"/>
      <c r="O585" s="468"/>
      <c r="P585" s="507" t="e">
        <f>SUM(P588+P589+P594+P595+P596)</f>
        <v>#REF!</v>
      </c>
      <c r="Q585" s="245"/>
      <c r="R585" s="34">
        <f t="shared" si="163"/>
        <v>0</v>
      </c>
      <c r="S585" s="34" t="e">
        <f t="shared" si="165"/>
        <v>#REF!</v>
      </c>
      <c r="T585" s="34" t="e">
        <f>#REF!+#REF!</f>
        <v>#REF!</v>
      </c>
      <c r="U585" s="34" t="e">
        <f t="shared" si="164"/>
        <v>#REF!</v>
      </c>
      <c r="Z585" s="2399">
        <f>Y593*10%</f>
        <v>0</v>
      </c>
    </row>
    <row r="586" spans="1:29" s="34" customFormat="1" ht="24.95" customHeight="1">
      <c r="A586" s="536" t="s">
        <v>223</v>
      </c>
      <c r="B586" s="393"/>
      <c r="C586" s="466"/>
      <c r="D586" s="394"/>
      <c r="E586" s="467"/>
      <c r="F586" s="1204"/>
      <c r="G586" s="1225">
        <f>SUM(G587:G588)</f>
        <v>68336485.879999995</v>
      </c>
      <c r="H586" s="251"/>
      <c r="J586" s="536" t="s">
        <v>223</v>
      </c>
      <c r="K586" s="393"/>
      <c r="L586" s="466"/>
      <c r="M586" s="394"/>
      <c r="N586" s="467"/>
      <c r="O586" s="468"/>
      <c r="P586" s="491" t="e">
        <f>SUM(P587:P588)</f>
        <v>#REF!</v>
      </c>
      <c r="Q586" s="251"/>
      <c r="R586" s="34">
        <f t="shared" si="163"/>
        <v>0</v>
      </c>
      <c r="S586" s="34" t="e">
        <f t="shared" si="165"/>
        <v>#REF!</v>
      </c>
      <c r="T586" s="34" t="e">
        <f>#REF!+#REF!</f>
        <v>#REF!</v>
      </c>
      <c r="U586" s="34" t="e">
        <f t="shared" si="164"/>
        <v>#REF!</v>
      </c>
    </row>
    <row r="587" spans="1:29" s="34" customFormat="1" ht="24.95" customHeight="1">
      <c r="A587" s="535" t="s">
        <v>225</v>
      </c>
      <c r="B587" s="393"/>
      <c r="C587" s="466"/>
      <c r="D587" s="394"/>
      <c r="E587" s="467"/>
      <c r="F587" s="1204"/>
      <c r="G587" s="1204"/>
      <c r="H587" s="251"/>
      <c r="J587" s="535" t="s">
        <v>225</v>
      </c>
      <c r="K587" s="393"/>
      <c r="L587" s="466"/>
      <c r="M587" s="394"/>
      <c r="N587" s="467"/>
      <c r="O587" s="468"/>
      <c r="P587" s="468" t="e">
        <f>P6</f>
        <v>#REF!</v>
      </c>
      <c r="Q587" s="251"/>
      <c r="R587" s="34">
        <f t="shared" si="163"/>
        <v>0</v>
      </c>
      <c r="S587" s="34" t="e">
        <f t="shared" si="165"/>
        <v>#REF!</v>
      </c>
      <c r="T587" s="34" t="e">
        <f>#REF!+#REF!</f>
        <v>#REF!</v>
      </c>
      <c r="U587" s="34" t="e">
        <f t="shared" si="164"/>
        <v>#REF!</v>
      </c>
    </row>
    <row r="588" spans="1:29" s="34" customFormat="1" ht="24.95" customHeight="1">
      <c r="A588" s="535" t="s">
        <v>224</v>
      </c>
      <c r="B588" s="393"/>
      <c r="C588" s="466"/>
      <c r="D588" s="394"/>
      <c r="E588" s="467"/>
      <c r="F588" s="1204"/>
      <c r="G588" s="1204">
        <f>G111</f>
        <v>68336485.879999995</v>
      </c>
      <c r="H588" s="251"/>
      <c r="J588" s="535" t="s">
        <v>224</v>
      </c>
      <c r="K588" s="393"/>
      <c r="L588" s="466"/>
      <c r="M588" s="394"/>
      <c r="N588" s="467"/>
      <c r="O588" s="468"/>
      <c r="P588" s="468" t="e">
        <f>P111</f>
        <v>#REF!</v>
      </c>
      <c r="Q588" s="251"/>
      <c r="R588" s="34">
        <f t="shared" si="163"/>
        <v>0</v>
      </c>
      <c r="S588" s="34" t="e">
        <f t="shared" si="165"/>
        <v>#REF!</v>
      </c>
      <c r="T588" s="34" t="e">
        <f>#REF!+#REF!</f>
        <v>#REF!</v>
      </c>
      <c r="U588" s="34" t="e">
        <f t="shared" si="164"/>
        <v>#REF!</v>
      </c>
    </row>
    <row r="589" spans="1:29" s="34" customFormat="1" ht="24.95" customHeight="1">
      <c r="A589" s="536" t="s">
        <v>226</v>
      </c>
      <c r="B589" s="508"/>
      <c r="C589" s="466"/>
      <c r="D589" s="394"/>
      <c r="E589" s="467"/>
      <c r="F589" s="1204"/>
      <c r="G589" s="1225">
        <f>SUM(G590:G591)</f>
        <v>276203502</v>
      </c>
      <c r="H589" s="251"/>
      <c r="J589" s="536" t="s">
        <v>226</v>
      </c>
      <c r="K589" s="508"/>
      <c r="L589" s="466"/>
      <c r="M589" s="394"/>
      <c r="N589" s="467"/>
      <c r="O589" s="468"/>
      <c r="P589" s="491" t="e">
        <f>SUM(P590:P591)</f>
        <v>#REF!</v>
      </c>
      <c r="Q589" s="251"/>
      <c r="R589" s="34">
        <f t="shared" si="163"/>
        <v>0</v>
      </c>
      <c r="S589" s="34" t="e">
        <f t="shared" si="165"/>
        <v>#REF!</v>
      </c>
      <c r="T589" s="34" t="e">
        <f>#REF!+#REF!</f>
        <v>#REF!</v>
      </c>
      <c r="U589" s="34" t="e">
        <f t="shared" si="164"/>
        <v>#REF!</v>
      </c>
    </row>
    <row r="590" spans="1:29" s="34" customFormat="1" ht="24.95" customHeight="1">
      <c r="A590" s="535" t="s">
        <v>227</v>
      </c>
      <c r="B590" s="393"/>
      <c r="C590" s="466"/>
      <c r="D590" s="394"/>
      <c r="E590" s="467"/>
      <c r="F590" s="1204"/>
      <c r="G590" s="1204">
        <f>G318</f>
        <v>239344456</v>
      </c>
      <c r="H590" s="251"/>
      <c r="J590" s="535" t="s">
        <v>227</v>
      </c>
      <c r="K590" s="393"/>
      <c r="L590" s="466"/>
      <c r="M590" s="394"/>
      <c r="N590" s="467"/>
      <c r="O590" s="468"/>
      <c r="P590" s="468" t="e">
        <f>P318</f>
        <v>#REF!</v>
      </c>
      <c r="Q590" s="251"/>
      <c r="R590" s="34">
        <f t="shared" si="163"/>
        <v>0</v>
      </c>
      <c r="S590" s="34" t="e">
        <f t="shared" si="165"/>
        <v>#REF!</v>
      </c>
      <c r="T590" s="34" t="e">
        <f>#REF!+#REF!</f>
        <v>#REF!</v>
      </c>
      <c r="U590" s="34" t="e">
        <f t="shared" si="164"/>
        <v>#REF!</v>
      </c>
    </row>
    <row r="591" spans="1:29" s="34" customFormat="1" ht="24.95" customHeight="1">
      <c r="A591" s="535" t="s">
        <v>228</v>
      </c>
      <c r="B591" s="393"/>
      <c r="C591" s="466"/>
      <c r="D591" s="394"/>
      <c r="E591" s="467"/>
      <c r="F591" s="1204"/>
      <c r="G591" s="1204">
        <f>G556</f>
        <v>36859046</v>
      </c>
      <c r="H591" s="251"/>
      <c r="J591" s="535" t="s">
        <v>228</v>
      </c>
      <c r="K591" s="393"/>
      <c r="L591" s="466"/>
      <c r="M591" s="394"/>
      <c r="N591" s="467"/>
      <c r="O591" s="468"/>
      <c r="P591" s="468" t="e">
        <f>P556</f>
        <v>#REF!</v>
      </c>
      <c r="Q591" s="251"/>
      <c r="R591" s="34">
        <f t="shared" si="163"/>
        <v>0</v>
      </c>
      <c r="S591" s="34" t="e">
        <f t="shared" si="165"/>
        <v>#REF!</v>
      </c>
      <c r="T591" s="34" t="e">
        <f>#REF!+#REF!</f>
        <v>#REF!</v>
      </c>
      <c r="U591" s="34" t="e">
        <f t="shared" si="164"/>
        <v>#REF!</v>
      </c>
    </row>
    <row r="592" spans="1:29" s="34" customFormat="1" ht="24.95" customHeight="1">
      <c r="A592" s="536" t="s">
        <v>229</v>
      </c>
      <c r="B592" s="508"/>
      <c r="C592" s="466"/>
      <c r="D592" s="394"/>
      <c r="E592" s="467"/>
      <c r="F592" s="1204"/>
      <c r="G592" s="1225">
        <f>SUM(G593:G594)</f>
        <v>73421721</v>
      </c>
      <c r="H592" s="251"/>
      <c r="J592" s="536" t="s">
        <v>229</v>
      </c>
      <c r="K592" s="508"/>
      <c r="L592" s="466"/>
      <c r="M592" s="394"/>
      <c r="N592" s="467"/>
      <c r="O592" s="468"/>
      <c r="P592" s="491" t="e">
        <f>SUM(P593:P594)</f>
        <v>#REF!</v>
      </c>
      <c r="Q592" s="251"/>
      <c r="R592" s="34">
        <f t="shared" si="163"/>
        <v>0</v>
      </c>
      <c r="S592" s="34" t="e">
        <f t="shared" si="165"/>
        <v>#REF!</v>
      </c>
      <c r="T592" s="34" t="e">
        <f>#REF!+#REF!</f>
        <v>#REF!</v>
      </c>
      <c r="U592" s="34" t="e">
        <f t="shared" si="164"/>
        <v>#REF!</v>
      </c>
      <c r="AC592" s="2399">
        <f>Y593-Z585</f>
        <v>0</v>
      </c>
    </row>
    <row r="593" spans="1:25" s="34" customFormat="1" ht="24.95" customHeight="1">
      <c r="A593" s="535" t="s">
        <v>230</v>
      </c>
      <c r="B593" s="393"/>
      <c r="C593" s="466"/>
      <c r="D593" s="394"/>
      <c r="E593" s="467"/>
      <c r="F593" s="1204"/>
      <c r="G593" s="1204">
        <f>G560</f>
        <v>0</v>
      </c>
      <c r="H593" s="251"/>
      <c r="J593" s="535" t="s">
        <v>230</v>
      </c>
      <c r="K593" s="393"/>
      <c r="L593" s="466"/>
      <c r="M593" s="394"/>
      <c r="N593" s="467"/>
      <c r="O593" s="468"/>
      <c r="P593" s="468">
        <f>P560</f>
        <v>0</v>
      </c>
      <c r="Q593" s="251"/>
      <c r="R593" s="34">
        <f t="shared" si="163"/>
        <v>0</v>
      </c>
      <c r="S593" s="34">
        <f t="shared" si="165"/>
        <v>0</v>
      </c>
      <c r="T593" s="34" t="e">
        <f>#REF!+#REF!</f>
        <v>#REF!</v>
      </c>
      <c r="U593" s="34" t="e">
        <f t="shared" si="164"/>
        <v>#REF!</v>
      </c>
      <c r="Y593" s="237">
        <f>G598-Y598</f>
        <v>0</v>
      </c>
    </row>
    <row r="594" spans="1:25" s="34" customFormat="1" ht="24.95" customHeight="1">
      <c r="A594" s="535" t="s">
        <v>231</v>
      </c>
      <c r="B594" s="393"/>
      <c r="C594" s="466"/>
      <c r="D594" s="394"/>
      <c r="E594" s="467"/>
      <c r="F594" s="1204"/>
      <c r="G594" s="1204">
        <f>G562</f>
        <v>73421721</v>
      </c>
      <c r="H594" s="251"/>
      <c r="J594" s="535" t="s">
        <v>231</v>
      </c>
      <c r="K594" s="393"/>
      <c r="L594" s="466"/>
      <c r="M594" s="394"/>
      <c r="N594" s="467"/>
      <c r="O594" s="468"/>
      <c r="P594" s="468" t="e">
        <f>P562</f>
        <v>#REF!</v>
      </c>
      <c r="Q594" s="251"/>
      <c r="R594" s="34">
        <f t="shared" si="163"/>
        <v>0</v>
      </c>
      <c r="S594" s="34" t="e">
        <f t="shared" si="165"/>
        <v>#REF!</v>
      </c>
      <c r="T594" s="34" t="e">
        <f>#REF!+#REF!</f>
        <v>#REF!</v>
      </c>
      <c r="U594" s="34" t="e">
        <f t="shared" si="164"/>
        <v>#REF!</v>
      </c>
    </row>
    <row r="595" spans="1:25" s="34" customFormat="1" ht="24.95" customHeight="1">
      <c r="A595" s="536" t="s">
        <v>232</v>
      </c>
      <c r="B595" s="465"/>
      <c r="C595" s="466"/>
      <c r="D595" s="394"/>
      <c r="E595" s="467"/>
      <c r="F595" s="1204"/>
      <c r="G595" s="1225">
        <f>G577</f>
        <v>33436936</v>
      </c>
      <c r="H595" s="251"/>
      <c r="J595" s="536" t="s">
        <v>232</v>
      </c>
      <c r="K595" s="465"/>
      <c r="L595" s="466"/>
      <c r="M595" s="394"/>
      <c r="N595" s="467"/>
      <c r="O595" s="468"/>
      <c r="P595" s="491" t="e">
        <f>P577</f>
        <v>#REF!</v>
      </c>
      <c r="Q595" s="251"/>
      <c r="R595" s="34">
        <f t="shared" si="163"/>
        <v>0</v>
      </c>
      <c r="S595" s="34" t="e">
        <f t="shared" si="165"/>
        <v>#REF!</v>
      </c>
      <c r="T595" s="34" t="e">
        <f>#REF!+#REF!</f>
        <v>#REF!</v>
      </c>
      <c r="U595" s="34" t="e">
        <f t="shared" si="164"/>
        <v>#REF!</v>
      </c>
    </row>
    <row r="596" spans="1:25" s="34" customFormat="1" ht="24.95" customHeight="1">
      <c r="A596" s="536" t="s">
        <v>233</v>
      </c>
      <c r="B596" s="465"/>
      <c r="C596" s="466"/>
      <c r="D596" s="394"/>
      <c r="E596" s="467"/>
      <c r="F596" s="1204"/>
      <c r="G596" s="1225">
        <f>G580-H596</f>
        <v>51445446</v>
      </c>
      <c r="H596" s="251"/>
      <c r="J596" s="536" t="s">
        <v>233</v>
      </c>
      <c r="K596" s="465"/>
      <c r="L596" s="466"/>
      <c r="M596" s="394"/>
      <c r="N596" s="467"/>
      <c r="O596" s="468"/>
      <c r="P596" s="491" t="e">
        <f>P580</f>
        <v>#REF!</v>
      </c>
      <c r="Q596" s="251"/>
      <c r="R596" s="34">
        <f t="shared" si="163"/>
        <v>0</v>
      </c>
      <c r="S596" s="34" t="e">
        <f t="shared" si="165"/>
        <v>#REF!</v>
      </c>
      <c r="T596" s="34" t="e">
        <f>#REF!+#REF!</f>
        <v>#REF!</v>
      </c>
      <c r="U596" s="34" t="e">
        <f t="shared" si="164"/>
        <v>#REF!</v>
      </c>
    </row>
    <row r="597" spans="1:25" s="22" customFormat="1" ht="24.95" customHeight="1">
      <c r="A597" s="541"/>
      <c r="B597" s="393"/>
      <c r="C597" s="509"/>
      <c r="D597" s="510"/>
      <c r="E597" s="467"/>
      <c r="F597" s="1213"/>
      <c r="G597" s="1213"/>
      <c r="H597" s="245"/>
      <c r="J597" s="541"/>
      <c r="K597" s="393"/>
      <c r="L597" s="509"/>
      <c r="M597" s="510"/>
      <c r="N597" s="467"/>
      <c r="O597" s="393"/>
      <c r="P597" s="393"/>
      <c r="Q597" s="245"/>
      <c r="R597" s="34">
        <f t="shared" si="163"/>
        <v>0</v>
      </c>
      <c r="S597" s="34">
        <f t="shared" si="165"/>
        <v>0</v>
      </c>
      <c r="T597" s="34" t="e">
        <f>#REF!+#REF!</f>
        <v>#REF!</v>
      </c>
      <c r="U597" s="34" t="e">
        <f t="shared" si="164"/>
        <v>#REF!</v>
      </c>
    </row>
    <row r="598" spans="1:25" s="34" customFormat="1" ht="24.95" customHeight="1">
      <c r="A598" s="685" t="s">
        <v>1401</v>
      </c>
      <c r="B598" s="393"/>
      <c r="C598" s="466"/>
      <c r="D598" s="394"/>
      <c r="E598" s="467"/>
      <c r="F598" s="1204"/>
      <c r="G598" s="1224">
        <f>ROUND((G599+G600)*1.1,1)</f>
        <v>553128500</v>
      </c>
      <c r="H598" s="245"/>
      <c r="J598" s="685" t="s">
        <v>1401</v>
      </c>
      <c r="K598" s="393"/>
      <c r="L598" s="466"/>
      <c r="M598" s="394"/>
      <c r="N598" s="467"/>
      <c r="O598" s="468"/>
      <c r="P598" s="507" t="e">
        <f>ROUND((P599+P600)*1.1,0)</f>
        <v>#REF!</v>
      </c>
      <c r="Q598" s="245"/>
      <c r="R598" s="34">
        <f t="shared" si="163"/>
        <v>0</v>
      </c>
      <c r="S598" s="34" t="e">
        <f t="shared" si="165"/>
        <v>#REF!</v>
      </c>
      <c r="T598" s="34" t="e">
        <f>#REF!+#REF!</f>
        <v>#REF!</v>
      </c>
      <c r="U598" s="34" t="e">
        <f t="shared" si="164"/>
        <v>#REF!</v>
      </c>
      <c r="Y598" s="2398">
        <v>553128500</v>
      </c>
    </row>
    <row r="599" spans="1:25" s="34" customFormat="1" ht="24.95" customHeight="1">
      <c r="A599" s="529" t="s">
        <v>306</v>
      </c>
      <c r="B599" s="393"/>
      <c r="C599" s="466"/>
      <c r="D599" s="394"/>
      <c r="E599" s="467"/>
      <c r="F599" s="1204"/>
      <c r="G599" s="1224">
        <f>G584</f>
        <v>0</v>
      </c>
      <c r="H599" s="245"/>
      <c r="J599" s="529" t="s">
        <v>306</v>
      </c>
      <c r="K599" s="393"/>
      <c r="L599" s="466"/>
      <c r="M599" s="394"/>
      <c r="N599" s="467"/>
      <c r="O599" s="468"/>
      <c r="P599" s="507" t="e">
        <f>P584</f>
        <v>#REF!</v>
      </c>
      <c r="Q599" s="245"/>
      <c r="R599" s="34">
        <f t="shared" si="163"/>
        <v>0</v>
      </c>
      <c r="S599" s="34" t="e">
        <f t="shared" si="165"/>
        <v>#REF!</v>
      </c>
      <c r="T599" s="34" t="e">
        <f>#REF!+#REF!</f>
        <v>#REF!</v>
      </c>
      <c r="U599" s="34" t="e">
        <f t="shared" si="164"/>
        <v>#REF!</v>
      </c>
    </row>
    <row r="600" spans="1:25" s="34" customFormat="1" ht="24.95" customHeight="1">
      <c r="A600" s="529" t="s">
        <v>307</v>
      </c>
      <c r="B600" s="393"/>
      <c r="C600" s="466"/>
      <c r="D600" s="394"/>
      <c r="E600" s="467"/>
      <c r="F600" s="1204"/>
      <c r="G600" s="1224">
        <f>G585</f>
        <v>502844090.88</v>
      </c>
      <c r="H600" s="245"/>
      <c r="J600" s="529" t="s">
        <v>307</v>
      </c>
      <c r="K600" s="393"/>
      <c r="L600" s="466"/>
      <c r="M600" s="394"/>
      <c r="N600" s="467"/>
      <c r="O600" s="468"/>
      <c r="P600" s="507" t="e">
        <f>P585</f>
        <v>#REF!</v>
      </c>
      <c r="Q600" s="245"/>
      <c r="R600" s="34">
        <f t="shared" si="163"/>
        <v>0</v>
      </c>
      <c r="S600" s="34" t="e">
        <f t="shared" si="165"/>
        <v>#REF!</v>
      </c>
      <c r="T600" s="34" t="e">
        <f>#REF!+#REF!</f>
        <v>#REF!</v>
      </c>
      <c r="U600" s="34" t="e">
        <f t="shared" si="164"/>
        <v>#REF!</v>
      </c>
    </row>
    <row r="601" spans="1:25" s="34" customFormat="1" ht="24.95" customHeight="1">
      <c r="A601" s="542" t="s">
        <v>308</v>
      </c>
      <c r="B601" s="511"/>
      <c r="C601" s="512"/>
      <c r="D601" s="513"/>
      <c r="E601" s="514"/>
      <c r="F601" s="1214"/>
      <c r="G601" s="1226">
        <f>ROUND(G600*10%,0)</f>
        <v>50284409</v>
      </c>
      <c r="H601" s="517"/>
      <c r="J601" s="542" t="s">
        <v>308</v>
      </c>
      <c r="K601" s="511"/>
      <c r="L601" s="512"/>
      <c r="M601" s="513"/>
      <c r="N601" s="514"/>
      <c r="O601" s="515"/>
      <c r="P601" s="516" t="e">
        <f>ROUND(P600*10%,0)</f>
        <v>#REF!</v>
      </c>
      <c r="Q601" s="517"/>
      <c r="R601" s="34">
        <f t="shared" si="163"/>
        <v>0</v>
      </c>
      <c r="S601" s="34" t="e">
        <f t="shared" si="165"/>
        <v>#REF!</v>
      </c>
      <c r="T601" s="34" t="e">
        <f>#REF!+#REF!</f>
        <v>#REF!</v>
      </c>
      <c r="U601" s="34" t="e">
        <f t="shared" si="164"/>
        <v>#REF!</v>
      </c>
    </row>
    <row r="602" spans="1:25" ht="20.100000000000001" customHeight="1">
      <c r="A602" s="543"/>
      <c r="J602" s="543"/>
    </row>
    <row r="603" spans="1:25" ht="20.100000000000001" customHeight="1">
      <c r="A603" s="543"/>
      <c r="J603" s="685" t="s">
        <v>1401</v>
      </c>
      <c r="P603" s="39" t="e">
        <f>#REF!+#REF!</f>
        <v>#REF!</v>
      </c>
    </row>
    <row r="604" spans="1:25" ht="20.100000000000001" customHeight="1">
      <c r="A604" s="543"/>
      <c r="J604" s="529" t="s">
        <v>306</v>
      </c>
      <c r="P604" s="39" t="e">
        <f>#REF!+#REF!</f>
        <v>#REF!</v>
      </c>
    </row>
    <row r="605" spans="1:25" ht="20.100000000000001" customHeight="1">
      <c r="J605" s="529" t="s">
        <v>307</v>
      </c>
      <c r="P605" s="39" t="e">
        <f>#REF!+#REF!</f>
        <v>#REF!</v>
      </c>
    </row>
    <row r="606" spans="1:25" ht="16.5">
      <c r="J606" s="542" t="s">
        <v>308</v>
      </c>
      <c r="P606" s="39" t="e">
        <f>#REF!+#REF!</f>
        <v>#REF!</v>
      </c>
    </row>
    <row r="607" spans="1:25">
      <c r="P607" s="39"/>
    </row>
    <row r="608" spans="1:25">
      <c r="P608" s="37" t="e">
        <f>P598-P603</f>
        <v>#REF!</v>
      </c>
    </row>
    <row r="609" spans="16:16">
      <c r="P609" s="37" t="e">
        <f t="shared" ref="P609:P611" si="166">P599-P604</f>
        <v>#REF!</v>
      </c>
    </row>
    <row r="610" spans="16:16">
      <c r="P610" s="37" t="e">
        <f t="shared" si="166"/>
        <v>#REF!</v>
      </c>
    </row>
    <row r="611" spans="16:16">
      <c r="P611" s="37" t="e">
        <f t="shared" si="166"/>
        <v>#REF!</v>
      </c>
    </row>
    <row r="612" spans="16:16">
      <c r="P612" s="39"/>
    </row>
  </sheetData>
  <mergeCells count="3">
    <mergeCell ref="A2:H2"/>
    <mergeCell ref="J2:Q2"/>
    <mergeCell ref="A563:B563"/>
  </mergeCells>
  <phoneticPr fontId="6" type="noConversion"/>
  <printOptions horizontalCentered="1"/>
  <pageMargins left="0.31496062992125984" right="0.15748031496062992" top="0.62992125984251968" bottom="0.55118110236220474" header="0.31496062992125984" footer="0.27559055118110237"/>
  <pageSetup paperSize="9" scale="78" orientation="portrait" horizontalDpi="4294967295" verticalDpi="4294967295" r:id="rId1"/>
  <headerFooter>
    <oddFooter>&amp;C&amp;P / &amp;N</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
  <dimension ref="A1:O276"/>
  <sheetViews>
    <sheetView view="pageBreakPreview" zoomScale="85" zoomScaleNormal="85" zoomScaleSheetLayoutView="85" workbookViewId="0">
      <pane ySplit="2" topLeftCell="A22" activePane="bottomLeft" state="frozen"/>
      <selection pane="bottomLeft" activeCell="E39" sqref="E39"/>
    </sheetView>
  </sheetViews>
  <sheetFormatPr defaultColWidth="9" defaultRowHeight="16.5"/>
  <cols>
    <col min="1" max="2" width="8.75" style="22" customWidth="1"/>
    <col min="3" max="3" width="21" style="22" bestFit="1" customWidth="1"/>
    <col min="4" max="4" width="32.75" style="22" customWidth="1"/>
    <col min="5" max="5" width="30.875" style="577" customWidth="1"/>
    <col min="6" max="6" width="20.625" style="577" customWidth="1"/>
    <col min="7" max="7" width="17.25" style="577" customWidth="1"/>
    <col min="8" max="8" width="26" style="577" customWidth="1"/>
    <col min="9" max="9" width="6.5" style="22" customWidth="1"/>
    <col min="10" max="12" width="9.75" style="866" customWidth="1"/>
    <col min="13" max="13" width="9.75" style="866" hidden="1" customWidth="1"/>
    <col min="14" max="14" width="9.75" style="866" customWidth="1"/>
    <col min="15" max="15" width="40.125" style="22" customWidth="1"/>
    <col min="16" max="16384" width="9" style="22"/>
  </cols>
  <sheetData>
    <row r="1" spans="1:15" s="117" customFormat="1" ht="38.25">
      <c r="A1" s="1883" t="s">
        <v>2622</v>
      </c>
      <c r="B1" s="1883"/>
      <c r="C1" s="1883"/>
      <c r="D1" s="1883"/>
      <c r="E1" s="1883"/>
      <c r="F1" s="1883"/>
      <c r="G1" s="1883"/>
      <c r="H1" s="1883"/>
      <c r="I1" s="1883"/>
      <c r="J1" s="1883"/>
      <c r="K1" s="1883"/>
      <c r="L1" s="1883"/>
      <c r="M1" s="1883"/>
      <c r="N1" s="1883"/>
      <c r="O1" s="1883"/>
    </row>
    <row r="2" spans="1:15" s="117" customFormat="1" ht="27" customHeight="1">
      <c r="A2" s="354"/>
      <c r="B2" s="354"/>
      <c r="C2" s="354"/>
      <c r="D2" s="354"/>
      <c r="E2" s="554"/>
      <c r="F2" s="554"/>
      <c r="G2" s="554"/>
      <c r="H2" s="554"/>
      <c r="I2" s="354"/>
      <c r="J2" s="855"/>
      <c r="K2" s="855"/>
      <c r="L2" s="855"/>
      <c r="M2" s="855"/>
      <c r="N2" s="855"/>
      <c r="O2" s="354"/>
    </row>
    <row r="3" spans="1:15" s="119" customFormat="1" ht="21" thickBot="1">
      <c r="A3" s="132" t="s">
        <v>2632</v>
      </c>
      <c r="B3" s="132"/>
      <c r="C3" s="118"/>
      <c r="E3" s="555"/>
      <c r="F3" s="555"/>
      <c r="G3" s="555"/>
      <c r="H3" s="555"/>
      <c r="J3" s="866"/>
      <c r="K3" s="866"/>
      <c r="L3" s="866"/>
      <c r="M3" s="866"/>
      <c r="N3" s="866"/>
    </row>
    <row r="4" spans="1:15" s="119" customFormat="1" ht="12.75" customHeight="1">
      <c r="A4" s="1879" t="s">
        <v>140</v>
      </c>
      <c r="B4" s="1885" t="s">
        <v>952</v>
      </c>
      <c r="C4" s="1885" t="s">
        <v>141</v>
      </c>
      <c r="D4" s="1885" t="s">
        <v>142</v>
      </c>
      <c r="E4" s="1888" t="s">
        <v>143</v>
      </c>
      <c r="F4" s="1903" t="s">
        <v>144</v>
      </c>
      <c r="G4" s="1904"/>
      <c r="H4" s="1888" t="s">
        <v>145</v>
      </c>
      <c r="I4" s="1891" t="s">
        <v>146</v>
      </c>
      <c r="J4" s="1894" t="s">
        <v>147</v>
      </c>
      <c r="K4" s="1895"/>
      <c r="L4" s="1895"/>
      <c r="M4" s="1895"/>
      <c r="N4" s="1896"/>
      <c r="O4" s="1900" t="s">
        <v>137</v>
      </c>
    </row>
    <row r="5" spans="1:15" s="119" customFormat="1" ht="12.75" customHeight="1">
      <c r="A5" s="1884"/>
      <c r="B5" s="1886"/>
      <c r="C5" s="1886"/>
      <c r="D5" s="1886"/>
      <c r="E5" s="1889"/>
      <c r="F5" s="1905"/>
      <c r="G5" s="1906"/>
      <c r="H5" s="1889"/>
      <c r="I5" s="1892"/>
      <c r="J5" s="1897"/>
      <c r="K5" s="1898"/>
      <c r="L5" s="1898"/>
      <c r="M5" s="1898"/>
      <c r="N5" s="1899"/>
      <c r="O5" s="1901"/>
    </row>
    <row r="6" spans="1:15" s="119" customFormat="1" ht="24.95" customHeight="1" thickBot="1">
      <c r="A6" s="1880"/>
      <c r="B6" s="1887"/>
      <c r="C6" s="1887"/>
      <c r="D6" s="1887"/>
      <c r="E6" s="1890"/>
      <c r="F6" s="388" t="s">
        <v>148</v>
      </c>
      <c r="G6" s="388" t="s">
        <v>149</v>
      </c>
      <c r="H6" s="1890"/>
      <c r="I6" s="1893"/>
      <c r="J6" s="856" t="s">
        <v>2635</v>
      </c>
      <c r="K6" s="857" t="s">
        <v>2637</v>
      </c>
      <c r="L6" s="857" t="s">
        <v>2639</v>
      </c>
      <c r="M6" s="858"/>
      <c r="N6" s="1380" t="s">
        <v>150</v>
      </c>
      <c r="O6" s="1902"/>
    </row>
    <row r="7" spans="1:15" s="121" customFormat="1" ht="24.75" customHeight="1">
      <c r="A7" s="1864" t="s">
        <v>151</v>
      </c>
      <c r="B7" s="424">
        <v>126546</v>
      </c>
      <c r="C7" s="178" t="s">
        <v>967</v>
      </c>
      <c r="D7" s="178" t="s">
        <v>960</v>
      </c>
      <c r="E7" s="556" t="s">
        <v>968</v>
      </c>
      <c r="F7" s="556"/>
      <c r="G7" s="556"/>
      <c r="H7" s="557" t="s">
        <v>152</v>
      </c>
      <c r="I7" s="707" t="s">
        <v>46</v>
      </c>
      <c r="J7" s="859">
        <v>1</v>
      </c>
      <c r="K7" s="3">
        <v>1</v>
      </c>
      <c r="L7" s="3">
        <v>1</v>
      </c>
      <c r="M7" s="394"/>
      <c r="N7" s="1370">
        <f>SUM(J7:M7)</f>
        <v>3</v>
      </c>
      <c r="O7" s="709"/>
    </row>
    <row r="8" spans="1:15" s="121" customFormat="1" ht="24.95" hidden="1" customHeight="1">
      <c r="A8" s="1865"/>
      <c r="B8" s="424">
        <v>126547</v>
      </c>
      <c r="C8" s="178" t="s">
        <v>970</v>
      </c>
      <c r="D8" s="178" t="s">
        <v>961</v>
      </c>
      <c r="E8" s="556" t="s">
        <v>969</v>
      </c>
      <c r="F8" s="556"/>
      <c r="G8" s="556"/>
      <c r="H8" s="557" t="s">
        <v>992</v>
      </c>
      <c r="I8" s="707" t="s">
        <v>41</v>
      </c>
      <c r="J8" s="859"/>
      <c r="K8" s="3"/>
      <c r="L8" s="3"/>
      <c r="M8" s="394"/>
      <c r="N8" s="1370">
        <f>SUM(J8:M8)</f>
        <v>0</v>
      </c>
      <c r="O8" s="710"/>
    </row>
    <row r="9" spans="1:15" s="121" customFormat="1" ht="24.95" customHeight="1">
      <c r="A9" s="1865"/>
      <c r="B9" s="424">
        <v>126548</v>
      </c>
      <c r="C9" s="178" t="s">
        <v>1107</v>
      </c>
      <c r="D9" s="178" t="s">
        <v>974</v>
      </c>
      <c r="E9" s="178" t="s">
        <v>1153</v>
      </c>
      <c r="F9" s="556"/>
      <c r="G9" s="556"/>
      <c r="H9" s="557" t="s">
        <v>993</v>
      </c>
      <c r="I9" s="707" t="s">
        <v>41</v>
      </c>
      <c r="J9" s="1675"/>
      <c r="K9" s="394">
        <v>2</v>
      </c>
      <c r="L9" s="3">
        <v>2</v>
      </c>
      <c r="M9" s="394"/>
      <c r="N9" s="1370">
        <f t="shared" ref="N9:N10" si="0">SUM(J9:M9)</f>
        <v>4</v>
      </c>
      <c r="O9" s="710" t="s">
        <v>329</v>
      </c>
    </row>
    <row r="10" spans="1:15" s="121" customFormat="1" ht="24.95" hidden="1" customHeight="1">
      <c r="A10" s="1865"/>
      <c r="B10" s="424">
        <v>126549</v>
      </c>
      <c r="C10" s="178" t="s">
        <v>971</v>
      </c>
      <c r="D10" s="178" t="s">
        <v>973</v>
      </c>
      <c r="E10" s="178" t="s">
        <v>1154</v>
      </c>
      <c r="F10" s="556"/>
      <c r="G10" s="556"/>
      <c r="H10" s="557" t="s">
        <v>993</v>
      </c>
      <c r="I10" s="707" t="s">
        <v>340</v>
      </c>
      <c r="J10" s="1675"/>
      <c r="K10" s="394"/>
      <c r="L10" s="3"/>
      <c r="M10" s="394"/>
      <c r="N10" s="1370">
        <f t="shared" si="0"/>
        <v>0</v>
      </c>
      <c r="O10" s="710" t="s">
        <v>329</v>
      </c>
    </row>
    <row r="11" spans="1:15" s="121" customFormat="1" ht="24.95" customHeight="1">
      <c r="A11" s="1865"/>
      <c r="B11" s="424">
        <v>126550</v>
      </c>
      <c r="C11" s="178" t="s">
        <v>972</v>
      </c>
      <c r="D11" s="178" t="s">
        <v>1693</v>
      </c>
      <c r="E11" s="178" t="s">
        <v>1155</v>
      </c>
      <c r="F11" s="556"/>
      <c r="G11" s="556"/>
      <c r="H11" s="557" t="s">
        <v>993</v>
      </c>
      <c r="I11" s="707" t="s">
        <v>41</v>
      </c>
      <c r="J11" s="1675">
        <v>2</v>
      </c>
      <c r="K11" s="394"/>
      <c r="L11" s="3"/>
      <c r="M11" s="394"/>
      <c r="N11" s="1370">
        <f>SUM(J11:M11)</f>
        <v>2</v>
      </c>
      <c r="O11" s="710" t="s">
        <v>329</v>
      </c>
    </row>
    <row r="12" spans="1:15" s="121" customFormat="1" ht="24.95" customHeight="1">
      <c r="A12" s="1865"/>
      <c r="B12" s="424">
        <v>126551</v>
      </c>
      <c r="C12" s="178" t="s">
        <v>975</v>
      </c>
      <c r="D12" s="178" t="s">
        <v>953</v>
      </c>
      <c r="E12" s="178" t="s">
        <v>1156</v>
      </c>
      <c r="F12" s="556"/>
      <c r="G12" s="556"/>
      <c r="H12" s="557" t="s">
        <v>1087</v>
      </c>
      <c r="I12" s="707" t="s">
        <v>41</v>
      </c>
      <c r="J12" s="1675">
        <v>1</v>
      </c>
      <c r="K12" s="394">
        <v>1</v>
      </c>
      <c r="L12" s="3">
        <v>1</v>
      </c>
      <c r="M12" s="394"/>
      <c r="N12" s="1370">
        <f t="shared" ref="N12:N77" si="1">SUM(J12:M12)</f>
        <v>3</v>
      </c>
      <c r="O12" s="710"/>
    </row>
    <row r="13" spans="1:15" s="121" customFormat="1" ht="24.95" customHeight="1">
      <c r="A13" s="1865"/>
      <c r="B13" s="424">
        <v>126552</v>
      </c>
      <c r="C13" s="178" t="s">
        <v>976</v>
      </c>
      <c r="D13" s="178" t="s">
        <v>954</v>
      </c>
      <c r="E13" s="178" t="s">
        <v>1157</v>
      </c>
      <c r="F13" s="556"/>
      <c r="G13" s="2"/>
      <c r="H13" s="557" t="s">
        <v>994</v>
      </c>
      <c r="I13" s="707" t="s">
        <v>41</v>
      </c>
      <c r="J13" s="1675">
        <v>2</v>
      </c>
      <c r="K13" s="394">
        <v>1</v>
      </c>
      <c r="L13" s="3"/>
      <c r="M13" s="394"/>
      <c r="N13" s="1370">
        <f t="shared" si="1"/>
        <v>3</v>
      </c>
      <c r="O13" s="710"/>
    </row>
    <row r="14" spans="1:15" s="121" customFormat="1" ht="10.5" hidden="1" customHeight="1">
      <c r="A14" s="1865"/>
      <c r="B14" s="424">
        <v>126553</v>
      </c>
      <c r="C14" s="178" t="s">
        <v>977</v>
      </c>
      <c r="D14" s="178" t="s">
        <v>955</v>
      </c>
      <c r="E14" s="178" t="s">
        <v>1158</v>
      </c>
      <c r="F14" s="556"/>
      <c r="G14" s="556"/>
      <c r="H14" s="557" t="s">
        <v>1160</v>
      </c>
      <c r="I14" s="707" t="s">
        <v>41</v>
      </c>
      <c r="J14" s="1675"/>
      <c r="K14" s="394"/>
      <c r="L14" s="3"/>
      <c r="M14" s="394"/>
      <c r="N14" s="1370">
        <f t="shared" si="1"/>
        <v>0</v>
      </c>
      <c r="O14" s="710"/>
    </row>
    <row r="15" spans="1:15" s="121" customFormat="1" ht="13.5" hidden="1" customHeight="1">
      <c r="A15" s="1865"/>
      <c r="B15" s="424">
        <v>126554</v>
      </c>
      <c r="C15" s="178" t="s">
        <v>978</v>
      </c>
      <c r="D15" s="178" t="s">
        <v>956</v>
      </c>
      <c r="E15" s="178" t="s">
        <v>1159</v>
      </c>
      <c r="F15" s="556"/>
      <c r="G15" s="556"/>
      <c r="H15" s="557" t="s">
        <v>995</v>
      </c>
      <c r="I15" s="707" t="s">
        <v>41</v>
      </c>
      <c r="J15" s="1675"/>
      <c r="K15" s="394"/>
      <c r="L15" s="3"/>
      <c r="M15" s="394"/>
      <c r="N15" s="1370">
        <f t="shared" si="1"/>
        <v>0</v>
      </c>
      <c r="O15" s="710"/>
    </row>
    <row r="16" spans="1:15" s="121" customFormat="1" ht="15" hidden="1" customHeight="1">
      <c r="A16" s="1865"/>
      <c r="B16" s="424">
        <v>127955</v>
      </c>
      <c r="C16" s="178" t="s">
        <v>1646</v>
      </c>
      <c r="D16" s="178" t="s">
        <v>1642</v>
      </c>
      <c r="E16" s="178" t="s">
        <v>1643</v>
      </c>
      <c r="F16" s="556"/>
      <c r="G16" s="556"/>
      <c r="H16" s="557" t="s">
        <v>1644</v>
      </c>
      <c r="I16" s="707" t="s">
        <v>1645</v>
      </c>
      <c r="J16" s="1675"/>
      <c r="K16" s="394"/>
      <c r="L16" s="3"/>
      <c r="M16" s="394"/>
      <c r="N16" s="1370">
        <f t="shared" si="1"/>
        <v>0</v>
      </c>
      <c r="O16" s="710"/>
    </row>
    <row r="17" spans="1:15" s="121" customFormat="1" ht="15.75" hidden="1" customHeight="1">
      <c r="A17" s="1865"/>
      <c r="B17" s="424">
        <v>126555</v>
      </c>
      <c r="C17" s="178" t="s">
        <v>981</v>
      </c>
      <c r="D17" s="178" t="s">
        <v>979</v>
      </c>
      <c r="E17" s="178" t="s">
        <v>984</v>
      </c>
      <c r="F17" s="556"/>
      <c r="G17" s="556"/>
      <c r="H17" s="557" t="s">
        <v>996</v>
      </c>
      <c r="I17" s="707" t="s">
        <v>41</v>
      </c>
      <c r="J17" s="1675"/>
      <c r="K17" s="394"/>
      <c r="L17" s="3"/>
      <c r="M17" s="394"/>
      <c r="N17" s="1370">
        <f t="shared" si="1"/>
        <v>0</v>
      </c>
      <c r="O17" s="710" t="s">
        <v>329</v>
      </c>
    </row>
    <row r="18" spans="1:15" s="121" customFormat="1" ht="24.95" hidden="1" customHeight="1">
      <c r="A18" s="1865"/>
      <c r="B18" s="424">
        <v>126556</v>
      </c>
      <c r="C18" s="178" t="s">
        <v>982</v>
      </c>
      <c r="D18" s="178" t="s">
        <v>980</v>
      </c>
      <c r="E18" s="178" t="s">
        <v>3176</v>
      </c>
      <c r="F18" s="556"/>
      <c r="G18" s="556"/>
      <c r="H18" s="557" t="s">
        <v>996</v>
      </c>
      <c r="I18" s="707" t="s">
        <v>41</v>
      </c>
      <c r="J18" s="1675"/>
      <c r="K18" s="394"/>
      <c r="L18" s="3"/>
      <c r="M18" s="394"/>
      <c r="N18" s="1370">
        <f t="shared" si="1"/>
        <v>0</v>
      </c>
      <c r="O18" s="710" t="s">
        <v>329</v>
      </c>
    </row>
    <row r="19" spans="1:15" s="121" customFormat="1" ht="24.75" customHeight="1">
      <c r="A19" s="1865"/>
      <c r="B19" s="424">
        <v>126557</v>
      </c>
      <c r="C19" s="178" t="s">
        <v>983</v>
      </c>
      <c r="D19" s="178" t="s">
        <v>1694</v>
      </c>
      <c r="E19" s="178" t="s">
        <v>985</v>
      </c>
      <c r="F19" s="556"/>
      <c r="G19" s="556"/>
      <c r="H19" s="557" t="s">
        <v>996</v>
      </c>
      <c r="I19" s="707" t="s">
        <v>41</v>
      </c>
      <c r="J19" s="1675">
        <v>1</v>
      </c>
      <c r="K19" s="394"/>
      <c r="L19" s="3">
        <v>1</v>
      </c>
      <c r="M19" s="394"/>
      <c r="N19" s="1370">
        <f t="shared" si="1"/>
        <v>2</v>
      </c>
      <c r="O19" s="710" t="s">
        <v>329</v>
      </c>
    </row>
    <row r="20" spans="1:15" s="121" customFormat="1" ht="24.95" customHeight="1">
      <c r="A20" s="1865"/>
      <c r="B20" s="424">
        <v>126558</v>
      </c>
      <c r="C20" s="178" t="s">
        <v>986</v>
      </c>
      <c r="D20" s="178" t="s">
        <v>959</v>
      </c>
      <c r="E20" s="358" t="s">
        <v>987</v>
      </c>
      <c r="F20" s="358"/>
      <c r="G20" s="358"/>
      <c r="H20" s="557" t="s">
        <v>1239</v>
      </c>
      <c r="I20" s="640" t="s">
        <v>41</v>
      </c>
      <c r="J20" s="1675">
        <v>2</v>
      </c>
      <c r="K20" s="394">
        <v>1</v>
      </c>
      <c r="L20" s="3">
        <v>1</v>
      </c>
      <c r="M20" s="394"/>
      <c r="N20" s="1370">
        <f t="shared" si="1"/>
        <v>4</v>
      </c>
      <c r="O20" s="710"/>
    </row>
    <row r="21" spans="1:15" s="121" customFormat="1" ht="24.95" customHeight="1">
      <c r="A21" s="1865"/>
      <c r="B21" s="578">
        <v>120544</v>
      </c>
      <c r="C21" s="425" t="s">
        <v>1294</v>
      </c>
      <c r="D21" s="427" t="s">
        <v>1300</v>
      </c>
      <c r="E21" s="564" t="s">
        <v>1291</v>
      </c>
      <c r="F21" s="358"/>
      <c r="G21" s="358"/>
      <c r="H21" s="557" t="s">
        <v>1474</v>
      </c>
      <c r="I21" s="640" t="s">
        <v>41</v>
      </c>
      <c r="J21" s="1675">
        <f>J13/2+J17+J18+J19+J16/2</f>
        <v>2</v>
      </c>
      <c r="K21" s="394">
        <f>ROUNDUP(K13/2+K17+K18+K19+K16/2,0)</f>
        <v>1</v>
      </c>
      <c r="L21" s="3">
        <f t="shared" ref="L21" si="2">L13/2+L17+L18+L19+L16/2</f>
        <v>1</v>
      </c>
      <c r="M21" s="394"/>
      <c r="N21" s="1370">
        <f t="shared" si="1"/>
        <v>4</v>
      </c>
      <c r="O21" s="710" t="s">
        <v>1293</v>
      </c>
    </row>
    <row r="22" spans="1:15" s="121" customFormat="1" ht="24.95" customHeight="1">
      <c r="A22" s="1865"/>
      <c r="B22" s="578">
        <v>120669</v>
      </c>
      <c r="C22" s="427" t="s">
        <v>964</v>
      </c>
      <c r="D22" s="427" t="s">
        <v>965</v>
      </c>
      <c r="E22" s="564" t="s">
        <v>156</v>
      </c>
      <c r="F22" s="358"/>
      <c r="G22" s="358"/>
      <c r="H22" s="557" t="s">
        <v>1058</v>
      </c>
      <c r="I22" s="640" t="s">
        <v>41</v>
      </c>
      <c r="J22" s="1675">
        <f>J13/2+IF(J14=0,0,J14/J14)+J17+J18+J19+J27+J28+J16/2</f>
        <v>2</v>
      </c>
      <c r="K22" s="394">
        <f>ROUNDUP(K13/2+IF(K14=0,0,K14/K14)+K17+K18+K19+K27+K28+K16/2,0)</f>
        <v>1</v>
      </c>
      <c r="L22" s="3">
        <f>L13/2+IF(L14=0,0,L14/L14)+L17+L18+L19+L27+L28+L16/2</f>
        <v>1</v>
      </c>
      <c r="M22" s="394"/>
      <c r="N22" s="1370">
        <f t="shared" si="1"/>
        <v>4</v>
      </c>
      <c r="O22" s="710" t="s">
        <v>1295</v>
      </c>
    </row>
    <row r="23" spans="1:15" s="1358" customFormat="1" ht="24.95" hidden="1" customHeight="1">
      <c r="A23" s="1865"/>
      <c r="B23" s="1511">
        <v>109725</v>
      </c>
      <c r="C23" s="1512" t="s">
        <v>963</v>
      </c>
      <c r="D23" s="1512" t="s">
        <v>966</v>
      </c>
      <c r="E23" s="1354" t="s">
        <v>339</v>
      </c>
      <c r="F23" s="1354"/>
      <c r="G23" s="1354"/>
      <c r="H23" s="557" t="s">
        <v>1058</v>
      </c>
      <c r="I23" s="766" t="s">
        <v>41</v>
      </c>
      <c r="J23" s="877"/>
      <c r="K23" s="477"/>
      <c r="L23" s="1513"/>
      <c r="M23" s="1513"/>
      <c r="N23" s="1381">
        <f t="shared" si="1"/>
        <v>0</v>
      </c>
      <c r="O23" s="1514" t="s">
        <v>1295</v>
      </c>
    </row>
    <row r="24" spans="1:15" s="121" customFormat="1" ht="24.95" customHeight="1">
      <c r="A24" s="1865"/>
      <c r="B24" s="424">
        <v>127037</v>
      </c>
      <c r="C24" s="178" t="s">
        <v>988</v>
      </c>
      <c r="D24" s="178" t="s">
        <v>957</v>
      </c>
      <c r="E24" s="358" t="s">
        <v>990</v>
      </c>
      <c r="F24" s="358"/>
      <c r="G24" s="358"/>
      <c r="H24" s="557" t="s">
        <v>2418</v>
      </c>
      <c r="I24" s="640" t="s">
        <v>41</v>
      </c>
      <c r="J24" s="1675">
        <v>6</v>
      </c>
      <c r="K24" s="394">
        <v>1</v>
      </c>
      <c r="L24" s="3"/>
      <c r="M24" s="394"/>
      <c r="N24" s="1370">
        <f t="shared" si="1"/>
        <v>7</v>
      </c>
      <c r="O24" s="710" t="s">
        <v>3260</v>
      </c>
    </row>
    <row r="25" spans="1:15" s="121" customFormat="1" ht="24.95" customHeight="1">
      <c r="A25" s="1865"/>
      <c r="B25" s="578"/>
      <c r="C25" s="427" t="s">
        <v>3165</v>
      </c>
      <c r="D25" s="427" t="s">
        <v>3166</v>
      </c>
      <c r="E25" s="564" t="s">
        <v>3164</v>
      </c>
      <c r="F25" s="564"/>
      <c r="G25" s="564"/>
      <c r="H25" s="563" t="s">
        <v>3167</v>
      </c>
      <c r="I25" s="640" t="s">
        <v>3000</v>
      </c>
      <c r="J25" s="1675"/>
      <c r="K25" s="394">
        <v>2</v>
      </c>
      <c r="L25" s="3">
        <v>3</v>
      </c>
      <c r="M25" s="394"/>
      <c r="N25" s="1378">
        <f t="shared" si="1"/>
        <v>5</v>
      </c>
      <c r="O25" s="710" t="s">
        <v>3261</v>
      </c>
    </row>
    <row r="26" spans="1:15" s="121" customFormat="1" ht="24.95" hidden="1" customHeight="1">
      <c r="A26" s="1865"/>
      <c r="B26" s="424">
        <v>127038</v>
      </c>
      <c r="C26" s="178" t="s">
        <v>989</v>
      </c>
      <c r="D26" s="178" t="s">
        <v>958</v>
      </c>
      <c r="E26" s="1641" t="s">
        <v>991</v>
      </c>
      <c r="F26" s="556"/>
      <c r="G26" s="556"/>
      <c r="H26" s="557" t="s">
        <v>1080</v>
      </c>
      <c r="I26" s="707" t="s">
        <v>41</v>
      </c>
      <c r="J26" s="1636"/>
      <c r="K26" s="755"/>
      <c r="L26" s="755"/>
      <c r="M26" s="879"/>
      <c r="N26" s="1370">
        <f t="shared" si="1"/>
        <v>0</v>
      </c>
      <c r="O26" s="709"/>
    </row>
    <row r="27" spans="1:15" s="121" customFormat="1" ht="24.95" hidden="1" customHeight="1">
      <c r="A27" s="1865"/>
      <c r="B27" s="424">
        <v>124668</v>
      </c>
      <c r="C27" s="425" t="s">
        <v>330</v>
      </c>
      <c r="D27" s="158" t="s">
        <v>331</v>
      </c>
      <c r="E27" s="358" t="s">
        <v>328</v>
      </c>
      <c r="F27" s="358"/>
      <c r="G27" s="358"/>
      <c r="H27" s="557" t="s">
        <v>997</v>
      </c>
      <c r="I27" s="640" t="s">
        <v>41</v>
      </c>
      <c r="J27" s="859"/>
      <c r="K27" s="3"/>
      <c r="L27" s="3"/>
      <c r="M27" s="394"/>
      <c r="N27" s="1370">
        <f t="shared" si="1"/>
        <v>0</v>
      </c>
      <c r="O27" s="710" t="s">
        <v>1075</v>
      </c>
    </row>
    <row r="28" spans="1:15" s="121" customFormat="1" ht="24.95" hidden="1" customHeight="1">
      <c r="A28" s="1865"/>
      <c r="B28" s="755">
        <v>124669</v>
      </c>
      <c r="C28" s="425" t="s">
        <v>330</v>
      </c>
      <c r="D28" s="427" t="s">
        <v>445</v>
      </c>
      <c r="E28" s="564" t="s">
        <v>328</v>
      </c>
      <c r="F28" s="564"/>
      <c r="G28" s="564"/>
      <c r="H28" s="563" t="s">
        <v>998</v>
      </c>
      <c r="I28" s="640" t="s">
        <v>41</v>
      </c>
      <c r="J28" s="859"/>
      <c r="K28" s="3"/>
      <c r="L28" s="3"/>
      <c r="M28" s="394"/>
      <c r="N28" s="1370">
        <f t="shared" si="1"/>
        <v>0</v>
      </c>
      <c r="O28" s="710"/>
    </row>
    <row r="29" spans="1:15" s="121" customFormat="1" ht="24.95" hidden="1" customHeight="1">
      <c r="A29" s="1865"/>
      <c r="B29" s="424">
        <v>109726</v>
      </c>
      <c r="C29" s="178" t="s">
        <v>154</v>
      </c>
      <c r="D29" s="178" t="s">
        <v>155</v>
      </c>
      <c r="E29" s="559" t="s">
        <v>157</v>
      </c>
      <c r="F29" s="559"/>
      <c r="G29" s="559"/>
      <c r="H29" s="557" t="s">
        <v>999</v>
      </c>
      <c r="I29" s="708" t="s">
        <v>41</v>
      </c>
      <c r="J29" s="859"/>
      <c r="K29" s="3"/>
      <c r="L29" s="3"/>
      <c r="M29" s="394"/>
      <c r="N29" s="1370">
        <f t="shared" si="1"/>
        <v>0</v>
      </c>
      <c r="O29" s="710" t="s">
        <v>1076</v>
      </c>
    </row>
    <row r="30" spans="1:15" s="121" customFormat="1" ht="24.95" hidden="1" customHeight="1">
      <c r="A30" s="1865"/>
      <c r="B30" s="578">
        <v>120544</v>
      </c>
      <c r="C30" s="425" t="s">
        <v>1377</v>
      </c>
      <c r="D30" s="427" t="s">
        <v>1378</v>
      </c>
      <c r="E30" s="564" t="s">
        <v>328</v>
      </c>
      <c r="F30" s="564"/>
      <c r="G30" s="564"/>
      <c r="H30" s="563" t="s">
        <v>1473</v>
      </c>
      <c r="I30" s="640" t="s">
        <v>41</v>
      </c>
      <c r="J30" s="859"/>
      <c r="K30" s="3"/>
      <c r="L30" s="3"/>
      <c r="M30" s="394"/>
      <c r="N30" s="1370">
        <f t="shared" si="1"/>
        <v>0</v>
      </c>
      <c r="O30" s="710" t="s">
        <v>1292</v>
      </c>
    </row>
    <row r="31" spans="1:15" s="121" customFormat="1" ht="24.95" hidden="1" customHeight="1">
      <c r="A31" s="1865"/>
      <c r="B31" s="578">
        <v>120543</v>
      </c>
      <c r="C31" s="425" t="s">
        <v>1263</v>
      </c>
      <c r="D31" s="427" t="s">
        <v>3218</v>
      </c>
      <c r="E31" s="564" t="s">
        <v>1264</v>
      </c>
      <c r="F31" s="564"/>
      <c r="G31" s="564"/>
      <c r="H31" s="563" t="s">
        <v>994</v>
      </c>
      <c r="I31" s="640" t="s">
        <v>41</v>
      </c>
      <c r="J31" s="859"/>
      <c r="K31" s="3"/>
      <c r="L31" s="3"/>
      <c r="M31" s="394"/>
      <c r="N31" s="1370">
        <f t="shared" si="1"/>
        <v>0</v>
      </c>
      <c r="O31" s="710" t="s">
        <v>1265</v>
      </c>
    </row>
    <row r="32" spans="1:15" s="121" customFormat="1" ht="24.95" customHeight="1">
      <c r="A32" s="1866"/>
      <c r="B32" s="1638"/>
      <c r="C32" s="701" t="s">
        <v>3315</v>
      </c>
      <c r="D32" s="1639" t="s">
        <v>3370</v>
      </c>
      <c r="E32" s="1571" t="s">
        <v>3322</v>
      </c>
      <c r="F32" s="1571"/>
      <c r="G32" s="1571"/>
      <c r="H32" s="1640" t="s">
        <v>994</v>
      </c>
      <c r="I32" s="706" t="s">
        <v>41</v>
      </c>
      <c r="J32" s="863"/>
      <c r="K32" s="864">
        <v>1</v>
      </c>
      <c r="L32" s="864"/>
      <c r="M32" s="867"/>
      <c r="N32" s="1382">
        <f t="shared" ref="N32" si="3">SUM(J32:M32)</f>
        <v>1</v>
      </c>
      <c r="O32" s="711"/>
    </row>
    <row r="33" spans="1:15" s="121" customFormat="1" ht="24.95" customHeight="1">
      <c r="A33" s="1870" t="s">
        <v>159</v>
      </c>
      <c r="B33" s="680" t="s">
        <v>1584</v>
      </c>
      <c r="C33" s="238" t="s">
        <v>160</v>
      </c>
      <c r="D33" s="178" t="s">
        <v>257</v>
      </c>
      <c r="E33" s="556" t="s">
        <v>1061</v>
      </c>
      <c r="F33" s="556" t="s">
        <v>161</v>
      </c>
      <c r="G33" s="556" t="s">
        <v>1650</v>
      </c>
      <c r="H33" s="557" t="s">
        <v>162</v>
      </c>
      <c r="I33" s="707" t="s">
        <v>163</v>
      </c>
      <c r="J33" s="1636">
        <f>'10-3-1. 송광단말케이블LIST(동해안)'!$H4+'10-3-1. 송광단말케이블LIST(동해안)'!$H15</f>
        <v>26</v>
      </c>
      <c r="K33" s="755">
        <f>'10-3-2. 송광단말케이블LIST(동강)'!H4+'10-3-2. 송광단말케이블LIST(동강)'!H15</f>
        <v>8</v>
      </c>
      <c r="L33" s="755">
        <f>'10-3-3. 송광단말케이블LIST(신태백)'!H4+'10-3-3. 송광단말케이블LIST(신태백)'!H15</f>
        <v>18</v>
      </c>
      <c r="M33" s="1637"/>
      <c r="N33" s="1370">
        <f t="shared" si="1"/>
        <v>52</v>
      </c>
      <c r="O33" s="709"/>
    </row>
    <row r="34" spans="1:15" s="121" customFormat="1" ht="24.95" customHeight="1">
      <c r="A34" s="1865"/>
      <c r="B34" s="546"/>
      <c r="C34" s="425" t="s">
        <v>164</v>
      </c>
      <c r="D34" s="158" t="s">
        <v>257</v>
      </c>
      <c r="E34" s="358" t="s">
        <v>1062</v>
      </c>
      <c r="F34" s="358" t="s">
        <v>165</v>
      </c>
      <c r="G34" s="358" t="s">
        <v>605</v>
      </c>
      <c r="H34" s="558" t="s">
        <v>166</v>
      </c>
      <c r="I34" s="640" t="s">
        <v>163</v>
      </c>
      <c r="J34" s="859">
        <f>'10-3-1. 송광단말케이블LIST(동해안)'!$H5+'10-3-1. 송광단말케이블LIST(동해안)'!$H16</f>
        <v>26</v>
      </c>
      <c r="K34" s="3">
        <f>'10-3-2. 송광단말케이블LIST(동강)'!H5+'10-3-2. 송광단말케이블LIST(동강)'!H16</f>
        <v>8</v>
      </c>
      <c r="L34" s="3">
        <f>'10-3-3. 송광단말케이블LIST(신태백)'!H5+'10-3-3. 송광단말케이블LIST(신태백)'!H16</f>
        <v>18</v>
      </c>
      <c r="M34" s="477"/>
      <c r="N34" s="1370">
        <f t="shared" si="1"/>
        <v>52</v>
      </c>
      <c r="O34" s="710"/>
    </row>
    <row r="35" spans="1:15" s="121" customFormat="1" ht="24.95" customHeight="1">
      <c r="A35" s="1865"/>
      <c r="B35" s="546"/>
      <c r="C35" s="425" t="s">
        <v>164</v>
      </c>
      <c r="D35" s="158" t="s">
        <v>257</v>
      </c>
      <c r="E35" s="358" t="s">
        <v>167</v>
      </c>
      <c r="F35" s="358" t="s">
        <v>1021</v>
      </c>
      <c r="G35" s="358" t="s">
        <v>168</v>
      </c>
      <c r="H35" s="558" t="s">
        <v>166</v>
      </c>
      <c r="I35" s="640" t="s">
        <v>163</v>
      </c>
      <c r="J35" s="859">
        <f>'10-3-1. 송광단말케이블LIST(동해안)'!$H6+'10-3-1. 송광단말케이블LIST(동해안)'!$H17</f>
        <v>26</v>
      </c>
      <c r="K35" s="3">
        <f>'10-3-2. 송광단말케이블LIST(동강)'!H6+'10-3-2. 송광단말케이블LIST(동강)'!H17</f>
        <v>8</v>
      </c>
      <c r="L35" s="3">
        <f>'10-3-3. 송광단말케이블LIST(신태백)'!H6+'10-3-3. 송광단말케이블LIST(신태백)'!H17</f>
        <v>18</v>
      </c>
      <c r="M35" s="477"/>
      <c r="N35" s="1370">
        <f t="shared" si="1"/>
        <v>52</v>
      </c>
      <c r="O35" s="710"/>
    </row>
    <row r="36" spans="1:15" s="121" customFormat="1" ht="24.95" customHeight="1">
      <c r="A36" s="1865"/>
      <c r="B36" s="546"/>
      <c r="C36" s="239" t="s">
        <v>440</v>
      </c>
      <c r="D36" s="123" t="s">
        <v>1081</v>
      </c>
      <c r="E36" s="559" t="s">
        <v>441</v>
      </c>
      <c r="F36" s="559" t="s">
        <v>442</v>
      </c>
      <c r="G36" s="559" t="s">
        <v>442</v>
      </c>
      <c r="H36" s="560" t="s">
        <v>162</v>
      </c>
      <c r="I36" s="708" t="s">
        <v>46</v>
      </c>
      <c r="J36" s="859">
        <f>'10-3-1. 송광단말케이블LIST(동해안)'!H8/2+'10-3-1. 송광단말케이블LIST(동해안)'!H19/2</f>
        <v>16</v>
      </c>
      <c r="K36" s="3">
        <f>'10-3-2. 송광단말케이블LIST(동강)'!H8/2+'10-3-2. 송광단말케이블LIST(동강)'!H19/2</f>
        <v>16</v>
      </c>
      <c r="L36" s="267">
        <f>'10-3-3. 송광단말케이블LIST(신태백)'!H8/2+'10-3-3. 송광단말케이블LIST(신태백)'!H19/2</f>
        <v>12</v>
      </c>
      <c r="M36" s="477"/>
      <c r="N36" s="1370">
        <f t="shared" si="1"/>
        <v>44</v>
      </c>
      <c r="O36" s="738"/>
    </row>
    <row r="37" spans="1:15" s="121" customFormat="1" ht="24.95" hidden="1" customHeight="1">
      <c r="A37" s="1865"/>
      <c r="B37" s="546"/>
      <c r="C37" s="239" t="s">
        <v>173</v>
      </c>
      <c r="D37" s="123" t="s">
        <v>1508</v>
      </c>
      <c r="E37" s="559" t="s">
        <v>1509</v>
      </c>
      <c r="F37" s="559" t="s">
        <v>1511</v>
      </c>
      <c r="G37" s="559" t="s">
        <v>1510</v>
      </c>
      <c r="H37" s="560" t="s">
        <v>162</v>
      </c>
      <c r="I37" s="708" t="s">
        <v>40</v>
      </c>
      <c r="J37" s="859"/>
      <c r="K37" s="3"/>
      <c r="L37" s="3"/>
      <c r="M37" s="477"/>
      <c r="N37" s="1370"/>
      <c r="O37" s="710"/>
    </row>
    <row r="38" spans="1:15" s="121" customFormat="1" ht="24.95" hidden="1" customHeight="1">
      <c r="A38" s="1865"/>
      <c r="B38" s="546"/>
      <c r="C38" s="239" t="s">
        <v>348</v>
      </c>
      <c r="D38" s="123" t="s">
        <v>443</v>
      </c>
      <c r="E38" s="559" t="s">
        <v>1488</v>
      </c>
      <c r="F38" s="559" t="s">
        <v>1515</v>
      </c>
      <c r="G38" s="559" t="s">
        <v>1516</v>
      </c>
      <c r="H38" s="560" t="s">
        <v>162</v>
      </c>
      <c r="I38" s="708" t="s">
        <v>40</v>
      </c>
      <c r="J38" s="859"/>
      <c r="K38" s="3"/>
      <c r="L38" s="3"/>
      <c r="M38" s="477"/>
      <c r="N38" s="1370"/>
      <c r="O38" s="710"/>
    </row>
    <row r="39" spans="1:15" s="121" customFormat="1" ht="24.95" customHeight="1">
      <c r="A39" s="1865"/>
      <c r="B39" s="546"/>
      <c r="C39" s="353" t="s">
        <v>173</v>
      </c>
      <c r="D39" s="158" t="s">
        <v>174</v>
      </c>
      <c r="E39" s="358" t="s">
        <v>175</v>
      </c>
      <c r="F39" s="358" t="s">
        <v>1002</v>
      </c>
      <c r="G39" s="358" t="s">
        <v>197</v>
      </c>
      <c r="H39" s="560" t="s">
        <v>162</v>
      </c>
      <c r="I39" s="640" t="s">
        <v>163</v>
      </c>
      <c r="J39" s="859">
        <f>'10-3-1. 송광단말케이블LIST(동해안)'!$H10+'10-3-1. 송광단말케이블LIST(동해안)'!$H21</f>
        <v>27</v>
      </c>
      <c r="K39" s="3">
        <f>'10-3-2. 송광단말케이블LIST(동강)'!H10+'10-3-2. 송광단말케이블LIST(동강)'!H21</f>
        <v>6</v>
      </c>
      <c r="L39" s="3">
        <f>'10-3-3. 송광단말케이블LIST(신태백)'!H10+'10-3-3. 송광단말케이블LIST(신태백)'!H21</f>
        <v>10</v>
      </c>
      <c r="M39" s="394"/>
      <c r="N39" s="1370">
        <f t="shared" si="1"/>
        <v>43</v>
      </c>
      <c r="O39" s="710"/>
    </row>
    <row r="40" spans="1:15" s="121" customFormat="1" ht="24.95" customHeight="1">
      <c r="A40" s="1865"/>
      <c r="B40" s="546"/>
      <c r="C40" s="353" t="s">
        <v>173</v>
      </c>
      <c r="D40" s="158" t="s">
        <v>174</v>
      </c>
      <c r="E40" s="358" t="s">
        <v>332</v>
      </c>
      <c r="F40" s="358" t="s">
        <v>1001</v>
      </c>
      <c r="G40" s="358" t="s">
        <v>1003</v>
      </c>
      <c r="H40" s="560" t="s">
        <v>162</v>
      </c>
      <c r="I40" s="640" t="s">
        <v>163</v>
      </c>
      <c r="J40" s="859">
        <f>'10-3-1. 송광단말케이블LIST(동해안)'!$H12+'10-3-1. 송광단말케이블LIST(동해안)'!$H23</f>
        <v>24</v>
      </c>
      <c r="K40" s="3">
        <f>'10-3-2. 송광단말케이블LIST(동강)'!H12+'10-3-2. 송광단말케이블LIST(동강)'!H23</f>
        <v>8</v>
      </c>
      <c r="L40" s="3">
        <f>'10-3-3. 송광단말케이블LIST(신태백)'!H12+'10-3-3. 송광단말케이블LIST(신태백)'!H23</f>
        <v>7</v>
      </c>
      <c r="M40" s="394"/>
      <c r="N40" s="1370">
        <f t="shared" si="1"/>
        <v>39</v>
      </c>
      <c r="O40" s="710"/>
    </row>
    <row r="41" spans="1:15" s="121" customFormat="1" ht="24.95" customHeight="1">
      <c r="A41" s="1865"/>
      <c r="B41" s="546"/>
      <c r="C41" s="353" t="s">
        <v>254</v>
      </c>
      <c r="D41" s="158" t="s">
        <v>256</v>
      </c>
      <c r="E41" s="358" t="s">
        <v>176</v>
      </c>
      <c r="F41" s="358" t="s">
        <v>1025</v>
      </c>
      <c r="G41" s="358" t="s">
        <v>177</v>
      </c>
      <c r="H41" s="560" t="s">
        <v>162</v>
      </c>
      <c r="I41" s="640" t="s">
        <v>40</v>
      </c>
      <c r="J41" s="859">
        <f>'10-3-1. 송광단말케이블LIST(동해안)'!$H9+'10-3-1. 송광단말케이블LIST(동해안)'!$H20</f>
        <v>16</v>
      </c>
      <c r="K41" s="3">
        <f>'10-3-2. 송광단말케이블LIST(동강)'!H9+'10-3-2. 송광단말케이블LIST(동강)'!H20</f>
        <v>16</v>
      </c>
      <c r="L41" s="3">
        <f>'10-3-3. 송광단말케이블LIST(신태백)'!H9+'10-3-3. 송광단말케이블LIST(신태백)'!H20</f>
        <v>12</v>
      </c>
      <c r="M41" s="394"/>
      <c r="N41" s="1370">
        <f t="shared" si="1"/>
        <v>44</v>
      </c>
      <c r="O41" s="710"/>
    </row>
    <row r="42" spans="1:15" s="121" customFormat="1" ht="24.95" hidden="1" customHeight="1">
      <c r="A42" s="1865"/>
      <c r="B42" s="546"/>
      <c r="C42" s="353" t="s">
        <v>254</v>
      </c>
      <c r="D42" s="158" t="s">
        <v>255</v>
      </c>
      <c r="E42" s="358" t="s">
        <v>176</v>
      </c>
      <c r="F42" s="358" t="s">
        <v>442</v>
      </c>
      <c r="G42" s="358" t="s">
        <v>442</v>
      </c>
      <c r="H42" s="560" t="s">
        <v>166</v>
      </c>
      <c r="I42" s="708" t="s">
        <v>40</v>
      </c>
      <c r="J42" s="859"/>
      <c r="K42" s="3"/>
      <c r="L42" s="3"/>
      <c r="M42" s="394"/>
      <c r="N42" s="1370">
        <f t="shared" si="1"/>
        <v>0</v>
      </c>
      <c r="O42" s="710"/>
    </row>
    <row r="43" spans="1:15" s="121" customFormat="1" ht="24.95" customHeight="1">
      <c r="A43" s="1865"/>
      <c r="B43" s="546"/>
      <c r="C43" s="353" t="s">
        <v>254</v>
      </c>
      <c r="D43" s="158" t="s">
        <v>255</v>
      </c>
      <c r="E43" s="358" t="s">
        <v>349</v>
      </c>
      <c r="F43" s="358" t="s">
        <v>1020</v>
      </c>
      <c r="G43" s="358" t="s">
        <v>350</v>
      </c>
      <c r="H43" s="560" t="s">
        <v>166</v>
      </c>
      <c r="I43" s="708" t="s">
        <v>40</v>
      </c>
      <c r="J43" s="859">
        <f>'10-3-1. 송광단말케이블LIST(동해안)'!$H13+'10-3-1. 송광단말케이블LIST(동해안)'!$H24+'10-3-1. 송광단말케이블LIST(동해안)'!$H11+'10-3-1. 송광단말케이블LIST(동해안)'!$H22</f>
        <v>42</v>
      </c>
      <c r="K43" s="3">
        <f>'10-3-2. 송광단말케이블LIST(동강)'!H11+'10-3-2. 송광단말케이블LIST(동강)'!H13+'10-3-2. 송광단말케이블LIST(동강)'!H22+'10-3-2. 송광단말케이블LIST(동강)'!H24</f>
        <v>14</v>
      </c>
      <c r="L43" s="3">
        <f>'10-3-3. 송광단말케이블LIST(신태백)'!H11+'10-3-3. 송광단말케이블LIST(신태백)'!H13+'10-3-3. 송광단말케이블LIST(신태백)'!H22+'10-3-3. 송광단말케이블LIST(신태백)'!H24</f>
        <v>12</v>
      </c>
      <c r="M43" s="394"/>
      <c r="N43" s="1370">
        <f t="shared" si="1"/>
        <v>68</v>
      </c>
      <c r="O43" s="710"/>
    </row>
    <row r="44" spans="1:15" s="121" customFormat="1" ht="24.95" customHeight="1">
      <c r="A44" s="1865"/>
      <c r="B44" s="546"/>
      <c r="C44" s="425" t="s">
        <v>169</v>
      </c>
      <c r="D44" s="353" t="s">
        <v>1370</v>
      </c>
      <c r="E44" s="358" t="s">
        <v>1000</v>
      </c>
      <c r="F44" s="358" t="s">
        <v>170</v>
      </c>
      <c r="G44" s="358" t="s">
        <v>171</v>
      </c>
      <c r="H44" s="558" t="s">
        <v>162</v>
      </c>
      <c r="I44" s="640" t="s">
        <v>40</v>
      </c>
      <c r="J44" s="859">
        <f>'10-3-1. 송광단말케이블LIST(동해안)'!$H7+'10-3-1. 송광단말케이블LIST(동해안)'!$H18</f>
        <v>6</v>
      </c>
      <c r="K44" s="3">
        <f>'10-3-2. 송광단말케이블LIST(동강)'!H7+'10-3-2. 송광단말케이블LIST(동강)'!H18</f>
        <v>3</v>
      </c>
      <c r="L44" s="3">
        <f>'10-3-3. 송광단말케이블LIST(신태백)'!H7+'10-3-3. 송광단말케이블LIST(신태백)'!H18</f>
        <v>6</v>
      </c>
      <c r="M44" s="477"/>
      <c r="N44" s="1370">
        <f t="shared" ref="N44" si="4">SUM(J44:M44)</f>
        <v>15</v>
      </c>
      <c r="O44" s="710"/>
    </row>
    <row r="45" spans="1:15" s="121" customFormat="1" ht="24.75" hidden="1" customHeight="1">
      <c r="A45" s="1865"/>
      <c r="B45" s="424"/>
      <c r="C45" s="178" t="s">
        <v>962</v>
      </c>
      <c r="D45" s="178" t="s">
        <v>1227</v>
      </c>
      <c r="E45" s="358" t="s">
        <v>1243</v>
      </c>
      <c r="F45" s="358"/>
      <c r="G45" s="559"/>
      <c r="H45" s="558" t="s">
        <v>1244</v>
      </c>
      <c r="I45" s="640" t="s">
        <v>11</v>
      </c>
      <c r="J45" s="859"/>
      <c r="K45" s="3"/>
      <c r="L45" s="3"/>
      <c r="M45" s="477"/>
      <c r="N45" s="1370">
        <f t="shared" si="1"/>
        <v>0</v>
      </c>
      <c r="O45" s="710"/>
    </row>
    <row r="46" spans="1:15" s="121" customFormat="1" ht="24.95" hidden="1" customHeight="1">
      <c r="A46" s="1865"/>
      <c r="B46" s="546"/>
      <c r="C46" s="426" t="s">
        <v>1082</v>
      </c>
      <c r="D46" s="427" t="s">
        <v>1086</v>
      </c>
      <c r="E46" s="564" t="s">
        <v>1040</v>
      </c>
      <c r="F46" s="647"/>
      <c r="G46" s="648"/>
      <c r="H46" s="560" t="s">
        <v>1174</v>
      </c>
      <c r="I46" s="640" t="s">
        <v>46</v>
      </c>
      <c r="J46" s="859"/>
      <c r="K46" s="3"/>
      <c r="L46" s="3"/>
      <c r="M46" s="477"/>
      <c r="N46" s="1370">
        <f t="shared" si="1"/>
        <v>0</v>
      </c>
      <c r="O46" s="710"/>
    </row>
    <row r="47" spans="1:15" s="121" customFormat="1" ht="24.95" hidden="1" customHeight="1">
      <c r="A47" s="1865"/>
      <c r="B47" s="546"/>
      <c r="C47" s="426" t="s">
        <v>1043</v>
      </c>
      <c r="D47" s="427" t="s">
        <v>1146</v>
      </c>
      <c r="E47" s="564" t="s">
        <v>1124</v>
      </c>
      <c r="F47" s="647" t="s">
        <v>1041</v>
      </c>
      <c r="G47" s="648" t="s">
        <v>1042</v>
      </c>
      <c r="H47" s="560" t="s">
        <v>166</v>
      </c>
      <c r="I47" s="640" t="s">
        <v>46</v>
      </c>
      <c r="J47" s="859"/>
      <c r="K47" s="765"/>
      <c r="L47" s="765"/>
      <c r="M47" s="868"/>
      <c r="N47" s="1370">
        <f t="shared" si="1"/>
        <v>0</v>
      </c>
      <c r="O47" s="710"/>
    </row>
    <row r="48" spans="1:15" s="121" customFormat="1" ht="24.75" customHeight="1">
      <c r="A48" s="1865"/>
      <c r="B48" s="546"/>
      <c r="C48" s="353" t="s">
        <v>179</v>
      </c>
      <c r="D48" s="158" t="s">
        <v>323</v>
      </c>
      <c r="E48" s="358" t="s">
        <v>180</v>
      </c>
      <c r="F48" s="647" t="s">
        <v>333</v>
      </c>
      <c r="G48" s="651"/>
      <c r="H48" s="558" t="s">
        <v>1022</v>
      </c>
      <c r="I48" s="640" t="s">
        <v>178</v>
      </c>
      <c r="J48" s="859">
        <f>J9+J10+J11+J17*0+J18*0+J19*2+J27*2+J28*2</f>
        <v>4</v>
      </c>
      <c r="K48" s="765">
        <f>K9+K10+K11+K17*0+K18*0+K19*2+K27*2+K28*2</f>
        <v>2</v>
      </c>
      <c r="L48" s="765">
        <f>L9+L10+L11+L17*0+L18*0+L19*2+L27*2+L28*2</f>
        <v>4</v>
      </c>
      <c r="M48" s="868"/>
      <c r="N48" s="1370">
        <f t="shared" si="1"/>
        <v>10</v>
      </c>
      <c r="O48" s="710"/>
    </row>
    <row r="49" spans="1:15" s="121" customFormat="1" ht="24.95" hidden="1" customHeight="1">
      <c r="A49" s="1865"/>
      <c r="B49" s="546"/>
      <c r="C49" s="426" t="s">
        <v>258</v>
      </c>
      <c r="D49" s="427" t="s">
        <v>361</v>
      </c>
      <c r="E49" s="564" t="s">
        <v>181</v>
      </c>
      <c r="F49" s="647" t="s">
        <v>182</v>
      </c>
      <c r="G49" s="651"/>
      <c r="H49" s="563" t="s">
        <v>1023</v>
      </c>
      <c r="I49" s="640" t="s">
        <v>46</v>
      </c>
      <c r="J49" s="859"/>
      <c r="K49" s="3"/>
      <c r="L49" s="3"/>
      <c r="M49" s="477"/>
      <c r="N49" s="1370">
        <f t="shared" si="1"/>
        <v>0</v>
      </c>
      <c r="O49" s="710" t="s">
        <v>391</v>
      </c>
    </row>
    <row r="50" spans="1:15" s="121" customFormat="1" ht="24.95" hidden="1" customHeight="1">
      <c r="A50" s="1865"/>
      <c r="B50" s="546"/>
      <c r="C50" s="426" t="s">
        <v>366</v>
      </c>
      <c r="D50" s="427" t="s">
        <v>367</v>
      </c>
      <c r="E50" s="564" t="s">
        <v>369</v>
      </c>
      <c r="F50" s="647" t="s">
        <v>182</v>
      </c>
      <c r="G50" s="651"/>
      <c r="H50" s="563" t="s">
        <v>1023</v>
      </c>
      <c r="I50" s="640" t="s">
        <v>178</v>
      </c>
      <c r="J50" s="859"/>
      <c r="K50" s="3"/>
      <c r="L50" s="3"/>
      <c r="M50" s="477"/>
      <c r="N50" s="1370">
        <f t="shared" si="1"/>
        <v>0</v>
      </c>
      <c r="O50" s="710"/>
    </row>
    <row r="51" spans="1:15" s="121" customFormat="1" ht="24.95" hidden="1" customHeight="1">
      <c r="A51" s="1865"/>
      <c r="B51" s="691"/>
      <c r="C51" s="124" t="s">
        <v>259</v>
      </c>
      <c r="D51" s="123" t="s">
        <v>368</v>
      </c>
      <c r="E51" s="559" t="s">
        <v>181</v>
      </c>
      <c r="F51" s="692" t="s">
        <v>182</v>
      </c>
      <c r="G51" s="693"/>
      <c r="H51" s="560" t="s">
        <v>1024</v>
      </c>
      <c r="I51" s="708" t="s">
        <v>178</v>
      </c>
      <c r="J51" s="859"/>
      <c r="K51" s="3"/>
      <c r="L51" s="3"/>
      <c r="M51" s="477"/>
      <c r="N51" s="1370">
        <f t="shared" si="1"/>
        <v>0</v>
      </c>
      <c r="O51" s="712"/>
    </row>
    <row r="52" spans="1:15" s="121" customFormat="1" ht="24.95" hidden="1" customHeight="1">
      <c r="A52" s="1865"/>
      <c r="B52" s="702"/>
      <c r="C52" s="701" t="s">
        <v>1422</v>
      </c>
      <c r="D52" s="428" t="s">
        <v>1423</v>
      </c>
      <c r="E52" s="565" t="s">
        <v>1424</v>
      </c>
      <c r="F52" s="703" t="s">
        <v>1425</v>
      </c>
      <c r="G52" s="704"/>
      <c r="H52" s="566" t="s">
        <v>1426</v>
      </c>
      <c r="I52" s="706" t="s">
        <v>46</v>
      </c>
      <c r="J52" s="863"/>
      <c r="K52" s="864"/>
      <c r="L52" s="864"/>
      <c r="M52" s="869"/>
      <c r="N52" s="1379">
        <f t="shared" si="1"/>
        <v>0</v>
      </c>
      <c r="O52" s="711"/>
    </row>
    <row r="53" spans="1:15" s="121" customFormat="1" ht="24.95" hidden="1" customHeight="1">
      <c r="A53" s="1865"/>
      <c r="B53" s="680" t="s">
        <v>1583</v>
      </c>
      <c r="C53" s="238" t="s">
        <v>354</v>
      </c>
      <c r="D53" s="178" t="s">
        <v>900</v>
      </c>
      <c r="E53" s="556" t="s">
        <v>352</v>
      </c>
      <c r="F53" s="556" t="s">
        <v>1004</v>
      </c>
      <c r="G53" s="556" t="s">
        <v>353</v>
      </c>
      <c r="H53" s="557" t="s">
        <v>172</v>
      </c>
      <c r="I53" s="707" t="s">
        <v>163</v>
      </c>
      <c r="J53" s="870"/>
      <c r="K53" s="871"/>
      <c r="L53" s="871"/>
      <c r="M53" s="872"/>
      <c r="N53" s="1370">
        <f t="shared" si="1"/>
        <v>0</v>
      </c>
      <c r="O53" s="709"/>
    </row>
    <row r="54" spans="1:15" s="121" customFormat="1" ht="24.95" hidden="1" customHeight="1">
      <c r="A54" s="1865"/>
      <c r="B54" s="546"/>
      <c r="C54" s="425" t="s">
        <v>354</v>
      </c>
      <c r="D54" s="427" t="s">
        <v>899</v>
      </c>
      <c r="E54" s="564" t="s">
        <v>356</v>
      </c>
      <c r="F54" s="564" t="s">
        <v>357</v>
      </c>
      <c r="G54" s="564" t="s">
        <v>1008</v>
      </c>
      <c r="H54" s="563" t="s">
        <v>172</v>
      </c>
      <c r="I54" s="640" t="s">
        <v>444</v>
      </c>
      <c r="J54" s="873"/>
      <c r="K54" s="874"/>
      <c r="L54" s="874"/>
      <c r="M54" s="394"/>
      <c r="N54" s="1370">
        <f t="shared" si="1"/>
        <v>0</v>
      </c>
      <c r="O54" s="710"/>
    </row>
    <row r="55" spans="1:15" s="121" customFormat="1" ht="24.95" hidden="1" customHeight="1">
      <c r="A55" s="1865"/>
      <c r="B55" s="546"/>
      <c r="C55" s="238" t="s">
        <v>1427</v>
      </c>
      <c r="D55" s="178" t="s">
        <v>1428</v>
      </c>
      <c r="E55" s="556" t="s">
        <v>358</v>
      </c>
      <c r="F55" s="556" t="s">
        <v>1429</v>
      </c>
      <c r="G55" s="556" t="s">
        <v>1430</v>
      </c>
      <c r="H55" s="563" t="s">
        <v>162</v>
      </c>
      <c r="I55" s="640" t="s">
        <v>40</v>
      </c>
      <c r="J55" s="873"/>
      <c r="K55" s="874"/>
      <c r="L55" s="874"/>
      <c r="M55" s="394"/>
      <c r="N55" s="1370">
        <f t="shared" si="1"/>
        <v>0</v>
      </c>
      <c r="O55" s="709"/>
    </row>
    <row r="56" spans="1:15" s="121" customFormat="1" ht="24.95" hidden="1" customHeight="1">
      <c r="A56" s="1865"/>
      <c r="B56" s="546"/>
      <c r="C56" s="373" t="s">
        <v>877</v>
      </c>
      <c r="D56" s="178" t="s">
        <v>1434</v>
      </c>
      <c r="E56" s="556" t="s">
        <v>358</v>
      </c>
      <c r="F56" s="556" t="s">
        <v>1004</v>
      </c>
      <c r="G56" s="556" t="s">
        <v>359</v>
      </c>
      <c r="H56" s="557" t="s">
        <v>852</v>
      </c>
      <c r="I56" s="707" t="s">
        <v>40</v>
      </c>
      <c r="J56" s="873"/>
      <c r="K56" s="874"/>
      <c r="L56" s="874"/>
      <c r="M56" s="394"/>
      <c r="N56" s="1370">
        <f t="shared" si="1"/>
        <v>0</v>
      </c>
      <c r="O56" s="709" t="s">
        <v>1083</v>
      </c>
    </row>
    <row r="57" spans="1:15" s="121" customFormat="1" ht="24.95" hidden="1" customHeight="1">
      <c r="A57" s="1865"/>
      <c r="B57" s="546"/>
      <c r="C57" s="373" t="s">
        <v>877</v>
      </c>
      <c r="D57" s="178" t="s">
        <v>1449</v>
      </c>
      <c r="E57" s="556" t="s">
        <v>358</v>
      </c>
      <c r="F57" s="556" t="s">
        <v>1004</v>
      </c>
      <c r="G57" s="556" t="s">
        <v>359</v>
      </c>
      <c r="H57" s="557" t="s">
        <v>852</v>
      </c>
      <c r="I57" s="707" t="s">
        <v>885</v>
      </c>
      <c r="J57" s="873"/>
      <c r="K57" s="874"/>
      <c r="L57" s="874"/>
      <c r="M57" s="394"/>
      <c r="N57" s="1370">
        <f t="shared" si="1"/>
        <v>0</v>
      </c>
      <c r="O57" s="709" t="s">
        <v>1085</v>
      </c>
    </row>
    <row r="58" spans="1:15" s="121" customFormat="1" ht="24.95" hidden="1" customHeight="1">
      <c r="A58" s="1865"/>
      <c r="B58" s="546"/>
      <c r="C58" s="373" t="s">
        <v>877</v>
      </c>
      <c r="D58" s="178" t="s">
        <v>1451</v>
      </c>
      <c r="E58" s="556" t="s">
        <v>358</v>
      </c>
      <c r="F58" s="556" t="s">
        <v>1004</v>
      </c>
      <c r="G58" s="556" t="s">
        <v>359</v>
      </c>
      <c r="H58" s="557" t="s">
        <v>852</v>
      </c>
      <c r="I58" s="707" t="s">
        <v>1084</v>
      </c>
      <c r="J58" s="873"/>
      <c r="K58" s="874"/>
      <c r="L58" s="874"/>
      <c r="M58" s="394"/>
      <c r="N58" s="1370">
        <f t="shared" si="1"/>
        <v>0</v>
      </c>
      <c r="O58" s="709" t="s">
        <v>1085</v>
      </c>
    </row>
    <row r="59" spans="1:15" s="121" customFormat="1" ht="24.95" hidden="1" customHeight="1">
      <c r="A59" s="1865"/>
      <c r="B59" s="546"/>
      <c r="C59" s="373" t="s">
        <v>877</v>
      </c>
      <c r="D59" s="178" t="s">
        <v>1450</v>
      </c>
      <c r="E59" s="556" t="s">
        <v>358</v>
      </c>
      <c r="F59" s="556" t="s">
        <v>1004</v>
      </c>
      <c r="G59" s="556" t="s">
        <v>359</v>
      </c>
      <c r="H59" s="557" t="s">
        <v>852</v>
      </c>
      <c r="I59" s="707" t="s">
        <v>507</v>
      </c>
      <c r="J59" s="873"/>
      <c r="K59" s="874"/>
      <c r="L59" s="874"/>
      <c r="M59" s="394"/>
      <c r="N59" s="1370">
        <f t="shared" si="1"/>
        <v>0</v>
      </c>
      <c r="O59" s="709" t="s">
        <v>1085</v>
      </c>
    </row>
    <row r="60" spans="1:15" s="225" customFormat="1" ht="24.95" hidden="1" customHeight="1">
      <c r="A60" s="1865"/>
      <c r="B60" s="546"/>
      <c r="C60" s="373" t="s">
        <v>877</v>
      </c>
      <c r="D60" s="178" t="s">
        <v>1298</v>
      </c>
      <c r="E60" s="556" t="s">
        <v>358</v>
      </c>
      <c r="F60" s="556" t="s">
        <v>1004</v>
      </c>
      <c r="G60" s="556" t="s">
        <v>359</v>
      </c>
      <c r="H60" s="557" t="s">
        <v>852</v>
      </c>
      <c r="I60" s="707" t="s">
        <v>1084</v>
      </c>
      <c r="J60" s="875"/>
      <c r="K60" s="876"/>
      <c r="L60" s="876"/>
      <c r="M60" s="394"/>
      <c r="N60" s="1370">
        <f t="shared" si="1"/>
        <v>0</v>
      </c>
      <c r="O60" s="709" t="s">
        <v>1085</v>
      </c>
    </row>
    <row r="61" spans="1:15" s="225" customFormat="1" ht="24.95" hidden="1" customHeight="1">
      <c r="A61" s="1865"/>
      <c r="B61" s="546"/>
      <c r="C61" s="373" t="s">
        <v>877</v>
      </c>
      <c r="D61" s="178" t="s">
        <v>1400</v>
      </c>
      <c r="E61" s="556" t="s">
        <v>358</v>
      </c>
      <c r="F61" s="556" t="s">
        <v>1004</v>
      </c>
      <c r="G61" s="556" t="s">
        <v>359</v>
      </c>
      <c r="H61" s="557" t="s">
        <v>852</v>
      </c>
      <c r="I61" s="707" t="s">
        <v>885</v>
      </c>
      <c r="J61" s="875"/>
      <c r="K61" s="876"/>
      <c r="L61" s="876"/>
      <c r="M61" s="394"/>
      <c r="N61" s="1370">
        <f t="shared" si="1"/>
        <v>0</v>
      </c>
      <c r="O61" s="709" t="s">
        <v>1085</v>
      </c>
    </row>
    <row r="62" spans="1:15" s="225" customFormat="1" ht="24.95" hidden="1" customHeight="1">
      <c r="A62" s="1865"/>
      <c r="B62" s="546"/>
      <c r="C62" s="373" t="s">
        <v>877</v>
      </c>
      <c r="D62" s="178" t="s">
        <v>1299</v>
      </c>
      <c r="E62" s="556" t="s">
        <v>358</v>
      </c>
      <c r="F62" s="556" t="s">
        <v>1004</v>
      </c>
      <c r="G62" s="556" t="s">
        <v>359</v>
      </c>
      <c r="H62" s="557" t="s">
        <v>852</v>
      </c>
      <c r="I62" s="707" t="s">
        <v>1084</v>
      </c>
      <c r="J62" s="875"/>
      <c r="K62" s="876"/>
      <c r="L62" s="876"/>
      <c r="M62" s="394"/>
      <c r="N62" s="1370">
        <f t="shared" si="1"/>
        <v>0</v>
      </c>
      <c r="O62" s="709" t="s">
        <v>1085</v>
      </c>
    </row>
    <row r="63" spans="1:15" s="225" customFormat="1" ht="24.95" hidden="1" customHeight="1">
      <c r="A63" s="1865"/>
      <c r="B63" s="546"/>
      <c r="C63" s="373" t="s">
        <v>877</v>
      </c>
      <c r="D63" s="178" t="s">
        <v>1224</v>
      </c>
      <c r="E63" s="556" t="s">
        <v>358</v>
      </c>
      <c r="F63" s="556" t="s">
        <v>1004</v>
      </c>
      <c r="G63" s="556" t="s">
        <v>359</v>
      </c>
      <c r="H63" s="557" t="s">
        <v>852</v>
      </c>
      <c r="I63" s="707" t="s">
        <v>507</v>
      </c>
      <c r="J63" s="875"/>
      <c r="K63" s="876"/>
      <c r="L63" s="876"/>
      <c r="M63" s="394"/>
      <c r="N63" s="1370">
        <f t="shared" si="1"/>
        <v>0</v>
      </c>
      <c r="O63" s="709" t="s">
        <v>1085</v>
      </c>
    </row>
    <row r="64" spans="1:15" s="225" customFormat="1" ht="24.95" hidden="1" customHeight="1">
      <c r="A64" s="1865"/>
      <c r="B64" s="546"/>
      <c r="C64" s="373" t="s">
        <v>877</v>
      </c>
      <c r="D64" s="178" t="s">
        <v>1225</v>
      </c>
      <c r="E64" s="556" t="s">
        <v>358</v>
      </c>
      <c r="F64" s="556" t="s">
        <v>1004</v>
      </c>
      <c r="G64" s="556" t="s">
        <v>359</v>
      </c>
      <c r="H64" s="557" t="s">
        <v>852</v>
      </c>
      <c r="I64" s="707" t="s">
        <v>1084</v>
      </c>
      <c r="J64" s="875"/>
      <c r="K64" s="876"/>
      <c r="L64" s="876"/>
      <c r="M64" s="394"/>
      <c r="N64" s="1370">
        <f t="shared" si="1"/>
        <v>0</v>
      </c>
      <c r="O64" s="709" t="s">
        <v>1085</v>
      </c>
    </row>
    <row r="65" spans="1:15" s="225" customFormat="1" ht="24.95" hidden="1" customHeight="1">
      <c r="A65" s="1865"/>
      <c r="B65" s="546"/>
      <c r="C65" s="373" t="s">
        <v>877</v>
      </c>
      <c r="D65" s="178" t="s">
        <v>1226</v>
      </c>
      <c r="E65" s="556" t="s">
        <v>358</v>
      </c>
      <c r="F65" s="556" t="s">
        <v>1004</v>
      </c>
      <c r="G65" s="556" t="s">
        <v>359</v>
      </c>
      <c r="H65" s="557" t="s">
        <v>852</v>
      </c>
      <c r="I65" s="707" t="s">
        <v>507</v>
      </c>
      <c r="J65" s="875"/>
      <c r="K65" s="876"/>
      <c r="L65" s="876"/>
      <c r="M65" s="394"/>
      <c r="N65" s="1370">
        <f t="shared" si="1"/>
        <v>0</v>
      </c>
      <c r="O65" s="709" t="s">
        <v>1085</v>
      </c>
    </row>
    <row r="66" spans="1:15" s="225" customFormat="1" ht="24.95" hidden="1" customHeight="1">
      <c r="A66" s="1865"/>
      <c r="B66" s="546"/>
      <c r="C66" s="373" t="s">
        <v>877</v>
      </c>
      <c r="D66" s="178" t="s">
        <v>1109</v>
      </c>
      <c r="E66" s="556" t="s">
        <v>358</v>
      </c>
      <c r="F66" s="556" t="s">
        <v>1004</v>
      </c>
      <c r="G66" s="556" t="s">
        <v>359</v>
      </c>
      <c r="H66" s="557" t="s">
        <v>852</v>
      </c>
      <c r="I66" s="707" t="s">
        <v>1084</v>
      </c>
      <c r="J66" s="875"/>
      <c r="K66" s="876"/>
      <c r="L66" s="876"/>
      <c r="M66" s="394"/>
      <c r="N66" s="1370">
        <f t="shared" si="1"/>
        <v>0</v>
      </c>
      <c r="O66" s="709" t="s">
        <v>1085</v>
      </c>
    </row>
    <row r="67" spans="1:15" s="225" customFormat="1" ht="24.95" hidden="1" customHeight="1">
      <c r="A67" s="1865"/>
      <c r="B67" s="546"/>
      <c r="C67" s="373" t="s">
        <v>877</v>
      </c>
      <c r="D67" s="178" t="s">
        <v>1240</v>
      </c>
      <c r="E67" s="556" t="s">
        <v>358</v>
      </c>
      <c r="F67" s="556" t="s">
        <v>1004</v>
      </c>
      <c r="G67" s="556" t="s">
        <v>359</v>
      </c>
      <c r="H67" s="557" t="s">
        <v>852</v>
      </c>
      <c r="I67" s="707" t="s">
        <v>507</v>
      </c>
      <c r="J67" s="875"/>
      <c r="K67" s="876"/>
      <c r="L67" s="876"/>
      <c r="M67" s="394"/>
      <c r="N67" s="1370">
        <f t="shared" si="1"/>
        <v>0</v>
      </c>
      <c r="O67" s="709" t="s">
        <v>1085</v>
      </c>
    </row>
    <row r="68" spans="1:15" s="225" customFormat="1" ht="24.95" hidden="1" customHeight="1">
      <c r="A68" s="1865"/>
      <c r="B68" s="546"/>
      <c r="C68" s="373" t="s">
        <v>877</v>
      </c>
      <c r="D68" s="178" t="s">
        <v>1241</v>
      </c>
      <c r="E68" s="556" t="s">
        <v>358</v>
      </c>
      <c r="F68" s="556" t="s">
        <v>1004</v>
      </c>
      <c r="G68" s="556" t="s">
        <v>359</v>
      </c>
      <c r="H68" s="557" t="s">
        <v>852</v>
      </c>
      <c r="I68" s="707" t="s">
        <v>507</v>
      </c>
      <c r="J68" s="875"/>
      <c r="K68" s="876"/>
      <c r="L68" s="876"/>
      <c r="M68" s="394"/>
      <c r="N68" s="1370">
        <f t="shared" si="1"/>
        <v>0</v>
      </c>
      <c r="O68" s="709" t="s">
        <v>1085</v>
      </c>
    </row>
    <row r="69" spans="1:15" s="225" customFormat="1" ht="24.95" hidden="1" customHeight="1">
      <c r="A69" s="1865"/>
      <c r="B69" s="546"/>
      <c r="C69" s="373" t="s">
        <v>877</v>
      </c>
      <c r="D69" s="178" t="s">
        <v>1242</v>
      </c>
      <c r="E69" s="556" t="s">
        <v>358</v>
      </c>
      <c r="F69" s="556" t="s">
        <v>1004</v>
      </c>
      <c r="G69" s="556" t="s">
        <v>359</v>
      </c>
      <c r="H69" s="557" t="s">
        <v>852</v>
      </c>
      <c r="I69" s="707" t="s">
        <v>507</v>
      </c>
      <c r="J69" s="875"/>
      <c r="K69" s="876"/>
      <c r="L69" s="876"/>
      <c r="M69" s="394"/>
      <c r="N69" s="1370">
        <f t="shared" si="1"/>
        <v>0</v>
      </c>
      <c r="O69" s="709" t="s">
        <v>1085</v>
      </c>
    </row>
    <row r="70" spans="1:15" s="225" customFormat="1" ht="24.95" hidden="1" customHeight="1">
      <c r="A70" s="1865"/>
      <c r="B70" s="546"/>
      <c r="C70" s="373" t="s">
        <v>501</v>
      </c>
      <c r="D70" s="178" t="s">
        <v>256</v>
      </c>
      <c r="E70" s="556" t="s">
        <v>1433</v>
      </c>
      <c r="F70" s="556" t="s">
        <v>1431</v>
      </c>
      <c r="G70" s="556" t="s">
        <v>1432</v>
      </c>
      <c r="H70" s="557" t="s">
        <v>1721</v>
      </c>
      <c r="I70" s="707" t="s">
        <v>40</v>
      </c>
      <c r="J70" s="875"/>
      <c r="K70" s="876"/>
      <c r="L70" s="876"/>
      <c r="M70" s="394"/>
      <c r="N70" s="1370">
        <f t="shared" si="1"/>
        <v>0</v>
      </c>
      <c r="O70" s="709"/>
    </row>
    <row r="71" spans="1:15" s="225" customFormat="1" ht="24.95" hidden="1" customHeight="1">
      <c r="A71" s="1865"/>
      <c r="B71" s="546"/>
      <c r="C71" s="373" t="s">
        <v>1722</v>
      </c>
      <c r="D71" s="178" t="s">
        <v>1723</v>
      </c>
      <c r="E71" s="556" t="s">
        <v>1005</v>
      </c>
      <c r="F71" s="556" t="s">
        <v>1006</v>
      </c>
      <c r="G71" s="556" t="s">
        <v>1007</v>
      </c>
      <c r="H71" s="557" t="s">
        <v>1724</v>
      </c>
      <c r="I71" s="707" t="s">
        <v>40</v>
      </c>
      <c r="J71" s="875"/>
      <c r="K71" s="876"/>
      <c r="L71" s="876"/>
      <c r="M71" s="394"/>
      <c r="N71" s="1370">
        <f t="shared" si="1"/>
        <v>0</v>
      </c>
      <c r="O71" s="709"/>
    </row>
    <row r="72" spans="1:15" s="225" customFormat="1" ht="24.95" hidden="1" customHeight="1">
      <c r="A72" s="1865"/>
      <c r="B72" s="546"/>
      <c r="C72" s="373" t="s">
        <v>1064</v>
      </c>
      <c r="D72" s="178" t="s">
        <v>1725</v>
      </c>
      <c r="E72" s="556" t="s">
        <v>1726</v>
      </c>
      <c r="F72" s="556" t="s">
        <v>1727</v>
      </c>
      <c r="G72" s="556" t="s">
        <v>1728</v>
      </c>
      <c r="H72" s="557" t="s">
        <v>592</v>
      </c>
      <c r="I72" s="707" t="s">
        <v>40</v>
      </c>
      <c r="J72" s="875"/>
      <c r="K72" s="876"/>
      <c r="L72" s="876"/>
      <c r="M72" s="394"/>
      <c r="N72" s="1370">
        <f t="shared" si="1"/>
        <v>0</v>
      </c>
      <c r="O72" s="709"/>
    </row>
    <row r="73" spans="1:15" s="225" customFormat="1" ht="24.95" hidden="1" customHeight="1">
      <c r="A73" s="1865"/>
      <c r="B73" s="546"/>
      <c r="C73" s="373" t="s">
        <v>501</v>
      </c>
      <c r="D73" s="178" t="s">
        <v>255</v>
      </c>
      <c r="E73" s="556" t="s">
        <v>360</v>
      </c>
      <c r="F73" s="556" t="s">
        <v>1006</v>
      </c>
      <c r="G73" s="556" t="s">
        <v>1007</v>
      </c>
      <c r="H73" s="557" t="s">
        <v>1729</v>
      </c>
      <c r="I73" s="707" t="s">
        <v>40</v>
      </c>
      <c r="J73" s="875"/>
      <c r="K73" s="876"/>
      <c r="L73" s="876"/>
      <c r="M73" s="394"/>
      <c r="N73" s="1370">
        <f t="shared" si="1"/>
        <v>0</v>
      </c>
      <c r="O73" s="709"/>
    </row>
    <row r="74" spans="1:15" s="225" customFormat="1" ht="24.95" hidden="1" customHeight="1">
      <c r="A74" s="1865"/>
      <c r="B74" s="546"/>
      <c r="C74" s="373" t="s">
        <v>173</v>
      </c>
      <c r="D74" s="178" t="s">
        <v>516</v>
      </c>
      <c r="E74" s="556" t="s">
        <v>175</v>
      </c>
      <c r="F74" s="556" t="s">
        <v>1063</v>
      </c>
      <c r="G74" s="556" t="s">
        <v>197</v>
      </c>
      <c r="H74" s="557" t="s">
        <v>592</v>
      </c>
      <c r="I74" s="707" t="s">
        <v>40</v>
      </c>
      <c r="J74" s="875"/>
      <c r="K74" s="876"/>
      <c r="L74" s="876"/>
      <c r="M74" s="394"/>
      <c r="N74" s="1370">
        <f t="shared" si="1"/>
        <v>0</v>
      </c>
      <c r="O74" s="709"/>
    </row>
    <row r="75" spans="1:15" s="225" customFormat="1" ht="24.95" hidden="1" customHeight="1">
      <c r="A75" s="1865"/>
      <c r="B75" s="546"/>
      <c r="C75" s="373" t="s">
        <v>173</v>
      </c>
      <c r="D75" s="178" t="s">
        <v>516</v>
      </c>
      <c r="E75" s="556" t="s">
        <v>332</v>
      </c>
      <c r="F75" s="556" t="s">
        <v>1063</v>
      </c>
      <c r="G75" s="556" t="s">
        <v>1003</v>
      </c>
      <c r="H75" s="557" t="s">
        <v>592</v>
      </c>
      <c r="I75" s="707" t="s">
        <v>40</v>
      </c>
      <c r="J75" s="875"/>
      <c r="K75" s="876"/>
      <c r="L75" s="876"/>
      <c r="M75" s="394"/>
      <c r="N75" s="1370">
        <f t="shared" si="1"/>
        <v>0</v>
      </c>
      <c r="O75" s="709"/>
    </row>
    <row r="76" spans="1:15" s="225" customFormat="1" ht="24.95" hidden="1" customHeight="1">
      <c r="A76" s="1865"/>
      <c r="B76" s="546"/>
      <c r="C76" s="373" t="s">
        <v>501</v>
      </c>
      <c r="D76" s="178" t="s">
        <v>255</v>
      </c>
      <c r="E76" s="556" t="s">
        <v>349</v>
      </c>
      <c r="F76" s="556" t="s">
        <v>1020</v>
      </c>
      <c r="G76" s="556" t="s">
        <v>350</v>
      </c>
      <c r="H76" s="557" t="s">
        <v>592</v>
      </c>
      <c r="I76" s="707" t="s">
        <v>40</v>
      </c>
      <c r="J76" s="875"/>
      <c r="K76" s="876"/>
      <c r="L76" s="876"/>
      <c r="M76" s="394"/>
      <c r="N76" s="1370">
        <f t="shared" si="1"/>
        <v>0</v>
      </c>
      <c r="O76" s="709"/>
    </row>
    <row r="77" spans="1:15" s="225" customFormat="1" ht="24.95" hidden="1" customHeight="1">
      <c r="A77" s="1865"/>
      <c r="B77" s="546"/>
      <c r="C77" s="373" t="s">
        <v>1730</v>
      </c>
      <c r="D77" s="178" t="s">
        <v>1731</v>
      </c>
      <c r="E77" s="556" t="s">
        <v>1732</v>
      </c>
      <c r="F77" s="556"/>
      <c r="G77" s="556"/>
      <c r="H77" s="557" t="s">
        <v>1127</v>
      </c>
      <c r="I77" s="707" t="s">
        <v>338</v>
      </c>
      <c r="J77" s="875"/>
      <c r="K77" s="876"/>
      <c r="L77" s="876"/>
      <c r="M77" s="394"/>
      <c r="N77" s="1370">
        <f t="shared" si="1"/>
        <v>0</v>
      </c>
      <c r="O77" s="709"/>
    </row>
    <row r="78" spans="1:15" s="225" customFormat="1" ht="24.95" hidden="1" customHeight="1">
      <c r="A78" s="1865"/>
      <c r="B78" s="546"/>
      <c r="C78" s="373" t="s">
        <v>1733</v>
      </c>
      <c r="D78" s="178" t="s">
        <v>1734</v>
      </c>
      <c r="E78" s="556" t="s">
        <v>1732</v>
      </c>
      <c r="F78" s="556"/>
      <c r="G78" s="556"/>
      <c r="H78" s="557" t="s">
        <v>1128</v>
      </c>
      <c r="I78" s="707" t="s">
        <v>338</v>
      </c>
      <c r="J78" s="875"/>
      <c r="K78" s="876"/>
      <c r="L78" s="876"/>
      <c r="M78" s="394"/>
      <c r="N78" s="1370">
        <f t="shared" ref="N78:N93" si="5">SUM(J78:M78)</f>
        <v>0</v>
      </c>
      <c r="O78" s="709"/>
    </row>
    <row r="79" spans="1:15" s="225" customFormat="1" ht="24.95" hidden="1" customHeight="1">
      <c r="A79" s="1865"/>
      <c r="B79" s="546"/>
      <c r="C79" s="373" t="s">
        <v>1735</v>
      </c>
      <c r="D79" s="178" t="s">
        <v>1736</v>
      </c>
      <c r="E79" s="556" t="s">
        <v>1732</v>
      </c>
      <c r="F79" s="556"/>
      <c r="G79" s="556"/>
      <c r="H79" s="557" t="s">
        <v>1129</v>
      </c>
      <c r="I79" s="707" t="s">
        <v>338</v>
      </c>
      <c r="J79" s="875"/>
      <c r="K79" s="876"/>
      <c r="L79" s="876"/>
      <c r="M79" s="394"/>
      <c r="N79" s="1370">
        <f t="shared" si="5"/>
        <v>0</v>
      </c>
      <c r="O79" s="709"/>
    </row>
    <row r="80" spans="1:15" s="225" customFormat="1" ht="24.95" hidden="1" customHeight="1">
      <c r="A80" s="1865"/>
      <c r="B80" s="546"/>
      <c r="C80" s="373" t="s">
        <v>1737</v>
      </c>
      <c r="D80" s="178" t="s">
        <v>1738</v>
      </c>
      <c r="E80" s="556" t="s">
        <v>1739</v>
      </c>
      <c r="F80" s="556" t="s">
        <v>1740</v>
      </c>
      <c r="G80" s="556" t="s">
        <v>1741</v>
      </c>
      <c r="H80" s="557" t="s">
        <v>1130</v>
      </c>
      <c r="I80" s="707" t="s">
        <v>338</v>
      </c>
      <c r="J80" s="875"/>
      <c r="K80" s="876"/>
      <c r="L80" s="876"/>
      <c r="M80" s="394"/>
      <c r="N80" s="1370">
        <f t="shared" si="5"/>
        <v>0</v>
      </c>
      <c r="O80" s="709"/>
    </row>
    <row r="81" spans="1:15" s="225" customFormat="1" ht="24.95" hidden="1" customHeight="1">
      <c r="A81" s="1865"/>
      <c r="B81" s="546"/>
      <c r="C81" s="373" t="s">
        <v>1742</v>
      </c>
      <c r="D81" s="178" t="s">
        <v>779</v>
      </c>
      <c r="E81" s="556"/>
      <c r="F81" s="556"/>
      <c r="G81" s="556"/>
      <c r="H81" s="557" t="s">
        <v>1743</v>
      </c>
      <c r="I81" s="707" t="s">
        <v>46</v>
      </c>
      <c r="J81" s="875"/>
      <c r="K81" s="876"/>
      <c r="L81" s="876"/>
      <c r="M81" s="394"/>
      <c r="N81" s="1370">
        <f t="shared" si="5"/>
        <v>0</v>
      </c>
      <c r="O81" s="709" t="s">
        <v>1746</v>
      </c>
    </row>
    <row r="82" spans="1:15" s="225" customFormat="1" ht="24.95" customHeight="1">
      <c r="A82" s="1865"/>
      <c r="B82" s="546"/>
      <c r="C82" s="179" t="s">
        <v>188</v>
      </c>
      <c r="D82" s="178" t="s">
        <v>260</v>
      </c>
      <c r="E82" s="556" t="s">
        <v>189</v>
      </c>
      <c r="F82" s="556" t="s">
        <v>1744</v>
      </c>
      <c r="G82" s="556"/>
      <c r="H82" s="1713" t="s">
        <v>1605</v>
      </c>
      <c r="I82" s="707" t="s">
        <v>46</v>
      </c>
      <c r="J82" s="1675">
        <f>J20*4+J45*4+J84*4</f>
        <v>8</v>
      </c>
      <c r="K82" s="394">
        <f>K20*4+K45*4+K84*4</f>
        <v>4</v>
      </c>
      <c r="L82" s="765">
        <f>L20*4+L45*4+L84*4</f>
        <v>4</v>
      </c>
      <c r="M82" s="868"/>
      <c r="N82" s="1370">
        <f t="shared" si="5"/>
        <v>16</v>
      </c>
      <c r="O82" s="709"/>
    </row>
    <row r="83" spans="1:15" s="225" customFormat="1" ht="24.95" hidden="1" customHeight="1">
      <c r="A83" s="1865"/>
      <c r="B83" s="546"/>
      <c r="C83" s="373" t="s">
        <v>351</v>
      </c>
      <c r="D83" s="178" t="s">
        <v>373</v>
      </c>
      <c r="E83" s="556" t="s">
        <v>189</v>
      </c>
      <c r="F83" s="556" t="s">
        <v>1744</v>
      </c>
      <c r="G83" s="556"/>
      <c r="H83" s="557" t="s">
        <v>1605</v>
      </c>
      <c r="I83" s="707" t="s">
        <v>46</v>
      </c>
      <c r="J83" s="875"/>
      <c r="K83" s="876"/>
      <c r="L83" s="876"/>
      <c r="M83" s="394"/>
      <c r="N83" s="1370">
        <f t="shared" si="5"/>
        <v>0</v>
      </c>
      <c r="O83" s="709"/>
    </row>
    <row r="84" spans="1:15" s="121" customFormat="1" ht="24.95" hidden="1" customHeight="1">
      <c r="A84" s="1865"/>
      <c r="B84" s="546"/>
      <c r="C84" s="425" t="s">
        <v>1232</v>
      </c>
      <c r="D84" s="158" t="s">
        <v>1231</v>
      </c>
      <c r="E84" s="358" t="s">
        <v>1489</v>
      </c>
      <c r="F84" s="647" t="s">
        <v>1036</v>
      </c>
      <c r="G84" s="648"/>
      <c r="H84" s="558" t="s">
        <v>364</v>
      </c>
      <c r="I84" s="640" t="s">
        <v>46</v>
      </c>
      <c r="J84" s="873"/>
      <c r="K84" s="874"/>
      <c r="L84" s="874"/>
      <c r="M84" s="394"/>
      <c r="N84" s="1370">
        <f t="shared" si="5"/>
        <v>0</v>
      </c>
      <c r="O84" s="710"/>
    </row>
    <row r="85" spans="1:15" s="121" customFormat="1" ht="24.95" hidden="1" customHeight="1">
      <c r="A85" s="1865"/>
      <c r="B85" s="546"/>
      <c r="C85" s="425" t="s">
        <v>756</v>
      </c>
      <c r="D85" s="158" t="s">
        <v>757</v>
      </c>
      <c r="E85" s="358" t="s">
        <v>189</v>
      </c>
      <c r="F85" s="647" t="s">
        <v>1036</v>
      </c>
      <c r="G85" s="648"/>
      <c r="H85" s="558" t="s">
        <v>364</v>
      </c>
      <c r="I85" s="640" t="s">
        <v>46</v>
      </c>
      <c r="J85" s="873"/>
      <c r="K85" s="874"/>
      <c r="L85" s="874"/>
      <c r="M85" s="394"/>
      <c r="N85" s="1370">
        <f t="shared" si="5"/>
        <v>0</v>
      </c>
      <c r="O85" s="710"/>
    </row>
    <row r="86" spans="1:15" s="121" customFormat="1" ht="24.95" hidden="1" customHeight="1">
      <c r="A86" s="1865"/>
      <c r="B86" s="546"/>
      <c r="C86" s="425" t="s">
        <v>1388</v>
      </c>
      <c r="D86" s="158" t="s">
        <v>1389</v>
      </c>
      <c r="E86" s="358" t="s">
        <v>1390</v>
      </c>
      <c r="F86" s="647" t="s">
        <v>1036</v>
      </c>
      <c r="G86" s="648"/>
      <c r="H86" s="558" t="s">
        <v>364</v>
      </c>
      <c r="I86" s="640" t="s">
        <v>46</v>
      </c>
      <c r="J86" s="873"/>
      <c r="K86" s="874"/>
      <c r="L86" s="874"/>
      <c r="M86" s="394"/>
      <c r="N86" s="1370">
        <f t="shared" si="5"/>
        <v>0</v>
      </c>
      <c r="O86" s="710"/>
    </row>
    <row r="87" spans="1:15" s="121" customFormat="1" ht="24.95" customHeight="1">
      <c r="A87" s="1865"/>
      <c r="B87" s="546"/>
      <c r="C87" s="425" t="s">
        <v>362</v>
      </c>
      <c r="D87" s="158" t="s">
        <v>371</v>
      </c>
      <c r="E87" s="358" t="s">
        <v>363</v>
      </c>
      <c r="F87" s="647" t="s">
        <v>1037</v>
      </c>
      <c r="G87" s="648"/>
      <c r="H87" s="558" t="s">
        <v>364</v>
      </c>
      <c r="I87" s="766" t="s">
        <v>46</v>
      </c>
      <c r="J87" s="3">
        <f>J20+J45+J84</f>
        <v>2</v>
      </c>
      <c r="K87" s="3">
        <f>K20+K45+K84</f>
        <v>1</v>
      </c>
      <c r="L87" s="3">
        <f>L20+L45+L84</f>
        <v>1</v>
      </c>
      <c r="M87" s="3"/>
      <c r="N87" s="1370">
        <f t="shared" si="5"/>
        <v>4</v>
      </c>
      <c r="O87" s="710"/>
    </row>
    <row r="88" spans="1:15" s="121" customFormat="1" ht="24.95" hidden="1" customHeight="1">
      <c r="A88" s="1865"/>
      <c r="B88" s="546"/>
      <c r="C88" s="353" t="s">
        <v>183</v>
      </c>
      <c r="D88" s="158" t="s">
        <v>184</v>
      </c>
      <c r="E88" s="358" t="s">
        <v>185</v>
      </c>
      <c r="F88" s="647" t="s">
        <v>186</v>
      </c>
      <c r="G88" s="648"/>
      <c r="H88" s="558" t="s">
        <v>187</v>
      </c>
      <c r="I88" s="766" t="s">
        <v>178</v>
      </c>
      <c r="J88" s="3"/>
      <c r="K88" s="3"/>
      <c r="L88" s="3"/>
      <c r="M88" s="3"/>
      <c r="N88" s="1370">
        <f t="shared" si="5"/>
        <v>0</v>
      </c>
      <c r="O88" s="710"/>
    </row>
    <row r="89" spans="1:15" s="121" customFormat="1" ht="24.95" hidden="1" customHeight="1">
      <c r="A89" s="1865"/>
      <c r="B89" s="546"/>
      <c r="C89" s="124" t="s">
        <v>1066</v>
      </c>
      <c r="D89" s="123" t="s">
        <v>1067</v>
      </c>
      <c r="E89" s="559" t="s">
        <v>1068</v>
      </c>
      <c r="F89" s="647" t="s">
        <v>1069</v>
      </c>
      <c r="G89" s="648"/>
      <c r="H89" s="560" t="s">
        <v>1070</v>
      </c>
      <c r="I89" s="785" t="s">
        <v>41</v>
      </c>
      <c r="J89" s="3"/>
      <c r="K89" s="3"/>
      <c r="L89" s="3"/>
      <c r="M89" s="3"/>
      <c r="N89" s="1370">
        <f t="shared" si="5"/>
        <v>0</v>
      </c>
      <c r="O89" s="712"/>
    </row>
    <row r="90" spans="1:15" s="121" customFormat="1" ht="24.95" hidden="1" customHeight="1">
      <c r="A90" s="1865"/>
      <c r="B90" s="546"/>
      <c r="C90" s="124" t="s">
        <v>1071</v>
      </c>
      <c r="D90" s="123" t="s">
        <v>1072</v>
      </c>
      <c r="E90" s="559" t="s">
        <v>1073</v>
      </c>
      <c r="F90" s="647" t="s">
        <v>1069</v>
      </c>
      <c r="G90" s="648"/>
      <c r="H90" s="560" t="s">
        <v>1074</v>
      </c>
      <c r="I90" s="785" t="s">
        <v>41</v>
      </c>
      <c r="J90" s="3"/>
      <c r="K90" s="3"/>
      <c r="L90" s="3"/>
      <c r="M90" s="3"/>
      <c r="N90" s="1370">
        <f t="shared" si="5"/>
        <v>0</v>
      </c>
      <c r="O90" s="712"/>
    </row>
    <row r="91" spans="1:15" s="121" customFormat="1" ht="24.95" hidden="1" customHeight="1">
      <c r="A91" s="1865"/>
      <c r="B91" s="546"/>
      <c r="C91" s="426" t="s">
        <v>1747</v>
      </c>
      <c r="D91" s="427" t="s">
        <v>1751</v>
      </c>
      <c r="E91" s="564" t="s">
        <v>730</v>
      </c>
      <c r="F91" s="647" t="s">
        <v>1009</v>
      </c>
      <c r="G91" s="648"/>
      <c r="H91" s="563" t="s">
        <v>731</v>
      </c>
      <c r="I91" s="766" t="s">
        <v>337</v>
      </c>
      <c r="J91" s="3"/>
      <c r="K91" s="3"/>
      <c r="L91" s="3"/>
      <c r="M91" s="394"/>
      <c r="N91" s="1370">
        <f t="shared" si="5"/>
        <v>0</v>
      </c>
      <c r="O91" s="712"/>
    </row>
    <row r="92" spans="1:15" s="121" customFormat="1" ht="24.95" hidden="1" customHeight="1">
      <c r="A92" s="1865"/>
      <c r="B92" s="578">
        <v>109726</v>
      </c>
      <c r="C92" s="427" t="s">
        <v>154</v>
      </c>
      <c r="D92" s="427" t="s">
        <v>155</v>
      </c>
      <c r="E92" s="564" t="s">
        <v>157</v>
      </c>
      <c r="F92" s="647"/>
      <c r="G92" s="648"/>
      <c r="H92" s="563" t="s">
        <v>1485</v>
      </c>
      <c r="I92" s="766" t="s">
        <v>41</v>
      </c>
      <c r="J92" s="3"/>
      <c r="K92" s="3"/>
      <c r="L92" s="3"/>
      <c r="M92" s="394"/>
      <c r="N92" s="1370">
        <f t="shared" si="5"/>
        <v>0</v>
      </c>
      <c r="O92" s="710" t="s">
        <v>1484</v>
      </c>
    </row>
    <row r="93" spans="1:15" s="121" customFormat="1" ht="24.95" customHeight="1" thickBot="1">
      <c r="A93" s="1871"/>
      <c r="B93" s="547"/>
      <c r="C93" s="125" t="s">
        <v>190</v>
      </c>
      <c r="D93" s="126" t="s">
        <v>261</v>
      </c>
      <c r="E93" s="567" t="s">
        <v>263</v>
      </c>
      <c r="F93" s="649" t="s">
        <v>191</v>
      </c>
      <c r="G93" s="650"/>
      <c r="H93" s="567" t="s">
        <v>192</v>
      </c>
      <c r="I93" s="786" t="s">
        <v>193</v>
      </c>
      <c r="J93" s="864">
        <v>1</v>
      </c>
      <c r="K93" s="864">
        <v>1</v>
      </c>
      <c r="L93" s="864">
        <v>1</v>
      </c>
      <c r="M93" s="867"/>
      <c r="N93" s="1370">
        <f t="shared" si="5"/>
        <v>3</v>
      </c>
      <c r="O93" s="713"/>
    </row>
    <row r="94" spans="1:15" s="121" customFormat="1" ht="24.95" customHeight="1">
      <c r="A94" s="128"/>
      <c r="B94" s="128"/>
      <c r="D94" s="129"/>
      <c r="E94" s="568"/>
      <c r="F94" s="568"/>
      <c r="G94" s="568"/>
      <c r="H94" s="569"/>
      <c r="I94" s="130"/>
      <c r="J94" s="877"/>
      <c r="K94" s="877"/>
      <c r="L94" s="877"/>
      <c r="M94" s="877"/>
      <c r="N94" s="877"/>
      <c r="O94" s="131"/>
    </row>
    <row r="95" spans="1:15" s="119" customFormat="1" ht="24.95" customHeight="1" thickBot="1">
      <c r="A95" s="132" t="s">
        <v>2633</v>
      </c>
      <c r="B95" s="132"/>
      <c r="C95" s="118"/>
      <c r="E95" s="555"/>
      <c r="F95" s="555"/>
      <c r="G95" s="555"/>
      <c r="H95" s="555"/>
      <c r="J95" s="866"/>
      <c r="K95" s="866"/>
      <c r="L95" s="866"/>
      <c r="M95" s="866"/>
      <c r="N95" s="866"/>
    </row>
    <row r="96" spans="1:15" s="119" customFormat="1" ht="24.95" customHeight="1">
      <c r="A96" s="1879" t="s">
        <v>481</v>
      </c>
      <c r="B96" s="445"/>
      <c r="C96" s="1885" t="s">
        <v>482</v>
      </c>
      <c r="D96" s="1885" t="s">
        <v>483</v>
      </c>
      <c r="E96" s="1888" t="s">
        <v>484</v>
      </c>
      <c r="F96" s="1888" t="s">
        <v>194</v>
      </c>
      <c r="G96" s="1888" t="s">
        <v>485</v>
      </c>
      <c r="H96" s="1888" t="s">
        <v>486</v>
      </c>
      <c r="I96" s="1885" t="s">
        <v>464</v>
      </c>
      <c r="J96" s="1913" t="s">
        <v>147</v>
      </c>
      <c r="K96" s="1895"/>
      <c r="L96" s="1895"/>
      <c r="M96" s="1895"/>
      <c r="N96" s="1914"/>
      <c r="O96" s="1911" t="s">
        <v>487</v>
      </c>
    </row>
    <row r="97" spans="1:15" s="119" customFormat="1" ht="24.95" customHeight="1" thickBot="1">
      <c r="A97" s="1880"/>
      <c r="B97" s="446"/>
      <c r="C97" s="1887"/>
      <c r="D97" s="1887"/>
      <c r="E97" s="1890"/>
      <c r="F97" s="1890"/>
      <c r="G97" s="1890"/>
      <c r="H97" s="1890"/>
      <c r="I97" s="1887"/>
      <c r="J97" s="856" t="s">
        <v>2634</v>
      </c>
      <c r="K97" s="857" t="s">
        <v>2636</v>
      </c>
      <c r="L97" s="857" t="s">
        <v>2638</v>
      </c>
      <c r="M97" s="858"/>
      <c r="N97" s="1380" t="s">
        <v>150</v>
      </c>
      <c r="O97" s="1912"/>
    </row>
    <row r="98" spans="1:15" s="176" customFormat="1" ht="24.95" customHeight="1">
      <c r="A98" s="1922" t="s">
        <v>783</v>
      </c>
      <c r="B98" s="764">
        <v>127046</v>
      </c>
      <c r="C98" s="1566" t="s">
        <v>542</v>
      </c>
      <c r="D98" s="773" t="s">
        <v>2426</v>
      </c>
      <c r="E98" s="773" t="s">
        <v>543</v>
      </c>
      <c r="F98" s="773" t="s">
        <v>544</v>
      </c>
      <c r="G98" s="773"/>
      <c r="H98" s="564" t="s">
        <v>2640</v>
      </c>
      <c r="I98" s="1566" t="s">
        <v>195</v>
      </c>
      <c r="J98" s="764">
        <v>1</v>
      </c>
      <c r="K98" s="764"/>
      <c r="L98" s="764"/>
      <c r="M98" s="764"/>
      <c r="N98" s="1378">
        <f>SUM(J98:M98)</f>
        <v>1</v>
      </c>
      <c r="O98" s="1567"/>
    </row>
    <row r="99" spans="1:15" s="176" customFormat="1" ht="24.95" customHeight="1">
      <c r="A99" s="1923"/>
      <c r="B99" s="879">
        <v>124375</v>
      </c>
      <c r="C99" s="179" t="s">
        <v>542</v>
      </c>
      <c r="D99" s="556" t="s">
        <v>2641</v>
      </c>
      <c r="E99" s="556" t="s">
        <v>543</v>
      </c>
      <c r="F99" s="556" t="s">
        <v>544</v>
      </c>
      <c r="G99" s="556"/>
      <c r="H99" s="564" t="s">
        <v>551</v>
      </c>
      <c r="I99" s="179" t="s">
        <v>195</v>
      </c>
      <c r="J99" s="879"/>
      <c r="K99" s="879">
        <v>1</v>
      </c>
      <c r="L99" s="879"/>
      <c r="M99" s="879"/>
      <c r="N99" s="1378">
        <f>SUM(J99:M99)</f>
        <v>1</v>
      </c>
      <c r="O99" s="1568"/>
    </row>
    <row r="100" spans="1:15" s="176" customFormat="1" ht="24.95" customHeight="1">
      <c r="A100" s="1923"/>
      <c r="B100" s="879">
        <v>125497</v>
      </c>
      <c r="C100" s="179" t="s">
        <v>545</v>
      </c>
      <c r="D100" s="556" t="s">
        <v>3145</v>
      </c>
      <c r="E100" s="556" t="s">
        <v>546</v>
      </c>
      <c r="F100" s="556" t="s">
        <v>544</v>
      </c>
      <c r="G100" s="556"/>
      <c r="H100" s="564" t="s">
        <v>551</v>
      </c>
      <c r="I100" s="179" t="s">
        <v>195</v>
      </c>
      <c r="J100" s="394"/>
      <c r="K100" s="394">
        <v>1</v>
      </c>
      <c r="L100" s="394"/>
      <c r="M100" s="394"/>
      <c r="N100" s="1378">
        <f>SUM(J100:M100)</f>
        <v>1</v>
      </c>
      <c r="O100" s="1568"/>
    </row>
    <row r="101" spans="1:15" s="176" customFormat="1" ht="24.95" customHeight="1">
      <c r="A101" s="1923"/>
      <c r="B101" s="394">
        <v>125498</v>
      </c>
      <c r="C101" s="426" t="s">
        <v>545</v>
      </c>
      <c r="D101" s="426" t="s">
        <v>3144</v>
      </c>
      <c r="E101" s="564" t="s">
        <v>546</v>
      </c>
      <c r="F101" s="564" t="s">
        <v>544</v>
      </c>
      <c r="G101" s="564"/>
      <c r="H101" s="564" t="s">
        <v>551</v>
      </c>
      <c r="I101" s="426" t="s">
        <v>195</v>
      </c>
      <c r="J101" s="394">
        <v>2</v>
      </c>
      <c r="K101" s="394"/>
      <c r="L101" s="394"/>
      <c r="M101" s="394"/>
      <c r="N101" s="1378">
        <f>SUM(J101:M101)</f>
        <v>2</v>
      </c>
      <c r="O101" s="1569"/>
    </row>
    <row r="102" spans="1:15" s="176" customFormat="1" ht="24.95" customHeight="1">
      <c r="A102" s="1923"/>
      <c r="B102" s="394">
        <v>124379</v>
      </c>
      <c r="C102" s="426" t="s">
        <v>1547</v>
      </c>
      <c r="D102" s="564" t="s">
        <v>1548</v>
      </c>
      <c r="E102" s="564" t="s">
        <v>548</v>
      </c>
      <c r="F102" s="564" t="s">
        <v>544</v>
      </c>
      <c r="G102" s="564"/>
      <c r="H102" s="564" t="s">
        <v>551</v>
      </c>
      <c r="I102" s="426" t="s">
        <v>195</v>
      </c>
      <c r="J102" s="394">
        <v>1</v>
      </c>
      <c r="K102" s="394">
        <v>1</v>
      </c>
      <c r="L102" s="394"/>
      <c r="M102" s="394"/>
      <c r="N102" s="1378">
        <f t="shared" ref="N102:N126" si="6">SUM(J102:M102)</f>
        <v>2</v>
      </c>
      <c r="O102" s="1569"/>
    </row>
    <row r="103" spans="1:15" s="176" customFormat="1" ht="24.95" hidden="1" customHeight="1">
      <c r="A103" s="1923"/>
      <c r="B103" s="394"/>
      <c r="C103" s="426" t="s">
        <v>1541</v>
      </c>
      <c r="D103" s="426" t="s">
        <v>1542</v>
      </c>
      <c r="E103" s="564" t="s">
        <v>548</v>
      </c>
      <c r="F103" s="564" t="s">
        <v>544</v>
      </c>
      <c r="G103" s="564"/>
      <c r="H103" s="564" t="s">
        <v>551</v>
      </c>
      <c r="I103" s="426" t="s">
        <v>195</v>
      </c>
      <c r="J103" s="394"/>
      <c r="K103" s="394"/>
      <c r="L103" s="394"/>
      <c r="M103" s="394"/>
      <c r="N103" s="1378">
        <f t="shared" si="6"/>
        <v>0</v>
      </c>
      <c r="O103" s="1569"/>
    </row>
    <row r="104" spans="1:15" s="176" customFormat="1" ht="24.95" customHeight="1">
      <c r="A104" s="1923"/>
      <c r="B104" s="394">
        <v>111126</v>
      </c>
      <c r="C104" s="426" t="s">
        <v>549</v>
      </c>
      <c r="D104" s="426" t="s">
        <v>3163</v>
      </c>
      <c r="E104" s="564" t="s">
        <v>2427</v>
      </c>
      <c r="F104" s="564" t="s">
        <v>544</v>
      </c>
      <c r="G104" s="564"/>
      <c r="H104" s="564" t="s">
        <v>2430</v>
      </c>
      <c r="I104" s="426" t="s">
        <v>337</v>
      </c>
      <c r="J104" s="394">
        <f>16*J98</f>
        <v>16</v>
      </c>
      <c r="K104" s="394"/>
      <c r="L104" s="394"/>
      <c r="M104" s="394"/>
      <c r="N104" s="1378">
        <f t="shared" ref="N104:N105" si="7">SUM(J104:M104)</f>
        <v>16</v>
      </c>
      <c r="O104" s="1569"/>
    </row>
    <row r="105" spans="1:15" s="176" customFormat="1" ht="24.95" customHeight="1">
      <c r="A105" s="1923"/>
      <c r="B105" s="394">
        <v>111125</v>
      </c>
      <c r="C105" s="426" t="s">
        <v>549</v>
      </c>
      <c r="D105" s="426" t="s">
        <v>2642</v>
      </c>
      <c r="E105" s="564" t="s">
        <v>2428</v>
      </c>
      <c r="F105" s="564" t="s">
        <v>544</v>
      </c>
      <c r="G105" s="564"/>
      <c r="H105" s="564" t="s">
        <v>2430</v>
      </c>
      <c r="I105" s="426" t="s">
        <v>337</v>
      </c>
      <c r="J105" s="394"/>
      <c r="K105" s="394">
        <f>16*K99</f>
        <v>16</v>
      </c>
      <c r="L105" s="394"/>
      <c r="M105" s="394"/>
      <c r="N105" s="1378">
        <f t="shared" si="7"/>
        <v>16</v>
      </c>
      <c r="O105" s="1569"/>
    </row>
    <row r="106" spans="1:15" s="176" customFormat="1" ht="24.95" customHeight="1">
      <c r="A106" s="1923"/>
      <c r="B106" s="394">
        <v>111127</v>
      </c>
      <c r="C106" s="426" t="s">
        <v>549</v>
      </c>
      <c r="D106" s="426" t="s">
        <v>2425</v>
      </c>
      <c r="E106" s="564" t="s">
        <v>2429</v>
      </c>
      <c r="F106" s="564" t="s">
        <v>544</v>
      </c>
      <c r="G106" s="564"/>
      <c r="H106" s="564" t="s">
        <v>2431</v>
      </c>
      <c r="I106" s="426" t="s">
        <v>337</v>
      </c>
      <c r="J106" s="394">
        <f>4*J101</f>
        <v>8</v>
      </c>
      <c r="K106" s="394"/>
      <c r="L106" s="394"/>
      <c r="M106" s="394"/>
      <c r="N106" s="1378">
        <f t="shared" si="6"/>
        <v>8</v>
      </c>
      <c r="O106" s="1569"/>
    </row>
    <row r="107" spans="1:15" s="176" customFormat="1" ht="24.95" customHeight="1">
      <c r="A107" s="1923"/>
      <c r="B107" s="394">
        <v>111125</v>
      </c>
      <c r="C107" s="426" t="s">
        <v>549</v>
      </c>
      <c r="D107" s="426" t="s">
        <v>3251</v>
      </c>
      <c r="E107" s="564" t="s">
        <v>2643</v>
      </c>
      <c r="F107" s="564" t="s">
        <v>544</v>
      </c>
      <c r="G107" s="564"/>
      <c r="H107" s="564" t="s">
        <v>2644</v>
      </c>
      <c r="I107" s="426" t="s">
        <v>337</v>
      </c>
      <c r="J107" s="394"/>
      <c r="K107" s="394">
        <f>4*K100</f>
        <v>4</v>
      </c>
      <c r="L107" s="394"/>
      <c r="M107" s="394"/>
      <c r="N107" s="1378">
        <f t="shared" si="6"/>
        <v>4</v>
      </c>
      <c r="O107" s="1569"/>
    </row>
    <row r="108" spans="1:15" s="176" customFormat="1" ht="24.95" customHeight="1">
      <c r="A108" s="1923"/>
      <c r="B108" s="394"/>
      <c r="C108" s="426" t="s">
        <v>550</v>
      </c>
      <c r="D108" s="426" t="s">
        <v>1220</v>
      </c>
      <c r="E108" s="564" t="s">
        <v>2423</v>
      </c>
      <c r="F108" s="564" t="s">
        <v>544</v>
      </c>
      <c r="G108" s="564"/>
      <c r="H108" s="564" t="s">
        <v>3323</v>
      </c>
      <c r="I108" s="426" t="s">
        <v>153</v>
      </c>
      <c r="J108" s="394">
        <f>J98*4</f>
        <v>4</v>
      </c>
      <c r="K108" s="394">
        <f>K99*2</f>
        <v>2</v>
      </c>
      <c r="L108" s="394"/>
      <c r="M108" s="394"/>
      <c r="N108" s="1378">
        <f t="shared" si="6"/>
        <v>6</v>
      </c>
      <c r="O108" s="1569"/>
    </row>
    <row r="109" spans="1:15" s="176" customFormat="1" ht="24.95" customHeight="1">
      <c r="A109" s="1924"/>
      <c r="B109" s="867"/>
      <c r="C109" s="1570" t="s">
        <v>550</v>
      </c>
      <c r="D109" s="1570" t="s">
        <v>1221</v>
      </c>
      <c r="E109" s="1571" t="s">
        <v>2424</v>
      </c>
      <c r="F109" s="1571" t="s">
        <v>544</v>
      </c>
      <c r="G109" s="1571"/>
      <c r="H109" s="1571" t="s">
        <v>2432</v>
      </c>
      <c r="I109" s="1570" t="s">
        <v>153</v>
      </c>
      <c r="J109" s="867">
        <f>J101</f>
        <v>2</v>
      </c>
      <c r="K109" s="867">
        <f>K100</f>
        <v>1</v>
      </c>
      <c r="L109" s="867"/>
      <c r="M109" s="867"/>
      <c r="N109" s="1379">
        <f t="shared" si="6"/>
        <v>3</v>
      </c>
      <c r="O109" s="1572"/>
    </row>
    <row r="110" spans="1:15" s="121" customFormat="1" ht="24.95" customHeight="1">
      <c r="A110" s="1870" t="s">
        <v>488</v>
      </c>
      <c r="B110" s="896"/>
      <c r="C110" s="179" t="s">
        <v>489</v>
      </c>
      <c r="D110" s="178" t="s">
        <v>2008</v>
      </c>
      <c r="E110" s="556" t="s">
        <v>555</v>
      </c>
      <c r="F110" s="556" t="str">
        <f>'10-2-1. 전원_PIA_LAN물량(ICT실)_동해안'!D38</f>
        <v>소내전원실 소내반(2층)</v>
      </c>
      <c r="G110" s="556" t="str">
        <f>'10-2-1. 전원_PIA_LAN물량(ICT실)_동해안'!E38</f>
        <v>ICT실 전원분전반</v>
      </c>
      <c r="H110" s="557" t="s">
        <v>556</v>
      </c>
      <c r="I110" s="120" t="s">
        <v>490</v>
      </c>
      <c r="J110" s="879">
        <f>'10-2-1. 전원_PIA_LAN물량(ICT실)_동해안'!H38</f>
        <v>153</v>
      </c>
      <c r="K110" s="879">
        <f>'10-2-2. 전원_PIA_LAN물량_동강'!H38</f>
        <v>150</v>
      </c>
      <c r="L110" s="879"/>
      <c r="M110" s="879"/>
      <c r="N110" s="1370">
        <f t="shared" si="6"/>
        <v>303</v>
      </c>
      <c r="O110" s="1371"/>
    </row>
    <row r="111" spans="1:15" s="121" customFormat="1" ht="24.95" customHeight="1">
      <c r="A111" s="1877"/>
      <c r="B111" s="422"/>
      <c r="C111" s="426" t="s">
        <v>489</v>
      </c>
      <c r="D111" s="427" t="s">
        <v>552</v>
      </c>
      <c r="E111" s="564" t="s">
        <v>557</v>
      </c>
      <c r="F111" s="564" t="str">
        <f>'10-2-1. 전원_PIA_LAN물량(ICT실)_동해안'!D39</f>
        <v>ICT실 전원분전반</v>
      </c>
      <c r="G111" s="564" t="str">
        <f>'10-2-1. 전원_PIA_LAN물량(ICT실)_동해안'!E39</f>
        <v>UPS 입력</v>
      </c>
      <c r="H111" s="563" t="s">
        <v>556</v>
      </c>
      <c r="I111" s="430" t="s">
        <v>490</v>
      </c>
      <c r="J111" s="394">
        <f>'10-2-1. 전원_PIA_LAN물량(ICT실)_동해안'!H39</f>
        <v>8</v>
      </c>
      <c r="K111" s="879">
        <f>'10-2-2. 전원_PIA_LAN물량_동강'!H39</f>
        <v>8</v>
      </c>
      <c r="L111" s="394"/>
      <c r="M111" s="879"/>
      <c r="N111" s="1378">
        <f t="shared" si="6"/>
        <v>16</v>
      </c>
      <c r="O111" s="845"/>
    </row>
    <row r="112" spans="1:15" s="121" customFormat="1" ht="24.95" customHeight="1">
      <c r="A112" s="1877"/>
      <c r="B112" s="422"/>
      <c r="C112" s="426" t="s">
        <v>489</v>
      </c>
      <c r="D112" s="427" t="s">
        <v>553</v>
      </c>
      <c r="E112" s="564" t="s">
        <v>559</v>
      </c>
      <c r="F112" s="564" t="str">
        <f>'10-2-1. 전원_PIA_LAN물량(ICT실)_동해안'!D40</f>
        <v>소내전원실 소내반(2층)</v>
      </c>
      <c r="G112" s="564" t="str">
        <f>'10-2-1. 전원_PIA_LAN물량(ICT실)_동해안'!E40</f>
        <v>충전기 입력</v>
      </c>
      <c r="H112" s="563" t="s">
        <v>556</v>
      </c>
      <c r="I112" s="430" t="s">
        <v>40</v>
      </c>
      <c r="J112" s="394">
        <f>'10-2-1. 전원_PIA_LAN물량(ICT실)_동해안'!H40+'10-2-1. 전원_PIA_LAN물량(ICT실)_동해안'!H41</f>
        <v>305</v>
      </c>
      <c r="K112" s="879">
        <f>'10-2-2. 전원_PIA_LAN물량_동강'!H40</f>
        <v>150</v>
      </c>
      <c r="L112" s="394"/>
      <c r="M112" s="879"/>
      <c r="N112" s="1378">
        <f t="shared" si="6"/>
        <v>455</v>
      </c>
      <c r="O112" s="845"/>
    </row>
    <row r="113" spans="1:15" s="121" customFormat="1" ht="24.95" customHeight="1">
      <c r="A113" s="1877"/>
      <c r="B113" s="422"/>
      <c r="C113" s="426" t="s">
        <v>489</v>
      </c>
      <c r="D113" s="427" t="s">
        <v>554</v>
      </c>
      <c r="E113" s="564" t="s">
        <v>561</v>
      </c>
      <c r="F113" s="564" t="s">
        <v>562</v>
      </c>
      <c r="G113" s="564" t="s">
        <v>547</v>
      </c>
      <c r="H113" s="563" t="s">
        <v>556</v>
      </c>
      <c r="I113" s="430" t="s">
        <v>490</v>
      </c>
      <c r="J113" s="394">
        <f>'10-2-1. 전원_PIA_LAN물량(ICT실)_동해안'!H42+'10-2-1. 전원_PIA_LAN물량(ICT실)_동해안'!H43+'10-2-1. 전원_PIA_LAN물량(ICT실)_동해안'!H44+'10-2-1. 전원_PIA_LAN물량(ICT실)_동해안'!H45</f>
        <v>23</v>
      </c>
      <c r="K113" s="879">
        <f>'10-2-2. 전원_PIA_LAN물량_동강'!H42+'10-2-2. 전원_PIA_LAN물량_동강'!H43+'10-2-2. 전원_PIA_LAN물량_동강'!H44+'10-2-2. 전원_PIA_LAN물량_동강'!H45</f>
        <v>15</v>
      </c>
      <c r="L113" s="394"/>
      <c r="M113" s="394"/>
      <c r="N113" s="1378">
        <f t="shared" si="6"/>
        <v>38</v>
      </c>
      <c r="O113" s="845"/>
    </row>
    <row r="114" spans="1:15" s="121" customFormat="1" ht="24.95" customHeight="1">
      <c r="A114" s="1877"/>
      <c r="B114" s="422"/>
      <c r="C114" s="426" t="s">
        <v>496</v>
      </c>
      <c r="D114" s="426" t="s">
        <v>1371</v>
      </c>
      <c r="E114" s="564" t="s">
        <v>497</v>
      </c>
      <c r="F114" s="564" t="s">
        <v>498</v>
      </c>
      <c r="G114" s="564" t="s">
        <v>499</v>
      </c>
      <c r="H114" s="563" t="s">
        <v>500</v>
      </c>
      <c r="I114" s="430" t="s">
        <v>490</v>
      </c>
      <c r="J114" s="394">
        <f>'10-2-1. 전원_PIA_LAN물량(ICT실)_동해안'!H46</f>
        <v>24</v>
      </c>
      <c r="K114" s="879">
        <f>'10-2-2. 전원_PIA_LAN물량_동강'!H46</f>
        <v>24</v>
      </c>
      <c r="L114" s="394"/>
      <c r="M114" s="394"/>
      <c r="N114" s="1378">
        <f t="shared" si="6"/>
        <v>48</v>
      </c>
      <c r="O114" s="845"/>
    </row>
    <row r="115" spans="1:15" s="121" customFormat="1" ht="24.95" customHeight="1">
      <c r="A115" s="1877"/>
      <c r="B115" s="422"/>
      <c r="C115" s="426" t="s">
        <v>492</v>
      </c>
      <c r="D115" s="427" t="s">
        <v>493</v>
      </c>
      <c r="E115" s="564" t="s">
        <v>494</v>
      </c>
      <c r="F115" s="564" t="s">
        <v>491</v>
      </c>
      <c r="G115" s="564" t="s">
        <v>495</v>
      </c>
      <c r="H115" s="563" t="s">
        <v>1486</v>
      </c>
      <c r="I115" s="430" t="s">
        <v>490</v>
      </c>
      <c r="J115" s="394">
        <f>'10-2-1. 전원_PIA_LAN물량(ICT실)_동해안'!H47+'10-2-1. 전원_PIA_LAN물량(ICT실)_동해안'!H48</f>
        <v>28</v>
      </c>
      <c r="K115" s="879">
        <f>'10-2-2. 전원_PIA_LAN물량_동강'!H47+'10-2-2. 전원_PIA_LAN물량_동강'!H48</f>
        <v>28</v>
      </c>
      <c r="L115" s="394"/>
      <c r="M115" s="394"/>
      <c r="N115" s="1378">
        <f t="shared" si="6"/>
        <v>56</v>
      </c>
      <c r="O115" s="845"/>
    </row>
    <row r="116" spans="1:15" s="121" customFormat="1" ht="24.95" customHeight="1">
      <c r="A116" s="1877"/>
      <c r="B116" s="422"/>
      <c r="C116" s="426" t="s">
        <v>501</v>
      </c>
      <c r="D116" s="426" t="s">
        <v>502</v>
      </c>
      <c r="E116" s="564" t="s">
        <v>870</v>
      </c>
      <c r="F116" s="564" t="s">
        <v>491</v>
      </c>
      <c r="G116" s="564" t="s">
        <v>495</v>
      </c>
      <c r="H116" s="563" t="s">
        <v>503</v>
      </c>
      <c r="I116" s="430" t="s">
        <v>490</v>
      </c>
      <c r="J116" s="394">
        <f>'10-2-1. 전원_PIA_LAN물량(ICT실)_동해안'!H49+'10-2-1. 전원_PIA_LAN물량(ICT실)_동해안'!H50</f>
        <v>11</v>
      </c>
      <c r="K116" s="879">
        <f>'10-2-2. 전원_PIA_LAN물량_동강'!H49+'10-2-2. 전원_PIA_LAN물량_동강'!H50</f>
        <v>11</v>
      </c>
      <c r="L116" s="394"/>
      <c r="M116" s="394"/>
      <c r="N116" s="1378">
        <f t="shared" si="6"/>
        <v>22</v>
      </c>
      <c r="O116" s="845"/>
    </row>
    <row r="117" spans="1:15" s="121" customFormat="1" ht="24.95" customHeight="1">
      <c r="A117" s="1877"/>
      <c r="B117" s="422"/>
      <c r="C117" s="426" t="s">
        <v>504</v>
      </c>
      <c r="D117" s="426" t="s">
        <v>505</v>
      </c>
      <c r="E117" s="564"/>
      <c r="F117" s="1915" t="s">
        <v>506</v>
      </c>
      <c r="G117" s="1916"/>
      <c r="H117" s="563"/>
      <c r="I117" s="430" t="s">
        <v>507</v>
      </c>
      <c r="J117" s="394">
        <f>'10-2-1. 전원_PIA_LAN물량(ICT실)_동해안'!H59</f>
        <v>32</v>
      </c>
      <c r="K117" s="879">
        <f>'10-2-2. 전원_PIA_LAN물량_동강'!H59</f>
        <v>24</v>
      </c>
      <c r="L117" s="394"/>
      <c r="M117" s="394"/>
      <c r="N117" s="1378">
        <f t="shared" si="6"/>
        <v>56</v>
      </c>
      <c r="O117" s="774"/>
    </row>
    <row r="118" spans="1:15" s="121" customFormat="1" ht="24.95" hidden="1" customHeight="1">
      <c r="A118" s="1877"/>
      <c r="B118" s="422"/>
      <c r="C118" s="426" t="s">
        <v>508</v>
      </c>
      <c r="D118" s="426" t="s">
        <v>509</v>
      </c>
      <c r="E118" s="564"/>
      <c r="F118" s="1915" t="s">
        <v>506</v>
      </c>
      <c r="G118" s="1916"/>
      <c r="H118" s="563"/>
      <c r="I118" s="430" t="s">
        <v>507</v>
      </c>
      <c r="J118" s="394">
        <f>'10-2-1. 전원_PIA_LAN물량(ICT실)_동해안'!H60</f>
        <v>0</v>
      </c>
      <c r="K118" s="879">
        <f>'10-2-2. 전원_PIA_LAN물량_동강'!H46</f>
        <v>24</v>
      </c>
      <c r="L118" s="394"/>
      <c r="M118" s="394"/>
      <c r="N118" s="1378">
        <f t="shared" si="6"/>
        <v>24</v>
      </c>
      <c r="O118" s="774"/>
    </row>
    <row r="119" spans="1:15" s="121" customFormat="1" ht="24.95" hidden="1" customHeight="1">
      <c r="A119" s="1877"/>
      <c r="B119" s="546"/>
      <c r="C119" s="425" t="s">
        <v>1388</v>
      </c>
      <c r="D119" s="427" t="s">
        <v>1389</v>
      </c>
      <c r="E119" s="564" t="s">
        <v>1390</v>
      </c>
      <c r="F119" s="647" t="s">
        <v>1393</v>
      </c>
      <c r="G119" s="648"/>
      <c r="H119" s="563" t="s">
        <v>364</v>
      </c>
      <c r="I119" s="430" t="s">
        <v>46</v>
      </c>
      <c r="J119" s="394">
        <f>'10-2-1. 전원_PIA_LAN물량(ICT실)_동해안'!H62</f>
        <v>0</v>
      </c>
      <c r="K119" s="879">
        <f>'10-2-2. 전원_PIA_LAN물량_동강'!H47</f>
        <v>18</v>
      </c>
      <c r="L119" s="394"/>
      <c r="M119" s="394"/>
      <c r="N119" s="1378">
        <f t="shared" si="6"/>
        <v>18</v>
      </c>
      <c r="O119" s="710"/>
    </row>
    <row r="120" spans="1:15" s="121" customFormat="1" ht="24.95" customHeight="1">
      <c r="A120" s="1877"/>
      <c r="B120" s="422"/>
      <c r="C120" s="426" t="s">
        <v>362</v>
      </c>
      <c r="D120" s="427" t="s">
        <v>370</v>
      </c>
      <c r="E120" s="564" t="s">
        <v>363</v>
      </c>
      <c r="F120" s="1921" t="s">
        <v>365</v>
      </c>
      <c r="G120" s="1921"/>
      <c r="H120" s="563" t="s">
        <v>364</v>
      </c>
      <c r="I120" s="430" t="s">
        <v>46</v>
      </c>
      <c r="J120" s="394">
        <f>'10-2-1. 전원_PIA_LAN물량(ICT실)_동해안'!H63</f>
        <v>8</v>
      </c>
      <c r="K120" s="879">
        <f>'10-2-2. 전원_PIA_LAN물량_동강'!H63</f>
        <v>6</v>
      </c>
      <c r="L120" s="394"/>
      <c r="M120" s="394"/>
      <c r="N120" s="1378">
        <f t="shared" si="6"/>
        <v>14</v>
      </c>
      <c r="O120" s="774"/>
    </row>
    <row r="121" spans="1:15" s="121" customFormat="1" ht="24.95" customHeight="1">
      <c r="A121" s="1877"/>
      <c r="B121" s="422"/>
      <c r="C121" s="426" t="s">
        <v>802</v>
      </c>
      <c r="D121" s="426" t="s">
        <v>565</v>
      </c>
      <c r="E121" s="564" t="s">
        <v>566</v>
      </c>
      <c r="F121" s="647" t="s">
        <v>562</v>
      </c>
      <c r="G121" s="648" t="s">
        <v>547</v>
      </c>
      <c r="H121" s="1372" t="s">
        <v>1204</v>
      </c>
      <c r="I121" s="430" t="s">
        <v>792</v>
      </c>
      <c r="J121" s="394">
        <f>'10-2-1. 전원_PIA_LAN물량(ICT실)_동해안'!H54+'10-2-1. 전원_PIA_LAN물량(ICT실)_동해안'!H55</f>
        <v>12</v>
      </c>
      <c r="K121" s="879">
        <f>'10-2-2. 전원_PIA_LAN물량_동강'!H54+'10-2-2. 전원_PIA_LAN물량_동강'!H55</f>
        <v>8</v>
      </c>
      <c r="L121" s="394"/>
      <c r="M121" s="394"/>
      <c r="N121" s="1378">
        <f t="shared" si="6"/>
        <v>20</v>
      </c>
      <c r="O121" s="774"/>
    </row>
    <row r="122" spans="1:15" s="121" customFormat="1" ht="24.95" customHeight="1">
      <c r="A122" s="1877"/>
      <c r="B122" s="422"/>
      <c r="C122" s="426" t="s">
        <v>803</v>
      </c>
      <c r="D122" s="426" t="s">
        <v>564</v>
      </c>
      <c r="E122" s="564" t="s">
        <v>567</v>
      </c>
      <c r="F122" s="647" t="s">
        <v>560</v>
      </c>
      <c r="G122" s="648" t="s">
        <v>547</v>
      </c>
      <c r="H122" s="1372" t="s">
        <v>1205</v>
      </c>
      <c r="I122" s="430" t="s">
        <v>792</v>
      </c>
      <c r="J122" s="394">
        <f>'10-2-1. 전원_PIA_LAN물량(ICT실)_동해안'!H53</f>
        <v>12</v>
      </c>
      <c r="K122" s="879">
        <f>'10-2-2. 전원_PIA_LAN물량_동강'!H53</f>
        <v>6</v>
      </c>
      <c r="L122" s="394"/>
      <c r="M122" s="394"/>
      <c r="N122" s="1378">
        <f t="shared" si="6"/>
        <v>18</v>
      </c>
      <c r="O122" s="774"/>
    </row>
    <row r="123" spans="1:15" s="121" customFormat="1" ht="24.95" customHeight="1">
      <c r="A123" s="1877"/>
      <c r="B123" s="422"/>
      <c r="C123" s="426" t="s">
        <v>803</v>
      </c>
      <c r="D123" s="426" t="s">
        <v>563</v>
      </c>
      <c r="E123" s="564" t="s">
        <v>568</v>
      </c>
      <c r="F123" s="647" t="s">
        <v>558</v>
      </c>
      <c r="G123" s="648" t="s">
        <v>560</v>
      </c>
      <c r="H123" s="1372" t="s">
        <v>793</v>
      </c>
      <c r="I123" s="430" t="s">
        <v>792</v>
      </c>
      <c r="J123" s="394">
        <f>'10-2-1. 전원_PIA_LAN물량(ICT실)_동해안'!H52</f>
        <v>8</v>
      </c>
      <c r="K123" s="879">
        <f>'10-2-2. 전원_PIA_LAN물량_동강'!H52</f>
        <v>8</v>
      </c>
      <c r="L123" s="394"/>
      <c r="M123" s="394"/>
      <c r="N123" s="1378">
        <f t="shared" si="6"/>
        <v>16</v>
      </c>
      <c r="O123" s="774"/>
    </row>
    <row r="124" spans="1:15" s="121" customFormat="1" ht="24.95" customHeight="1">
      <c r="A124" s="1877"/>
      <c r="B124" s="422"/>
      <c r="C124" s="426" t="s">
        <v>803</v>
      </c>
      <c r="D124" s="426" t="s">
        <v>3174</v>
      </c>
      <c r="E124" s="564" t="s">
        <v>569</v>
      </c>
      <c r="F124" s="647" t="s">
        <v>558</v>
      </c>
      <c r="G124" s="648" t="s">
        <v>542</v>
      </c>
      <c r="H124" s="1372" t="s">
        <v>793</v>
      </c>
      <c r="I124" s="430" t="s">
        <v>792</v>
      </c>
      <c r="J124" s="394">
        <f>'10-2-1. 전원_PIA_LAN물량(ICT실)_동해안'!H51</f>
        <v>8</v>
      </c>
      <c r="K124" s="879">
        <f>'10-2-2. 전원_PIA_LAN물량_동강'!H51</f>
        <v>8</v>
      </c>
      <c r="L124" s="394"/>
      <c r="M124" s="394"/>
      <c r="N124" s="1378">
        <f t="shared" si="6"/>
        <v>16</v>
      </c>
      <c r="O124" s="774"/>
    </row>
    <row r="125" spans="1:15" s="121" customFormat="1" ht="24.95" customHeight="1">
      <c r="A125" s="1877"/>
      <c r="B125" s="422"/>
      <c r="C125" s="425" t="s">
        <v>160</v>
      </c>
      <c r="D125" s="427" t="s">
        <v>355</v>
      </c>
      <c r="E125" s="564" t="s">
        <v>855</v>
      </c>
      <c r="F125" s="564"/>
      <c r="G125" s="564"/>
      <c r="H125" s="563" t="s">
        <v>162</v>
      </c>
      <c r="I125" s="430" t="s">
        <v>40</v>
      </c>
      <c r="J125" s="394">
        <f>'10-2-1. 전원_PIA_LAN물량(ICT실)_동해안'!H56</f>
        <v>30</v>
      </c>
      <c r="K125" s="879">
        <f>'10-2-2. 전원_PIA_LAN물량_동강'!H56</f>
        <v>13</v>
      </c>
      <c r="L125" s="394"/>
      <c r="M125" s="394"/>
      <c r="N125" s="1378">
        <f t="shared" si="6"/>
        <v>43</v>
      </c>
      <c r="O125" s="774"/>
    </row>
    <row r="126" spans="1:15" s="121" customFormat="1" ht="24.95" customHeight="1" thickBot="1">
      <c r="A126" s="1878"/>
      <c r="B126" s="423"/>
      <c r="C126" s="1373" t="s">
        <v>510</v>
      </c>
      <c r="D126" s="1373" t="s">
        <v>511</v>
      </c>
      <c r="E126" s="1374" t="s">
        <v>262</v>
      </c>
      <c r="F126" s="1919" t="s">
        <v>512</v>
      </c>
      <c r="G126" s="1920"/>
      <c r="H126" s="1375" t="s">
        <v>513</v>
      </c>
      <c r="I126" s="1376" t="s">
        <v>514</v>
      </c>
      <c r="J126" s="878">
        <v>1</v>
      </c>
      <c r="K126" s="878">
        <v>1</v>
      </c>
      <c r="L126" s="878"/>
      <c r="M126" s="878"/>
      <c r="N126" s="1379">
        <f t="shared" si="6"/>
        <v>2</v>
      </c>
      <c r="O126" s="1377"/>
    </row>
    <row r="127" spans="1:15" s="121" customFormat="1" ht="24.95" customHeight="1">
      <c r="A127" s="128"/>
      <c r="B127" s="128"/>
      <c r="C127" s="176"/>
      <c r="D127" s="176"/>
      <c r="E127" s="573"/>
      <c r="F127" s="573"/>
      <c r="G127" s="573"/>
      <c r="H127" s="574"/>
      <c r="I127" s="177"/>
      <c r="J127" s="211"/>
      <c r="K127" s="211"/>
      <c r="L127" s="211"/>
      <c r="M127" s="211"/>
      <c r="N127" s="211"/>
      <c r="O127" s="22"/>
    </row>
    <row r="128" spans="1:15" s="119" customFormat="1" ht="24.95" customHeight="1" thickBot="1">
      <c r="A128" s="132" t="s">
        <v>3252</v>
      </c>
      <c r="B128" s="132"/>
      <c r="C128" s="118"/>
      <c r="E128" s="555"/>
      <c r="F128" s="555"/>
      <c r="G128" s="555"/>
      <c r="H128" s="555"/>
      <c r="J128" s="866"/>
      <c r="K128" s="866"/>
      <c r="L128" s="866"/>
      <c r="M128" s="866"/>
      <c r="N128" s="866"/>
    </row>
    <row r="129" spans="1:15" s="119" customFormat="1" ht="24.95" customHeight="1">
      <c r="A129" s="1875" t="s">
        <v>481</v>
      </c>
      <c r="B129" s="421"/>
      <c r="C129" s="1907" t="s">
        <v>482</v>
      </c>
      <c r="D129" s="1907" t="s">
        <v>483</v>
      </c>
      <c r="E129" s="1909" t="s">
        <v>484</v>
      </c>
      <c r="F129" s="1909" t="s">
        <v>194</v>
      </c>
      <c r="G129" s="1909" t="s">
        <v>485</v>
      </c>
      <c r="H129" s="1909" t="s">
        <v>486</v>
      </c>
      <c r="I129" s="1907" t="s">
        <v>464</v>
      </c>
      <c r="J129" s="1913" t="s">
        <v>147</v>
      </c>
      <c r="K129" s="1895"/>
      <c r="L129" s="1895"/>
      <c r="M129" s="1895"/>
      <c r="N129" s="1914"/>
      <c r="O129" s="1911" t="s">
        <v>487</v>
      </c>
    </row>
    <row r="130" spans="1:15" s="119" customFormat="1" ht="24.95" customHeight="1" thickBot="1">
      <c r="A130" s="1876"/>
      <c r="B130" s="447"/>
      <c r="C130" s="1908"/>
      <c r="D130" s="1908"/>
      <c r="E130" s="1910"/>
      <c r="F130" s="1910"/>
      <c r="G130" s="1910"/>
      <c r="H130" s="1910"/>
      <c r="I130" s="1908"/>
      <c r="J130" s="856" t="s">
        <v>2634</v>
      </c>
      <c r="K130" s="857" t="s">
        <v>2636</v>
      </c>
      <c r="L130" s="857" t="s">
        <v>2638</v>
      </c>
      <c r="M130" s="858"/>
      <c r="N130" s="1380" t="s">
        <v>150</v>
      </c>
      <c r="O130" s="1912"/>
    </row>
    <row r="131" spans="1:15" s="121" customFormat="1" ht="24.95" hidden="1" customHeight="1" thickBot="1">
      <c r="A131" s="844" t="s">
        <v>1180</v>
      </c>
      <c r="B131" s="424">
        <v>125225</v>
      </c>
      <c r="C131" s="238" t="s">
        <v>1026</v>
      </c>
      <c r="D131" s="178" t="s">
        <v>1027</v>
      </c>
      <c r="E131" s="556" t="s">
        <v>1012</v>
      </c>
      <c r="F131" s="556"/>
      <c r="G131" s="556"/>
      <c r="H131" s="557" t="s">
        <v>584</v>
      </c>
      <c r="I131" s="120" t="s">
        <v>41</v>
      </c>
      <c r="J131" s="879"/>
      <c r="K131" s="879"/>
      <c r="L131" s="879"/>
      <c r="M131" s="861"/>
      <c r="N131" s="1370">
        <f>SUM(J131:M131)</f>
        <v>0</v>
      </c>
      <c r="O131" s="709"/>
    </row>
    <row r="132" spans="1:15" s="121" customFormat="1" ht="24.95" customHeight="1">
      <c r="A132" s="1864" t="s">
        <v>3245</v>
      </c>
      <c r="B132" s="424">
        <v>126291</v>
      </c>
      <c r="C132" s="179" t="s">
        <v>724</v>
      </c>
      <c r="D132" s="179" t="s">
        <v>1475</v>
      </c>
      <c r="E132" s="556" t="s">
        <v>726</v>
      </c>
      <c r="F132" s="556" t="s">
        <v>727</v>
      </c>
      <c r="G132" s="556"/>
      <c r="H132" s="557" t="s">
        <v>536</v>
      </c>
      <c r="I132" s="120" t="s">
        <v>340</v>
      </c>
      <c r="J132" s="879">
        <v>1</v>
      </c>
      <c r="K132" s="879">
        <v>1</v>
      </c>
      <c r="L132" s="879"/>
      <c r="M132" s="861"/>
      <c r="N132" s="1370">
        <f>SUM(J132:M132)</f>
        <v>2</v>
      </c>
      <c r="O132" s="846"/>
    </row>
    <row r="133" spans="1:15" s="121" customFormat="1" ht="24.95" hidden="1" customHeight="1">
      <c r="A133" s="1881"/>
      <c r="B133" s="768"/>
      <c r="C133" s="179" t="s">
        <v>1394</v>
      </c>
      <c r="D133" s="179" t="s">
        <v>1395</v>
      </c>
      <c r="E133" s="556" t="s">
        <v>1396</v>
      </c>
      <c r="F133" s="556" t="s">
        <v>1397</v>
      </c>
      <c r="G133" s="556"/>
      <c r="H133" s="557" t="s">
        <v>1398</v>
      </c>
      <c r="I133" s="120" t="s">
        <v>1399</v>
      </c>
      <c r="J133" s="879"/>
      <c r="K133" s="879"/>
      <c r="L133" s="879"/>
      <c r="M133" s="861"/>
      <c r="N133" s="1370">
        <f t="shared" ref="N133:N193" si="8">SUM(J133:M133)</f>
        <v>0</v>
      </c>
      <c r="O133" s="846"/>
    </row>
    <row r="134" spans="1:15" s="121" customFormat="1" ht="24.95" customHeight="1">
      <c r="A134" s="1881"/>
      <c r="B134" s="769"/>
      <c r="C134" s="353" t="s">
        <v>2433</v>
      </c>
      <c r="D134" s="353" t="s">
        <v>804</v>
      </c>
      <c r="E134" s="358" t="s">
        <v>726</v>
      </c>
      <c r="F134" s="358" t="s">
        <v>728</v>
      </c>
      <c r="G134" s="358" t="s">
        <v>894</v>
      </c>
      <c r="H134" s="558" t="s">
        <v>536</v>
      </c>
      <c r="I134" s="122" t="s">
        <v>375</v>
      </c>
      <c r="J134" s="880">
        <v>1</v>
      </c>
      <c r="K134" s="394">
        <v>1</v>
      </c>
      <c r="L134" s="394"/>
      <c r="M134" s="860"/>
      <c r="N134" s="1370">
        <f t="shared" si="8"/>
        <v>2</v>
      </c>
      <c r="O134" s="774"/>
    </row>
    <row r="135" spans="1:15" s="121" customFormat="1" ht="24.95" customHeight="1">
      <c r="A135" s="1881"/>
      <c r="B135" s="1716"/>
      <c r="C135" s="426" t="s">
        <v>889</v>
      </c>
      <c r="D135" s="426" t="s">
        <v>890</v>
      </c>
      <c r="E135" s="564" t="s">
        <v>726</v>
      </c>
      <c r="F135" s="564" t="s">
        <v>891</v>
      </c>
      <c r="G135" s="564" t="s">
        <v>895</v>
      </c>
      <c r="H135" s="563" t="s">
        <v>892</v>
      </c>
      <c r="I135" s="430" t="s">
        <v>893</v>
      </c>
      <c r="J135" s="394">
        <v>1</v>
      </c>
      <c r="K135" s="394">
        <v>1</v>
      </c>
      <c r="L135" s="394"/>
      <c r="M135" s="860"/>
      <c r="N135" s="1370">
        <f t="shared" si="8"/>
        <v>2</v>
      </c>
      <c r="O135" s="774"/>
    </row>
    <row r="136" spans="1:15" s="1358" customFormat="1" ht="24.95" hidden="1" customHeight="1">
      <c r="A136" s="1881"/>
      <c r="B136" s="1717"/>
      <c r="C136" s="1718" t="s">
        <v>1465</v>
      </c>
      <c r="D136" s="1718" t="s">
        <v>1467</v>
      </c>
      <c r="E136" s="1719" t="s">
        <v>1463</v>
      </c>
      <c r="F136" s="1720" t="s">
        <v>1461</v>
      </c>
      <c r="G136" s="1720"/>
      <c r="H136" s="1721" t="s">
        <v>152</v>
      </c>
      <c r="I136" s="1365" t="s">
        <v>11</v>
      </c>
      <c r="J136" s="1355"/>
      <c r="K136" s="1355"/>
      <c r="L136" s="1355"/>
      <c r="M136" s="1356"/>
      <c r="N136" s="1722">
        <f t="shared" si="8"/>
        <v>0</v>
      </c>
      <c r="O136" s="1357"/>
    </row>
    <row r="137" spans="1:15" s="1358" customFormat="1" ht="24.95" hidden="1" customHeight="1">
      <c r="A137" s="1881"/>
      <c r="B137" s="1717"/>
      <c r="C137" s="1718" t="s">
        <v>1466</v>
      </c>
      <c r="D137" s="1718" t="s">
        <v>1464</v>
      </c>
      <c r="E137" s="1719" t="s">
        <v>1460</v>
      </c>
      <c r="F137" s="1720" t="s">
        <v>1461</v>
      </c>
      <c r="G137" s="1720"/>
      <c r="H137" s="1721" t="s">
        <v>152</v>
      </c>
      <c r="I137" s="1365" t="s">
        <v>11</v>
      </c>
      <c r="J137" s="1355"/>
      <c r="K137" s="1355"/>
      <c r="L137" s="1355"/>
      <c r="M137" s="1356"/>
      <c r="N137" s="1722">
        <f t="shared" si="8"/>
        <v>0</v>
      </c>
      <c r="O137" s="1357"/>
    </row>
    <row r="138" spans="1:15" s="121" customFormat="1" ht="24.95" customHeight="1">
      <c r="A138" s="1882"/>
      <c r="B138" s="867">
        <v>214077</v>
      </c>
      <c r="C138" s="1570" t="s">
        <v>938</v>
      </c>
      <c r="D138" s="1570" t="s">
        <v>929</v>
      </c>
      <c r="E138" s="1571" t="s">
        <v>3250</v>
      </c>
      <c r="F138" s="1723"/>
      <c r="G138" s="1723"/>
      <c r="H138" s="1640" t="s">
        <v>152</v>
      </c>
      <c r="I138" s="1656" t="s">
        <v>11</v>
      </c>
      <c r="J138" s="867">
        <v>2</v>
      </c>
      <c r="K138" s="867"/>
      <c r="L138" s="867"/>
      <c r="M138" s="865"/>
      <c r="N138" s="1379">
        <f t="shared" si="8"/>
        <v>2</v>
      </c>
      <c r="O138" s="847"/>
    </row>
    <row r="139" spans="1:15" s="121" customFormat="1" ht="24.95" hidden="1" customHeight="1">
      <c r="A139" s="1634" t="s">
        <v>1194</v>
      </c>
      <c r="B139" s="726"/>
      <c r="C139" s="724" t="s">
        <v>874</v>
      </c>
      <c r="D139" s="714" t="s">
        <v>1210</v>
      </c>
      <c r="E139" s="715"/>
      <c r="F139" s="715"/>
      <c r="G139" s="715"/>
      <c r="H139" s="716" t="s">
        <v>875</v>
      </c>
      <c r="I139" s="722" t="s">
        <v>876</v>
      </c>
      <c r="J139" s="881"/>
      <c r="K139" s="881"/>
      <c r="L139" s="881"/>
      <c r="M139" s="882"/>
      <c r="N139" s="1370">
        <f t="shared" si="8"/>
        <v>0</v>
      </c>
      <c r="O139" s="848"/>
    </row>
    <row r="140" spans="1:15" s="121" customFormat="1" ht="24.95" hidden="1" customHeight="1">
      <c r="A140" s="1634"/>
      <c r="B140" s="761"/>
      <c r="C140" s="724" t="s">
        <v>848</v>
      </c>
      <c r="D140" s="714" t="s">
        <v>1181</v>
      </c>
      <c r="E140" s="715" t="s">
        <v>849</v>
      </c>
      <c r="F140" s="715"/>
      <c r="G140" s="715"/>
      <c r="H140" s="716" t="s">
        <v>861</v>
      </c>
      <c r="I140" s="722" t="s">
        <v>195</v>
      </c>
      <c r="J140" s="881"/>
      <c r="K140" s="881"/>
      <c r="L140" s="881"/>
      <c r="M140" s="882"/>
      <c r="N140" s="1370">
        <f t="shared" si="8"/>
        <v>0</v>
      </c>
      <c r="O140" s="848"/>
    </row>
    <row r="141" spans="1:15" s="121" customFormat="1" ht="24.95" hidden="1" customHeight="1">
      <c r="A141" s="1634"/>
      <c r="B141" s="761"/>
      <c r="C141" s="724" t="s">
        <v>848</v>
      </c>
      <c r="D141" s="714" t="s">
        <v>860</v>
      </c>
      <c r="E141" s="715" t="s">
        <v>849</v>
      </c>
      <c r="F141" s="715"/>
      <c r="G141" s="715"/>
      <c r="H141" s="716" t="s">
        <v>861</v>
      </c>
      <c r="I141" s="722" t="s">
        <v>195</v>
      </c>
      <c r="J141" s="881"/>
      <c r="K141" s="881"/>
      <c r="L141" s="881"/>
      <c r="M141" s="882"/>
      <c r="N141" s="1370">
        <f t="shared" si="8"/>
        <v>0</v>
      </c>
      <c r="O141" s="848"/>
    </row>
    <row r="142" spans="1:15" s="121" customFormat="1" ht="24.95" hidden="1" customHeight="1">
      <c r="A142" s="1634"/>
      <c r="B142" s="728"/>
      <c r="C142" s="725" t="s">
        <v>848</v>
      </c>
      <c r="D142" s="762" t="s">
        <v>862</v>
      </c>
      <c r="E142" s="717" t="s">
        <v>849</v>
      </c>
      <c r="F142" s="717" t="s">
        <v>863</v>
      </c>
      <c r="G142" s="717" t="s">
        <v>826</v>
      </c>
      <c r="H142" s="718" t="s">
        <v>864</v>
      </c>
      <c r="I142" s="727" t="s">
        <v>195</v>
      </c>
      <c r="J142" s="881"/>
      <c r="K142" s="881"/>
      <c r="L142" s="881"/>
      <c r="M142" s="862"/>
      <c r="N142" s="1370">
        <f t="shared" si="8"/>
        <v>0</v>
      </c>
      <c r="O142" s="849"/>
    </row>
    <row r="143" spans="1:15" s="121" customFormat="1" ht="24.95" hidden="1" customHeight="1">
      <c r="A143" s="1634"/>
      <c r="B143" s="728"/>
      <c r="C143" s="725" t="s">
        <v>529</v>
      </c>
      <c r="D143" s="725" t="s">
        <v>530</v>
      </c>
      <c r="E143" s="717" t="s">
        <v>754</v>
      </c>
      <c r="F143" s="729"/>
      <c r="G143" s="729"/>
      <c r="H143" s="718" t="s">
        <v>152</v>
      </c>
      <c r="I143" s="727" t="s">
        <v>153</v>
      </c>
      <c r="J143" s="883"/>
      <c r="K143" s="450"/>
      <c r="L143" s="450"/>
      <c r="M143" s="862"/>
      <c r="N143" s="1370">
        <f t="shared" si="8"/>
        <v>0</v>
      </c>
      <c r="O143" s="849"/>
    </row>
    <row r="144" spans="1:15" s="121" customFormat="1" ht="24.95" hidden="1" customHeight="1">
      <c r="A144" s="1634"/>
      <c r="B144" s="728"/>
      <c r="C144" s="725" t="s">
        <v>173</v>
      </c>
      <c r="D144" s="762" t="s">
        <v>516</v>
      </c>
      <c r="E144" s="717" t="s">
        <v>520</v>
      </c>
      <c r="F144" s="717" t="s">
        <v>851</v>
      </c>
      <c r="G144" s="717" t="s">
        <v>1186</v>
      </c>
      <c r="H144" s="718" t="s">
        <v>1182</v>
      </c>
      <c r="I144" s="727" t="s">
        <v>519</v>
      </c>
      <c r="J144" s="883"/>
      <c r="K144" s="450"/>
      <c r="L144" s="450"/>
      <c r="M144" s="862"/>
      <c r="N144" s="1370">
        <f t="shared" si="8"/>
        <v>0</v>
      </c>
      <c r="O144" s="849"/>
    </row>
    <row r="145" spans="1:15" s="121" customFormat="1" ht="24.95" hidden="1" customHeight="1">
      <c r="A145" s="1634"/>
      <c r="B145" s="728"/>
      <c r="C145" s="725" t="s">
        <v>515</v>
      </c>
      <c r="D145" s="762" t="s">
        <v>516</v>
      </c>
      <c r="E145" s="717" t="s">
        <v>520</v>
      </c>
      <c r="F145" s="717" t="s">
        <v>851</v>
      </c>
      <c r="G145" s="717" t="s">
        <v>1187</v>
      </c>
      <c r="H145" s="718" t="s">
        <v>1182</v>
      </c>
      <c r="I145" s="727" t="s">
        <v>519</v>
      </c>
      <c r="J145" s="883"/>
      <c r="K145" s="450"/>
      <c r="L145" s="450"/>
      <c r="M145" s="862"/>
      <c r="N145" s="1370">
        <f t="shared" si="8"/>
        <v>0</v>
      </c>
      <c r="O145" s="849"/>
    </row>
    <row r="146" spans="1:15" s="121" customFormat="1" ht="24.95" hidden="1" customHeight="1">
      <c r="A146" s="1634"/>
      <c r="B146" s="728"/>
      <c r="C146" s="725" t="s">
        <v>173</v>
      </c>
      <c r="D146" s="762" t="s">
        <v>516</v>
      </c>
      <c r="E146" s="717" t="s">
        <v>1199</v>
      </c>
      <c r="F146" s="717" t="s">
        <v>851</v>
      </c>
      <c r="G146" s="717" t="s">
        <v>1183</v>
      </c>
      <c r="H146" s="718" t="s">
        <v>1182</v>
      </c>
      <c r="I146" s="727" t="s">
        <v>44</v>
      </c>
      <c r="J146" s="883"/>
      <c r="K146" s="450"/>
      <c r="L146" s="450"/>
      <c r="M146" s="862"/>
      <c r="N146" s="1370">
        <f t="shared" si="8"/>
        <v>0</v>
      </c>
      <c r="O146" s="849"/>
    </row>
    <row r="147" spans="1:15" s="121" customFormat="1" ht="24.95" hidden="1" customHeight="1">
      <c r="A147" s="1634"/>
      <c r="B147" s="728"/>
      <c r="C147" s="725" t="s">
        <v>173</v>
      </c>
      <c r="D147" s="762" t="s">
        <v>516</v>
      </c>
      <c r="E147" s="717" t="s">
        <v>1200</v>
      </c>
      <c r="F147" s="717" t="s">
        <v>851</v>
      </c>
      <c r="G147" s="717" t="s">
        <v>1185</v>
      </c>
      <c r="H147" s="718" t="s">
        <v>758</v>
      </c>
      <c r="I147" s="727" t="s">
        <v>44</v>
      </c>
      <c r="J147" s="883"/>
      <c r="K147" s="450"/>
      <c r="L147" s="450"/>
      <c r="M147" s="862"/>
      <c r="N147" s="1370">
        <f t="shared" si="8"/>
        <v>0</v>
      </c>
      <c r="O147" s="849"/>
    </row>
    <row r="148" spans="1:15" s="121" customFormat="1" ht="24.95" hidden="1" customHeight="1">
      <c r="A148" s="1634"/>
      <c r="B148" s="728"/>
      <c r="C148" s="725" t="s">
        <v>515</v>
      </c>
      <c r="D148" s="762" t="s">
        <v>516</v>
      </c>
      <c r="E148" s="717" t="s">
        <v>517</v>
      </c>
      <c r="F148" s="717" t="s">
        <v>851</v>
      </c>
      <c r="G148" s="717" t="s">
        <v>1184</v>
      </c>
      <c r="H148" s="718" t="s">
        <v>1524</v>
      </c>
      <c r="I148" s="727" t="s">
        <v>519</v>
      </c>
      <c r="J148" s="883"/>
      <c r="K148" s="450"/>
      <c r="L148" s="450"/>
      <c r="M148" s="862"/>
      <c r="N148" s="1370">
        <f t="shared" si="8"/>
        <v>0</v>
      </c>
      <c r="O148" s="849"/>
    </row>
    <row r="149" spans="1:15" s="121" customFormat="1" ht="24.95" hidden="1" customHeight="1">
      <c r="A149" s="1634"/>
      <c r="B149" s="728"/>
      <c r="C149" s="725" t="s">
        <v>515</v>
      </c>
      <c r="D149" s="762" t="s">
        <v>516</v>
      </c>
      <c r="E149" s="717" t="s">
        <v>931</v>
      </c>
      <c r="F149" s="717" t="s">
        <v>851</v>
      </c>
      <c r="G149" s="717" t="s">
        <v>932</v>
      </c>
      <c r="H149" s="718" t="s">
        <v>1525</v>
      </c>
      <c r="I149" s="727" t="s">
        <v>519</v>
      </c>
      <c r="J149" s="883"/>
      <c r="K149" s="450"/>
      <c r="L149" s="450"/>
      <c r="M149" s="862"/>
      <c r="N149" s="1370">
        <f t="shared" si="8"/>
        <v>0</v>
      </c>
      <c r="O149" s="849"/>
    </row>
    <row r="150" spans="1:15" s="121" customFormat="1" ht="24.95" hidden="1" customHeight="1">
      <c r="A150" s="1634"/>
      <c r="B150" s="728"/>
      <c r="C150" s="725" t="s">
        <v>515</v>
      </c>
      <c r="D150" s="762" t="s">
        <v>516</v>
      </c>
      <c r="E150" s="717" t="s">
        <v>936</v>
      </c>
      <c r="F150" s="717" t="s">
        <v>851</v>
      </c>
      <c r="G150" s="717" t="s">
        <v>937</v>
      </c>
      <c r="H150" s="718" t="s">
        <v>758</v>
      </c>
      <c r="I150" s="727" t="s">
        <v>519</v>
      </c>
      <c r="J150" s="883"/>
      <c r="K150" s="450"/>
      <c r="L150" s="450"/>
      <c r="M150" s="862"/>
      <c r="N150" s="1370">
        <f t="shared" si="8"/>
        <v>0</v>
      </c>
      <c r="O150" s="849"/>
    </row>
    <row r="151" spans="1:15" s="121" customFormat="1" ht="24.95" hidden="1" customHeight="1">
      <c r="A151" s="1634"/>
      <c r="B151" s="728"/>
      <c r="C151" s="725" t="s">
        <v>772</v>
      </c>
      <c r="D151" s="762" t="s">
        <v>770</v>
      </c>
      <c r="E151" s="717" t="s">
        <v>771</v>
      </c>
      <c r="F151" s="717" t="s">
        <v>782</v>
      </c>
      <c r="G151" s="717" t="s">
        <v>773</v>
      </c>
      <c r="H151" s="718" t="s">
        <v>758</v>
      </c>
      <c r="I151" s="727" t="s">
        <v>44</v>
      </c>
      <c r="J151" s="883"/>
      <c r="K151" s="450"/>
      <c r="L151" s="450"/>
      <c r="M151" s="862"/>
      <c r="N151" s="1370">
        <f t="shared" si="8"/>
        <v>0</v>
      </c>
      <c r="O151" s="849"/>
    </row>
    <row r="152" spans="1:15" s="121" customFormat="1" ht="24.95" hidden="1" customHeight="1">
      <c r="A152" s="1634"/>
      <c r="B152" s="728"/>
      <c r="C152" s="725" t="s">
        <v>522</v>
      </c>
      <c r="D152" s="762" t="s">
        <v>523</v>
      </c>
      <c r="E152" s="717" t="s">
        <v>526</v>
      </c>
      <c r="F152" s="717" t="s">
        <v>851</v>
      </c>
      <c r="G152" s="717" t="s">
        <v>521</v>
      </c>
      <c r="H152" s="718" t="s">
        <v>759</v>
      </c>
      <c r="I152" s="727" t="s">
        <v>519</v>
      </c>
      <c r="J152" s="883"/>
      <c r="K152" s="450"/>
      <c r="L152" s="450"/>
      <c r="M152" s="862"/>
      <c r="N152" s="1370">
        <f t="shared" si="8"/>
        <v>0</v>
      </c>
      <c r="O152" s="849"/>
    </row>
    <row r="153" spans="1:15" s="121" customFormat="1" ht="24.95" hidden="1" customHeight="1">
      <c r="A153" s="1634"/>
      <c r="B153" s="728"/>
      <c r="C153" s="725" t="s">
        <v>522</v>
      </c>
      <c r="D153" s="762" t="s">
        <v>255</v>
      </c>
      <c r="E153" s="717" t="s">
        <v>1188</v>
      </c>
      <c r="F153" s="717" t="s">
        <v>851</v>
      </c>
      <c r="G153" s="717" t="s">
        <v>1189</v>
      </c>
      <c r="H153" s="718" t="s">
        <v>759</v>
      </c>
      <c r="I153" s="727" t="s">
        <v>44</v>
      </c>
      <c r="J153" s="883"/>
      <c r="K153" s="450"/>
      <c r="L153" s="450"/>
      <c r="M153" s="862"/>
      <c r="N153" s="1370">
        <f t="shared" si="8"/>
        <v>0</v>
      </c>
      <c r="O153" s="849"/>
    </row>
    <row r="154" spans="1:15" s="121" customFormat="1" ht="24.95" hidden="1" customHeight="1">
      <c r="A154" s="1634"/>
      <c r="B154" s="728"/>
      <c r="C154" s="725" t="s">
        <v>522</v>
      </c>
      <c r="D154" s="762" t="s">
        <v>523</v>
      </c>
      <c r="E154" s="717" t="s">
        <v>524</v>
      </c>
      <c r="F154" s="717" t="s">
        <v>851</v>
      </c>
      <c r="G154" s="717" t="s">
        <v>518</v>
      </c>
      <c r="H154" s="718" t="s">
        <v>759</v>
      </c>
      <c r="I154" s="727" t="s">
        <v>519</v>
      </c>
      <c r="J154" s="883"/>
      <c r="K154" s="450"/>
      <c r="L154" s="450"/>
      <c r="M154" s="862"/>
      <c r="N154" s="1370">
        <f t="shared" si="8"/>
        <v>0</v>
      </c>
      <c r="O154" s="849"/>
    </row>
    <row r="155" spans="1:15" s="121" customFormat="1" ht="24.95" hidden="1" customHeight="1">
      <c r="A155" s="1634"/>
      <c r="B155" s="728"/>
      <c r="C155" s="725" t="s">
        <v>522</v>
      </c>
      <c r="D155" s="762" t="s">
        <v>256</v>
      </c>
      <c r="E155" s="717" t="s">
        <v>935</v>
      </c>
      <c r="F155" s="717" t="s">
        <v>851</v>
      </c>
      <c r="G155" s="717" t="s">
        <v>932</v>
      </c>
      <c r="H155" s="718" t="s">
        <v>759</v>
      </c>
      <c r="I155" s="727" t="s">
        <v>519</v>
      </c>
      <c r="J155" s="883"/>
      <c r="K155" s="450"/>
      <c r="L155" s="450"/>
      <c r="M155" s="862"/>
      <c r="N155" s="1370">
        <f t="shared" si="8"/>
        <v>0</v>
      </c>
      <c r="O155" s="849"/>
    </row>
    <row r="156" spans="1:15" s="121" customFormat="1" ht="24.95" hidden="1" customHeight="1">
      <c r="A156" s="1634"/>
      <c r="B156" s="728"/>
      <c r="C156" s="725" t="s">
        <v>501</v>
      </c>
      <c r="D156" s="762" t="s">
        <v>256</v>
      </c>
      <c r="E156" s="717" t="s">
        <v>936</v>
      </c>
      <c r="F156" s="717" t="s">
        <v>851</v>
      </c>
      <c r="G156" s="717" t="s">
        <v>937</v>
      </c>
      <c r="H156" s="718" t="s">
        <v>758</v>
      </c>
      <c r="I156" s="727" t="s">
        <v>519</v>
      </c>
      <c r="J156" s="883"/>
      <c r="K156" s="450"/>
      <c r="L156" s="450"/>
      <c r="M156" s="862"/>
      <c r="N156" s="1370">
        <f t="shared" si="8"/>
        <v>0</v>
      </c>
      <c r="O156" s="849"/>
    </row>
    <row r="157" spans="1:15" s="121" customFormat="1" ht="24.95" hidden="1" customHeight="1">
      <c r="A157" s="1634"/>
      <c r="B157" s="728"/>
      <c r="C157" s="725" t="s">
        <v>532</v>
      </c>
      <c r="D157" s="725" t="s">
        <v>603</v>
      </c>
      <c r="E157" s="717" t="s">
        <v>612</v>
      </c>
      <c r="F157" s="717" t="s">
        <v>612</v>
      </c>
      <c r="G157" s="717" t="s">
        <v>138</v>
      </c>
      <c r="H157" s="718" t="s">
        <v>774</v>
      </c>
      <c r="I157" s="727" t="s">
        <v>163</v>
      </c>
      <c r="J157" s="883"/>
      <c r="K157" s="450"/>
      <c r="L157" s="450"/>
      <c r="M157" s="862"/>
      <c r="N157" s="1370">
        <f t="shared" si="8"/>
        <v>0</v>
      </c>
      <c r="O157" s="849"/>
    </row>
    <row r="158" spans="1:15" s="121" customFormat="1" ht="24.95" hidden="1" customHeight="1">
      <c r="A158" s="1634"/>
      <c r="B158" s="728"/>
      <c r="C158" s="725" t="s">
        <v>532</v>
      </c>
      <c r="D158" s="725" t="s">
        <v>533</v>
      </c>
      <c r="E158" s="717" t="s">
        <v>612</v>
      </c>
      <c r="F158" s="717" t="s">
        <v>612</v>
      </c>
      <c r="G158" s="717" t="s">
        <v>138</v>
      </c>
      <c r="H158" s="718" t="s">
        <v>774</v>
      </c>
      <c r="I158" s="727" t="s">
        <v>40</v>
      </c>
      <c r="J158" s="883"/>
      <c r="K158" s="450"/>
      <c r="L158" s="450"/>
      <c r="M158" s="862"/>
      <c r="N158" s="1370">
        <f t="shared" si="8"/>
        <v>0</v>
      </c>
      <c r="O158" s="849"/>
    </row>
    <row r="159" spans="1:15" s="121" customFormat="1" ht="24.95" hidden="1" customHeight="1">
      <c r="A159" s="1634"/>
      <c r="B159" s="728"/>
      <c r="C159" s="725" t="s">
        <v>775</v>
      </c>
      <c r="D159" s="725" t="s">
        <v>869</v>
      </c>
      <c r="E159" s="717" t="s">
        <v>776</v>
      </c>
      <c r="F159" s="717"/>
      <c r="G159" s="717"/>
      <c r="H159" s="717" t="s">
        <v>777</v>
      </c>
      <c r="I159" s="727" t="s">
        <v>338</v>
      </c>
      <c r="J159" s="883"/>
      <c r="K159" s="450"/>
      <c r="L159" s="450"/>
      <c r="M159" s="862"/>
      <c r="N159" s="1370">
        <f t="shared" si="8"/>
        <v>0</v>
      </c>
      <c r="O159" s="849"/>
    </row>
    <row r="160" spans="1:15" s="121" customFormat="1" ht="24.95" hidden="1" customHeight="1">
      <c r="A160" s="1634"/>
      <c r="B160" s="728"/>
      <c r="C160" s="725" t="s">
        <v>871</v>
      </c>
      <c r="D160" s="725" t="s">
        <v>871</v>
      </c>
      <c r="E160" s="717" t="s">
        <v>1190</v>
      </c>
      <c r="F160" s="762" t="s">
        <v>848</v>
      </c>
      <c r="G160" s="717" t="s">
        <v>872</v>
      </c>
      <c r="H160" s="718" t="s">
        <v>1192</v>
      </c>
      <c r="I160" s="727" t="s">
        <v>507</v>
      </c>
      <c r="J160" s="883"/>
      <c r="K160" s="450"/>
      <c r="L160" s="450"/>
      <c r="M160" s="862"/>
      <c r="N160" s="1370">
        <f t="shared" si="8"/>
        <v>0</v>
      </c>
      <c r="O160" s="849"/>
    </row>
    <row r="161" spans="1:15" s="121" customFormat="1" ht="24.95" hidden="1" customHeight="1">
      <c r="A161" s="1634"/>
      <c r="B161" s="763"/>
      <c r="C161" s="730" t="s">
        <v>873</v>
      </c>
      <c r="D161" s="730" t="s">
        <v>873</v>
      </c>
      <c r="E161" s="720" t="s">
        <v>1191</v>
      </c>
      <c r="F161" s="719" t="s">
        <v>848</v>
      </c>
      <c r="G161" s="720" t="s">
        <v>872</v>
      </c>
      <c r="H161" s="721" t="s">
        <v>1192</v>
      </c>
      <c r="I161" s="731" t="s">
        <v>507</v>
      </c>
      <c r="J161" s="884"/>
      <c r="K161" s="885"/>
      <c r="L161" s="885"/>
      <c r="M161" s="886"/>
      <c r="N161" s="1370">
        <f t="shared" si="8"/>
        <v>0</v>
      </c>
      <c r="O161" s="850"/>
    </row>
    <row r="162" spans="1:15" s="121" customFormat="1" ht="24.95" hidden="1" customHeight="1">
      <c r="A162" s="1634" t="s">
        <v>1695</v>
      </c>
      <c r="B162" s="680"/>
      <c r="C162" s="238" t="s">
        <v>1279</v>
      </c>
      <c r="D162" s="424" t="s">
        <v>1280</v>
      </c>
      <c r="E162" s="556" t="s">
        <v>1281</v>
      </c>
      <c r="F162" s="1917" t="s">
        <v>1036</v>
      </c>
      <c r="G162" s="1918"/>
      <c r="H162" s="557" t="s">
        <v>364</v>
      </c>
      <c r="I162" s="120" t="s">
        <v>46</v>
      </c>
      <c r="J162" s="879"/>
      <c r="K162" s="879"/>
      <c r="L162" s="879"/>
      <c r="M162" s="861"/>
      <c r="N162" s="1370">
        <f t="shared" si="8"/>
        <v>0</v>
      </c>
      <c r="O162" s="709"/>
    </row>
    <row r="163" spans="1:15" s="121" customFormat="1" ht="24.95" hidden="1" customHeight="1">
      <c r="A163" s="1867" t="s">
        <v>1194</v>
      </c>
      <c r="B163" s="546"/>
      <c r="C163" s="238" t="s">
        <v>1228</v>
      </c>
      <c r="D163" s="424" t="s">
        <v>1229</v>
      </c>
      <c r="E163" s="556" t="s">
        <v>3175</v>
      </c>
      <c r="F163" s="1917" t="s">
        <v>1036</v>
      </c>
      <c r="G163" s="1918"/>
      <c r="H163" s="557" t="s">
        <v>364</v>
      </c>
      <c r="I163" s="120" t="s">
        <v>46</v>
      </c>
      <c r="J163" s="879"/>
      <c r="K163" s="879"/>
      <c r="L163" s="879"/>
      <c r="M163" s="861"/>
      <c r="N163" s="1370">
        <f t="shared" si="8"/>
        <v>0</v>
      </c>
      <c r="O163" s="709"/>
    </row>
    <row r="164" spans="1:15" s="121" customFormat="1" ht="24.95" hidden="1" customHeight="1">
      <c r="A164" s="1868"/>
      <c r="B164" s="418"/>
      <c r="C164" s="353" t="s">
        <v>1131</v>
      </c>
      <c r="D164" s="880" t="s">
        <v>1604</v>
      </c>
      <c r="E164" s="358"/>
      <c r="F164" s="1915" t="s">
        <v>506</v>
      </c>
      <c r="G164" s="1916"/>
      <c r="H164" s="558"/>
      <c r="I164" s="122" t="s">
        <v>338</v>
      </c>
      <c r="J164" s="880">
        <f>(J139+J162+J163)*4</f>
        <v>0</v>
      </c>
      <c r="K164" s="394"/>
      <c r="L164" s="394"/>
      <c r="M164" s="860"/>
      <c r="N164" s="1370">
        <f t="shared" si="8"/>
        <v>0</v>
      </c>
      <c r="O164" s="774"/>
    </row>
    <row r="165" spans="1:15" s="121" customFormat="1" ht="24" customHeight="1">
      <c r="A165" s="1868"/>
      <c r="B165" s="422"/>
      <c r="C165" s="353" t="s">
        <v>1696</v>
      </c>
      <c r="D165" s="880" t="s">
        <v>1603</v>
      </c>
      <c r="E165" s="358" t="s">
        <v>1697</v>
      </c>
      <c r="F165" s="358" t="s">
        <v>865</v>
      </c>
      <c r="G165" s="358" t="s">
        <v>866</v>
      </c>
      <c r="H165" s="558" t="s">
        <v>867</v>
      </c>
      <c r="I165" s="122" t="s">
        <v>40</v>
      </c>
      <c r="J165" s="880">
        <f>3</f>
        <v>3</v>
      </c>
      <c r="K165" s="394">
        <f>J165</f>
        <v>3</v>
      </c>
      <c r="L165" s="394"/>
      <c r="M165" s="860"/>
      <c r="N165" s="1370">
        <f t="shared" si="8"/>
        <v>6</v>
      </c>
      <c r="O165" s="845"/>
    </row>
    <row r="166" spans="1:15" s="121" customFormat="1" ht="24.95" hidden="1" customHeight="1">
      <c r="A166" s="1868"/>
      <c r="B166" s="441"/>
      <c r="C166" s="353" t="s">
        <v>1698</v>
      </c>
      <c r="D166" s="1236" t="s">
        <v>1699</v>
      </c>
      <c r="E166" s="358" t="s">
        <v>1700</v>
      </c>
      <c r="F166" s="1915" t="s">
        <v>527</v>
      </c>
      <c r="G166" s="1916"/>
      <c r="H166" s="558" t="s">
        <v>364</v>
      </c>
      <c r="I166" s="122" t="s">
        <v>338</v>
      </c>
      <c r="J166" s="880">
        <f>'10-2-1. 전원_PIA_LAN물량(ICT실)_동해안'!H80</f>
        <v>0</v>
      </c>
      <c r="K166" s="394">
        <f>'10-2-2. 전원_PIA_LAN물량_동강'!H80</f>
        <v>0</v>
      </c>
      <c r="L166" s="887"/>
      <c r="M166" s="860"/>
      <c r="N166" s="1370">
        <f t="shared" si="8"/>
        <v>0</v>
      </c>
      <c r="O166" s="774"/>
    </row>
    <row r="167" spans="1:15" s="121" customFormat="1" ht="24.95" hidden="1" customHeight="1">
      <c r="A167" s="1868"/>
      <c r="B167" s="442"/>
      <c r="C167" s="425" t="s">
        <v>1701</v>
      </c>
      <c r="D167" s="1236" t="s">
        <v>1702</v>
      </c>
      <c r="E167" s="358" t="s">
        <v>1703</v>
      </c>
      <c r="F167" s="647" t="s">
        <v>1393</v>
      </c>
      <c r="G167" s="648"/>
      <c r="H167" s="558" t="s">
        <v>364</v>
      </c>
      <c r="I167" s="122" t="s">
        <v>46</v>
      </c>
      <c r="J167" s="880">
        <f>'10-2-1. 전원_PIA_LAN물량(ICT실)_동해안'!H86</f>
        <v>0</v>
      </c>
      <c r="K167" s="394"/>
      <c r="L167" s="394"/>
      <c r="M167" s="860"/>
      <c r="N167" s="1370">
        <f t="shared" si="8"/>
        <v>0</v>
      </c>
      <c r="O167" s="774"/>
    </row>
    <row r="168" spans="1:15" s="121" customFormat="1" ht="24.95" customHeight="1">
      <c r="A168" s="1868"/>
      <c r="B168" s="442"/>
      <c r="C168" s="426" t="s">
        <v>1606</v>
      </c>
      <c r="D168" s="578" t="s">
        <v>1607</v>
      </c>
      <c r="E168" s="564" t="s">
        <v>1608</v>
      </c>
      <c r="F168" s="572" t="s">
        <v>528</v>
      </c>
      <c r="G168" s="572" t="s">
        <v>528</v>
      </c>
      <c r="H168" s="563" t="s">
        <v>364</v>
      </c>
      <c r="I168" s="430" t="s">
        <v>338</v>
      </c>
      <c r="J168" s="394">
        <f>'10-2-1. 전원_PIA_LAN물량(ICT실)_동해안'!H79</f>
        <v>2</v>
      </c>
      <c r="K168" s="394">
        <f>'10-2-2. 전원_PIA_LAN물량_동강'!H79</f>
        <v>1</v>
      </c>
      <c r="L168" s="394"/>
      <c r="M168" s="860"/>
      <c r="N168" s="1370">
        <f t="shared" si="8"/>
        <v>3</v>
      </c>
      <c r="O168" s="774"/>
    </row>
    <row r="169" spans="1:15" s="121" customFormat="1" ht="24.95" customHeight="1">
      <c r="A169" s="1868"/>
      <c r="B169" s="441"/>
      <c r="C169" s="353" t="s">
        <v>529</v>
      </c>
      <c r="D169" s="880" t="s">
        <v>2380</v>
      </c>
      <c r="E169" s="358" t="s">
        <v>1549</v>
      </c>
      <c r="F169" s="571"/>
      <c r="G169" s="571"/>
      <c r="H169" s="558" t="s">
        <v>1704</v>
      </c>
      <c r="I169" s="122" t="s">
        <v>11</v>
      </c>
      <c r="J169" s="880">
        <v>2</v>
      </c>
      <c r="K169" s="394">
        <v>1</v>
      </c>
      <c r="L169" s="394"/>
      <c r="M169" s="860"/>
      <c r="N169" s="1370">
        <f t="shared" si="8"/>
        <v>3</v>
      </c>
      <c r="O169" s="774"/>
    </row>
    <row r="170" spans="1:15" s="121" customFormat="1" ht="24.95" hidden="1" customHeight="1">
      <c r="A170" s="1868"/>
      <c r="B170" s="441"/>
      <c r="C170" s="353" t="s">
        <v>1753</v>
      </c>
      <c r="D170" s="880" t="s">
        <v>2439</v>
      </c>
      <c r="E170" s="358" t="s">
        <v>1233</v>
      </c>
      <c r="F170" s="571" t="s">
        <v>1462</v>
      </c>
      <c r="G170" s="571"/>
      <c r="H170" s="558" t="s">
        <v>1704</v>
      </c>
      <c r="I170" s="122" t="s">
        <v>11</v>
      </c>
      <c r="J170" s="880"/>
      <c r="K170" s="394"/>
      <c r="L170" s="394"/>
      <c r="M170" s="860"/>
      <c r="N170" s="1370">
        <f t="shared" si="8"/>
        <v>0</v>
      </c>
      <c r="O170" s="774"/>
    </row>
    <row r="171" spans="1:15" s="121" customFormat="1" ht="24.95" customHeight="1">
      <c r="A171" s="1868"/>
      <c r="B171" s="441"/>
      <c r="C171" s="353" t="s">
        <v>532</v>
      </c>
      <c r="D171" s="880" t="s">
        <v>533</v>
      </c>
      <c r="E171" s="358" t="str">
        <f>'10-2-1. 전원_PIA_LAN물량(ICT실)_동해안'!D74</f>
        <v>전원분전반(UPS출력)</v>
      </c>
      <c r="F171" s="358" t="str">
        <f>'10-2-1. 전원_PIA_LAN물량(ICT실)_동해안'!D74</f>
        <v>전원분전반(UPS출력)</v>
      </c>
      <c r="G171" s="358" t="str">
        <f>'10-2-1. 전원_PIA_LAN물량(ICT실)_동해안'!E74</f>
        <v>LAN/일 랙</v>
      </c>
      <c r="H171" s="558" t="s">
        <v>2010</v>
      </c>
      <c r="I171" s="122" t="s">
        <v>40</v>
      </c>
      <c r="J171" s="880">
        <f>'10-2-1. 전원_PIA_LAN물량(ICT실)_동해안'!H74</f>
        <v>10</v>
      </c>
      <c r="K171" s="394">
        <f>'10-2-2. 전원_PIA_LAN물량_동강'!H74</f>
        <v>10</v>
      </c>
      <c r="L171" s="394"/>
      <c r="M171" s="860"/>
      <c r="N171" s="1370">
        <f t="shared" si="8"/>
        <v>20</v>
      </c>
      <c r="O171" s="774"/>
    </row>
    <row r="172" spans="1:15" s="121" customFormat="1" ht="24.95" customHeight="1">
      <c r="A172" s="1868"/>
      <c r="B172" s="441"/>
      <c r="C172" s="353" t="s">
        <v>532</v>
      </c>
      <c r="D172" s="880" t="s">
        <v>533</v>
      </c>
      <c r="E172" s="358" t="str">
        <f>'10-2-1. 전원_PIA_LAN물량(ICT실)_동해안'!D75</f>
        <v>전원분전반(충전기출력)</v>
      </c>
      <c r="F172" s="358" t="str">
        <f>'10-2-1. 전원_PIA_LAN물량(ICT실)_동해안'!D75</f>
        <v>전원분전반(충전기출력)</v>
      </c>
      <c r="G172" s="358" t="str">
        <f>'10-2-1. 전원_PIA_LAN물량(ICT실)_동해안'!E75</f>
        <v>LAN/일 랙</v>
      </c>
      <c r="H172" s="558" t="s">
        <v>2010</v>
      </c>
      <c r="I172" s="122" t="s">
        <v>40</v>
      </c>
      <c r="J172" s="880">
        <f>'10-2-1. 전원_PIA_LAN물량(ICT실)_동해안'!H75</f>
        <v>10</v>
      </c>
      <c r="K172" s="394">
        <f>'10-2-2. 전원_PIA_LAN물량_동강'!H75</f>
        <v>10</v>
      </c>
      <c r="L172" s="394"/>
      <c r="M172" s="860"/>
      <c r="N172" s="1370">
        <f t="shared" si="8"/>
        <v>20</v>
      </c>
      <c r="O172" s="774"/>
    </row>
    <row r="173" spans="1:15" s="121" customFormat="1" ht="24.95" customHeight="1">
      <c r="A173" s="1868"/>
      <c r="B173" s="441"/>
      <c r="C173" s="353" t="s">
        <v>534</v>
      </c>
      <c r="D173" s="880" t="s">
        <v>535</v>
      </c>
      <c r="E173" s="358" t="s">
        <v>531</v>
      </c>
      <c r="F173" s="358" t="s">
        <v>1193</v>
      </c>
      <c r="G173" s="358" t="s">
        <v>1715</v>
      </c>
      <c r="H173" s="558" t="s">
        <v>1705</v>
      </c>
      <c r="I173" s="122" t="s">
        <v>40</v>
      </c>
      <c r="J173" s="880">
        <f>'10-2-1. 전원_PIA_LAN물량(ICT실)_동해안'!H77</f>
        <v>16</v>
      </c>
      <c r="K173" s="394"/>
      <c r="L173" s="394"/>
      <c r="M173" s="860"/>
      <c r="N173" s="1370">
        <f t="shared" si="8"/>
        <v>16</v>
      </c>
      <c r="O173" s="774"/>
    </row>
    <row r="174" spans="1:15" s="121" customFormat="1" ht="24.95" customHeight="1">
      <c r="A174" s="1868"/>
      <c r="B174" s="441"/>
      <c r="C174" s="353" t="s">
        <v>1706</v>
      </c>
      <c r="D174" s="880" t="s">
        <v>1707</v>
      </c>
      <c r="E174" s="358" t="s">
        <v>1708</v>
      </c>
      <c r="F174" s="358" t="s">
        <v>1193</v>
      </c>
      <c r="G174" s="358" t="s">
        <v>1715</v>
      </c>
      <c r="H174" s="558" t="s">
        <v>162</v>
      </c>
      <c r="I174" s="122" t="s">
        <v>40</v>
      </c>
      <c r="J174" s="880">
        <f>'10-2-1. 전원_PIA_LAN물량(ICT실)_동해안'!H78</f>
        <v>4</v>
      </c>
      <c r="K174" s="394">
        <f>'10-2-2. 전원_PIA_LAN물량_동강'!H78</f>
        <v>1</v>
      </c>
      <c r="L174" s="394"/>
      <c r="M174" s="860"/>
      <c r="N174" s="1370">
        <f t="shared" si="8"/>
        <v>5</v>
      </c>
      <c r="O174" s="774"/>
    </row>
    <row r="175" spans="1:15" s="121" customFormat="1" ht="24.95" hidden="1" customHeight="1">
      <c r="A175" s="1868"/>
      <c r="B175" s="441"/>
      <c r="C175" s="353" t="s">
        <v>1038</v>
      </c>
      <c r="D175" s="880" t="s">
        <v>1039</v>
      </c>
      <c r="E175" s="358" t="s">
        <v>1012</v>
      </c>
      <c r="F175" s="358"/>
      <c r="G175" s="358"/>
      <c r="H175" s="558" t="s">
        <v>1704</v>
      </c>
      <c r="I175" s="122" t="s">
        <v>11</v>
      </c>
      <c r="J175" s="880"/>
      <c r="K175" s="394"/>
      <c r="L175" s="394"/>
      <c r="M175" s="860"/>
      <c r="N175" s="1370">
        <f t="shared" si="8"/>
        <v>0</v>
      </c>
      <c r="O175" s="774"/>
    </row>
    <row r="176" spans="1:15" s="121" customFormat="1" ht="24.95" hidden="1" customHeight="1">
      <c r="A176" s="1868"/>
      <c r="B176" s="441"/>
      <c r="C176" s="353" t="s">
        <v>1709</v>
      </c>
      <c r="D176" s="880" t="s">
        <v>2381</v>
      </c>
      <c r="E176" s="358" t="s">
        <v>1710</v>
      </c>
      <c r="F176" s="358" t="s">
        <v>1716</v>
      </c>
      <c r="G176" s="358" t="s">
        <v>1717</v>
      </c>
      <c r="H176" s="558" t="s">
        <v>162</v>
      </c>
      <c r="I176" s="122" t="s">
        <v>40</v>
      </c>
      <c r="J176" s="880"/>
      <c r="K176" s="394"/>
      <c r="L176" s="394"/>
      <c r="M176" s="860"/>
      <c r="N176" s="1370">
        <f t="shared" si="8"/>
        <v>0</v>
      </c>
      <c r="O176" s="774"/>
    </row>
    <row r="177" spans="1:15" s="121" customFormat="1" ht="24.95" hidden="1" customHeight="1">
      <c r="A177" s="1868"/>
      <c r="B177" s="441"/>
      <c r="C177" s="353" t="s">
        <v>939</v>
      </c>
      <c r="D177" s="880" t="s">
        <v>940</v>
      </c>
      <c r="E177" s="358" t="s">
        <v>941</v>
      </c>
      <c r="F177" s="358" t="s">
        <v>1718</v>
      </c>
      <c r="G177" s="358" t="s">
        <v>1719</v>
      </c>
      <c r="H177" s="558" t="s">
        <v>1704</v>
      </c>
      <c r="I177" s="122" t="s">
        <v>11</v>
      </c>
      <c r="J177" s="880"/>
      <c r="K177" s="394"/>
      <c r="L177" s="394"/>
      <c r="M177" s="860"/>
      <c r="N177" s="1370">
        <f t="shared" si="8"/>
        <v>0</v>
      </c>
      <c r="O177" s="774"/>
    </row>
    <row r="178" spans="1:15" s="121" customFormat="1" ht="24.95" customHeight="1">
      <c r="A178" s="1868"/>
      <c r="B178" s="441"/>
      <c r="C178" s="353" t="s">
        <v>1711</v>
      </c>
      <c r="D178" s="880" t="s">
        <v>1586</v>
      </c>
      <c r="E178" s="358" t="s">
        <v>1712</v>
      </c>
      <c r="F178" s="358" t="s">
        <v>729</v>
      </c>
      <c r="G178" s="358" t="s">
        <v>1720</v>
      </c>
      <c r="H178" s="558" t="s">
        <v>1713</v>
      </c>
      <c r="I178" s="122" t="s">
        <v>338</v>
      </c>
      <c r="J178" s="880">
        <f>2+2</f>
        <v>4</v>
      </c>
      <c r="K178" s="394">
        <v>2</v>
      </c>
      <c r="L178" s="394"/>
      <c r="M178" s="860"/>
      <c r="N178" s="1370">
        <f t="shared" si="8"/>
        <v>6</v>
      </c>
      <c r="O178" s="774"/>
    </row>
    <row r="179" spans="1:15" s="121" customFormat="1" ht="24.95" customHeight="1">
      <c r="A179" s="1868"/>
      <c r="B179" s="422"/>
      <c r="C179" s="353" t="s">
        <v>534</v>
      </c>
      <c r="D179" s="1236" t="s">
        <v>535</v>
      </c>
      <c r="E179" s="358" t="s">
        <v>1714</v>
      </c>
      <c r="F179" s="358" t="s">
        <v>725</v>
      </c>
      <c r="G179" s="358" t="s">
        <v>537</v>
      </c>
      <c r="H179" s="558" t="s">
        <v>162</v>
      </c>
      <c r="I179" s="122" t="s">
        <v>40</v>
      </c>
      <c r="J179" s="880">
        <f>'10-2-1. 전원_PIA_LAN물량(ICT실)_동해안'!H68+'10-2-1. 전원_PIA_LAN물량(ICT실)_동해안'!H70+'10-2-1. 전원_PIA_LAN물량(ICT실)_동해안'!H69</f>
        <v>61</v>
      </c>
      <c r="K179" s="394">
        <f>'10-2-2. 전원_PIA_LAN물량_동강'!H68+'10-2-2. 전원_PIA_LAN물량_동강'!H69+'10-2-2. 전원_PIA_LAN물량_동강'!H70</f>
        <v>50</v>
      </c>
      <c r="L179" s="394"/>
      <c r="M179" s="860"/>
      <c r="N179" s="1370">
        <f t="shared" si="8"/>
        <v>111</v>
      </c>
      <c r="O179" s="774"/>
    </row>
    <row r="180" spans="1:15" s="121" customFormat="1" ht="24.95" customHeight="1">
      <c r="A180" s="1868"/>
      <c r="B180" s="422"/>
      <c r="C180" s="353" t="s">
        <v>522</v>
      </c>
      <c r="D180" s="1236" t="s">
        <v>523</v>
      </c>
      <c r="E180" s="358" t="s">
        <v>538</v>
      </c>
      <c r="F180" s="358" t="s">
        <v>729</v>
      </c>
      <c r="G180" s="358" t="s">
        <v>537</v>
      </c>
      <c r="H180" s="558" t="s">
        <v>525</v>
      </c>
      <c r="I180" s="122" t="s">
        <v>519</v>
      </c>
      <c r="J180" s="880">
        <f>'10-2-1. 전원_PIA_LAN물량(ICT실)_동해안'!H71+'10-2-1. 전원_PIA_LAN물량(ICT실)_동해안'!H72+'10-2-1. 전원_PIA_LAN물량(ICT실)_동해안'!H73</f>
        <v>30.5</v>
      </c>
      <c r="K180" s="394">
        <f>'10-2-2. 전원_PIA_LAN물량_동강'!H71+'10-2-2. 전원_PIA_LAN물량_동강'!H72+'10-2-2. 전원_PIA_LAN물량_동강'!H73</f>
        <v>28</v>
      </c>
      <c r="L180" s="394"/>
      <c r="M180" s="860"/>
      <c r="N180" s="1370">
        <f t="shared" si="8"/>
        <v>58.5</v>
      </c>
      <c r="O180" s="774"/>
    </row>
    <row r="181" spans="1:15" s="121" customFormat="1" ht="24.95" hidden="1" customHeight="1">
      <c r="A181" s="1868"/>
      <c r="B181" s="422"/>
      <c r="C181" s="353" t="s">
        <v>1553</v>
      </c>
      <c r="D181" s="1236" t="s">
        <v>1554</v>
      </c>
      <c r="E181" s="358" t="s">
        <v>1588</v>
      </c>
      <c r="F181" s="358" t="s">
        <v>1589</v>
      </c>
      <c r="G181" s="358"/>
      <c r="H181" s="558" t="s">
        <v>1595</v>
      </c>
      <c r="I181" s="122" t="s">
        <v>337</v>
      </c>
      <c r="J181" s="880"/>
      <c r="K181" s="394"/>
      <c r="L181" s="394"/>
      <c r="M181" s="860"/>
      <c r="N181" s="1370">
        <f t="shared" si="8"/>
        <v>0</v>
      </c>
      <c r="O181" s="774"/>
    </row>
    <row r="182" spans="1:15" s="121" customFormat="1" ht="24.95" hidden="1" customHeight="1">
      <c r="A182" s="1868"/>
      <c r="B182" s="422"/>
      <c r="C182" s="353" t="s">
        <v>1555</v>
      </c>
      <c r="D182" s="1236" t="s">
        <v>1556</v>
      </c>
      <c r="E182" s="358" t="s">
        <v>1588</v>
      </c>
      <c r="F182" s="358" t="s">
        <v>1590</v>
      </c>
      <c r="G182" s="358"/>
      <c r="H182" s="558" t="s">
        <v>1593</v>
      </c>
      <c r="I182" s="122" t="s">
        <v>337</v>
      </c>
      <c r="J182" s="880"/>
      <c r="K182" s="394"/>
      <c r="L182" s="394"/>
      <c r="M182" s="860"/>
      <c r="N182" s="1370">
        <f t="shared" si="8"/>
        <v>0</v>
      </c>
      <c r="O182" s="774"/>
    </row>
    <row r="183" spans="1:15" s="121" customFormat="1" ht="24.95" hidden="1" customHeight="1">
      <c r="A183" s="1868"/>
      <c r="B183" s="422"/>
      <c r="C183" s="353" t="s">
        <v>1557</v>
      </c>
      <c r="D183" s="1236" t="s">
        <v>1558</v>
      </c>
      <c r="E183" s="358" t="s">
        <v>1588</v>
      </c>
      <c r="F183" s="358" t="s">
        <v>1590</v>
      </c>
      <c r="G183" s="358"/>
      <c r="H183" s="558" t="s">
        <v>1593</v>
      </c>
      <c r="I183" s="122" t="s">
        <v>337</v>
      </c>
      <c r="J183" s="880"/>
      <c r="K183" s="394"/>
      <c r="L183" s="394"/>
      <c r="M183" s="860"/>
      <c r="N183" s="1370">
        <f t="shared" si="8"/>
        <v>0</v>
      </c>
      <c r="O183" s="774"/>
    </row>
    <row r="184" spans="1:15" s="121" customFormat="1" ht="24.95" hidden="1" customHeight="1">
      <c r="A184" s="1868"/>
      <c r="B184" s="422"/>
      <c r="C184" s="353" t="s">
        <v>1559</v>
      </c>
      <c r="D184" s="1236" t="s">
        <v>1560</v>
      </c>
      <c r="E184" s="358" t="s">
        <v>1588</v>
      </c>
      <c r="F184" s="358" t="s">
        <v>1591</v>
      </c>
      <c r="G184" s="358"/>
      <c r="H184" s="558" t="s">
        <v>1593</v>
      </c>
      <c r="I184" s="122" t="s">
        <v>337</v>
      </c>
      <c r="J184" s="880"/>
      <c r="K184" s="394"/>
      <c r="L184" s="394"/>
      <c r="M184" s="860"/>
      <c r="N184" s="1370">
        <f t="shared" si="8"/>
        <v>0</v>
      </c>
      <c r="O184" s="774"/>
    </row>
    <row r="185" spans="1:15" s="121" customFormat="1" ht="24.95" hidden="1" customHeight="1">
      <c r="A185" s="1868"/>
      <c r="B185" s="422"/>
      <c r="C185" s="353" t="s">
        <v>1561</v>
      </c>
      <c r="D185" s="1236" t="s">
        <v>1562</v>
      </c>
      <c r="E185" s="358" t="s">
        <v>1588</v>
      </c>
      <c r="F185" s="358" t="s">
        <v>1590</v>
      </c>
      <c r="G185" s="358"/>
      <c r="H185" s="558" t="s">
        <v>1593</v>
      </c>
      <c r="I185" s="122" t="s">
        <v>195</v>
      </c>
      <c r="J185" s="880"/>
      <c r="K185" s="394"/>
      <c r="L185" s="394"/>
      <c r="M185" s="860"/>
      <c r="N185" s="1370">
        <f t="shared" si="8"/>
        <v>0</v>
      </c>
      <c r="O185" s="774"/>
    </row>
    <row r="186" spans="1:15" s="121" customFormat="1" ht="24.95" hidden="1" customHeight="1">
      <c r="A186" s="1868"/>
      <c r="B186" s="422"/>
      <c r="C186" s="353" t="s">
        <v>1563</v>
      </c>
      <c r="D186" s="1236" t="s">
        <v>1564</v>
      </c>
      <c r="E186" s="358" t="s">
        <v>1588</v>
      </c>
      <c r="F186" s="358" t="s">
        <v>1591</v>
      </c>
      <c r="G186" s="358"/>
      <c r="H186" s="558" t="s">
        <v>1593</v>
      </c>
      <c r="I186" s="122" t="s">
        <v>195</v>
      </c>
      <c r="J186" s="880"/>
      <c r="K186" s="394"/>
      <c r="L186" s="394"/>
      <c r="M186" s="860"/>
      <c r="N186" s="1370">
        <f t="shared" si="8"/>
        <v>0</v>
      </c>
      <c r="O186" s="774"/>
    </row>
    <row r="187" spans="1:15" s="121" customFormat="1" ht="24.95" hidden="1" customHeight="1">
      <c r="A187" s="1868"/>
      <c r="B187" s="422"/>
      <c r="C187" s="353" t="s">
        <v>1565</v>
      </c>
      <c r="D187" s="1236" t="s">
        <v>1566</v>
      </c>
      <c r="E187" s="358" t="s">
        <v>1588</v>
      </c>
      <c r="F187" s="358" t="s">
        <v>1591</v>
      </c>
      <c r="G187" s="358"/>
      <c r="H187" s="558" t="s">
        <v>1594</v>
      </c>
      <c r="I187" s="122" t="s">
        <v>1546</v>
      </c>
      <c r="J187" s="880"/>
      <c r="K187" s="394"/>
      <c r="L187" s="394"/>
      <c r="M187" s="860"/>
      <c r="N187" s="1370">
        <f t="shared" si="8"/>
        <v>0</v>
      </c>
      <c r="O187" s="774"/>
    </row>
    <row r="188" spans="1:15" s="121" customFormat="1" ht="24.95" hidden="1" customHeight="1">
      <c r="A188" s="1868"/>
      <c r="B188" s="422"/>
      <c r="C188" s="353" t="s">
        <v>1567</v>
      </c>
      <c r="D188" s="1236" t="s">
        <v>1568</v>
      </c>
      <c r="E188" s="358" t="s">
        <v>1588</v>
      </c>
      <c r="F188" s="358" t="s">
        <v>1592</v>
      </c>
      <c r="G188" s="358"/>
      <c r="H188" s="558" t="s">
        <v>1593</v>
      </c>
      <c r="I188" s="122" t="s">
        <v>337</v>
      </c>
      <c r="J188" s="880"/>
      <c r="K188" s="394"/>
      <c r="L188" s="394"/>
      <c r="M188" s="860"/>
      <c r="N188" s="1370">
        <f t="shared" si="8"/>
        <v>0</v>
      </c>
      <c r="O188" s="774"/>
    </row>
    <row r="189" spans="1:15" s="121" customFormat="1" ht="24.95" hidden="1" customHeight="1">
      <c r="A189" s="1868"/>
      <c r="B189" s="422"/>
      <c r="C189" s="353" t="s">
        <v>1569</v>
      </c>
      <c r="D189" s="1236" t="s">
        <v>1570</v>
      </c>
      <c r="E189" s="358" t="s">
        <v>1588</v>
      </c>
      <c r="F189" s="358" t="s">
        <v>1592</v>
      </c>
      <c r="G189" s="358"/>
      <c r="H189" s="558" t="s">
        <v>1593</v>
      </c>
      <c r="I189" s="122" t="s">
        <v>195</v>
      </c>
      <c r="J189" s="880"/>
      <c r="K189" s="394"/>
      <c r="L189" s="394"/>
      <c r="M189" s="860"/>
      <c r="N189" s="1370">
        <f t="shared" si="8"/>
        <v>0</v>
      </c>
      <c r="O189" s="774"/>
    </row>
    <row r="190" spans="1:15" s="121" customFormat="1" ht="24.95" hidden="1" customHeight="1">
      <c r="A190" s="1868"/>
      <c r="B190" s="422"/>
      <c r="C190" s="353" t="s">
        <v>1571</v>
      </c>
      <c r="D190" s="1236" t="s">
        <v>1572</v>
      </c>
      <c r="E190" s="358" t="s">
        <v>1588</v>
      </c>
      <c r="F190" s="358" t="s">
        <v>1592</v>
      </c>
      <c r="G190" s="358"/>
      <c r="H190" s="558" t="s">
        <v>1593</v>
      </c>
      <c r="I190" s="122" t="s">
        <v>195</v>
      </c>
      <c r="J190" s="880"/>
      <c r="K190" s="394"/>
      <c r="L190" s="394"/>
      <c r="M190" s="860"/>
      <c r="N190" s="1370">
        <f t="shared" si="8"/>
        <v>0</v>
      </c>
      <c r="O190" s="774"/>
    </row>
    <row r="191" spans="1:15" s="121" customFormat="1" ht="24.95" hidden="1" customHeight="1">
      <c r="A191" s="1868"/>
      <c r="B191" s="422"/>
      <c r="C191" s="353" t="s">
        <v>1573</v>
      </c>
      <c r="D191" s="1236" t="s">
        <v>1574</v>
      </c>
      <c r="E191" s="358" t="s">
        <v>1588</v>
      </c>
      <c r="F191" s="358" t="s">
        <v>1592</v>
      </c>
      <c r="G191" s="358"/>
      <c r="H191" s="558" t="s">
        <v>1597</v>
      </c>
      <c r="I191" s="122" t="s">
        <v>337</v>
      </c>
      <c r="J191" s="880"/>
      <c r="K191" s="394"/>
      <c r="L191" s="394"/>
      <c r="M191" s="860"/>
      <c r="N191" s="1370">
        <f t="shared" si="8"/>
        <v>0</v>
      </c>
      <c r="O191" s="774"/>
    </row>
    <row r="192" spans="1:15" s="121" customFormat="1" ht="24.95" hidden="1" customHeight="1">
      <c r="A192" s="1868"/>
      <c r="B192" s="422"/>
      <c r="C192" s="353" t="s">
        <v>1575</v>
      </c>
      <c r="D192" s="1236" t="s">
        <v>1576</v>
      </c>
      <c r="E192" s="358" t="s">
        <v>1588</v>
      </c>
      <c r="F192" s="358" t="s">
        <v>1596</v>
      </c>
      <c r="G192" s="358"/>
      <c r="H192" s="558" t="s">
        <v>1597</v>
      </c>
      <c r="I192" s="122" t="s">
        <v>337</v>
      </c>
      <c r="J192" s="880"/>
      <c r="K192" s="394"/>
      <c r="L192" s="394"/>
      <c r="M192" s="860"/>
      <c r="N192" s="1370">
        <f t="shared" si="8"/>
        <v>0</v>
      </c>
      <c r="O192" s="774"/>
    </row>
    <row r="193" spans="1:15" s="121" customFormat="1" ht="24.95" customHeight="1" thickBot="1">
      <c r="A193" s="1869"/>
      <c r="B193" s="423"/>
      <c r="C193" s="125" t="s">
        <v>510</v>
      </c>
      <c r="D193" s="888" t="s">
        <v>511</v>
      </c>
      <c r="E193" s="567" t="s">
        <v>540</v>
      </c>
      <c r="F193" s="567" t="s">
        <v>512</v>
      </c>
      <c r="G193" s="567"/>
      <c r="H193" s="570" t="s">
        <v>541</v>
      </c>
      <c r="I193" s="127" t="s">
        <v>514</v>
      </c>
      <c r="J193" s="888">
        <v>1</v>
      </c>
      <c r="K193" s="878">
        <v>1</v>
      </c>
      <c r="L193" s="878"/>
      <c r="M193" s="889"/>
      <c r="N193" s="1382">
        <f t="shared" si="8"/>
        <v>2</v>
      </c>
      <c r="O193" s="851"/>
    </row>
    <row r="194" spans="1:15" s="121" customFormat="1" ht="24.95" customHeight="1">
      <c r="A194" s="128"/>
      <c r="B194" s="128"/>
      <c r="C194" s="176"/>
      <c r="D194" s="176"/>
      <c r="E194" s="573"/>
      <c r="F194" s="573"/>
      <c r="G194" s="573"/>
      <c r="H194" s="574"/>
      <c r="I194" s="177"/>
      <c r="J194" s="211"/>
      <c r="K194" s="211"/>
      <c r="L194" s="211"/>
      <c r="M194" s="211"/>
      <c r="N194" s="211"/>
      <c r="O194" s="263"/>
    </row>
    <row r="195" spans="1:15" s="119" customFormat="1" ht="24.95" customHeight="1" thickBot="1">
      <c r="A195" s="132" t="s">
        <v>2944</v>
      </c>
      <c r="B195" s="132"/>
      <c r="C195" s="118"/>
      <c r="E195" s="555"/>
      <c r="F195" s="555"/>
      <c r="G195" s="555"/>
      <c r="H195" s="555"/>
      <c r="J195" s="866"/>
      <c r="K195" s="866"/>
      <c r="L195" s="866"/>
      <c r="M195" s="866"/>
      <c r="N195" s="866"/>
    </row>
    <row r="196" spans="1:15" s="119" customFormat="1" ht="24.95" customHeight="1">
      <c r="A196" s="1875" t="s">
        <v>574</v>
      </c>
      <c r="B196" s="421"/>
      <c r="C196" s="1907" t="s">
        <v>575</v>
      </c>
      <c r="D196" s="1907" t="s">
        <v>576</v>
      </c>
      <c r="E196" s="1909" t="s">
        <v>577</v>
      </c>
      <c r="F196" s="1909" t="s">
        <v>578</v>
      </c>
      <c r="G196" s="1909" t="s">
        <v>579</v>
      </c>
      <c r="H196" s="1909" t="s">
        <v>580</v>
      </c>
      <c r="I196" s="1907" t="s">
        <v>581</v>
      </c>
      <c r="J196" s="1913" t="s">
        <v>147</v>
      </c>
      <c r="K196" s="1895"/>
      <c r="L196" s="1895"/>
      <c r="M196" s="1895"/>
      <c r="N196" s="1914"/>
      <c r="O196" s="264" t="s">
        <v>582</v>
      </c>
    </row>
    <row r="197" spans="1:15" s="119" customFormat="1" ht="24.95" customHeight="1" thickBot="1">
      <c r="A197" s="1876"/>
      <c r="B197" s="447"/>
      <c r="C197" s="1908"/>
      <c r="D197" s="1908"/>
      <c r="E197" s="1910"/>
      <c r="F197" s="1910"/>
      <c r="G197" s="1910"/>
      <c r="H197" s="1910"/>
      <c r="I197" s="1908"/>
      <c r="J197" s="856" t="s">
        <v>2634</v>
      </c>
      <c r="K197" s="857" t="s">
        <v>2636</v>
      </c>
      <c r="L197" s="857" t="s">
        <v>2638</v>
      </c>
      <c r="M197" s="858"/>
      <c r="N197" s="1380" t="s">
        <v>150</v>
      </c>
      <c r="O197" s="852"/>
    </row>
    <row r="198" spans="1:15" s="723" customFormat="1" ht="24.95" customHeight="1">
      <c r="A198" s="1872" t="s">
        <v>736</v>
      </c>
      <c r="B198" s="1239"/>
      <c r="C198" s="1240" t="s">
        <v>2397</v>
      </c>
      <c r="D198" s="1240" t="s">
        <v>2436</v>
      </c>
      <c r="E198" s="1241" t="s">
        <v>1544</v>
      </c>
      <c r="F198" s="773" t="s">
        <v>1545</v>
      </c>
      <c r="G198" s="773"/>
      <c r="H198" s="1242" t="s">
        <v>2399</v>
      </c>
      <c r="I198" s="1243" t="s">
        <v>853</v>
      </c>
      <c r="J198" s="764">
        <v>4</v>
      </c>
      <c r="K198" s="764"/>
      <c r="L198" s="764"/>
      <c r="M198" s="1244"/>
      <c r="N198" s="1383">
        <f>SUM(J198:M198)</f>
        <v>4</v>
      </c>
      <c r="O198" s="1730" t="s">
        <v>3333</v>
      </c>
    </row>
    <row r="199" spans="1:15" s="121" customFormat="1" ht="24.95" customHeight="1">
      <c r="A199" s="1873"/>
      <c r="B199" s="418"/>
      <c r="C199" s="459" t="s">
        <v>2398</v>
      </c>
      <c r="D199" s="459" t="s">
        <v>2398</v>
      </c>
      <c r="E199" s="473" t="s">
        <v>1544</v>
      </c>
      <c r="F199" s="564" t="s">
        <v>1545</v>
      </c>
      <c r="G199" s="564"/>
      <c r="H199" s="563" t="s">
        <v>2400</v>
      </c>
      <c r="I199" s="430" t="s">
        <v>1546</v>
      </c>
      <c r="J199" s="394">
        <v>3</v>
      </c>
      <c r="K199" s="394"/>
      <c r="L199" s="394"/>
      <c r="M199" s="860"/>
      <c r="N199" s="1378">
        <f>SUM(J199:M199)</f>
        <v>3</v>
      </c>
      <c r="O199" s="774"/>
    </row>
    <row r="200" spans="1:15" s="723" customFormat="1" ht="24.95" customHeight="1">
      <c r="A200" s="1874"/>
      <c r="B200" s="1245"/>
      <c r="C200" s="1246" t="s">
        <v>2437</v>
      </c>
      <c r="D200" s="1246" t="s">
        <v>2438</v>
      </c>
      <c r="E200" s="1247" t="s">
        <v>1544</v>
      </c>
      <c r="F200" s="1248" t="s">
        <v>1545</v>
      </c>
      <c r="G200" s="1248"/>
      <c r="H200" s="1640" t="s">
        <v>2400</v>
      </c>
      <c r="I200" s="1249" t="s">
        <v>1546</v>
      </c>
      <c r="J200" s="1250">
        <v>1</v>
      </c>
      <c r="K200" s="1250"/>
      <c r="L200" s="1250"/>
      <c r="M200" s="1251"/>
      <c r="N200" s="890">
        <f t="shared" ref="N200:N219" si="9">SUM(J200:M200)</f>
        <v>1</v>
      </c>
      <c r="O200" s="853"/>
    </row>
    <row r="201" spans="1:15" s="119" customFormat="1" ht="24.95" hidden="1" customHeight="1">
      <c r="A201" s="1870" t="s">
        <v>735</v>
      </c>
      <c r="B201" s="419"/>
      <c r="C201" s="789" t="s">
        <v>1283</v>
      </c>
      <c r="D201" s="790" t="s">
        <v>1230</v>
      </c>
      <c r="E201" s="791" t="s">
        <v>1195</v>
      </c>
      <c r="F201" s="561"/>
      <c r="G201" s="561"/>
      <c r="H201" s="562" t="s">
        <v>158</v>
      </c>
      <c r="I201" s="386" t="s">
        <v>195</v>
      </c>
      <c r="J201" s="891"/>
      <c r="K201" s="872"/>
      <c r="L201" s="872"/>
      <c r="M201" s="892"/>
      <c r="N201" s="1370">
        <f t="shared" si="9"/>
        <v>0</v>
      </c>
      <c r="O201" s="854"/>
    </row>
    <row r="202" spans="1:15" s="121" customFormat="1" ht="24.95" customHeight="1">
      <c r="A202" s="1881"/>
      <c r="B202" s="418"/>
      <c r="C202" s="792" t="s">
        <v>529</v>
      </c>
      <c r="D202" s="792" t="s">
        <v>1552</v>
      </c>
      <c r="E202" s="793" t="s">
        <v>587</v>
      </c>
      <c r="F202" s="556" t="s">
        <v>583</v>
      </c>
      <c r="G202" s="556"/>
      <c r="H202" s="557" t="s">
        <v>584</v>
      </c>
      <c r="I202" s="120" t="s">
        <v>585</v>
      </c>
      <c r="J202" s="879">
        <v>1</v>
      </c>
      <c r="K202" s="879"/>
      <c r="L202" s="879"/>
      <c r="M202" s="861"/>
      <c r="N202" s="1378">
        <f t="shared" si="9"/>
        <v>1</v>
      </c>
      <c r="O202" s="846"/>
    </row>
    <row r="203" spans="1:15" s="121" customFormat="1" ht="24.95" hidden="1" customHeight="1">
      <c r="A203" s="1881"/>
      <c r="B203" s="418"/>
      <c r="C203" s="787" t="s">
        <v>588</v>
      </c>
      <c r="D203" s="794" t="s">
        <v>888</v>
      </c>
      <c r="E203" s="788" t="s">
        <v>589</v>
      </c>
      <c r="F203" s="358" t="s">
        <v>723</v>
      </c>
      <c r="G203" s="358"/>
      <c r="H203" s="558" t="s">
        <v>584</v>
      </c>
      <c r="I203" s="122" t="s">
        <v>45</v>
      </c>
      <c r="J203" s="880"/>
      <c r="K203" s="394"/>
      <c r="L203" s="394"/>
      <c r="M203" s="860"/>
      <c r="N203" s="1378">
        <f t="shared" si="9"/>
        <v>0</v>
      </c>
      <c r="O203" s="774"/>
    </row>
    <row r="204" spans="1:15" s="121" customFormat="1" ht="24.95" customHeight="1">
      <c r="A204" s="1881"/>
      <c r="B204" s="418"/>
      <c r="C204" s="787" t="s">
        <v>590</v>
      </c>
      <c r="D204" s="787" t="s">
        <v>591</v>
      </c>
      <c r="E204" s="788" t="s">
        <v>586</v>
      </c>
      <c r="F204" s="358" t="s">
        <v>1272</v>
      </c>
      <c r="G204" s="358" t="s">
        <v>586</v>
      </c>
      <c r="H204" s="558" t="s">
        <v>592</v>
      </c>
      <c r="I204" s="122" t="s">
        <v>593</v>
      </c>
      <c r="J204" s="880">
        <f>'10-2-1. 전원_PIA_LAN물량(ICT실)_동해안'!H91</f>
        <v>12</v>
      </c>
      <c r="K204" s="394"/>
      <c r="L204" s="394"/>
      <c r="M204" s="860"/>
      <c r="N204" s="1378">
        <f t="shared" si="9"/>
        <v>12</v>
      </c>
      <c r="O204" s="774"/>
    </row>
    <row r="205" spans="1:15" s="121" customFormat="1" ht="24.95" customHeight="1">
      <c r="A205" s="1881"/>
      <c r="B205" s="418"/>
      <c r="C205" s="787" t="s">
        <v>590</v>
      </c>
      <c r="D205" s="787" t="s">
        <v>591</v>
      </c>
      <c r="E205" s="788" t="s">
        <v>1196</v>
      </c>
      <c r="F205" s="358" t="s">
        <v>586</v>
      </c>
      <c r="G205" s="358" t="s">
        <v>1197</v>
      </c>
      <c r="H205" s="558" t="s">
        <v>592</v>
      </c>
      <c r="I205" s="122" t="s">
        <v>593</v>
      </c>
      <c r="J205" s="880">
        <f>'10-2-1. 전원_PIA_LAN물량(ICT실)_동해안'!H92</f>
        <v>9</v>
      </c>
      <c r="K205" s="394"/>
      <c r="L205" s="394"/>
      <c r="M205" s="860"/>
      <c r="N205" s="1378">
        <f t="shared" si="9"/>
        <v>9</v>
      </c>
      <c r="O205" s="774"/>
    </row>
    <row r="206" spans="1:15" s="121" customFormat="1" ht="24.95" customHeight="1">
      <c r="A206" s="1881"/>
      <c r="B206" s="418"/>
      <c r="C206" s="787" t="s">
        <v>590</v>
      </c>
      <c r="D206" s="787" t="s">
        <v>591</v>
      </c>
      <c r="E206" s="788" t="s">
        <v>594</v>
      </c>
      <c r="F206" s="358" t="s">
        <v>586</v>
      </c>
      <c r="G206" s="358" t="s">
        <v>595</v>
      </c>
      <c r="H206" s="558" t="s">
        <v>2012</v>
      </c>
      <c r="I206" s="122" t="s">
        <v>593</v>
      </c>
      <c r="J206" s="880">
        <f>'10-2-1. 전원_PIA_LAN물량(ICT실)_동해안'!H93</f>
        <v>243</v>
      </c>
      <c r="K206" s="394"/>
      <c r="L206" s="394"/>
      <c r="M206" s="860"/>
      <c r="N206" s="1378">
        <f t="shared" si="9"/>
        <v>243</v>
      </c>
      <c r="O206" s="774"/>
    </row>
    <row r="207" spans="1:15" s="121" customFormat="1" ht="24.95" hidden="1" customHeight="1">
      <c r="A207" s="1881"/>
      <c r="B207" s="418"/>
      <c r="C207" s="787" t="s">
        <v>590</v>
      </c>
      <c r="D207" s="787" t="s">
        <v>591</v>
      </c>
      <c r="E207" s="788" t="s">
        <v>588</v>
      </c>
      <c r="F207" s="358" t="s">
        <v>1198</v>
      </c>
      <c r="G207" s="358" t="s">
        <v>597</v>
      </c>
      <c r="H207" s="558" t="s">
        <v>592</v>
      </c>
      <c r="I207" s="122" t="s">
        <v>593</v>
      </c>
      <c r="J207" s="880">
        <f>'10-2-1. 전원_PIA_LAN물량(ICT실)_동해안'!H94</f>
        <v>0</v>
      </c>
      <c r="K207" s="394"/>
      <c r="L207" s="394"/>
      <c r="M207" s="860"/>
      <c r="N207" s="1378">
        <f t="shared" si="9"/>
        <v>0</v>
      </c>
      <c r="O207" s="774"/>
    </row>
    <row r="208" spans="1:15" s="121" customFormat="1" ht="24.95" customHeight="1">
      <c r="A208" s="1881"/>
      <c r="B208" s="418"/>
      <c r="C208" s="787" t="s">
        <v>598</v>
      </c>
      <c r="D208" s="794" t="s">
        <v>599</v>
      </c>
      <c r="E208" s="788" t="s">
        <v>586</v>
      </c>
      <c r="F208" s="358" t="s">
        <v>1272</v>
      </c>
      <c r="G208" s="358" t="s">
        <v>600</v>
      </c>
      <c r="H208" s="558" t="s">
        <v>592</v>
      </c>
      <c r="I208" s="122" t="s">
        <v>593</v>
      </c>
      <c r="J208" s="880">
        <f>'10-2-1. 전원_PIA_LAN물량(ICT실)_동해안'!H95</f>
        <v>12</v>
      </c>
      <c r="K208" s="394"/>
      <c r="L208" s="394"/>
      <c r="M208" s="860"/>
      <c r="N208" s="1378">
        <f t="shared" si="9"/>
        <v>12</v>
      </c>
      <c r="O208" s="774"/>
    </row>
    <row r="209" spans="1:15" s="121" customFormat="1" ht="24.95" customHeight="1">
      <c r="A209" s="1881"/>
      <c r="B209" s="418"/>
      <c r="C209" s="787" t="s">
        <v>598</v>
      </c>
      <c r="D209" s="794" t="s">
        <v>599</v>
      </c>
      <c r="E209" s="788" t="s">
        <v>594</v>
      </c>
      <c r="F209" s="358" t="s">
        <v>586</v>
      </c>
      <c r="G209" s="358" t="s">
        <v>595</v>
      </c>
      <c r="H209" s="558" t="s">
        <v>601</v>
      </c>
      <c r="I209" s="122" t="s">
        <v>593</v>
      </c>
      <c r="J209" s="880">
        <f>'10-2-1. 전원_PIA_LAN물량(ICT실)_동해안'!H96</f>
        <v>81</v>
      </c>
      <c r="K209" s="394"/>
      <c r="L209" s="394"/>
      <c r="M209" s="860"/>
      <c r="N209" s="1378">
        <f t="shared" si="9"/>
        <v>81</v>
      </c>
      <c r="O209" s="774"/>
    </row>
    <row r="210" spans="1:15" s="121" customFormat="1" ht="24.95" hidden="1" customHeight="1">
      <c r="A210" s="1881"/>
      <c r="B210" s="418"/>
      <c r="C210" s="787" t="s">
        <v>598</v>
      </c>
      <c r="D210" s="794" t="s">
        <v>599</v>
      </c>
      <c r="E210" s="788" t="s">
        <v>588</v>
      </c>
      <c r="F210" s="358" t="s">
        <v>596</v>
      </c>
      <c r="G210" s="358" t="s">
        <v>597</v>
      </c>
      <c r="H210" s="558" t="s">
        <v>592</v>
      </c>
      <c r="I210" s="122" t="s">
        <v>593</v>
      </c>
      <c r="J210" s="880">
        <f>'10-2-1. 전원_PIA_LAN물량(ICT실)_동해안'!H97</f>
        <v>0</v>
      </c>
      <c r="K210" s="394"/>
      <c r="L210" s="394"/>
      <c r="M210" s="860"/>
      <c r="N210" s="1378">
        <f t="shared" si="9"/>
        <v>0</v>
      </c>
      <c r="O210" s="774"/>
    </row>
    <row r="211" spans="1:15" s="121" customFormat="1" ht="24.95" hidden="1" customHeight="1">
      <c r="A211" s="1881"/>
      <c r="B211" s="418"/>
      <c r="C211" s="787" t="s">
        <v>602</v>
      </c>
      <c r="D211" s="787" t="s">
        <v>603</v>
      </c>
      <c r="E211" s="788" t="s">
        <v>604</v>
      </c>
      <c r="F211" s="358" t="s">
        <v>595</v>
      </c>
      <c r="G211" s="358" t="s">
        <v>605</v>
      </c>
      <c r="H211" s="558" t="s">
        <v>592</v>
      </c>
      <c r="I211" s="122" t="s">
        <v>606</v>
      </c>
      <c r="J211" s="880">
        <f>'10-2-1. 전원_PIA_LAN물량(ICT실)_동해안'!H98</f>
        <v>0</v>
      </c>
      <c r="K211" s="394"/>
      <c r="L211" s="394"/>
      <c r="M211" s="860"/>
      <c r="N211" s="1378">
        <f t="shared" si="9"/>
        <v>0</v>
      </c>
      <c r="O211" s="774"/>
    </row>
    <row r="212" spans="1:15" s="121" customFormat="1" ht="24.95" hidden="1" customHeight="1">
      <c r="A212" s="1881"/>
      <c r="B212" s="418"/>
      <c r="C212" s="787" t="s">
        <v>742</v>
      </c>
      <c r="D212" s="794" t="s">
        <v>607</v>
      </c>
      <c r="E212" s="788" t="s">
        <v>608</v>
      </c>
      <c r="F212" s="358" t="s">
        <v>595</v>
      </c>
      <c r="G212" s="358"/>
      <c r="H212" s="558" t="s">
        <v>609</v>
      </c>
      <c r="I212" s="122" t="s">
        <v>610</v>
      </c>
      <c r="J212" s="880">
        <f>'10-2-1. 전원_PIA_LAN물량(ICT실)_동해안'!H99</f>
        <v>0</v>
      </c>
      <c r="K212" s="394"/>
      <c r="L212" s="394"/>
      <c r="M212" s="860"/>
      <c r="N212" s="1378">
        <f t="shared" si="9"/>
        <v>0</v>
      </c>
      <c r="O212" s="774"/>
    </row>
    <row r="213" spans="1:15" s="121" customFormat="1" ht="24.95" hidden="1" customHeight="1">
      <c r="A213" s="1881"/>
      <c r="B213" s="418"/>
      <c r="C213" s="787" t="s">
        <v>602</v>
      </c>
      <c r="D213" s="787" t="s">
        <v>611</v>
      </c>
      <c r="E213" s="788" t="s">
        <v>612</v>
      </c>
      <c r="F213" s="358" t="s">
        <v>613</v>
      </c>
      <c r="G213" s="358" t="s">
        <v>605</v>
      </c>
      <c r="H213" s="558" t="s">
        <v>592</v>
      </c>
      <c r="I213" s="122" t="s">
        <v>593</v>
      </c>
      <c r="J213" s="880">
        <f>'10-2-1. 전원_PIA_LAN물량(ICT실)_동해안'!H100</f>
        <v>0</v>
      </c>
      <c r="K213" s="394"/>
      <c r="L213" s="394"/>
      <c r="M213" s="860"/>
      <c r="N213" s="1378">
        <f t="shared" si="9"/>
        <v>0</v>
      </c>
      <c r="O213" s="774"/>
    </row>
    <row r="214" spans="1:15" s="121" customFormat="1" ht="24.95" customHeight="1">
      <c r="A214" s="1881"/>
      <c r="B214" s="418"/>
      <c r="C214" s="787" t="s">
        <v>169</v>
      </c>
      <c r="D214" s="787" t="s">
        <v>1370</v>
      </c>
      <c r="E214" s="788" t="s">
        <v>196</v>
      </c>
      <c r="F214" s="358" t="s">
        <v>170</v>
      </c>
      <c r="G214" s="358" t="s">
        <v>539</v>
      </c>
      <c r="H214" s="558" t="s">
        <v>500</v>
      </c>
      <c r="I214" s="122" t="s">
        <v>163</v>
      </c>
      <c r="J214" s="880">
        <f>'10-2-1. 전원_PIA_LAN물량(ICT실)_동해안'!H101</f>
        <v>3</v>
      </c>
      <c r="K214" s="394"/>
      <c r="L214" s="394"/>
      <c r="M214" s="860"/>
      <c r="N214" s="1378">
        <f t="shared" si="9"/>
        <v>3</v>
      </c>
      <c r="O214" s="845"/>
    </row>
    <row r="215" spans="1:15" s="121" customFormat="1" ht="24.95" hidden="1" customHeight="1">
      <c r="A215" s="775"/>
      <c r="B215" s="418"/>
      <c r="C215" s="795" t="s">
        <v>1131</v>
      </c>
      <c r="D215" s="787" t="s">
        <v>743</v>
      </c>
      <c r="E215" s="788" t="s">
        <v>744</v>
      </c>
      <c r="F215" s="575" t="s">
        <v>745</v>
      </c>
      <c r="G215" s="575"/>
      <c r="H215" s="558" t="s">
        <v>746</v>
      </c>
      <c r="I215" s="122" t="s">
        <v>41</v>
      </c>
      <c r="J215" s="880">
        <f>'10-2-1. 전원_PIA_LAN물량(ICT실)_동해안'!H102</f>
        <v>0</v>
      </c>
      <c r="K215" s="394"/>
      <c r="L215" s="394"/>
      <c r="M215" s="860"/>
      <c r="N215" s="1378">
        <f t="shared" si="9"/>
        <v>0</v>
      </c>
      <c r="O215" s="774"/>
    </row>
    <row r="216" spans="1:15" s="121" customFormat="1" ht="24.95" hidden="1" customHeight="1">
      <c r="A216" s="775"/>
      <c r="B216" s="418"/>
      <c r="C216" s="787" t="s">
        <v>741</v>
      </c>
      <c r="D216" s="787" t="s">
        <v>747</v>
      </c>
      <c r="E216" s="788" t="s">
        <v>744</v>
      </c>
      <c r="F216" s="575" t="s">
        <v>745</v>
      </c>
      <c r="G216" s="575"/>
      <c r="H216" s="558" t="s">
        <v>746</v>
      </c>
      <c r="I216" s="122" t="s">
        <v>41</v>
      </c>
      <c r="J216" s="880">
        <f>'10-2-1. 전원_PIA_LAN물량(ICT실)_동해안'!H103</f>
        <v>0</v>
      </c>
      <c r="K216" s="394"/>
      <c r="L216" s="394"/>
      <c r="M216" s="860"/>
      <c r="N216" s="1378">
        <f t="shared" si="9"/>
        <v>0</v>
      </c>
      <c r="O216" s="774"/>
    </row>
    <row r="217" spans="1:15" s="121" customFormat="1" ht="24.95" hidden="1" customHeight="1">
      <c r="A217" s="775"/>
      <c r="B217" s="418"/>
      <c r="C217" s="787" t="s">
        <v>372</v>
      </c>
      <c r="D217" s="794" t="s">
        <v>370</v>
      </c>
      <c r="E217" s="788" t="s">
        <v>748</v>
      </c>
      <c r="F217" s="358" t="s">
        <v>749</v>
      </c>
      <c r="G217" s="358" t="s">
        <v>750</v>
      </c>
      <c r="H217" s="558" t="s">
        <v>733</v>
      </c>
      <c r="I217" s="122" t="s">
        <v>337</v>
      </c>
      <c r="J217" s="880">
        <f>'10-2-1. 전원_PIA_LAN물량(ICT실)_동해안'!H104</f>
        <v>0</v>
      </c>
      <c r="K217" s="394"/>
      <c r="L217" s="394"/>
      <c r="M217" s="860"/>
      <c r="N217" s="1378">
        <f t="shared" si="9"/>
        <v>0</v>
      </c>
      <c r="O217" s="774"/>
    </row>
    <row r="218" spans="1:15" s="121" customFormat="1" ht="24.95" hidden="1" customHeight="1">
      <c r="A218" s="775"/>
      <c r="B218" s="418"/>
      <c r="C218" s="787" t="s">
        <v>742</v>
      </c>
      <c r="D218" s="787" t="s">
        <v>751</v>
      </c>
      <c r="E218" s="788" t="s">
        <v>752</v>
      </c>
      <c r="F218" s="358" t="s">
        <v>753</v>
      </c>
      <c r="G218" s="358"/>
      <c r="H218" s="558" t="s">
        <v>733</v>
      </c>
      <c r="I218" s="122" t="s">
        <v>337</v>
      </c>
      <c r="J218" s="880">
        <f>'10-2-1. 전원_PIA_LAN물량(ICT실)_동해안'!H105</f>
        <v>0</v>
      </c>
      <c r="K218" s="394"/>
      <c r="L218" s="394"/>
      <c r="M218" s="860"/>
      <c r="N218" s="1378">
        <f t="shared" si="9"/>
        <v>0</v>
      </c>
      <c r="O218" s="774"/>
    </row>
    <row r="219" spans="1:15" ht="24.95" hidden="1" customHeight="1" thickBot="1">
      <c r="A219" s="776"/>
      <c r="B219" s="420"/>
      <c r="C219" s="284"/>
      <c r="D219" s="284"/>
      <c r="E219" s="576"/>
      <c r="F219" s="576"/>
      <c r="G219" s="576"/>
      <c r="H219" s="576"/>
      <c r="I219" s="284"/>
      <c r="J219" s="893"/>
      <c r="K219" s="894"/>
      <c r="L219" s="894"/>
      <c r="M219" s="895"/>
      <c r="N219" s="1379">
        <f t="shared" si="9"/>
        <v>0</v>
      </c>
      <c r="O219" s="851"/>
    </row>
    <row r="220" spans="1:15" ht="24.75" customHeight="1"/>
    <row r="221" spans="1:15" ht="24.95" customHeight="1"/>
    <row r="222" spans="1:15" ht="24.95" customHeight="1"/>
    <row r="223" spans="1:15" ht="24.95" customHeight="1"/>
    <row r="224" spans="1:15" ht="24.95" customHeight="1"/>
    <row r="225" ht="24.95" customHeight="1"/>
    <row r="226" ht="24.95" customHeight="1"/>
    <row r="227" ht="24.95" customHeight="1"/>
    <row r="228" ht="24.95" customHeight="1"/>
    <row r="229" ht="24.95" customHeight="1"/>
    <row r="230" ht="24.95" customHeight="1"/>
    <row r="231" ht="24.95" customHeight="1"/>
    <row r="232" ht="24.95" customHeight="1"/>
    <row r="233" ht="24.95" customHeight="1"/>
    <row r="234" ht="24.95" customHeight="1"/>
    <row r="235" ht="24.95" customHeight="1"/>
    <row r="236" ht="24.95" customHeight="1"/>
    <row r="237" ht="24.95" customHeight="1"/>
    <row r="238" ht="24.95" customHeight="1"/>
    <row r="239" ht="24.95" customHeight="1"/>
    <row r="240" ht="24.95" customHeight="1"/>
    <row r="241" ht="24.95" customHeight="1"/>
    <row r="242" ht="24.95" customHeight="1"/>
    <row r="243" ht="24.95" customHeight="1"/>
    <row r="244" ht="24.95" customHeight="1"/>
    <row r="245" ht="24.95" customHeight="1"/>
    <row r="246" ht="24.95" customHeight="1"/>
    <row r="247" ht="24.95" customHeight="1"/>
    <row r="248" ht="24.95" customHeight="1"/>
    <row r="249" ht="24.95" customHeight="1"/>
    <row r="250" ht="24.95" customHeight="1"/>
    <row r="251" ht="24.95" customHeight="1"/>
    <row r="252" ht="24.95" customHeight="1"/>
    <row r="253" ht="24.95" customHeight="1"/>
    <row r="254" ht="24.95" customHeight="1"/>
    <row r="255" ht="24.95" customHeight="1"/>
    <row r="256" ht="24.95" customHeight="1"/>
    <row r="257" ht="24.95" customHeight="1"/>
    <row r="258" ht="24.95" customHeight="1"/>
    <row r="259" ht="24.95" customHeight="1"/>
    <row r="260" ht="24.95" customHeight="1"/>
    <row r="261" ht="24.95" customHeight="1"/>
    <row r="262" ht="24.95" customHeight="1"/>
    <row r="263" ht="24.95" customHeight="1"/>
    <row r="264" ht="24.95" customHeight="1"/>
    <row r="265" ht="24.95" customHeight="1"/>
    <row r="266" ht="24.95" customHeight="1"/>
    <row r="267" ht="24.95" customHeight="1"/>
    <row r="268" ht="24.95" customHeight="1"/>
    <row r="269" ht="24.95" customHeight="1"/>
    <row r="270" ht="24.95" customHeight="1"/>
    <row r="271" ht="24.95" customHeight="1"/>
    <row r="272" ht="24.95" customHeight="1"/>
    <row r="273" ht="24.95" customHeight="1"/>
    <row r="274" ht="24.95" customHeight="1"/>
    <row r="275" ht="24.95" customHeight="1"/>
    <row r="276" ht="24.95" customHeight="1"/>
  </sheetData>
  <mergeCells count="56">
    <mergeCell ref="C96:C97"/>
    <mergeCell ref="D96:D97"/>
    <mergeCell ref="E96:E97"/>
    <mergeCell ref="A98:A109"/>
    <mergeCell ref="O96:O97"/>
    <mergeCell ref="F96:F97"/>
    <mergeCell ref="J96:N96"/>
    <mergeCell ref="H96:H97"/>
    <mergeCell ref="I96:I97"/>
    <mergeCell ref="G96:G97"/>
    <mergeCell ref="C129:C130"/>
    <mergeCell ref="F117:G117"/>
    <mergeCell ref="F118:G118"/>
    <mergeCell ref="F126:G126"/>
    <mergeCell ref="D129:D130"/>
    <mergeCell ref="E129:E130"/>
    <mergeCell ref="F120:G120"/>
    <mergeCell ref="O129:O130"/>
    <mergeCell ref="G196:G197"/>
    <mergeCell ref="H196:H197"/>
    <mergeCell ref="I196:I197"/>
    <mergeCell ref="J196:N196"/>
    <mergeCell ref="H129:H130"/>
    <mergeCell ref="I129:I130"/>
    <mergeCell ref="J129:N129"/>
    <mergeCell ref="F166:G166"/>
    <mergeCell ref="F129:F130"/>
    <mergeCell ref="F196:F197"/>
    <mergeCell ref="G129:G130"/>
    <mergeCell ref="F164:G164"/>
    <mergeCell ref="F163:G163"/>
    <mergeCell ref="F162:G162"/>
    <mergeCell ref="A201:A214"/>
    <mergeCell ref="A1:O1"/>
    <mergeCell ref="A4:A6"/>
    <mergeCell ref="C4:C6"/>
    <mergeCell ref="D4:D6"/>
    <mergeCell ref="E4:E6"/>
    <mergeCell ref="H4:H6"/>
    <mergeCell ref="I4:I6"/>
    <mergeCell ref="B4:B6"/>
    <mergeCell ref="J4:N5"/>
    <mergeCell ref="O4:O6"/>
    <mergeCell ref="F4:G5"/>
    <mergeCell ref="C196:C197"/>
    <mergeCell ref="D196:D197"/>
    <mergeCell ref="E196:E197"/>
    <mergeCell ref="A129:A130"/>
    <mergeCell ref="A7:A32"/>
    <mergeCell ref="A163:A193"/>
    <mergeCell ref="A33:A93"/>
    <mergeCell ref="A198:A200"/>
    <mergeCell ref="A196:A197"/>
    <mergeCell ref="A110:A126"/>
    <mergeCell ref="A96:A97"/>
    <mergeCell ref="A132:A138"/>
  </mergeCells>
  <phoneticPr fontId="6" type="noConversion"/>
  <printOptions horizontalCentered="1"/>
  <pageMargins left="0.27559055118110237" right="0.15748031496062992" top="0.43307086614173229" bottom="0.23622047244094491" header="0.23622047244094491" footer="0.15748031496062992"/>
  <pageSetup paperSize="8" scale="70" orientation="landscape" horizontalDpi="4294967295" verticalDpi="4294967295" r:id="rId1"/>
  <headerFooter>
    <oddFooter>&amp;C&amp;P / &amp;N</oddFooter>
  </headerFooter>
  <rowBreaks count="3" manualBreakCount="3">
    <brk id="93" max="16383" man="1"/>
    <brk id="126" max="16383" man="1"/>
    <brk id="193" max="16383" man="1"/>
  </rowBreaks>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B973-46A5-4D27-B21F-B638C72C9826}">
  <dimension ref="A1:GK192"/>
  <sheetViews>
    <sheetView view="pageBreakPreview" topLeftCell="C1" zoomScale="85" zoomScaleSheetLayoutView="85" workbookViewId="0">
      <pane xSplit="8" ySplit="7" topLeftCell="FL68" activePane="bottomRight" state="frozen"/>
      <selection activeCell="M14" sqref="M14"/>
      <selection pane="topRight" activeCell="M14" sqref="M14"/>
      <selection pane="bottomLeft" activeCell="M14" sqref="M14"/>
      <selection pane="bottomRight" activeCell="I88" sqref="I88"/>
    </sheetView>
  </sheetViews>
  <sheetFormatPr defaultColWidth="10" defaultRowHeight="13.5"/>
  <cols>
    <col min="1" max="1" width="4" style="1002" hidden="1" customWidth="1"/>
    <col min="2" max="2" width="4.125" style="1002" customWidth="1"/>
    <col min="3" max="3" width="10.125" style="1002" bestFit="1" customWidth="1"/>
    <col min="4" max="4" width="23.125" style="1004" customWidth="1"/>
    <col min="5" max="5" width="25.25" style="1004" customWidth="1"/>
    <col min="6" max="6" width="30" style="1004" customWidth="1"/>
    <col min="7" max="7" width="5.875" style="1002" bestFit="1" customWidth="1"/>
    <col min="8" max="8" width="10" style="1002" customWidth="1"/>
    <col min="9" max="9" width="6.625" style="1002" customWidth="1"/>
    <col min="10" max="10" width="10.625" style="1002" bestFit="1" customWidth="1"/>
    <col min="11" max="11" width="10" style="1002" customWidth="1"/>
    <col min="12" max="12" width="8.625" style="1007" customWidth="1"/>
    <col min="13" max="13" width="9" style="1007" customWidth="1"/>
    <col min="14" max="19" width="8.625" style="1007" customWidth="1"/>
    <col min="20" max="20" width="8.5" style="1008" customWidth="1"/>
    <col min="21" max="27" width="8.625" style="1007" customWidth="1"/>
    <col min="28" max="28" width="8.625" style="1009" customWidth="1"/>
    <col min="29" max="126" width="8.625" style="1007" customWidth="1"/>
    <col min="127" max="128" width="17" style="1007" bestFit="1" customWidth="1"/>
    <col min="129" max="131" width="8.625" style="1007" customWidth="1"/>
    <col min="132" max="135" width="8.75" style="1007" customWidth="1"/>
    <col min="136" max="143" width="8.625" style="1007" customWidth="1"/>
    <col min="144" max="144" width="9" style="1007" bestFit="1" customWidth="1"/>
    <col min="145" max="150" width="8.75" style="1007" customWidth="1"/>
    <col min="151" max="151" width="7.5" style="1007" bestFit="1" customWidth="1"/>
    <col min="152" max="159" width="8.625" style="1007" customWidth="1"/>
    <col min="160" max="163" width="8.75" style="1007" customWidth="1"/>
    <col min="164" max="164" width="7.5" style="1007" bestFit="1" customWidth="1"/>
    <col min="165" max="181" width="8.625" style="1007" customWidth="1"/>
    <col min="182" max="182" width="10.5" style="1007" customWidth="1"/>
    <col min="183" max="183" width="8.625" style="1007" customWidth="1"/>
    <col min="184" max="184" width="7.75" style="1007" customWidth="1"/>
    <col min="185" max="16384" width="10" style="1002"/>
  </cols>
  <sheetData>
    <row r="1" spans="1:185" ht="44.25" customHeight="1">
      <c r="A1" s="1002" t="s">
        <v>2608</v>
      </c>
      <c r="B1" s="1003"/>
      <c r="C1" s="1003" t="s">
        <v>2623</v>
      </c>
      <c r="E1" s="1005"/>
      <c r="F1" s="1005"/>
      <c r="G1" s="1006"/>
    </row>
    <row r="2" spans="1:185" ht="21" customHeight="1">
      <c r="B2" s="1010"/>
      <c r="C2" s="1010"/>
      <c r="E2" s="1005"/>
      <c r="F2" s="1005"/>
      <c r="G2" s="1006"/>
      <c r="EN2" s="1936" t="s">
        <v>2645</v>
      </c>
      <c r="EO2" s="1937"/>
      <c r="EP2" s="1937"/>
      <c r="EQ2" s="1937"/>
      <c r="ER2" s="1937"/>
      <c r="ES2" s="1937"/>
      <c r="ET2" s="1937"/>
      <c r="EU2" s="1937"/>
      <c r="EV2" s="1937"/>
      <c r="EW2" s="1937"/>
      <c r="EX2" s="1937"/>
      <c r="EY2" s="1937"/>
      <c r="EZ2" s="1937"/>
      <c r="FA2" s="1937"/>
      <c r="FB2" s="1937"/>
      <c r="FC2" s="1937"/>
      <c r="FD2" s="1937"/>
      <c r="FE2" s="1937"/>
      <c r="FF2" s="1936" t="s">
        <v>2840</v>
      </c>
      <c r="FG2" s="1942"/>
      <c r="FH2" s="1942"/>
      <c r="FI2" s="1942"/>
      <c r="FJ2" s="1942"/>
      <c r="FK2" s="1942"/>
      <c r="FL2" s="1942"/>
      <c r="FM2" s="1942"/>
      <c r="FN2" s="1931" t="s">
        <v>2858</v>
      </c>
      <c r="FO2" s="1932"/>
      <c r="FP2" s="1932"/>
      <c r="FQ2" s="1932"/>
      <c r="FR2" s="1932"/>
      <c r="FS2" s="1932"/>
      <c r="FT2" s="1932"/>
      <c r="FU2" s="1932"/>
      <c r="FV2" s="1932"/>
      <c r="FW2" s="1932"/>
      <c r="FX2" s="1932"/>
      <c r="FY2" s="1932"/>
      <c r="FZ2" s="1933"/>
      <c r="GA2" s="1677" t="s">
        <v>3216</v>
      </c>
    </row>
    <row r="3" spans="1:185" s="1421" customFormat="1" ht="24.95" customHeight="1">
      <c r="B3" s="1925" t="s">
        <v>2014</v>
      </c>
      <c r="C3" s="1422"/>
      <c r="D3" s="1926" t="s">
        <v>2015</v>
      </c>
      <c r="E3" s="1927"/>
      <c r="F3" s="1928"/>
      <c r="G3" s="1925" t="s">
        <v>38</v>
      </c>
      <c r="H3" s="1935" t="s">
        <v>2016</v>
      </c>
      <c r="I3" s="1935" t="s">
        <v>2017</v>
      </c>
      <c r="J3" s="1935" t="s">
        <v>2018</v>
      </c>
      <c r="K3" s="1936" t="s">
        <v>2645</v>
      </c>
      <c r="L3" s="1937"/>
      <c r="M3" s="1937"/>
      <c r="N3" s="1937"/>
      <c r="O3" s="1937"/>
      <c r="P3" s="1937"/>
      <c r="Q3" s="1937"/>
      <c r="R3" s="1937"/>
      <c r="S3" s="1937"/>
      <c r="T3" s="1937"/>
      <c r="U3" s="1937"/>
      <c r="V3" s="1937"/>
      <c r="W3" s="1937"/>
      <c r="X3" s="1937"/>
      <c r="Y3" s="1937"/>
      <c r="Z3" s="1937"/>
      <c r="AA3" s="1937"/>
      <c r="AB3" s="1937"/>
      <c r="AC3" s="1937"/>
      <c r="AD3" s="1937"/>
      <c r="AE3" s="1937"/>
      <c r="AF3" s="1937"/>
      <c r="AG3" s="1937"/>
      <c r="AH3" s="1937"/>
      <c r="AI3" s="1937"/>
      <c r="AJ3" s="1937"/>
      <c r="AK3" s="1937"/>
      <c r="AL3" s="1937"/>
      <c r="AM3" s="1937"/>
      <c r="AN3" s="1937"/>
      <c r="AO3" s="1937"/>
      <c r="AP3" s="1937"/>
      <c r="AQ3" s="1937"/>
      <c r="AR3" s="1937"/>
      <c r="AS3" s="1937"/>
      <c r="AT3" s="1937"/>
      <c r="AU3" s="1937"/>
      <c r="AV3" s="1937"/>
      <c r="AW3" s="1937"/>
      <c r="AX3" s="1937"/>
      <c r="AY3" s="1937"/>
      <c r="AZ3" s="1937"/>
      <c r="BA3" s="1937"/>
      <c r="BB3" s="1937"/>
      <c r="BC3" s="1937"/>
      <c r="BD3" s="1937"/>
      <c r="BE3" s="1937"/>
      <c r="BF3" s="1937"/>
      <c r="BG3" s="1937"/>
      <c r="BH3" s="1937"/>
      <c r="BI3" s="1937"/>
      <c r="BJ3" s="1937"/>
      <c r="BK3" s="1937"/>
      <c r="BL3" s="1937"/>
      <c r="BM3" s="1937"/>
      <c r="BN3" s="1937"/>
      <c r="BO3" s="1937"/>
      <c r="BP3" s="1937"/>
      <c r="BQ3" s="1937"/>
      <c r="BR3" s="1937"/>
      <c r="BS3" s="1937"/>
      <c r="BT3" s="1937"/>
      <c r="BU3" s="1937"/>
      <c r="BV3" s="1937"/>
      <c r="BW3" s="1937"/>
      <c r="BX3" s="1937"/>
      <c r="BY3" s="1937"/>
      <c r="BZ3" s="1937"/>
      <c r="CA3" s="1937"/>
      <c r="CB3" s="1937"/>
      <c r="CC3" s="1937"/>
      <c r="CD3" s="1937"/>
      <c r="CE3" s="1937"/>
      <c r="CF3" s="1936" t="s">
        <v>2858</v>
      </c>
      <c r="CG3" s="1937"/>
      <c r="CH3" s="1937"/>
      <c r="CI3" s="1937"/>
      <c r="CJ3" s="1937"/>
      <c r="CK3" s="1937"/>
      <c r="CL3" s="1937"/>
      <c r="CM3" s="1937"/>
      <c r="CN3" s="1937"/>
      <c r="CO3" s="1937"/>
      <c r="CP3" s="1937"/>
      <c r="CQ3" s="1937"/>
      <c r="CR3" s="1937"/>
      <c r="CS3" s="1937"/>
      <c r="CT3" s="1937"/>
      <c r="CU3" s="1937"/>
      <c r="CV3" s="1937"/>
      <c r="CW3" s="1937"/>
      <c r="CX3" s="1937"/>
      <c r="CY3" s="1937"/>
      <c r="CZ3" s="1937"/>
      <c r="DA3" s="1937"/>
      <c r="DB3" s="1937"/>
      <c r="DC3" s="1937"/>
      <c r="DD3" s="1937"/>
      <c r="DE3" s="1937"/>
      <c r="DF3" s="1937"/>
      <c r="DG3" s="1937"/>
      <c r="DH3" s="1937"/>
      <c r="DI3" s="1937"/>
      <c r="DJ3" s="1937"/>
      <c r="DK3" s="1937"/>
      <c r="DL3" s="1937"/>
      <c r="DM3" s="1937"/>
      <c r="DN3" s="1937"/>
      <c r="DO3" s="1937"/>
      <c r="DP3" s="1937"/>
      <c r="DQ3" s="1937"/>
      <c r="DR3" s="1937"/>
      <c r="DS3" s="1937"/>
      <c r="DT3" s="1937"/>
      <c r="DU3" s="1937"/>
      <c r="DV3" s="1937"/>
      <c r="DW3" s="1937"/>
      <c r="DX3" s="1937"/>
      <c r="DY3" s="1938" t="s">
        <v>2859</v>
      </c>
      <c r="DZ3" s="1939"/>
      <c r="EA3" s="1939"/>
      <c r="EB3" s="1939"/>
      <c r="EC3" s="1939"/>
      <c r="ED3" s="1939"/>
      <c r="EE3" s="1939"/>
      <c r="EF3" s="1940"/>
      <c r="EG3" s="1941" t="s">
        <v>2860</v>
      </c>
      <c r="EH3" s="1939"/>
      <c r="EI3" s="1939"/>
      <c r="EJ3" s="1940"/>
      <c r="EK3" s="1941" t="s">
        <v>2858</v>
      </c>
      <c r="EL3" s="1939"/>
      <c r="EM3" s="1940"/>
      <c r="EN3" s="1424" t="s">
        <v>863</v>
      </c>
      <c r="EO3" s="1425" t="s">
        <v>2723</v>
      </c>
      <c r="EP3" s="1426" t="s">
        <v>2717</v>
      </c>
      <c r="EQ3" s="1426" t="s">
        <v>2868</v>
      </c>
      <c r="ER3" s="1426" t="s">
        <v>2869</v>
      </c>
      <c r="ES3" s="1426" t="s">
        <v>2892</v>
      </c>
      <c r="ET3" s="1426" t="s">
        <v>2875</v>
      </c>
      <c r="EU3" s="1426" t="s">
        <v>2701</v>
      </c>
      <c r="EV3" s="1423" t="s">
        <v>2347</v>
      </c>
      <c r="EW3" s="1423" t="s">
        <v>2895</v>
      </c>
      <c r="EX3" s="1423" t="s">
        <v>2897</v>
      </c>
      <c r="EY3" s="1423" t="s">
        <v>2344</v>
      </c>
      <c r="EZ3" s="1423" t="s">
        <v>2900</v>
      </c>
      <c r="FA3" s="1423" t="s">
        <v>2901</v>
      </c>
      <c r="FB3" s="1423" t="s">
        <v>2903</v>
      </c>
      <c r="FC3" s="1423" t="s">
        <v>2346</v>
      </c>
      <c r="FD3" s="1423" t="s">
        <v>2283</v>
      </c>
      <c r="FE3" s="1426" t="s">
        <v>2904</v>
      </c>
      <c r="FF3" s="1426" t="s">
        <v>2905</v>
      </c>
      <c r="FG3" s="1426" t="s">
        <v>2907</v>
      </c>
      <c r="FH3" s="1426" t="s">
        <v>2908</v>
      </c>
      <c r="FI3" s="1426" t="s">
        <v>2909</v>
      </c>
      <c r="FJ3" s="1426" t="s">
        <v>2910</v>
      </c>
      <c r="FK3" s="1426" t="s">
        <v>2911</v>
      </c>
      <c r="FL3" s="1426" t="s">
        <v>2912</v>
      </c>
      <c r="FM3" s="1426" t="s">
        <v>2913</v>
      </c>
      <c r="FN3" s="1426" t="s">
        <v>2919</v>
      </c>
      <c r="FO3" s="1426" t="s">
        <v>2921</v>
      </c>
      <c r="FP3" s="1426" t="s">
        <v>2922</v>
      </c>
      <c r="FQ3" s="1426" t="s">
        <v>2923</v>
      </c>
      <c r="FR3" s="1426" t="s">
        <v>2924</v>
      </c>
      <c r="FS3" s="1426" t="s">
        <v>2929</v>
      </c>
      <c r="FT3" s="1426" t="s">
        <v>2931</v>
      </c>
      <c r="FU3" s="1426" t="s">
        <v>2933</v>
      </c>
      <c r="FV3" s="1426" t="s">
        <v>2934</v>
      </c>
      <c r="FW3" s="1426" t="s">
        <v>2935</v>
      </c>
      <c r="FX3" s="1426" t="s">
        <v>2938</v>
      </c>
      <c r="FY3" s="1426" t="s">
        <v>2941</v>
      </c>
      <c r="FZ3" s="1426" t="s">
        <v>3214</v>
      </c>
      <c r="GA3" s="1423"/>
      <c r="GB3" s="1929" t="s">
        <v>39</v>
      </c>
    </row>
    <row r="4" spans="1:185" s="1421" customFormat="1" ht="24.95" customHeight="1">
      <c r="B4" s="1925"/>
      <c r="C4" s="1929" t="s">
        <v>2044</v>
      </c>
      <c r="D4" s="1929" t="s">
        <v>2045</v>
      </c>
      <c r="E4" s="1929" t="s">
        <v>2046</v>
      </c>
      <c r="F4" s="1929" t="s">
        <v>2047</v>
      </c>
      <c r="G4" s="1925"/>
      <c r="H4" s="1925"/>
      <c r="I4" s="1925"/>
      <c r="J4" s="1925"/>
      <c r="K4" s="1427" t="s">
        <v>2019</v>
      </c>
      <c r="L4" s="1427" t="s">
        <v>2020</v>
      </c>
      <c r="M4" s="1427" t="s">
        <v>2021</v>
      </c>
      <c r="N4" s="1427" t="s">
        <v>2022</v>
      </c>
      <c r="O4" s="1427" t="s">
        <v>2023</v>
      </c>
      <c r="P4" s="1427" t="s">
        <v>2024</v>
      </c>
      <c r="Q4" s="1427" t="s">
        <v>2025</v>
      </c>
      <c r="R4" s="1427" t="s">
        <v>2026</v>
      </c>
      <c r="S4" s="1427" t="s">
        <v>2027</v>
      </c>
      <c r="T4" s="1427" t="s">
        <v>2028</v>
      </c>
      <c r="U4" s="1427" t="s">
        <v>2029</v>
      </c>
      <c r="V4" s="1427" t="s">
        <v>2030</v>
      </c>
      <c r="W4" s="1427" t="s">
        <v>2031</v>
      </c>
      <c r="X4" s="1427" t="s">
        <v>2032</v>
      </c>
      <c r="Y4" s="1427" t="s">
        <v>2033</v>
      </c>
      <c r="Z4" s="1427" t="s">
        <v>2034</v>
      </c>
      <c r="AA4" s="1427" t="s">
        <v>2035</v>
      </c>
      <c r="AB4" s="1427" t="s">
        <v>2036</v>
      </c>
      <c r="AC4" s="1427" t="s">
        <v>2037</v>
      </c>
      <c r="AD4" s="1427" t="s">
        <v>2038</v>
      </c>
      <c r="AE4" s="1427" t="s">
        <v>2039</v>
      </c>
      <c r="AF4" s="1427" t="s">
        <v>2040</v>
      </c>
      <c r="AG4" s="1427" t="s">
        <v>2041</v>
      </c>
      <c r="AH4" s="1427" t="s">
        <v>2284</v>
      </c>
      <c r="AI4" s="1427" t="s">
        <v>2285</v>
      </c>
      <c r="AJ4" s="1427" t="s">
        <v>2286</v>
      </c>
      <c r="AK4" s="1427" t="s">
        <v>2287</v>
      </c>
      <c r="AL4" s="1427" t="s">
        <v>2288</v>
      </c>
      <c r="AM4" s="1427" t="s">
        <v>2289</v>
      </c>
      <c r="AN4" s="1427" t="s">
        <v>2290</v>
      </c>
      <c r="AO4" s="1427" t="s">
        <v>2305</v>
      </c>
      <c r="AP4" s="1427" t="s">
        <v>2291</v>
      </c>
      <c r="AQ4" s="1427" t="s">
        <v>2292</v>
      </c>
      <c r="AR4" s="1427" t="s">
        <v>2293</v>
      </c>
      <c r="AS4" s="1427" t="s">
        <v>2294</v>
      </c>
      <c r="AT4" s="1427" t="s">
        <v>2295</v>
      </c>
      <c r="AU4" s="1427" t="s">
        <v>2296</v>
      </c>
      <c r="AV4" s="1427" t="s">
        <v>2297</v>
      </c>
      <c r="AW4" s="1427" t="s">
        <v>2298</v>
      </c>
      <c r="AX4" s="1427" t="s">
        <v>2299</v>
      </c>
      <c r="AY4" s="1427" t="s">
        <v>2300</v>
      </c>
      <c r="AZ4" s="1427" t="s">
        <v>2301</v>
      </c>
      <c r="BA4" s="1427" t="s">
        <v>2302</v>
      </c>
      <c r="BB4" s="1427" t="s">
        <v>2303</v>
      </c>
      <c r="BC4" s="1427" t="s">
        <v>2306</v>
      </c>
      <c r="BD4" s="1427" t="s">
        <v>2307</v>
      </c>
      <c r="BE4" s="1427" t="s">
        <v>2308</v>
      </c>
      <c r="BF4" s="1427" t="s">
        <v>2309</v>
      </c>
      <c r="BG4" s="1427" t="s">
        <v>2310</v>
      </c>
      <c r="BH4" s="1427" t="s">
        <v>2311</v>
      </c>
      <c r="BI4" s="1427" t="s">
        <v>2312</v>
      </c>
      <c r="BJ4" s="1427" t="s">
        <v>2313</v>
      </c>
      <c r="BK4" s="1427" t="s">
        <v>2314</v>
      </c>
      <c r="BL4" s="1427" t="s">
        <v>2315</v>
      </c>
      <c r="BM4" s="1427" t="s">
        <v>2316</v>
      </c>
      <c r="BN4" s="1427" t="s">
        <v>2317</v>
      </c>
      <c r="BO4" s="1427" t="s">
        <v>2318</v>
      </c>
      <c r="BP4" s="1427" t="s">
        <v>2319</v>
      </c>
      <c r="BQ4" s="1427" t="s">
        <v>2320</v>
      </c>
      <c r="BR4" s="1427" t="s">
        <v>2321</v>
      </c>
      <c r="BS4" s="1427" t="s">
        <v>2322</v>
      </c>
      <c r="BT4" s="1427" t="s">
        <v>2323</v>
      </c>
      <c r="BU4" s="1427" t="s">
        <v>2324</v>
      </c>
      <c r="BV4" s="1427" t="s">
        <v>2325</v>
      </c>
      <c r="BW4" s="1427" t="s">
        <v>2326</v>
      </c>
      <c r="BX4" s="1427" t="s">
        <v>2327</v>
      </c>
      <c r="BY4" s="1427" t="s">
        <v>2328</v>
      </c>
      <c r="BZ4" s="1427" t="s">
        <v>2329</v>
      </c>
      <c r="CA4" s="1427" t="s">
        <v>2330</v>
      </c>
      <c r="CB4" s="1427" t="s">
        <v>2331</v>
      </c>
      <c r="CC4" s="1427" t="s">
        <v>2332</v>
      </c>
      <c r="CD4" s="1427" t="s">
        <v>2333</v>
      </c>
      <c r="CE4" s="1427" t="s">
        <v>2334</v>
      </c>
      <c r="CF4" s="1427" t="s">
        <v>2335</v>
      </c>
      <c r="CG4" s="1427" t="s">
        <v>2742</v>
      </c>
      <c r="CH4" s="1427" t="s">
        <v>2770</v>
      </c>
      <c r="CI4" s="1427" t="s">
        <v>2772</v>
      </c>
      <c r="CJ4" s="1427" t="s">
        <v>2771</v>
      </c>
      <c r="CK4" s="1427" t="s">
        <v>2773</v>
      </c>
      <c r="CL4" s="1427" t="s">
        <v>2774</v>
      </c>
      <c r="CM4" s="1427" t="s">
        <v>2775</v>
      </c>
      <c r="CN4" s="1427" t="s">
        <v>2776</v>
      </c>
      <c r="CO4" s="1427" t="s">
        <v>2777</v>
      </c>
      <c r="CP4" s="1427" t="s">
        <v>2778</v>
      </c>
      <c r="CQ4" s="1427" t="s">
        <v>2779</v>
      </c>
      <c r="CR4" s="1427" t="s">
        <v>2780</v>
      </c>
      <c r="CS4" s="1427" t="s">
        <v>2781</v>
      </c>
      <c r="CT4" s="1427" t="s">
        <v>2782</v>
      </c>
      <c r="CU4" s="1427" t="s">
        <v>2783</v>
      </c>
      <c r="CV4" s="1427" t="s">
        <v>2784</v>
      </c>
      <c r="CW4" s="1427" t="s">
        <v>2785</v>
      </c>
      <c r="CX4" s="1427" t="s">
        <v>2786</v>
      </c>
      <c r="CY4" s="1427" t="s">
        <v>2787</v>
      </c>
      <c r="CZ4" s="1427" t="s">
        <v>2788</v>
      </c>
      <c r="DA4" s="1427" t="s">
        <v>2789</v>
      </c>
      <c r="DB4" s="1427" t="s">
        <v>2790</v>
      </c>
      <c r="DC4" s="1427" t="s">
        <v>2791</v>
      </c>
      <c r="DD4" s="1427" t="s">
        <v>2792</v>
      </c>
      <c r="DE4" s="1427" t="s">
        <v>2793</v>
      </c>
      <c r="DF4" s="1427" t="s">
        <v>2794</v>
      </c>
      <c r="DG4" s="1427" t="s">
        <v>2795</v>
      </c>
      <c r="DH4" s="1427" t="s">
        <v>2796</v>
      </c>
      <c r="DI4" s="1427" t="s">
        <v>2797</v>
      </c>
      <c r="DJ4" s="1427" t="s">
        <v>2798</v>
      </c>
      <c r="DK4" s="1427" t="s">
        <v>2799</v>
      </c>
      <c r="DL4" s="1427" t="s">
        <v>2800</v>
      </c>
      <c r="DM4" s="1427" t="s">
        <v>2801</v>
      </c>
      <c r="DN4" s="1427" t="s">
        <v>2802</v>
      </c>
      <c r="DO4" s="1427" t="s">
        <v>2803</v>
      </c>
      <c r="DP4" s="1427" t="s">
        <v>2804</v>
      </c>
      <c r="DQ4" s="1427" t="s">
        <v>2805</v>
      </c>
      <c r="DR4" s="1427" t="s">
        <v>2824</v>
      </c>
      <c r="DS4" s="1427" t="s">
        <v>2826</v>
      </c>
      <c r="DT4" s="1427" t="s">
        <v>2827</v>
      </c>
      <c r="DU4" s="1427" t="s">
        <v>2828</v>
      </c>
      <c r="DV4" s="1427" t="s">
        <v>2829</v>
      </c>
      <c r="DW4" s="1427" t="s">
        <v>2830</v>
      </c>
      <c r="DX4" s="1427" t="s">
        <v>2831</v>
      </c>
      <c r="DY4" s="1427" t="s">
        <v>2832</v>
      </c>
      <c r="DZ4" s="1427" t="s">
        <v>2834</v>
      </c>
      <c r="EA4" s="1427" t="s">
        <v>2835</v>
      </c>
      <c r="EB4" s="1427" t="s">
        <v>2836</v>
      </c>
      <c r="EC4" s="1427" t="s">
        <v>2837</v>
      </c>
      <c r="ED4" s="1427" t="s">
        <v>2838</v>
      </c>
      <c r="EE4" s="1427" t="s">
        <v>2839</v>
      </c>
      <c r="EF4" s="1427" t="s">
        <v>2841</v>
      </c>
      <c r="EG4" s="1427" t="s">
        <v>2042</v>
      </c>
      <c r="EH4" s="1427" t="s">
        <v>2043</v>
      </c>
      <c r="EI4" s="1427" t="s">
        <v>2342</v>
      </c>
      <c r="EJ4" s="1427" t="s">
        <v>2342</v>
      </c>
      <c r="EK4" s="1427" t="s">
        <v>2342</v>
      </c>
      <c r="EL4" s="1427" t="s">
        <v>2342</v>
      </c>
      <c r="EM4" s="1427" t="s">
        <v>2342</v>
      </c>
      <c r="EN4" s="1428" t="s">
        <v>2874</v>
      </c>
      <c r="EO4" s="1427" t="s">
        <v>2345</v>
      </c>
      <c r="EP4" s="1427" t="s">
        <v>2871</v>
      </c>
      <c r="EQ4" s="1427" t="s">
        <v>2867</v>
      </c>
      <c r="ER4" s="1427" t="s">
        <v>2870</v>
      </c>
      <c r="ES4" s="1427" t="s">
        <v>2893</v>
      </c>
      <c r="ET4" s="1427" t="s">
        <v>2894</v>
      </c>
      <c r="EU4" s="1427" t="s">
        <v>2876</v>
      </c>
      <c r="EV4" s="1427" t="s">
        <v>2877</v>
      </c>
      <c r="EW4" s="1427" t="s">
        <v>2355</v>
      </c>
      <c r="EX4" s="1427" t="s">
        <v>2898</v>
      </c>
      <c r="EY4" s="1427" t="s">
        <v>2899</v>
      </c>
      <c r="EZ4" s="1427" t="s">
        <v>2354</v>
      </c>
      <c r="FA4" s="1427" t="s">
        <v>2902</v>
      </c>
      <c r="FB4" s="1427" t="s">
        <v>2351</v>
      </c>
      <c r="FC4" s="1427" t="s">
        <v>2350</v>
      </c>
      <c r="FD4" s="1427" t="s">
        <v>2349</v>
      </c>
      <c r="FE4" s="1427" t="s">
        <v>2353</v>
      </c>
      <c r="FF4" s="1427" t="s">
        <v>2352</v>
      </c>
      <c r="FG4" s="1427" t="s">
        <v>2915</v>
      </c>
      <c r="FH4" s="1427" t="s">
        <v>2914</v>
      </c>
      <c r="FI4" s="1427" t="s">
        <v>2916</v>
      </c>
      <c r="FJ4" s="1427" t="s">
        <v>2917</v>
      </c>
      <c r="FK4" s="1427" t="s">
        <v>2918</v>
      </c>
      <c r="FL4" s="1427" t="s">
        <v>2906</v>
      </c>
      <c r="FM4" s="1427" t="s">
        <v>2906</v>
      </c>
      <c r="FN4" s="1427" t="s">
        <v>2913</v>
      </c>
      <c r="FO4" s="1427" t="s">
        <v>2926</v>
      </c>
      <c r="FP4" s="1427" t="s">
        <v>2927</v>
      </c>
      <c r="FQ4" s="1427" t="s">
        <v>2928</v>
      </c>
      <c r="FR4" s="1427" t="s">
        <v>2925</v>
      </c>
      <c r="FS4" s="1427" t="s">
        <v>2930</v>
      </c>
      <c r="FT4" s="1427" t="s">
        <v>2932</v>
      </c>
      <c r="FU4" s="1427" t="s">
        <v>2936</v>
      </c>
      <c r="FV4" s="1427" t="s">
        <v>2937</v>
      </c>
      <c r="FW4" s="1427" t="s">
        <v>2940</v>
      </c>
      <c r="FX4" s="1427" t="s">
        <v>2939</v>
      </c>
      <c r="FY4" s="1427" t="s">
        <v>2942</v>
      </c>
      <c r="FZ4" s="1427" t="s">
        <v>3215</v>
      </c>
      <c r="GA4" s="1427"/>
      <c r="GB4" s="1934"/>
      <c r="GC4" s="1421" t="s">
        <v>1610</v>
      </c>
    </row>
    <row r="5" spans="1:185" s="1421" customFormat="1" ht="24.95" customHeight="1">
      <c r="B5" s="1925"/>
      <c r="C5" s="1930"/>
      <c r="D5" s="1930"/>
      <c r="E5" s="1930"/>
      <c r="F5" s="1930"/>
      <c r="G5" s="1925"/>
      <c r="H5" s="1925"/>
      <c r="I5" s="1925"/>
      <c r="J5" s="1925"/>
      <c r="K5" s="1429" t="s">
        <v>2279</v>
      </c>
      <c r="L5" s="1429" t="s">
        <v>2281</v>
      </c>
      <c r="M5" s="1429" t="s">
        <v>2281</v>
      </c>
      <c r="N5" s="1429" t="s">
        <v>2283</v>
      </c>
      <c r="O5" s="1429" t="s">
        <v>2650</v>
      </c>
      <c r="P5" s="1429" t="s">
        <v>2650</v>
      </c>
      <c r="Q5" s="1429" t="s">
        <v>2346</v>
      </c>
      <c r="R5" s="1429" t="s">
        <v>2340</v>
      </c>
      <c r="S5" s="1429" t="s">
        <v>2340</v>
      </c>
      <c r="T5" s="1429" t="s">
        <v>2656</v>
      </c>
      <c r="U5" s="1429" t="s">
        <v>2656</v>
      </c>
      <c r="V5" s="1429" t="s">
        <v>2656</v>
      </c>
      <c r="W5" s="1429" t="s">
        <v>2339</v>
      </c>
      <c r="X5" s="1429" t="s">
        <v>2661</v>
      </c>
      <c r="Y5" s="1429" t="s">
        <v>2338</v>
      </c>
      <c r="Z5" s="1429" t="s">
        <v>2338</v>
      </c>
      <c r="AA5" s="1429" t="s">
        <v>2338</v>
      </c>
      <c r="AB5" s="1429" t="s">
        <v>2666</v>
      </c>
      <c r="AC5" s="1429" t="s">
        <v>2666</v>
      </c>
      <c r="AD5" s="1429" t="s">
        <v>2666</v>
      </c>
      <c r="AE5" s="1429" t="s">
        <v>2671</v>
      </c>
      <c r="AF5" s="1429" t="s">
        <v>2671</v>
      </c>
      <c r="AG5" s="1429" t="s">
        <v>2671</v>
      </c>
      <c r="AH5" s="1429" t="s">
        <v>2671</v>
      </c>
      <c r="AI5" s="1429" t="s">
        <v>2671</v>
      </c>
      <c r="AJ5" s="1429" t="s">
        <v>2671</v>
      </c>
      <c r="AK5" s="1429" t="s">
        <v>2678</v>
      </c>
      <c r="AL5" s="1429" t="s">
        <v>2678</v>
      </c>
      <c r="AM5" s="1429" t="s">
        <v>2678</v>
      </c>
      <c r="AN5" s="1429" t="s">
        <v>2678</v>
      </c>
      <c r="AO5" s="1429" t="s">
        <v>2678</v>
      </c>
      <c r="AP5" s="1429" t="s">
        <v>2678</v>
      </c>
      <c r="AQ5" s="1429" t="s">
        <v>2685</v>
      </c>
      <c r="AR5" s="1429" t="s">
        <v>2685</v>
      </c>
      <c r="AS5" s="1429" t="s">
        <v>2685</v>
      </c>
      <c r="AT5" s="1429" t="s">
        <v>2685</v>
      </c>
      <c r="AU5" s="1429" t="s">
        <v>2685</v>
      </c>
      <c r="AV5" s="1429" t="s">
        <v>2685</v>
      </c>
      <c r="AW5" s="1429" t="s">
        <v>2700</v>
      </c>
      <c r="AX5" s="1429" t="s">
        <v>2699</v>
      </c>
      <c r="AY5" s="1429" t="s">
        <v>2699</v>
      </c>
      <c r="AZ5" s="1429" t="s">
        <v>2699</v>
      </c>
      <c r="BA5" s="1429" t="s">
        <v>2701</v>
      </c>
      <c r="BB5" s="1429" t="s">
        <v>2701</v>
      </c>
      <c r="BC5" s="1429" t="s">
        <v>2701</v>
      </c>
      <c r="BD5" s="1429" t="s">
        <v>2701</v>
      </c>
      <c r="BE5" s="1429" t="s">
        <v>2706</v>
      </c>
      <c r="BF5" s="1429" t="s">
        <v>2706</v>
      </c>
      <c r="BG5" s="1429" t="s">
        <v>2706</v>
      </c>
      <c r="BH5" s="1429" t="s">
        <v>2706</v>
      </c>
      <c r="BI5" s="1429" t="s">
        <v>2711</v>
      </c>
      <c r="BJ5" s="1429" t="s">
        <v>2711</v>
      </c>
      <c r="BK5" s="1429" t="s">
        <v>2711</v>
      </c>
      <c r="BL5" s="1429" t="s">
        <v>2711</v>
      </c>
      <c r="BM5" s="1429" t="s">
        <v>2717</v>
      </c>
      <c r="BN5" s="1429" t="s">
        <v>2717</v>
      </c>
      <c r="BO5" s="1429" t="s">
        <v>2717</v>
      </c>
      <c r="BP5" s="1429" t="s">
        <v>2717</v>
      </c>
      <c r="BQ5" s="1429" t="s">
        <v>2717</v>
      </c>
      <c r="BR5" s="1429" t="s">
        <v>2723</v>
      </c>
      <c r="BS5" s="1429" t="s">
        <v>2723</v>
      </c>
      <c r="BT5" s="1429" t="s">
        <v>2726</v>
      </c>
      <c r="BU5" s="1429" t="s">
        <v>2726</v>
      </c>
      <c r="BV5" s="1429" t="s">
        <v>2726</v>
      </c>
      <c r="BW5" s="1429" t="s">
        <v>2726</v>
      </c>
      <c r="BX5" s="1429" t="s">
        <v>2726</v>
      </c>
      <c r="BY5" s="1429" t="s">
        <v>2726</v>
      </c>
      <c r="BZ5" s="1429" t="s">
        <v>2739</v>
      </c>
      <c r="CA5" s="1429" t="s">
        <v>2739</v>
      </c>
      <c r="CB5" s="1429" t="s">
        <v>2739</v>
      </c>
      <c r="CC5" s="1429" t="s">
        <v>2739</v>
      </c>
      <c r="CD5" s="1429" t="s">
        <v>2739</v>
      </c>
      <c r="CE5" s="1429" t="s">
        <v>2739</v>
      </c>
      <c r="CF5" s="1429" t="s">
        <v>2740</v>
      </c>
      <c r="CG5" s="1429" t="s">
        <v>2740</v>
      </c>
      <c r="CH5" s="1429" t="s">
        <v>2744</v>
      </c>
      <c r="CI5" s="1429" t="s">
        <v>2744</v>
      </c>
      <c r="CJ5" s="1429" t="s">
        <v>2747</v>
      </c>
      <c r="CK5" s="1429" t="s">
        <v>2747</v>
      </c>
      <c r="CL5" s="1429" t="s">
        <v>2747</v>
      </c>
      <c r="CM5" s="1429" t="s">
        <v>2747</v>
      </c>
      <c r="CN5" s="1429" t="s">
        <v>2747</v>
      </c>
      <c r="CO5" s="1429" t="s">
        <v>2748</v>
      </c>
      <c r="CP5" s="1429" t="s">
        <v>2748</v>
      </c>
      <c r="CQ5" s="1429" t="s">
        <v>2748</v>
      </c>
      <c r="CR5" s="1429" t="s">
        <v>2749</v>
      </c>
      <c r="CS5" s="1429" t="s">
        <v>2749</v>
      </c>
      <c r="CT5" s="1429" t="s">
        <v>2749</v>
      </c>
      <c r="CU5" s="1429" t="s">
        <v>2753</v>
      </c>
      <c r="CV5" s="1429" t="s">
        <v>2753</v>
      </c>
      <c r="CW5" s="1429" t="s">
        <v>2756</v>
      </c>
      <c r="CX5" s="1429" t="s">
        <v>2756</v>
      </c>
      <c r="CY5" s="1429" t="s">
        <v>2756</v>
      </c>
      <c r="CZ5" s="1429" t="s">
        <v>2756</v>
      </c>
      <c r="DA5" s="1429" t="s">
        <v>2756</v>
      </c>
      <c r="DB5" s="1429" t="s">
        <v>2762</v>
      </c>
      <c r="DC5" s="1429" t="s">
        <v>2762</v>
      </c>
      <c r="DD5" s="1429" t="s">
        <v>2762</v>
      </c>
      <c r="DE5" s="1429" t="s">
        <v>2766</v>
      </c>
      <c r="DF5" s="1429" t="s">
        <v>2766</v>
      </c>
      <c r="DG5" s="1429" t="s">
        <v>2766</v>
      </c>
      <c r="DH5" s="1429" t="s">
        <v>2806</v>
      </c>
      <c r="DI5" s="1429" t="s">
        <v>2806</v>
      </c>
      <c r="DJ5" s="1429" t="s">
        <v>2806</v>
      </c>
      <c r="DK5" s="1429" t="s">
        <v>2806</v>
      </c>
      <c r="DL5" s="1429" t="s">
        <v>2806</v>
      </c>
      <c r="DM5" s="1429" t="s">
        <v>2812</v>
      </c>
      <c r="DN5" s="1429" t="s">
        <v>2812</v>
      </c>
      <c r="DO5" s="1429" t="s">
        <v>2812</v>
      </c>
      <c r="DP5" s="1429" t="s">
        <v>2812</v>
      </c>
      <c r="DQ5" s="1429" t="s">
        <v>2812</v>
      </c>
      <c r="DR5" s="1429" t="s">
        <v>2818</v>
      </c>
      <c r="DS5" s="1429" t="s">
        <v>2818</v>
      </c>
      <c r="DT5" s="1429" t="s">
        <v>2818</v>
      </c>
      <c r="DU5" s="1429" t="s">
        <v>2818</v>
      </c>
      <c r="DV5" s="1429" t="s">
        <v>2818</v>
      </c>
      <c r="DW5" s="1429" t="s">
        <v>2825</v>
      </c>
      <c r="DX5" s="1429" t="s">
        <v>2825</v>
      </c>
      <c r="DY5" s="1429" t="s">
        <v>2842</v>
      </c>
      <c r="DZ5" s="1429" t="s">
        <v>2844</v>
      </c>
      <c r="EA5" s="1429" t="s">
        <v>2845</v>
      </c>
      <c r="EB5" s="1429" t="s">
        <v>2846</v>
      </c>
      <c r="EC5" s="1429" t="s">
        <v>2847</v>
      </c>
      <c r="ED5" s="1429" t="s">
        <v>2848</v>
      </c>
      <c r="EE5" s="1429" t="s">
        <v>2849</v>
      </c>
      <c r="EF5" s="1429" t="s">
        <v>2850</v>
      </c>
      <c r="EG5" s="1429" t="s">
        <v>2337</v>
      </c>
      <c r="EH5" s="1429" t="s">
        <v>2341</v>
      </c>
      <c r="EI5" s="1429" t="s">
        <v>2717</v>
      </c>
      <c r="EJ5" s="1429" t="s">
        <v>2723</v>
      </c>
      <c r="EK5" s="1429" t="s">
        <v>2864</v>
      </c>
      <c r="EL5" s="1429" t="s">
        <v>2865</v>
      </c>
      <c r="EM5" s="1429" t="s">
        <v>2866</v>
      </c>
      <c r="EN5" s="1429"/>
      <c r="EO5" s="1427"/>
      <c r="EP5" s="1427"/>
      <c r="EQ5" s="1427"/>
      <c r="ER5" s="1427"/>
      <c r="ES5" s="1427"/>
      <c r="ET5" s="1427"/>
      <c r="EU5" s="1427" t="s">
        <v>2345</v>
      </c>
      <c r="EV5" s="1427" t="s">
        <v>2345</v>
      </c>
      <c r="EW5" s="1427"/>
      <c r="EX5" s="1427"/>
      <c r="EY5" s="1427"/>
      <c r="EZ5" s="1427"/>
      <c r="FA5" s="1427"/>
      <c r="FB5" s="1427"/>
      <c r="FC5" s="1427"/>
      <c r="FD5" s="1427" t="s">
        <v>2345</v>
      </c>
      <c r="FE5" s="1427"/>
      <c r="FF5" s="1427" t="s">
        <v>2345</v>
      </c>
      <c r="FG5" s="1427"/>
      <c r="FH5" s="1427"/>
      <c r="FI5" s="1427"/>
      <c r="FJ5" s="1427"/>
      <c r="FK5" s="1427"/>
      <c r="FL5" s="1427"/>
      <c r="FM5" s="1427"/>
      <c r="FN5" s="1427" t="s">
        <v>2345</v>
      </c>
      <c r="FO5" s="1427"/>
      <c r="FP5" s="1427"/>
      <c r="FQ5" s="1427"/>
      <c r="FR5" s="1427"/>
      <c r="FS5" s="1427"/>
      <c r="FT5" s="1427"/>
      <c r="FU5" s="1427"/>
      <c r="FV5" s="1427"/>
      <c r="FW5" s="1427"/>
      <c r="FX5" s="1427"/>
      <c r="FY5" s="1427"/>
      <c r="FZ5" s="1427"/>
      <c r="GA5" s="1427"/>
      <c r="GB5" s="1930"/>
      <c r="GC5" s="1421" t="s">
        <v>2048</v>
      </c>
    </row>
    <row r="6" spans="1:185" s="1007" customFormat="1" ht="24.95" customHeight="1">
      <c r="B6" s="1011"/>
      <c r="C6" s="1012"/>
      <c r="D6" s="1013"/>
      <c r="E6" s="1014"/>
      <c r="F6" s="1015"/>
      <c r="G6" s="1016"/>
      <c r="H6" s="1017"/>
      <c r="I6" s="1018"/>
      <c r="J6" s="1017"/>
      <c r="K6" s="1019" t="s">
        <v>2646</v>
      </c>
      <c r="L6" s="1019" t="s">
        <v>2356</v>
      </c>
      <c r="M6" s="1019" t="s">
        <v>2356</v>
      </c>
      <c r="N6" s="1019" t="s">
        <v>2049</v>
      </c>
      <c r="O6" s="1019" t="s">
        <v>2049</v>
      </c>
      <c r="P6" s="1019" t="s">
        <v>2049</v>
      </c>
      <c r="Q6" s="1019" t="s">
        <v>2049</v>
      </c>
      <c r="R6" s="1019" t="s">
        <v>2049</v>
      </c>
      <c r="S6" s="1019" t="s">
        <v>2049</v>
      </c>
      <c r="T6" s="1019" t="s">
        <v>2282</v>
      </c>
      <c r="U6" s="1019" t="s">
        <v>2282</v>
      </c>
      <c r="V6" s="1019" t="s">
        <v>2282</v>
      </c>
      <c r="W6" s="1019" t="s">
        <v>2282</v>
      </c>
      <c r="X6" s="1019" t="s">
        <v>2282</v>
      </c>
      <c r="Y6" s="1019" t="s">
        <v>2282</v>
      </c>
      <c r="Z6" s="1019" t="s">
        <v>2282</v>
      </c>
      <c r="AA6" s="1019" t="s">
        <v>2282</v>
      </c>
      <c r="AB6" s="1019" t="s">
        <v>2282</v>
      </c>
      <c r="AC6" s="1019" t="s">
        <v>2282</v>
      </c>
      <c r="AD6" s="1019" t="s">
        <v>2282</v>
      </c>
      <c r="AE6" s="1019" t="s">
        <v>2304</v>
      </c>
      <c r="AF6" s="1019" t="s">
        <v>2304</v>
      </c>
      <c r="AG6" s="1019" t="s">
        <v>2304</v>
      </c>
      <c r="AH6" s="1019" t="s">
        <v>2304</v>
      </c>
      <c r="AI6" s="1019" t="s">
        <v>2304</v>
      </c>
      <c r="AJ6" s="1019" t="s">
        <v>2304</v>
      </c>
      <c r="AK6" s="1019" t="s">
        <v>2304</v>
      </c>
      <c r="AL6" s="1019" t="s">
        <v>2304</v>
      </c>
      <c r="AM6" s="1019" t="s">
        <v>2304</v>
      </c>
      <c r="AN6" s="1019" t="s">
        <v>2670</v>
      </c>
      <c r="AO6" s="1019" t="s">
        <v>2670</v>
      </c>
      <c r="AP6" s="1019" t="s">
        <v>2670</v>
      </c>
      <c r="AQ6" s="1019" t="s">
        <v>2670</v>
      </c>
      <c r="AR6" s="1019" t="s">
        <v>2670</v>
      </c>
      <c r="AS6" s="1019" t="s">
        <v>2670</v>
      </c>
      <c r="AT6" s="1019" t="s">
        <v>2670</v>
      </c>
      <c r="AU6" s="1019" t="s">
        <v>2670</v>
      </c>
      <c r="AV6" s="1019" t="s">
        <v>2670</v>
      </c>
      <c r="AW6" s="1019" t="s">
        <v>2693</v>
      </c>
      <c r="AX6" s="1019" t="s">
        <v>2692</v>
      </c>
      <c r="AY6" s="1019" t="s">
        <v>2692</v>
      </c>
      <c r="AZ6" s="1019" t="s">
        <v>2692</v>
      </c>
      <c r="BA6" s="1019" t="s">
        <v>2698</v>
      </c>
      <c r="BB6" s="1019" t="s">
        <v>2698</v>
      </c>
      <c r="BC6" s="1019" t="s">
        <v>2698</v>
      </c>
      <c r="BD6" s="1019" t="s">
        <v>2698</v>
      </c>
      <c r="BE6" s="1019" t="s">
        <v>2698</v>
      </c>
      <c r="BF6" s="1019" t="s">
        <v>2698</v>
      </c>
      <c r="BG6" s="1019" t="s">
        <v>2698</v>
      </c>
      <c r="BH6" s="1019" t="s">
        <v>2698</v>
      </c>
      <c r="BI6" s="1019" t="s">
        <v>2698</v>
      </c>
      <c r="BJ6" s="1019" t="s">
        <v>2698</v>
      </c>
      <c r="BK6" s="1019" t="s">
        <v>2698</v>
      </c>
      <c r="BL6" s="1019" t="s">
        <v>2698</v>
      </c>
      <c r="BM6" s="1019" t="s">
        <v>2646</v>
      </c>
      <c r="BN6" s="1019" t="s">
        <v>2646</v>
      </c>
      <c r="BO6" s="1019" t="s">
        <v>2646</v>
      </c>
      <c r="BP6" s="1019" t="s">
        <v>2646</v>
      </c>
      <c r="BQ6" s="1019" t="s">
        <v>2646</v>
      </c>
      <c r="BR6" s="1019" t="s">
        <v>2646</v>
      </c>
      <c r="BS6" s="1019" t="s">
        <v>2646</v>
      </c>
      <c r="BT6" s="1019" t="s">
        <v>2646</v>
      </c>
      <c r="BU6" s="1019" t="s">
        <v>2646</v>
      </c>
      <c r="BV6" s="1019" t="s">
        <v>2646</v>
      </c>
      <c r="BW6" s="1019" t="s">
        <v>2646</v>
      </c>
      <c r="BX6" s="1019" t="s">
        <v>2646</v>
      </c>
      <c r="BY6" s="1019" t="s">
        <v>2646</v>
      </c>
      <c r="BZ6" s="1019" t="s">
        <v>2646</v>
      </c>
      <c r="CA6" s="1019" t="s">
        <v>2646</v>
      </c>
      <c r="CB6" s="1019" t="s">
        <v>2646</v>
      </c>
      <c r="CC6" s="1019" t="s">
        <v>2646</v>
      </c>
      <c r="CD6" s="1019" t="s">
        <v>2646</v>
      </c>
      <c r="CE6" s="1019" t="s">
        <v>2646</v>
      </c>
      <c r="CF6" s="1019" t="s">
        <v>2336</v>
      </c>
      <c r="CG6" s="1019" t="s">
        <v>2282</v>
      </c>
      <c r="CH6" s="1019" t="s">
        <v>2282</v>
      </c>
      <c r="CI6" s="1019" t="s">
        <v>2282</v>
      </c>
      <c r="CJ6" s="1019" t="s">
        <v>2282</v>
      </c>
      <c r="CK6" s="1019" t="s">
        <v>2282</v>
      </c>
      <c r="CL6" s="1019" t="s">
        <v>2282</v>
      </c>
      <c r="CM6" s="1019" t="s">
        <v>2282</v>
      </c>
      <c r="CN6" s="1019" t="s">
        <v>2282</v>
      </c>
      <c r="CO6" s="1019" t="s">
        <v>2282</v>
      </c>
      <c r="CP6" s="1019" t="s">
        <v>2282</v>
      </c>
      <c r="CQ6" s="1019" t="s">
        <v>2282</v>
      </c>
      <c r="CR6" s="1019" t="s">
        <v>2282</v>
      </c>
      <c r="CS6" s="1019" t="s">
        <v>2282</v>
      </c>
      <c r="CT6" s="1019" t="s">
        <v>2282</v>
      </c>
      <c r="CU6" s="1019" t="s">
        <v>2282</v>
      </c>
      <c r="CV6" s="1019" t="s">
        <v>2282</v>
      </c>
      <c r="CW6" s="1019" t="s">
        <v>2282</v>
      </c>
      <c r="CX6" s="1019" t="s">
        <v>2282</v>
      </c>
      <c r="CY6" s="1019" t="s">
        <v>2282</v>
      </c>
      <c r="CZ6" s="1019" t="s">
        <v>2282</v>
      </c>
      <c r="DA6" s="1019" t="s">
        <v>2282</v>
      </c>
      <c r="DB6" s="1019" t="s">
        <v>2282</v>
      </c>
      <c r="DC6" s="1019" t="s">
        <v>2282</v>
      </c>
      <c r="DD6" s="1019" t="s">
        <v>2282</v>
      </c>
      <c r="DE6" s="1019" t="s">
        <v>2282</v>
      </c>
      <c r="DF6" s="1019" t="s">
        <v>2304</v>
      </c>
      <c r="DG6" s="1019" t="s">
        <v>2343</v>
      </c>
      <c r="DH6" s="1019" t="s">
        <v>2304</v>
      </c>
      <c r="DI6" s="1019" t="s">
        <v>2304</v>
      </c>
      <c r="DJ6" s="1019" t="s">
        <v>2304</v>
      </c>
      <c r="DK6" s="1019" t="s">
        <v>2304</v>
      </c>
      <c r="DL6" s="1019" t="s">
        <v>2304</v>
      </c>
      <c r="DM6" s="1019" t="s">
        <v>2304</v>
      </c>
      <c r="DN6" s="1019" t="s">
        <v>2304</v>
      </c>
      <c r="DO6" s="1019" t="s">
        <v>2304</v>
      </c>
      <c r="DP6" s="1019" t="s">
        <v>2304</v>
      </c>
      <c r="DQ6" s="1019" t="s">
        <v>2304</v>
      </c>
      <c r="DR6" s="1019" t="s">
        <v>2698</v>
      </c>
      <c r="DS6" s="1019" t="s">
        <v>2698</v>
      </c>
      <c r="DT6" s="1019" t="s">
        <v>2698</v>
      </c>
      <c r="DU6" s="1019" t="s">
        <v>2698</v>
      </c>
      <c r="DV6" s="1019" t="s">
        <v>2698</v>
      </c>
      <c r="DW6" s="1019" t="s">
        <v>2833</v>
      </c>
      <c r="DX6" s="1019" t="s">
        <v>2833</v>
      </c>
      <c r="DY6" s="1019" t="s">
        <v>2840</v>
      </c>
      <c r="DZ6" s="1019" t="s">
        <v>2840</v>
      </c>
      <c r="EA6" s="1019" t="s">
        <v>2840</v>
      </c>
      <c r="EB6" s="1019" t="s">
        <v>2840</v>
      </c>
      <c r="EC6" s="1019" t="s">
        <v>2840</v>
      </c>
      <c r="ED6" s="1019" t="s">
        <v>2840</v>
      </c>
      <c r="EE6" s="1019" t="s">
        <v>2840</v>
      </c>
      <c r="EF6" s="1019" t="s">
        <v>2840</v>
      </c>
      <c r="EG6" s="1019" t="s">
        <v>2861</v>
      </c>
      <c r="EH6" s="1019" t="s">
        <v>2049</v>
      </c>
      <c r="EI6" s="1019" t="s">
        <v>2646</v>
      </c>
      <c r="EJ6" s="1019" t="s">
        <v>2890</v>
      </c>
      <c r="EK6" s="1019" t="s">
        <v>2282</v>
      </c>
      <c r="EL6" s="1019" t="s">
        <v>2282</v>
      </c>
      <c r="EM6" s="1019" t="s">
        <v>2282</v>
      </c>
      <c r="EN6" s="1020" t="s">
        <v>2646</v>
      </c>
      <c r="EO6" s="1020" t="s">
        <v>2646</v>
      </c>
      <c r="EP6" s="1020" t="s">
        <v>2646</v>
      </c>
      <c r="EQ6" s="1020" t="s">
        <v>2646</v>
      </c>
      <c r="ER6" s="1020" t="s">
        <v>2646</v>
      </c>
      <c r="ES6" s="1020" t="s">
        <v>2873</v>
      </c>
      <c r="ET6" s="1020" t="s">
        <v>2698</v>
      </c>
      <c r="EU6" s="1020" t="s">
        <v>2698</v>
      </c>
      <c r="EV6" s="1020" t="s">
        <v>2343</v>
      </c>
      <c r="EW6" s="1020" t="s">
        <v>2896</v>
      </c>
      <c r="EX6" s="1020" t="s">
        <v>2896</v>
      </c>
      <c r="EY6" s="1020" t="s">
        <v>2896</v>
      </c>
      <c r="EZ6" s="1020" t="s">
        <v>2049</v>
      </c>
      <c r="FA6" s="1020" t="s">
        <v>2049</v>
      </c>
      <c r="FB6" s="1020" t="s">
        <v>2049</v>
      </c>
      <c r="FC6" s="1020" t="s">
        <v>2049</v>
      </c>
      <c r="FD6" s="1020" t="s">
        <v>2348</v>
      </c>
      <c r="FE6" s="1020" t="s">
        <v>2356</v>
      </c>
      <c r="FF6" s="1020" t="s">
        <v>2920</v>
      </c>
      <c r="FG6" s="1020" t="s">
        <v>2920</v>
      </c>
      <c r="FH6" s="1020" t="s">
        <v>2920</v>
      </c>
      <c r="FI6" s="1020" t="s">
        <v>2920</v>
      </c>
      <c r="FJ6" s="1020" t="s">
        <v>2920</v>
      </c>
      <c r="FK6" s="1020" t="s">
        <v>2920</v>
      </c>
      <c r="FL6" s="1020" t="s">
        <v>2920</v>
      </c>
      <c r="FM6" s="1020" t="s">
        <v>2920</v>
      </c>
      <c r="FN6" s="1020" t="s">
        <v>2943</v>
      </c>
      <c r="FO6" s="1020" t="s">
        <v>2943</v>
      </c>
      <c r="FP6" s="1020" t="s">
        <v>2943</v>
      </c>
      <c r="FQ6" s="1020" t="s">
        <v>2943</v>
      </c>
      <c r="FR6" s="1020" t="s">
        <v>2896</v>
      </c>
      <c r="FS6" s="1020" t="s">
        <v>2943</v>
      </c>
      <c r="FT6" s="1020" t="s">
        <v>2943</v>
      </c>
      <c r="FU6" s="1020" t="s">
        <v>2873</v>
      </c>
      <c r="FV6" s="1020" t="s">
        <v>2873</v>
      </c>
      <c r="FW6" s="1020" t="s">
        <v>2943</v>
      </c>
      <c r="FX6" s="1020" t="s">
        <v>2943</v>
      </c>
      <c r="FY6" s="1020" t="s">
        <v>2943</v>
      </c>
      <c r="FZ6" s="1020" t="s">
        <v>2670</v>
      </c>
      <c r="GA6" s="1020"/>
      <c r="GB6" s="1017"/>
    </row>
    <row r="7" spans="1:185" s="1021" customFormat="1" ht="24.95" customHeight="1">
      <c r="B7" s="1022"/>
      <c r="C7" s="1023"/>
      <c r="D7" s="1024"/>
      <c r="E7" s="1025"/>
      <c r="F7" s="1026"/>
      <c r="G7" s="1027"/>
      <c r="H7" s="1028"/>
      <c r="I7" s="1029"/>
      <c r="J7" s="1028"/>
      <c r="K7" s="1030" t="s">
        <v>544</v>
      </c>
      <c r="L7" s="1031" t="s">
        <v>2647</v>
      </c>
      <c r="M7" s="1031" t="s">
        <v>2648</v>
      </c>
      <c r="N7" s="1031" t="s">
        <v>2649</v>
      </c>
      <c r="O7" s="1031" t="s">
        <v>2651</v>
      </c>
      <c r="P7" s="1031" t="s">
        <v>2652</v>
      </c>
      <c r="Q7" s="1031" t="s">
        <v>2653</v>
      </c>
      <c r="R7" s="1031" t="s">
        <v>2654</v>
      </c>
      <c r="S7" s="1031" t="s">
        <v>2655</v>
      </c>
      <c r="T7" s="1031" t="s">
        <v>2657</v>
      </c>
      <c r="U7" s="1031" t="s">
        <v>2658</v>
      </c>
      <c r="V7" s="1031" t="s">
        <v>2659</v>
      </c>
      <c r="W7" s="1031" t="s">
        <v>2660</v>
      </c>
      <c r="X7" s="1031" t="s">
        <v>2662</v>
      </c>
      <c r="Y7" s="1031" t="s">
        <v>2663</v>
      </c>
      <c r="Z7" s="1031" t="s">
        <v>2664</v>
      </c>
      <c r="AA7" s="1031" t="s">
        <v>2665</v>
      </c>
      <c r="AB7" s="1031" t="s">
        <v>2667</v>
      </c>
      <c r="AC7" s="1031" t="s">
        <v>2668</v>
      </c>
      <c r="AD7" s="1031" t="s">
        <v>2669</v>
      </c>
      <c r="AE7" s="1031" t="s">
        <v>2672</v>
      </c>
      <c r="AF7" s="1031" t="s">
        <v>2673</v>
      </c>
      <c r="AG7" s="1031" t="s">
        <v>2674</v>
      </c>
      <c r="AH7" s="1031" t="s">
        <v>2675</v>
      </c>
      <c r="AI7" s="1031" t="s">
        <v>2676</v>
      </c>
      <c r="AJ7" s="1031" t="s">
        <v>2677</v>
      </c>
      <c r="AK7" s="1031" t="s">
        <v>2679</v>
      </c>
      <c r="AL7" s="1031" t="s">
        <v>2680</v>
      </c>
      <c r="AM7" s="1031" t="s">
        <v>2681</v>
      </c>
      <c r="AN7" s="1031" t="s">
        <v>2682</v>
      </c>
      <c r="AO7" s="1031" t="s">
        <v>2683</v>
      </c>
      <c r="AP7" s="1031" t="s">
        <v>2684</v>
      </c>
      <c r="AQ7" s="1031" t="s">
        <v>2686</v>
      </c>
      <c r="AR7" s="1031" t="s">
        <v>2687</v>
      </c>
      <c r="AS7" s="1031" t="s">
        <v>2689</v>
      </c>
      <c r="AT7" s="1031" t="s">
        <v>2688</v>
      </c>
      <c r="AU7" s="1031" t="s">
        <v>2690</v>
      </c>
      <c r="AV7" s="1031" t="s">
        <v>2691</v>
      </c>
      <c r="AW7" s="1031" t="s">
        <v>2694</v>
      </c>
      <c r="AX7" s="1031" t="s">
        <v>2695</v>
      </c>
      <c r="AY7" s="1031" t="s">
        <v>2696</v>
      </c>
      <c r="AZ7" s="1031" t="s">
        <v>2697</v>
      </c>
      <c r="BA7" s="1031" t="s">
        <v>2702</v>
      </c>
      <c r="BB7" s="1031" t="s">
        <v>2703</v>
      </c>
      <c r="BC7" s="1031" t="s">
        <v>2704</v>
      </c>
      <c r="BD7" s="1031" t="s">
        <v>2705</v>
      </c>
      <c r="BE7" s="1031" t="s">
        <v>2707</v>
      </c>
      <c r="BF7" s="1031" t="s">
        <v>2708</v>
      </c>
      <c r="BG7" s="1031" t="s">
        <v>2709</v>
      </c>
      <c r="BH7" s="1031" t="s">
        <v>2710</v>
      </c>
      <c r="BI7" s="1031" t="s">
        <v>2712</v>
      </c>
      <c r="BJ7" s="1031" t="s">
        <v>2714</v>
      </c>
      <c r="BK7" s="1031" t="s">
        <v>2715</v>
      </c>
      <c r="BL7" s="1031" t="s">
        <v>2716</v>
      </c>
      <c r="BM7" s="1031" t="s">
        <v>2718</v>
      </c>
      <c r="BN7" s="1031" t="s">
        <v>2719</v>
      </c>
      <c r="BO7" s="1031" t="s">
        <v>2720</v>
      </c>
      <c r="BP7" s="1031" t="s">
        <v>2721</v>
      </c>
      <c r="BQ7" s="1031" t="s">
        <v>2722</v>
      </c>
      <c r="BR7" s="1031" t="s">
        <v>2725</v>
      </c>
      <c r="BS7" s="1031" t="s">
        <v>2724</v>
      </c>
      <c r="BT7" s="1031" t="s">
        <v>2727</v>
      </c>
      <c r="BU7" s="1031" t="s">
        <v>2728</v>
      </c>
      <c r="BV7" s="1031" t="s">
        <v>2729</v>
      </c>
      <c r="BW7" s="1031" t="s">
        <v>2730</v>
      </c>
      <c r="BX7" s="1031" t="s">
        <v>2731</v>
      </c>
      <c r="BY7" s="1031" t="s">
        <v>2732</v>
      </c>
      <c r="BZ7" s="1031" t="s">
        <v>2733</v>
      </c>
      <c r="CA7" s="1031" t="s">
        <v>2734</v>
      </c>
      <c r="CB7" s="1031" t="s">
        <v>2735</v>
      </c>
      <c r="CC7" s="1031" t="s">
        <v>2736</v>
      </c>
      <c r="CD7" s="1031" t="s">
        <v>2737</v>
      </c>
      <c r="CE7" s="1031" t="s">
        <v>2738</v>
      </c>
      <c r="CF7" s="1032" t="s">
        <v>2741</v>
      </c>
      <c r="CG7" s="1032" t="s">
        <v>2743</v>
      </c>
      <c r="CH7" s="1032" t="s">
        <v>2745</v>
      </c>
      <c r="CI7" s="1032" t="s">
        <v>2746</v>
      </c>
      <c r="CJ7" s="1032" t="s">
        <v>2880</v>
      </c>
      <c r="CK7" s="1032" t="s">
        <v>2881</v>
      </c>
      <c r="CL7" s="1032" t="s">
        <v>2882</v>
      </c>
      <c r="CM7" s="1032" t="s">
        <v>2883</v>
      </c>
      <c r="CN7" s="1032" t="s">
        <v>2884</v>
      </c>
      <c r="CO7" s="1032" t="s">
        <v>2885</v>
      </c>
      <c r="CP7" s="1032" t="s">
        <v>2886</v>
      </c>
      <c r="CQ7" s="1032" t="s">
        <v>2887</v>
      </c>
      <c r="CR7" s="1032" t="s">
        <v>2750</v>
      </c>
      <c r="CS7" s="1032" t="s">
        <v>2751</v>
      </c>
      <c r="CT7" s="1030" t="s">
        <v>2752</v>
      </c>
      <c r="CU7" s="1032" t="s">
        <v>2754</v>
      </c>
      <c r="CV7" s="1032" t="s">
        <v>2755</v>
      </c>
      <c r="CW7" s="1032" t="s">
        <v>2759</v>
      </c>
      <c r="CX7" s="1032" t="s">
        <v>2760</v>
      </c>
      <c r="CY7" s="1032" t="s">
        <v>2765</v>
      </c>
      <c r="CZ7" s="1032" t="s">
        <v>2764</v>
      </c>
      <c r="DA7" s="1032" t="s">
        <v>2761</v>
      </c>
      <c r="DB7" s="1032" t="s">
        <v>2758</v>
      </c>
      <c r="DC7" s="1032" t="s">
        <v>2757</v>
      </c>
      <c r="DD7" s="1032" t="s">
        <v>2763</v>
      </c>
      <c r="DE7" s="1032" t="s">
        <v>2767</v>
      </c>
      <c r="DF7" s="1032" t="s">
        <v>2768</v>
      </c>
      <c r="DG7" s="1032" t="s">
        <v>2769</v>
      </c>
      <c r="DH7" s="1032" t="s">
        <v>2807</v>
      </c>
      <c r="DI7" s="1032" t="s">
        <v>2808</v>
      </c>
      <c r="DJ7" s="1032" t="s">
        <v>2809</v>
      </c>
      <c r="DK7" s="1032" t="s">
        <v>2810</v>
      </c>
      <c r="DL7" s="1032" t="s">
        <v>2811</v>
      </c>
      <c r="DM7" s="1032" t="s">
        <v>2813</v>
      </c>
      <c r="DN7" s="1032" t="s">
        <v>2814</v>
      </c>
      <c r="DO7" s="1032" t="s">
        <v>2815</v>
      </c>
      <c r="DP7" s="1032" t="s">
        <v>2816</v>
      </c>
      <c r="DQ7" s="1032" t="s">
        <v>2817</v>
      </c>
      <c r="DR7" s="1032" t="s">
        <v>2819</v>
      </c>
      <c r="DS7" s="1032" t="s">
        <v>2820</v>
      </c>
      <c r="DT7" s="1032" t="s">
        <v>2821</v>
      </c>
      <c r="DU7" s="1032" t="s">
        <v>2822</v>
      </c>
      <c r="DV7" s="1032" t="s">
        <v>2823</v>
      </c>
      <c r="DW7" s="1032" t="s">
        <v>2888</v>
      </c>
      <c r="DX7" s="1032" t="s">
        <v>2889</v>
      </c>
      <c r="DY7" s="1030" t="s">
        <v>2843</v>
      </c>
      <c r="DZ7" s="1030" t="s">
        <v>2851</v>
      </c>
      <c r="EA7" s="1030" t="s">
        <v>2852</v>
      </c>
      <c r="EB7" s="1030" t="s">
        <v>2853</v>
      </c>
      <c r="EC7" s="1030" t="s">
        <v>2854</v>
      </c>
      <c r="ED7" s="1030" t="s">
        <v>2855</v>
      </c>
      <c r="EE7" s="1030" t="s">
        <v>2856</v>
      </c>
      <c r="EF7" s="1030" t="s">
        <v>2857</v>
      </c>
      <c r="EG7" s="1032" t="s">
        <v>1545</v>
      </c>
      <c r="EH7" s="1032" t="s">
        <v>2862</v>
      </c>
      <c r="EI7" s="1032" t="s">
        <v>1609</v>
      </c>
      <c r="EJ7" s="1032" t="s">
        <v>2891</v>
      </c>
      <c r="EK7" s="1032" t="s">
        <v>2863</v>
      </c>
      <c r="EL7" s="1032" t="s">
        <v>2863</v>
      </c>
      <c r="EM7" s="1032" t="s">
        <v>2863</v>
      </c>
      <c r="EN7" s="1036" t="s">
        <v>2050</v>
      </c>
      <c r="EO7" s="1034"/>
      <c r="EP7" s="1034"/>
      <c r="EQ7" s="1034"/>
      <c r="ER7" s="1034"/>
      <c r="ES7" s="1034"/>
      <c r="ET7" s="1034"/>
      <c r="EU7" s="1034"/>
      <c r="EV7" s="1034"/>
      <c r="EW7" s="1034"/>
      <c r="EX7" s="1034"/>
      <c r="EY7" s="1034"/>
      <c r="EZ7" s="1034"/>
      <c r="FA7" s="1034"/>
      <c r="FB7" s="1034"/>
      <c r="FC7" s="1034"/>
      <c r="FD7" s="1034"/>
      <c r="FE7" s="1034"/>
      <c r="FF7" s="1034"/>
      <c r="FG7" s="1034"/>
      <c r="FH7" s="1034"/>
      <c r="FI7" s="1034"/>
      <c r="FJ7" s="1034"/>
      <c r="FK7" s="1034"/>
      <c r="FL7" s="1034"/>
      <c r="FM7" s="1034"/>
      <c r="FN7" s="1034"/>
      <c r="FO7" s="1034"/>
      <c r="FP7" s="1034"/>
      <c r="FQ7" s="1034"/>
      <c r="FR7" s="1034"/>
      <c r="FS7" s="1034"/>
      <c r="FT7" s="1034"/>
      <c r="FU7" s="1034"/>
      <c r="FV7" s="1034"/>
      <c r="FW7" s="1034"/>
      <c r="FX7" s="1034"/>
      <c r="FY7" s="1034"/>
      <c r="FZ7" s="1034"/>
      <c r="GA7" s="1034"/>
      <c r="GB7" s="1028"/>
    </row>
    <row r="8" spans="1:185" s="1021" customFormat="1" ht="24.95" customHeight="1">
      <c r="B8" s="1022" t="s">
        <v>2051</v>
      </c>
      <c r="C8" s="1023" t="s">
        <v>3154</v>
      </c>
      <c r="D8" s="1024" t="s">
        <v>2052</v>
      </c>
      <c r="E8" s="1025"/>
      <c r="F8" s="1026"/>
      <c r="G8" s="1027"/>
      <c r="H8" s="1028"/>
      <c r="I8" s="1029"/>
      <c r="J8" s="1028"/>
      <c r="K8" s="1037"/>
      <c r="L8" s="1037"/>
      <c r="M8" s="1038"/>
      <c r="N8" s="1033"/>
      <c r="O8" s="1033"/>
      <c r="P8" s="1032"/>
      <c r="Q8" s="1032"/>
      <c r="R8" s="1032"/>
      <c r="S8" s="1038"/>
      <c r="T8" s="1039"/>
      <c r="U8" s="1032"/>
      <c r="V8" s="1032"/>
      <c r="W8" s="1032"/>
      <c r="X8" s="1032"/>
      <c r="Y8" s="1032"/>
      <c r="Z8" s="1031"/>
      <c r="AA8" s="1031"/>
      <c r="AB8" s="1032"/>
      <c r="AC8" s="1032"/>
      <c r="AD8" s="1032"/>
      <c r="AE8" s="1032"/>
      <c r="AF8" s="1032"/>
      <c r="AG8" s="1032"/>
      <c r="AH8" s="1032"/>
      <c r="AI8" s="1032"/>
      <c r="AJ8" s="1032"/>
      <c r="AK8" s="1032"/>
      <c r="AL8" s="1032"/>
      <c r="AM8" s="1032"/>
      <c r="AN8" s="1032"/>
      <c r="AO8" s="1032"/>
      <c r="AP8" s="1032"/>
      <c r="AQ8" s="1032"/>
      <c r="AR8" s="1032"/>
      <c r="AS8" s="1032"/>
      <c r="AT8" s="1032"/>
      <c r="AU8" s="1032"/>
      <c r="AV8" s="1032"/>
      <c r="AW8" s="1032"/>
      <c r="AX8" s="1032"/>
      <c r="AY8" s="1032"/>
      <c r="AZ8" s="1032"/>
      <c r="BA8" s="1032"/>
      <c r="BB8" s="1032"/>
      <c r="BC8" s="1032"/>
      <c r="BD8" s="1032"/>
      <c r="BE8" s="1032"/>
      <c r="BF8" s="1032"/>
      <c r="BG8" s="1032"/>
      <c r="BH8" s="1032"/>
      <c r="BI8" s="1032"/>
      <c r="BJ8" s="1032"/>
      <c r="BK8" s="1032"/>
      <c r="BL8" s="1032"/>
      <c r="BM8" s="1032"/>
      <c r="BN8" s="1032"/>
      <c r="BO8" s="1032"/>
      <c r="BP8" s="1032"/>
      <c r="BQ8" s="1032"/>
      <c r="BR8" s="1030"/>
      <c r="BS8" s="1030"/>
      <c r="BT8" s="1030"/>
      <c r="BU8" s="1030"/>
      <c r="BV8" s="1030"/>
      <c r="BW8" s="1030"/>
      <c r="BX8" s="1030"/>
      <c r="BY8" s="1030"/>
      <c r="BZ8" s="1030"/>
      <c r="CA8" s="1030"/>
      <c r="CB8" s="1030"/>
      <c r="CC8" s="1030"/>
      <c r="CD8" s="1030"/>
      <c r="CE8" s="1030"/>
      <c r="CF8" s="1030"/>
      <c r="CG8" s="1030"/>
      <c r="CH8" s="1030"/>
      <c r="CI8" s="1030"/>
      <c r="CJ8" s="1030"/>
      <c r="CK8" s="1030"/>
      <c r="CL8" s="1030"/>
      <c r="CM8" s="1030"/>
      <c r="CN8" s="1030"/>
      <c r="CO8" s="1030"/>
      <c r="CP8" s="1030"/>
      <c r="CQ8" s="1030"/>
      <c r="CR8" s="1030"/>
      <c r="CS8" s="1030"/>
      <c r="CT8" s="1030"/>
      <c r="CU8" s="1030"/>
      <c r="CV8" s="1030"/>
      <c r="CW8" s="1030"/>
      <c r="CX8" s="1030"/>
      <c r="CY8" s="1030"/>
      <c r="CZ8" s="1030"/>
      <c r="DA8" s="1030"/>
      <c r="DB8" s="1030"/>
      <c r="DC8" s="1030"/>
      <c r="DD8" s="1030"/>
      <c r="DE8" s="1030"/>
      <c r="DF8" s="1030"/>
      <c r="DG8" s="1030"/>
      <c r="DH8" s="1030"/>
      <c r="DI8" s="1030"/>
      <c r="DJ8" s="1030"/>
      <c r="DK8" s="1030"/>
      <c r="DL8" s="1030"/>
      <c r="DM8" s="1030"/>
      <c r="DN8" s="1030"/>
      <c r="DO8" s="1030"/>
      <c r="DP8" s="1030"/>
      <c r="DQ8" s="1030"/>
      <c r="DR8" s="1030"/>
      <c r="DS8" s="1030"/>
      <c r="DT8" s="1030"/>
      <c r="DU8" s="1030"/>
      <c r="DV8" s="1030"/>
      <c r="DW8" s="1030"/>
      <c r="DX8" s="1030"/>
      <c r="DY8" s="1030"/>
      <c r="DZ8" s="1030"/>
      <c r="EA8" s="1030"/>
      <c r="EB8" s="1030"/>
      <c r="EC8" s="1030"/>
      <c r="ED8" s="1030"/>
      <c r="EE8" s="1030"/>
      <c r="EF8" s="1030"/>
      <c r="EG8" s="1032"/>
      <c r="EH8" s="1032"/>
      <c r="EI8" s="1032"/>
      <c r="EJ8" s="1032"/>
      <c r="EK8" s="1032"/>
      <c r="EL8" s="1032"/>
      <c r="EM8" s="1032"/>
      <c r="EN8" s="1420"/>
      <c r="EO8" s="1035"/>
      <c r="EP8" s="1035"/>
      <c r="EQ8" s="1035"/>
      <c r="ER8" s="1035"/>
      <c r="ES8" s="1035"/>
      <c r="ET8" s="1035"/>
      <c r="EU8" s="1035"/>
      <c r="EV8" s="1035"/>
      <c r="EW8" s="1035"/>
      <c r="EX8" s="1035"/>
      <c r="EY8" s="1035"/>
      <c r="EZ8" s="1035"/>
      <c r="FA8" s="1035"/>
      <c r="FB8" s="1035"/>
      <c r="FC8" s="1035"/>
      <c r="FD8" s="1035"/>
      <c r="FE8" s="1035"/>
      <c r="FF8" s="1035"/>
      <c r="FG8" s="1035"/>
      <c r="FH8" s="1035"/>
      <c r="FI8" s="1035"/>
      <c r="FJ8" s="1035"/>
      <c r="FK8" s="1035"/>
      <c r="FL8" s="1035"/>
      <c r="FM8" s="1035"/>
      <c r="FN8" s="1035"/>
      <c r="FO8" s="1035"/>
      <c r="FP8" s="1035"/>
      <c r="FQ8" s="1035"/>
      <c r="FR8" s="1035"/>
      <c r="FS8" s="1035"/>
      <c r="FT8" s="1035"/>
      <c r="FU8" s="1035"/>
      <c r="FV8" s="1035"/>
      <c r="FW8" s="1035"/>
      <c r="FX8" s="1035"/>
      <c r="FY8" s="1035"/>
      <c r="FZ8" s="1035"/>
      <c r="GA8" s="1035"/>
      <c r="GB8" s="1028"/>
    </row>
    <row r="9" spans="1:185" s="1007" customFormat="1" ht="24.95" customHeight="1">
      <c r="A9" s="1007">
        <v>1</v>
      </c>
      <c r="B9" s="1040">
        <v>1</v>
      </c>
      <c r="C9" s="1041">
        <v>126571</v>
      </c>
      <c r="D9" s="1042" t="s">
        <v>3319</v>
      </c>
      <c r="E9" s="1043" t="s">
        <v>3320</v>
      </c>
      <c r="F9" s="1044"/>
      <c r="G9" s="1045" t="s">
        <v>195</v>
      </c>
      <c r="H9" s="1046">
        <f t="shared" ref="H9:H78" si="0">ROUNDUP(J9+INT(J9*I9/100),1)</f>
        <v>1</v>
      </c>
      <c r="I9" s="1029"/>
      <c r="J9" s="1046">
        <f t="shared" ref="J9:J40" si="1">ROUNDUP(SUM(K9:GA9),1)</f>
        <v>1</v>
      </c>
      <c r="K9" s="1037"/>
      <c r="L9" s="1037"/>
      <c r="M9" s="1038"/>
      <c r="N9" s="1038"/>
      <c r="O9" s="1038"/>
      <c r="P9" s="1038"/>
      <c r="Q9" s="1038"/>
      <c r="R9" s="1038"/>
      <c r="S9" s="1038"/>
      <c r="T9" s="1038"/>
      <c r="U9" s="1038"/>
      <c r="V9" s="1038"/>
      <c r="W9" s="1038"/>
      <c r="X9" s="1038"/>
      <c r="Y9" s="1038"/>
      <c r="Z9" s="1038"/>
      <c r="AA9" s="1038"/>
      <c r="AB9" s="1047"/>
      <c r="AC9" s="1038"/>
      <c r="AD9" s="1037"/>
      <c r="AE9" s="1038"/>
      <c r="AF9" s="1038"/>
      <c r="AG9" s="1038"/>
      <c r="AH9" s="1038"/>
      <c r="AI9" s="1038"/>
      <c r="AJ9" s="1038"/>
      <c r="AK9" s="1038"/>
      <c r="AL9" s="1038"/>
      <c r="AM9" s="1038"/>
      <c r="AN9" s="1038"/>
      <c r="AO9" s="1038"/>
      <c r="AP9" s="1038"/>
      <c r="AQ9" s="1038"/>
      <c r="AR9" s="1038"/>
      <c r="AS9" s="1038"/>
      <c r="AT9" s="1038"/>
      <c r="AU9" s="1038"/>
      <c r="AV9" s="1038"/>
      <c r="AW9" s="1038"/>
      <c r="AX9" s="1038"/>
      <c r="AY9" s="1038"/>
      <c r="AZ9" s="1038"/>
      <c r="BA9" s="1038"/>
      <c r="BB9" s="1038"/>
      <c r="BC9" s="1038"/>
      <c r="BD9" s="1038"/>
      <c r="BE9" s="1038"/>
      <c r="BF9" s="1038"/>
      <c r="BG9" s="1038"/>
      <c r="BH9" s="1038"/>
      <c r="BI9" s="1038"/>
      <c r="BJ9" s="1038"/>
      <c r="BK9" s="1038"/>
      <c r="BL9" s="1038"/>
      <c r="BM9" s="1038"/>
      <c r="BN9" s="1038"/>
      <c r="BO9" s="1038"/>
      <c r="BP9" s="1038"/>
      <c r="BQ9" s="1038"/>
      <c r="BR9" s="1037"/>
      <c r="BS9" s="1037"/>
      <c r="BT9" s="1037"/>
      <c r="BU9" s="1037"/>
      <c r="BV9" s="1037"/>
      <c r="BW9" s="1037"/>
      <c r="BX9" s="1037"/>
      <c r="BY9" s="1037"/>
      <c r="BZ9" s="1037"/>
      <c r="CA9" s="1037"/>
      <c r="CB9" s="1037"/>
      <c r="CC9" s="1037"/>
      <c r="CD9" s="1037"/>
      <c r="CE9" s="1037"/>
      <c r="CF9" s="1037"/>
      <c r="CG9" s="1037"/>
      <c r="CH9" s="1037"/>
      <c r="CI9" s="1037"/>
      <c r="CJ9" s="1037"/>
      <c r="CK9" s="1037"/>
      <c r="CL9" s="1037"/>
      <c r="CM9" s="1037"/>
      <c r="CN9" s="1037"/>
      <c r="CO9" s="1037"/>
      <c r="CP9" s="1037"/>
      <c r="CQ9" s="1037"/>
      <c r="CR9" s="1037"/>
      <c r="CS9" s="1037"/>
      <c r="CT9" s="1037"/>
      <c r="CU9" s="1037"/>
      <c r="CV9" s="1037"/>
      <c r="CW9" s="1037"/>
      <c r="CX9" s="1037"/>
      <c r="CY9" s="1037"/>
      <c r="CZ9" s="1037"/>
      <c r="DA9" s="1037"/>
      <c r="DB9" s="1037"/>
      <c r="DC9" s="1037"/>
      <c r="DD9" s="1037"/>
      <c r="DE9" s="1037"/>
      <c r="DF9" s="1037"/>
      <c r="DG9" s="1037"/>
      <c r="DH9" s="1037"/>
      <c r="DI9" s="1037"/>
      <c r="DJ9" s="1037"/>
      <c r="DK9" s="1037"/>
      <c r="DL9" s="1037"/>
      <c r="DM9" s="1037"/>
      <c r="DN9" s="1037"/>
      <c r="DO9" s="1037"/>
      <c r="DP9" s="1037"/>
      <c r="DQ9" s="1037"/>
      <c r="DR9" s="1037"/>
      <c r="DS9" s="1037"/>
      <c r="DT9" s="1037"/>
      <c r="DU9" s="1037"/>
      <c r="DV9" s="1037"/>
      <c r="DW9" s="1037"/>
      <c r="DX9" s="1037"/>
      <c r="DY9" s="1037"/>
      <c r="DZ9" s="1037"/>
      <c r="EA9" s="1037"/>
      <c r="EB9" s="1037"/>
      <c r="EC9" s="1037"/>
      <c r="ED9" s="1037"/>
      <c r="EE9" s="1037"/>
      <c r="EF9" s="1037"/>
      <c r="EG9" s="1038"/>
      <c r="EH9" s="1038"/>
      <c r="EI9" s="1038"/>
      <c r="EJ9" s="1038"/>
      <c r="EK9" s="1038"/>
      <c r="EL9" s="1038"/>
      <c r="EM9" s="1038"/>
      <c r="EN9" s="1420"/>
      <c r="EO9" s="1035"/>
      <c r="EP9" s="1035"/>
      <c r="EQ9" s="1035"/>
      <c r="ER9" s="1035"/>
      <c r="ES9" s="1035"/>
      <c r="ET9" s="1035"/>
      <c r="EU9" s="1035"/>
      <c r="EV9" s="1035"/>
      <c r="EW9" s="1035"/>
      <c r="EX9" s="1035"/>
      <c r="EY9" s="1035"/>
      <c r="EZ9" s="1035"/>
      <c r="FA9" s="1035"/>
      <c r="FB9" s="1035"/>
      <c r="FC9" s="1035"/>
      <c r="FD9" s="1035"/>
      <c r="FE9" s="1035"/>
      <c r="FF9" s="1035"/>
      <c r="FG9" s="1035"/>
      <c r="FH9" s="1035"/>
      <c r="FI9" s="1035"/>
      <c r="FJ9" s="1035"/>
      <c r="FK9" s="1035"/>
      <c r="FL9" s="1035"/>
      <c r="FM9" s="1035"/>
      <c r="FN9" s="1035"/>
      <c r="FO9" s="1035"/>
      <c r="FP9" s="1035"/>
      <c r="FQ9" s="1035"/>
      <c r="FR9" s="1035"/>
      <c r="FS9" s="1035"/>
      <c r="FT9" s="1035"/>
      <c r="FU9" s="1035"/>
      <c r="FV9" s="1035"/>
      <c r="FW9" s="1035"/>
      <c r="FX9" s="1035"/>
      <c r="FY9" s="1035"/>
      <c r="FZ9" s="1035"/>
      <c r="GA9" s="1035">
        <v>1</v>
      </c>
      <c r="GB9" s="1028"/>
    </row>
    <row r="10" spans="1:185" s="1007" customFormat="1" ht="24.95" customHeight="1">
      <c r="A10" s="1007">
        <v>2</v>
      </c>
      <c r="B10" s="1040">
        <f>B9+1</f>
        <v>2</v>
      </c>
      <c r="C10" s="1041">
        <v>126571</v>
      </c>
      <c r="D10" s="1042" t="s">
        <v>2053</v>
      </c>
      <c r="E10" s="1043" t="s">
        <v>3321</v>
      </c>
      <c r="F10" s="1044"/>
      <c r="G10" s="1045" t="s">
        <v>195</v>
      </c>
      <c r="H10" s="1046">
        <f t="shared" si="0"/>
        <v>2</v>
      </c>
      <c r="I10" s="1029"/>
      <c r="J10" s="1046">
        <f t="shared" si="1"/>
        <v>2</v>
      </c>
      <c r="K10" s="1048">
        <v>2</v>
      </c>
      <c r="L10" s="1048"/>
      <c r="M10" s="1049"/>
      <c r="N10" s="1049"/>
      <c r="O10" s="1049"/>
      <c r="Q10" s="1049"/>
      <c r="R10" s="1049"/>
      <c r="S10" s="1049"/>
      <c r="T10" s="1049"/>
      <c r="U10" s="1049"/>
      <c r="V10" s="1049"/>
      <c r="W10" s="1049"/>
      <c r="X10" s="1049"/>
      <c r="Y10" s="1049"/>
      <c r="Z10" s="1049"/>
      <c r="AA10" s="1049"/>
      <c r="AB10" s="1050"/>
      <c r="AC10" s="1049"/>
      <c r="AD10" s="1048"/>
      <c r="AE10" s="1049"/>
      <c r="AF10" s="1049"/>
      <c r="AG10" s="1049"/>
      <c r="AH10" s="1049"/>
      <c r="AI10" s="1049"/>
      <c r="AJ10" s="1049"/>
      <c r="AK10" s="1049"/>
      <c r="AL10" s="1049"/>
      <c r="AM10" s="1049"/>
      <c r="AN10" s="1049"/>
      <c r="AO10" s="1049"/>
      <c r="AP10" s="1049"/>
      <c r="AQ10" s="1049"/>
      <c r="AR10" s="1049"/>
      <c r="AS10" s="1049"/>
      <c r="AT10" s="1049"/>
      <c r="AU10" s="1049"/>
      <c r="AV10" s="1049"/>
      <c r="AW10" s="1049"/>
      <c r="AX10" s="1049"/>
      <c r="AY10" s="1049"/>
      <c r="AZ10" s="1049"/>
      <c r="BA10" s="1049"/>
      <c r="BB10" s="1049"/>
      <c r="BC10" s="1049"/>
      <c r="BD10" s="1049"/>
      <c r="BE10" s="1049"/>
      <c r="BF10" s="1049"/>
      <c r="BG10" s="1049"/>
      <c r="BH10" s="1049"/>
      <c r="BI10" s="1049"/>
      <c r="BJ10" s="1049"/>
      <c r="BK10" s="1049"/>
      <c r="BL10" s="1049"/>
      <c r="BM10" s="1049"/>
      <c r="BN10" s="1049"/>
      <c r="BO10" s="1049"/>
      <c r="BP10" s="1049"/>
      <c r="BQ10" s="1049"/>
      <c r="BR10" s="1048"/>
      <c r="BS10" s="1048"/>
      <c r="BT10" s="1048"/>
      <c r="BU10" s="1048"/>
      <c r="BV10" s="1048"/>
      <c r="BW10" s="1048"/>
      <c r="BX10" s="1048"/>
      <c r="BY10" s="1048"/>
      <c r="BZ10" s="1048"/>
      <c r="CA10" s="1048"/>
      <c r="CB10" s="1048"/>
      <c r="CC10" s="1048"/>
      <c r="CD10" s="1048"/>
      <c r="CE10" s="1048"/>
      <c r="CF10" s="1048"/>
      <c r="CG10" s="1048"/>
      <c r="CH10" s="1048"/>
      <c r="CI10" s="1048"/>
      <c r="CJ10" s="1048"/>
      <c r="CK10" s="1048"/>
      <c r="CL10" s="1048"/>
      <c r="CM10" s="1048"/>
      <c r="CN10" s="1048"/>
      <c r="CO10" s="1048"/>
      <c r="CP10" s="1048"/>
      <c r="CQ10" s="1048"/>
      <c r="CR10" s="1048"/>
      <c r="CS10" s="1048"/>
      <c r="CT10" s="1048"/>
      <c r="CU10" s="1048"/>
      <c r="CV10" s="1048"/>
      <c r="CW10" s="1048"/>
      <c r="CX10" s="1048"/>
      <c r="CY10" s="1048"/>
      <c r="CZ10" s="1048"/>
      <c r="DA10" s="1048"/>
      <c r="DB10" s="1048"/>
      <c r="DC10" s="1048"/>
      <c r="DD10" s="1048"/>
      <c r="DE10" s="1048"/>
      <c r="DF10" s="1048"/>
      <c r="DG10" s="1048"/>
      <c r="DH10" s="1048"/>
      <c r="DI10" s="1048"/>
      <c r="DJ10" s="1048"/>
      <c r="DK10" s="1048"/>
      <c r="DL10" s="1048"/>
      <c r="DM10" s="1048"/>
      <c r="DN10" s="1048"/>
      <c r="DO10" s="1048"/>
      <c r="DP10" s="1048"/>
      <c r="DQ10" s="1048"/>
      <c r="DR10" s="1048"/>
      <c r="DS10" s="1048"/>
      <c r="DT10" s="1048"/>
      <c r="DU10" s="1048"/>
      <c r="DV10" s="1048"/>
      <c r="DW10" s="1048"/>
      <c r="DX10" s="1048"/>
      <c r="DY10" s="1048"/>
      <c r="DZ10" s="1048"/>
      <c r="EA10" s="1048"/>
      <c r="EB10" s="1048"/>
      <c r="EC10" s="1048"/>
      <c r="ED10" s="1048"/>
      <c r="EE10" s="1048"/>
      <c r="EF10" s="1048"/>
      <c r="EG10" s="1049"/>
      <c r="EH10" s="1049"/>
      <c r="EI10" s="1049"/>
      <c r="EJ10" s="1049"/>
      <c r="EK10" s="1049"/>
      <c r="EL10" s="1049"/>
      <c r="EM10" s="1049"/>
      <c r="EN10" s="1048"/>
      <c r="EO10" s="1049"/>
      <c r="EP10" s="1049"/>
      <c r="EQ10" s="1049"/>
      <c r="ER10" s="1049"/>
      <c r="ES10" s="1049"/>
      <c r="ET10" s="1049"/>
      <c r="EU10" s="1049"/>
      <c r="EV10" s="1049"/>
      <c r="EW10" s="1049"/>
      <c r="EX10" s="1049"/>
      <c r="EY10" s="1049"/>
      <c r="EZ10" s="1049"/>
      <c r="FA10" s="1049"/>
      <c r="FB10" s="1049"/>
      <c r="FC10" s="1049"/>
      <c r="FD10" s="1049"/>
      <c r="FE10" s="1049"/>
      <c r="FF10" s="1049"/>
      <c r="FG10" s="1049"/>
      <c r="FH10" s="1049"/>
      <c r="FI10" s="1049"/>
      <c r="FJ10" s="1049"/>
      <c r="FK10" s="1049"/>
      <c r="FL10" s="1049"/>
      <c r="FM10" s="1049"/>
      <c r="FN10" s="1049"/>
      <c r="FO10" s="1049"/>
      <c r="FP10" s="1049"/>
      <c r="FQ10" s="1049"/>
      <c r="FR10" s="1049"/>
      <c r="FS10" s="1049"/>
      <c r="FT10" s="1049"/>
      <c r="FU10" s="1049"/>
      <c r="FV10" s="1049"/>
      <c r="FW10" s="1049"/>
      <c r="FX10" s="1049"/>
      <c r="FY10" s="1049"/>
      <c r="FZ10" s="1049"/>
      <c r="GA10" s="1049"/>
      <c r="GB10" s="1028"/>
    </row>
    <row r="11" spans="1:185" s="1007" customFormat="1" ht="24.95" customHeight="1">
      <c r="A11" s="1007">
        <v>3</v>
      </c>
      <c r="B11" s="1040">
        <f>B10+1</f>
        <v>3</v>
      </c>
      <c r="C11" s="1041">
        <v>126572</v>
      </c>
      <c r="D11" s="1042" t="s">
        <v>2054</v>
      </c>
      <c r="E11" s="1043" t="s">
        <v>2434</v>
      </c>
      <c r="F11" s="1044"/>
      <c r="G11" s="1045" t="s">
        <v>195</v>
      </c>
      <c r="H11" s="1046">
        <f t="shared" si="0"/>
        <v>4</v>
      </c>
      <c r="I11" s="1029"/>
      <c r="J11" s="1046">
        <f t="shared" si="1"/>
        <v>4</v>
      </c>
      <c r="K11" s="1048">
        <v>3</v>
      </c>
      <c r="L11" s="1048"/>
      <c r="M11" s="1049"/>
      <c r="N11" s="1049"/>
      <c r="O11" s="1049"/>
      <c r="P11" s="1049"/>
      <c r="Q11" s="1049"/>
      <c r="R11" s="1049"/>
      <c r="S11" s="1049"/>
      <c r="T11" s="1049"/>
      <c r="U11" s="1049"/>
      <c r="V11" s="1049"/>
      <c r="W11" s="1049"/>
      <c r="X11" s="1049"/>
      <c r="Y11" s="1049"/>
      <c r="Z11" s="1049"/>
      <c r="AA11" s="1049"/>
      <c r="AB11" s="1050"/>
      <c r="AC11" s="1049"/>
      <c r="AD11" s="1048"/>
      <c r="AE11" s="1049"/>
      <c r="AF11" s="1049"/>
      <c r="AG11" s="1049"/>
      <c r="AH11" s="1049"/>
      <c r="AI11" s="1049"/>
      <c r="AJ11" s="1049"/>
      <c r="AK11" s="1049"/>
      <c r="AL11" s="1049"/>
      <c r="AM11" s="1049"/>
      <c r="AN11" s="1049"/>
      <c r="AO11" s="1049"/>
      <c r="AP11" s="1049"/>
      <c r="AQ11" s="1049"/>
      <c r="AR11" s="1049"/>
      <c r="AS11" s="1049"/>
      <c r="AT11" s="1049"/>
      <c r="AU11" s="1049"/>
      <c r="AV11" s="1049"/>
      <c r="AW11" s="1049"/>
      <c r="AX11" s="1049"/>
      <c r="AY11" s="1049"/>
      <c r="AZ11" s="1049"/>
      <c r="BA11" s="1049"/>
      <c r="BB11" s="1049"/>
      <c r="BC11" s="1049"/>
      <c r="BD11" s="1049"/>
      <c r="BE11" s="1049"/>
      <c r="BF11" s="1049"/>
      <c r="BG11" s="1049"/>
      <c r="BH11" s="1049"/>
      <c r="BI11" s="1049"/>
      <c r="BJ11" s="1049"/>
      <c r="BK11" s="1049"/>
      <c r="BL11" s="1049"/>
      <c r="BM11" s="1049"/>
      <c r="BN11" s="1049"/>
      <c r="BO11" s="1049"/>
      <c r="BP11" s="1049"/>
      <c r="BQ11" s="1049"/>
      <c r="BR11" s="1048"/>
      <c r="BS11" s="1048"/>
      <c r="BT11" s="1048"/>
      <c r="BU11" s="1048"/>
      <c r="BV11" s="1048"/>
      <c r="BW11" s="1048"/>
      <c r="BX11" s="1048"/>
      <c r="BY11" s="1048"/>
      <c r="BZ11" s="1048"/>
      <c r="CA11" s="1048"/>
      <c r="CB11" s="1048"/>
      <c r="CC11" s="1048"/>
      <c r="CD11" s="1048"/>
      <c r="CE11" s="1048"/>
      <c r="CF11" s="1048"/>
      <c r="CG11" s="1048"/>
      <c r="CH11" s="1048"/>
      <c r="CI11" s="1048"/>
      <c r="CJ11" s="1048"/>
      <c r="CK11" s="1048"/>
      <c r="CL11" s="1048"/>
      <c r="CM11" s="1048"/>
      <c r="CN11" s="1048"/>
      <c r="CO11" s="1048"/>
      <c r="CP11" s="1048"/>
      <c r="CQ11" s="1048"/>
      <c r="CR11" s="1048"/>
      <c r="CS11" s="1048"/>
      <c r="CT11" s="1048"/>
      <c r="CU11" s="1048"/>
      <c r="CV11" s="1048"/>
      <c r="CW11" s="1048"/>
      <c r="CX11" s="1048"/>
      <c r="CY11" s="1048"/>
      <c r="CZ11" s="1048"/>
      <c r="DA11" s="1048"/>
      <c r="DB11" s="1048"/>
      <c r="DC11" s="1048"/>
      <c r="DD11" s="1048"/>
      <c r="DE11" s="1048"/>
      <c r="DF11" s="1048"/>
      <c r="DG11" s="1048"/>
      <c r="DH11" s="1048"/>
      <c r="DI11" s="1048"/>
      <c r="DJ11" s="1048"/>
      <c r="DK11" s="1048"/>
      <c r="DL11" s="1048"/>
      <c r="DM11" s="1048"/>
      <c r="DN11" s="1048"/>
      <c r="DO11" s="1048"/>
      <c r="DP11" s="1048"/>
      <c r="DQ11" s="1048"/>
      <c r="DR11" s="1048"/>
      <c r="DS11" s="1048"/>
      <c r="DT11" s="1048"/>
      <c r="DU11" s="1048"/>
      <c r="DV11" s="1048"/>
      <c r="DW11" s="1048"/>
      <c r="DX11" s="1048"/>
      <c r="DY11" s="1048"/>
      <c r="DZ11" s="1048"/>
      <c r="EA11" s="1048"/>
      <c r="EB11" s="1048"/>
      <c r="EC11" s="1048"/>
      <c r="ED11" s="1048"/>
      <c r="EE11" s="1048"/>
      <c r="EF11" s="1048"/>
      <c r="EG11" s="1049"/>
      <c r="EH11" s="1049"/>
      <c r="EI11" s="1049"/>
      <c r="EJ11" s="1049"/>
      <c r="EK11" s="1049"/>
      <c r="EL11" s="1049"/>
      <c r="EM11" s="1049"/>
      <c r="EN11" s="1048"/>
      <c r="EO11" s="1049"/>
      <c r="EP11" s="1049"/>
      <c r="EQ11" s="1049"/>
      <c r="ER11" s="1049"/>
      <c r="ES11" s="1049"/>
      <c r="ET11" s="1049"/>
      <c r="EU11" s="1049"/>
      <c r="EV11" s="1049"/>
      <c r="EW11" s="1049"/>
      <c r="EX11" s="1049"/>
      <c r="EY11" s="1049"/>
      <c r="EZ11" s="1049"/>
      <c r="FA11" s="1049"/>
      <c r="FB11" s="1049"/>
      <c r="FC11" s="1049"/>
      <c r="FD11" s="1049"/>
      <c r="FE11" s="1049"/>
      <c r="FF11" s="1049"/>
      <c r="FG11" s="1049"/>
      <c r="FH11" s="1049"/>
      <c r="FI11" s="1049"/>
      <c r="FJ11" s="1049"/>
      <c r="FK11" s="1049"/>
      <c r="FL11" s="1049"/>
      <c r="FM11" s="1049"/>
      <c r="FN11" s="1049"/>
      <c r="FO11" s="1049"/>
      <c r="FP11" s="1049"/>
      <c r="FQ11" s="1049"/>
      <c r="FR11" s="1049"/>
      <c r="FS11" s="1049"/>
      <c r="FT11" s="1049"/>
      <c r="FU11" s="1049"/>
      <c r="FV11" s="1049"/>
      <c r="FW11" s="1049"/>
      <c r="FX11" s="1049"/>
      <c r="FY11" s="1049"/>
      <c r="FZ11" s="1049"/>
      <c r="GA11" s="1049">
        <v>1</v>
      </c>
      <c r="GB11" s="1028"/>
    </row>
    <row r="12" spans="1:185" s="1007" customFormat="1" ht="24.95" hidden="1" customHeight="1">
      <c r="A12" s="1007">
        <v>4</v>
      </c>
      <c r="B12" s="1040">
        <f t="shared" ref="B12:B54" si="2">B11+1</f>
        <v>4</v>
      </c>
      <c r="C12" s="1041">
        <v>126573</v>
      </c>
      <c r="D12" s="1042" t="s">
        <v>2055</v>
      </c>
      <c r="E12" s="1043" t="s">
        <v>2056</v>
      </c>
      <c r="F12" s="1044"/>
      <c r="G12" s="1045" t="s">
        <v>195</v>
      </c>
      <c r="H12" s="1046">
        <f t="shared" si="0"/>
        <v>0</v>
      </c>
      <c r="I12" s="1029"/>
      <c r="J12" s="1046">
        <f t="shared" si="1"/>
        <v>0</v>
      </c>
      <c r="K12" s="1048"/>
      <c r="L12" s="1048"/>
      <c r="M12" s="1049"/>
      <c r="N12" s="1049"/>
      <c r="O12" s="1049"/>
      <c r="P12" s="1049"/>
      <c r="Q12" s="1049"/>
      <c r="R12" s="1049"/>
      <c r="S12" s="1049"/>
      <c r="T12" s="1049"/>
      <c r="U12" s="1049"/>
      <c r="V12" s="1049"/>
      <c r="W12" s="1049"/>
      <c r="X12" s="1049"/>
      <c r="Y12" s="1049"/>
      <c r="Z12" s="1049"/>
      <c r="AA12" s="1049"/>
      <c r="AB12" s="1050"/>
      <c r="AC12" s="1049"/>
      <c r="AD12" s="1048"/>
      <c r="AE12" s="1049"/>
      <c r="AF12" s="1049"/>
      <c r="AG12" s="1049"/>
      <c r="AH12" s="1049"/>
      <c r="AI12" s="1049"/>
      <c r="AJ12" s="1049"/>
      <c r="AK12" s="1049"/>
      <c r="AL12" s="1049"/>
      <c r="AM12" s="1049"/>
      <c r="AN12" s="1049"/>
      <c r="AO12" s="1049"/>
      <c r="AP12" s="1049"/>
      <c r="AQ12" s="1049"/>
      <c r="AR12" s="1049"/>
      <c r="AS12" s="1049"/>
      <c r="AT12" s="1049"/>
      <c r="AU12" s="1049"/>
      <c r="AV12" s="1049"/>
      <c r="AW12" s="1049"/>
      <c r="AX12" s="1049"/>
      <c r="AY12" s="1049"/>
      <c r="AZ12" s="1049"/>
      <c r="BA12" s="1049"/>
      <c r="BB12" s="1049"/>
      <c r="BC12" s="1049"/>
      <c r="BD12" s="1049"/>
      <c r="BE12" s="1049"/>
      <c r="BF12" s="1049"/>
      <c r="BG12" s="1049"/>
      <c r="BH12" s="1049"/>
      <c r="BI12" s="1049"/>
      <c r="BJ12" s="1049"/>
      <c r="BK12" s="1049"/>
      <c r="BL12" s="1049"/>
      <c r="BM12" s="1049"/>
      <c r="BN12" s="1049"/>
      <c r="BO12" s="1049"/>
      <c r="BP12" s="1049"/>
      <c r="BQ12" s="1049"/>
      <c r="BR12" s="1048"/>
      <c r="BS12" s="1048"/>
      <c r="BT12" s="1048"/>
      <c r="BU12" s="1048"/>
      <c r="BV12" s="1048"/>
      <c r="BW12" s="1048"/>
      <c r="BX12" s="1048"/>
      <c r="BY12" s="1048"/>
      <c r="BZ12" s="1048"/>
      <c r="CA12" s="1048"/>
      <c r="CB12" s="1048"/>
      <c r="CC12" s="1048"/>
      <c r="CD12" s="1048"/>
      <c r="CE12" s="1048"/>
      <c r="CF12" s="1048"/>
      <c r="CG12" s="1048"/>
      <c r="CH12" s="1048"/>
      <c r="CI12" s="1048"/>
      <c r="CJ12" s="1048"/>
      <c r="CK12" s="1048"/>
      <c r="CL12" s="1048"/>
      <c r="CM12" s="1048"/>
      <c r="CN12" s="1048"/>
      <c r="CO12" s="1048"/>
      <c r="CP12" s="1048"/>
      <c r="CQ12" s="1048"/>
      <c r="CR12" s="1048"/>
      <c r="CS12" s="1048"/>
      <c r="CT12" s="1048"/>
      <c r="CU12" s="1048"/>
      <c r="CV12" s="1048"/>
      <c r="CW12" s="1048"/>
      <c r="CX12" s="1048"/>
      <c r="CY12" s="1048"/>
      <c r="CZ12" s="1048"/>
      <c r="DA12" s="1048"/>
      <c r="DB12" s="1048"/>
      <c r="DC12" s="1048"/>
      <c r="DD12" s="1048"/>
      <c r="DE12" s="1048"/>
      <c r="DF12" s="1048"/>
      <c r="DG12" s="1048"/>
      <c r="DH12" s="1048"/>
      <c r="DI12" s="1048"/>
      <c r="DJ12" s="1048"/>
      <c r="DK12" s="1048"/>
      <c r="DL12" s="1048"/>
      <c r="DM12" s="1048"/>
      <c r="DN12" s="1048"/>
      <c r="DO12" s="1048"/>
      <c r="DP12" s="1048"/>
      <c r="DQ12" s="1048"/>
      <c r="DR12" s="1048"/>
      <c r="DS12" s="1048"/>
      <c r="DT12" s="1048"/>
      <c r="DU12" s="1048"/>
      <c r="DV12" s="1048"/>
      <c r="DW12" s="1048"/>
      <c r="DX12" s="1048"/>
      <c r="DY12" s="1048"/>
      <c r="DZ12" s="1048"/>
      <c r="EA12" s="1048"/>
      <c r="EB12" s="1048"/>
      <c r="EC12" s="1048"/>
      <c r="ED12" s="1048"/>
      <c r="EE12" s="1048"/>
      <c r="EF12" s="1048"/>
      <c r="EG12" s="1049"/>
      <c r="EH12" s="1049"/>
      <c r="EI12" s="1049"/>
      <c r="EJ12" s="1049"/>
      <c r="EK12" s="1049"/>
      <c r="EL12" s="1049"/>
      <c r="EM12" s="1049"/>
      <c r="EN12" s="1048"/>
      <c r="EO12" s="1049"/>
      <c r="EP12" s="1049"/>
      <c r="EQ12" s="1049"/>
      <c r="ER12" s="1049"/>
      <c r="ES12" s="1049"/>
      <c r="ET12" s="1049"/>
      <c r="EU12" s="1049"/>
      <c r="EV12" s="1049"/>
      <c r="EW12" s="1049"/>
      <c r="EX12" s="1049"/>
      <c r="EY12" s="1049"/>
      <c r="EZ12" s="1049"/>
      <c r="FA12" s="1049"/>
      <c r="FB12" s="1049"/>
      <c r="FC12" s="1049"/>
      <c r="FD12" s="1049"/>
      <c r="FE12" s="1049"/>
      <c r="FF12" s="1049"/>
      <c r="FG12" s="1049"/>
      <c r="FH12" s="1049"/>
      <c r="FI12" s="1049"/>
      <c r="FJ12" s="1049"/>
      <c r="FK12" s="1049"/>
      <c r="FL12" s="1049"/>
      <c r="FM12" s="1049"/>
      <c r="FN12" s="1049"/>
      <c r="FO12" s="1049"/>
      <c r="FP12" s="1049"/>
      <c r="FQ12" s="1049"/>
      <c r="FR12" s="1049"/>
      <c r="FS12" s="1049"/>
      <c r="FT12" s="1049"/>
      <c r="FU12" s="1049"/>
      <c r="FV12" s="1049"/>
      <c r="FW12" s="1049"/>
      <c r="FX12" s="1049"/>
      <c r="FY12" s="1049"/>
      <c r="FZ12" s="1049"/>
      <c r="GA12" s="1049"/>
      <c r="GB12" s="1028"/>
    </row>
    <row r="13" spans="1:185" s="1007" customFormat="1" ht="24.95" customHeight="1">
      <c r="A13" s="1007">
        <v>5</v>
      </c>
      <c r="B13" s="1040">
        <f t="shared" si="2"/>
        <v>5</v>
      </c>
      <c r="C13" s="1041">
        <v>126574</v>
      </c>
      <c r="D13" s="1051" t="s">
        <v>2057</v>
      </c>
      <c r="E13" s="1043" t="s">
        <v>2058</v>
      </c>
      <c r="F13" s="1052"/>
      <c r="G13" s="1053" t="s">
        <v>195</v>
      </c>
      <c r="H13" s="1046">
        <f t="shared" si="0"/>
        <v>1</v>
      </c>
      <c r="I13" s="1029"/>
      <c r="J13" s="1046">
        <f t="shared" si="1"/>
        <v>1</v>
      </c>
      <c r="K13" s="1048">
        <v>1</v>
      </c>
      <c r="L13" s="1048"/>
      <c r="M13" s="1049"/>
      <c r="N13" s="1049"/>
      <c r="O13" s="1049"/>
      <c r="P13" s="1049"/>
      <c r="Q13" s="1049"/>
      <c r="R13" s="1049"/>
      <c r="S13" s="1049"/>
      <c r="T13" s="1049"/>
      <c r="U13" s="1049"/>
      <c r="V13" s="1049"/>
      <c r="W13" s="1049"/>
      <c r="X13" s="1049"/>
      <c r="Y13" s="1049"/>
      <c r="Z13" s="1049"/>
      <c r="AA13" s="1049"/>
      <c r="AB13" s="1050"/>
      <c r="AC13" s="1049"/>
      <c r="AD13" s="1048"/>
      <c r="AE13" s="1049"/>
      <c r="AF13" s="1049"/>
      <c r="AG13" s="1049"/>
      <c r="AH13" s="1049"/>
      <c r="AI13" s="1049"/>
      <c r="AJ13" s="1049"/>
      <c r="AK13" s="1049"/>
      <c r="AL13" s="1049"/>
      <c r="AM13" s="1049"/>
      <c r="AN13" s="1049"/>
      <c r="AO13" s="1049"/>
      <c r="AP13" s="1049"/>
      <c r="AQ13" s="1049"/>
      <c r="AR13" s="1049"/>
      <c r="AS13" s="1049"/>
      <c r="AT13" s="1049"/>
      <c r="AU13" s="1049"/>
      <c r="AV13" s="1049"/>
      <c r="AW13" s="1049"/>
      <c r="AX13" s="1049"/>
      <c r="AY13" s="1049"/>
      <c r="AZ13" s="1049"/>
      <c r="BA13" s="1049"/>
      <c r="BB13" s="1049"/>
      <c r="BC13" s="1049"/>
      <c r="BD13" s="1049"/>
      <c r="BE13" s="1049"/>
      <c r="BF13" s="1049"/>
      <c r="BG13" s="1049"/>
      <c r="BH13" s="1049"/>
      <c r="BI13" s="1049"/>
      <c r="BJ13" s="1049"/>
      <c r="BK13" s="1049"/>
      <c r="BL13" s="1049"/>
      <c r="BM13" s="1049"/>
      <c r="BN13" s="1049"/>
      <c r="BO13" s="1049"/>
      <c r="BP13" s="1049"/>
      <c r="BQ13" s="1049"/>
      <c r="BR13" s="1048"/>
      <c r="BS13" s="1048"/>
      <c r="BT13" s="1048"/>
      <c r="BU13" s="1048"/>
      <c r="BV13" s="1048"/>
      <c r="BW13" s="1048"/>
      <c r="BX13" s="1048"/>
      <c r="BY13" s="1048"/>
      <c r="BZ13" s="1048"/>
      <c r="CA13" s="1048"/>
      <c r="CB13" s="1048"/>
      <c r="CC13" s="1048"/>
      <c r="CD13" s="1048"/>
      <c r="CE13" s="1048"/>
      <c r="CF13" s="1048"/>
      <c r="CG13" s="1048"/>
      <c r="CH13" s="1048"/>
      <c r="CI13" s="1048"/>
      <c r="CJ13" s="1048"/>
      <c r="CK13" s="1048"/>
      <c r="CL13" s="1048"/>
      <c r="CM13" s="1048"/>
      <c r="CN13" s="1048"/>
      <c r="CO13" s="1048"/>
      <c r="CP13" s="1048"/>
      <c r="CQ13" s="1048"/>
      <c r="CR13" s="1048"/>
      <c r="CS13" s="1048"/>
      <c r="CT13" s="1048"/>
      <c r="CU13" s="1048"/>
      <c r="CV13" s="1048"/>
      <c r="CW13" s="1048"/>
      <c r="CX13" s="1048"/>
      <c r="CY13" s="1048"/>
      <c r="CZ13" s="1048"/>
      <c r="DA13" s="1048"/>
      <c r="DB13" s="1048"/>
      <c r="DC13" s="1048"/>
      <c r="DD13" s="1048"/>
      <c r="DE13" s="1048"/>
      <c r="DF13" s="1048"/>
      <c r="DG13" s="1048"/>
      <c r="DH13" s="1048"/>
      <c r="DI13" s="1048"/>
      <c r="DJ13" s="1048"/>
      <c r="DK13" s="1048"/>
      <c r="DL13" s="1048"/>
      <c r="DM13" s="1048"/>
      <c r="DN13" s="1048"/>
      <c r="DO13" s="1048"/>
      <c r="DP13" s="1048"/>
      <c r="DQ13" s="1048"/>
      <c r="DR13" s="1048"/>
      <c r="DS13" s="1048"/>
      <c r="DT13" s="1048"/>
      <c r="DU13" s="1048"/>
      <c r="DV13" s="1048"/>
      <c r="DW13" s="1048"/>
      <c r="DX13" s="1048"/>
      <c r="DY13" s="1048"/>
      <c r="DZ13" s="1048"/>
      <c r="EA13" s="1048"/>
      <c r="EB13" s="1048"/>
      <c r="EC13" s="1048"/>
      <c r="ED13" s="1048"/>
      <c r="EE13" s="1048"/>
      <c r="EF13" s="1048"/>
      <c r="EG13" s="1049"/>
      <c r="EH13" s="1049"/>
      <c r="EI13" s="1049"/>
      <c r="EJ13" s="1049"/>
      <c r="EK13" s="1049"/>
      <c r="EL13" s="1049"/>
      <c r="EM13" s="1049"/>
      <c r="EN13" s="1048"/>
      <c r="EO13" s="1049"/>
      <c r="EP13" s="1049"/>
      <c r="EQ13" s="1049"/>
      <c r="ER13" s="1049"/>
      <c r="ES13" s="1049"/>
      <c r="ET13" s="1049"/>
      <c r="EU13" s="1049"/>
      <c r="EV13" s="1049"/>
      <c r="EW13" s="1049"/>
      <c r="EX13" s="1049"/>
      <c r="EY13" s="1049"/>
      <c r="EZ13" s="1049"/>
      <c r="FA13" s="1049"/>
      <c r="FB13" s="1049"/>
      <c r="FC13" s="1049"/>
      <c r="FD13" s="1049"/>
      <c r="FE13" s="1049"/>
      <c r="FF13" s="1049"/>
      <c r="FG13" s="1049"/>
      <c r="FH13" s="1049"/>
      <c r="FI13" s="1049"/>
      <c r="FJ13" s="1049"/>
      <c r="FK13" s="1049"/>
      <c r="FL13" s="1049"/>
      <c r="FM13" s="1049"/>
      <c r="FN13" s="1049"/>
      <c r="FO13" s="1049"/>
      <c r="FP13" s="1049"/>
      <c r="FQ13" s="1049"/>
      <c r="FR13" s="1049"/>
      <c r="FS13" s="1049"/>
      <c r="FT13" s="1049"/>
      <c r="FU13" s="1049"/>
      <c r="FV13" s="1049"/>
      <c r="FW13" s="1049"/>
      <c r="FX13" s="1049"/>
      <c r="FY13" s="1049"/>
      <c r="FZ13" s="1049"/>
      <c r="GA13" s="1049"/>
      <c r="GB13" s="1028"/>
    </row>
    <row r="14" spans="1:185" s="1007" customFormat="1" ht="24.95" hidden="1" customHeight="1">
      <c r="A14" s="1007">
        <v>6</v>
      </c>
      <c r="B14" s="1040">
        <f t="shared" si="2"/>
        <v>6</v>
      </c>
      <c r="C14" s="1041">
        <v>126575</v>
      </c>
      <c r="D14" s="1051" t="s">
        <v>2059</v>
      </c>
      <c r="E14" s="1043" t="s">
        <v>2060</v>
      </c>
      <c r="F14" s="1052"/>
      <c r="G14" s="1053" t="s">
        <v>195</v>
      </c>
      <c r="H14" s="1046">
        <f t="shared" si="0"/>
        <v>0</v>
      </c>
      <c r="I14" s="1029"/>
      <c r="J14" s="1046">
        <f t="shared" si="1"/>
        <v>0</v>
      </c>
      <c r="K14" s="1048"/>
      <c r="L14" s="1048"/>
      <c r="M14" s="1049"/>
      <c r="N14" s="1049"/>
      <c r="O14" s="1049"/>
      <c r="P14" s="1049"/>
      <c r="Q14" s="1049"/>
      <c r="R14" s="1049"/>
      <c r="S14" s="1049"/>
      <c r="T14" s="1049"/>
      <c r="U14" s="1049"/>
      <c r="V14" s="1049"/>
      <c r="W14" s="1049"/>
      <c r="X14" s="1049"/>
      <c r="Y14" s="1049"/>
      <c r="Z14" s="1049"/>
      <c r="AA14" s="1049"/>
      <c r="AB14" s="1050"/>
      <c r="AC14" s="1049"/>
      <c r="AD14" s="1048"/>
      <c r="AE14" s="1049"/>
      <c r="AF14" s="1049"/>
      <c r="AG14" s="1049"/>
      <c r="AH14" s="1049"/>
      <c r="AI14" s="1049"/>
      <c r="AJ14" s="1049"/>
      <c r="AK14" s="1049"/>
      <c r="AL14" s="1049"/>
      <c r="AM14" s="1049"/>
      <c r="AN14" s="1049"/>
      <c r="AO14" s="1049"/>
      <c r="AP14" s="1049"/>
      <c r="AQ14" s="1049"/>
      <c r="AR14" s="1049"/>
      <c r="AS14" s="1049"/>
      <c r="AT14" s="1049"/>
      <c r="AU14" s="1049"/>
      <c r="AV14" s="1049"/>
      <c r="AW14" s="1049"/>
      <c r="AX14" s="1049"/>
      <c r="AY14" s="1049"/>
      <c r="AZ14" s="1049"/>
      <c r="BA14" s="1049"/>
      <c r="BB14" s="1049"/>
      <c r="BC14" s="1049"/>
      <c r="BD14" s="1049"/>
      <c r="BE14" s="1049"/>
      <c r="BF14" s="1049"/>
      <c r="BG14" s="1049"/>
      <c r="BH14" s="1049"/>
      <c r="BI14" s="1049"/>
      <c r="BJ14" s="1049"/>
      <c r="BK14" s="1049"/>
      <c r="BL14" s="1049"/>
      <c r="BM14" s="1049"/>
      <c r="BN14" s="1049"/>
      <c r="BO14" s="1049"/>
      <c r="BP14" s="1049"/>
      <c r="BQ14" s="1049"/>
      <c r="BR14" s="1048"/>
      <c r="BS14" s="1048"/>
      <c r="BT14" s="1048"/>
      <c r="BU14" s="1048"/>
      <c r="BV14" s="1048"/>
      <c r="BW14" s="1048"/>
      <c r="BX14" s="1048"/>
      <c r="BY14" s="1048"/>
      <c r="BZ14" s="1048"/>
      <c r="CA14" s="1048"/>
      <c r="CB14" s="1048"/>
      <c r="CC14" s="1048"/>
      <c r="CD14" s="1048"/>
      <c r="CE14" s="1048"/>
      <c r="CF14" s="1048"/>
      <c r="CG14" s="1048"/>
      <c r="CH14" s="1048"/>
      <c r="CI14" s="1048"/>
      <c r="CJ14" s="1048"/>
      <c r="CK14" s="1048"/>
      <c r="CL14" s="1048"/>
      <c r="CM14" s="1048"/>
      <c r="CN14" s="1048"/>
      <c r="CO14" s="1048"/>
      <c r="CP14" s="1048"/>
      <c r="CQ14" s="1048"/>
      <c r="CR14" s="1048"/>
      <c r="CS14" s="1048"/>
      <c r="CT14" s="1048"/>
      <c r="CU14" s="1048"/>
      <c r="CV14" s="1048"/>
      <c r="CW14" s="1048"/>
      <c r="CX14" s="1048"/>
      <c r="CY14" s="1048"/>
      <c r="CZ14" s="1048"/>
      <c r="DA14" s="1048"/>
      <c r="DB14" s="1048"/>
      <c r="DC14" s="1048"/>
      <c r="DD14" s="1048"/>
      <c r="DE14" s="1048"/>
      <c r="DF14" s="1048"/>
      <c r="DG14" s="1048"/>
      <c r="DH14" s="1048"/>
      <c r="DI14" s="1048"/>
      <c r="DJ14" s="1048"/>
      <c r="DK14" s="1048"/>
      <c r="DL14" s="1048"/>
      <c r="DM14" s="1048"/>
      <c r="DN14" s="1048"/>
      <c r="DO14" s="1048"/>
      <c r="DP14" s="1048"/>
      <c r="DQ14" s="1048"/>
      <c r="DR14" s="1048"/>
      <c r="DS14" s="1048"/>
      <c r="DT14" s="1048"/>
      <c r="DU14" s="1048"/>
      <c r="DV14" s="1048"/>
      <c r="DW14" s="1048"/>
      <c r="DX14" s="1048"/>
      <c r="DY14" s="1048"/>
      <c r="DZ14" s="1048"/>
      <c r="EA14" s="1048"/>
      <c r="EB14" s="1048"/>
      <c r="EC14" s="1048"/>
      <c r="ED14" s="1048"/>
      <c r="EE14" s="1048"/>
      <c r="EF14" s="1048"/>
      <c r="EG14" s="1049"/>
      <c r="EH14" s="1049"/>
      <c r="EI14" s="1049"/>
      <c r="EJ14" s="1049"/>
      <c r="EK14" s="1049"/>
      <c r="EL14" s="1049"/>
      <c r="EM14" s="1049"/>
      <c r="EN14" s="1048"/>
      <c r="EO14" s="1049"/>
      <c r="EP14" s="1049"/>
      <c r="EQ14" s="1049"/>
      <c r="ER14" s="1049"/>
      <c r="ES14" s="1049"/>
      <c r="ET14" s="1049"/>
      <c r="EU14" s="1049"/>
      <c r="EV14" s="1049"/>
      <c r="EW14" s="1049"/>
      <c r="EX14" s="1049"/>
      <c r="EY14" s="1049"/>
      <c r="EZ14" s="1049"/>
      <c r="FA14" s="1049"/>
      <c r="FB14" s="1049"/>
      <c r="FC14" s="1049"/>
      <c r="FD14" s="1049"/>
      <c r="FE14" s="1049"/>
      <c r="FF14" s="1049"/>
      <c r="FG14" s="1049"/>
      <c r="FH14" s="1049"/>
      <c r="FI14" s="1049"/>
      <c r="FJ14" s="1049"/>
      <c r="FK14" s="1049"/>
      <c r="FL14" s="1049"/>
      <c r="FM14" s="1049"/>
      <c r="FN14" s="1049"/>
      <c r="FO14" s="1049"/>
      <c r="FP14" s="1049"/>
      <c r="FQ14" s="1049"/>
      <c r="FR14" s="1049"/>
      <c r="FS14" s="1049"/>
      <c r="FT14" s="1049"/>
      <c r="FU14" s="1049"/>
      <c r="FV14" s="1049"/>
      <c r="FW14" s="1049"/>
      <c r="FX14" s="1049"/>
      <c r="FY14" s="1049"/>
      <c r="FZ14" s="1049"/>
      <c r="GA14" s="1049"/>
      <c r="GB14" s="1028"/>
    </row>
    <row r="15" spans="1:185" s="1007" customFormat="1" ht="24.95" customHeight="1">
      <c r="A15" s="1007">
        <v>7</v>
      </c>
      <c r="B15" s="1040">
        <f t="shared" si="2"/>
        <v>7</v>
      </c>
      <c r="C15" s="1041">
        <v>126576</v>
      </c>
      <c r="D15" s="1051" t="s">
        <v>2061</v>
      </c>
      <c r="E15" s="1043" t="s">
        <v>2062</v>
      </c>
      <c r="F15" s="1052"/>
      <c r="G15" s="1053" t="s">
        <v>195</v>
      </c>
      <c r="H15" s="1046">
        <f t="shared" si="0"/>
        <v>4</v>
      </c>
      <c r="I15" s="1029"/>
      <c r="J15" s="1046">
        <f t="shared" si="1"/>
        <v>4</v>
      </c>
      <c r="K15" s="1048">
        <v>4</v>
      </c>
      <c r="L15" s="1048"/>
      <c r="M15" s="1049"/>
      <c r="N15" s="1049"/>
      <c r="O15" s="1049"/>
      <c r="P15" s="1049"/>
      <c r="Q15" s="1049"/>
      <c r="R15" s="1049"/>
      <c r="S15" s="1049"/>
      <c r="T15" s="1049"/>
      <c r="U15" s="1049"/>
      <c r="V15" s="1049"/>
      <c r="W15" s="1049"/>
      <c r="X15" s="1049"/>
      <c r="Y15" s="1049"/>
      <c r="Z15" s="1049"/>
      <c r="AA15" s="1049"/>
      <c r="AB15" s="1050"/>
      <c r="AC15" s="1049"/>
      <c r="AD15" s="1048"/>
      <c r="AE15" s="1049"/>
      <c r="AF15" s="1049"/>
      <c r="AG15" s="1049"/>
      <c r="AH15" s="1049"/>
      <c r="AI15" s="1049"/>
      <c r="AJ15" s="1049"/>
      <c r="AK15" s="1049"/>
      <c r="AL15" s="1049"/>
      <c r="AM15" s="1049"/>
      <c r="AN15" s="1049"/>
      <c r="AO15" s="1049"/>
      <c r="AP15" s="1049"/>
      <c r="AQ15" s="1049"/>
      <c r="AR15" s="1049"/>
      <c r="AS15" s="1049"/>
      <c r="AT15" s="1049"/>
      <c r="AU15" s="1049"/>
      <c r="AV15" s="1049"/>
      <c r="AW15" s="1049"/>
      <c r="AX15" s="1049"/>
      <c r="AY15" s="1049" t="s">
        <v>2713</v>
      </c>
      <c r="AZ15" s="1049"/>
      <c r="BA15" s="1049"/>
      <c r="BB15" s="1049"/>
      <c r="BC15" s="1049"/>
      <c r="BD15" s="1049"/>
      <c r="BE15" s="1049"/>
      <c r="BF15" s="1049"/>
      <c r="BG15" s="1049"/>
      <c r="BH15" s="1049"/>
      <c r="BI15" s="1049"/>
      <c r="BJ15" s="1049"/>
      <c r="BK15" s="1049"/>
      <c r="BL15" s="1049"/>
      <c r="BM15" s="1049"/>
      <c r="BN15" s="1049"/>
      <c r="BO15" s="1049"/>
      <c r="BP15" s="1049"/>
      <c r="BQ15" s="1049"/>
      <c r="BR15" s="1048"/>
      <c r="BS15" s="1048"/>
      <c r="BT15" s="1048"/>
      <c r="BU15" s="1048"/>
      <c r="BV15" s="1048"/>
      <c r="BW15" s="1048"/>
      <c r="BX15" s="1048"/>
      <c r="BY15" s="1048"/>
      <c r="BZ15" s="1048"/>
      <c r="CA15" s="1048"/>
      <c r="CB15" s="1048"/>
      <c r="CC15" s="1048"/>
      <c r="CD15" s="1048"/>
      <c r="CE15" s="1048"/>
      <c r="CF15" s="1048"/>
      <c r="CG15" s="1048"/>
      <c r="CH15" s="1048"/>
      <c r="CI15" s="1048"/>
      <c r="CJ15" s="1048"/>
      <c r="CK15" s="1048"/>
      <c r="CL15" s="1048"/>
      <c r="CM15" s="1048"/>
      <c r="CN15" s="1048"/>
      <c r="CO15" s="1048"/>
      <c r="CP15" s="1048"/>
      <c r="CQ15" s="1048"/>
      <c r="CR15" s="1048"/>
      <c r="CS15" s="1048"/>
      <c r="CT15" s="1048"/>
      <c r="CU15" s="1048"/>
      <c r="CV15" s="1048"/>
      <c r="CW15" s="1048"/>
      <c r="CX15" s="1048"/>
      <c r="CY15" s="1048"/>
      <c r="CZ15" s="1048"/>
      <c r="DA15" s="1048"/>
      <c r="DB15" s="1048"/>
      <c r="DC15" s="1048"/>
      <c r="DD15" s="1048"/>
      <c r="DE15" s="1048"/>
      <c r="DF15" s="1048"/>
      <c r="DG15" s="1048"/>
      <c r="DH15" s="1048"/>
      <c r="DI15" s="1048"/>
      <c r="DJ15" s="1048"/>
      <c r="DK15" s="1048"/>
      <c r="DL15" s="1048"/>
      <c r="DM15" s="1048"/>
      <c r="DN15" s="1048"/>
      <c r="DO15" s="1048"/>
      <c r="DP15" s="1048"/>
      <c r="DQ15" s="1048"/>
      <c r="DR15" s="1048"/>
      <c r="DS15" s="1048"/>
      <c r="DT15" s="1048"/>
      <c r="DU15" s="1048"/>
      <c r="DV15" s="1048"/>
      <c r="DW15" s="1048"/>
      <c r="DX15" s="1048"/>
      <c r="DY15" s="1048"/>
      <c r="DZ15" s="1048"/>
      <c r="EA15" s="1048"/>
      <c r="EB15" s="1048"/>
      <c r="EC15" s="1048"/>
      <c r="ED15" s="1048"/>
      <c r="EE15" s="1048"/>
      <c r="EF15" s="1048"/>
      <c r="EG15" s="1049"/>
      <c r="EH15" s="1049"/>
      <c r="EI15" s="1049"/>
      <c r="EJ15" s="1049"/>
      <c r="EK15" s="1049"/>
      <c r="EL15" s="1049"/>
      <c r="EM15" s="1049"/>
      <c r="EN15" s="1048"/>
      <c r="EO15" s="1049"/>
      <c r="EP15" s="1049"/>
      <c r="EQ15" s="1049"/>
      <c r="ER15" s="1049"/>
      <c r="ES15" s="1049"/>
      <c r="ET15" s="1049"/>
      <c r="EU15" s="1049"/>
      <c r="EV15" s="1049"/>
      <c r="EW15" s="1049"/>
      <c r="EX15" s="1049"/>
      <c r="EY15" s="1049"/>
      <c r="EZ15" s="1049"/>
      <c r="FA15" s="1049"/>
      <c r="FB15" s="1049"/>
      <c r="FC15" s="1049"/>
      <c r="FD15" s="1049"/>
      <c r="FE15" s="1049"/>
      <c r="FF15" s="1049"/>
      <c r="FG15" s="1049"/>
      <c r="FH15" s="1049"/>
      <c r="FI15" s="1049"/>
      <c r="FJ15" s="1049"/>
      <c r="FK15" s="1049"/>
      <c r="FL15" s="1049"/>
      <c r="FM15" s="1049"/>
      <c r="FN15" s="1049"/>
      <c r="FO15" s="1049"/>
      <c r="FP15" s="1049"/>
      <c r="FQ15" s="1049"/>
      <c r="FR15" s="1049"/>
      <c r="FS15" s="1049"/>
      <c r="FT15" s="1049"/>
      <c r="FU15" s="1049"/>
      <c r="FV15" s="1049"/>
      <c r="FW15" s="1049"/>
      <c r="FX15" s="1049"/>
      <c r="FY15" s="1049"/>
      <c r="FZ15" s="1049"/>
      <c r="GA15" s="1049"/>
      <c r="GB15" s="1028"/>
    </row>
    <row r="16" spans="1:185" s="1007" customFormat="1" ht="24.95" hidden="1" customHeight="1">
      <c r="A16" s="1007">
        <v>8</v>
      </c>
      <c r="B16" s="1040">
        <f t="shared" si="2"/>
        <v>8</v>
      </c>
      <c r="C16" s="1041">
        <v>126577</v>
      </c>
      <c r="D16" s="1051" t="s">
        <v>2063</v>
      </c>
      <c r="E16" s="1043" t="s">
        <v>2064</v>
      </c>
      <c r="F16" s="1044"/>
      <c r="G16" s="1053" t="s">
        <v>195</v>
      </c>
      <c r="H16" s="1046">
        <f t="shared" si="0"/>
        <v>0</v>
      </c>
      <c r="I16" s="1029"/>
      <c r="J16" s="1046">
        <f t="shared" si="1"/>
        <v>0</v>
      </c>
      <c r="K16" s="1048"/>
      <c r="L16" s="1048"/>
      <c r="M16" s="1049"/>
      <c r="N16" s="1049"/>
      <c r="O16" s="1049"/>
      <c r="P16" s="1049"/>
      <c r="Q16" s="1049"/>
      <c r="R16" s="1049"/>
      <c r="S16" s="1049"/>
      <c r="T16" s="1049"/>
      <c r="U16" s="1049"/>
      <c r="V16" s="1049"/>
      <c r="W16" s="1049"/>
      <c r="X16" s="1049"/>
      <c r="Y16" s="1049"/>
      <c r="Z16" s="1049"/>
      <c r="AA16" s="1049"/>
      <c r="AB16" s="1050"/>
      <c r="AC16" s="1049"/>
      <c r="AD16" s="1048"/>
      <c r="AE16" s="1049"/>
      <c r="AF16" s="1049"/>
      <c r="AG16" s="1049"/>
      <c r="AH16" s="1049"/>
      <c r="AI16" s="1049"/>
      <c r="AJ16" s="1049"/>
      <c r="AK16" s="1049"/>
      <c r="AL16" s="1049"/>
      <c r="AM16" s="1049"/>
      <c r="AN16" s="1049"/>
      <c r="AO16" s="1049"/>
      <c r="AP16" s="1049"/>
      <c r="AQ16" s="1049"/>
      <c r="AR16" s="1049"/>
      <c r="AS16" s="1049"/>
      <c r="AT16" s="1049"/>
      <c r="AU16" s="1049"/>
      <c r="AV16" s="1049"/>
      <c r="AW16" s="1049"/>
      <c r="AX16" s="1049"/>
      <c r="AY16" s="1049"/>
      <c r="AZ16" s="1049"/>
      <c r="BA16" s="1049"/>
      <c r="BB16" s="1049"/>
      <c r="BC16" s="1049"/>
      <c r="BD16" s="1049"/>
      <c r="BE16" s="1049"/>
      <c r="BF16" s="1049"/>
      <c r="BG16" s="1049"/>
      <c r="BH16" s="1049"/>
      <c r="BI16" s="1049"/>
      <c r="BJ16" s="1049"/>
      <c r="BK16" s="1049"/>
      <c r="BL16" s="1049"/>
      <c r="BM16" s="1049"/>
      <c r="BN16" s="1049"/>
      <c r="BO16" s="1049"/>
      <c r="BP16" s="1049"/>
      <c r="BQ16" s="1049"/>
      <c r="BR16" s="1048"/>
      <c r="BS16" s="1048"/>
      <c r="BT16" s="1048"/>
      <c r="BU16" s="1048"/>
      <c r="BV16" s="1048"/>
      <c r="BW16" s="1048"/>
      <c r="BX16" s="1048"/>
      <c r="BY16" s="1048"/>
      <c r="BZ16" s="1048"/>
      <c r="CA16" s="1048"/>
      <c r="CB16" s="1048"/>
      <c r="CC16" s="1048"/>
      <c r="CD16" s="1048"/>
      <c r="CE16" s="1048"/>
      <c r="CF16" s="1048"/>
      <c r="CG16" s="1048"/>
      <c r="CH16" s="1048"/>
      <c r="CI16" s="1048"/>
      <c r="CJ16" s="1048"/>
      <c r="CK16" s="1048"/>
      <c r="CL16" s="1048"/>
      <c r="CM16" s="1048"/>
      <c r="CN16" s="1048"/>
      <c r="CO16" s="1048"/>
      <c r="CP16" s="1048"/>
      <c r="CQ16" s="1048"/>
      <c r="CR16" s="1048"/>
      <c r="CS16" s="1048"/>
      <c r="CT16" s="1048"/>
      <c r="CU16" s="1048"/>
      <c r="CV16" s="1048"/>
      <c r="CW16" s="1048"/>
      <c r="CX16" s="1048"/>
      <c r="CY16" s="1048"/>
      <c r="CZ16" s="1048"/>
      <c r="DA16" s="1048"/>
      <c r="DB16" s="1048"/>
      <c r="DC16" s="1048"/>
      <c r="DD16" s="1048"/>
      <c r="DE16" s="1048"/>
      <c r="DF16" s="1048"/>
      <c r="DG16" s="1048"/>
      <c r="DH16" s="1048"/>
      <c r="DI16" s="1048"/>
      <c r="DJ16" s="1048"/>
      <c r="DK16" s="1048"/>
      <c r="DL16" s="1048"/>
      <c r="DM16" s="1048"/>
      <c r="DN16" s="1048"/>
      <c r="DO16" s="1048"/>
      <c r="DP16" s="1048"/>
      <c r="DQ16" s="1048"/>
      <c r="DR16" s="1048"/>
      <c r="DS16" s="1048"/>
      <c r="DT16" s="1048"/>
      <c r="DU16" s="1048"/>
      <c r="DV16" s="1048"/>
      <c r="DW16" s="1048"/>
      <c r="DX16" s="1048"/>
      <c r="DY16" s="1048"/>
      <c r="DZ16" s="1048"/>
      <c r="EA16" s="1048"/>
      <c r="EB16" s="1048"/>
      <c r="EC16" s="1048"/>
      <c r="ED16" s="1048"/>
      <c r="EE16" s="1048"/>
      <c r="EF16" s="1048"/>
      <c r="EG16" s="1049"/>
      <c r="EH16" s="1049"/>
      <c r="EI16" s="1049"/>
      <c r="EJ16" s="1049"/>
      <c r="EK16" s="1049"/>
      <c r="EL16" s="1049"/>
      <c r="EM16" s="1049"/>
      <c r="EN16" s="1048"/>
      <c r="EO16" s="1049"/>
      <c r="EP16" s="1049"/>
      <c r="EQ16" s="1049"/>
      <c r="ER16" s="1049"/>
      <c r="ES16" s="1049"/>
      <c r="ET16" s="1049"/>
      <c r="EU16" s="1049"/>
      <c r="EV16" s="1049"/>
      <c r="EW16" s="1049"/>
      <c r="EX16" s="1049"/>
      <c r="EY16" s="1049"/>
      <c r="EZ16" s="1049"/>
      <c r="FA16" s="1049"/>
      <c r="FB16" s="1049"/>
      <c r="FC16" s="1049"/>
      <c r="FD16" s="1049"/>
      <c r="FE16" s="1049"/>
      <c r="FF16" s="1049"/>
      <c r="FG16" s="1049"/>
      <c r="FH16" s="1049"/>
      <c r="FI16" s="1049"/>
      <c r="FJ16" s="1049"/>
      <c r="FK16" s="1049"/>
      <c r="FL16" s="1049"/>
      <c r="FM16" s="1049"/>
      <c r="FN16" s="1049"/>
      <c r="FO16" s="1049"/>
      <c r="FP16" s="1049"/>
      <c r="FQ16" s="1049"/>
      <c r="FR16" s="1049"/>
      <c r="FS16" s="1049"/>
      <c r="FT16" s="1049"/>
      <c r="FU16" s="1049"/>
      <c r="FV16" s="1049"/>
      <c r="FW16" s="1049"/>
      <c r="FX16" s="1049"/>
      <c r="FY16" s="1049"/>
      <c r="FZ16" s="1049"/>
      <c r="GA16" s="1049"/>
      <c r="GB16" s="1028"/>
    </row>
    <row r="17" spans="1:184" s="1007" customFormat="1" ht="24.95" hidden="1" customHeight="1">
      <c r="A17" s="1007">
        <v>9</v>
      </c>
      <c r="B17" s="1040">
        <f t="shared" si="2"/>
        <v>9</v>
      </c>
      <c r="C17" s="1041">
        <v>126578</v>
      </c>
      <c r="D17" s="1051" t="s">
        <v>2065</v>
      </c>
      <c r="E17" s="1043" t="s">
        <v>2066</v>
      </c>
      <c r="F17" s="1044"/>
      <c r="G17" s="1053" t="s">
        <v>337</v>
      </c>
      <c r="H17" s="1046">
        <f t="shared" si="0"/>
        <v>0</v>
      </c>
      <c r="I17" s="1029"/>
      <c r="J17" s="1046">
        <f t="shared" si="1"/>
        <v>0</v>
      </c>
      <c r="K17" s="1048"/>
      <c r="L17" s="1048"/>
      <c r="M17" s="1049"/>
      <c r="N17" s="1049"/>
      <c r="O17" s="1049"/>
      <c r="P17" s="1049"/>
      <c r="Q17" s="1049"/>
      <c r="R17" s="1049"/>
      <c r="S17" s="1049"/>
      <c r="T17" s="1049"/>
      <c r="U17" s="1049"/>
      <c r="V17" s="1049"/>
      <c r="W17" s="1049"/>
      <c r="X17" s="1049"/>
      <c r="Y17" s="1049"/>
      <c r="Z17" s="1049"/>
      <c r="AA17" s="1049"/>
      <c r="AB17" s="1050"/>
      <c r="AC17" s="1049"/>
      <c r="AD17" s="1048"/>
      <c r="AE17" s="1049"/>
      <c r="AF17" s="1049"/>
      <c r="AG17" s="1049"/>
      <c r="AH17" s="1049"/>
      <c r="AI17" s="1049"/>
      <c r="AJ17" s="1049"/>
      <c r="AK17" s="1049"/>
      <c r="AL17" s="1049"/>
      <c r="AM17" s="1049"/>
      <c r="AN17" s="1049"/>
      <c r="AO17" s="1049"/>
      <c r="AP17" s="1049"/>
      <c r="AQ17" s="1049"/>
      <c r="AR17" s="1049"/>
      <c r="AS17" s="1049"/>
      <c r="AT17" s="1049"/>
      <c r="AU17" s="1049"/>
      <c r="AV17" s="1049"/>
      <c r="AW17" s="1049"/>
      <c r="AX17" s="1049"/>
      <c r="AY17" s="1049"/>
      <c r="AZ17" s="1049"/>
      <c r="BA17" s="1049"/>
      <c r="BB17" s="1049"/>
      <c r="BC17" s="1049"/>
      <c r="BD17" s="1049"/>
      <c r="BE17" s="1049"/>
      <c r="BF17" s="1049"/>
      <c r="BG17" s="1049"/>
      <c r="BH17" s="1049"/>
      <c r="BI17" s="1049"/>
      <c r="BJ17" s="1049"/>
      <c r="BK17" s="1049"/>
      <c r="BL17" s="1049"/>
      <c r="BM17" s="1049"/>
      <c r="BN17" s="1049"/>
      <c r="BO17" s="1049"/>
      <c r="BP17" s="1049"/>
      <c r="BQ17" s="1049"/>
      <c r="BR17" s="1048"/>
      <c r="BS17" s="1048"/>
      <c r="BT17" s="1048"/>
      <c r="BU17" s="1048"/>
      <c r="BV17" s="1048"/>
      <c r="BW17" s="1048"/>
      <c r="BX17" s="1048"/>
      <c r="BY17" s="1048"/>
      <c r="BZ17" s="1048"/>
      <c r="CA17" s="1048"/>
      <c r="CB17" s="1048"/>
      <c r="CC17" s="1048"/>
      <c r="CD17" s="1048"/>
      <c r="CE17" s="1048"/>
      <c r="CF17" s="1048"/>
      <c r="CG17" s="1048"/>
      <c r="CH17" s="1048"/>
      <c r="CI17" s="1048"/>
      <c r="CJ17" s="1048"/>
      <c r="CK17" s="1048"/>
      <c r="CL17" s="1048"/>
      <c r="CM17" s="1048"/>
      <c r="CN17" s="1048"/>
      <c r="CO17" s="1048"/>
      <c r="CP17" s="1048"/>
      <c r="CQ17" s="1048"/>
      <c r="CR17" s="1048"/>
      <c r="CS17" s="1048"/>
      <c r="CT17" s="1048"/>
      <c r="CU17" s="1048"/>
      <c r="CV17" s="1048"/>
      <c r="CW17" s="1048"/>
      <c r="CX17" s="1048"/>
      <c r="CY17" s="1048"/>
      <c r="CZ17" s="1048"/>
      <c r="DA17" s="1048"/>
      <c r="DB17" s="1048"/>
      <c r="DC17" s="1048"/>
      <c r="DD17" s="1048"/>
      <c r="DE17" s="1048"/>
      <c r="DF17" s="1048"/>
      <c r="DG17" s="1048"/>
      <c r="DH17" s="1048"/>
      <c r="DI17" s="1048"/>
      <c r="DJ17" s="1048"/>
      <c r="DK17" s="1048"/>
      <c r="DL17" s="1048"/>
      <c r="DM17" s="1048"/>
      <c r="DN17" s="1048"/>
      <c r="DO17" s="1048"/>
      <c r="DP17" s="1048"/>
      <c r="DQ17" s="1048"/>
      <c r="DR17" s="1048"/>
      <c r="DS17" s="1048"/>
      <c r="DT17" s="1048"/>
      <c r="DU17" s="1048"/>
      <c r="DV17" s="1048"/>
      <c r="DW17" s="1048"/>
      <c r="DX17" s="1048"/>
      <c r="DY17" s="1048"/>
      <c r="DZ17" s="1048"/>
      <c r="EA17" s="1048"/>
      <c r="EB17" s="1048"/>
      <c r="EC17" s="1048"/>
      <c r="ED17" s="1048"/>
      <c r="EE17" s="1048"/>
      <c r="EF17" s="1048"/>
      <c r="EG17" s="1049"/>
      <c r="EH17" s="1049"/>
      <c r="EI17" s="1049"/>
      <c r="EJ17" s="1049"/>
      <c r="EK17" s="1049"/>
      <c r="EL17" s="1049"/>
      <c r="EM17" s="1049"/>
      <c r="EN17" s="1048"/>
      <c r="EO17" s="1049"/>
      <c r="EP17" s="1049"/>
      <c r="EQ17" s="1049"/>
      <c r="ER17" s="1049"/>
      <c r="ES17" s="1049"/>
      <c r="ET17" s="1049"/>
      <c r="EU17" s="1049"/>
      <c r="EV17" s="1049"/>
      <c r="EW17" s="1049"/>
      <c r="EX17" s="1049"/>
      <c r="EY17" s="1049"/>
      <c r="EZ17" s="1049"/>
      <c r="FA17" s="1049"/>
      <c r="FB17" s="1049"/>
      <c r="FC17" s="1049"/>
      <c r="FD17" s="1049"/>
      <c r="FE17" s="1049"/>
      <c r="FF17" s="1049"/>
      <c r="FG17" s="1049"/>
      <c r="FH17" s="1049"/>
      <c r="FI17" s="1049"/>
      <c r="FJ17" s="1049"/>
      <c r="FK17" s="1049"/>
      <c r="FL17" s="1049"/>
      <c r="FM17" s="1049"/>
      <c r="FN17" s="1049"/>
      <c r="FO17" s="1049"/>
      <c r="FP17" s="1049"/>
      <c r="FQ17" s="1049"/>
      <c r="FR17" s="1049"/>
      <c r="FS17" s="1049"/>
      <c r="FT17" s="1049"/>
      <c r="FU17" s="1049"/>
      <c r="FV17" s="1049"/>
      <c r="FW17" s="1049"/>
      <c r="FX17" s="1049"/>
      <c r="FY17" s="1049"/>
      <c r="FZ17" s="1049"/>
      <c r="GA17" s="1049"/>
      <c r="GB17" s="1028"/>
    </row>
    <row r="18" spans="1:184" s="1007" customFormat="1" ht="24.95" hidden="1" customHeight="1">
      <c r="A18" s="1007">
        <v>10</v>
      </c>
      <c r="B18" s="1040">
        <f t="shared" si="2"/>
        <v>10</v>
      </c>
      <c r="C18" s="1041">
        <v>126579</v>
      </c>
      <c r="D18" s="1051" t="s">
        <v>2067</v>
      </c>
      <c r="E18" s="1043" t="s">
        <v>2068</v>
      </c>
      <c r="F18" s="1044"/>
      <c r="G18" s="1053" t="s">
        <v>337</v>
      </c>
      <c r="H18" s="1046">
        <f t="shared" si="0"/>
        <v>0</v>
      </c>
      <c r="I18" s="1029"/>
      <c r="J18" s="1046">
        <f t="shared" si="1"/>
        <v>0</v>
      </c>
      <c r="K18" s="1048"/>
      <c r="L18" s="1048"/>
      <c r="M18" s="1049"/>
      <c r="N18" s="1049"/>
      <c r="O18" s="1049"/>
      <c r="P18" s="1049"/>
      <c r="Q18" s="1049"/>
      <c r="R18" s="1049"/>
      <c r="S18" s="1049"/>
      <c r="T18" s="1049"/>
      <c r="U18" s="1049"/>
      <c r="V18" s="1049"/>
      <c r="W18" s="1049"/>
      <c r="X18" s="1049"/>
      <c r="Y18" s="1049"/>
      <c r="Z18" s="1049"/>
      <c r="AA18" s="1049"/>
      <c r="AB18" s="1050"/>
      <c r="AC18" s="1049"/>
      <c r="AD18" s="1048"/>
      <c r="AE18" s="1049"/>
      <c r="AF18" s="1049"/>
      <c r="AG18" s="1049"/>
      <c r="AH18" s="1049"/>
      <c r="AI18" s="1049"/>
      <c r="AJ18" s="1049"/>
      <c r="AK18" s="1049"/>
      <c r="AL18" s="1049"/>
      <c r="AM18" s="1049"/>
      <c r="AN18" s="1049"/>
      <c r="AO18" s="1049"/>
      <c r="AP18" s="1049"/>
      <c r="AQ18" s="1049"/>
      <c r="AR18" s="1049"/>
      <c r="AS18" s="1049"/>
      <c r="AT18" s="1049"/>
      <c r="AU18" s="1049"/>
      <c r="AV18" s="1049"/>
      <c r="AW18" s="1049"/>
      <c r="AX18" s="1049"/>
      <c r="AY18" s="1049"/>
      <c r="AZ18" s="1049"/>
      <c r="BA18" s="1049"/>
      <c r="BB18" s="1049"/>
      <c r="BC18" s="1049"/>
      <c r="BD18" s="1049"/>
      <c r="BE18" s="1049"/>
      <c r="BF18" s="1049"/>
      <c r="BG18" s="1049"/>
      <c r="BH18" s="1049"/>
      <c r="BI18" s="1049"/>
      <c r="BJ18" s="1049"/>
      <c r="BK18" s="1049"/>
      <c r="BL18" s="1049"/>
      <c r="BM18" s="1049"/>
      <c r="BN18" s="1049"/>
      <c r="BO18" s="1049"/>
      <c r="BP18" s="1049"/>
      <c r="BQ18" s="1049"/>
      <c r="BR18" s="1048"/>
      <c r="BS18" s="1048"/>
      <c r="BT18" s="1048"/>
      <c r="BU18" s="1048"/>
      <c r="BV18" s="1048"/>
      <c r="BW18" s="1048"/>
      <c r="BX18" s="1048"/>
      <c r="BY18" s="1048"/>
      <c r="BZ18" s="1048"/>
      <c r="CA18" s="1048"/>
      <c r="CB18" s="1048"/>
      <c r="CC18" s="1048"/>
      <c r="CD18" s="1048"/>
      <c r="CE18" s="1048"/>
      <c r="CF18" s="1048"/>
      <c r="CG18" s="1048"/>
      <c r="CH18" s="1048"/>
      <c r="CI18" s="1048"/>
      <c r="CJ18" s="1048"/>
      <c r="CK18" s="1048"/>
      <c r="CL18" s="1048"/>
      <c r="CM18" s="1048"/>
      <c r="CN18" s="1048"/>
      <c r="CO18" s="1048"/>
      <c r="CP18" s="1048"/>
      <c r="CQ18" s="1048"/>
      <c r="CR18" s="1048"/>
      <c r="CS18" s="1048"/>
      <c r="CT18" s="1048"/>
      <c r="CU18" s="1048"/>
      <c r="CV18" s="1048"/>
      <c r="CW18" s="1048"/>
      <c r="CX18" s="1048"/>
      <c r="CY18" s="1048"/>
      <c r="CZ18" s="1048"/>
      <c r="DA18" s="1048"/>
      <c r="DB18" s="1048"/>
      <c r="DC18" s="1048"/>
      <c r="DD18" s="1048"/>
      <c r="DE18" s="1048"/>
      <c r="DF18" s="1048"/>
      <c r="DG18" s="1048"/>
      <c r="DH18" s="1048"/>
      <c r="DI18" s="1048"/>
      <c r="DJ18" s="1048"/>
      <c r="DK18" s="1048"/>
      <c r="DL18" s="1048"/>
      <c r="DM18" s="1048"/>
      <c r="DN18" s="1048"/>
      <c r="DO18" s="1048"/>
      <c r="DP18" s="1048"/>
      <c r="DQ18" s="1048"/>
      <c r="DR18" s="1048"/>
      <c r="DS18" s="1048"/>
      <c r="DT18" s="1048"/>
      <c r="DU18" s="1048"/>
      <c r="DV18" s="1048"/>
      <c r="DW18" s="1048"/>
      <c r="DX18" s="1048"/>
      <c r="DY18" s="1048"/>
      <c r="DZ18" s="1048"/>
      <c r="EA18" s="1048"/>
      <c r="EB18" s="1048"/>
      <c r="EC18" s="1048"/>
      <c r="ED18" s="1048"/>
      <c r="EE18" s="1048"/>
      <c r="EF18" s="1048"/>
      <c r="EG18" s="1049"/>
      <c r="EH18" s="1049"/>
      <c r="EI18" s="1049"/>
      <c r="EJ18" s="1049"/>
      <c r="EK18" s="1049"/>
      <c r="EL18" s="1049"/>
      <c r="EM18" s="1049"/>
      <c r="EN18" s="1048"/>
      <c r="EO18" s="1049"/>
      <c r="EP18" s="1049"/>
      <c r="EQ18" s="1049"/>
      <c r="ER18" s="1049"/>
      <c r="ES18" s="1049"/>
      <c r="ET18" s="1049"/>
      <c r="EU18" s="1049"/>
      <c r="EV18" s="1049"/>
      <c r="EW18" s="1049"/>
      <c r="EX18" s="1049"/>
      <c r="EY18" s="1049"/>
      <c r="EZ18" s="1049"/>
      <c r="FA18" s="1049"/>
      <c r="FB18" s="1049"/>
      <c r="FC18" s="1049"/>
      <c r="FD18" s="1049"/>
      <c r="FE18" s="1049"/>
      <c r="FF18" s="1049"/>
      <c r="FG18" s="1049"/>
      <c r="FH18" s="1049"/>
      <c r="FI18" s="1049"/>
      <c r="FJ18" s="1049"/>
      <c r="FK18" s="1049"/>
      <c r="FL18" s="1049"/>
      <c r="FM18" s="1049"/>
      <c r="FN18" s="1049"/>
      <c r="FO18" s="1049"/>
      <c r="FP18" s="1049"/>
      <c r="FQ18" s="1049"/>
      <c r="FR18" s="1049"/>
      <c r="FS18" s="1049"/>
      <c r="FT18" s="1049"/>
      <c r="FU18" s="1049"/>
      <c r="FV18" s="1049"/>
      <c r="FW18" s="1049"/>
      <c r="FX18" s="1049"/>
      <c r="FY18" s="1049"/>
      <c r="FZ18" s="1049"/>
      <c r="GA18" s="1049"/>
      <c r="GB18" s="1028"/>
    </row>
    <row r="19" spans="1:184" s="1007" customFormat="1" ht="24.95" hidden="1" customHeight="1">
      <c r="A19" s="1007">
        <v>11</v>
      </c>
      <c r="B19" s="1040">
        <f t="shared" si="2"/>
        <v>11</v>
      </c>
      <c r="C19" s="1041">
        <v>126580</v>
      </c>
      <c r="D19" s="1051" t="s">
        <v>2069</v>
      </c>
      <c r="E19" s="1043" t="s">
        <v>2070</v>
      </c>
      <c r="F19" s="1044"/>
      <c r="G19" s="1053" t="s">
        <v>195</v>
      </c>
      <c r="H19" s="1046">
        <f t="shared" si="0"/>
        <v>0</v>
      </c>
      <c r="I19" s="1029"/>
      <c r="J19" s="1046">
        <f t="shared" si="1"/>
        <v>0</v>
      </c>
      <c r="K19" s="1048"/>
      <c r="L19" s="1048"/>
      <c r="M19" s="1049"/>
      <c r="N19" s="1049"/>
      <c r="O19" s="1049"/>
      <c r="P19" s="1049"/>
      <c r="Q19" s="1049"/>
      <c r="R19" s="1049"/>
      <c r="S19" s="1049"/>
      <c r="T19" s="1049"/>
      <c r="U19" s="1049"/>
      <c r="V19" s="1049"/>
      <c r="W19" s="1049"/>
      <c r="X19" s="1049"/>
      <c r="Y19" s="1049"/>
      <c r="Z19" s="1049"/>
      <c r="AA19" s="1049"/>
      <c r="AB19" s="1050"/>
      <c r="AC19" s="1049"/>
      <c r="AD19" s="1048"/>
      <c r="AE19" s="1049"/>
      <c r="AF19" s="1049"/>
      <c r="AG19" s="1049"/>
      <c r="AH19" s="1049"/>
      <c r="AI19" s="1049"/>
      <c r="AJ19" s="1049"/>
      <c r="AK19" s="1049"/>
      <c r="AL19" s="1049"/>
      <c r="AM19" s="1049"/>
      <c r="AN19" s="1049"/>
      <c r="AO19" s="1049"/>
      <c r="AP19" s="1049"/>
      <c r="AQ19" s="1049"/>
      <c r="AR19" s="1049"/>
      <c r="AS19" s="1049"/>
      <c r="AT19" s="1049"/>
      <c r="AU19" s="1049"/>
      <c r="AV19" s="1049"/>
      <c r="AW19" s="1049"/>
      <c r="AX19" s="1049"/>
      <c r="AY19" s="1049"/>
      <c r="AZ19" s="1049"/>
      <c r="BA19" s="1049"/>
      <c r="BB19" s="1049"/>
      <c r="BC19" s="1049"/>
      <c r="BD19" s="1049"/>
      <c r="BE19" s="1049"/>
      <c r="BF19" s="1049"/>
      <c r="BG19" s="1049"/>
      <c r="BH19" s="1049"/>
      <c r="BI19" s="1049"/>
      <c r="BJ19" s="1049"/>
      <c r="BK19" s="1049"/>
      <c r="BL19" s="1049"/>
      <c r="BM19" s="1049"/>
      <c r="BN19" s="1049"/>
      <c r="BO19" s="1049"/>
      <c r="BP19" s="1049"/>
      <c r="BQ19" s="1049"/>
      <c r="BR19" s="1048"/>
      <c r="BS19" s="1048"/>
      <c r="BT19" s="1048"/>
      <c r="BU19" s="1048"/>
      <c r="BV19" s="1048"/>
      <c r="BW19" s="1048"/>
      <c r="BX19" s="1048"/>
      <c r="BY19" s="1048"/>
      <c r="BZ19" s="1048"/>
      <c r="CA19" s="1048"/>
      <c r="CB19" s="1048"/>
      <c r="CC19" s="1048"/>
      <c r="CD19" s="1048"/>
      <c r="CE19" s="1048"/>
      <c r="CF19" s="1048"/>
      <c r="CG19" s="1048"/>
      <c r="CH19" s="1048"/>
      <c r="CI19" s="1048"/>
      <c r="CJ19" s="1048"/>
      <c r="CK19" s="1048"/>
      <c r="CL19" s="1048"/>
      <c r="CM19" s="1048"/>
      <c r="CN19" s="1048"/>
      <c r="CO19" s="1048"/>
      <c r="CP19" s="1048"/>
      <c r="CQ19" s="1048"/>
      <c r="CR19" s="1048"/>
      <c r="CS19" s="1048"/>
      <c r="CT19" s="1048"/>
      <c r="CU19" s="1048"/>
      <c r="CV19" s="1048"/>
      <c r="CW19" s="1048"/>
      <c r="CX19" s="1048"/>
      <c r="CY19" s="1048"/>
      <c r="CZ19" s="1048"/>
      <c r="DA19" s="1048"/>
      <c r="DB19" s="1048"/>
      <c r="DC19" s="1048"/>
      <c r="DD19" s="1048"/>
      <c r="DE19" s="1048"/>
      <c r="DF19" s="1048"/>
      <c r="DG19" s="1048"/>
      <c r="DH19" s="1048"/>
      <c r="DI19" s="1048"/>
      <c r="DJ19" s="1048"/>
      <c r="DK19" s="1048"/>
      <c r="DL19" s="1048"/>
      <c r="DM19" s="1048"/>
      <c r="DN19" s="1048"/>
      <c r="DO19" s="1048"/>
      <c r="DP19" s="1048"/>
      <c r="DQ19" s="1048"/>
      <c r="DR19" s="1048"/>
      <c r="DS19" s="1048"/>
      <c r="DT19" s="1048"/>
      <c r="DU19" s="1048"/>
      <c r="DV19" s="1048"/>
      <c r="DW19" s="1048"/>
      <c r="DX19" s="1048"/>
      <c r="DY19" s="1048"/>
      <c r="DZ19" s="1048"/>
      <c r="EA19" s="1048"/>
      <c r="EB19" s="1048"/>
      <c r="EC19" s="1048"/>
      <c r="ED19" s="1048"/>
      <c r="EE19" s="1048"/>
      <c r="EF19" s="1048"/>
      <c r="EG19" s="1049"/>
      <c r="EH19" s="1049"/>
      <c r="EI19" s="1049"/>
      <c r="EJ19" s="1049"/>
      <c r="EK19" s="1049"/>
      <c r="EL19" s="1049"/>
      <c r="EM19" s="1049"/>
      <c r="EN19" s="1048"/>
      <c r="EO19" s="1049"/>
      <c r="EP19" s="1049"/>
      <c r="EQ19" s="1049"/>
      <c r="ER19" s="1049"/>
      <c r="ES19" s="1049"/>
      <c r="ET19" s="1049"/>
      <c r="EU19" s="1049"/>
      <c r="EV19" s="1049"/>
      <c r="EW19" s="1049"/>
      <c r="EX19" s="1049"/>
      <c r="EY19" s="1049"/>
      <c r="EZ19" s="1049"/>
      <c r="FA19" s="1049"/>
      <c r="FB19" s="1049"/>
      <c r="FC19" s="1049"/>
      <c r="FD19" s="1049"/>
      <c r="FE19" s="1049"/>
      <c r="FF19" s="1049"/>
      <c r="FG19" s="1049"/>
      <c r="FH19" s="1049"/>
      <c r="FI19" s="1049"/>
      <c r="FJ19" s="1049"/>
      <c r="FK19" s="1049"/>
      <c r="FL19" s="1049"/>
      <c r="FM19" s="1049"/>
      <c r="FN19" s="1049"/>
      <c r="FO19" s="1049"/>
      <c r="FP19" s="1049"/>
      <c r="FQ19" s="1049"/>
      <c r="FR19" s="1049"/>
      <c r="FS19" s="1049"/>
      <c r="FT19" s="1049"/>
      <c r="FU19" s="1049"/>
      <c r="FV19" s="1049"/>
      <c r="FW19" s="1049"/>
      <c r="FX19" s="1049"/>
      <c r="FY19" s="1049"/>
      <c r="FZ19" s="1049"/>
      <c r="GA19" s="1049"/>
      <c r="GB19" s="1028"/>
    </row>
    <row r="20" spans="1:184" s="1007" customFormat="1" ht="24.95" customHeight="1">
      <c r="A20" s="1007">
        <v>12</v>
      </c>
      <c r="B20" s="1040">
        <f t="shared" si="2"/>
        <v>12</v>
      </c>
      <c r="C20" s="1041">
        <v>126581</v>
      </c>
      <c r="D20" s="1051" t="s">
        <v>2071</v>
      </c>
      <c r="E20" s="1043" t="s">
        <v>2072</v>
      </c>
      <c r="F20" s="1052"/>
      <c r="G20" s="1053" t="s">
        <v>195</v>
      </c>
      <c r="H20" s="1046">
        <f t="shared" si="0"/>
        <v>127</v>
      </c>
      <c r="I20" s="1029"/>
      <c r="J20" s="1046">
        <f t="shared" si="1"/>
        <v>127</v>
      </c>
      <c r="K20" s="1048"/>
      <c r="L20" s="1048">
        <v>1</v>
      </c>
      <c r="M20" s="1049">
        <v>1</v>
      </c>
      <c r="N20" s="1049">
        <v>1</v>
      </c>
      <c r="O20" s="1049">
        <v>1</v>
      </c>
      <c r="P20" s="1049">
        <v>1</v>
      </c>
      <c r="Q20" s="1049">
        <v>1</v>
      </c>
      <c r="R20" s="1049">
        <v>1</v>
      </c>
      <c r="S20" s="1049">
        <v>1</v>
      </c>
      <c r="T20" s="1049">
        <v>1</v>
      </c>
      <c r="U20" s="1049">
        <v>1</v>
      </c>
      <c r="V20" s="1049">
        <v>1</v>
      </c>
      <c r="W20" s="1049">
        <v>1</v>
      </c>
      <c r="X20" s="1049">
        <v>1</v>
      </c>
      <c r="Y20" s="1049">
        <v>1</v>
      </c>
      <c r="Z20" s="1049">
        <v>1</v>
      </c>
      <c r="AA20" s="1049">
        <v>1</v>
      </c>
      <c r="AB20" s="1049">
        <v>1</v>
      </c>
      <c r="AC20" s="1049">
        <v>1</v>
      </c>
      <c r="AD20" s="1049">
        <v>1</v>
      </c>
      <c r="AE20" s="1049">
        <v>1</v>
      </c>
      <c r="AF20" s="1049">
        <v>1</v>
      </c>
      <c r="AG20" s="1049">
        <v>1</v>
      </c>
      <c r="AH20" s="1049">
        <v>1</v>
      </c>
      <c r="AI20" s="1049">
        <v>1</v>
      </c>
      <c r="AJ20" s="1049">
        <v>1</v>
      </c>
      <c r="AK20" s="1049">
        <v>1</v>
      </c>
      <c r="AL20" s="1049">
        <v>1</v>
      </c>
      <c r="AM20" s="1049">
        <v>1</v>
      </c>
      <c r="AN20" s="1049">
        <v>1</v>
      </c>
      <c r="AO20" s="1049">
        <v>1</v>
      </c>
      <c r="AP20" s="1049">
        <v>1</v>
      </c>
      <c r="AQ20" s="1049">
        <v>1</v>
      </c>
      <c r="AR20" s="1049">
        <v>1</v>
      </c>
      <c r="AS20" s="1049">
        <v>1</v>
      </c>
      <c r="AT20" s="1049">
        <v>1</v>
      </c>
      <c r="AU20" s="1049">
        <v>1</v>
      </c>
      <c r="AV20" s="1049">
        <v>1</v>
      </c>
      <c r="AW20" s="1049">
        <v>1</v>
      </c>
      <c r="AX20" s="1049">
        <v>1</v>
      </c>
      <c r="AY20" s="1049">
        <v>1</v>
      </c>
      <c r="AZ20" s="1049">
        <v>1</v>
      </c>
      <c r="BA20" s="1049">
        <v>1</v>
      </c>
      <c r="BB20" s="1049">
        <v>1</v>
      </c>
      <c r="BC20" s="1049">
        <v>1</v>
      </c>
      <c r="BD20" s="1049">
        <v>1</v>
      </c>
      <c r="BE20" s="1049">
        <v>1</v>
      </c>
      <c r="BF20" s="1049">
        <v>1</v>
      </c>
      <c r="BG20" s="1049">
        <v>1</v>
      </c>
      <c r="BH20" s="1049">
        <v>1</v>
      </c>
      <c r="BI20" s="1049">
        <v>1</v>
      </c>
      <c r="BJ20" s="1049">
        <v>1</v>
      </c>
      <c r="BK20" s="1049">
        <v>1</v>
      </c>
      <c r="BL20" s="1049">
        <v>1</v>
      </c>
      <c r="BM20" s="1049">
        <v>1</v>
      </c>
      <c r="BN20" s="1049">
        <v>1</v>
      </c>
      <c r="BO20" s="1049">
        <v>1</v>
      </c>
      <c r="BP20" s="1049">
        <v>1</v>
      </c>
      <c r="BQ20" s="1049">
        <v>1</v>
      </c>
      <c r="BR20" s="1049">
        <v>1</v>
      </c>
      <c r="BS20" s="1049">
        <v>1</v>
      </c>
      <c r="BT20" s="1049">
        <v>1</v>
      </c>
      <c r="BU20" s="1049">
        <v>1</v>
      </c>
      <c r="BV20" s="1049">
        <v>1</v>
      </c>
      <c r="BW20" s="1049">
        <v>1</v>
      </c>
      <c r="BX20" s="1048">
        <v>1</v>
      </c>
      <c r="BY20" s="1048">
        <v>1</v>
      </c>
      <c r="BZ20" s="1048">
        <v>1</v>
      </c>
      <c r="CA20" s="1048">
        <v>1</v>
      </c>
      <c r="CB20" s="1048">
        <v>1</v>
      </c>
      <c r="CC20" s="1048">
        <v>1</v>
      </c>
      <c r="CD20" s="1048">
        <v>1</v>
      </c>
      <c r="CE20" s="1048">
        <v>1</v>
      </c>
      <c r="CF20" s="1048">
        <v>1</v>
      </c>
      <c r="CG20" s="1048">
        <v>1</v>
      </c>
      <c r="CH20" s="1048">
        <v>1</v>
      </c>
      <c r="CI20" s="1048">
        <v>1</v>
      </c>
      <c r="CJ20" s="1048">
        <v>1</v>
      </c>
      <c r="CK20" s="1048">
        <v>1</v>
      </c>
      <c r="CL20" s="1048">
        <v>1</v>
      </c>
      <c r="CM20" s="1048">
        <v>1</v>
      </c>
      <c r="CN20" s="1048">
        <v>1</v>
      </c>
      <c r="CO20" s="1048">
        <v>1</v>
      </c>
      <c r="CP20" s="1048">
        <v>1</v>
      </c>
      <c r="CQ20" s="1048">
        <v>1</v>
      </c>
      <c r="CR20" s="1048">
        <v>1</v>
      </c>
      <c r="CS20" s="1048">
        <v>1</v>
      </c>
      <c r="CT20" s="1048">
        <v>1</v>
      </c>
      <c r="CU20" s="1048">
        <v>1</v>
      </c>
      <c r="CV20" s="1048">
        <v>1</v>
      </c>
      <c r="CW20" s="1048">
        <v>1</v>
      </c>
      <c r="CX20" s="1048">
        <v>1</v>
      </c>
      <c r="CY20" s="1048">
        <v>1</v>
      </c>
      <c r="CZ20" s="1048">
        <v>1</v>
      </c>
      <c r="DA20" s="1048">
        <v>1</v>
      </c>
      <c r="DB20" s="1048">
        <v>1</v>
      </c>
      <c r="DC20" s="1048">
        <v>1</v>
      </c>
      <c r="DD20" s="1048">
        <v>1</v>
      </c>
      <c r="DE20" s="1048">
        <v>1</v>
      </c>
      <c r="DF20" s="1048">
        <v>1</v>
      </c>
      <c r="DG20" s="1048">
        <v>1</v>
      </c>
      <c r="DH20" s="1048">
        <v>1</v>
      </c>
      <c r="DI20" s="1048">
        <v>1</v>
      </c>
      <c r="DJ20" s="1048">
        <v>1</v>
      </c>
      <c r="DK20" s="1048">
        <v>1</v>
      </c>
      <c r="DL20" s="1048">
        <v>1</v>
      </c>
      <c r="DM20" s="1048">
        <v>1</v>
      </c>
      <c r="DN20" s="1048">
        <v>1</v>
      </c>
      <c r="DO20" s="1048">
        <v>1</v>
      </c>
      <c r="DP20" s="1048">
        <v>1</v>
      </c>
      <c r="DQ20" s="1048">
        <v>1</v>
      </c>
      <c r="DR20" s="1048">
        <v>1</v>
      </c>
      <c r="DS20" s="1048">
        <v>1</v>
      </c>
      <c r="DT20" s="1048">
        <v>1</v>
      </c>
      <c r="DU20" s="1048">
        <v>1</v>
      </c>
      <c r="DV20" s="1048">
        <v>1</v>
      </c>
      <c r="DW20" s="1048">
        <v>2</v>
      </c>
      <c r="DX20" s="1048">
        <v>2</v>
      </c>
      <c r="DY20" s="1048">
        <v>1</v>
      </c>
      <c r="DZ20" s="1048">
        <v>1</v>
      </c>
      <c r="EA20" s="1048">
        <v>1</v>
      </c>
      <c r="EB20" s="1048">
        <v>1</v>
      </c>
      <c r="EC20" s="1048">
        <v>1</v>
      </c>
      <c r="ED20" s="1048">
        <v>1</v>
      </c>
      <c r="EE20" s="1048">
        <v>1</v>
      </c>
      <c r="EF20" s="1048">
        <v>1</v>
      </c>
      <c r="EG20" s="1049"/>
      <c r="EH20" s="1049"/>
      <c r="EI20" s="1049"/>
      <c r="EJ20" s="1049"/>
      <c r="EK20" s="1049"/>
      <c r="EL20" s="1049"/>
      <c r="EM20" s="1049"/>
      <c r="EN20" s="1048"/>
      <c r="EO20" s="1049"/>
      <c r="EP20" s="1049"/>
      <c r="EQ20" s="1049"/>
      <c r="ER20" s="1049"/>
      <c r="ES20" s="1049"/>
      <c r="ET20" s="1049"/>
      <c r="EU20" s="1049"/>
      <c r="EV20" s="1049"/>
      <c r="EW20" s="1049"/>
      <c r="EX20" s="1049"/>
      <c r="EY20" s="1049"/>
      <c r="EZ20" s="1049"/>
      <c r="FA20" s="1049"/>
      <c r="FB20" s="1049"/>
      <c r="FC20" s="1049"/>
      <c r="FD20" s="1049"/>
      <c r="FE20" s="1049"/>
      <c r="FF20" s="1049"/>
      <c r="FG20" s="1049"/>
      <c r="FH20" s="1049"/>
      <c r="FI20" s="1049"/>
      <c r="FJ20" s="1049"/>
      <c r="FK20" s="1049"/>
      <c r="FL20" s="1049"/>
      <c r="FM20" s="1049"/>
      <c r="FN20" s="1049"/>
      <c r="FO20" s="1049"/>
      <c r="FP20" s="1049"/>
      <c r="FQ20" s="1049"/>
      <c r="FR20" s="1049"/>
      <c r="FS20" s="1049"/>
      <c r="FT20" s="1049"/>
      <c r="FU20" s="1049"/>
      <c r="FV20" s="1049"/>
      <c r="FW20" s="1049"/>
      <c r="FX20" s="1049"/>
      <c r="FY20" s="1049"/>
      <c r="FZ20" s="1049"/>
      <c r="GA20" s="1049"/>
      <c r="GB20" s="1028"/>
    </row>
    <row r="21" spans="1:184" s="1007" customFormat="1" ht="24.95" hidden="1" customHeight="1">
      <c r="A21" s="1007">
        <v>12</v>
      </c>
      <c r="B21" s="1040">
        <f t="shared" si="2"/>
        <v>13</v>
      </c>
      <c r="C21" s="1041"/>
      <c r="D21" s="1051" t="s">
        <v>2071</v>
      </c>
      <c r="E21" s="1043" t="s">
        <v>2073</v>
      </c>
      <c r="F21" s="1052"/>
      <c r="G21" s="1053" t="s">
        <v>195</v>
      </c>
      <c r="H21" s="1046">
        <f t="shared" si="0"/>
        <v>0</v>
      </c>
      <c r="I21" s="1029"/>
      <c r="J21" s="1046">
        <f t="shared" si="1"/>
        <v>0</v>
      </c>
      <c r="K21" s="1048"/>
      <c r="L21" s="1048"/>
      <c r="M21" s="1049"/>
      <c r="N21" s="1049"/>
      <c r="O21" s="1049"/>
      <c r="P21" s="1049"/>
      <c r="Q21" s="1049"/>
      <c r="R21" s="1049"/>
      <c r="S21" s="1049"/>
      <c r="T21" s="1049"/>
      <c r="U21" s="1049"/>
      <c r="V21" s="1049"/>
      <c r="W21" s="1049"/>
      <c r="X21" s="1049"/>
      <c r="Y21" s="1049"/>
      <c r="Z21" s="1049"/>
      <c r="AA21" s="1049"/>
      <c r="AB21" s="1050"/>
      <c r="AC21" s="1049"/>
      <c r="AD21" s="1048"/>
      <c r="AE21" s="1049"/>
      <c r="AF21" s="1049"/>
      <c r="AG21" s="1049"/>
      <c r="AH21" s="1049"/>
      <c r="AI21" s="1049"/>
      <c r="AJ21" s="1049"/>
      <c r="AK21" s="1049"/>
      <c r="AL21" s="1049"/>
      <c r="AM21" s="1049"/>
      <c r="AN21" s="1049"/>
      <c r="AO21" s="1049"/>
      <c r="AP21" s="1049"/>
      <c r="AQ21" s="1049"/>
      <c r="AR21" s="1049"/>
      <c r="AS21" s="1049"/>
      <c r="AT21" s="1049"/>
      <c r="AU21" s="1049"/>
      <c r="AV21" s="1049"/>
      <c r="AW21" s="1049"/>
      <c r="AX21" s="1049"/>
      <c r="AY21" s="1049"/>
      <c r="AZ21" s="1049"/>
      <c r="BA21" s="1049"/>
      <c r="BB21" s="1049"/>
      <c r="BC21" s="1049"/>
      <c r="BD21" s="1049"/>
      <c r="BE21" s="1049"/>
      <c r="BF21" s="1049"/>
      <c r="BG21" s="1049"/>
      <c r="BH21" s="1049"/>
      <c r="BI21" s="1049"/>
      <c r="BJ21" s="1049"/>
      <c r="BK21" s="1049"/>
      <c r="BL21" s="1049"/>
      <c r="BM21" s="1049"/>
      <c r="BN21" s="1049"/>
      <c r="BO21" s="1049"/>
      <c r="BP21" s="1049"/>
      <c r="BQ21" s="1049"/>
      <c r="BR21" s="1048"/>
      <c r="BS21" s="1048"/>
      <c r="BT21" s="1048"/>
      <c r="BU21" s="1048"/>
      <c r="BV21" s="1048"/>
      <c r="BW21" s="1048"/>
      <c r="BX21" s="1048"/>
      <c r="BY21" s="1048"/>
      <c r="BZ21" s="1048"/>
      <c r="CA21" s="1048"/>
      <c r="CB21" s="1048"/>
      <c r="CC21" s="1048"/>
      <c r="CD21" s="1048"/>
      <c r="CE21" s="1048"/>
      <c r="CF21" s="1048"/>
      <c r="CG21" s="1048"/>
      <c r="CH21" s="1048"/>
      <c r="CI21" s="1048"/>
      <c r="CJ21" s="1048"/>
      <c r="CK21" s="1048"/>
      <c r="CL21" s="1048"/>
      <c r="CM21" s="1048"/>
      <c r="CN21" s="1048"/>
      <c r="CO21" s="1048"/>
      <c r="CP21" s="1048"/>
      <c r="CQ21" s="1048"/>
      <c r="CR21" s="1048"/>
      <c r="CS21" s="1048"/>
      <c r="CT21" s="1048"/>
      <c r="CU21" s="1048"/>
      <c r="CV21" s="1048"/>
      <c r="CW21" s="1048"/>
      <c r="CX21" s="1048"/>
      <c r="CY21" s="1048"/>
      <c r="CZ21" s="1048"/>
      <c r="DA21" s="1048"/>
      <c r="DB21" s="1048"/>
      <c r="DC21" s="1048"/>
      <c r="DD21" s="1048"/>
      <c r="DE21" s="1048"/>
      <c r="DF21" s="1048"/>
      <c r="DG21" s="1048"/>
      <c r="DH21" s="1048"/>
      <c r="DI21" s="1048"/>
      <c r="DJ21" s="1048"/>
      <c r="DK21" s="1048"/>
      <c r="DL21" s="1048"/>
      <c r="DM21" s="1048"/>
      <c r="DN21" s="1048"/>
      <c r="DO21" s="1048"/>
      <c r="DP21" s="1048"/>
      <c r="DQ21" s="1048"/>
      <c r="DR21" s="1048"/>
      <c r="DS21" s="1048"/>
      <c r="DT21" s="1048"/>
      <c r="DU21" s="1048"/>
      <c r="DV21" s="1048"/>
      <c r="DW21" s="1048"/>
      <c r="DX21" s="1048"/>
      <c r="DY21" s="1048"/>
      <c r="DZ21" s="1048"/>
      <c r="EA21" s="1048"/>
      <c r="EB21" s="1048"/>
      <c r="EC21" s="1048"/>
      <c r="ED21" s="1048"/>
      <c r="EE21" s="1048"/>
      <c r="EF21" s="1048"/>
      <c r="EG21" s="1049"/>
      <c r="EH21" s="1049"/>
      <c r="EI21" s="1049"/>
      <c r="EJ21" s="1049"/>
      <c r="EK21" s="1049"/>
      <c r="EL21" s="1049"/>
      <c r="EM21" s="1049"/>
      <c r="EN21" s="1048"/>
      <c r="EO21" s="1049"/>
      <c r="EP21" s="1049"/>
      <c r="EQ21" s="1049"/>
      <c r="ER21" s="1049"/>
      <c r="ES21" s="1049"/>
      <c r="ET21" s="1049"/>
      <c r="EU21" s="1049"/>
      <c r="EV21" s="1049"/>
      <c r="EW21" s="1049"/>
      <c r="EX21" s="1049"/>
      <c r="EY21" s="1049"/>
      <c r="EZ21" s="1049"/>
      <c r="FA21" s="1049"/>
      <c r="FB21" s="1049"/>
      <c r="FC21" s="1049"/>
      <c r="FD21" s="1049"/>
      <c r="FE21" s="1049"/>
      <c r="FF21" s="1049"/>
      <c r="FG21" s="1049"/>
      <c r="FH21" s="1049"/>
      <c r="FI21" s="1049"/>
      <c r="FJ21" s="1049"/>
      <c r="FK21" s="1049"/>
      <c r="FL21" s="1049"/>
      <c r="FM21" s="1049"/>
      <c r="FN21" s="1049"/>
      <c r="FO21" s="1049"/>
      <c r="FP21" s="1049"/>
      <c r="FQ21" s="1049"/>
      <c r="FR21" s="1049"/>
      <c r="FS21" s="1049"/>
      <c r="FT21" s="1049"/>
      <c r="FU21" s="1049"/>
      <c r="FV21" s="1049"/>
      <c r="FW21" s="1049"/>
      <c r="FX21" s="1049"/>
      <c r="FY21" s="1049"/>
      <c r="FZ21" s="1049"/>
      <c r="GA21" s="1049"/>
      <c r="GB21" s="1028"/>
    </row>
    <row r="22" spans="1:184" s="1007" customFormat="1" ht="24.95" customHeight="1">
      <c r="A22" s="1007">
        <v>13</v>
      </c>
      <c r="B22" s="1040">
        <f>B20+1</f>
        <v>13</v>
      </c>
      <c r="C22" s="1041">
        <v>127781</v>
      </c>
      <c r="D22" s="1051" t="s">
        <v>2074</v>
      </c>
      <c r="E22" s="1054" t="s">
        <v>2075</v>
      </c>
      <c r="F22" s="1055"/>
      <c r="G22" s="1053" t="s">
        <v>195</v>
      </c>
      <c r="H22" s="1046">
        <f t="shared" si="0"/>
        <v>1</v>
      </c>
      <c r="I22" s="1029"/>
      <c r="J22" s="1046">
        <f t="shared" si="1"/>
        <v>1</v>
      </c>
      <c r="K22" s="1048"/>
      <c r="L22" s="1048"/>
      <c r="M22" s="1049"/>
      <c r="N22" s="1049"/>
      <c r="O22" s="1049"/>
      <c r="P22" s="1049"/>
      <c r="Q22" s="1049"/>
      <c r="R22" s="1049"/>
      <c r="S22" s="1049"/>
      <c r="T22" s="1049"/>
      <c r="U22" s="1049"/>
      <c r="V22" s="1049"/>
      <c r="W22" s="1049"/>
      <c r="X22" s="1049"/>
      <c r="Y22" s="1049"/>
      <c r="Z22" s="1049"/>
      <c r="AA22" s="1049"/>
      <c r="AB22" s="1050"/>
      <c r="AC22" s="1049"/>
      <c r="AD22" s="1048"/>
      <c r="AE22" s="1049"/>
      <c r="AF22" s="1049"/>
      <c r="AG22" s="1049"/>
      <c r="AH22" s="1049"/>
      <c r="AI22" s="1049"/>
      <c r="AJ22" s="1049"/>
      <c r="AK22" s="1049"/>
      <c r="AL22" s="1049"/>
      <c r="AM22" s="1049"/>
      <c r="AN22" s="1049"/>
      <c r="AO22" s="1049"/>
      <c r="AP22" s="1049"/>
      <c r="AQ22" s="1049"/>
      <c r="AR22" s="1049"/>
      <c r="AS22" s="1049"/>
      <c r="AT22" s="1049"/>
      <c r="AU22" s="1049"/>
      <c r="AV22" s="1049"/>
      <c r="AW22" s="1049"/>
      <c r="AX22" s="1049"/>
      <c r="AY22" s="1049"/>
      <c r="AZ22" s="1049"/>
      <c r="BA22" s="1049"/>
      <c r="BB22" s="1049"/>
      <c r="BC22" s="1049"/>
      <c r="BD22" s="1049"/>
      <c r="BE22" s="1049"/>
      <c r="BF22" s="1049"/>
      <c r="BG22" s="1049"/>
      <c r="BH22" s="1049"/>
      <c r="BI22" s="1049"/>
      <c r="BJ22" s="1049"/>
      <c r="BK22" s="1049"/>
      <c r="BL22" s="1049"/>
      <c r="BM22" s="1049"/>
      <c r="BN22" s="1049"/>
      <c r="BO22" s="1049"/>
      <c r="BP22" s="1049"/>
      <c r="BQ22" s="1049"/>
      <c r="BR22" s="1048"/>
      <c r="BS22" s="1048"/>
      <c r="BT22" s="1048"/>
      <c r="BU22" s="1048"/>
      <c r="BV22" s="1048"/>
      <c r="BW22" s="1048"/>
      <c r="BX22" s="1048"/>
      <c r="BY22" s="1048"/>
      <c r="BZ22" s="1048"/>
      <c r="CA22" s="1048"/>
      <c r="CB22" s="1048"/>
      <c r="CC22" s="1048"/>
      <c r="CD22" s="1048"/>
      <c r="CE22" s="1048"/>
      <c r="CF22" s="1048"/>
      <c r="CG22" s="1048"/>
      <c r="CH22" s="1048"/>
      <c r="CI22" s="1048"/>
      <c r="CJ22" s="1048"/>
      <c r="CK22" s="1048"/>
      <c r="CL22" s="1048"/>
      <c r="CM22" s="1048"/>
      <c r="CN22" s="1048"/>
      <c r="CO22" s="1048"/>
      <c r="CP22" s="1048"/>
      <c r="CQ22" s="1048"/>
      <c r="CR22" s="1048"/>
      <c r="CS22" s="1048"/>
      <c r="CT22" s="1048"/>
      <c r="CU22" s="1048"/>
      <c r="CV22" s="1048"/>
      <c r="CW22" s="1048"/>
      <c r="CX22" s="1048"/>
      <c r="CY22" s="1048"/>
      <c r="CZ22" s="1048"/>
      <c r="DA22" s="1048"/>
      <c r="DB22" s="1048"/>
      <c r="DC22" s="1048"/>
      <c r="DD22" s="1048"/>
      <c r="DE22" s="1048"/>
      <c r="DF22" s="1048"/>
      <c r="DG22" s="1048"/>
      <c r="DH22" s="1048"/>
      <c r="DI22" s="1048"/>
      <c r="DJ22" s="1048"/>
      <c r="DK22" s="1048"/>
      <c r="DL22" s="1048"/>
      <c r="DM22" s="1048"/>
      <c r="DN22" s="1048"/>
      <c r="DO22" s="1048"/>
      <c r="DP22" s="1048"/>
      <c r="DQ22" s="1048"/>
      <c r="DR22" s="1048"/>
      <c r="DS22" s="1048"/>
      <c r="DT22" s="1048"/>
      <c r="DU22" s="1048"/>
      <c r="DV22" s="1048"/>
      <c r="DW22" s="1048"/>
      <c r="DX22" s="1048"/>
      <c r="DY22" s="1048"/>
      <c r="DZ22" s="1048"/>
      <c r="EA22" s="1048"/>
      <c r="EB22" s="1048"/>
      <c r="EC22" s="1048"/>
      <c r="ED22" s="1048"/>
      <c r="EE22" s="1048"/>
      <c r="EF22" s="1048"/>
      <c r="EG22" s="1049"/>
      <c r="EH22" s="1049"/>
      <c r="EI22" s="1049"/>
      <c r="EJ22" s="1049"/>
      <c r="EK22" s="1049"/>
      <c r="EL22" s="1049"/>
      <c r="EM22" s="1049"/>
      <c r="EN22" s="1048"/>
      <c r="EO22" s="1049"/>
      <c r="EP22" s="1049"/>
      <c r="EQ22" s="1049"/>
      <c r="ER22" s="1049"/>
      <c r="ES22" s="1049"/>
      <c r="ET22" s="1049"/>
      <c r="EU22" s="1049"/>
      <c r="EV22" s="1049"/>
      <c r="EW22" s="1049"/>
      <c r="EX22" s="1049"/>
      <c r="EY22" s="1049"/>
      <c r="EZ22" s="1049"/>
      <c r="FA22" s="1049"/>
      <c r="FB22" s="1049"/>
      <c r="FC22" s="1049"/>
      <c r="FD22" s="1049"/>
      <c r="FE22" s="1049"/>
      <c r="FF22" s="1049"/>
      <c r="FG22" s="1049"/>
      <c r="FH22" s="1049"/>
      <c r="FI22" s="1049"/>
      <c r="FJ22" s="1049"/>
      <c r="FK22" s="1049"/>
      <c r="FL22" s="1049"/>
      <c r="FM22" s="1049"/>
      <c r="FN22" s="1049"/>
      <c r="FO22" s="1049"/>
      <c r="FP22" s="1049"/>
      <c r="FQ22" s="1049"/>
      <c r="FR22" s="1049"/>
      <c r="FS22" s="1049"/>
      <c r="FT22" s="1049"/>
      <c r="FU22" s="1049"/>
      <c r="FV22" s="1049"/>
      <c r="FW22" s="1049"/>
      <c r="FX22" s="1049"/>
      <c r="FY22" s="1049"/>
      <c r="FZ22" s="1049"/>
      <c r="GA22" s="1049">
        <v>1</v>
      </c>
      <c r="GB22" s="1028"/>
    </row>
    <row r="23" spans="1:184" s="1007" customFormat="1" ht="24.95" customHeight="1">
      <c r="A23" s="1007">
        <v>13</v>
      </c>
      <c r="B23" s="1040">
        <f t="shared" si="2"/>
        <v>14</v>
      </c>
      <c r="C23" s="1041">
        <v>126582</v>
      </c>
      <c r="D23" s="1056" t="s">
        <v>2076</v>
      </c>
      <c r="E23" s="1054" t="s">
        <v>2077</v>
      </c>
      <c r="F23" s="1055"/>
      <c r="G23" s="1053" t="s">
        <v>195</v>
      </c>
      <c r="H23" s="1046">
        <f t="shared" si="0"/>
        <v>3</v>
      </c>
      <c r="I23" s="1029"/>
      <c r="J23" s="1046">
        <f t="shared" si="1"/>
        <v>3</v>
      </c>
      <c r="K23" s="1048">
        <v>2</v>
      </c>
      <c r="L23" s="1048"/>
      <c r="M23" s="1049"/>
      <c r="N23" s="1049"/>
      <c r="O23" s="1049"/>
      <c r="P23" s="1049"/>
      <c r="Q23" s="1049"/>
      <c r="R23" s="1049"/>
      <c r="S23" s="1049"/>
      <c r="T23" s="1049"/>
      <c r="U23" s="1049"/>
      <c r="V23" s="1049"/>
      <c r="W23" s="1049"/>
      <c r="X23" s="1049"/>
      <c r="Y23" s="1049"/>
      <c r="Z23" s="1049"/>
      <c r="AA23" s="1049"/>
      <c r="AB23" s="1050"/>
      <c r="AC23" s="1049"/>
      <c r="AD23" s="1048"/>
      <c r="AE23" s="1049"/>
      <c r="AF23" s="1049"/>
      <c r="AG23" s="1049"/>
      <c r="AH23" s="1049"/>
      <c r="AI23" s="1049"/>
      <c r="AJ23" s="1049"/>
      <c r="AK23" s="1049"/>
      <c r="AL23" s="1049"/>
      <c r="AM23" s="1049"/>
      <c r="AN23" s="1049"/>
      <c r="AO23" s="1049"/>
      <c r="AP23" s="1049"/>
      <c r="AQ23" s="1049"/>
      <c r="AR23" s="1049"/>
      <c r="AS23" s="1049"/>
      <c r="AT23" s="1049"/>
      <c r="AU23" s="1049"/>
      <c r="AV23" s="1049"/>
      <c r="AW23" s="1049"/>
      <c r="AX23" s="1049"/>
      <c r="AY23" s="1049"/>
      <c r="AZ23" s="1049"/>
      <c r="BA23" s="1049"/>
      <c r="BB23" s="1049"/>
      <c r="BC23" s="1049"/>
      <c r="BD23" s="1049"/>
      <c r="BE23" s="1049"/>
      <c r="BF23" s="1049"/>
      <c r="BG23" s="1049"/>
      <c r="BH23" s="1049"/>
      <c r="BI23" s="1049"/>
      <c r="BJ23" s="1049"/>
      <c r="BK23" s="1049"/>
      <c r="BL23" s="1049"/>
      <c r="BM23" s="1049"/>
      <c r="BN23" s="1049"/>
      <c r="BO23" s="1049"/>
      <c r="BP23" s="1049"/>
      <c r="BQ23" s="1049"/>
      <c r="BR23" s="1048"/>
      <c r="BS23" s="1048"/>
      <c r="BT23" s="1048"/>
      <c r="BU23" s="1048"/>
      <c r="BV23" s="1048"/>
      <c r="BW23" s="1048"/>
      <c r="BX23" s="1048"/>
      <c r="BY23" s="1048"/>
      <c r="BZ23" s="1048"/>
      <c r="CA23" s="1048"/>
      <c r="CB23" s="1048"/>
      <c r="CC23" s="1048"/>
      <c r="CD23" s="1048"/>
      <c r="CE23" s="1048"/>
      <c r="CF23" s="1048"/>
      <c r="CG23" s="1048"/>
      <c r="CH23" s="1048"/>
      <c r="CI23" s="1048"/>
      <c r="CJ23" s="1048"/>
      <c r="CK23" s="1048"/>
      <c r="CL23" s="1048"/>
      <c r="CM23" s="1048"/>
      <c r="CN23" s="1048"/>
      <c r="CO23" s="1048"/>
      <c r="CP23" s="1048"/>
      <c r="CQ23" s="1048"/>
      <c r="CR23" s="1048"/>
      <c r="CS23" s="1048"/>
      <c r="CT23" s="1048"/>
      <c r="CU23" s="1048"/>
      <c r="CV23" s="1048"/>
      <c r="CW23" s="1048"/>
      <c r="CX23" s="1048"/>
      <c r="CY23" s="1048"/>
      <c r="CZ23" s="1048"/>
      <c r="DA23" s="1048"/>
      <c r="DB23" s="1048"/>
      <c r="DC23" s="1048"/>
      <c r="DD23" s="1048"/>
      <c r="DE23" s="1048"/>
      <c r="DF23" s="1048"/>
      <c r="DG23" s="1048"/>
      <c r="DH23" s="1048"/>
      <c r="DI23" s="1048"/>
      <c r="DJ23" s="1048"/>
      <c r="DK23" s="1048"/>
      <c r="DL23" s="1048"/>
      <c r="DM23" s="1048"/>
      <c r="DN23" s="1048"/>
      <c r="DO23" s="1048"/>
      <c r="DP23" s="1048"/>
      <c r="DQ23" s="1048"/>
      <c r="DR23" s="1048"/>
      <c r="DS23" s="1048"/>
      <c r="DT23" s="1048"/>
      <c r="DU23" s="1048"/>
      <c r="DV23" s="1048"/>
      <c r="DW23" s="1048"/>
      <c r="DX23" s="1048"/>
      <c r="DY23" s="1048"/>
      <c r="DZ23" s="1048"/>
      <c r="EA23" s="1048"/>
      <c r="EB23" s="1048"/>
      <c r="EC23" s="1048"/>
      <c r="ED23" s="1048"/>
      <c r="EE23" s="1048"/>
      <c r="EF23" s="1048"/>
      <c r="EG23" s="1049"/>
      <c r="EH23" s="1049"/>
      <c r="EI23" s="1049"/>
      <c r="EJ23" s="1049"/>
      <c r="EK23" s="1049"/>
      <c r="EL23" s="1049"/>
      <c r="EM23" s="1049"/>
      <c r="EN23" s="1048"/>
      <c r="EO23" s="1049"/>
      <c r="EP23" s="1049"/>
      <c r="EQ23" s="1049"/>
      <c r="ER23" s="1049"/>
      <c r="ES23" s="1049"/>
      <c r="ET23" s="1049"/>
      <c r="EU23" s="1049"/>
      <c r="EV23" s="1049"/>
      <c r="EW23" s="1049"/>
      <c r="EX23" s="1049"/>
      <c r="EY23" s="1049"/>
      <c r="EZ23" s="1049"/>
      <c r="FA23" s="1049"/>
      <c r="FB23" s="1049"/>
      <c r="FC23" s="1049"/>
      <c r="FD23" s="1049"/>
      <c r="FE23" s="1049"/>
      <c r="FF23" s="1049"/>
      <c r="FG23" s="1049"/>
      <c r="FH23" s="1049"/>
      <c r="FI23" s="1049"/>
      <c r="FJ23" s="1049"/>
      <c r="FK23" s="1049"/>
      <c r="FL23" s="1049"/>
      <c r="FM23" s="1049"/>
      <c r="FN23" s="1049"/>
      <c r="FO23" s="1049"/>
      <c r="FP23" s="1049"/>
      <c r="FQ23" s="1049"/>
      <c r="FR23" s="1049"/>
      <c r="FS23" s="1049"/>
      <c r="FT23" s="1049"/>
      <c r="FU23" s="1049"/>
      <c r="FV23" s="1049"/>
      <c r="FW23" s="1049"/>
      <c r="FX23" s="1049"/>
      <c r="FY23" s="1049"/>
      <c r="FZ23" s="1049"/>
      <c r="GA23" s="1049">
        <v>1</v>
      </c>
      <c r="GB23" s="1028"/>
    </row>
    <row r="24" spans="1:184" s="1007" customFormat="1" ht="24.95" hidden="1" customHeight="1">
      <c r="A24" s="1007">
        <v>14</v>
      </c>
      <c r="B24" s="1040">
        <f t="shared" si="2"/>
        <v>15</v>
      </c>
      <c r="C24" s="1041">
        <v>126583</v>
      </c>
      <c r="D24" s="1056" t="s">
        <v>2078</v>
      </c>
      <c r="E24" s="1057" t="s">
        <v>2079</v>
      </c>
      <c r="F24" s="1044"/>
      <c r="G24" s="1053" t="s">
        <v>195</v>
      </c>
      <c r="H24" s="1046">
        <f t="shared" si="0"/>
        <v>0</v>
      </c>
      <c r="I24" s="1029"/>
      <c r="J24" s="1046">
        <f t="shared" si="1"/>
        <v>0</v>
      </c>
      <c r="K24" s="1048"/>
      <c r="L24" s="1048"/>
      <c r="M24" s="1049"/>
      <c r="N24" s="1049"/>
      <c r="O24" s="1049"/>
      <c r="P24" s="1049"/>
      <c r="Q24" s="1049"/>
      <c r="R24" s="1049"/>
      <c r="S24" s="1049"/>
      <c r="T24" s="1049"/>
      <c r="U24" s="1049"/>
      <c r="V24" s="1049"/>
      <c r="W24" s="1049"/>
      <c r="X24" s="1049"/>
      <c r="Y24" s="1049"/>
      <c r="Z24" s="1049"/>
      <c r="AA24" s="1049"/>
      <c r="AB24" s="1050"/>
      <c r="AC24" s="1049"/>
      <c r="AD24" s="1048"/>
      <c r="AE24" s="1049"/>
      <c r="AF24" s="1049"/>
      <c r="AG24" s="1049"/>
      <c r="AH24" s="1049"/>
      <c r="AI24" s="1049"/>
      <c r="AJ24" s="1049"/>
      <c r="AK24" s="1049"/>
      <c r="AL24" s="1049"/>
      <c r="AM24" s="1049"/>
      <c r="AN24" s="1049"/>
      <c r="AO24" s="1049"/>
      <c r="AP24" s="1049"/>
      <c r="AQ24" s="1049"/>
      <c r="AR24" s="1049"/>
      <c r="AS24" s="1049"/>
      <c r="AT24" s="1049"/>
      <c r="AU24" s="1049"/>
      <c r="AV24" s="1049"/>
      <c r="AW24" s="1049"/>
      <c r="AX24" s="1049"/>
      <c r="AY24" s="1049"/>
      <c r="AZ24" s="1049"/>
      <c r="BA24" s="1049"/>
      <c r="BB24" s="1049"/>
      <c r="BC24" s="1049"/>
      <c r="BD24" s="1049"/>
      <c r="BE24" s="1049"/>
      <c r="BF24" s="1049"/>
      <c r="BG24" s="1049"/>
      <c r="BH24" s="1049"/>
      <c r="BI24" s="1049"/>
      <c r="BJ24" s="1049"/>
      <c r="BK24" s="1049"/>
      <c r="BL24" s="1049"/>
      <c r="BM24" s="1049"/>
      <c r="BN24" s="1049"/>
      <c r="BO24" s="1049"/>
      <c r="BP24" s="1049"/>
      <c r="BQ24" s="1049"/>
      <c r="BR24" s="1048"/>
      <c r="BS24" s="1048"/>
      <c r="BT24" s="1048"/>
      <c r="BU24" s="1048"/>
      <c r="BV24" s="1048"/>
      <c r="BW24" s="1048"/>
      <c r="BX24" s="1048"/>
      <c r="BY24" s="1048"/>
      <c r="BZ24" s="1048"/>
      <c r="CA24" s="1048"/>
      <c r="CB24" s="1048"/>
      <c r="CC24" s="1048"/>
      <c r="CD24" s="1048"/>
      <c r="CE24" s="1048"/>
      <c r="CF24" s="1048"/>
      <c r="CG24" s="1048"/>
      <c r="CH24" s="1048"/>
      <c r="CI24" s="1048"/>
      <c r="CJ24" s="1048"/>
      <c r="CK24" s="1048"/>
      <c r="CL24" s="1048"/>
      <c r="CM24" s="1048"/>
      <c r="CN24" s="1048"/>
      <c r="CO24" s="1048"/>
      <c r="CP24" s="1048"/>
      <c r="CQ24" s="1048"/>
      <c r="CR24" s="1048"/>
      <c r="CS24" s="1048"/>
      <c r="CT24" s="1048"/>
      <c r="CU24" s="1048"/>
      <c r="CV24" s="1048"/>
      <c r="CW24" s="1048"/>
      <c r="CX24" s="1048"/>
      <c r="CY24" s="1048"/>
      <c r="CZ24" s="1048"/>
      <c r="DA24" s="1048"/>
      <c r="DB24" s="1048"/>
      <c r="DC24" s="1048"/>
      <c r="DD24" s="1048"/>
      <c r="DE24" s="1048"/>
      <c r="DF24" s="1048"/>
      <c r="DG24" s="1048"/>
      <c r="DH24" s="1048"/>
      <c r="DI24" s="1048"/>
      <c r="DJ24" s="1048"/>
      <c r="DK24" s="1048"/>
      <c r="DL24" s="1048"/>
      <c r="DM24" s="1048"/>
      <c r="DN24" s="1048"/>
      <c r="DO24" s="1048"/>
      <c r="DP24" s="1048"/>
      <c r="DQ24" s="1048"/>
      <c r="DR24" s="1048"/>
      <c r="DS24" s="1048"/>
      <c r="DT24" s="1048"/>
      <c r="DU24" s="1048"/>
      <c r="DV24" s="1048"/>
      <c r="DW24" s="1048"/>
      <c r="DX24" s="1048"/>
      <c r="DY24" s="1048"/>
      <c r="DZ24" s="1048"/>
      <c r="EA24" s="1048"/>
      <c r="EB24" s="1048"/>
      <c r="EC24" s="1048"/>
      <c r="ED24" s="1048"/>
      <c r="EE24" s="1048"/>
      <c r="EF24" s="1048"/>
      <c r="EG24" s="1049"/>
      <c r="EH24" s="1049"/>
      <c r="EI24" s="1049"/>
      <c r="EJ24" s="1049"/>
      <c r="EK24" s="1049"/>
      <c r="EL24" s="1049"/>
      <c r="EM24" s="1049"/>
      <c r="EN24" s="1048"/>
      <c r="EO24" s="1049"/>
      <c r="EP24" s="1049"/>
      <c r="EQ24" s="1049"/>
      <c r="ER24" s="1049"/>
      <c r="ES24" s="1049"/>
      <c r="ET24" s="1049"/>
      <c r="EU24" s="1049"/>
      <c r="EV24" s="1049"/>
      <c r="EW24" s="1049"/>
      <c r="EX24" s="1049"/>
      <c r="EY24" s="1049"/>
      <c r="EZ24" s="1049"/>
      <c r="FA24" s="1049"/>
      <c r="FB24" s="1049"/>
      <c r="FC24" s="1049"/>
      <c r="FD24" s="1049"/>
      <c r="FE24" s="1049"/>
      <c r="FF24" s="1049"/>
      <c r="FG24" s="1049"/>
      <c r="FH24" s="1049"/>
      <c r="FI24" s="1049"/>
      <c r="FJ24" s="1049"/>
      <c r="FK24" s="1049"/>
      <c r="FL24" s="1049"/>
      <c r="FM24" s="1049"/>
      <c r="FN24" s="1049"/>
      <c r="FO24" s="1049"/>
      <c r="FP24" s="1049"/>
      <c r="FQ24" s="1049"/>
      <c r="FR24" s="1049"/>
      <c r="FS24" s="1049"/>
      <c r="FT24" s="1049"/>
      <c r="FU24" s="1049"/>
      <c r="FV24" s="1049"/>
      <c r="FW24" s="1049"/>
      <c r="FX24" s="1049"/>
      <c r="FY24" s="1049"/>
      <c r="FZ24" s="1049"/>
      <c r="GA24" s="1049"/>
      <c r="GB24" s="1028"/>
    </row>
    <row r="25" spans="1:184" s="1007" customFormat="1" ht="24.95" hidden="1" customHeight="1">
      <c r="A25" s="1007">
        <v>15</v>
      </c>
      <c r="B25" s="1040">
        <f>B24+1</f>
        <v>16</v>
      </c>
      <c r="C25" s="1041">
        <v>126584</v>
      </c>
      <c r="D25" s="1056" t="s">
        <v>2080</v>
      </c>
      <c r="E25" s="1058" t="s">
        <v>2081</v>
      </c>
      <c r="F25" s="1055"/>
      <c r="G25" s="1053" t="s">
        <v>195</v>
      </c>
      <c r="H25" s="1046">
        <f t="shared" si="0"/>
        <v>0</v>
      </c>
      <c r="I25" s="1029"/>
      <c r="J25" s="1046">
        <f t="shared" si="1"/>
        <v>0</v>
      </c>
      <c r="K25" s="1048"/>
      <c r="L25" s="1048"/>
      <c r="M25" s="1049"/>
      <c r="N25" s="1049"/>
      <c r="O25" s="1049"/>
      <c r="P25" s="1049"/>
      <c r="Q25" s="1049"/>
      <c r="R25" s="1049"/>
      <c r="S25" s="1049"/>
      <c r="T25" s="1049"/>
      <c r="U25" s="1049"/>
      <c r="V25" s="1049"/>
      <c r="W25" s="1049"/>
      <c r="X25" s="1049"/>
      <c r="Y25" s="1049"/>
      <c r="Z25" s="1049"/>
      <c r="AA25" s="1049"/>
      <c r="AB25" s="1050"/>
      <c r="AC25" s="1049"/>
      <c r="AD25" s="1048"/>
      <c r="AE25" s="1049"/>
      <c r="AF25" s="1049"/>
      <c r="AG25" s="1049"/>
      <c r="AH25" s="1049"/>
      <c r="AI25" s="1049"/>
      <c r="AJ25" s="1049"/>
      <c r="AK25" s="1049"/>
      <c r="AL25" s="1049"/>
      <c r="AM25" s="1049"/>
      <c r="AN25" s="1049"/>
      <c r="AO25" s="1049"/>
      <c r="AP25" s="1049"/>
      <c r="AQ25" s="1049"/>
      <c r="AR25" s="1049"/>
      <c r="AS25" s="1049"/>
      <c r="AT25" s="1049"/>
      <c r="AU25" s="1049"/>
      <c r="AV25" s="1049"/>
      <c r="AW25" s="1049"/>
      <c r="AX25" s="1049"/>
      <c r="AY25" s="1049"/>
      <c r="AZ25" s="1049"/>
      <c r="BA25" s="1049"/>
      <c r="BB25" s="1049"/>
      <c r="BC25" s="1049"/>
      <c r="BD25" s="1049"/>
      <c r="BE25" s="1049"/>
      <c r="BF25" s="1049"/>
      <c r="BG25" s="1049"/>
      <c r="BH25" s="1049"/>
      <c r="BI25" s="1049"/>
      <c r="BJ25" s="1049"/>
      <c r="BK25" s="1049"/>
      <c r="BL25" s="1049"/>
      <c r="BM25" s="1049"/>
      <c r="BN25" s="1049"/>
      <c r="BO25" s="1049"/>
      <c r="BP25" s="1049"/>
      <c r="BQ25" s="1049"/>
      <c r="BR25" s="1048"/>
      <c r="BS25" s="1048"/>
      <c r="BT25" s="1048"/>
      <c r="BU25" s="1048"/>
      <c r="BV25" s="1048"/>
      <c r="BW25" s="1048"/>
      <c r="BX25" s="1048"/>
      <c r="BY25" s="1048"/>
      <c r="BZ25" s="1048"/>
      <c r="CA25" s="1048"/>
      <c r="CB25" s="1048"/>
      <c r="CC25" s="1048"/>
      <c r="CD25" s="1048"/>
      <c r="CE25" s="1048"/>
      <c r="CF25" s="1048"/>
      <c r="CG25" s="1048"/>
      <c r="CH25" s="1048"/>
      <c r="CI25" s="1048"/>
      <c r="CJ25" s="1048"/>
      <c r="CK25" s="1048"/>
      <c r="CL25" s="1048"/>
      <c r="CM25" s="1048"/>
      <c r="CN25" s="1048"/>
      <c r="CO25" s="1048"/>
      <c r="CP25" s="1048"/>
      <c r="CQ25" s="1048"/>
      <c r="CR25" s="1048"/>
      <c r="CS25" s="1048"/>
      <c r="CT25" s="1048"/>
      <c r="CU25" s="1048"/>
      <c r="CV25" s="1048"/>
      <c r="CW25" s="1048"/>
      <c r="CX25" s="1048"/>
      <c r="CY25" s="1048"/>
      <c r="CZ25" s="1048"/>
      <c r="DA25" s="1048"/>
      <c r="DB25" s="1048"/>
      <c r="DC25" s="1048"/>
      <c r="DD25" s="1048"/>
      <c r="DE25" s="1048"/>
      <c r="DF25" s="1048"/>
      <c r="DG25" s="1048"/>
      <c r="DH25" s="1048"/>
      <c r="DI25" s="1048"/>
      <c r="DJ25" s="1048"/>
      <c r="DK25" s="1048"/>
      <c r="DL25" s="1048"/>
      <c r="DM25" s="1048"/>
      <c r="DN25" s="1048"/>
      <c r="DO25" s="1048"/>
      <c r="DP25" s="1048"/>
      <c r="DQ25" s="1048"/>
      <c r="DR25" s="1048"/>
      <c r="DS25" s="1048"/>
      <c r="DT25" s="1048"/>
      <c r="DU25" s="1048"/>
      <c r="DV25" s="1048"/>
      <c r="DW25" s="1048"/>
      <c r="DX25" s="1048"/>
      <c r="DY25" s="1048"/>
      <c r="DZ25" s="1048"/>
      <c r="EA25" s="1048"/>
      <c r="EB25" s="1048"/>
      <c r="EC25" s="1048"/>
      <c r="ED25" s="1048"/>
      <c r="EE25" s="1048"/>
      <c r="EF25" s="1048"/>
      <c r="EG25" s="1049"/>
      <c r="EH25" s="1049"/>
      <c r="EI25" s="1049"/>
      <c r="EJ25" s="1049"/>
      <c r="EK25" s="1049"/>
      <c r="EL25" s="1049"/>
      <c r="EM25" s="1049"/>
      <c r="EN25" s="1048"/>
      <c r="EO25" s="1049"/>
      <c r="EP25" s="1049"/>
      <c r="EQ25" s="1049"/>
      <c r="ER25" s="1049"/>
      <c r="ES25" s="1049"/>
      <c r="ET25" s="1049"/>
      <c r="EU25" s="1049"/>
      <c r="EV25" s="1049"/>
      <c r="EW25" s="1049"/>
      <c r="EX25" s="1049"/>
      <c r="EY25" s="1049"/>
      <c r="EZ25" s="1049"/>
      <c r="FA25" s="1049"/>
      <c r="FB25" s="1049"/>
      <c r="FC25" s="1049"/>
      <c r="FD25" s="1049"/>
      <c r="FE25" s="1049"/>
      <c r="FF25" s="1049"/>
      <c r="FG25" s="1049"/>
      <c r="FH25" s="1049"/>
      <c r="FI25" s="1049"/>
      <c r="FJ25" s="1049"/>
      <c r="FK25" s="1049"/>
      <c r="FL25" s="1049"/>
      <c r="FM25" s="1049"/>
      <c r="FN25" s="1049"/>
      <c r="FO25" s="1049"/>
      <c r="FP25" s="1049"/>
      <c r="FQ25" s="1049"/>
      <c r="FR25" s="1049"/>
      <c r="FS25" s="1049"/>
      <c r="FT25" s="1049"/>
      <c r="FU25" s="1049"/>
      <c r="FV25" s="1049"/>
      <c r="FW25" s="1049"/>
      <c r="FX25" s="1049"/>
      <c r="FY25" s="1049"/>
      <c r="FZ25" s="1049"/>
      <c r="GA25" s="1049"/>
      <c r="GB25" s="1028"/>
    </row>
    <row r="26" spans="1:184" s="1007" customFormat="1" ht="24.95" customHeight="1">
      <c r="A26" s="1007">
        <v>16</v>
      </c>
      <c r="B26" s="1040">
        <f t="shared" si="2"/>
        <v>17</v>
      </c>
      <c r="C26" s="1041">
        <v>126585</v>
      </c>
      <c r="D26" s="1056" t="s">
        <v>2082</v>
      </c>
      <c r="E26" s="1058" t="s">
        <v>2083</v>
      </c>
      <c r="F26" s="1055"/>
      <c r="G26" s="1053" t="s">
        <v>195</v>
      </c>
      <c r="H26" s="1046">
        <f t="shared" si="0"/>
        <v>8</v>
      </c>
      <c r="I26" s="1029"/>
      <c r="J26" s="1046">
        <f t="shared" si="1"/>
        <v>8</v>
      </c>
      <c r="K26" s="1048"/>
      <c r="L26" s="1048"/>
      <c r="M26" s="1049"/>
      <c r="N26" s="1049"/>
      <c r="O26" s="1049"/>
      <c r="P26" s="1049"/>
      <c r="Q26" s="1049"/>
      <c r="R26" s="1049"/>
      <c r="S26" s="1049"/>
      <c r="T26" s="1049"/>
      <c r="U26" s="1049"/>
      <c r="V26" s="1049"/>
      <c r="W26" s="1049"/>
      <c r="X26" s="1049"/>
      <c r="Y26" s="1049"/>
      <c r="Z26" s="1049"/>
      <c r="AA26" s="1049"/>
      <c r="AB26" s="1050"/>
      <c r="AC26" s="1049"/>
      <c r="AD26" s="1048"/>
      <c r="AE26" s="1049"/>
      <c r="AF26" s="1049"/>
      <c r="AG26" s="1049"/>
      <c r="AH26" s="1049"/>
      <c r="AI26" s="1049"/>
      <c r="AJ26" s="1049"/>
      <c r="AK26" s="1049"/>
      <c r="AL26" s="1049"/>
      <c r="AM26" s="1049"/>
      <c r="AN26" s="1049"/>
      <c r="AO26" s="1049"/>
      <c r="AP26" s="1049"/>
      <c r="AQ26" s="1049"/>
      <c r="AR26" s="1049"/>
      <c r="AS26" s="1049"/>
      <c r="AT26" s="1049"/>
      <c r="AU26" s="1049"/>
      <c r="AV26" s="1049"/>
      <c r="AW26" s="1049"/>
      <c r="AX26" s="1049"/>
      <c r="AY26" s="1049"/>
      <c r="AZ26" s="1049"/>
      <c r="BA26" s="1049"/>
      <c r="BB26" s="1049"/>
      <c r="BC26" s="1049"/>
      <c r="BD26" s="1049"/>
      <c r="BE26" s="1049"/>
      <c r="BF26" s="1049"/>
      <c r="BG26" s="1049"/>
      <c r="BH26" s="1049"/>
      <c r="BI26" s="1049"/>
      <c r="BJ26" s="1049"/>
      <c r="BK26" s="1049"/>
      <c r="BL26" s="1049"/>
      <c r="BM26" s="1049"/>
      <c r="BN26" s="1049"/>
      <c r="BO26" s="1049"/>
      <c r="BP26" s="1049"/>
      <c r="BQ26" s="1049"/>
      <c r="BR26" s="1048"/>
      <c r="BS26" s="1048"/>
      <c r="BT26" s="1048"/>
      <c r="BU26" s="1048"/>
      <c r="BV26" s="1048"/>
      <c r="BW26" s="1048"/>
      <c r="BX26" s="1048"/>
      <c r="BY26" s="1048"/>
      <c r="BZ26" s="1048"/>
      <c r="CA26" s="1048"/>
      <c r="CB26" s="1048"/>
      <c r="CC26" s="1048"/>
      <c r="CD26" s="1048"/>
      <c r="CE26" s="1048"/>
      <c r="CF26" s="1048"/>
      <c r="CG26" s="1048"/>
      <c r="CH26" s="1048"/>
      <c r="CI26" s="1048"/>
      <c r="CJ26" s="1048"/>
      <c r="CK26" s="1048"/>
      <c r="CL26" s="1048"/>
      <c r="CM26" s="1048"/>
      <c r="CN26" s="1048"/>
      <c r="CO26" s="1048"/>
      <c r="CP26" s="1048"/>
      <c r="CQ26" s="1048"/>
      <c r="CR26" s="1048"/>
      <c r="CS26" s="1048"/>
      <c r="CT26" s="1048"/>
      <c r="CU26" s="1048"/>
      <c r="CV26" s="1048"/>
      <c r="CW26" s="1048"/>
      <c r="CX26" s="1048"/>
      <c r="CY26" s="1048"/>
      <c r="CZ26" s="1048"/>
      <c r="DA26" s="1048"/>
      <c r="DB26" s="1048"/>
      <c r="DC26" s="1048"/>
      <c r="DD26" s="1048"/>
      <c r="DE26" s="1048"/>
      <c r="DF26" s="1048"/>
      <c r="DG26" s="1048"/>
      <c r="DH26" s="1048"/>
      <c r="DI26" s="1048"/>
      <c r="DJ26" s="1048"/>
      <c r="DK26" s="1048"/>
      <c r="DL26" s="1048"/>
      <c r="DM26" s="1048"/>
      <c r="DN26" s="1048"/>
      <c r="DO26" s="1048"/>
      <c r="DP26" s="1048"/>
      <c r="DQ26" s="1048"/>
      <c r="DR26" s="1048"/>
      <c r="DS26" s="1048"/>
      <c r="DT26" s="1048"/>
      <c r="DU26" s="1048"/>
      <c r="DV26" s="1048"/>
      <c r="DW26" s="1048"/>
      <c r="DX26" s="1048"/>
      <c r="DY26" s="1048">
        <v>1</v>
      </c>
      <c r="DZ26" s="1048">
        <v>1</v>
      </c>
      <c r="EA26" s="1048">
        <v>1</v>
      </c>
      <c r="EB26" s="1048">
        <v>1</v>
      </c>
      <c r="EC26" s="1048">
        <v>1</v>
      </c>
      <c r="ED26" s="1048">
        <v>1</v>
      </c>
      <c r="EE26" s="1048">
        <v>1</v>
      </c>
      <c r="EF26" s="1048">
        <v>1</v>
      </c>
      <c r="EG26" s="1049"/>
      <c r="EH26" s="1049"/>
      <c r="EI26" s="1049"/>
      <c r="EJ26" s="1049"/>
      <c r="EK26" s="1049"/>
      <c r="EL26" s="1049"/>
      <c r="EM26" s="1049"/>
      <c r="EN26" s="1048"/>
      <c r="EO26" s="1049"/>
      <c r="EP26" s="1049"/>
      <c r="EQ26" s="1049"/>
      <c r="ER26" s="1049"/>
      <c r="ES26" s="1049"/>
      <c r="ET26" s="1049"/>
      <c r="EU26" s="1049"/>
      <c r="EV26" s="1049"/>
      <c r="EW26" s="1049"/>
      <c r="EX26" s="1049"/>
      <c r="EY26" s="1049"/>
      <c r="EZ26" s="1049"/>
      <c r="FA26" s="1049"/>
      <c r="FB26" s="1049"/>
      <c r="FC26" s="1049"/>
      <c r="FD26" s="1049"/>
      <c r="FE26" s="1049"/>
      <c r="FF26" s="1049"/>
      <c r="FG26" s="1049"/>
      <c r="FH26" s="1049"/>
      <c r="FI26" s="1049"/>
      <c r="FJ26" s="1049"/>
      <c r="FK26" s="1049"/>
      <c r="FL26" s="1049"/>
      <c r="FM26" s="1049"/>
      <c r="FN26" s="1049"/>
      <c r="FO26" s="1049"/>
      <c r="FP26" s="1049"/>
      <c r="FQ26" s="1049"/>
      <c r="FR26" s="1049"/>
      <c r="FS26" s="1049"/>
      <c r="FT26" s="1049"/>
      <c r="FU26" s="1049"/>
      <c r="FV26" s="1049"/>
      <c r="FW26" s="1049"/>
      <c r="FX26" s="1049"/>
      <c r="FY26" s="1049"/>
      <c r="FZ26" s="1049"/>
      <c r="GA26" s="1049"/>
      <c r="GB26" s="1028"/>
    </row>
    <row r="27" spans="1:184" s="1007" customFormat="1" ht="24.95" hidden="1" customHeight="1">
      <c r="A27" s="1007">
        <v>16</v>
      </c>
      <c r="B27" s="1040">
        <f t="shared" si="2"/>
        <v>18</v>
      </c>
      <c r="C27" s="1041"/>
      <c r="D27" s="1729" t="s">
        <v>3325</v>
      </c>
      <c r="E27" s="1058" t="s">
        <v>3326</v>
      </c>
      <c r="F27" s="1055"/>
      <c r="G27" s="1053" t="s">
        <v>195</v>
      </c>
      <c r="H27" s="1046">
        <f t="shared" si="0"/>
        <v>0</v>
      </c>
      <c r="I27" s="1029"/>
      <c r="J27" s="1046">
        <f t="shared" si="1"/>
        <v>0</v>
      </c>
      <c r="K27" s="1048"/>
      <c r="L27" s="1048"/>
      <c r="M27" s="1049"/>
      <c r="N27" s="1049"/>
      <c r="O27" s="1049"/>
      <c r="P27" s="1049"/>
      <c r="Q27" s="1049"/>
      <c r="R27" s="1049"/>
      <c r="S27" s="1049"/>
      <c r="T27" s="1049"/>
      <c r="U27" s="1049"/>
      <c r="V27" s="1049"/>
      <c r="W27" s="1049"/>
      <c r="X27" s="1049"/>
      <c r="Y27" s="1049"/>
      <c r="Z27" s="1049"/>
      <c r="AA27" s="1049"/>
      <c r="AB27" s="1050"/>
      <c r="AC27" s="1049"/>
      <c r="AD27" s="1048"/>
      <c r="AE27" s="1049"/>
      <c r="AF27" s="1049"/>
      <c r="AG27" s="1049"/>
      <c r="AH27" s="1049"/>
      <c r="AI27" s="1049"/>
      <c r="AJ27" s="1049"/>
      <c r="AK27" s="1049"/>
      <c r="AL27" s="1049"/>
      <c r="AM27" s="1049"/>
      <c r="AN27" s="1049"/>
      <c r="AO27" s="1049"/>
      <c r="AP27" s="1049"/>
      <c r="AQ27" s="1049"/>
      <c r="AR27" s="1049"/>
      <c r="AS27" s="1049"/>
      <c r="AT27" s="1049"/>
      <c r="AU27" s="1049"/>
      <c r="AV27" s="1049"/>
      <c r="AW27" s="1049"/>
      <c r="AX27" s="1049"/>
      <c r="AY27" s="1049"/>
      <c r="AZ27" s="1049"/>
      <c r="BA27" s="1049"/>
      <c r="BB27" s="1049"/>
      <c r="BC27" s="1049"/>
      <c r="BD27" s="1049"/>
      <c r="BE27" s="1049"/>
      <c r="BF27" s="1049"/>
      <c r="BG27" s="1049"/>
      <c r="BH27" s="1049"/>
      <c r="BI27" s="1049"/>
      <c r="BJ27" s="1049"/>
      <c r="BK27" s="1049"/>
      <c r="BL27" s="1049"/>
      <c r="BM27" s="1049"/>
      <c r="BN27" s="1049"/>
      <c r="BO27" s="1049"/>
      <c r="BP27" s="1049"/>
      <c r="BQ27" s="1049"/>
      <c r="BR27" s="1048"/>
      <c r="BS27" s="1048"/>
      <c r="BT27" s="1048"/>
      <c r="BU27" s="1048"/>
      <c r="BV27" s="1048"/>
      <c r="BW27" s="1048"/>
      <c r="BX27" s="1048"/>
      <c r="BY27" s="1048"/>
      <c r="BZ27" s="1048"/>
      <c r="CA27" s="1048"/>
      <c r="CB27" s="1048"/>
      <c r="CC27" s="1048"/>
      <c r="CD27" s="1048"/>
      <c r="CE27" s="1048"/>
      <c r="CF27" s="1048"/>
      <c r="CG27" s="1048"/>
      <c r="CH27" s="1048"/>
      <c r="CI27" s="1048"/>
      <c r="CJ27" s="1048"/>
      <c r="CK27" s="1048"/>
      <c r="CL27" s="1048"/>
      <c r="CM27" s="1048"/>
      <c r="CN27" s="1048"/>
      <c r="CO27" s="1048"/>
      <c r="CP27" s="1048"/>
      <c r="CQ27" s="1048"/>
      <c r="CR27" s="1048"/>
      <c r="CS27" s="1048"/>
      <c r="CT27" s="1048"/>
      <c r="CU27" s="1048"/>
      <c r="CV27" s="1048"/>
      <c r="CW27" s="1048"/>
      <c r="CX27" s="1048"/>
      <c r="CY27" s="1048"/>
      <c r="CZ27" s="1048"/>
      <c r="DA27" s="1048"/>
      <c r="DB27" s="1048"/>
      <c r="DC27" s="1048"/>
      <c r="DD27" s="1048"/>
      <c r="DE27" s="1048"/>
      <c r="DF27" s="1048"/>
      <c r="DG27" s="1048"/>
      <c r="DH27" s="1048"/>
      <c r="DI27" s="1048"/>
      <c r="DJ27" s="1048"/>
      <c r="DK27" s="1048"/>
      <c r="DL27" s="1048"/>
      <c r="DM27" s="1048"/>
      <c r="DN27" s="1048"/>
      <c r="DO27" s="1048"/>
      <c r="DP27" s="1048"/>
      <c r="DQ27" s="1048"/>
      <c r="DR27" s="1048"/>
      <c r="DS27" s="1048"/>
      <c r="DT27" s="1048"/>
      <c r="DU27" s="1048"/>
      <c r="DV27" s="1048"/>
      <c r="DW27" s="1048"/>
      <c r="DX27" s="1048"/>
      <c r="DY27" s="1048"/>
      <c r="DZ27" s="1048"/>
      <c r="EA27" s="1048"/>
      <c r="EB27" s="1048"/>
      <c r="EC27" s="1048"/>
      <c r="ED27" s="1048"/>
      <c r="EE27" s="1048"/>
      <c r="EF27" s="1048"/>
      <c r="EG27" s="1049"/>
      <c r="EH27" s="1049"/>
      <c r="EI27" s="1049"/>
      <c r="EJ27" s="1049"/>
      <c r="EK27" s="1049"/>
      <c r="EL27" s="1049"/>
      <c r="EM27" s="1049"/>
      <c r="EN27" s="1048"/>
      <c r="EO27" s="1049"/>
      <c r="EP27" s="1049"/>
      <c r="EQ27" s="1049"/>
      <c r="ER27" s="1049"/>
      <c r="ES27" s="1049"/>
      <c r="ET27" s="1049"/>
      <c r="EU27" s="1049"/>
      <c r="EV27" s="1049"/>
      <c r="EW27" s="1049"/>
      <c r="EX27" s="1049"/>
      <c r="EY27" s="1049"/>
      <c r="EZ27" s="1049"/>
      <c r="FA27" s="1049"/>
      <c r="FB27" s="1049"/>
      <c r="FC27" s="1049"/>
      <c r="FD27" s="1049"/>
      <c r="FE27" s="1049"/>
      <c r="FF27" s="1049"/>
      <c r="FG27" s="1049"/>
      <c r="FH27" s="1049"/>
      <c r="FI27" s="1049"/>
      <c r="FJ27" s="1049"/>
      <c r="FK27" s="1049"/>
      <c r="FL27" s="1049"/>
      <c r="FM27" s="1049"/>
      <c r="FN27" s="1049"/>
      <c r="FO27" s="1049"/>
      <c r="FP27" s="1049"/>
      <c r="FQ27" s="1049"/>
      <c r="FR27" s="1049"/>
      <c r="FS27" s="1049"/>
      <c r="FT27" s="1049"/>
      <c r="FU27" s="1049"/>
      <c r="FV27" s="1049"/>
      <c r="FW27" s="1049"/>
      <c r="FX27" s="1049"/>
      <c r="FY27" s="1049"/>
      <c r="FZ27" s="1049"/>
      <c r="GA27" s="1049"/>
      <c r="GB27" s="1028"/>
    </row>
    <row r="28" spans="1:184" s="1007" customFormat="1" ht="24.95" hidden="1" customHeight="1">
      <c r="A28" s="1007">
        <v>16</v>
      </c>
      <c r="B28" s="1040">
        <f t="shared" si="2"/>
        <v>19</v>
      </c>
      <c r="C28" s="1041"/>
      <c r="D28" s="1056" t="s">
        <v>2084</v>
      </c>
      <c r="E28" s="1058" t="s">
        <v>2085</v>
      </c>
      <c r="F28" s="1055"/>
      <c r="G28" s="1053" t="s">
        <v>195</v>
      </c>
      <c r="H28" s="1046">
        <f t="shared" si="0"/>
        <v>0</v>
      </c>
      <c r="I28" s="1029"/>
      <c r="J28" s="1046">
        <f t="shared" si="1"/>
        <v>0</v>
      </c>
      <c r="K28" s="1048"/>
      <c r="L28" s="1048"/>
      <c r="M28" s="1049"/>
      <c r="N28" s="1049"/>
      <c r="O28" s="1049"/>
      <c r="P28" s="1049"/>
      <c r="Q28" s="1049"/>
      <c r="R28" s="1049"/>
      <c r="S28" s="1049"/>
      <c r="T28" s="1049"/>
      <c r="U28" s="1049"/>
      <c r="V28" s="1049"/>
      <c r="W28" s="1049"/>
      <c r="X28" s="1049"/>
      <c r="Y28" s="1049"/>
      <c r="Z28" s="1049"/>
      <c r="AA28" s="1049"/>
      <c r="AB28" s="1050"/>
      <c r="AC28" s="1049"/>
      <c r="AD28" s="1048"/>
      <c r="AE28" s="1049"/>
      <c r="AF28" s="1049"/>
      <c r="AG28" s="1049"/>
      <c r="AH28" s="1049"/>
      <c r="AI28" s="1049"/>
      <c r="AJ28" s="1049"/>
      <c r="AK28" s="1049"/>
      <c r="AL28" s="1049"/>
      <c r="AM28" s="1049"/>
      <c r="AN28" s="1049"/>
      <c r="AO28" s="1049"/>
      <c r="AP28" s="1049"/>
      <c r="AQ28" s="1049"/>
      <c r="AR28" s="1049"/>
      <c r="AS28" s="1049"/>
      <c r="AT28" s="1049"/>
      <c r="AU28" s="1049"/>
      <c r="AV28" s="1049"/>
      <c r="AW28" s="1049"/>
      <c r="AX28" s="1049"/>
      <c r="AY28" s="1049"/>
      <c r="AZ28" s="1049"/>
      <c r="BA28" s="1049"/>
      <c r="BB28" s="1049"/>
      <c r="BC28" s="1049"/>
      <c r="BD28" s="1049"/>
      <c r="BE28" s="1049"/>
      <c r="BF28" s="1049"/>
      <c r="BG28" s="1049"/>
      <c r="BH28" s="1049"/>
      <c r="BI28" s="1049"/>
      <c r="BJ28" s="1049"/>
      <c r="BK28" s="1049"/>
      <c r="BL28" s="1049"/>
      <c r="BM28" s="1049"/>
      <c r="BN28" s="1049"/>
      <c r="BO28" s="1049"/>
      <c r="BP28" s="1049"/>
      <c r="BQ28" s="1049"/>
      <c r="BR28" s="1048"/>
      <c r="BS28" s="1048"/>
      <c r="BT28" s="1048"/>
      <c r="BU28" s="1048"/>
      <c r="BV28" s="1048"/>
      <c r="BW28" s="1048"/>
      <c r="BX28" s="1048"/>
      <c r="BY28" s="1048"/>
      <c r="BZ28" s="1048"/>
      <c r="CA28" s="1048"/>
      <c r="CB28" s="1048"/>
      <c r="CC28" s="1048"/>
      <c r="CD28" s="1048"/>
      <c r="CE28" s="1048"/>
      <c r="CF28" s="1048"/>
      <c r="CG28" s="1048"/>
      <c r="CH28" s="1048"/>
      <c r="CI28" s="1048"/>
      <c r="CJ28" s="1048"/>
      <c r="CK28" s="1048"/>
      <c r="CL28" s="1048"/>
      <c r="CM28" s="1048"/>
      <c r="CN28" s="1048"/>
      <c r="CO28" s="1048"/>
      <c r="CP28" s="1048"/>
      <c r="CQ28" s="1048"/>
      <c r="CR28" s="1048"/>
      <c r="CS28" s="1048"/>
      <c r="CT28" s="1048"/>
      <c r="CU28" s="1048"/>
      <c r="CV28" s="1048"/>
      <c r="CW28" s="1048"/>
      <c r="CX28" s="1048"/>
      <c r="CY28" s="1048"/>
      <c r="CZ28" s="1048"/>
      <c r="DA28" s="1048"/>
      <c r="DB28" s="1048"/>
      <c r="DC28" s="1048"/>
      <c r="DD28" s="1048"/>
      <c r="DE28" s="1048"/>
      <c r="DF28" s="1048"/>
      <c r="DG28" s="1048"/>
      <c r="DH28" s="1048"/>
      <c r="DI28" s="1048"/>
      <c r="DJ28" s="1048"/>
      <c r="DK28" s="1048"/>
      <c r="DL28" s="1048"/>
      <c r="DM28" s="1048"/>
      <c r="DN28" s="1048"/>
      <c r="DO28" s="1048"/>
      <c r="DP28" s="1048"/>
      <c r="DQ28" s="1048"/>
      <c r="DR28" s="1048"/>
      <c r="DS28" s="1048"/>
      <c r="DT28" s="1048"/>
      <c r="DU28" s="1048"/>
      <c r="DV28" s="1048"/>
      <c r="DW28" s="1048"/>
      <c r="DX28" s="1048"/>
      <c r="DY28" s="1048"/>
      <c r="DZ28" s="1048"/>
      <c r="EA28" s="1048"/>
      <c r="EB28" s="1048"/>
      <c r="EC28" s="1048"/>
      <c r="ED28" s="1048"/>
      <c r="EE28" s="1048"/>
      <c r="EF28" s="1048"/>
      <c r="EG28" s="1049"/>
      <c r="EH28" s="1049"/>
      <c r="EI28" s="1049"/>
      <c r="EJ28" s="1049"/>
      <c r="EK28" s="1049"/>
      <c r="EL28" s="1049"/>
      <c r="EM28" s="1049"/>
      <c r="EN28" s="1048"/>
      <c r="EO28" s="1049"/>
      <c r="EP28" s="1049"/>
      <c r="EQ28" s="1049"/>
      <c r="ER28" s="1049"/>
      <c r="ES28" s="1049"/>
      <c r="ET28" s="1049"/>
      <c r="EU28" s="1049"/>
      <c r="EV28" s="1049"/>
      <c r="EW28" s="1049"/>
      <c r="EX28" s="1049"/>
      <c r="EY28" s="1049"/>
      <c r="EZ28" s="1049"/>
      <c r="FA28" s="1049"/>
      <c r="FB28" s="1049"/>
      <c r="FC28" s="1049"/>
      <c r="FD28" s="1049"/>
      <c r="FE28" s="1049"/>
      <c r="FF28" s="1049"/>
      <c r="FG28" s="1049"/>
      <c r="FH28" s="1049"/>
      <c r="FI28" s="1049"/>
      <c r="FJ28" s="1049"/>
      <c r="FK28" s="1049"/>
      <c r="FL28" s="1049"/>
      <c r="FM28" s="1049"/>
      <c r="FN28" s="1049"/>
      <c r="FO28" s="1049"/>
      <c r="FP28" s="1049"/>
      <c r="FQ28" s="1049"/>
      <c r="FR28" s="1049"/>
      <c r="FS28" s="1049"/>
      <c r="FT28" s="1049"/>
      <c r="FU28" s="1049"/>
      <c r="FV28" s="1049"/>
      <c r="FW28" s="1049"/>
      <c r="FX28" s="1049"/>
      <c r="FY28" s="1049"/>
      <c r="FZ28" s="1049"/>
      <c r="GA28" s="1049"/>
      <c r="GB28" s="1028"/>
    </row>
    <row r="29" spans="1:184" s="1007" customFormat="1" ht="24.95" customHeight="1">
      <c r="A29" s="1007">
        <v>17</v>
      </c>
      <c r="B29" s="1040">
        <f>B26+1</f>
        <v>18</v>
      </c>
      <c r="C29" s="1041">
        <v>127030</v>
      </c>
      <c r="D29" s="1056" t="s">
        <v>2086</v>
      </c>
      <c r="E29" s="1058" t="s">
        <v>2087</v>
      </c>
      <c r="F29" s="1055"/>
      <c r="G29" s="1053" t="s">
        <v>195</v>
      </c>
      <c r="H29" s="1046">
        <f t="shared" si="0"/>
        <v>69</v>
      </c>
      <c r="I29" s="1029"/>
      <c r="J29" s="1046">
        <f t="shared" si="1"/>
        <v>69</v>
      </c>
      <c r="K29" s="1048"/>
      <c r="L29" s="1048"/>
      <c r="M29" s="1049"/>
      <c r="N29" s="1049"/>
      <c r="O29" s="1049"/>
      <c r="P29" s="1049"/>
      <c r="Q29" s="1049">
        <v>1</v>
      </c>
      <c r="R29" s="1049">
        <v>1</v>
      </c>
      <c r="S29" s="1049">
        <v>1</v>
      </c>
      <c r="T29" s="1049">
        <v>1</v>
      </c>
      <c r="U29" s="1049">
        <v>1</v>
      </c>
      <c r="V29" s="1049">
        <v>1</v>
      </c>
      <c r="W29" s="1049">
        <v>1</v>
      </c>
      <c r="X29" s="1049">
        <v>1</v>
      </c>
      <c r="Y29" s="1049">
        <v>1</v>
      </c>
      <c r="Z29" s="1049">
        <v>1</v>
      </c>
      <c r="AA29" s="1049">
        <v>1</v>
      </c>
      <c r="AB29" s="1050">
        <v>1</v>
      </c>
      <c r="AC29" s="1049">
        <v>1</v>
      </c>
      <c r="AD29" s="1048">
        <v>1</v>
      </c>
      <c r="AE29" s="1049"/>
      <c r="AF29" s="1049"/>
      <c r="AG29" s="1049"/>
      <c r="AH29" s="1049"/>
      <c r="AI29" s="1049"/>
      <c r="AJ29" s="1049"/>
      <c r="AK29" s="1049">
        <v>1</v>
      </c>
      <c r="AL29" s="1049">
        <v>1</v>
      </c>
      <c r="AM29" s="1049">
        <v>1</v>
      </c>
      <c r="AN29" s="1049">
        <v>1</v>
      </c>
      <c r="AO29" s="1049">
        <v>1</v>
      </c>
      <c r="AP29" s="1049">
        <v>1</v>
      </c>
      <c r="AQ29" s="1049">
        <v>1</v>
      </c>
      <c r="AR29" s="1049">
        <v>1</v>
      </c>
      <c r="AS29" s="1049">
        <v>1</v>
      </c>
      <c r="AT29" s="1049">
        <v>1</v>
      </c>
      <c r="AU29" s="1049">
        <v>1</v>
      </c>
      <c r="AV29" s="1049">
        <v>1</v>
      </c>
      <c r="AW29" s="1049"/>
      <c r="AX29" s="1049"/>
      <c r="AY29" s="1049"/>
      <c r="AZ29" s="1049"/>
      <c r="BA29" s="1049">
        <v>1</v>
      </c>
      <c r="BB29" s="1049">
        <v>1</v>
      </c>
      <c r="BC29" s="1049">
        <v>1</v>
      </c>
      <c r="BD29" s="1049"/>
      <c r="BE29" s="1049">
        <v>1</v>
      </c>
      <c r="BF29" s="1049">
        <v>1</v>
      </c>
      <c r="BG29" s="1049">
        <v>1</v>
      </c>
      <c r="BH29" s="1049">
        <v>1</v>
      </c>
      <c r="BI29" s="1049">
        <v>1</v>
      </c>
      <c r="BJ29" s="1049">
        <v>1</v>
      </c>
      <c r="BK29" s="1049">
        <v>1</v>
      </c>
      <c r="BL29" s="1049">
        <v>1</v>
      </c>
      <c r="BM29" s="1049"/>
      <c r="BN29" s="1049"/>
      <c r="BO29" s="1049"/>
      <c r="BP29" s="1049"/>
      <c r="BQ29" s="1049"/>
      <c r="BR29" s="1049"/>
      <c r="BS29" s="1049"/>
      <c r="BT29" s="1049">
        <v>1</v>
      </c>
      <c r="BU29" s="1049">
        <v>1</v>
      </c>
      <c r="BV29" s="1049">
        <v>1</v>
      </c>
      <c r="BW29" s="1049">
        <v>1</v>
      </c>
      <c r="BX29" s="1049">
        <v>1</v>
      </c>
      <c r="BY29" s="1049">
        <v>1</v>
      </c>
      <c r="BZ29" s="1049">
        <v>1</v>
      </c>
      <c r="CA29" s="1049">
        <v>1</v>
      </c>
      <c r="CB29" s="1049">
        <v>1</v>
      </c>
      <c r="CC29" s="1049">
        <v>1</v>
      </c>
      <c r="CD29" s="1049">
        <v>1</v>
      </c>
      <c r="CE29" s="1049">
        <v>1</v>
      </c>
      <c r="CF29" s="1048"/>
      <c r="CG29" s="1048"/>
      <c r="CH29" s="1048">
        <v>1</v>
      </c>
      <c r="CI29" s="1048">
        <v>1</v>
      </c>
      <c r="CJ29" s="1048">
        <v>1</v>
      </c>
      <c r="CK29" s="1048">
        <v>1</v>
      </c>
      <c r="CL29" s="1048">
        <v>1</v>
      </c>
      <c r="CM29" s="1048">
        <v>1</v>
      </c>
      <c r="CN29" s="1048">
        <v>1</v>
      </c>
      <c r="CO29" s="1048">
        <v>1</v>
      </c>
      <c r="CP29" s="1048">
        <v>1</v>
      </c>
      <c r="CQ29" s="1048">
        <v>1</v>
      </c>
      <c r="CR29" s="1048"/>
      <c r="CS29" s="1048"/>
      <c r="CT29" s="1048"/>
      <c r="CU29" s="1048">
        <v>1</v>
      </c>
      <c r="CV29" s="1048">
        <v>1</v>
      </c>
      <c r="CW29" s="1048">
        <v>1</v>
      </c>
      <c r="CX29" s="1048">
        <v>1</v>
      </c>
      <c r="CY29" s="1048">
        <v>1</v>
      </c>
      <c r="CZ29" s="1048">
        <v>1</v>
      </c>
      <c r="DA29" s="1048">
        <v>1</v>
      </c>
      <c r="DB29" s="1048">
        <v>1</v>
      </c>
      <c r="DC29" s="1048">
        <v>1</v>
      </c>
      <c r="DD29" s="1048">
        <v>1</v>
      </c>
      <c r="DE29" s="1048"/>
      <c r="DF29" s="1048"/>
      <c r="DG29" s="1048"/>
      <c r="DH29" s="1048"/>
      <c r="DI29" s="1048"/>
      <c r="DJ29" s="1048"/>
      <c r="DK29" s="1048"/>
      <c r="DL29" s="1048"/>
      <c r="DM29" s="1048"/>
      <c r="DN29" s="1048"/>
      <c r="DO29" s="1048"/>
      <c r="DP29" s="1048"/>
      <c r="DQ29" s="1048"/>
      <c r="DR29" s="1048"/>
      <c r="DS29" s="1048"/>
      <c r="DT29" s="1048"/>
      <c r="DU29" s="1048"/>
      <c r="DV29" s="1048"/>
      <c r="DW29" s="1048"/>
      <c r="DX29" s="1048"/>
      <c r="DY29" s="1048"/>
      <c r="DZ29" s="1048"/>
      <c r="EA29" s="1048"/>
      <c r="EB29" s="1048"/>
      <c r="EC29" s="1048"/>
      <c r="ED29" s="1048"/>
      <c r="EE29" s="1048"/>
      <c r="EF29" s="1048"/>
      <c r="EG29" s="1049"/>
      <c r="EH29" s="1049"/>
      <c r="EI29" s="1049"/>
      <c r="EJ29" s="1049"/>
      <c r="EK29" s="1049"/>
      <c r="EL29" s="1049"/>
      <c r="EM29" s="1049"/>
      <c r="EN29" s="1048"/>
      <c r="EO29" s="1049"/>
      <c r="EP29" s="1049"/>
      <c r="EQ29" s="1049"/>
      <c r="ER29" s="1049"/>
      <c r="ES29" s="1049"/>
      <c r="ET29" s="1049"/>
      <c r="EU29" s="1049"/>
      <c r="EV29" s="1049"/>
      <c r="EW29" s="1049"/>
      <c r="EX29" s="1049"/>
      <c r="EY29" s="1049"/>
      <c r="EZ29" s="1049"/>
      <c r="FA29" s="1049"/>
      <c r="FB29" s="1049"/>
      <c r="FC29" s="1049"/>
      <c r="FD29" s="1049"/>
      <c r="FE29" s="1049"/>
      <c r="FF29" s="1049"/>
      <c r="FG29" s="1049"/>
      <c r="FH29" s="1049"/>
      <c r="FI29" s="1049"/>
      <c r="FJ29" s="1049"/>
      <c r="FK29" s="1049"/>
      <c r="FL29" s="1049"/>
      <c r="FM29" s="1049"/>
      <c r="FN29" s="1049"/>
      <c r="FO29" s="1049"/>
      <c r="FP29" s="1049"/>
      <c r="FQ29" s="1049"/>
      <c r="FR29" s="1049"/>
      <c r="FS29" s="1049"/>
      <c r="FT29" s="1049"/>
      <c r="FU29" s="1049"/>
      <c r="FV29" s="1049"/>
      <c r="FW29" s="1049"/>
      <c r="FX29" s="1049"/>
      <c r="FY29" s="1049"/>
      <c r="FZ29" s="1049"/>
      <c r="GA29" s="1049"/>
      <c r="GB29" s="1028"/>
    </row>
    <row r="30" spans="1:184" s="1007" customFormat="1" ht="24.95" customHeight="1">
      <c r="A30" s="1007">
        <v>17</v>
      </c>
      <c r="B30" s="1040">
        <f>B29+1</f>
        <v>19</v>
      </c>
      <c r="C30" s="1041">
        <v>127780</v>
      </c>
      <c r="D30" s="1056" t="s">
        <v>2872</v>
      </c>
      <c r="E30" s="1058" t="s">
        <v>3364</v>
      </c>
      <c r="F30" s="1055"/>
      <c r="G30" s="1053" t="s">
        <v>195</v>
      </c>
      <c r="H30" s="1046">
        <f t="shared" si="0"/>
        <v>8</v>
      </c>
      <c r="I30" s="1029"/>
      <c r="J30" s="1046">
        <f t="shared" si="1"/>
        <v>8</v>
      </c>
      <c r="K30" s="1048"/>
      <c r="L30" s="1048"/>
      <c r="M30" s="1049"/>
      <c r="N30" s="1049"/>
      <c r="O30" s="1049"/>
      <c r="P30" s="1049"/>
      <c r="Q30" s="1049"/>
      <c r="R30" s="1049"/>
      <c r="S30" s="1049"/>
      <c r="T30" s="1049"/>
      <c r="U30" s="1049"/>
      <c r="V30" s="1049"/>
      <c r="W30" s="1049"/>
      <c r="X30" s="1049"/>
      <c r="Y30" s="1049"/>
      <c r="Z30" s="1049"/>
      <c r="AA30" s="1049"/>
      <c r="AB30" s="1050"/>
      <c r="AC30" s="1049"/>
      <c r="AD30" s="1048"/>
      <c r="AE30" s="1049"/>
      <c r="AF30" s="1049"/>
      <c r="AG30" s="1049"/>
      <c r="AH30" s="1049"/>
      <c r="AI30" s="1049"/>
      <c r="AJ30" s="1049"/>
      <c r="AK30" s="1049"/>
      <c r="AL30" s="1049"/>
      <c r="AM30" s="1049"/>
      <c r="AN30" s="1049"/>
      <c r="AO30" s="1049"/>
      <c r="AP30" s="1049"/>
      <c r="AQ30" s="1049"/>
      <c r="AR30" s="1049"/>
      <c r="AS30" s="1049"/>
      <c r="AT30" s="1049"/>
      <c r="AU30" s="1049"/>
      <c r="AV30" s="1049"/>
      <c r="AW30" s="1049"/>
      <c r="AX30" s="1049"/>
      <c r="AY30" s="1049"/>
      <c r="AZ30" s="1049"/>
      <c r="BA30" s="1049"/>
      <c r="BB30" s="1049"/>
      <c r="BC30" s="1049"/>
      <c r="BD30" s="1049"/>
      <c r="BE30" s="1049"/>
      <c r="BF30" s="1049"/>
      <c r="BG30" s="1049"/>
      <c r="BH30" s="1049"/>
      <c r="BI30" s="1049"/>
      <c r="BJ30" s="1049"/>
      <c r="BK30" s="1049"/>
      <c r="BL30" s="1049"/>
      <c r="BM30" s="1049"/>
      <c r="BN30" s="1049"/>
      <c r="BO30" s="1049"/>
      <c r="BP30" s="1049"/>
      <c r="BQ30" s="1049"/>
      <c r="BR30" s="1049"/>
      <c r="BS30" s="1049"/>
      <c r="BT30" s="1049"/>
      <c r="BU30" s="1049"/>
      <c r="BV30" s="1049"/>
      <c r="BW30" s="1049"/>
      <c r="BX30" s="1049"/>
      <c r="BY30" s="1049"/>
      <c r="BZ30" s="1049"/>
      <c r="CA30" s="1049"/>
      <c r="CB30" s="1049"/>
      <c r="CC30" s="1049"/>
      <c r="CD30" s="1049"/>
      <c r="CE30" s="1049"/>
      <c r="CF30" s="1048"/>
      <c r="CG30" s="1048"/>
      <c r="CH30" s="1048"/>
      <c r="CI30" s="1048"/>
      <c r="CJ30" s="1048"/>
      <c r="CK30" s="1048"/>
      <c r="CL30" s="1048"/>
      <c r="CM30" s="1048"/>
      <c r="CN30" s="1048"/>
      <c r="CO30" s="1048"/>
      <c r="CP30" s="1048"/>
      <c r="CQ30" s="1048"/>
      <c r="CR30" s="1048"/>
      <c r="CS30" s="1048"/>
      <c r="CT30" s="1048"/>
      <c r="CU30" s="1048"/>
      <c r="CV30" s="1048"/>
      <c r="CW30" s="1048"/>
      <c r="CX30" s="1048"/>
      <c r="CY30" s="1048"/>
      <c r="CZ30" s="1048"/>
      <c r="DA30" s="1048"/>
      <c r="DB30" s="1048"/>
      <c r="DC30" s="1048"/>
      <c r="DD30" s="1048"/>
      <c r="DE30" s="1048"/>
      <c r="DF30" s="1048"/>
      <c r="DG30" s="1048"/>
      <c r="DH30" s="1048"/>
      <c r="DI30" s="1048"/>
      <c r="DJ30" s="1048"/>
      <c r="DK30" s="1048"/>
      <c r="DL30" s="1048"/>
      <c r="DM30" s="1048"/>
      <c r="DN30" s="1048"/>
      <c r="DO30" s="1048"/>
      <c r="DP30" s="1048"/>
      <c r="DQ30" s="1048"/>
      <c r="DR30" s="1048"/>
      <c r="DS30" s="1048"/>
      <c r="DT30" s="1048"/>
      <c r="DU30" s="1048"/>
      <c r="DV30" s="1048"/>
      <c r="DW30" s="1048"/>
      <c r="DX30" s="1048"/>
      <c r="DY30" s="1048">
        <v>1</v>
      </c>
      <c r="DZ30" s="1048">
        <v>1</v>
      </c>
      <c r="EA30" s="1048">
        <v>1</v>
      </c>
      <c r="EB30" s="1048">
        <v>1</v>
      </c>
      <c r="EC30" s="1048">
        <v>1</v>
      </c>
      <c r="ED30" s="1048">
        <v>1</v>
      </c>
      <c r="EE30" s="1048">
        <v>1</v>
      </c>
      <c r="EF30" s="1048">
        <v>1</v>
      </c>
      <c r="EG30" s="1049"/>
      <c r="EH30" s="1049"/>
      <c r="EI30" s="1049"/>
      <c r="EJ30" s="1049"/>
      <c r="EK30" s="1049"/>
      <c r="EL30" s="1049"/>
      <c r="EM30" s="1049"/>
      <c r="EN30" s="1048"/>
      <c r="EO30" s="1049"/>
      <c r="EP30" s="1049"/>
      <c r="EQ30" s="1049"/>
      <c r="ER30" s="1049"/>
      <c r="ES30" s="1049"/>
      <c r="ET30" s="1049"/>
      <c r="EU30" s="1049"/>
      <c r="EV30" s="1049"/>
      <c r="EW30" s="1049"/>
      <c r="EX30" s="1049"/>
      <c r="EY30" s="1049"/>
      <c r="EZ30" s="1049"/>
      <c r="FA30" s="1049"/>
      <c r="FB30" s="1049"/>
      <c r="FC30" s="1049"/>
      <c r="FD30" s="1049"/>
      <c r="FE30" s="1049"/>
      <c r="FF30" s="1049"/>
      <c r="FG30" s="1049"/>
      <c r="FH30" s="1049"/>
      <c r="FI30" s="1049"/>
      <c r="FJ30" s="1049"/>
      <c r="FK30" s="1049"/>
      <c r="FL30" s="1049"/>
      <c r="FM30" s="1049"/>
      <c r="FN30" s="1049"/>
      <c r="FO30" s="1049"/>
      <c r="FP30" s="1049"/>
      <c r="FQ30" s="1049"/>
      <c r="FR30" s="1049"/>
      <c r="FS30" s="1049"/>
      <c r="FT30" s="1049"/>
      <c r="FU30" s="1049"/>
      <c r="FV30" s="1049"/>
      <c r="FW30" s="1049"/>
      <c r="FX30" s="1049"/>
      <c r="FY30" s="1049"/>
      <c r="FZ30" s="1049"/>
      <c r="GA30" s="1049"/>
      <c r="GB30" s="1028"/>
    </row>
    <row r="31" spans="1:184" s="1007" customFormat="1" ht="24.95" customHeight="1">
      <c r="A31" s="1007">
        <v>18</v>
      </c>
      <c r="B31" s="1040">
        <f>B29+1</f>
        <v>19</v>
      </c>
      <c r="C31" s="1041">
        <v>126586</v>
      </c>
      <c r="D31" s="1056" t="s">
        <v>2088</v>
      </c>
      <c r="E31" s="1058" t="s">
        <v>2089</v>
      </c>
      <c r="F31" s="1055"/>
      <c r="G31" s="1053" t="s">
        <v>195</v>
      </c>
      <c r="H31" s="1046">
        <f t="shared" si="0"/>
        <v>3</v>
      </c>
      <c r="I31" s="1029"/>
      <c r="J31" s="1046">
        <f t="shared" si="1"/>
        <v>3</v>
      </c>
      <c r="K31" s="1048">
        <v>2</v>
      </c>
      <c r="L31" s="1048"/>
      <c r="M31" s="1049"/>
      <c r="N31" s="1049"/>
      <c r="O31" s="1049"/>
      <c r="P31" s="1049"/>
      <c r="Q31" s="1049"/>
      <c r="R31" s="1049"/>
      <c r="S31" s="1049"/>
      <c r="T31" s="1049"/>
      <c r="U31" s="1049"/>
      <c r="V31" s="1049"/>
      <c r="W31" s="1049"/>
      <c r="X31" s="1049"/>
      <c r="Y31" s="1049"/>
      <c r="Z31" s="1049"/>
      <c r="AA31" s="1049"/>
      <c r="AB31" s="1050"/>
      <c r="AC31" s="1049"/>
      <c r="AD31" s="1048"/>
      <c r="AE31" s="1049"/>
      <c r="AF31" s="1049"/>
      <c r="AG31" s="1049"/>
      <c r="AH31" s="1049"/>
      <c r="AI31" s="1049"/>
      <c r="AJ31" s="1049"/>
      <c r="AK31" s="1049"/>
      <c r="AL31" s="1049"/>
      <c r="AM31" s="1049"/>
      <c r="AN31" s="1049"/>
      <c r="AO31" s="1049"/>
      <c r="AP31" s="1049"/>
      <c r="AQ31" s="1049"/>
      <c r="AR31" s="1049"/>
      <c r="AS31" s="1049"/>
      <c r="AT31" s="1049"/>
      <c r="AU31" s="1049"/>
      <c r="AV31" s="1049"/>
      <c r="AW31" s="1049"/>
      <c r="AX31" s="1049"/>
      <c r="AY31" s="1049"/>
      <c r="AZ31" s="1049"/>
      <c r="BA31" s="1049"/>
      <c r="BB31" s="1049"/>
      <c r="BC31" s="1049"/>
      <c r="BD31" s="1049"/>
      <c r="BE31" s="1049"/>
      <c r="BF31" s="1049"/>
      <c r="BG31" s="1049"/>
      <c r="BH31" s="1049"/>
      <c r="BI31" s="1049"/>
      <c r="BJ31" s="1049"/>
      <c r="BK31" s="1049"/>
      <c r="BL31" s="1049"/>
      <c r="BM31" s="1049"/>
      <c r="BN31" s="1049"/>
      <c r="BO31" s="1049"/>
      <c r="BP31" s="1049"/>
      <c r="BQ31" s="1049"/>
      <c r="BR31" s="1049"/>
      <c r="BS31" s="1049"/>
      <c r="BT31" s="1049"/>
      <c r="BU31" s="1049"/>
      <c r="BV31" s="1049"/>
      <c r="BW31" s="1049"/>
      <c r="BX31" s="1049"/>
      <c r="BY31" s="1049"/>
      <c r="BZ31" s="1049"/>
      <c r="CA31" s="1048"/>
      <c r="CB31" s="1048"/>
      <c r="CC31" s="1048"/>
      <c r="CD31" s="1048"/>
      <c r="CE31" s="1048"/>
      <c r="CF31" s="1048"/>
      <c r="CG31" s="1048"/>
      <c r="CH31" s="1048"/>
      <c r="CI31" s="1048"/>
      <c r="CJ31" s="1048"/>
      <c r="CK31" s="1048"/>
      <c r="CL31" s="1048"/>
      <c r="CM31" s="1048"/>
      <c r="CN31" s="1048"/>
      <c r="CO31" s="1048"/>
      <c r="CP31" s="1048"/>
      <c r="CQ31" s="1048"/>
      <c r="CR31" s="1048"/>
      <c r="CS31" s="1048"/>
      <c r="CT31" s="1048"/>
      <c r="CU31" s="1048"/>
      <c r="CV31" s="1048"/>
      <c r="CW31" s="1048"/>
      <c r="CX31" s="1048"/>
      <c r="CY31" s="1048"/>
      <c r="CZ31" s="1048"/>
      <c r="DA31" s="1048"/>
      <c r="DB31" s="1048"/>
      <c r="DC31" s="1048"/>
      <c r="DD31" s="1048"/>
      <c r="DE31" s="1048"/>
      <c r="DF31" s="1048"/>
      <c r="DG31" s="1048"/>
      <c r="DH31" s="1048"/>
      <c r="DI31" s="1048"/>
      <c r="DJ31" s="1048"/>
      <c r="DK31" s="1048"/>
      <c r="DL31" s="1048"/>
      <c r="DM31" s="1048"/>
      <c r="DN31" s="1048"/>
      <c r="DO31" s="1048"/>
      <c r="DP31" s="1048"/>
      <c r="DQ31" s="1048"/>
      <c r="DR31" s="1048"/>
      <c r="DS31" s="1048"/>
      <c r="DT31" s="1048"/>
      <c r="DU31" s="1048"/>
      <c r="DV31" s="1048"/>
      <c r="DW31" s="1048"/>
      <c r="DX31" s="1048"/>
      <c r="DY31" s="1048"/>
      <c r="DZ31" s="1048"/>
      <c r="EA31" s="1048"/>
      <c r="EB31" s="1048"/>
      <c r="EC31" s="1048"/>
      <c r="ED31" s="1048"/>
      <c r="EE31" s="1048"/>
      <c r="EF31" s="1048"/>
      <c r="EG31" s="1049"/>
      <c r="EH31" s="1049"/>
      <c r="EI31" s="1049"/>
      <c r="EJ31" s="1049"/>
      <c r="EK31" s="1049"/>
      <c r="EL31" s="1049"/>
      <c r="EM31" s="1049"/>
      <c r="EN31" s="1048"/>
      <c r="EO31" s="1049"/>
      <c r="EP31" s="1049"/>
      <c r="EQ31" s="1049"/>
      <c r="ER31" s="1049"/>
      <c r="ES31" s="1049"/>
      <c r="ET31" s="1049"/>
      <c r="EU31" s="1049"/>
      <c r="EV31" s="1049"/>
      <c r="EW31" s="1049"/>
      <c r="EX31" s="1049"/>
      <c r="EY31" s="1049"/>
      <c r="EZ31" s="1049"/>
      <c r="FA31" s="1049"/>
      <c r="FB31" s="1049"/>
      <c r="FC31" s="1049"/>
      <c r="FD31" s="1049"/>
      <c r="FE31" s="1049"/>
      <c r="FF31" s="1049"/>
      <c r="FG31" s="1049"/>
      <c r="FH31" s="1049"/>
      <c r="FI31" s="1049"/>
      <c r="FJ31" s="1049"/>
      <c r="FK31" s="1049"/>
      <c r="FL31" s="1049"/>
      <c r="FM31" s="1049"/>
      <c r="FN31" s="1049"/>
      <c r="FO31" s="1049"/>
      <c r="FP31" s="1049"/>
      <c r="FQ31" s="1049"/>
      <c r="FR31" s="1049"/>
      <c r="FS31" s="1049"/>
      <c r="FT31" s="1049"/>
      <c r="FU31" s="1049"/>
      <c r="FV31" s="1049"/>
      <c r="FW31" s="1049"/>
      <c r="FX31" s="1049"/>
      <c r="FY31" s="1049"/>
      <c r="FZ31" s="1049"/>
      <c r="GA31" s="1049">
        <v>1</v>
      </c>
      <c r="GB31" s="1028"/>
    </row>
    <row r="32" spans="1:184" s="1007" customFormat="1" ht="24.95" hidden="1" customHeight="1">
      <c r="A32" s="1007">
        <v>19</v>
      </c>
      <c r="B32" s="1040">
        <f t="shared" si="2"/>
        <v>20</v>
      </c>
      <c r="C32" s="1041">
        <v>126587</v>
      </c>
      <c r="D32" s="1056" t="s">
        <v>2090</v>
      </c>
      <c r="E32" s="1058" t="s">
        <v>2091</v>
      </c>
      <c r="F32" s="1055"/>
      <c r="G32" s="1053" t="s">
        <v>195</v>
      </c>
      <c r="H32" s="1046">
        <f t="shared" si="0"/>
        <v>0</v>
      </c>
      <c r="I32" s="1029"/>
      <c r="J32" s="1046">
        <f t="shared" si="1"/>
        <v>0</v>
      </c>
      <c r="K32" s="1048"/>
      <c r="L32" s="1048"/>
      <c r="M32" s="1049"/>
      <c r="N32" s="1049"/>
      <c r="O32" s="1049"/>
      <c r="P32" s="1049"/>
      <c r="Q32" s="1049"/>
      <c r="R32" s="1049"/>
      <c r="S32" s="1049"/>
      <c r="T32" s="1049"/>
      <c r="U32" s="1049"/>
      <c r="V32" s="1049"/>
      <c r="W32" s="1049"/>
      <c r="X32" s="1049"/>
      <c r="Y32" s="1049"/>
      <c r="Z32" s="1049"/>
      <c r="AA32" s="1049"/>
      <c r="AB32" s="1050"/>
      <c r="AC32" s="1049"/>
      <c r="AD32" s="1048"/>
      <c r="AE32" s="1049"/>
      <c r="AF32" s="1049"/>
      <c r="AG32" s="1049"/>
      <c r="AH32" s="1049"/>
      <c r="AI32" s="1049"/>
      <c r="AJ32" s="1049"/>
      <c r="AK32" s="1049"/>
      <c r="AL32" s="1049"/>
      <c r="AM32" s="1049"/>
      <c r="AN32" s="1049"/>
      <c r="AO32" s="1049"/>
      <c r="AP32" s="1049"/>
      <c r="AQ32" s="1049"/>
      <c r="AR32" s="1049"/>
      <c r="AS32" s="1049"/>
      <c r="AT32" s="1049"/>
      <c r="AU32" s="1049"/>
      <c r="AV32" s="1049"/>
      <c r="AW32" s="1049"/>
      <c r="AX32" s="1049"/>
      <c r="AY32" s="1049"/>
      <c r="AZ32" s="1049"/>
      <c r="BA32" s="1049"/>
      <c r="BB32" s="1049"/>
      <c r="BC32" s="1049"/>
      <c r="BD32" s="1049"/>
      <c r="BE32" s="1049"/>
      <c r="BF32" s="1049"/>
      <c r="BG32" s="1049"/>
      <c r="BH32" s="1049"/>
      <c r="BI32" s="1049"/>
      <c r="BJ32" s="1049"/>
      <c r="BK32" s="1049"/>
      <c r="BL32" s="1049"/>
      <c r="BM32" s="1049"/>
      <c r="BN32" s="1049"/>
      <c r="BO32" s="1049"/>
      <c r="BP32" s="1049"/>
      <c r="BQ32" s="1049"/>
      <c r="BR32" s="1049"/>
      <c r="BS32" s="1049"/>
      <c r="BT32" s="1049"/>
      <c r="BU32" s="1049"/>
      <c r="BV32" s="1049"/>
      <c r="BW32" s="1049"/>
      <c r="BX32" s="1049"/>
      <c r="BY32" s="1049"/>
      <c r="BZ32" s="1049"/>
      <c r="CA32" s="1048"/>
      <c r="CB32" s="1048"/>
      <c r="CC32" s="1048"/>
      <c r="CD32" s="1048"/>
      <c r="CE32" s="1048"/>
      <c r="CF32" s="1048"/>
      <c r="CG32" s="1048"/>
      <c r="CH32" s="1048"/>
      <c r="CI32" s="1048"/>
      <c r="CJ32" s="1048"/>
      <c r="CK32" s="1048"/>
      <c r="CL32" s="1048"/>
      <c r="CM32" s="1048"/>
      <c r="CN32" s="1048"/>
      <c r="CO32" s="1048"/>
      <c r="CP32" s="1048"/>
      <c r="CQ32" s="1048"/>
      <c r="CR32" s="1048"/>
      <c r="CS32" s="1048"/>
      <c r="CT32" s="1048"/>
      <c r="CU32" s="1048"/>
      <c r="CV32" s="1048"/>
      <c r="CW32" s="1048"/>
      <c r="CX32" s="1048"/>
      <c r="CY32" s="1048"/>
      <c r="CZ32" s="1048"/>
      <c r="DA32" s="1048"/>
      <c r="DB32" s="1048"/>
      <c r="DC32" s="1048"/>
      <c r="DD32" s="1048"/>
      <c r="DE32" s="1048"/>
      <c r="DF32" s="1048"/>
      <c r="DG32" s="1048"/>
      <c r="DH32" s="1048"/>
      <c r="DI32" s="1048"/>
      <c r="DJ32" s="1048"/>
      <c r="DK32" s="1048"/>
      <c r="DL32" s="1048"/>
      <c r="DM32" s="1048"/>
      <c r="DN32" s="1048"/>
      <c r="DO32" s="1048"/>
      <c r="DP32" s="1048"/>
      <c r="DQ32" s="1048"/>
      <c r="DR32" s="1048"/>
      <c r="DS32" s="1048"/>
      <c r="DT32" s="1048"/>
      <c r="DU32" s="1048"/>
      <c r="DV32" s="1048"/>
      <c r="DW32" s="1048"/>
      <c r="DX32" s="1048"/>
      <c r="DY32" s="1048"/>
      <c r="DZ32" s="1048"/>
      <c r="EA32" s="1048"/>
      <c r="EB32" s="1048"/>
      <c r="EC32" s="1048"/>
      <c r="ED32" s="1048"/>
      <c r="EE32" s="1048"/>
      <c r="EF32" s="1048"/>
      <c r="EG32" s="1049"/>
      <c r="EH32" s="1049"/>
      <c r="EI32" s="1049"/>
      <c r="EJ32" s="1049"/>
      <c r="EK32" s="1049"/>
      <c r="EL32" s="1049"/>
      <c r="EM32" s="1049"/>
      <c r="EN32" s="1048"/>
      <c r="EO32" s="1049"/>
      <c r="EP32" s="1049"/>
      <c r="EQ32" s="1049"/>
      <c r="ER32" s="1049"/>
      <c r="ES32" s="1049"/>
      <c r="ET32" s="1049"/>
      <c r="EU32" s="1049"/>
      <c r="EV32" s="1049"/>
      <c r="EW32" s="1049"/>
      <c r="EX32" s="1049"/>
      <c r="EY32" s="1049"/>
      <c r="EZ32" s="1049"/>
      <c r="FA32" s="1049"/>
      <c r="FB32" s="1049"/>
      <c r="FC32" s="1049"/>
      <c r="FD32" s="1049"/>
      <c r="FE32" s="1049"/>
      <c r="FF32" s="1049"/>
      <c r="FG32" s="1049"/>
      <c r="FH32" s="1049"/>
      <c r="FI32" s="1049"/>
      <c r="FJ32" s="1049"/>
      <c r="FK32" s="1049"/>
      <c r="FL32" s="1049"/>
      <c r="FM32" s="1049"/>
      <c r="FN32" s="1049"/>
      <c r="FO32" s="1049"/>
      <c r="FP32" s="1049"/>
      <c r="FQ32" s="1049"/>
      <c r="FR32" s="1049"/>
      <c r="FS32" s="1049"/>
      <c r="FT32" s="1049"/>
      <c r="FU32" s="1049"/>
      <c r="FV32" s="1049"/>
      <c r="FW32" s="1049"/>
      <c r="FX32" s="1049"/>
      <c r="FY32" s="1049"/>
      <c r="FZ32" s="1049"/>
      <c r="GA32" s="1049"/>
      <c r="GB32" s="1028"/>
    </row>
    <row r="33" spans="1:184" s="1007" customFormat="1" ht="24.95" customHeight="1">
      <c r="B33" s="1040">
        <f t="shared" si="2"/>
        <v>21</v>
      </c>
      <c r="C33" s="1041">
        <v>126588</v>
      </c>
      <c r="D33" s="1056" t="s">
        <v>2092</v>
      </c>
      <c r="E33" s="1058" t="s">
        <v>2093</v>
      </c>
      <c r="F33" s="1044"/>
      <c r="G33" s="1053" t="s">
        <v>337</v>
      </c>
      <c r="H33" s="1046">
        <f t="shared" si="0"/>
        <v>128</v>
      </c>
      <c r="I33" s="1029"/>
      <c r="J33" s="1046">
        <f t="shared" si="1"/>
        <v>128</v>
      </c>
      <c r="K33" s="1048"/>
      <c r="L33" s="1048">
        <v>1</v>
      </c>
      <c r="M33" s="1049">
        <v>1</v>
      </c>
      <c r="N33" s="1049">
        <v>1</v>
      </c>
      <c r="O33" s="1049">
        <v>1</v>
      </c>
      <c r="P33" s="1049">
        <v>1</v>
      </c>
      <c r="Q33" s="1049">
        <v>1</v>
      </c>
      <c r="R33" s="1049">
        <v>1</v>
      </c>
      <c r="S33" s="1049">
        <v>1</v>
      </c>
      <c r="T33" s="1049">
        <v>1</v>
      </c>
      <c r="U33" s="1049">
        <v>1</v>
      </c>
      <c r="V33" s="1049">
        <v>1</v>
      </c>
      <c r="W33" s="1049">
        <v>1</v>
      </c>
      <c r="X33" s="1049">
        <v>1</v>
      </c>
      <c r="Y33" s="1049">
        <v>1</v>
      </c>
      <c r="Z33" s="1049">
        <v>1</v>
      </c>
      <c r="AA33" s="1049">
        <v>1</v>
      </c>
      <c r="AB33" s="1050">
        <v>1</v>
      </c>
      <c r="AC33" s="1049">
        <v>1</v>
      </c>
      <c r="AD33" s="1048">
        <v>1</v>
      </c>
      <c r="AE33" s="1049">
        <v>1</v>
      </c>
      <c r="AF33" s="1049">
        <v>1</v>
      </c>
      <c r="AG33" s="1049">
        <v>1</v>
      </c>
      <c r="AH33" s="1049">
        <v>1</v>
      </c>
      <c r="AI33" s="1049">
        <v>1</v>
      </c>
      <c r="AJ33" s="1049">
        <v>1</v>
      </c>
      <c r="AK33" s="1049">
        <v>1</v>
      </c>
      <c r="AL33" s="1049">
        <v>1</v>
      </c>
      <c r="AM33" s="1049">
        <v>1</v>
      </c>
      <c r="AN33" s="1049">
        <v>1</v>
      </c>
      <c r="AO33" s="1049">
        <v>1</v>
      </c>
      <c r="AP33" s="1049">
        <v>1</v>
      </c>
      <c r="AQ33" s="1049">
        <v>1</v>
      </c>
      <c r="AR33" s="1049">
        <v>1</v>
      </c>
      <c r="AS33" s="1049">
        <v>1</v>
      </c>
      <c r="AT33" s="1049">
        <v>1</v>
      </c>
      <c r="AU33" s="1049">
        <v>1</v>
      </c>
      <c r="AV33" s="1049">
        <v>1</v>
      </c>
      <c r="AW33" s="1049">
        <v>1</v>
      </c>
      <c r="AX33" s="1049">
        <v>1</v>
      </c>
      <c r="AY33" s="1049">
        <v>1</v>
      </c>
      <c r="AZ33" s="1049">
        <v>1</v>
      </c>
      <c r="BA33" s="1049">
        <v>1</v>
      </c>
      <c r="BB33" s="1049">
        <v>1</v>
      </c>
      <c r="BC33" s="1049">
        <v>1</v>
      </c>
      <c r="BD33" s="1049">
        <v>1</v>
      </c>
      <c r="BE33" s="1049">
        <v>1</v>
      </c>
      <c r="BF33" s="1049">
        <v>1</v>
      </c>
      <c r="BG33" s="1049">
        <v>1</v>
      </c>
      <c r="BH33" s="1049">
        <v>1</v>
      </c>
      <c r="BI33" s="1049">
        <v>1</v>
      </c>
      <c r="BJ33" s="1049">
        <v>1</v>
      </c>
      <c r="BK33" s="1049">
        <v>1</v>
      </c>
      <c r="BL33" s="1049">
        <v>1</v>
      </c>
      <c r="BM33" s="1049">
        <v>1</v>
      </c>
      <c r="BN33" s="1049">
        <v>1</v>
      </c>
      <c r="BO33" s="1049">
        <v>1</v>
      </c>
      <c r="BP33" s="1049">
        <v>1</v>
      </c>
      <c r="BQ33" s="1049">
        <v>1</v>
      </c>
      <c r="BR33" s="1049">
        <v>1</v>
      </c>
      <c r="BS33" s="1049">
        <v>1</v>
      </c>
      <c r="BT33" s="1049">
        <v>1</v>
      </c>
      <c r="BU33" s="1049">
        <v>1</v>
      </c>
      <c r="BV33" s="1049">
        <v>1</v>
      </c>
      <c r="BW33" s="1049">
        <v>1</v>
      </c>
      <c r="BX33" s="1049">
        <v>1</v>
      </c>
      <c r="BY33" s="1049">
        <v>1</v>
      </c>
      <c r="BZ33" s="1049">
        <v>1</v>
      </c>
      <c r="CA33" s="1048">
        <v>1</v>
      </c>
      <c r="CB33" s="1048">
        <v>1</v>
      </c>
      <c r="CC33" s="1048">
        <v>1</v>
      </c>
      <c r="CD33" s="1048">
        <v>1</v>
      </c>
      <c r="CE33" s="1048">
        <v>1</v>
      </c>
      <c r="CF33" s="1048">
        <v>1</v>
      </c>
      <c r="CG33" s="1048">
        <v>1</v>
      </c>
      <c r="CH33" s="1048">
        <v>1</v>
      </c>
      <c r="CI33" s="1048">
        <v>1</v>
      </c>
      <c r="CJ33" s="1048">
        <v>1</v>
      </c>
      <c r="CK33" s="1048">
        <v>1</v>
      </c>
      <c r="CL33" s="1048">
        <v>1</v>
      </c>
      <c r="CM33" s="1048">
        <v>1</v>
      </c>
      <c r="CN33" s="1048">
        <v>1</v>
      </c>
      <c r="CO33" s="1048">
        <v>1</v>
      </c>
      <c r="CP33" s="1048">
        <v>1</v>
      </c>
      <c r="CQ33" s="1048">
        <v>1</v>
      </c>
      <c r="CR33" s="1048">
        <v>1</v>
      </c>
      <c r="CS33" s="1048">
        <v>1</v>
      </c>
      <c r="CT33" s="1048">
        <v>1</v>
      </c>
      <c r="CU33" s="1048">
        <v>1</v>
      </c>
      <c r="CV33" s="1048">
        <v>1</v>
      </c>
      <c r="CW33" s="1048">
        <v>1</v>
      </c>
      <c r="CX33" s="1048">
        <v>1</v>
      </c>
      <c r="CY33" s="1048">
        <v>1</v>
      </c>
      <c r="CZ33" s="1048">
        <v>1</v>
      </c>
      <c r="DA33" s="1048">
        <v>1</v>
      </c>
      <c r="DB33" s="1048">
        <v>1</v>
      </c>
      <c r="DC33" s="1048">
        <v>1</v>
      </c>
      <c r="DD33" s="1048">
        <v>1</v>
      </c>
      <c r="DE33" s="1048">
        <v>1</v>
      </c>
      <c r="DF33" s="1048">
        <v>1</v>
      </c>
      <c r="DG33" s="1048">
        <v>1</v>
      </c>
      <c r="DH33" s="1048">
        <v>1</v>
      </c>
      <c r="DI33" s="1048">
        <v>1</v>
      </c>
      <c r="DJ33" s="1048">
        <v>1</v>
      </c>
      <c r="DK33" s="1048">
        <v>1</v>
      </c>
      <c r="DL33" s="1048">
        <v>1</v>
      </c>
      <c r="DM33" s="1048">
        <v>1</v>
      </c>
      <c r="DN33" s="1048">
        <v>1</v>
      </c>
      <c r="DO33" s="1048">
        <v>1</v>
      </c>
      <c r="DP33" s="1048">
        <v>1</v>
      </c>
      <c r="DQ33" s="1048">
        <v>1</v>
      </c>
      <c r="DR33" s="1048">
        <v>1</v>
      </c>
      <c r="DS33" s="1048">
        <v>1</v>
      </c>
      <c r="DT33" s="1048">
        <v>1</v>
      </c>
      <c r="DU33" s="1048">
        <v>1</v>
      </c>
      <c r="DV33" s="1048">
        <v>1</v>
      </c>
      <c r="DW33" s="1048">
        <v>2</v>
      </c>
      <c r="DX33" s="1048">
        <v>2</v>
      </c>
      <c r="DY33" s="1048">
        <v>1</v>
      </c>
      <c r="DZ33" s="1048">
        <v>1</v>
      </c>
      <c r="EA33" s="1048">
        <v>1</v>
      </c>
      <c r="EB33" s="1048">
        <v>1</v>
      </c>
      <c r="EC33" s="1048">
        <v>1</v>
      </c>
      <c r="ED33" s="1048">
        <v>1</v>
      </c>
      <c r="EE33" s="1048">
        <v>1</v>
      </c>
      <c r="EF33" s="1048">
        <v>1</v>
      </c>
      <c r="EG33" s="1049"/>
      <c r="EH33" s="1049"/>
      <c r="EI33" s="1049"/>
      <c r="EJ33" s="1049"/>
      <c r="EK33" s="1049"/>
      <c r="EL33" s="1049"/>
      <c r="EM33" s="1049"/>
      <c r="EN33" s="1048"/>
      <c r="EO33" s="1049"/>
      <c r="EP33" s="1049"/>
      <c r="EQ33" s="1049"/>
      <c r="ER33" s="1049"/>
      <c r="ES33" s="1049"/>
      <c r="ET33" s="1049"/>
      <c r="EU33" s="1049"/>
      <c r="EV33" s="1049"/>
      <c r="EW33" s="1049"/>
      <c r="EX33" s="1049"/>
      <c r="EY33" s="1049"/>
      <c r="EZ33" s="1049"/>
      <c r="FA33" s="1049"/>
      <c r="FB33" s="1049"/>
      <c r="FC33" s="1049"/>
      <c r="FD33" s="1049"/>
      <c r="FE33" s="1049"/>
      <c r="FF33" s="1049"/>
      <c r="FG33" s="1049"/>
      <c r="FH33" s="1049"/>
      <c r="FI33" s="1049"/>
      <c r="FJ33" s="1049"/>
      <c r="FK33" s="1049"/>
      <c r="FL33" s="1049"/>
      <c r="FM33" s="1049"/>
      <c r="FN33" s="1049"/>
      <c r="FO33" s="1049"/>
      <c r="FP33" s="1049"/>
      <c r="FQ33" s="1049"/>
      <c r="FR33" s="1049"/>
      <c r="FS33" s="1049"/>
      <c r="FT33" s="1049"/>
      <c r="FU33" s="1049"/>
      <c r="FV33" s="1049"/>
      <c r="FW33" s="1049"/>
      <c r="FX33" s="1049"/>
      <c r="FY33" s="1049"/>
      <c r="FZ33" s="1049"/>
      <c r="GA33" s="1049">
        <v>1</v>
      </c>
      <c r="GB33" s="1028"/>
    </row>
    <row r="34" spans="1:184" s="1007" customFormat="1" ht="24.95" customHeight="1">
      <c r="A34" s="1007">
        <v>20</v>
      </c>
      <c r="B34" s="1040">
        <f t="shared" si="2"/>
        <v>22</v>
      </c>
      <c r="C34" s="1041">
        <v>126589</v>
      </c>
      <c r="D34" s="1056" t="s">
        <v>2094</v>
      </c>
      <c r="E34" s="1058" t="s">
        <v>2095</v>
      </c>
      <c r="F34" s="1055"/>
      <c r="G34" s="1053" t="s">
        <v>195</v>
      </c>
      <c r="H34" s="1046">
        <f t="shared" si="0"/>
        <v>1</v>
      </c>
      <c r="I34" s="1029"/>
      <c r="J34" s="1046">
        <f t="shared" si="1"/>
        <v>1</v>
      </c>
      <c r="K34" s="1048"/>
      <c r="L34" s="1048"/>
      <c r="M34" s="1049"/>
      <c r="N34" s="1049"/>
      <c r="O34" s="1049"/>
      <c r="P34" s="1049"/>
      <c r="Q34" s="1049"/>
      <c r="R34" s="1049"/>
      <c r="S34" s="1049"/>
      <c r="T34" s="1049"/>
      <c r="U34" s="1049"/>
      <c r="V34" s="1049"/>
      <c r="W34" s="1049"/>
      <c r="X34" s="1049"/>
      <c r="Y34" s="1049"/>
      <c r="Z34" s="1049"/>
      <c r="AA34" s="1049"/>
      <c r="AB34" s="1050"/>
      <c r="AC34" s="1049"/>
      <c r="AD34" s="1048"/>
      <c r="AE34" s="1049"/>
      <c r="AF34" s="1049"/>
      <c r="AG34" s="1049"/>
      <c r="AH34" s="1049"/>
      <c r="AI34" s="1049"/>
      <c r="AJ34" s="1049"/>
      <c r="AK34" s="1049"/>
      <c r="AL34" s="1049"/>
      <c r="AM34" s="1049"/>
      <c r="AN34" s="1049"/>
      <c r="AO34" s="1049"/>
      <c r="AP34" s="1049"/>
      <c r="AQ34" s="1049"/>
      <c r="AR34" s="1049"/>
      <c r="AS34" s="1049"/>
      <c r="AT34" s="1049"/>
      <c r="AU34" s="1049"/>
      <c r="AV34" s="1049"/>
      <c r="AW34" s="1049"/>
      <c r="AX34" s="1049"/>
      <c r="AY34" s="1049"/>
      <c r="AZ34" s="1049"/>
      <c r="BA34" s="1049"/>
      <c r="BB34" s="1049"/>
      <c r="BC34" s="1049"/>
      <c r="BD34" s="1049"/>
      <c r="BE34" s="1049"/>
      <c r="BF34" s="1049"/>
      <c r="BG34" s="1049"/>
      <c r="BH34" s="1049"/>
      <c r="BI34" s="1049"/>
      <c r="BJ34" s="1049"/>
      <c r="BK34" s="1049"/>
      <c r="BL34" s="1049"/>
      <c r="BM34" s="1049"/>
      <c r="BN34" s="1049"/>
      <c r="BO34" s="1049"/>
      <c r="BP34" s="1049"/>
      <c r="BQ34" s="1049"/>
      <c r="BR34" s="1048"/>
      <c r="BS34" s="1048"/>
      <c r="BT34" s="1048"/>
      <c r="BU34" s="1048"/>
      <c r="BV34" s="1048"/>
      <c r="BW34" s="1048"/>
      <c r="BX34" s="1048"/>
      <c r="BY34" s="1048"/>
      <c r="BZ34" s="1048"/>
      <c r="CA34" s="1048"/>
      <c r="CB34" s="1048"/>
      <c r="CC34" s="1048"/>
      <c r="CD34" s="1048"/>
      <c r="CE34" s="1048"/>
      <c r="CF34" s="1048"/>
      <c r="CG34" s="1048"/>
      <c r="CH34" s="1048"/>
      <c r="CI34" s="1048"/>
      <c r="CJ34" s="1048"/>
      <c r="CK34" s="1048"/>
      <c r="CL34" s="1048"/>
      <c r="CM34" s="1048"/>
      <c r="CN34" s="1048"/>
      <c r="CO34" s="1048"/>
      <c r="CP34" s="1048"/>
      <c r="CQ34" s="1048"/>
      <c r="CR34" s="1048"/>
      <c r="CS34" s="1048"/>
      <c r="CT34" s="1048"/>
      <c r="CU34" s="1048"/>
      <c r="CV34" s="1048"/>
      <c r="CW34" s="1048"/>
      <c r="CX34" s="1048"/>
      <c r="CY34" s="1048"/>
      <c r="CZ34" s="1048"/>
      <c r="DA34" s="1048"/>
      <c r="DB34" s="1048"/>
      <c r="DC34" s="1048"/>
      <c r="DD34" s="1048"/>
      <c r="DE34" s="1048"/>
      <c r="DF34" s="1048"/>
      <c r="DG34" s="1048"/>
      <c r="DH34" s="1048"/>
      <c r="DI34" s="1048"/>
      <c r="DJ34" s="1048"/>
      <c r="DK34" s="1048"/>
      <c r="DL34" s="1048"/>
      <c r="DM34" s="1048"/>
      <c r="DN34" s="1048"/>
      <c r="DO34" s="1048"/>
      <c r="DP34" s="1048"/>
      <c r="DQ34" s="1048"/>
      <c r="DR34" s="1048"/>
      <c r="DS34" s="1048"/>
      <c r="DT34" s="1048"/>
      <c r="DU34" s="1048"/>
      <c r="DV34" s="1048"/>
      <c r="DW34" s="1048"/>
      <c r="DX34" s="1048"/>
      <c r="DY34" s="1048"/>
      <c r="DZ34" s="1048"/>
      <c r="EA34" s="1048"/>
      <c r="EB34" s="1048"/>
      <c r="EC34" s="1048"/>
      <c r="ED34" s="1048"/>
      <c r="EE34" s="1048"/>
      <c r="EF34" s="1048"/>
      <c r="EG34" s="1049">
        <v>1</v>
      </c>
      <c r="EH34" s="1049"/>
      <c r="EI34" s="1049"/>
      <c r="EJ34" s="1049"/>
      <c r="EK34" s="1049"/>
      <c r="EL34" s="1049"/>
      <c r="EM34" s="1049"/>
      <c r="EN34" s="1048"/>
      <c r="EO34" s="1049"/>
      <c r="EP34" s="1049"/>
      <c r="EQ34" s="1049"/>
      <c r="ER34" s="1049"/>
      <c r="ES34" s="1049"/>
      <c r="ET34" s="1049"/>
      <c r="EU34" s="1049"/>
      <c r="EV34" s="1049"/>
      <c r="EW34" s="1049"/>
      <c r="EX34" s="1049"/>
      <c r="EY34" s="1049"/>
      <c r="EZ34" s="1049"/>
      <c r="FA34" s="1049"/>
      <c r="FB34" s="1049"/>
      <c r="FC34" s="1049"/>
      <c r="FD34" s="1049"/>
      <c r="FE34" s="1049"/>
      <c r="FF34" s="1049"/>
      <c r="FG34" s="1049"/>
      <c r="FH34" s="1049"/>
      <c r="FI34" s="1049"/>
      <c r="FJ34" s="1049"/>
      <c r="FK34" s="1049"/>
      <c r="FL34" s="1049"/>
      <c r="FM34" s="1049"/>
      <c r="FN34" s="1049"/>
      <c r="FO34" s="1049"/>
      <c r="FP34" s="1049"/>
      <c r="FQ34" s="1049"/>
      <c r="FR34" s="1049"/>
      <c r="FS34" s="1049"/>
      <c r="FT34" s="1049"/>
      <c r="FU34" s="1049"/>
      <c r="FV34" s="1049"/>
      <c r="FW34" s="1049"/>
      <c r="FX34" s="1049"/>
      <c r="FY34" s="1049"/>
      <c r="FZ34" s="1049"/>
      <c r="GA34" s="1049"/>
      <c r="GB34" s="1028"/>
    </row>
    <row r="35" spans="1:184" s="1007" customFormat="1" ht="24.95" customHeight="1">
      <c r="A35" s="1007">
        <v>20</v>
      </c>
      <c r="B35" s="1040">
        <f>B34+1</f>
        <v>23</v>
      </c>
      <c r="C35" s="1041">
        <v>128131</v>
      </c>
      <c r="D35" s="1056" t="s">
        <v>2419</v>
      </c>
      <c r="E35" s="1058" t="s">
        <v>2096</v>
      </c>
      <c r="F35" s="1055"/>
      <c r="G35" s="1053" t="s">
        <v>195</v>
      </c>
      <c r="H35" s="1046">
        <f t="shared" si="0"/>
        <v>6</v>
      </c>
      <c r="I35" s="1029"/>
      <c r="J35" s="1046">
        <f t="shared" si="1"/>
        <v>6</v>
      </c>
      <c r="K35" s="1048"/>
      <c r="L35" s="1048"/>
      <c r="M35" s="1049"/>
      <c r="N35" s="1049"/>
      <c r="O35" s="1049"/>
      <c r="P35" s="1049"/>
      <c r="Q35" s="1049"/>
      <c r="R35" s="1049"/>
      <c r="S35" s="1049"/>
      <c r="T35" s="1049"/>
      <c r="U35" s="1049"/>
      <c r="V35" s="1049"/>
      <c r="W35" s="1049"/>
      <c r="X35" s="1049"/>
      <c r="Y35" s="1049"/>
      <c r="Z35" s="1049"/>
      <c r="AA35" s="1049"/>
      <c r="AB35" s="1050"/>
      <c r="AC35" s="1049"/>
      <c r="AD35" s="1048"/>
      <c r="AE35" s="1049"/>
      <c r="AF35" s="1049"/>
      <c r="AG35" s="1049"/>
      <c r="AH35" s="1049"/>
      <c r="AI35" s="1049"/>
      <c r="AJ35" s="1049"/>
      <c r="AK35" s="1049"/>
      <c r="AL35" s="1049"/>
      <c r="AM35" s="1049"/>
      <c r="AN35" s="1049"/>
      <c r="AO35" s="1049"/>
      <c r="AP35" s="1049"/>
      <c r="AQ35" s="1049"/>
      <c r="AR35" s="1049"/>
      <c r="AS35" s="1049"/>
      <c r="AT35" s="1049"/>
      <c r="AU35" s="1049"/>
      <c r="AV35" s="1049"/>
      <c r="AW35" s="1049"/>
      <c r="AX35" s="1049"/>
      <c r="AY35" s="1049"/>
      <c r="AZ35" s="1049"/>
      <c r="BA35" s="1049"/>
      <c r="BB35" s="1049"/>
      <c r="BC35" s="1049"/>
      <c r="BD35" s="1049"/>
      <c r="BE35" s="1049"/>
      <c r="BF35" s="1049"/>
      <c r="BG35" s="1049"/>
      <c r="BH35" s="1049"/>
      <c r="BI35" s="1049"/>
      <c r="BJ35" s="1049"/>
      <c r="BK35" s="1049"/>
      <c r="BL35" s="1049"/>
      <c r="BM35" s="1049"/>
      <c r="BN35" s="1049"/>
      <c r="BO35" s="1049"/>
      <c r="BP35" s="1049"/>
      <c r="BQ35" s="1049"/>
      <c r="BR35" s="1048"/>
      <c r="BS35" s="1048"/>
      <c r="BT35" s="1048"/>
      <c r="BU35" s="1048"/>
      <c r="BV35" s="1048"/>
      <c r="BW35" s="1048"/>
      <c r="BX35" s="1048"/>
      <c r="BY35" s="1048"/>
      <c r="BZ35" s="1048"/>
      <c r="CA35" s="1048"/>
      <c r="CB35" s="1048"/>
      <c r="CC35" s="1048"/>
      <c r="CD35" s="1048"/>
      <c r="CE35" s="1048"/>
      <c r="CF35" s="1048"/>
      <c r="CG35" s="1048"/>
      <c r="CH35" s="1048"/>
      <c r="CI35" s="1048"/>
      <c r="CJ35" s="1048"/>
      <c r="CK35" s="1048"/>
      <c r="CL35" s="1048"/>
      <c r="CM35" s="1048"/>
      <c r="CN35" s="1048"/>
      <c r="CO35" s="1048"/>
      <c r="CP35" s="1048"/>
      <c r="CQ35" s="1048"/>
      <c r="CR35" s="1048"/>
      <c r="CS35" s="1048"/>
      <c r="CT35" s="1048"/>
      <c r="CU35" s="1048"/>
      <c r="CV35" s="1048"/>
      <c r="CW35" s="1048"/>
      <c r="CX35" s="1048"/>
      <c r="CY35" s="1048"/>
      <c r="CZ35" s="1048"/>
      <c r="DA35" s="1048"/>
      <c r="DB35" s="1048"/>
      <c r="DC35" s="1048"/>
      <c r="DD35" s="1048"/>
      <c r="DE35" s="1048"/>
      <c r="DF35" s="1048"/>
      <c r="DG35" s="1048"/>
      <c r="DH35" s="1048"/>
      <c r="DI35" s="1048"/>
      <c r="DJ35" s="1048"/>
      <c r="DK35" s="1048"/>
      <c r="DL35" s="1048"/>
      <c r="DM35" s="1048"/>
      <c r="DN35" s="1048"/>
      <c r="DO35" s="1048"/>
      <c r="DP35" s="1048"/>
      <c r="DQ35" s="1048"/>
      <c r="DR35" s="1048"/>
      <c r="DS35" s="1048"/>
      <c r="DT35" s="1048"/>
      <c r="DU35" s="1048"/>
      <c r="DV35" s="1048"/>
      <c r="DW35" s="1048"/>
      <c r="DX35" s="1048"/>
      <c r="DY35" s="1048"/>
      <c r="DZ35" s="1048"/>
      <c r="EA35" s="1048"/>
      <c r="EB35" s="1048"/>
      <c r="EC35" s="1048"/>
      <c r="ED35" s="1048"/>
      <c r="EE35" s="1048"/>
      <c r="EF35" s="1048"/>
      <c r="EG35" s="1049"/>
      <c r="EH35" s="1049">
        <v>1</v>
      </c>
      <c r="EI35" s="1049">
        <v>1</v>
      </c>
      <c r="EJ35" s="1049">
        <v>1</v>
      </c>
      <c r="EK35" s="1049">
        <v>1</v>
      </c>
      <c r="EL35" s="1049">
        <v>1</v>
      </c>
      <c r="EM35" s="1049">
        <v>1</v>
      </c>
      <c r="EN35" s="1048"/>
      <c r="EO35" s="1049"/>
      <c r="EP35" s="1049"/>
      <c r="EQ35" s="1049"/>
      <c r="ER35" s="1049"/>
      <c r="ES35" s="1049"/>
      <c r="ET35" s="1049"/>
      <c r="EU35" s="1049"/>
      <c r="EV35" s="1049"/>
      <c r="EW35" s="1049"/>
      <c r="EX35" s="1049"/>
      <c r="EY35" s="1049"/>
      <c r="EZ35" s="1049"/>
      <c r="FA35" s="1049"/>
      <c r="FB35" s="1049"/>
      <c r="FC35" s="1049"/>
      <c r="FD35" s="1049"/>
      <c r="FE35" s="1049"/>
      <c r="FF35" s="1049"/>
      <c r="FG35" s="1049"/>
      <c r="FH35" s="1049"/>
      <c r="FI35" s="1049"/>
      <c r="FJ35" s="1049"/>
      <c r="FK35" s="1049"/>
      <c r="FL35" s="1049"/>
      <c r="FM35" s="1049"/>
      <c r="FN35" s="1049"/>
      <c r="FO35" s="1049"/>
      <c r="FP35" s="1049"/>
      <c r="FQ35" s="1049"/>
      <c r="FR35" s="1049"/>
      <c r="FS35" s="1049"/>
      <c r="FT35" s="1049"/>
      <c r="FU35" s="1049"/>
      <c r="FV35" s="1049"/>
      <c r="FW35" s="1049"/>
      <c r="FX35" s="1049"/>
      <c r="FY35" s="1049"/>
      <c r="FZ35" s="1049"/>
      <c r="GA35" s="1049"/>
      <c r="GB35" s="1028"/>
    </row>
    <row r="36" spans="1:184" s="1007" customFormat="1" ht="24.95" hidden="1" customHeight="1">
      <c r="A36" s="1007">
        <v>22</v>
      </c>
      <c r="B36" s="1040">
        <f t="shared" si="2"/>
        <v>24</v>
      </c>
      <c r="C36" s="1041">
        <v>126591</v>
      </c>
      <c r="D36" s="1056" t="s">
        <v>2097</v>
      </c>
      <c r="E36" s="1058" t="s">
        <v>2098</v>
      </c>
      <c r="F36" s="1055"/>
      <c r="G36" s="1053" t="s">
        <v>337</v>
      </c>
      <c r="H36" s="1046">
        <f t="shared" si="0"/>
        <v>0</v>
      </c>
      <c r="I36" s="1029"/>
      <c r="J36" s="1046">
        <f t="shared" si="1"/>
        <v>0</v>
      </c>
      <c r="K36" s="1048"/>
      <c r="L36" s="1048"/>
      <c r="M36" s="1049"/>
      <c r="N36" s="1049"/>
      <c r="O36" s="1049"/>
      <c r="P36" s="1049"/>
      <c r="Q36" s="1049"/>
      <c r="R36" s="1049"/>
      <c r="S36" s="1049"/>
      <c r="T36" s="1049"/>
      <c r="U36" s="1049"/>
      <c r="V36" s="1049"/>
      <c r="W36" s="1049"/>
      <c r="X36" s="1049"/>
      <c r="Y36" s="1049"/>
      <c r="Z36" s="1049"/>
      <c r="AA36" s="1049"/>
      <c r="AB36" s="1050"/>
      <c r="AC36" s="1049"/>
      <c r="AD36" s="1048"/>
      <c r="AE36" s="1049"/>
      <c r="AF36" s="1049"/>
      <c r="AG36" s="1049"/>
      <c r="AH36" s="1049"/>
      <c r="AI36" s="1049"/>
      <c r="AJ36" s="1049"/>
      <c r="AK36" s="1049"/>
      <c r="AL36" s="1049"/>
      <c r="AM36" s="1049"/>
      <c r="AN36" s="1049"/>
      <c r="AO36" s="1049"/>
      <c r="AP36" s="1049"/>
      <c r="AQ36" s="1049"/>
      <c r="AR36" s="1049"/>
      <c r="AS36" s="1049"/>
      <c r="AT36" s="1049"/>
      <c r="AU36" s="1049"/>
      <c r="AV36" s="1049"/>
      <c r="AW36" s="1049"/>
      <c r="AX36" s="1049"/>
      <c r="AY36" s="1049"/>
      <c r="AZ36" s="1049"/>
      <c r="BA36" s="1049"/>
      <c r="BB36" s="1049"/>
      <c r="BC36" s="1049"/>
      <c r="BD36" s="1049"/>
      <c r="BE36" s="1049"/>
      <c r="BF36" s="1049"/>
      <c r="BG36" s="1049"/>
      <c r="BH36" s="1049"/>
      <c r="BI36" s="1049"/>
      <c r="BJ36" s="1049"/>
      <c r="BK36" s="1049"/>
      <c r="BL36" s="1049"/>
      <c r="BM36" s="1049"/>
      <c r="BN36" s="1049"/>
      <c r="BO36" s="1049"/>
      <c r="BP36" s="1049"/>
      <c r="BQ36" s="1049"/>
      <c r="BR36" s="1048"/>
      <c r="BS36" s="1048"/>
      <c r="BT36" s="1048"/>
      <c r="BU36" s="1048"/>
      <c r="BV36" s="1048"/>
      <c r="BW36" s="1048"/>
      <c r="BX36" s="1048"/>
      <c r="BY36" s="1048"/>
      <c r="BZ36" s="1048"/>
      <c r="CA36" s="1048"/>
      <c r="CB36" s="1048"/>
      <c r="CC36" s="1048"/>
      <c r="CD36" s="1048"/>
      <c r="CE36" s="1048"/>
      <c r="CF36" s="1048"/>
      <c r="CG36" s="1048"/>
      <c r="CH36" s="1048"/>
      <c r="CI36" s="1048"/>
      <c r="CJ36" s="1048"/>
      <c r="CK36" s="1048"/>
      <c r="CL36" s="1048"/>
      <c r="CM36" s="1048"/>
      <c r="CN36" s="1048"/>
      <c r="CO36" s="1048"/>
      <c r="CP36" s="1048"/>
      <c r="CQ36" s="1048"/>
      <c r="CR36" s="1048"/>
      <c r="CS36" s="1048"/>
      <c r="CT36" s="1048"/>
      <c r="CU36" s="1048"/>
      <c r="CV36" s="1048"/>
      <c r="CW36" s="1048"/>
      <c r="CX36" s="1048"/>
      <c r="CY36" s="1048"/>
      <c r="CZ36" s="1048"/>
      <c r="DA36" s="1048"/>
      <c r="DB36" s="1048"/>
      <c r="DC36" s="1048"/>
      <c r="DD36" s="1048"/>
      <c r="DE36" s="1048"/>
      <c r="DF36" s="1048"/>
      <c r="DG36" s="1048"/>
      <c r="DH36" s="1048"/>
      <c r="DI36" s="1048"/>
      <c r="DJ36" s="1048"/>
      <c r="DK36" s="1048"/>
      <c r="DL36" s="1048"/>
      <c r="DM36" s="1048"/>
      <c r="DN36" s="1048"/>
      <c r="DO36" s="1048"/>
      <c r="DP36" s="1048"/>
      <c r="DQ36" s="1048"/>
      <c r="DR36" s="1048"/>
      <c r="DS36" s="1048"/>
      <c r="DT36" s="1048"/>
      <c r="DU36" s="1048"/>
      <c r="DV36" s="1048"/>
      <c r="DW36" s="1048"/>
      <c r="DX36" s="1048"/>
      <c r="DY36" s="1048"/>
      <c r="DZ36" s="1048"/>
      <c r="EA36" s="1048"/>
      <c r="EB36" s="1048"/>
      <c r="EC36" s="1048"/>
      <c r="ED36" s="1048"/>
      <c r="EE36" s="1048"/>
      <c r="EF36" s="1048"/>
      <c r="EG36" s="1049"/>
      <c r="EH36" s="1049"/>
      <c r="EI36" s="1049"/>
      <c r="EJ36" s="1049"/>
      <c r="EK36" s="1049"/>
      <c r="EL36" s="1049"/>
      <c r="EM36" s="1049"/>
      <c r="EN36" s="1048"/>
      <c r="EO36" s="1049"/>
      <c r="EP36" s="1049"/>
      <c r="EQ36" s="1049"/>
      <c r="ER36" s="1049"/>
      <c r="ES36" s="1049"/>
      <c r="ET36" s="1049"/>
      <c r="EU36" s="1049"/>
      <c r="EV36" s="1049"/>
      <c r="EW36" s="1049"/>
      <c r="EX36" s="1049"/>
      <c r="EY36" s="1049"/>
      <c r="EZ36" s="1049"/>
      <c r="FA36" s="1049"/>
      <c r="FB36" s="1049"/>
      <c r="FC36" s="1049"/>
      <c r="FD36" s="1049"/>
      <c r="FE36" s="1049"/>
      <c r="FF36" s="1049"/>
      <c r="FG36" s="1049"/>
      <c r="FH36" s="1049"/>
      <c r="FI36" s="1049"/>
      <c r="FJ36" s="1049"/>
      <c r="FK36" s="1049"/>
      <c r="FL36" s="1049"/>
      <c r="FM36" s="1049"/>
      <c r="FN36" s="1049"/>
      <c r="FO36" s="1049"/>
      <c r="FP36" s="1049"/>
      <c r="FQ36" s="1049"/>
      <c r="FR36" s="1049"/>
      <c r="FS36" s="1049"/>
      <c r="FT36" s="1049"/>
      <c r="FU36" s="1049"/>
      <c r="FV36" s="1049"/>
      <c r="FW36" s="1049"/>
      <c r="FX36" s="1049"/>
      <c r="FY36" s="1049"/>
      <c r="FZ36" s="1049"/>
      <c r="GA36" s="1049"/>
      <c r="GB36" s="1028"/>
    </row>
    <row r="37" spans="1:184" s="1007" customFormat="1" ht="24.95" hidden="1" customHeight="1">
      <c r="A37" s="1007">
        <v>22</v>
      </c>
      <c r="B37" s="1040">
        <f t="shared" si="2"/>
        <v>25</v>
      </c>
      <c r="C37" s="1041">
        <v>126592</v>
      </c>
      <c r="D37" s="1056" t="s">
        <v>2099</v>
      </c>
      <c r="E37" s="1058" t="s">
        <v>2100</v>
      </c>
      <c r="F37" s="1055"/>
      <c r="G37" s="1053" t="s">
        <v>337</v>
      </c>
      <c r="H37" s="1046">
        <f t="shared" si="0"/>
        <v>0</v>
      </c>
      <c r="I37" s="1029"/>
      <c r="J37" s="1046">
        <f t="shared" si="1"/>
        <v>0</v>
      </c>
      <c r="K37" s="1048"/>
      <c r="L37" s="1048"/>
      <c r="M37" s="1049"/>
      <c r="N37" s="1049"/>
      <c r="O37" s="1049"/>
      <c r="P37" s="1049"/>
      <c r="Q37" s="1049"/>
      <c r="R37" s="1049"/>
      <c r="S37" s="1049"/>
      <c r="T37" s="1049"/>
      <c r="U37" s="1049"/>
      <c r="V37" s="1049"/>
      <c r="W37" s="1049"/>
      <c r="X37" s="1049"/>
      <c r="Y37" s="1049"/>
      <c r="Z37" s="1049"/>
      <c r="AA37" s="1049"/>
      <c r="AB37" s="1050"/>
      <c r="AC37" s="1049"/>
      <c r="AD37" s="1048"/>
      <c r="AE37" s="1049"/>
      <c r="AF37" s="1049"/>
      <c r="AG37" s="1049"/>
      <c r="AH37" s="1049"/>
      <c r="AI37" s="1049"/>
      <c r="AJ37" s="1049"/>
      <c r="AK37" s="1049"/>
      <c r="AL37" s="1049"/>
      <c r="AM37" s="1049"/>
      <c r="AN37" s="1049"/>
      <c r="AO37" s="1049"/>
      <c r="AP37" s="1049"/>
      <c r="AQ37" s="1049"/>
      <c r="AR37" s="1049"/>
      <c r="AS37" s="1049"/>
      <c r="AT37" s="1049"/>
      <c r="AU37" s="1049"/>
      <c r="AV37" s="1049"/>
      <c r="AW37" s="1049"/>
      <c r="AX37" s="1049"/>
      <c r="AY37" s="1049"/>
      <c r="AZ37" s="1049"/>
      <c r="BA37" s="1049"/>
      <c r="BB37" s="1049"/>
      <c r="BC37" s="1049"/>
      <c r="BD37" s="1049"/>
      <c r="BE37" s="1049"/>
      <c r="BF37" s="1049"/>
      <c r="BG37" s="1049"/>
      <c r="BH37" s="1049"/>
      <c r="BI37" s="1049"/>
      <c r="BJ37" s="1049"/>
      <c r="BK37" s="1049"/>
      <c r="BL37" s="1049"/>
      <c r="BM37" s="1049"/>
      <c r="BN37" s="1049"/>
      <c r="BO37" s="1049"/>
      <c r="BP37" s="1049"/>
      <c r="BQ37" s="1049"/>
      <c r="BR37" s="1048"/>
      <c r="BS37" s="1048"/>
      <c r="BT37" s="1048"/>
      <c r="BU37" s="1048"/>
      <c r="BV37" s="1048"/>
      <c r="BW37" s="1048"/>
      <c r="BX37" s="1048"/>
      <c r="BY37" s="1048"/>
      <c r="BZ37" s="1048"/>
      <c r="CA37" s="1048"/>
      <c r="CB37" s="1048"/>
      <c r="CC37" s="1048"/>
      <c r="CD37" s="1048"/>
      <c r="CE37" s="1048"/>
      <c r="CF37" s="1048"/>
      <c r="CG37" s="1048"/>
      <c r="CH37" s="1048"/>
      <c r="CI37" s="1048"/>
      <c r="CJ37" s="1048"/>
      <c r="CK37" s="1048"/>
      <c r="CL37" s="1048"/>
      <c r="CM37" s="1048"/>
      <c r="CN37" s="1048"/>
      <c r="CO37" s="1048"/>
      <c r="CP37" s="1048"/>
      <c r="CQ37" s="1048"/>
      <c r="CR37" s="1048"/>
      <c r="CS37" s="1048"/>
      <c r="CT37" s="1048"/>
      <c r="CU37" s="1048"/>
      <c r="CV37" s="1048"/>
      <c r="CW37" s="1048"/>
      <c r="CX37" s="1048"/>
      <c r="CY37" s="1048"/>
      <c r="CZ37" s="1048"/>
      <c r="DA37" s="1048"/>
      <c r="DB37" s="1048"/>
      <c r="DC37" s="1048"/>
      <c r="DD37" s="1048"/>
      <c r="DE37" s="1048"/>
      <c r="DF37" s="1048"/>
      <c r="DG37" s="1048"/>
      <c r="DH37" s="1048"/>
      <c r="DI37" s="1048"/>
      <c r="DJ37" s="1048"/>
      <c r="DK37" s="1048"/>
      <c r="DL37" s="1048"/>
      <c r="DM37" s="1048"/>
      <c r="DN37" s="1048"/>
      <c r="DO37" s="1048"/>
      <c r="DP37" s="1048"/>
      <c r="DQ37" s="1048"/>
      <c r="DR37" s="1048"/>
      <c r="DS37" s="1048"/>
      <c r="DT37" s="1048"/>
      <c r="DU37" s="1048"/>
      <c r="DV37" s="1048"/>
      <c r="DW37" s="1048"/>
      <c r="DX37" s="1048"/>
      <c r="DY37" s="1048"/>
      <c r="DZ37" s="1048"/>
      <c r="EA37" s="1048"/>
      <c r="EB37" s="1048"/>
      <c r="EC37" s="1048"/>
      <c r="ED37" s="1048"/>
      <c r="EE37" s="1048"/>
      <c r="EF37" s="1048"/>
      <c r="EG37" s="1049"/>
      <c r="EH37" s="1560"/>
      <c r="EI37" s="1560"/>
      <c r="EJ37" s="1560"/>
      <c r="EK37" s="1560"/>
      <c r="EL37" s="1560"/>
      <c r="EM37" s="1560"/>
      <c r="EN37" s="1048"/>
      <c r="EO37" s="1049"/>
      <c r="EP37" s="1049"/>
      <c r="EQ37" s="1049"/>
      <c r="ER37" s="1049"/>
      <c r="ES37" s="1049"/>
      <c r="ET37" s="1049"/>
      <c r="EU37" s="1049"/>
      <c r="EV37" s="1049"/>
      <c r="EW37" s="1049"/>
      <c r="EX37" s="1049"/>
      <c r="EY37" s="1049"/>
      <c r="EZ37" s="1049"/>
      <c r="FA37" s="1049"/>
      <c r="FB37" s="1049"/>
      <c r="FC37" s="1049"/>
      <c r="FD37" s="1049"/>
      <c r="FE37" s="1049"/>
      <c r="FF37" s="1049"/>
      <c r="FG37" s="1049"/>
      <c r="FH37" s="1049"/>
      <c r="FI37" s="1049"/>
      <c r="FJ37" s="1049"/>
      <c r="FK37" s="1049"/>
      <c r="FL37" s="1049"/>
      <c r="FM37" s="1049"/>
      <c r="FN37" s="1049"/>
      <c r="FO37" s="1049"/>
      <c r="FP37" s="1049"/>
      <c r="FQ37" s="1049"/>
      <c r="FR37" s="1049"/>
      <c r="FS37" s="1049"/>
      <c r="FT37" s="1049"/>
      <c r="FU37" s="1049"/>
      <c r="FV37" s="1049"/>
      <c r="FW37" s="1049"/>
      <c r="FX37" s="1049"/>
      <c r="FY37" s="1049"/>
      <c r="FZ37" s="1049"/>
      <c r="GA37" s="1049"/>
      <c r="GB37" s="1028"/>
    </row>
    <row r="38" spans="1:184" s="1007" customFormat="1" ht="24.95" hidden="1" customHeight="1">
      <c r="A38" s="1007">
        <v>22</v>
      </c>
      <c r="B38" s="1040">
        <f t="shared" si="2"/>
        <v>26</v>
      </c>
      <c r="C38" s="1041">
        <v>126593</v>
      </c>
      <c r="D38" s="1056" t="s">
        <v>2101</v>
      </c>
      <c r="E38" s="1058" t="s">
        <v>2102</v>
      </c>
      <c r="F38" s="1055"/>
      <c r="G38" s="1053" t="s">
        <v>337</v>
      </c>
      <c r="H38" s="1046">
        <f t="shared" si="0"/>
        <v>0</v>
      </c>
      <c r="I38" s="1029"/>
      <c r="J38" s="1046">
        <f t="shared" si="1"/>
        <v>0</v>
      </c>
      <c r="K38" s="1048"/>
      <c r="L38" s="1048"/>
      <c r="M38" s="1049"/>
      <c r="N38" s="1049"/>
      <c r="O38" s="1049"/>
      <c r="P38" s="1049"/>
      <c r="Q38" s="1049"/>
      <c r="R38" s="1049"/>
      <c r="S38" s="1049"/>
      <c r="T38" s="1049"/>
      <c r="U38" s="1049"/>
      <c r="V38" s="1049"/>
      <c r="W38" s="1049"/>
      <c r="X38" s="1049"/>
      <c r="Y38" s="1049"/>
      <c r="Z38" s="1049"/>
      <c r="AA38" s="1049"/>
      <c r="AB38" s="1050"/>
      <c r="AC38" s="1049"/>
      <c r="AD38" s="1048"/>
      <c r="AE38" s="1049"/>
      <c r="AF38" s="1049"/>
      <c r="AG38" s="1049"/>
      <c r="AH38" s="1049"/>
      <c r="AI38" s="1049"/>
      <c r="AJ38" s="1049"/>
      <c r="AK38" s="1049"/>
      <c r="AL38" s="1049"/>
      <c r="AM38" s="1049"/>
      <c r="AN38" s="1049"/>
      <c r="AO38" s="1049"/>
      <c r="AP38" s="1049"/>
      <c r="AQ38" s="1049"/>
      <c r="AR38" s="1049"/>
      <c r="AS38" s="1049"/>
      <c r="AT38" s="1049"/>
      <c r="AU38" s="1049"/>
      <c r="AV38" s="1049"/>
      <c r="AW38" s="1049"/>
      <c r="AX38" s="1049"/>
      <c r="AY38" s="1049"/>
      <c r="AZ38" s="1049"/>
      <c r="BA38" s="1049"/>
      <c r="BB38" s="1049"/>
      <c r="BC38" s="1049"/>
      <c r="BD38" s="1049"/>
      <c r="BE38" s="1049"/>
      <c r="BF38" s="1049"/>
      <c r="BG38" s="1049"/>
      <c r="BH38" s="1049"/>
      <c r="BI38" s="1049"/>
      <c r="BJ38" s="1049"/>
      <c r="BK38" s="1049"/>
      <c r="BL38" s="1049"/>
      <c r="BM38" s="1049"/>
      <c r="BN38" s="1049"/>
      <c r="BO38" s="1049"/>
      <c r="BP38" s="1049"/>
      <c r="BQ38" s="1049"/>
      <c r="BR38" s="1048"/>
      <c r="BS38" s="1048"/>
      <c r="BT38" s="1048"/>
      <c r="BU38" s="1048"/>
      <c r="BV38" s="1048"/>
      <c r="BW38" s="1048"/>
      <c r="BX38" s="1048"/>
      <c r="BY38" s="1048"/>
      <c r="BZ38" s="1048"/>
      <c r="CA38" s="1048"/>
      <c r="CB38" s="1048"/>
      <c r="CC38" s="1048"/>
      <c r="CD38" s="1048"/>
      <c r="CE38" s="1048"/>
      <c r="CF38" s="1048"/>
      <c r="CG38" s="1048"/>
      <c r="CH38" s="1048"/>
      <c r="CI38" s="1048"/>
      <c r="CJ38" s="1048"/>
      <c r="CK38" s="1048"/>
      <c r="CL38" s="1048"/>
      <c r="CM38" s="1048"/>
      <c r="CN38" s="1048"/>
      <c r="CO38" s="1048"/>
      <c r="CP38" s="1048"/>
      <c r="CQ38" s="1048"/>
      <c r="CR38" s="1048"/>
      <c r="CS38" s="1048"/>
      <c r="CT38" s="1048"/>
      <c r="CU38" s="1048"/>
      <c r="CV38" s="1048"/>
      <c r="CW38" s="1048"/>
      <c r="CX38" s="1048"/>
      <c r="CY38" s="1048"/>
      <c r="CZ38" s="1048"/>
      <c r="DA38" s="1048"/>
      <c r="DB38" s="1048"/>
      <c r="DC38" s="1048"/>
      <c r="DD38" s="1048"/>
      <c r="DE38" s="1048"/>
      <c r="DF38" s="1048"/>
      <c r="DG38" s="1048"/>
      <c r="DH38" s="1048"/>
      <c r="DI38" s="1048"/>
      <c r="DJ38" s="1048"/>
      <c r="DK38" s="1048"/>
      <c r="DL38" s="1048"/>
      <c r="DM38" s="1048"/>
      <c r="DN38" s="1048"/>
      <c r="DO38" s="1048"/>
      <c r="DP38" s="1048"/>
      <c r="DQ38" s="1048"/>
      <c r="DR38" s="1048"/>
      <c r="DS38" s="1048"/>
      <c r="DT38" s="1048"/>
      <c r="DU38" s="1048"/>
      <c r="DV38" s="1048"/>
      <c r="DW38" s="1048"/>
      <c r="DX38" s="1048"/>
      <c r="DY38" s="1048"/>
      <c r="DZ38" s="1048"/>
      <c r="EA38" s="1048"/>
      <c r="EB38" s="1048"/>
      <c r="EC38" s="1048"/>
      <c r="ED38" s="1048"/>
      <c r="EE38" s="1048"/>
      <c r="EF38" s="1048"/>
      <c r="EG38" s="1049"/>
      <c r="EH38" s="1560"/>
      <c r="EI38" s="1560"/>
      <c r="EJ38" s="1560"/>
      <c r="EK38" s="1560"/>
      <c r="EL38" s="1560"/>
      <c r="EM38" s="1560"/>
      <c r="EN38" s="1048"/>
      <c r="EO38" s="1049"/>
      <c r="EP38" s="1049"/>
      <c r="EQ38" s="1049"/>
      <c r="ER38" s="1049"/>
      <c r="ES38" s="1049"/>
      <c r="ET38" s="1049"/>
      <c r="EU38" s="1049"/>
      <c r="EV38" s="1049"/>
      <c r="EW38" s="1049"/>
      <c r="EX38" s="1049"/>
      <c r="EY38" s="1049"/>
      <c r="EZ38" s="1049"/>
      <c r="FA38" s="1049"/>
      <c r="FB38" s="1049"/>
      <c r="FC38" s="1049"/>
      <c r="FD38" s="1049"/>
      <c r="FE38" s="1049"/>
      <c r="FF38" s="1049"/>
      <c r="FG38" s="1049"/>
      <c r="FH38" s="1049"/>
      <c r="FI38" s="1049"/>
      <c r="FJ38" s="1049"/>
      <c r="FK38" s="1049"/>
      <c r="FL38" s="1049"/>
      <c r="FM38" s="1049"/>
      <c r="FN38" s="1049"/>
      <c r="FO38" s="1049"/>
      <c r="FP38" s="1049"/>
      <c r="FQ38" s="1049"/>
      <c r="FR38" s="1049"/>
      <c r="FS38" s="1049"/>
      <c r="FT38" s="1049"/>
      <c r="FU38" s="1049"/>
      <c r="FV38" s="1049"/>
      <c r="FW38" s="1049"/>
      <c r="FX38" s="1049"/>
      <c r="FY38" s="1049"/>
      <c r="FZ38" s="1049"/>
      <c r="GA38" s="1049"/>
      <c r="GB38" s="1028"/>
    </row>
    <row r="39" spans="1:184" s="1007" customFormat="1" ht="24.95" hidden="1" customHeight="1">
      <c r="A39" s="1007">
        <v>22</v>
      </c>
      <c r="B39" s="1040">
        <f t="shared" si="2"/>
        <v>27</v>
      </c>
      <c r="C39" s="1041">
        <v>126594</v>
      </c>
      <c r="D39" s="1056" t="s">
        <v>2103</v>
      </c>
      <c r="E39" s="1058" t="s">
        <v>2104</v>
      </c>
      <c r="F39" s="1055"/>
      <c r="G39" s="1053" t="s">
        <v>337</v>
      </c>
      <c r="H39" s="1046">
        <f t="shared" si="0"/>
        <v>0</v>
      </c>
      <c r="I39" s="1029"/>
      <c r="J39" s="1046">
        <f t="shared" si="1"/>
        <v>0</v>
      </c>
      <c r="K39" s="1048"/>
      <c r="L39" s="1048"/>
      <c r="M39" s="1049"/>
      <c r="N39" s="1049"/>
      <c r="O39" s="1049"/>
      <c r="P39" s="1049"/>
      <c r="Q39" s="1049"/>
      <c r="R39" s="1049"/>
      <c r="S39" s="1049"/>
      <c r="T39" s="1049"/>
      <c r="U39" s="1049"/>
      <c r="V39" s="1049"/>
      <c r="W39" s="1049"/>
      <c r="X39" s="1049"/>
      <c r="Y39" s="1049"/>
      <c r="Z39" s="1049"/>
      <c r="AA39" s="1049"/>
      <c r="AB39" s="1050"/>
      <c r="AC39" s="1049"/>
      <c r="AD39" s="1048"/>
      <c r="AE39" s="1049"/>
      <c r="AF39" s="1049"/>
      <c r="AG39" s="1049"/>
      <c r="AH39" s="1049"/>
      <c r="AI39" s="1049"/>
      <c r="AJ39" s="1049"/>
      <c r="AK39" s="1049"/>
      <c r="AL39" s="1049"/>
      <c r="AM39" s="1049"/>
      <c r="AN39" s="1049"/>
      <c r="AO39" s="1049"/>
      <c r="AP39" s="1049"/>
      <c r="AQ39" s="1049"/>
      <c r="AR39" s="1049"/>
      <c r="AS39" s="1049"/>
      <c r="AT39" s="1049"/>
      <c r="AU39" s="1049"/>
      <c r="AV39" s="1049"/>
      <c r="AW39" s="1049"/>
      <c r="AX39" s="1049"/>
      <c r="AY39" s="1049"/>
      <c r="AZ39" s="1049"/>
      <c r="BA39" s="1049"/>
      <c r="BB39" s="1049"/>
      <c r="BC39" s="1049"/>
      <c r="BD39" s="1049"/>
      <c r="BE39" s="1049"/>
      <c r="BF39" s="1049"/>
      <c r="BG39" s="1049"/>
      <c r="BH39" s="1049"/>
      <c r="BI39" s="1049"/>
      <c r="BJ39" s="1049"/>
      <c r="BK39" s="1049"/>
      <c r="BL39" s="1049"/>
      <c r="BM39" s="1049"/>
      <c r="BN39" s="1049"/>
      <c r="BO39" s="1049"/>
      <c r="BP39" s="1049"/>
      <c r="BQ39" s="1049"/>
      <c r="BR39" s="1048"/>
      <c r="BS39" s="1048"/>
      <c r="BT39" s="1048"/>
      <c r="BU39" s="1048"/>
      <c r="BV39" s="1048"/>
      <c r="BW39" s="1048"/>
      <c r="BX39" s="1048"/>
      <c r="BY39" s="1048"/>
      <c r="BZ39" s="1048"/>
      <c r="CA39" s="1048"/>
      <c r="CB39" s="1048"/>
      <c r="CC39" s="1048"/>
      <c r="CD39" s="1048"/>
      <c r="CE39" s="1048"/>
      <c r="CF39" s="1048"/>
      <c r="CG39" s="1048"/>
      <c r="CH39" s="1048"/>
      <c r="CI39" s="1048"/>
      <c r="CJ39" s="1048"/>
      <c r="CK39" s="1048"/>
      <c r="CL39" s="1048"/>
      <c r="CM39" s="1048"/>
      <c r="CN39" s="1048"/>
      <c r="CO39" s="1048"/>
      <c r="CP39" s="1048"/>
      <c r="CQ39" s="1048"/>
      <c r="CR39" s="1048"/>
      <c r="CS39" s="1048"/>
      <c r="CT39" s="1048"/>
      <c r="CU39" s="1048"/>
      <c r="CV39" s="1048"/>
      <c r="CW39" s="1048"/>
      <c r="CX39" s="1048"/>
      <c r="CY39" s="1048"/>
      <c r="CZ39" s="1048"/>
      <c r="DA39" s="1048"/>
      <c r="DB39" s="1048"/>
      <c r="DC39" s="1048"/>
      <c r="DD39" s="1048"/>
      <c r="DE39" s="1048"/>
      <c r="DF39" s="1048"/>
      <c r="DG39" s="1048"/>
      <c r="DH39" s="1048"/>
      <c r="DI39" s="1048"/>
      <c r="DJ39" s="1048"/>
      <c r="DK39" s="1048"/>
      <c r="DL39" s="1048"/>
      <c r="DM39" s="1048"/>
      <c r="DN39" s="1048"/>
      <c r="DO39" s="1048"/>
      <c r="DP39" s="1048"/>
      <c r="DQ39" s="1048"/>
      <c r="DR39" s="1048"/>
      <c r="DS39" s="1048"/>
      <c r="DT39" s="1048"/>
      <c r="DU39" s="1048"/>
      <c r="DV39" s="1048"/>
      <c r="DW39" s="1048"/>
      <c r="DX39" s="1048"/>
      <c r="DY39" s="1048"/>
      <c r="DZ39" s="1048"/>
      <c r="EA39" s="1048"/>
      <c r="EB39" s="1048"/>
      <c r="EC39" s="1048"/>
      <c r="ED39" s="1048"/>
      <c r="EE39" s="1048"/>
      <c r="EF39" s="1048"/>
      <c r="EG39" s="1049"/>
      <c r="EH39" s="1049"/>
      <c r="EI39" s="1049"/>
      <c r="EJ39" s="1049"/>
      <c r="EK39" s="1049"/>
      <c r="EL39" s="1049"/>
      <c r="EM39" s="1049"/>
      <c r="EN39" s="1048"/>
      <c r="EO39" s="1049"/>
      <c r="EP39" s="1049"/>
      <c r="EQ39" s="1049"/>
      <c r="ER39" s="1049"/>
      <c r="ES39" s="1049"/>
      <c r="ET39" s="1049"/>
      <c r="EU39" s="1049"/>
      <c r="EV39" s="1049"/>
      <c r="EW39" s="1049"/>
      <c r="EX39" s="1049"/>
      <c r="EY39" s="1049"/>
      <c r="EZ39" s="1049"/>
      <c r="FA39" s="1049"/>
      <c r="FB39" s="1049"/>
      <c r="FC39" s="1049"/>
      <c r="FD39" s="1049"/>
      <c r="FE39" s="1049"/>
      <c r="FF39" s="1049"/>
      <c r="FG39" s="1049"/>
      <c r="FH39" s="1049"/>
      <c r="FI39" s="1049"/>
      <c r="FJ39" s="1049"/>
      <c r="FK39" s="1049"/>
      <c r="FL39" s="1049"/>
      <c r="FM39" s="1049"/>
      <c r="FN39" s="1049"/>
      <c r="FO39" s="1049"/>
      <c r="FP39" s="1049"/>
      <c r="FQ39" s="1049"/>
      <c r="FR39" s="1049"/>
      <c r="FS39" s="1049"/>
      <c r="FT39" s="1049"/>
      <c r="FU39" s="1049"/>
      <c r="FV39" s="1049"/>
      <c r="FW39" s="1049"/>
      <c r="FX39" s="1049"/>
      <c r="FY39" s="1049"/>
      <c r="FZ39" s="1049"/>
      <c r="GA39" s="1049"/>
      <c r="GB39" s="1028"/>
    </row>
    <row r="40" spans="1:184" s="1007" customFormat="1" ht="24.95" hidden="1" customHeight="1">
      <c r="A40" s="1007">
        <v>22</v>
      </c>
      <c r="B40" s="1040">
        <f t="shared" si="2"/>
        <v>28</v>
      </c>
      <c r="C40" s="1041">
        <v>126595</v>
      </c>
      <c r="D40" s="1056" t="s">
        <v>2105</v>
      </c>
      <c r="E40" s="1058" t="s">
        <v>2106</v>
      </c>
      <c r="F40" s="1055"/>
      <c r="G40" s="1053" t="s">
        <v>337</v>
      </c>
      <c r="H40" s="1046">
        <f t="shared" si="0"/>
        <v>0</v>
      </c>
      <c r="I40" s="1029"/>
      <c r="J40" s="1046">
        <f t="shared" si="1"/>
        <v>0</v>
      </c>
      <c r="K40" s="1048"/>
      <c r="L40" s="1048"/>
      <c r="M40" s="1049"/>
      <c r="N40" s="1049"/>
      <c r="O40" s="1049"/>
      <c r="P40" s="1049"/>
      <c r="Q40" s="1049"/>
      <c r="R40" s="1049"/>
      <c r="S40" s="1049"/>
      <c r="T40" s="1049"/>
      <c r="U40" s="1049"/>
      <c r="V40" s="1049"/>
      <c r="W40" s="1049"/>
      <c r="X40" s="1049"/>
      <c r="Y40" s="1049"/>
      <c r="Z40" s="1049"/>
      <c r="AA40" s="1049"/>
      <c r="AB40" s="1050"/>
      <c r="AC40" s="1049"/>
      <c r="AD40" s="1048"/>
      <c r="AE40" s="1049"/>
      <c r="AF40" s="1049"/>
      <c r="AG40" s="1049"/>
      <c r="AH40" s="1049"/>
      <c r="AI40" s="1049"/>
      <c r="AJ40" s="1049"/>
      <c r="AK40" s="1049"/>
      <c r="AL40" s="1049"/>
      <c r="AM40" s="1049"/>
      <c r="AN40" s="1049"/>
      <c r="AO40" s="1049"/>
      <c r="AP40" s="1049"/>
      <c r="AQ40" s="1049"/>
      <c r="AR40" s="1049"/>
      <c r="AS40" s="1049"/>
      <c r="AT40" s="1049"/>
      <c r="AU40" s="1049"/>
      <c r="AV40" s="1049"/>
      <c r="AW40" s="1049"/>
      <c r="AX40" s="1049"/>
      <c r="AY40" s="1049"/>
      <c r="AZ40" s="1049"/>
      <c r="BA40" s="1049"/>
      <c r="BB40" s="1049"/>
      <c r="BC40" s="1049"/>
      <c r="BD40" s="1049"/>
      <c r="BE40" s="1049"/>
      <c r="BF40" s="1049"/>
      <c r="BG40" s="1049"/>
      <c r="BH40" s="1049"/>
      <c r="BI40" s="1049"/>
      <c r="BJ40" s="1049"/>
      <c r="BK40" s="1049"/>
      <c r="BL40" s="1049"/>
      <c r="BM40" s="1049"/>
      <c r="BN40" s="1049"/>
      <c r="BO40" s="1049"/>
      <c r="BP40" s="1049"/>
      <c r="BQ40" s="1049"/>
      <c r="BR40" s="1048"/>
      <c r="BS40" s="1048"/>
      <c r="BT40" s="1048"/>
      <c r="BU40" s="1048"/>
      <c r="BV40" s="1048"/>
      <c r="BW40" s="1048"/>
      <c r="BX40" s="1048"/>
      <c r="BY40" s="1048"/>
      <c r="BZ40" s="1048"/>
      <c r="CA40" s="1048"/>
      <c r="CB40" s="1048"/>
      <c r="CC40" s="1048"/>
      <c r="CD40" s="1048"/>
      <c r="CE40" s="1048"/>
      <c r="CF40" s="1048"/>
      <c r="CG40" s="1048"/>
      <c r="CH40" s="1048"/>
      <c r="CI40" s="1048"/>
      <c r="CJ40" s="1048"/>
      <c r="CK40" s="1048"/>
      <c r="CL40" s="1048"/>
      <c r="CM40" s="1048"/>
      <c r="CN40" s="1048"/>
      <c r="CO40" s="1048"/>
      <c r="CP40" s="1048"/>
      <c r="CQ40" s="1048"/>
      <c r="CR40" s="1048"/>
      <c r="CS40" s="1048"/>
      <c r="CT40" s="1048"/>
      <c r="CU40" s="1048"/>
      <c r="CV40" s="1048"/>
      <c r="CW40" s="1048"/>
      <c r="CX40" s="1048"/>
      <c r="CY40" s="1048"/>
      <c r="CZ40" s="1048"/>
      <c r="DA40" s="1048"/>
      <c r="DB40" s="1048"/>
      <c r="DC40" s="1048"/>
      <c r="DD40" s="1048"/>
      <c r="DE40" s="1048"/>
      <c r="DF40" s="1048"/>
      <c r="DG40" s="1048"/>
      <c r="DH40" s="1048"/>
      <c r="DI40" s="1048"/>
      <c r="DJ40" s="1048"/>
      <c r="DK40" s="1048"/>
      <c r="DL40" s="1048"/>
      <c r="DM40" s="1048"/>
      <c r="DN40" s="1048"/>
      <c r="DO40" s="1048"/>
      <c r="DP40" s="1048"/>
      <c r="DQ40" s="1048"/>
      <c r="DR40" s="1048"/>
      <c r="DS40" s="1048"/>
      <c r="DT40" s="1048"/>
      <c r="DU40" s="1048"/>
      <c r="DV40" s="1048"/>
      <c r="DW40" s="1048"/>
      <c r="DX40" s="1048"/>
      <c r="DY40" s="1048"/>
      <c r="DZ40" s="1048"/>
      <c r="EA40" s="1048"/>
      <c r="EB40" s="1048"/>
      <c r="EC40" s="1048"/>
      <c r="ED40" s="1048"/>
      <c r="EE40" s="1048"/>
      <c r="EF40" s="1048"/>
      <c r="EG40" s="1049"/>
      <c r="EH40" s="1049"/>
      <c r="EI40" s="1049"/>
      <c r="EJ40" s="1049"/>
      <c r="EK40" s="1049"/>
      <c r="EL40" s="1049"/>
      <c r="EM40" s="1049"/>
      <c r="EN40" s="1048"/>
      <c r="EO40" s="1049"/>
      <c r="EP40" s="1049"/>
      <c r="EQ40" s="1049"/>
      <c r="ER40" s="1049"/>
      <c r="ES40" s="1049"/>
      <c r="ET40" s="1049"/>
      <c r="EU40" s="1049"/>
      <c r="EV40" s="1049"/>
      <c r="EW40" s="1049"/>
      <c r="EX40" s="1049"/>
      <c r="EY40" s="1049"/>
      <c r="EZ40" s="1049"/>
      <c r="FA40" s="1049"/>
      <c r="FB40" s="1049"/>
      <c r="FC40" s="1049"/>
      <c r="FD40" s="1049"/>
      <c r="FE40" s="1049"/>
      <c r="FF40" s="1049"/>
      <c r="FG40" s="1049"/>
      <c r="FH40" s="1049"/>
      <c r="FI40" s="1049"/>
      <c r="FJ40" s="1049"/>
      <c r="FK40" s="1049"/>
      <c r="FL40" s="1049"/>
      <c r="FM40" s="1049"/>
      <c r="FN40" s="1049"/>
      <c r="FO40" s="1049"/>
      <c r="FP40" s="1049"/>
      <c r="FQ40" s="1049"/>
      <c r="FR40" s="1049"/>
      <c r="FS40" s="1049"/>
      <c r="FT40" s="1049"/>
      <c r="FU40" s="1049"/>
      <c r="FV40" s="1049"/>
      <c r="FW40" s="1049"/>
      <c r="FX40" s="1049"/>
      <c r="FY40" s="1049"/>
      <c r="FZ40" s="1049"/>
      <c r="GA40" s="1049"/>
      <c r="GB40" s="1028"/>
    </row>
    <row r="41" spans="1:184" s="1007" customFormat="1" ht="24.95" hidden="1" customHeight="1">
      <c r="A41" s="1007">
        <v>22</v>
      </c>
      <c r="B41" s="1040">
        <f>B40+1</f>
        <v>29</v>
      </c>
      <c r="C41" s="1041">
        <v>126596</v>
      </c>
      <c r="D41" s="1056" t="s">
        <v>2107</v>
      </c>
      <c r="E41" s="1058" t="s">
        <v>2108</v>
      </c>
      <c r="F41" s="1055"/>
      <c r="G41" s="1053" t="s">
        <v>337</v>
      </c>
      <c r="H41" s="1046">
        <f t="shared" si="0"/>
        <v>0</v>
      </c>
      <c r="I41" s="1029"/>
      <c r="J41" s="1046">
        <f t="shared" ref="J41:J72" si="3">ROUNDUP(SUM(K41:GA41),1)</f>
        <v>0</v>
      </c>
      <c r="K41" s="1048"/>
      <c r="L41" s="1048"/>
      <c r="M41" s="1049"/>
      <c r="N41" s="1049"/>
      <c r="O41" s="1049"/>
      <c r="P41" s="1049"/>
      <c r="Q41" s="1049"/>
      <c r="R41" s="1049"/>
      <c r="S41" s="1049"/>
      <c r="T41" s="1049"/>
      <c r="U41" s="1049"/>
      <c r="V41" s="1049"/>
      <c r="W41" s="1049"/>
      <c r="X41" s="1049"/>
      <c r="Y41" s="1049"/>
      <c r="Z41" s="1049"/>
      <c r="AA41" s="1049"/>
      <c r="AB41" s="1050"/>
      <c r="AC41" s="1049"/>
      <c r="AD41" s="1048"/>
      <c r="AE41" s="1049"/>
      <c r="AF41" s="1049"/>
      <c r="AG41" s="1049"/>
      <c r="AH41" s="1049"/>
      <c r="AI41" s="1049"/>
      <c r="AJ41" s="1049"/>
      <c r="AK41" s="1049"/>
      <c r="AL41" s="1049"/>
      <c r="AM41" s="1049"/>
      <c r="AN41" s="1049"/>
      <c r="AO41" s="1049"/>
      <c r="AP41" s="1049"/>
      <c r="AQ41" s="1049"/>
      <c r="AR41" s="1049"/>
      <c r="AS41" s="1049"/>
      <c r="AT41" s="1049"/>
      <c r="AU41" s="1049"/>
      <c r="AV41" s="1049"/>
      <c r="AW41" s="1049"/>
      <c r="AX41" s="1049"/>
      <c r="AY41" s="1049"/>
      <c r="AZ41" s="1049"/>
      <c r="BA41" s="1049"/>
      <c r="BB41" s="1049"/>
      <c r="BC41" s="1049"/>
      <c r="BD41" s="1049"/>
      <c r="BE41" s="1049"/>
      <c r="BF41" s="1049"/>
      <c r="BG41" s="1049"/>
      <c r="BH41" s="1049"/>
      <c r="BI41" s="1049"/>
      <c r="BJ41" s="1049"/>
      <c r="BK41" s="1049"/>
      <c r="BL41" s="1049"/>
      <c r="BM41" s="1049"/>
      <c r="BN41" s="1049"/>
      <c r="BO41" s="1049"/>
      <c r="BP41" s="1049"/>
      <c r="BQ41" s="1049"/>
      <c r="BR41" s="1048"/>
      <c r="BS41" s="1048"/>
      <c r="BT41" s="1048"/>
      <c r="BU41" s="1048"/>
      <c r="BV41" s="1048"/>
      <c r="BW41" s="1048"/>
      <c r="BX41" s="1048"/>
      <c r="BY41" s="1048"/>
      <c r="BZ41" s="1048"/>
      <c r="CA41" s="1048"/>
      <c r="CB41" s="1048"/>
      <c r="CC41" s="1048"/>
      <c r="CD41" s="1048"/>
      <c r="CE41" s="1048"/>
      <c r="CF41" s="1048"/>
      <c r="CG41" s="1048"/>
      <c r="CH41" s="1048"/>
      <c r="CI41" s="1048"/>
      <c r="CJ41" s="1048"/>
      <c r="CK41" s="1048"/>
      <c r="CL41" s="1048"/>
      <c r="CM41" s="1048"/>
      <c r="CN41" s="1048"/>
      <c r="CO41" s="1048"/>
      <c r="CP41" s="1048"/>
      <c r="CQ41" s="1048"/>
      <c r="CR41" s="1048"/>
      <c r="CS41" s="1048"/>
      <c r="CT41" s="1048"/>
      <c r="CU41" s="1048"/>
      <c r="CV41" s="1048"/>
      <c r="CW41" s="1048"/>
      <c r="CX41" s="1048"/>
      <c r="CY41" s="1048"/>
      <c r="CZ41" s="1048"/>
      <c r="DA41" s="1048"/>
      <c r="DB41" s="1048"/>
      <c r="DC41" s="1048"/>
      <c r="DD41" s="1048"/>
      <c r="DE41" s="1048"/>
      <c r="DF41" s="1048"/>
      <c r="DG41" s="1048"/>
      <c r="DH41" s="1048"/>
      <c r="DI41" s="1048"/>
      <c r="DJ41" s="1048"/>
      <c r="DK41" s="1048"/>
      <c r="DL41" s="1048"/>
      <c r="DM41" s="1048"/>
      <c r="DN41" s="1048"/>
      <c r="DO41" s="1048"/>
      <c r="DP41" s="1048"/>
      <c r="DQ41" s="1048"/>
      <c r="DR41" s="1048"/>
      <c r="DS41" s="1048"/>
      <c r="DT41" s="1048"/>
      <c r="DU41" s="1048"/>
      <c r="DV41" s="1048"/>
      <c r="DW41" s="1048"/>
      <c r="DX41" s="1048"/>
      <c r="DY41" s="1048"/>
      <c r="DZ41" s="1048"/>
      <c r="EA41" s="1048"/>
      <c r="EB41" s="1048"/>
      <c r="EC41" s="1048"/>
      <c r="ED41" s="1048"/>
      <c r="EE41" s="1048"/>
      <c r="EF41" s="1048"/>
      <c r="EG41" s="1049"/>
      <c r="EH41" s="1049"/>
      <c r="EI41" s="1049"/>
      <c r="EJ41" s="1049"/>
      <c r="EK41" s="1049"/>
      <c r="EL41" s="1049"/>
      <c r="EM41" s="1049"/>
      <c r="EN41" s="1048"/>
      <c r="EO41" s="1049"/>
      <c r="EP41" s="1049"/>
      <c r="EQ41" s="1049"/>
      <c r="ER41" s="1049"/>
      <c r="ES41" s="1049"/>
      <c r="ET41" s="1049"/>
      <c r="EU41" s="1049"/>
      <c r="EV41" s="1049"/>
      <c r="EW41" s="1049"/>
      <c r="EX41" s="1049"/>
      <c r="EY41" s="1049"/>
      <c r="EZ41" s="1049"/>
      <c r="FA41" s="1049"/>
      <c r="FB41" s="1049"/>
      <c r="FC41" s="1049"/>
      <c r="FD41" s="1049"/>
      <c r="FE41" s="1049"/>
      <c r="FF41" s="1049"/>
      <c r="FG41" s="1049"/>
      <c r="FH41" s="1049"/>
      <c r="FI41" s="1049"/>
      <c r="FJ41" s="1049"/>
      <c r="FK41" s="1049"/>
      <c r="FL41" s="1049"/>
      <c r="FM41" s="1049"/>
      <c r="FN41" s="1049"/>
      <c r="FO41" s="1049"/>
      <c r="FP41" s="1049"/>
      <c r="FQ41" s="1049"/>
      <c r="FR41" s="1049"/>
      <c r="FS41" s="1049"/>
      <c r="FT41" s="1049"/>
      <c r="FU41" s="1049"/>
      <c r="FV41" s="1049"/>
      <c r="FW41" s="1049"/>
      <c r="FX41" s="1049"/>
      <c r="FY41" s="1049"/>
      <c r="FZ41" s="1049"/>
      <c r="GA41" s="1049"/>
      <c r="GB41" s="1028"/>
    </row>
    <row r="42" spans="1:184" s="1007" customFormat="1" ht="24.95" hidden="1" customHeight="1">
      <c r="A42" s="1007">
        <v>23</v>
      </c>
      <c r="B42" s="1040">
        <f>B41+1</f>
        <v>30</v>
      </c>
      <c r="C42" s="1041">
        <v>126597</v>
      </c>
      <c r="D42" s="1056" t="s">
        <v>2109</v>
      </c>
      <c r="E42" s="1058" t="s">
        <v>2110</v>
      </c>
      <c r="F42" s="1055"/>
      <c r="G42" s="1053" t="s">
        <v>823</v>
      </c>
      <c r="H42" s="1046">
        <f t="shared" si="0"/>
        <v>0</v>
      </c>
      <c r="I42" s="1029"/>
      <c r="J42" s="1046">
        <f t="shared" si="3"/>
        <v>0</v>
      </c>
      <c r="K42" s="1048"/>
      <c r="L42" s="1048"/>
      <c r="M42" s="1049"/>
      <c r="N42" s="1049"/>
      <c r="O42" s="1049"/>
      <c r="P42" s="1049"/>
      <c r="Q42" s="1049"/>
      <c r="R42" s="1049"/>
      <c r="S42" s="1049"/>
      <c r="T42" s="1049"/>
      <c r="U42" s="1049"/>
      <c r="V42" s="1049"/>
      <c r="W42" s="1049"/>
      <c r="X42" s="1049"/>
      <c r="Y42" s="1049"/>
      <c r="Z42" s="1049"/>
      <c r="AA42" s="1049"/>
      <c r="AB42" s="1050"/>
      <c r="AC42" s="1049"/>
      <c r="AD42" s="1048"/>
      <c r="AE42" s="1049"/>
      <c r="AF42" s="1049"/>
      <c r="AG42" s="1049"/>
      <c r="AH42" s="1049"/>
      <c r="AI42" s="1049"/>
      <c r="AJ42" s="1049"/>
      <c r="AK42" s="1049"/>
      <c r="AL42" s="1049"/>
      <c r="AM42" s="1049"/>
      <c r="AN42" s="1049"/>
      <c r="AO42" s="1049"/>
      <c r="AP42" s="1049"/>
      <c r="AQ42" s="1049"/>
      <c r="AR42" s="1049"/>
      <c r="AS42" s="1049"/>
      <c r="AT42" s="1049"/>
      <c r="AU42" s="1049"/>
      <c r="AV42" s="1049"/>
      <c r="AW42" s="1049"/>
      <c r="AX42" s="1049"/>
      <c r="AY42" s="1049"/>
      <c r="AZ42" s="1049"/>
      <c r="BA42" s="1049"/>
      <c r="BB42" s="1049"/>
      <c r="BC42" s="1049"/>
      <c r="BD42" s="1049"/>
      <c r="BE42" s="1049"/>
      <c r="BF42" s="1049"/>
      <c r="BG42" s="1049"/>
      <c r="BH42" s="1049"/>
      <c r="BI42" s="1049"/>
      <c r="BJ42" s="1049"/>
      <c r="BK42" s="1049"/>
      <c r="BL42" s="1049"/>
      <c r="BM42" s="1049"/>
      <c r="BN42" s="1049"/>
      <c r="BO42" s="1049"/>
      <c r="BP42" s="1049"/>
      <c r="BQ42" s="1049"/>
      <c r="BR42" s="1048"/>
      <c r="BS42" s="1048"/>
      <c r="BT42" s="1048"/>
      <c r="BU42" s="1048"/>
      <c r="BV42" s="1048"/>
      <c r="BW42" s="1048"/>
      <c r="BX42" s="1048"/>
      <c r="BY42" s="1048"/>
      <c r="BZ42" s="1048"/>
      <c r="CA42" s="1048"/>
      <c r="CB42" s="1048"/>
      <c r="CC42" s="1048"/>
      <c r="CD42" s="1048"/>
      <c r="CE42" s="1048"/>
      <c r="CF42" s="1048"/>
      <c r="CG42" s="1048"/>
      <c r="CH42" s="1048"/>
      <c r="CI42" s="1048"/>
      <c r="CJ42" s="1048"/>
      <c r="CK42" s="1048"/>
      <c r="CL42" s="1048"/>
      <c r="CM42" s="1048"/>
      <c r="CN42" s="1048"/>
      <c r="CO42" s="1048"/>
      <c r="CP42" s="1048"/>
      <c r="CQ42" s="1048"/>
      <c r="CR42" s="1048"/>
      <c r="CS42" s="1048"/>
      <c r="CT42" s="1048"/>
      <c r="CU42" s="1048"/>
      <c r="CV42" s="1048"/>
      <c r="CW42" s="1048"/>
      <c r="CX42" s="1048"/>
      <c r="CY42" s="1048"/>
      <c r="CZ42" s="1048"/>
      <c r="DA42" s="1048"/>
      <c r="DB42" s="1048"/>
      <c r="DC42" s="1048"/>
      <c r="DD42" s="1048"/>
      <c r="DE42" s="1048"/>
      <c r="DF42" s="1048"/>
      <c r="DG42" s="1048"/>
      <c r="DH42" s="1048"/>
      <c r="DI42" s="1048"/>
      <c r="DJ42" s="1048"/>
      <c r="DK42" s="1048"/>
      <c r="DL42" s="1048"/>
      <c r="DM42" s="1048"/>
      <c r="DN42" s="1048"/>
      <c r="DO42" s="1048"/>
      <c r="DP42" s="1048"/>
      <c r="DQ42" s="1048"/>
      <c r="DR42" s="1048"/>
      <c r="DS42" s="1048"/>
      <c r="DT42" s="1048"/>
      <c r="DU42" s="1048"/>
      <c r="DV42" s="1048"/>
      <c r="DW42" s="1048"/>
      <c r="DX42" s="1048"/>
      <c r="DY42" s="1048"/>
      <c r="DZ42" s="1048"/>
      <c r="EA42" s="1048"/>
      <c r="EB42" s="1048"/>
      <c r="EC42" s="1048"/>
      <c r="ED42" s="1048"/>
      <c r="EE42" s="1048"/>
      <c r="EF42" s="1048"/>
      <c r="EG42" s="1049"/>
      <c r="EH42" s="1049"/>
      <c r="EI42" s="1049"/>
      <c r="EJ42" s="1049"/>
      <c r="EK42" s="1049"/>
      <c r="EL42" s="1049"/>
      <c r="EM42" s="1049"/>
      <c r="EN42" s="1048"/>
      <c r="EO42" s="1049"/>
      <c r="EP42" s="1049"/>
      <c r="EQ42" s="1049"/>
      <c r="ER42" s="1049"/>
      <c r="ES42" s="1049"/>
      <c r="ET42" s="1049"/>
      <c r="EU42" s="1049"/>
      <c r="EV42" s="1049"/>
      <c r="EW42" s="1049"/>
      <c r="EX42" s="1049"/>
      <c r="EY42" s="1049"/>
      <c r="EZ42" s="1049"/>
      <c r="FA42" s="1049"/>
      <c r="FB42" s="1049"/>
      <c r="FC42" s="1049"/>
      <c r="FD42" s="1049"/>
      <c r="FE42" s="1049"/>
      <c r="FF42" s="1049"/>
      <c r="FG42" s="1049"/>
      <c r="FH42" s="1049"/>
      <c r="FI42" s="1049"/>
      <c r="FJ42" s="1049"/>
      <c r="FK42" s="1049"/>
      <c r="FL42" s="1049"/>
      <c r="FM42" s="1049"/>
      <c r="FN42" s="1049"/>
      <c r="FO42" s="1049"/>
      <c r="FP42" s="1049"/>
      <c r="FQ42" s="1049"/>
      <c r="FR42" s="1049"/>
      <c r="FS42" s="1049"/>
      <c r="FT42" s="1049"/>
      <c r="FU42" s="1049"/>
      <c r="FV42" s="1049"/>
      <c r="FW42" s="1049"/>
      <c r="FX42" s="1049"/>
      <c r="FY42" s="1049"/>
      <c r="FZ42" s="1049"/>
      <c r="GA42" s="1049"/>
      <c r="GB42" s="1028"/>
    </row>
    <row r="43" spans="1:184" s="1007" customFormat="1" ht="24.95" hidden="1" customHeight="1">
      <c r="B43" s="1040"/>
      <c r="C43" s="1041"/>
      <c r="D43" s="1056" t="s">
        <v>2109</v>
      </c>
      <c r="E43" s="1058" t="s">
        <v>2111</v>
      </c>
      <c r="F43" s="1055"/>
      <c r="G43" s="1053" t="s">
        <v>823</v>
      </c>
      <c r="H43" s="1046">
        <f>ROUNDUP(J43+INT(J43*I43/100),1)</f>
        <v>0</v>
      </c>
      <c r="I43" s="1029"/>
      <c r="J43" s="1046">
        <f t="shared" si="3"/>
        <v>0</v>
      </c>
      <c r="K43" s="1048"/>
      <c r="L43" s="1048"/>
      <c r="M43" s="1049"/>
      <c r="N43" s="1049"/>
      <c r="O43" s="1049"/>
      <c r="P43" s="1049"/>
      <c r="Q43" s="1049"/>
      <c r="R43" s="1049"/>
      <c r="S43" s="1049"/>
      <c r="T43" s="1049"/>
      <c r="U43" s="1049"/>
      <c r="V43" s="1049"/>
      <c r="W43" s="1049"/>
      <c r="X43" s="1049"/>
      <c r="Y43" s="1049"/>
      <c r="Z43" s="1049"/>
      <c r="AA43" s="1049"/>
      <c r="AB43" s="1050"/>
      <c r="AC43" s="1049"/>
      <c r="AD43" s="1048"/>
      <c r="AE43" s="1049"/>
      <c r="AF43" s="1049"/>
      <c r="AG43" s="1049"/>
      <c r="AH43" s="1049"/>
      <c r="AI43" s="1049"/>
      <c r="AJ43" s="1049"/>
      <c r="AK43" s="1049"/>
      <c r="AL43" s="1049"/>
      <c r="AM43" s="1049"/>
      <c r="AN43" s="1049"/>
      <c r="AO43" s="1049"/>
      <c r="AP43" s="1049"/>
      <c r="AQ43" s="1049"/>
      <c r="AR43" s="1049"/>
      <c r="AS43" s="1049"/>
      <c r="AT43" s="1049"/>
      <c r="AU43" s="1049"/>
      <c r="AV43" s="1049"/>
      <c r="AW43" s="1049"/>
      <c r="AX43" s="1049"/>
      <c r="AY43" s="1049"/>
      <c r="AZ43" s="1049"/>
      <c r="BA43" s="1049"/>
      <c r="BB43" s="1049"/>
      <c r="BC43" s="1049"/>
      <c r="BD43" s="1049"/>
      <c r="BE43" s="1049"/>
      <c r="BF43" s="1049"/>
      <c r="BG43" s="1049"/>
      <c r="BH43" s="1049"/>
      <c r="BI43" s="1049"/>
      <c r="BJ43" s="1049"/>
      <c r="BK43" s="1049"/>
      <c r="BL43" s="1049"/>
      <c r="BM43" s="1049"/>
      <c r="BN43" s="1049"/>
      <c r="BO43" s="1049"/>
      <c r="BP43" s="1049"/>
      <c r="BQ43" s="1049"/>
      <c r="BR43" s="1048"/>
      <c r="BS43" s="1048"/>
      <c r="BT43" s="1048"/>
      <c r="BU43" s="1048"/>
      <c r="BV43" s="1048"/>
      <c r="BW43" s="1048"/>
      <c r="BX43" s="1048"/>
      <c r="BY43" s="1048"/>
      <c r="BZ43" s="1048"/>
      <c r="CA43" s="1048"/>
      <c r="CB43" s="1048"/>
      <c r="CC43" s="1048"/>
      <c r="CD43" s="1048"/>
      <c r="CE43" s="1048"/>
      <c r="CF43" s="1048"/>
      <c r="CG43" s="1048"/>
      <c r="CH43" s="1048"/>
      <c r="CI43" s="1048"/>
      <c r="CJ43" s="1048"/>
      <c r="CK43" s="1048"/>
      <c r="CL43" s="1048"/>
      <c r="CM43" s="1048"/>
      <c r="CN43" s="1048"/>
      <c r="CO43" s="1048"/>
      <c r="CP43" s="1048"/>
      <c r="CQ43" s="1048"/>
      <c r="CR43" s="1048"/>
      <c r="CS43" s="1048"/>
      <c r="CT43" s="1048"/>
      <c r="CU43" s="1048"/>
      <c r="CV43" s="1048"/>
      <c r="CW43" s="1048"/>
      <c r="CX43" s="1048"/>
      <c r="CY43" s="1048"/>
      <c r="CZ43" s="1048"/>
      <c r="DA43" s="1048"/>
      <c r="DB43" s="1048"/>
      <c r="DC43" s="1048"/>
      <c r="DD43" s="1048"/>
      <c r="DE43" s="1048"/>
      <c r="DF43" s="1048"/>
      <c r="DG43" s="1048"/>
      <c r="DH43" s="1048"/>
      <c r="DI43" s="1048"/>
      <c r="DJ43" s="1048"/>
      <c r="DK43" s="1048"/>
      <c r="DL43" s="1048"/>
      <c r="DM43" s="1048"/>
      <c r="DN43" s="1048"/>
      <c r="DO43" s="1048"/>
      <c r="DP43" s="1048"/>
      <c r="DQ43" s="1048"/>
      <c r="DR43" s="1048"/>
      <c r="DS43" s="1048"/>
      <c r="DT43" s="1048"/>
      <c r="DU43" s="1048"/>
      <c r="DV43" s="1048"/>
      <c r="DW43" s="1048"/>
      <c r="DX43" s="1048"/>
      <c r="DY43" s="1048"/>
      <c r="DZ43" s="1048"/>
      <c r="EA43" s="1048"/>
      <c r="EB43" s="1048"/>
      <c r="EC43" s="1048"/>
      <c r="ED43" s="1048"/>
      <c r="EE43" s="1048"/>
      <c r="EF43" s="1048"/>
      <c r="EG43" s="1049"/>
      <c r="EH43" s="1049"/>
      <c r="EI43" s="1049"/>
      <c r="EJ43" s="1049"/>
      <c r="EK43" s="1049"/>
      <c r="EL43" s="1049"/>
      <c r="EM43" s="1049"/>
      <c r="EN43" s="1048"/>
      <c r="EO43" s="1049"/>
      <c r="EP43" s="1049"/>
      <c r="EQ43" s="1049"/>
      <c r="ER43" s="1049"/>
      <c r="ES43" s="1049"/>
      <c r="ET43" s="1049"/>
      <c r="EU43" s="1049"/>
      <c r="EV43" s="1049"/>
      <c r="EW43" s="1049"/>
      <c r="EX43" s="1049"/>
      <c r="EY43" s="1049"/>
      <c r="EZ43" s="1049"/>
      <c r="FA43" s="1049"/>
      <c r="FB43" s="1049"/>
      <c r="FC43" s="1049"/>
      <c r="FD43" s="1049"/>
      <c r="FE43" s="1049"/>
      <c r="FF43" s="1049"/>
      <c r="FG43" s="1049"/>
      <c r="FH43" s="1049"/>
      <c r="FI43" s="1049"/>
      <c r="FJ43" s="1049"/>
      <c r="FK43" s="1049"/>
      <c r="FL43" s="1049"/>
      <c r="FM43" s="1049"/>
      <c r="FN43" s="1049"/>
      <c r="FO43" s="1049"/>
      <c r="FP43" s="1049"/>
      <c r="FQ43" s="1049"/>
      <c r="FR43" s="1049"/>
      <c r="FS43" s="1049"/>
      <c r="FT43" s="1049"/>
      <c r="FU43" s="1049"/>
      <c r="FV43" s="1049"/>
      <c r="FW43" s="1049"/>
      <c r="FX43" s="1049"/>
      <c r="FY43" s="1049"/>
      <c r="FZ43" s="1049"/>
      <c r="GA43" s="1049"/>
      <c r="GB43" s="1028"/>
    </row>
    <row r="44" spans="1:184" s="1007" customFormat="1" ht="24.95" hidden="1" customHeight="1">
      <c r="A44" s="1007">
        <v>24</v>
      </c>
      <c r="B44" s="1040">
        <f>B42+1</f>
        <v>31</v>
      </c>
      <c r="C44" s="1041">
        <v>126598</v>
      </c>
      <c r="D44" s="1056" t="s">
        <v>2112</v>
      </c>
      <c r="E44" s="1058" t="s">
        <v>2113</v>
      </c>
      <c r="F44" s="1055"/>
      <c r="G44" s="1053" t="s">
        <v>823</v>
      </c>
      <c r="H44" s="1046">
        <f t="shared" si="0"/>
        <v>0</v>
      </c>
      <c r="I44" s="1029"/>
      <c r="J44" s="1046">
        <f t="shared" si="3"/>
        <v>0</v>
      </c>
      <c r="K44" s="1048"/>
      <c r="L44" s="1048"/>
      <c r="M44" s="1049"/>
      <c r="N44" s="1049"/>
      <c r="O44" s="1049"/>
      <c r="P44" s="1049"/>
      <c r="Q44" s="1049"/>
      <c r="R44" s="1049"/>
      <c r="S44" s="1049"/>
      <c r="T44" s="1049"/>
      <c r="U44" s="1049"/>
      <c r="V44" s="1049"/>
      <c r="W44" s="1049"/>
      <c r="X44" s="1049"/>
      <c r="Y44" s="1049"/>
      <c r="Z44" s="1049"/>
      <c r="AA44" s="1049"/>
      <c r="AB44" s="1050"/>
      <c r="AC44" s="1049"/>
      <c r="AD44" s="1048"/>
      <c r="AE44" s="1049"/>
      <c r="AF44" s="1049"/>
      <c r="AG44" s="1049"/>
      <c r="AH44" s="1049"/>
      <c r="AI44" s="1049"/>
      <c r="AJ44" s="1049"/>
      <c r="AK44" s="1049"/>
      <c r="AL44" s="1049"/>
      <c r="AM44" s="1049"/>
      <c r="AN44" s="1049"/>
      <c r="AO44" s="1049"/>
      <c r="AP44" s="1049"/>
      <c r="AQ44" s="1049"/>
      <c r="AR44" s="1049"/>
      <c r="AS44" s="1049"/>
      <c r="AT44" s="1049"/>
      <c r="AU44" s="1049"/>
      <c r="AV44" s="1049"/>
      <c r="AW44" s="1049"/>
      <c r="AX44" s="1049"/>
      <c r="AY44" s="1049"/>
      <c r="AZ44" s="1049"/>
      <c r="BA44" s="1049"/>
      <c r="BB44" s="1049"/>
      <c r="BC44" s="1049"/>
      <c r="BD44" s="1049"/>
      <c r="BE44" s="1049"/>
      <c r="BF44" s="1049"/>
      <c r="BG44" s="1049"/>
      <c r="BH44" s="1049"/>
      <c r="BI44" s="1049"/>
      <c r="BJ44" s="1049"/>
      <c r="BK44" s="1049"/>
      <c r="BL44" s="1049"/>
      <c r="BM44" s="1049"/>
      <c r="BN44" s="1049"/>
      <c r="BO44" s="1049"/>
      <c r="BP44" s="1049"/>
      <c r="BQ44" s="1049"/>
      <c r="BR44" s="1048"/>
      <c r="BS44" s="1048"/>
      <c r="BT44" s="1048"/>
      <c r="BU44" s="1048"/>
      <c r="BV44" s="1048"/>
      <c r="BW44" s="1048"/>
      <c r="BX44" s="1048"/>
      <c r="BY44" s="1048"/>
      <c r="BZ44" s="1048"/>
      <c r="CA44" s="1048"/>
      <c r="CB44" s="1048"/>
      <c r="CC44" s="1048"/>
      <c r="CD44" s="1048"/>
      <c r="CE44" s="1048"/>
      <c r="CF44" s="1048"/>
      <c r="CG44" s="1048"/>
      <c r="CH44" s="1048"/>
      <c r="CI44" s="1048"/>
      <c r="CJ44" s="1048"/>
      <c r="CK44" s="1048"/>
      <c r="CL44" s="1048"/>
      <c r="CM44" s="1048"/>
      <c r="CN44" s="1048"/>
      <c r="CO44" s="1048"/>
      <c r="CP44" s="1048"/>
      <c r="CQ44" s="1048"/>
      <c r="CR44" s="1048"/>
      <c r="CS44" s="1048"/>
      <c r="CT44" s="1048"/>
      <c r="CU44" s="1048"/>
      <c r="CV44" s="1048"/>
      <c r="CW44" s="1048"/>
      <c r="CX44" s="1048"/>
      <c r="CY44" s="1048"/>
      <c r="CZ44" s="1048"/>
      <c r="DA44" s="1048"/>
      <c r="DB44" s="1048"/>
      <c r="DC44" s="1048"/>
      <c r="DD44" s="1048"/>
      <c r="DE44" s="1048"/>
      <c r="DF44" s="1048"/>
      <c r="DG44" s="1048"/>
      <c r="DH44" s="1048"/>
      <c r="DI44" s="1048"/>
      <c r="DJ44" s="1048"/>
      <c r="DK44" s="1048"/>
      <c r="DL44" s="1048"/>
      <c r="DM44" s="1048"/>
      <c r="DN44" s="1048"/>
      <c r="DO44" s="1048"/>
      <c r="DP44" s="1048"/>
      <c r="DQ44" s="1048"/>
      <c r="DR44" s="1048"/>
      <c r="DS44" s="1048"/>
      <c r="DT44" s="1048"/>
      <c r="DU44" s="1048"/>
      <c r="DV44" s="1048"/>
      <c r="DW44" s="1048"/>
      <c r="DX44" s="1048"/>
      <c r="DY44" s="1048"/>
      <c r="DZ44" s="1048"/>
      <c r="EA44" s="1048"/>
      <c r="EB44" s="1048"/>
      <c r="EC44" s="1048"/>
      <c r="ED44" s="1048"/>
      <c r="EE44" s="1048"/>
      <c r="EF44" s="1048"/>
      <c r="EG44" s="1049"/>
      <c r="EH44" s="1049"/>
      <c r="EI44" s="1049"/>
      <c r="EJ44" s="1049"/>
      <c r="EK44" s="1049"/>
      <c r="EL44" s="1049"/>
      <c r="EM44" s="1049"/>
      <c r="EN44" s="1048"/>
      <c r="EO44" s="1049"/>
      <c r="EP44" s="1049"/>
      <c r="EQ44" s="1049"/>
      <c r="ER44" s="1049"/>
      <c r="ES44" s="1049"/>
      <c r="ET44" s="1049"/>
      <c r="EU44" s="1049"/>
      <c r="EV44" s="1049"/>
      <c r="EW44" s="1049"/>
      <c r="EX44" s="1049"/>
      <c r="EY44" s="1049"/>
      <c r="EZ44" s="1049"/>
      <c r="FA44" s="1049"/>
      <c r="FB44" s="1049"/>
      <c r="FC44" s="1049"/>
      <c r="FD44" s="1049"/>
      <c r="FE44" s="1049"/>
      <c r="FF44" s="1049"/>
      <c r="FG44" s="1049"/>
      <c r="FH44" s="1049"/>
      <c r="FI44" s="1049"/>
      <c r="FJ44" s="1049"/>
      <c r="FK44" s="1049"/>
      <c r="FL44" s="1049"/>
      <c r="FM44" s="1049"/>
      <c r="FN44" s="1049"/>
      <c r="FO44" s="1049"/>
      <c r="FP44" s="1049"/>
      <c r="FQ44" s="1049"/>
      <c r="FR44" s="1049"/>
      <c r="FS44" s="1049"/>
      <c r="FT44" s="1049"/>
      <c r="FU44" s="1049"/>
      <c r="FV44" s="1049"/>
      <c r="FW44" s="1049"/>
      <c r="FX44" s="1049"/>
      <c r="FY44" s="1049"/>
      <c r="FZ44" s="1049"/>
      <c r="GA44" s="1049"/>
      <c r="GB44" s="1028"/>
    </row>
    <row r="45" spans="1:184" s="1007" customFormat="1" ht="24.95" hidden="1" customHeight="1">
      <c r="A45" s="1007">
        <v>25</v>
      </c>
      <c r="B45" s="1040">
        <f t="shared" si="2"/>
        <v>32</v>
      </c>
      <c r="C45" s="1041">
        <v>126599</v>
      </c>
      <c r="D45" s="1056" t="s">
        <v>2114</v>
      </c>
      <c r="E45" s="1058" t="s">
        <v>2115</v>
      </c>
      <c r="F45" s="1055"/>
      <c r="G45" s="1053" t="s">
        <v>337</v>
      </c>
      <c r="H45" s="1046">
        <f t="shared" si="0"/>
        <v>0</v>
      </c>
      <c r="I45" s="1029"/>
      <c r="J45" s="1046">
        <f t="shared" si="3"/>
        <v>0</v>
      </c>
      <c r="K45" s="1048"/>
      <c r="L45" s="1048"/>
      <c r="M45" s="1049"/>
      <c r="N45" s="1049"/>
      <c r="O45" s="1049"/>
      <c r="P45" s="1049"/>
      <c r="Q45" s="1049"/>
      <c r="R45" s="1049"/>
      <c r="S45" s="1049"/>
      <c r="T45" s="1049"/>
      <c r="U45" s="1049"/>
      <c r="V45" s="1049"/>
      <c r="W45" s="1049"/>
      <c r="X45" s="1049"/>
      <c r="Y45" s="1049"/>
      <c r="Z45" s="1049"/>
      <c r="AA45" s="1049"/>
      <c r="AB45" s="1050"/>
      <c r="AC45" s="1049"/>
      <c r="AD45" s="1048"/>
      <c r="AE45" s="1049"/>
      <c r="AF45" s="1049"/>
      <c r="AG45" s="1049"/>
      <c r="AH45" s="1049"/>
      <c r="AI45" s="1049"/>
      <c r="AJ45" s="1049"/>
      <c r="AK45" s="1049"/>
      <c r="AL45" s="1049"/>
      <c r="AM45" s="1049"/>
      <c r="AN45" s="1049"/>
      <c r="AO45" s="1049"/>
      <c r="AP45" s="1049"/>
      <c r="AQ45" s="1049"/>
      <c r="AR45" s="1049"/>
      <c r="AS45" s="1049"/>
      <c r="AT45" s="1049"/>
      <c r="AU45" s="1049"/>
      <c r="AV45" s="1049"/>
      <c r="AW45" s="1049"/>
      <c r="AX45" s="1049"/>
      <c r="AY45" s="1049"/>
      <c r="AZ45" s="1049"/>
      <c r="BA45" s="1049"/>
      <c r="BB45" s="1049"/>
      <c r="BC45" s="1049"/>
      <c r="BD45" s="1049"/>
      <c r="BE45" s="1049"/>
      <c r="BF45" s="1049"/>
      <c r="BG45" s="1049"/>
      <c r="BH45" s="1049"/>
      <c r="BI45" s="1049"/>
      <c r="BJ45" s="1049"/>
      <c r="BK45" s="1049"/>
      <c r="BL45" s="1049"/>
      <c r="BM45" s="1049"/>
      <c r="BN45" s="1049"/>
      <c r="BO45" s="1049"/>
      <c r="BP45" s="1049"/>
      <c r="BQ45" s="1049"/>
      <c r="BR45" s="1048"/>
      <c r="BS45" s="1048"/>
      <c r="BT45" s="1048"/>
      <c r="BU45" s="1048"/>
      <c r="BV45" s="1048"/>
      <c r="BW45" s="1048"/>
      <c r="BX45" s="1048"/>
      <c r="BY45" s="1048"/>
      <c r="BZ45" s="1048"/>
      <c r="CA45" s="1048"/>
      <c r="CB45" s="1048"/>
      <c r="CC45" s="1048"/>
      <c r="CD45" s="1048"/>
      <c r="CE45" s="1048"/>
      <c r="CF45" s="1048"/>
      <c r="CG45" s="1048"/>
      <c r="CH45" s="1048"/>
      <c r="CI45" s="1048"/>
      <c r="CJ45" s="1048"/>
      <c r="CK45" s="1048"/>
      <c r="CL45" s="1048"/>
      <c r="CM45" s="1048"/>
      <c r="CN45" s="1048"/>
      <c r="CO45" s="1048"/>
      <c r="CP45" s="1048"/>
      <c r="CQ45" s="1048"/>
      <c r="CR45" s="1048"/>
      <c r="CS45" s="1048"/>
      <c r="CT45" s="1048"/>
      <c r="CU45" s="1048"/>
      <c r="CV45" s="1048"/>
      <c r="CW45" s="1048"/>
      <c r="CX45" s="1048"/>
      <c r="CY45" s="1048"/>
      <c r="CZ45" s="1048"/>
      <c r="DA45" s="1048"/>
      <c r="DB45" s="1048"/>
      <c r="DC45" s="1048"/>
      <c r="DD45" s="1048"/>
      <c r="DE45" s="1048"/>
      <c r="DF45" s="1048"/>
      <c r="DG45" s="1048"/>
      <c r="DH45" s="1048"/>
      <c r="DI45" s="1048"/>
      <c r="DJ45" s="1048"/>
      <c r="DK45" s="1048"/>
      <c r="DL45" s="1048"/>
      <c r="DM45" s="1048"/>
      <c r="DN45" s="1048"/>
      <c r="DO45" s="1048"/>
      <c r="DP45" s="1048"/>
      <c r="DQ45" s="1048"/>
      <c r="DR45" s="1048"/>
      <c r="DS45" s="1048"/>
      <c r="DT45" s="1048"/>
      <c r="DU45" s="1048"/>
      <c r="DV45" s="1048"/>
      <c r="DW45" s="1048"/>
      <c r="DX45" s="1048"/>
      <c r="DY45" s="1048"/>
      <c r="DZ45" s="1048"/>
      <c r="EA45" s="1048"/>
      <c r="EB45" s="1048"/>
      <c r="EC45" s="1048"/>
      <c r="ED45" s="1048"/>
      <c r="EE45" s="1048"/>
      <c r="EF45" s="1048"/>
      <c r="EG45" s="1049"/>
      <c r="EH45" s="1049"/>
      <c r="EI45" s="1049"/>
      <c r="EJ45" s="1049"/>
      <c r="EK45" s="1049"/>
      <c r="EL45" s="1049"/>
      <c r="EM45" s="1049"/>
      <c r="EN45" s="1048"/>
      <c r="EO45" s="1049"/>
      <c r="EP45" s="1049"/>
      <c r="EQ45" s="1049"/>
      <c r="ER45" s="1049"/>
      <c r="ES45" s="1049"/>
      <c r="ET45" s="1049"/>
      <c r="EU45" s="1049"/>
      <c r="EV45" s="1049"/>
      <c r="EW45" s="1049"/>
      <c r="EX45" s="1049"/>
      <c r="EY45" s="1049"/>
      <c r="EZ45" s="1049"/>
      <c r="FA45" s="1049"/>
      <c r="FB45" s="1049"/>
      <c r="FC45" s="1049"/>
      <c r="FD45" s="1049"/>
      <c r="FE45" s="1049"/>
      <c r="FF45" s="1049"/>
      <c r="FG45" s="1049"/>
      <c r="FH45" s="1049"/>
      <c r="FI45" s="1049"/>
      <c r="FJ45" s="1049"/>
      <c r="FK45" s="1049"/>
      <c r="FL45" s="1049"/>
      <c r="FM45" s="1049"/>
      <c r="FN45" s="1049"/>
      <c r="FO45" s="1049"/>
      <c r="FP45" s="1049"/>
      <c r="FQ45" s="1049"/>
      <c r="FR45" s="1049"/>
      <c r="FS45" s="1049"/>
      <c r="FT45" s="1049"/>
      <c r="FU45" s="1049"/>
      <c r="FV45" s="1049"/>
      <c r="FW45" s="1049"/>
      <c r="FX45" s="1049"/>
      <c r="FY45" s="1049"/>
      <c r="FZ45" s="1049"/>
      <c r="GA45" s="1049"/>
      <c r="GB45" s="1028"/>
    </row>
    <row r="46" spans="1:184" s="1007" customFormat="1" ht="24.95" hidden="1" customHeight="1">
      <c r="B46" s="1040"/>
      <c r="C46" s="1041"/>
      <c r="D46" s="1056" t="s">
        <v>2114</v>
      </c>
      <c r="E46" s="1058" t="s">
        <v>2116</v>
      </c>
      <c r="F46" s="1055"/>
      <c r="G46" s="1053" t="s">
        <v>337</v>
      </c>
      <c r="H46" s="1046">
        <f t="shared" si="0"/>
        <v>0</v>
      </c>
      <c r="I46" s="1029"/>
      <c r="J46" s="1046">
        <f t="shared" si="3"/>
        <v>0</v>
      </c>
      <c r="K46" s="1048"/>
      <c r="L46" s="1048"/>
      <c r="M46" s="1049"/>
      <c r="N46" s="1049"/>
      <c r="O46" s="1049"/>
      <c r="P46" s="1049"/>
      <c r="Q46" s="1049"/>
      <c r="R46" s="1049"/>
      <c r="S46" s="1049"/>
      <c r="T46" s="1049"/>
      <c r="U46" s="1049"/>
      <c r="V46" s="1049"/>
      <c r="W46" s="1049"/>
      <c r="X46" s="1049"/>
      <c r="Y46" s="1049"/>
      <c r="Z46" s="1049"/>
      <c r="AA46" s="1049"/>
      <c r="AB46" s="1050"/>
      <c r="AC46" s="1049"/>
      <c r="AD46" s="1048"/>
      <c r="AE46" s="1049"/>
      <c r="AF46" s="1049"/>
      <c r="AG46" s="1049"/>
      <c r="AH46" s="1049"/>
      <c r="AI46" s="1049"/>
      <c r="AJ46" s="1049"/>
      <c r="AK46" s="1049"/>
      <c r="AL46" s="1049"/>
      <c r="AM46" s="1049"/>
      <c r="AN46" s="1049"/>
      <c r="AO46" s="1049"/>
      <c r="AP46" s="1049"/>
      <c r="AQ46" s="1049"/>
      <c r="AR46" s="1049"/>
      <c r="AS46" s="1049"/>
      <c r="AT46" s="1049"/>
      <c r="AU46" s="1049"/>
      <c r="AV46" s="1049"/>
      <c r="AW46" s="1049"/>
      <c r="AX46" s="1049"/>
      <c r="AY46" s="1049"/>
      <c r="AZ46" s="1049"/>
      <c r="BA46" s="1049"/>
      <c r="BB46" s="1049"/>
      <c r="BC46" s="1049"/>
      <c r="BD46" s="1049"/>
      <c r="BE46" s="1049"/>
      <c r="BF46" s="1049"/>
      <c r="BG46" s="1049"/>
      <c r="BH46" s="1049"/>
      <c r="BI46" s="1049"/>
      <c r="BJ46" s="1049"/>
      <c r="BK46" s="1049"/>
      <c r="BL46" s="1049"/>
      <c r="BM46" s="1049"/>
      <c r="BN46" s="1049"/>
      <c r="BO46" s="1049"/>
      <c r="BP46" s="1049"/>
      <c r="BQ46" s="1049"/>
      <c r="BR46" s="1048"/>
      <c r="BS46" s="1048"/>
      <c r="BT46" s="1048"/>
      <c r="BU46" s="1048"/>
      <c r="BV46" s="1048"/>
      <c r="BW46" s="1048"/>
      <c r="BX46" s="1048"/>
      <c r="BY46" s="1048"/>
      <c r="BZ46" s="1048"/>
      <c r="CA46" s="1048"/>
      <c r="CB46" s="1048"/>
      <c r="CC46" s="1048"/>
      <c r="CD46" s="1048"/>
      <c r="CE46" s="1048"/>
      <c r="CF46" s="1048"/>
      <c r="CG46" s="1048"/>
      <c r="CH46" s="1048"/>
      <c r="CI46" s="1048"/>
      <c r="CJ46" s="1048"/>
      <c r="CK46" s="1048"/>
      <c r="CL46" s="1048"/>
      <c r="CM46" s="1048"/>
      <c r="CN46" s="1048"/>
      <c r="CO46" s="1048"/>
      <c r="CP46" s="1048"/>
      <c r="CQ46" s="1048"/>
      <c r="CR46" s="1048"/>
      <c r="CS46" s="1048"/>
      <c r="CT46" s="1048"/>
      <c r="CU46" s="1048"/>
      <c r="CV46" s="1048"/>
      <c r="CW46" s="1048"/>
      <c r="CX46" s="1048"/>
      <c r="CY46" s="1048"/>
      <c r="CZ46" s="1048"/>
      <c r="DA46" s="1048"/>
      <c r="DB46" s="1048"/>
      <c r="DC46" s="1048"/>
      <c r="DD46" s="1048"/>
      <c r="DE46" s="1048"/>
      <c r="DF46" s="1048"/>
      <c r="DG46" s="1048"/>
      <c r="DH46" s="1048"/>
      <c r="DI46" s="1048"/>
      <c r="DJ46" s="1048"/>
      <c r="DK46" s="1048"/>
      <c r="DL46" s="1048"/>
      <c r="DM46" s="1048"/>
      <c r="DN46" s="1048"/>
      <c r="DO46" s="1048"/>
      <c r="DP46" s="1048"/>
      <c r="DQ46" s="1048"/>
      <c r="DR46" s="1048"/>
      <c r="DS46" s="1048"/>
      <c r="DT46" s="1048"/>
      <c r="DU46" s="1048"/>
      <c r="DV46" s="1048"/>
      <c r="DW46" s="1048"/>
      <c r="DX46" s="1048"/>
      <c r="DY46" s="1048"/>
      <c r="DZ46" s="1048"/>
      <c r="EA46" s="1048"/>
      <c r="EB46" s="1048"/>
      <c r="EC46" s="1048"/>
      <c r="ED46" s="1048"/>
      <c r="EE46" s="1048"/>
      <c r="EF46" s="1048"/>
      <c r="EG46" s="1049"/>
      <c r="EH46" s="1049"/>
      <c r="EI46" s="1049"/>
      <c r="EJ46" s="1049"/>
      <c r="EK46" s="1049"/>
      <c r="EL46" s="1049"/>
      <c r="EM46" s="1049"/>
      <c r="EN46" s="1048"/>
      <c r="EO46" s="1049"/>
      <c r="EP46" s="1049"/>
      <c r="EQ46" s="1049"/>
      <c r="ER46" s="1049"/>
      <c r="ES46" s="1049"/>
      <c r="ET46" s="1049"/>
      <c r="EU46" s="1049"/>
      <c r="EV46" s="1049"/>
      <c r="EW46" s="1049"/>
      <c r="EX46" s="1049"/>
      <c r="EY46" s="1049"/>
      <c r="EZ46" s="1049"/>
      <c r="FA46" s="1049"/>
      <c r="FB46" s="1049"/>
      <c r="FC46" s="1049"/>
      <c r="FD46" s="1049"/>
      <c r="FE46" s="1049"/>
      <c r="FF46" s="1049"/>
      <c r="FG46" s="1049"/>
      <c r="FH46" s="1049"/>
      <c r="FI46" s="1049"/>
      <c r="FJ46" s="1049"/>
      <c r="FK46" s="1049"/>
      <c r="FL46" s="1049"/>
      <c r="FM46" s="1049"/>
      <c r="FN46" s="1049"/>
      <c r="FO46" s="1049"/>
      <c r="FP46" s="1049"/>
      <c r="FQ46" s="1049"/>
      <c r="FR46" s="1049"/>
      <c r="FS46" s="1049"/>
      <c r="FT46" s="1049"/>
      <c r="FU46" s="1049"/>
      <c r="FV46" s="1049"/>
      <c r="FW46" s="1049"/>
      <c r="FX46" s="1049"/>
      <c r="FY46" s="1049"/>
      <c r="FZ46" s="1049"/>
      <c r="GA46" s="1049"/>
      <c r="GB46" s="1028"/>
    </row>
    <row r="47" spans="1:184" s="1007" customFormat="1" ht="24.95" hidden="1" customHeight="1">
      <c r="A47" s="1007">
        <v>26</v>
      </c>
      <c r="B47" s="1040">
        <f>B45+1</f>
        <v>33</v>
      </c>
      <c r="C47" s="1041">
        <v>126600</v>
      </c>
      <c r="D47" s="1056" t="s">
        <v>2117</v>
      </c>
      <c r="E47" s="1058" t="s">
        <v>2118</v>
      </c>
      <c r="F47" s="1055"/>
      <c r="G47" s="1053" t="s">
        <v>823</v>
      </c>
      <c r="H47" s="1046">
        <f t="shared" si="0"/>
        <v>0</v>
      </c>
      <c r="I47" s="1029"/>
      <c r="J47" s="1046">
        <f t="shared" si="3"/>
        <v>0</v>
      </c>
      <c r="K47" s="1048"/>
      <c r="L47" s="1048"/>
      <c r="M47" s="1049"/>
      <c r="N47" s="1049"/>
      <c r="O47" s="1049"/>
      <c r="P47" s="1049"/>
      <c r="Q47" s="1049"/>
      <c r="R47" s="1049"/>
      <c r="S47" s="1049"/>
      <c r="T47" s="1049"/>
      <c r="U47" s="1049"/>
      <c r="V47" s="1049"/>
      <c r="W47" s="1049"/>
      <c r="X47" s="1049"/>
      <c r="Y47" s="1049"/>
      <c r="Z47" s="1049"/>
      <c r="AA47" s="1049"/>
      <c r="AB47" s="1050"/>
      <c r="AC47" s="1049"/>
      <c r="AD47" s="1048"/>
      <c r="AE47" s="1049"/>
      <c r="AF47" s="1049"/>
      <c r="AG47" s="1049"/>
      <c r="AH47" s="1049"/>
      <c r="AI47" s="1049"/>
      <c r="AJ47" s="1049"/>
      <c r="AK47" s="1049"/>
      <c r="AL47" s="1049"/>
      <c r="AM47" s="1049"/>
      <c r="AN47" s="1049"/>
      <c r="AO47" s="1049"/>
      <c r="AP47" s="1049"/>
      <c r="AQ47" s="1049"/>
      <c r="AR47" s="1049"/>
      <c r="AS47" s="1049"/>
      <c r="AT47" s="1049"/>
      <c r="AU47" s="1049"/>
      <c r="AV47" s="1049"/>
      <c r="AW47" s="1049"/>
      <c r="AX47" s="1049"/>
      <c r="AY47" s="1049"/>
      <c r="AZ47" s="1049"/>
      <c r="BA47" s="1049"/>
      <c r="BB47" s="1049"/>
      <c r="BC47" s="1049"/>
      <c r="BD47" s="1049"/>
      <c r="BE47" s="1049"/>
      <c r="BF47" s="1049"/>
      <c r="BG47" s="1049"/>
      <c r="BH47" s="1049"/>
      <c r="BI47" s="1049"/>
      <c r="BJ47" s="1049"/>
      <c r="BK47" s="1049"/>
      <c r="BL47" s="1049"/>
      <c r="BM47" s="1049"/>
      <c r="BN47" s="1049"/>
      <c r="BO47" s="1049"/>
      <c r="BP47" s="1049"/>
      <c r="BQ47" s="1049"/>
      <c r="BR47" s="1048"/>
      <c r="BS47" s="1048"/>
      <c r="BT47" s="1048"/>
      <c r="BU47" s="1048"/>
      <c r="BV47" s="1048"/>
      <c r="BW47" s="1048"/>
      <c r="BX47" s="1048"/>
      <c r="BY47" s="1048"/>
      <c r="BZ47" s="1048"/>
      <c r="CA47" s="1048"/>
      <c r="CB47" s="1048"/>
      <c r="CC47" s="1048"/>
      <c r="CD47" s="1048"/>
      <c r="CE47" s="1048"/>
      <c r="CF47" s="1048"/>
      <c r="CG47" s="1048"/>
      <c r="CH47" s="1048"/>
      <c r="CI47" s="1048"/>
      <c r="CJ47" s="1048"/>
      <c r="CK47" s="1048"/>
      <c r="CL47" s="1048"/>
      <c r="CM47" s="1048"/>
      <c r="CN47" s="1048"/>
      <c r="CO47" s="1048"/>
      <c r="CP47" s="1048"/>
      <c r="CQ47" s="1048"/>
      <c r="CR47" s="1048"/>
      <c r="CS47" s="1048"/>
      <c r="CT47" s="1048"/>
      <c r="CU47" s="1048"/>
      <c r="CV47" s="1048"/>
      <c r="CW47" s="1048"/>
      <c r="CX47" s="1048"/>
      <c r="CY47" s="1048"/>
      <c r="CZ47" s="1048"/>
      <c r="DA47" s="1048"/>
      <c r="DB47" s="1048"/>
      <c r="DC47" s="1048"/>
      <c r="DD47" s="1048"/>
      <c r="DE47" s="1048"/>
      <c r="DF47" s="1048"/>
      <c r="DG47" s="1048"/>
      <c r="DH47" s="1048"/>
      <c r="DI47" s="1048"/>
      <c r="DJ47" s="1048"/>
      <c r="DK47" s="1048"/>
      <c r="DL47" s="1048"/>
      <c r="DM47" s="1048"/>
      <c r="DN47" s="1048"/>
      <c r="DO47" s="1048"/>
      <c r="DP47" s="1048"/>
      <c r="DQ47" s="1048"/>
      <c r="DR47" s="1048"/>
      <c r="DS47" s="1048"/>
      <c r="DT47" s="1048"/>
      <c r="DU47" s="1048"/>
      <c r="DV47" s="1048"/>
      <c r="DW47" s="1048"/>
      <c r="DX47" s="1048"/>
      <c r="DY47" s="1048"/>
      <c r="DZ47" s="1048"/>
      <c r="EA47" s="1048"/>
      <c r="EB47" s="1048"/>
      <c r="EC47" s="1048"/>
      <c r="ED47" s="1048"/>
      <c r="EE47" s="1048"/>
      <c r="EF47" s="1048"/>
      <c r="EG47" s="1049"/>
      <c r="EH47" s="1049"/>
      <c r="EI47" s="1049"/>
      <c r="EJ47" s="1049"/>
      <c r="EK47" s="1049"/>
      <c r="EL47" s="1049"/>
      <c r="EM47" s="1049"/>
      <c r="EN47" s="1048"/>
      <c r="EO47" s="1049"/>
      <c r="EP47" s="1049"/>
      <c r="EQ47" s="1049"/>
      <c r="ER47" s="1049"/>
      <c r="ES47" s="1049"/>
      <c r="ET47" s="1049"/>
      <c r="EU47" s="1049"/>
      <c r="EV47" s="1049"/>
      <c r="EW47" s="1049"/>
      <c r="EX47" s="1049"/>
      <c r="EY47" s="1049"/>
      <c r="EZ47" s="1049"/>
      <c r="FA47" s="1049"/>
      <c r="FB47" s="1049"/>
      <c r="FC47" s="1049"/>
      <c r="FD47" s="1049"/>
      <c r="FE47" s="1049"/>
      <c r="FF47" s="1049"/>
      <c r="FG47" s="1049"/>
      <c r="FH47" s="1049"/>
      <c r="FI47" s="1049"/>
      <c r="FJ47" s="1049"/>
      <c r="FK47" s="1049"/>
      <c r="FL47" s="1049"/>
      <c r="FM47" s="1049"/>
      <c r="FN47" s="1049"/>
      <c r="FO47" s="1049"/>
      <c r="FP47" s="1049"/>
      <c r="FQ47" s="1049"/>
      <c r="FR47" s="1049"/>
      <c r="FS47" s="1049"/>
      <c r="FT47" s="1049"/>
      <c r="FU47" s="1049"/>
      <c r="FV47" s="1049"/>
      <c r="FW47" s="1049"/>
      <c r="FX47" s="1049"/>
      <c r="FY47" s="1049"/>
      <c r="FZ47" s="1049"/>
      <c r="GA47" s="1049"/>
      <c r="GB47" s="1028"/>
    </row>
    <row r="48" spans="1:184" s="1007" customFormat="1" ht="24.95" hidden="1" customHeight="1">
      <c r="A48" s="1007">
        <v>27</v>
      </c>
      <c r="B48" s="1040">
        <f t="shared" si="2"/>
        <v>34</v>
      </c>
      <c r="C48" s="1041">
        <v>126601</v>
      </c>
      <c r="D48" s="1056" t="s">
        <v>2119</v>
      </c>
      <c r="E48" s="1058" t="s">
        <v>2120</v>
      </c>
      <c r="F48" s="1055"/>
      <c r="G48" s="1053" t="s">
        <v>823</v>
      </c>
      <c r="H48" s="1046">
        <f t="shared" si="0"/>
        <v>0</v>
      </c>
      <c r="I48" s="1029"/>
      <c r="J48" s="1046">
        <f t="shared" si="3"/>
        <v>0</v>
      </c>
      <c r="K48" s="1048"/>
      <c r="L48" s="1048"/>
      <c r="M48" s="1049"/>
      <c r="N48" s="1049"/>
      <c r="O48" s="1049"/>
      <c r="P48" s="1049"/>
      <c r="Q48" s="1049"/>
      <c r="R48" s="1049"/>
      <c r="S48" s="1049"/>
      <c r="T48" s="1049"/>
      <c r="U48" s="1049"/>
      <c r="V48" s="1049"/>
      <c r="W48" s="1049"/>
      <c r="X48" s="1049"/>
      <c r="Y48" s="1049"/>
      <c r="Z48" s="1049"/>
      <c r="AA48" s="1049"/>
      <c r="AB48" s="1050"/>
      <c r="AC48" s="1049"/>
      <c r="AD48" s="1048"/>
      <c r="AE48" s="1049"/>
      <c r="AF48" s="1049"/>
      <c r="AG48" s="1049"/>
      <c r="AH48" s="1049"/>
      <c r="AI48" s="1049"/>
      <c r="AJ48" s="1049"/>
      <c r="AK48" s="1049"/>
      <c r="AL48" s="1049"/>
      <c r="AM48" s="1049"/>
      <c r="AN48" s="1049"/>
      <c r="AO48" s="1049"/>
      <c r="AP48" s="1049"/>
      <c r="AQ48" s="1049"/>
      <c r="AR48" s="1049"/>
      <c r="AS48" s="1049"/>
      <c r="AT48" s="1049"/>
      <c r="AU48" s="1049"/>
      <c r="AV48" s="1049"/>
      <c r="AW48" s="1049"/>
      <c r="AX48" s="1049"/>
      <c r="AY48" s="1049"/>
      <c r="AZ48" s="1049"/>
      <c r="BA48" s="1049"/>
      <c r="BB48" s="1049"/>
      <c r="BC48" s="1049"/>
      <c r="BD48" s="1049"/>
      <c r="BE48" s="1049"/>
      <c r="BF48" s="1049"/>
      <c r="BG48" s="1049"/>
      <c r="BH48" s="1049"/>
      <c r="BI48" s="1049"/>
      <c r="BJ48" s="1049"/>
      <c r="BK48" s="1049"/>
      <c r="BL48" s="1049"/>
      <c r="BM48" s="1049"/>
      <c r="BN48" s="1049"/>
      <c r="BO48" s="1049"/>
      <c r="BP48" s="1049"/>
      <c r="BQ48" s="1049"/>
      <c r="BR48" s="1048"/>
      <c r="BS48" s="1048"/>
      <c r="BT48" s="1048"/>
      <c r="BU48" s="1048"/>
      <c r="BV48" s="1048"/>
      <c r="BW48" s="1048"/>
      <c r="BX48" s="1048"/>
      <c r="BY48" s="1048"/>
      <c r="BZ48" s="1048"/>
      <c r="CA48" s="1048"/>
      <c r="CB48" s="1048"/>
      <c r="CC48" s="1048"/>
      <c r="CD48" s="1048"/>
      <c r="CE48" s="1048"/>
      <c r="CF48" s="1048"/>
      <c r="CG48" s="1048"/>
      <c r="CH48" s="1048"/>
      <c r="CI48" s="1048"/>
      <c r="CJ48" s="1048"/>
      <c r="CK48" s="1048"/>
      <c r="CL48" s="1048"/>
      <c r="CM48" s="1048"/>
      <c r="CN48" s="1048"/>
      <c r="CO48" s="1048"/>
      <c r="CP48" s="1048"/>
      <c r="CQ48" s="1048"/>
      <c r="CR48" s="1048"/>
      <c r="CS48" s="1048"/>
      <c r="CT48" s="1048"/>
      <c r="CU48" s="1048"/>
      <c r="CV48" s="1048"/>
      <c r="CW48" s="1048"/>
      <c r="CX48" s="1048"/>
      <c r="CY48" s="1048"/>
      <c r="CZ48" s="1048"/>
      <c r="DA48" s="1048"/>
      <c r="DB48" s="1048"/>
      <c r="DC48" s="1048"/>
      <c r="DD48" s="1048"/>
      <c r="DE48" s="1048"/>
      <c r="DF48" s="1048"/>
      <c r="DG48" s="1048"/>
      <c r="DH48" s="1048"/>
      <c r="DI48" s="1048"/>
      <c r="DJ48" s="1048"/>
      <c r="DK48" s="1048"/>
      <c r="DL48" s="1048"/>
      <c r="DM48" s="1048"/>
      <c r="DN48" s="1048"/>
      <c r="DO48" s="1048"/>
      <c r="DP48" s="1048"/>
      <c r="DQ48" s="1048"/>
      <c r="DR48" s="1048"/>
      <c r="DS48" s="1048"/>
      <c r="DT48" s="1048"/>
      <c r="DU48" s="1048"/>
      <c r="DV48" s="1048"/>
      <c r="DW48" s="1048"/>
      <c r="DX48" s="1048"/>
      <c r="DY48" s="1048"/>
      <c r="DZ48" s="1048"/>
      <c r="EA48" s="1048"/>
      <c r="EB48" s="1048"/>
      <c r="EC48" s="1048"/>
      <c r="ED48" s="1048"/>
      <c r="EE48" s="1048"/>
      <c r="EF48" s="1048"/>
      <c r="EG48" s="1049"/>
      <c r="EH48" s="1049"/>
      <c r="EI48" s="1049"/>
      <c r="EJ48" s="1049"/>
      <c r="EK48" s="1049"/>
      <c r="EL48" s="1049"/>
      <c r="EM48" s="1049"/>
      <c r="EN48" s="1048"/>
      <c r="EO48" s="1049"/>
      <c r="EP48" s="1049"/>
      <c r="EQ48" s="1049"/>
      <c r="ER48" s="1049"/>
      <c r="ES48" s="1049"/>
      <c r="ET48" s="1049"/>
      <c r="EU48" s="1049"/>
      <c r="EV48" s="1049"/>
      <c r="EW48" s="1049"/>
      <c r="EX48" s="1049"/>
      <c r="EY48" s="1049"/>
      <c r="EZ48" s="1049"/>
      <c r="FA48" s="1049"/>
      <c r="FB48" s="1049"/>
      <c r="FC48" s="1049"/>
      <c r="FD48" s="1049"/>
      <c r="FE48" s="1049"/>
      <c r="FF48" s="1049"/>
      <c r="FG48" s="1049"/>
      <c r="FH48" s="1049"/>
      <c r="FI48" s="1049"/>
      <c r="FJ48" s="1049"/>
      <c r="FK48" s="1049"/>
      <c r="FL48" s="1049"/>
      <c r="FM48" s="1049"/>
      <c r="FN48" s="1049"/>
      <c r="FO48" s="1049"/>
      <c r="FP48" s="1049"/>
      <c r="FQ48" s="1049"/>
      <c r="FR48" s="1049"/>
      <c r="FS48" s="1049"/>
      <c r="FT48" s="1049"/>
      <c r="FU48" s="1049"/>
      <c r="FV48" s="1049"/>
      <c r="FW48" s="1049"/>
      <c r="FX48" s="1049"/>
      <c r="FY48" s="1049"/>
      <c r="FZ48" s="1049"/>
      <c r="GA48" s="1049"/>
      <c r="GB48" s="1028"/>
    </row>
    <row r="49" spans="1:184" s="1007" customFormat="1" ht="24.95" hidden="1" customHeight="1">
      <c r="A49" s="1007">
        <v>27</v>
      </c>
      <c r="B49" s="1040">
        <f t="shared" si="2"/>
        <v>35</v>
      </c>
      <c r="C49" s="1041"/>
      <c r="D49" s="1056" t="s">
        <v>2121</v>
      </c>
      <c r="E49" s="1058" t="s">
        <v>2122</v>
      </c>
      <c r="F49" s="1055"/>
      <c r="G49" s="1053" t="s">
        <v>823</v>
      </c>
      <c r="H49" s="1046">
        <f t="shared" si="0"/>
        <v>0</v>
      </c>
      <c r="I49" s="1029"/>
      <c r="J49" s="1046">
        <f t="shared" si="3"/>
        <v>0</v>
      </c>
      <c r="K49" s="1048"/>
      <c r="L49" s="1048"/>
      <c r="M49" s="1049"/>
      <c r="N49" s="1049"/>
      <c r="O49" s="1049"/>
      <c r="P49" s="1049"/>
      <c r="Q49" s="1049"/>
      <c r="R49" s="1049"/>
      <c r="S49" s="1049"/>
      <c r="T49" s="1049"/>
      <c r="U49" s="1049"/>
      <c r="V49" s="1049"/>
      <c r="W49" s="1049"/>
      <c r="X49" s="1049"/>
      <c r="Y49" s="1049"/>
      <c r="Z49" s="1049"/>
      <c r="AA49" s="1049"/>
      <c r="AB49" s="1050"/>
      <c r="AC49" s="1049"/>
      <c r="AD49" s="1048"/>
      <c r="AE49" s="1049"/>
      <c r="AF49" s="1049"/>
      <c r="AG49" s="1049"/>
      <c r="AH49" s="1049"/>
      <c r="AI49" s="1049"/>
      <c r="AJ49" s="1049"/>
      <c r="AK49" s="1049"/>
      <c r="AL49" s="1049"/>
      <c r="AM49" s="1049"/>
      <c r="AN49" s="1049"/>
      <c r="AO49" s="1049"/>
      <c r="AP49" s="1049"/>
      <c r="AQ49" s="1049"/>
      <c r="AR49" s="1049"/>
      <c r="AS49" s="1049"/>
      <c r="AT49" s="1049"/>
      <c r="AU49" s="1049"/>
      <c r="AV49" s="1049"/>
      <c r="AW49" s="1049"/>
      <c r="AX49" s="1049"/>
      <c r="AY49" s="1049"/>
      <c r="AZ49" s="1049"/>
      <c r="BA49" s="1049"/>
      <c r="BB49" s="1049"/>
      <c r="BC49" s="1049"/>
      <c r="BD49" s="1049"/>
      <c r="BE49" s="1049"/>
      <c r="BF49" s="1049"/>
      <c r="BG49" s="1049"/>
      <c r="BH49" s="1049"/>
      <c r="BI49" s="1049"/>
      <c r="BJ49" s="1049"/>
      <c r="BK49" s="1049"/>
      <c r="BL49" s="1049"/>
      <c r="BM49" s="1049"/>
      <c r="BN49" s="1049"/>
      <c r="BO49" s="1049"/>
      <c r="BP49" s="1049"/>
      <c r="BQ49" s="1049"/>
      <c r="BR49" s="1048"/>
      <c r="BS49" s="1048"/>
      <c r="BT49" s="1048"/>
      <c r="BU49" s="1048"/>
      <c r="BV49" s="1048"/>
      <c r="BW49" s="1048"/>
      <c r="BX49" s="1048"/>
      <c r="BY49" s="1048"/>
      <c r="BZ49" s="1048"/>
      <c r="CA49" s="1048"/>
      <c r="CB49" s="1048"/>
      <c r="CC49" s="1048"/>
      <c r="CD49" s="1048"/>
      <c r="CE49" s="1048"/>
      <c r="CF49" s="1048"/>
      <c r="CG49" s="1048"/>
      <c r="CH49" s="1048"/>
      <c r="CI49" s="1048"/>
      <c r="CJ49" s="1048"/>
      <c r="CK49" s="1048"/>
      <c r="CL49" s="1048"/>
      <c r="CM49" s="1048"/>
      <c r="CN49" s="1048"/>
      <c r="CO49" s="1048"/>
      <c r="CP49" s="1048"/>
      <c r="CQ49" s="1048"/>
      <c r="CR49" s="1048"/>
      <c r="CS49" s="1048"/>
      <c r="CT49" s="1048"/>
      <c r="CU49" s="1048"/>
      <c r="CV49" s="1048"/>
      <c r="CW49" s="1048"/>
      <c r="CX49" s="1048"/>
      <c r="CY49" s="1048"/>
      <c r="CZ49" s="1048"/>
      <c r="DA49" s="1048"/>
      <c r="DB49" s="1048"/>
      <c r="DC49" s="1048"/>
      <c r="DD49" s="1048"/>
      <c r="DE49" s="1048"/>
      <c r="DF49" s="1048"/>
      <c r="DG49" s="1048"/>
      <c r="DH49" s="1048"/>
      <c r="DI49" s="1048"/>
      <c r="DJ49" s="1048"/>
      <c r="DK49" s="1048"/>
      <c r="DL49" s="1048"/>
      <c r="DM49" s="1048"/>
      <c r="DN49" s="1048"/>
      <c r="DO49" s="1048"/>
      <c r="DP49" s="1048"/>
      <c r="DQ49" s="1048"/>
      <c r="DR49" s="1048"/>
      <c r="DS49" s="1048"/>
      <c r="DT49" s="1048"/>
      <c r="DU49" s="1048"/>
      <c r="DV49" s="1048"/>
      <c r="DW49" s="1048"/>
      <c r="DX49" s="1048"/>
      <c r="DY49" s="1048"/>
      <c r="DZ49" s="1048"/>
      <c r="EA49" s="1048"/>
      <c r="EB49" s="1048"/>
      <c r="EC49" s="1048"/>
      <c r="ED49" s="1048"/>
      <c r="EE49" s="1048"/>
      <c r="EF49" s="1048"/>
      <c r="EG49" s="1049"/>
      <c r="EH49" s="1049"/>
      <c r="EI49" s="1049"/>
      <c r="EJ49" s="1049"/>
      <c r="EK49" s="1049"/>
      <c r="EL49" s="1049"/>
      <c r="EM49" s="1049"/>
      <c r="EN49" s="1048"/>
      <c r="EO49" s="1049"/>
      <c r="EP49" s="1049"/>
      <c r="EQ49" s="1049"/>
      <c r="ER49" s="1049"/>
      <c r="ES49" s="1049"/>
      <c r="ET49" s="1049"/>
      <c r="EU49" s="1049"/>
      <c r="EV49" s="1049"/>
      <c r="EW49" s="1049"/>
      <c r="EX49" s="1049"/>
      <c r="EY49" s="1049"/>
      <c r="EZ49" s="1049"/>
      <c r="FA49" s="1049"/>
      <c r="FB49" s="1049"/>
      <c r="FC49" s="1049"/>
      <c r="FD49" s="1049"/>
      <c r="FE49" s="1049"/>
      <c r="FF49" s="1049"/>
      <c r="FG49" s="1049"/>
      <c r="FH49" s="1049"/>
      <c r="FI49" s="1049"/>
      <c r="FJ49" s="1049"/>
      <c r="FK49" s="1049"/>
      <c r="FL49" s="1049"/>
      <c r="FM49" s="1049"/>
      <c r="FN49" s="1049"/>
      <c r="FO49" s="1049"/>
      <c r="FP49" s="1049"/>
      <c r="FQ49" s="1049"/>
      <c r="FR49" s="1049"/>
      <c r="FS49" s="1049"/>
      <c r="FT49" s="1049"/>
      <c r="FU49" s="1049"/>
      <c r="FV49" s="1049"/>
      <c r="FW49" s="1049"/>
      <c r="FX49" s="1049"/>
      <c r="FY49" s="1049"/>
      <c r="FZ49" s="1049"/>
      <c r="GA49" s="1049"/>
      <c r="GB49" s="1028"/>
    </row>
    <row r="50" spans="1:184" s="1007" customFormat="1" ht="24.95" hidden="1" customHeight="1">
      <c r="B50" s="1040"/>
      <c r="C50" s="1041"/>
      <c r="D50" s="1056" t="s">
        <v>2123</v>
      </c>
      <c r="E50" s="1058" t="s">
        <v>2124</v>
      </c>
      <c r="F50" s="1055"/>
      <c r="G50" s="1053" t="s">
        <v>823</v>
      </c>
      <c r="H50" s="1046">
        <f t="shared" si="0"/>
        <v>0</v>
      </c>
      <c r="I50" s="1029"/>
      <c r="J50" s="1046">
        <f t="shared" si="3"/>
        <v>0</v>
      </c>
      <c r="K50" s="1048"/>
      <c r="L50" s="1048"/>
      <c r="M50" s="1049"/>
      <c r="N50" s="1049"/>
      <c r="O50" s="1049"/>
      <c r="P50" s="1049"/>
      <c r="Q50" s="1049"/>
      <c r="R50" s="1049"/>
      <c r="S50" s="1049"/>
      <c r="T50" s="1049"/>
      <c r="U50" s="1049"/>
      <c r="V50" s="1049"/>
      <c r="W50" s="1049"/>
      <c r="X50" s="1049"/>
      <c r="Y50" s="1049"/>
      <c r="Z50" s="1049"/>
      <c r="AA50" s="1049"/>
      <c r="AB50" s="1050"/>
      <c r="AC50" s="1049"/>
      <c r="AD50" s="1048"/>
      <c r="AE50" s="1049"/>
      <c r="AF50" s="1049"/>
      <c r="AG50" s="1049"/>
      <c r="AH50" s="1049"/>
      <c r="AI50" s="1049"/>
      <c r="AJ50" s="1049"/>
      <c r="AK50" s="1049"/>
      <c r="AL50" s="1049"/>
      <c r="AM50" s="1049"/>
      <c r="AN50" s="1049"/>
      <c r="AO50" s="1049"/>
      <c r="AP50" s="1049"/>
      <c r="AQ50" s="1049"/>
      <c r="AR50" s="1049"/>
      <c r="AS50" s="1049"/>
      <c r="AT50" s="1049"/>
      <c r="AU50" s="1049"/>
      <c r="AV50" s="1049"/>
      <c r="AW50" s="1049"/>
      <c r="AX50" s="1049"/>
      <c r="AY50" s="1049"/>
      <c r="AZ50" s="1049"/>
      <c r="BA50" s="1049"/>
      <c r="BB50" s="1049"/>
      <c r="BC50" s="1049"/>
      <c r="BD50" s="1049"/>
      <c r="BE50" s="1049"/>
      <c r="BF50" s="1049"/>
      <c r="BG50" s="1049"/>
      <c r="BH50" s="1049"/>
      <c r="BI50" s="1049"/>
      <c r="BJ50" s="1049"/>
      <c r="BK50" s="1049"/>
      <c r="BL50" s="1049"/>
      <c r="BM50" s="1049"/>
      <c r="BN50" s="1049"/>
      <c r="BO50" s="1049"/>
      <c r="BP50" s="1049"/>
      <c r="BQ50" s="1049"/>
      <c r="BR50" s="1048"/>
      <c r="BS50" s="1048"/>
      <c r="BT50" s="1048"/>
      <c r="BU50" s="1048"/>
      <c r="BV50" s="1048"/>
      <c r="BW50" s="1048"/>
      <c r="BX50" s="1048"/>
      <c r="BY50" s="1048"/>
      <c r="BZ50" s="1048"/>
      <c r="CA50" s="1048"/>
      <c r="CB50" s="1048"/>
      <c r="CC50" s="1048"/>
      <c r="CD50" s="1048"/>
      <c r="CE50" s="1048"/>
      <c r="CF50" s="1048"/>
      <c r="CG50" s="1048"/>
      <c r="CH50" s="1048"/>
      <c r="CI50" s="1048"/>
      <c r="CJ50" s="1048"/>
      <c r="CK50" s="1048"/>
      <c r="CL50" s="1048"/>
      <c r="CM50" s="1048"/>
      <c r="CN50" s="1048"/>
      <c r="CO50" s="1048"/>
      <c r="CP50" s="1048"/>
      <c r="CQ50" s="1048"/>
      <c r="CR50" s="1048"/>
      <c r="CS50" s="1048"/>
      <c r="CT50" s="1048"/>
      <c r="CU50" s="1048"/>
      <c r="CV50" s="1048"/>
      <c r="CW50" s="1048"/>
      <c r="CX50" s="1048"/>
      <c r="CY50" s="1048"/>
      <c r="CZ50" s="1048"/>
      <c r="DA50" s="1048"/>
      <c r="DB50" s="1048"/>
      <c r="DC50" s="1048"/>
      <c r="DD50" s="1048"/>
      <c r="DE50" s="1048"/>
      <c r="DF50" s="1048"/>
      <c r="DG50" s="1048"/>
      <c r="DH50" s="1048"/>
      <c r="DI50" s="1048"/>
      <c r="DJ50" s="1048"/>
      <c r="DK50" s="1048"/>
      <c r="DL50" s="1048"/>
      <c r="DM50" s="1048"/>
      <c r="DN50" s="1048"/>
      <c r="DO50" s="1048"/>
      <c r="DP50" s="1048"/>
      <c r="DQ50" s="1048"/>
      <c r="DR50" s="1048"/>
      <c r="DS50" s="1048"/>
      <c r="DT50" s="1048"/>
      <c r="DU50" s="1048"/>
      <c r="DV50" s="1048"/>
      <c r="DW50" s="1048"/>
      <c r="DX50" s="1048"/>
      <c r="DY50" s="1048"/>
      <c r="DZ50" s="1048"/>
      <c r="EA50" s="1048"/>
      <c r="EB50" s="1048"/>
      <c r="EC50" s="1048"/>
      <c r="ED50" s="1048"/>
      <c r="EE50" s="1048"/>
      <c r="EF50" s="1048"/>
      <c r="EG50" s="1049"/>
      <c r="EH50" s="1049"/>
      <c r="EI50" s="1049"/>
      <c r="EJ50" s="1049"/>
      <c r="EK50" s="1049"/>
      <c r="EL50" s="1049"/>
      <c r="EM50" s="1049"/>
      <c r="EN50" s="1048"/>
      <c r="EO50" s="1049"/>
      <c r="EP50" s="1049"/>
      <c r="EQ50" s="1049"/>
      <c r="ER50" s="1049"/>
      <c r="ES50" s="1049"/>
      <c r="ET50" s="1049"/>
      <c r="EU50" s="1049"/>
      <c r="EV50" s="1049"/>
      <c r="EW50" s="1049"/>
      <c r="EX50" s="1049"/>
      <c r="EY50" s="1049"/>
      <c r="EZ50" s="1049"/>
      <c r="FA50" s="1049"/>
      <c r="FB50" s="1049"/>
      <c r="FC50" s="1049"/>
      <c r="FD50" s="1049"/>
      <c r="FE50" s="1049"/>
      <c r="FF50" s="1049"/>
      <c r="FG50" s="1049"/>
      <c r="FH50" s="1049"/>
      <c r="FI50" s="1049"/>
      <c r="FJ50" s="1049"/>
      <c r="FK50" s="1049"/>
      <c r="FL50" s="1049"/>
      <c r="FM50" s="1049"/>
      <c r="FN50" s="1049"/>
      <c r="FO50" s="1049"/>
      <c r="FP50" s="1049"/>
      <c r="FQ50" s="1049"/>
      <c r="FR50" s="1049"/>
      <c r="FS50" s="1049"/>
      <c r="FT50" s="1049"/>
      <c r="FU50" s="1049"/>
      <c r="FV50" s="1049"/>
      <c r="FW50" s="1049"/>
      <c r="FX50" s="1049"/>
      <c r="FY50" s="1049"/>
      <c r="FZ50" s="1049"/>
      <c r="GA50" s="1049"/>
      <c r="GB50" s="1028"/>
    </row>
    <row r="51" spans="1:184" s="1007" customFormat="1" ht="24.95" hidden="1" customHeight="1">
      <c r="A51" s="1007">
        <v>26</v>
      </c>
      <c r="B51" s="1040">
        <f>B48+1</f>
        <v>35</v>
      </c>
      <c r="C51" s="1041">
        <v>124745</v>
      </c>
      <c r="D51" s="1056" t="s">
        <v>2125</v>
      </c>
      <c r="E51" s="1058" t="s">
        <v>2126</v>
      </c>
      <c r="F51" s="1055"/>
      <c r="G51" s="1053" t="s">
        <v>823</v>
      </c>
      <c r="H51" s="1046">
        <f t="shared" si="0"/>
        <v>0</v>
      </c>
      <c r="I51" s="1029"/>
      <c r="J51" s="1046">
        <f t="shared" si="3"/>
        <v>0</v>
      </c>
      <c r="K51" s="1048"/>
      <c r="L51" s="1048"/>
      <c r="M51" s="1049"/>
      <c r="N51" s="1049"/>
      <c r="O51" s="1049"/>
      <c r="P51" s="1049"/>
      <c r="Q51" s="1049"/>
      <c r="R51" s="1049"/>
      <c r="S51" s="1049"/>
      <c r="T51" s="1049"/>
      <c r="U51" s="1049"/>
      <c r="V51" s="1049"/>
      <c r="W51" s="1049"/>
      <c r="X51" s="1049"/>
      <c r="Y51" s="1049"/>
      <c r="Z51" s="1049"/>
      <c r="AA51" s="1049"/>
      <c r="AB51" s="1050"/>
      <c r="AC51" s="1049"/>
      <c r="AD51" s="1048"/>
      <c r="AE51" s="1049"/>
      <c r="AF51" s="1049"/>
      <c r="AG51" s="1049"/>
      <c r="AH51" s="1049"/>
      <c r="AI51" s="1049"/>
      <c r="AJ51" s="1049"/>
      <c r="AK51" s="1049"/>
      <c r="AL51" s="1049"/>
      <c r="AM51" s="1049"/>
      <c r="AN51" s="1049"/>
      <c r="AO51" s="1049"/>
      <c r="AP51" s="1049"/>
      <c r="AQ51" s="1049"/>
      <c r="AR51" s="1049"/>
      <c r="AS51" s="1049"/>
      <c r="AT51" s="1049"/>
      <c r="AU51" s="1049"/>
      <c r="AV51" s="1049"/>
      <c r="AW51" s="1049"/>
      <c r="AX51" s="1049"/>
      <c r="AY51" s="1049"/>
      <c r="AZ51" s="1049"/>
      <c r="BA51" s="1049"/>
      <c r="BB51" s="1049"/>
      <c r="BC51" s="1049"/>
      <c r="BD51" s="1049"/>
      <c r="BE51" s="1049"/>
      <c r="BF51" s="1049"/>
      <c r="BG51" s="1049"/>
      <c r="BH51" s="1049"/>
      <c r="BI51" s="1049"/>
      <c r="BJ51" s="1049"/>
      <c r="BK51" s="1049"/>
      <c r="BL51" s="1049"/>
      <c r="BM51" s="1049"/>
      <c r="BN51" s="1049"/>
      <c r="BO51" s="1049"/>
      <c r="BP51" s="1049"/>
      <c r="BQ51" s="1049"/>
      <c r="BR51" s="1048"/>
      <c r="BS51" s="1048"/>
      <c r="BT51" s="1048"/>
      <c r="BU51" s="1048"/>
      <c r="BV51" s="1048"/>
      <c r="BW51" s="1048"/>
      <c r="BX51" s="1048"/>
      <c r="BY51" s="1048"/>
      <c r="BZ51" s="1048"/>
      <c r="CA51" s="1048"/>
      <c r="CB51" s="1048"/>
      <c r="CC51" s="1048"/>
      <c r="CD51" s="1048"/>
      <c r="CE51" s="1048"/>
      <c r="CF51" s="1048"/>
      <c r="CG51" s="1048"/>
      <c r="CH51" s="1048"/>
      <c r="CI51" s="1048"/>
      <c r="CJ51" s="1048"/>
      <c r="CK51" s="1048"/>
      <c r="CL51" s="1048"/>
      <c r="CM51" s="1048"/>
      <c r="CN51" s="1048"/>
      <c r="CO51" s="1048"/>
      <c r="CP51" s="1048"/>
      <c r="CQ51" s="1048"/>
      <c r="CR51" s="1048"/>
      <c r="CS51" s="1048"/>
      <c r="CT51" s="1048"/>
      <c r="CU51" s="1048"/>
      <c r="CV51" s="1048"/>
      <c r="CW51" s="1048"/>
      <c r="CX51" s="1048"/>
      <c r="CY51" s="1048"/>
      <c r="CZ51" s="1048"/>
      <c r="DA51" s="1048"/>
      <c r="DB51" s="1048"/>
      <c r="DC51" s="1048"/>
      <c r="DD51" s="1048"/>
      <c r="DE51" s="1048"/>
      <c r="DF51" s="1048"/>
      <c r="DG51" s="1048"/>
      <c r="DH51" s="1048"/>
      <c r="DI51" s="1048"/>
      <c r="DJ51" s="1048"/>
      <c r="DK51" s="1048"/>
      <c r="DL51" s="1048"/>
      <c r="DM51" s="1048"/>
      <c r="DN51" s="1048"/>
      <c r="DO51" s="1048"/>
      <c r="DP51" s="1048"/>
      <c r="DQ51" s="1048"/>
      <c r="DR51" s="1048"/>
      <c r="DS51" s="1048"/>
      <c r="DT51" s="1048"/>
      <c r="DU51" s="1048"/>
      <c r="DV51" s="1048"/>
      <c r="DW51" s="1048"/>
      <c r="DX51" s="1048"/>
      <c r="DY51" s="1048"/>
      <c r="DZ51" s="1048"/>
      <c r="EA51" s="1048"/>
      <c r="EB51" s="1048"/>
      <c r="EC51" s="1048"/>
      <c r="ED51" s="1048"/>
      <c r="EE51" s="1048"/>
      <c r="EF51" s="1048"/>
      <c r="EG51" s="1049"/>
      <c r="EH51" s="1049"/>
      <c r="EI51" s="1049"/>
      <c r="EJ51" s="1049"/>
      <c r="EK51" s="1049"/>
      <c r="EL51" s="1049"/>
      <c r="EM51" s="1049"/>
      <c r="EN51" s="1048"/>
      <c r="EO51" s="1049"/>
      <c r="EP51" s="1049"/>
      <c r="EQ51" s="1049"/>
      <c r="ER51" s="1049"/>
      <c r="ES51" s="1049"/>
      <c r="ET51" s="1049"/>
      <c r="EU51" s="1049"/>
      <c r="EV51" s="1049"/>
      <c r="EW51" s="1049"/>
      <c r="EX51" s="1049"/>
      <c r="EY51" s="1049"/>
      <c r="EZ51" s="1049"/>
      <c r="FA51" s="1049"/>
      <c r="FB51" s="1049"/>
      <c r="FC51" s="1049"/>
      <c r="FD51" s="1049"/>
      <c r="FE51" s="1049"/>
      <c r="FF51" s="1049"/>
      <c r="FG51" s="1049"/>
      <c r="FH51" s="1049"/>
      <c r="FI51" s="1049"/>
      <c r="FJ51" s="1049"/>
      <c r="FK51" s="1049"/>
      <c r="FL51" s="1049"/>
      <c r="FM51" s="1049"/>
      <c r="FN51" s="1049"/>
      <c r="FO51" s="1049"/>
      <c r="FP51" s="1049"/>
      <c r="FQ51" s="1049"/>
      <c r="FR51" s="1049"/>
      <c r="FS51" s="1049"/>
      <c r="FT51" s="1049"/>
      <c r="FU51" s="1049"/>
      <c r="FV51" s="1049"/>
      <c r="FW51" s="1049"/>
      <c r="FX51" s="1049"/>
      <c r="FY51" s="1049"/>
      <c r="FZ51" s="1049"/>
      <c r="GA51" s="1049"/>
      <c r="GB51" s="1028"/>
    </row>
    <row r="52" spans="1:184" s="1007" customFormat="1" ht="24.95" hidden="1" customHeight="1">
      <c r="A52" s="1007">
        <v>27</v>
      </c>
      <c r="B52" s="1040">
        <f t="shared" si="2"/>
        <v>36</v>
      </c>
      <c r="C52" s="1041">
        <v>124746</v>
      </c>
      <c r="D52" s="1056" t="s">
        <v>2127</v>
      </c>
      <c r="E52" s="1058" t="s">
        <v>2128</v>
      </c>
      <c r="F52" s="1055"/>
      <c r="G52" s="1053" t="s">
        <v>823</v>
      </c>
      <c r="H52" s="1046">
        <f t="shared" si="0"/>
        <v>0</v>
      </c>
      <c r="I52" s="1029"/>
      <c r="J52" s="1046">
        <f t="shared" si="3"/>
        <v>0</v>
      </c>
      <c r="K52" s="1048"/>
      <c r="L52" s="1048"/>
      <c r="M52" s="1049"/>
      <c r="N52" s="1049"/>
      <c r="O52" s="1049"/>
      <c r="P52" s="1049"/>
      <c r="Q52" s="1049"/>
      <c r="R52" s="1049"/>
      <c r="S52" s="1049"/>
      <c r="T52" s="1049"/>
      <c r="U52" s="1049"/>
      <c r="V52" s="1049"/>
      <c r="W52" s="1049"/>
      <c r="X52" s="1049"/>
      <c r="Y52" s="1049"/>
      <c r="Z52" s="1049"/>
      <c r="AA52" s="1049"/>
      <c r="AB52" s="1050"/>
      <c r="AC52" s="1049"/>
      <c r="AD52" s="1048"/>
      <c r="AE52" s="1049"/>
      <c r="AF52" s="1049"/>
      <c r="AG52" s="1049"/>
      <c r="AH52" s="1049"/>
      <c r="AI52" s="1049"/>
      <c r="AJ52" s="1049"/>
      <c r="AK52" s="1049"/>
      <c r="AL52" s="1049"/>
      <c r="AM52" s="1049"/>
      <c r="AN52" s="1049"/>
      <c r="AO52" s="1049"/>
      <c r="AP52" s="1049"/>
      <c r="AQ52" s="1049"/>
      <c r="AR52" s="1049"/>
      <c r="AS52" s="1049"/>
      <c r="AT52" s="1049"/>
      <c r="AU52" s="1049"/>
      <c r="AV52" s="1049"/>
      <c r="AW52" s="1049"/>
      <c r="AX52" s="1049"/>
      <c r="AY52" s="1049"/>
      <c r="AZ52" s="1049"/>
      <c r="BA52" s="1049"/>
      <c r="BB52" s="1049"/>
      <c r="BC52" s="1049"/>
      <c r="BD52" s="1049"/>
      <c r="BE52" s="1049"/>
      <c r="BF52" s="1049"/>
      <c r="BG52" s="1049"/>
      <c r="BH52" s="1049"/>
      <c r="BI52" s="1049"/>
      <c r="BJ52" s="1049"/>
      <c r="BK52" s="1049"/>
      <c r="BL52" s="1049"/>
      <c r="BM52" s="1049"/>
      <c r="BN52" s="1049"/>
      <c r="BO52" s="1049"/>
      <c r="BP52" s="1049"/>
      <c r="BQ52" s="1049"/>
      <c r="BR52" s="1048"/>
      <c r="BS52" s="1048"/>
      <c r="BT52" s="1048"/>
      <c r="BU52" s="1048"/>
      <c r="BV52" s="1048"/>
      <c r="BW52" s="1048"/>
      <c r="BX52" s="1048"/>
      <c r="BY52" s="1048"/>
      <c r="BZ52" s="1048"/>
      <c r="CA52" s="1048"/>
      <c r="CB52" s="1048"/>
      <c r="CC52" s="1048"/>
      <c r="CD52" s="1048"/>
      <c r="CE52" s="1048"/>
      <c r="CF52" s="1048"/>
      <c r="CG52" s="1048"/>
      <c r="CH52" s="1048"/>
      <c r="CI52" s="1048"/>
      <c r="CJ52" s="1048"/>
      <c r="CK52" s="1048"/>
      <c r="CL52" s="1048"/>
      <c r="CM52" s="1048"/>
      <c r="CN52" s="1048"/>
      <c r="CO52" s="1048"/>
      <c r="CP52" s="1048"/>
      <c r="CQ52" s="1048"/>
      <c r="CR52" s="1048"/>
      <c r="CS52" s="1048"/>
      <c r="CT52" s="1048"/>
      <c r="CU52" s="1048"/>
      <c r="CV52" s="1048"/>
      <c r="CW52" s="1048"/>
      <c r="CX52" s="1048"/>
      <c r="CY52" s="1048"/>
      <c r="CZ52" s="1048"/>
      <c r="DA52" s="1048"/>
      <c r="DB52" s="1048"/>
      <c r="DC52" s="1048"/>
      <c r="DD52" s="1048"/>
      <c r="DE52" s="1048"/>
      <c r="DF52" s="1048"/>
      <c r="DG52" s="1048"/>
      <c r="DH52" s="1048"/>
      <c r="DI52" s="1048"/>
      <c r="DJ52" s="1048"/>
      <c r="DK52" s="1048"/>
      <c r="DL52" s="1048"/>
      <c r="DM52" s="1048"/>
      <c r="DN52" s="1048"/>
      <c r="DO52" s="1048"/>
      <c r="DP52" s="1048"/>
      <c r="DQ52" s="1048"/>
      <c r="DR52" s="1048"/>
      <c r="DS52" s="1048"/>
      <c r="DT52" s="1048"/>
      <c r="DU52" s="1048"/>
      <c r="DV52" s="1048"/>
      <c r="DW52" s="1048"/>
      <c r="DX52" s="1048"/>
      <c r="DY52" s="1048"/>
      <c r="DZ52" s="1048"/>
      <c r="EA52" s="1048"/>
      <c r="EB52" s="1048"/>
      <c r="EC52" s="1048"/>
      <c r="ED52" s="1048"/>
      <c r="EE52" s="1048"/>
      <c r="EF52" s="1048"/>
      <c r="EG52" s="1049"/>
      <c r="EH52" s="1049"/>
      <c r="EI52" s="1049"/>
      <c r="EJ52" s="1049"/>
      <c r="EK52" s="1049"/>
      <c r="EL52" s="1049"/>
      <c r="EM52" s="1049"/>
      <c r="EN52" s="1048"/>
      <c r="EO52" s="1049"/>
      <c r="EP52" s="1049"/>
      <c r="EQ52" s="1049"/>
      <c r="ER52" s="1049"/>
      <c r="ES52" s="1049"/>
      <c r="ET52" s="1049"/>
      <c r="EU52" s="1049"/>
      <c r="EV52" s="1049"/>
      <c r="EW52" s="1049"/>
      <c r="EX52" s="1049"/>
      <c r="EY52" s="1049"/>
      <c r="EZ52" s="1049"/>
      <c r="FA52" s="1049"/>
      <c r="FB52" s="1049"/>
      <c r="FC52" s="1049"/>
      <c r="FD52" s="1049"/>
      <c r="FE52" s="1049"/>
      <c r="FF52" s="1049"/>
      <c r="FG52" s="1049"/>
      <c r="FH52" s="1049"/>
      <c r="FI52" s="1049"/>
      <c r="FJ52" s="1049"/>
      <c r="FK52" s="1049"/>
      <c r="FL52" s="1049"/>
      <c r="FM52" s="1049"/>
      <c r="FN52" s="1049"/>
      <c r="FO52" s="1049"/>
      <c r="FP52" s="1049"/>
      <c r="FQ52" s="1049"/>
      <c r="FR52" s="1049"/>
      <c r="FS52" s="1049"/>
      <c r="FT52" s="1049"/>
      <c r="FU52" s="1049"/>
      <c r="FV52" s="1049"/>
      <c r="FW52" s="1049"/>
      <c r="FX52" s="1049"/>
      <c r="FY52" s="1049"/>
      <c r="FZ52" s="1049"/>
      <c r="GA52" s="1049"/>
      <c r="GB52" s="1028"/>
    </row>
    <row r="53" spans="1:184" s="1007" customFormat="1" ht="24.95" customHeight="1">
      <c r="A53" s="1007">
        <v>28</v>
      </c>
      <c r="B53" s="1040">
        <f t="shared" si="2"/>
        <v>37</v>
      </c>
      <c r="C53" s="1041">
        <v>126336</v>
      </c>
      <c r="D53" s="1056" t="s">
        <v>2129</v>
      </c>
      <c r="E53" s="1058" t="s">
        <v>2130</v>
      </c>
      <c r="F53" s="1055"/>
      <c r="G53" s="1053" t="s">
        <v>195</v>
      </c>
      <c r="H53" s="1046">
        <f t="shared" si="0"/>
        <v>1</v>
      </c>
      <c r="I53" s="1029"/>
      <c r="J53" s="1046">
        <f>ROUNDUP(SUM(K53:GA53),1)</f>
        <v>1</v>
      </c>
      <c r="K53" s="1048"/>
      <c r="L53" s="1048"/>
      <c r="M53" s="1049"/>
      <c r="N53" s="1049"/>
      <c r="O53" s="1049"/>
      <c r="P53" s="1049"/>
      <c r="Q53" s="1049"/>
      <c r="R53" s="1049"/>
      <c r="S53" s="1049"/>
      <c r="T53" s="1049"/>
      <c r="U53" s="1049"/>
      <c r="V53" s="1049"/>
      <c r="W53" s="1049"/>
      <c r="X53" s="1049"/>
      <c r="Y53" s="1049"/>
      <c r="Z53" s="1049"/>
      <c r="AA53" s="1049"/>
      <c r="AB53" s="1050"/>
      <c r="AC53" s="1049"/>
      <c r="AD53" s="1048"/>
      <c r="AE53" s="1049"/>
      <c r="AF53" s="1049"/>
      <c r="AG53" s="1049"/>
      <c r="AH53" s="1049"/>
      <c r="AI53" s="1049"/>
      <c r="AJ53" s="1049"/>
      <c r="AK53" s="1049"/>
      <c r="AL53" s="1049"/>
      <c r="AM53" s="1049"/>
      <c r="AN53" s="1049"/>
      <c r="AO53" s="1049"/>
      <c r="AP53" s="1049"/>
      <c r="AQ53" s="1049"/>
      <c r="AR53" s="1049"/>
      <c r="AS53" s="1049"/>
      <c r="AT53" s="1049"/>
      <c r="AU53" s="1049"/>
      <c r="AV53" s="1049"/>
      <c r="AW53" s="1049"/>
      <c r="AX53" s="1049"/>
      <c r="AY53" s="1049"/>
      <c r="AZ53" s="1049"/>
      <c r="BA53" s="1049"/>
      <c r="BB53" s="1049"/>
      <c r="BC53" s="1049"/>
      <c r="BD53" s="1049"/>
      <c r="BE53" s="1049"/>
      <c r="BF53" s="1049"/>
      <c r="BG53" s="1049"/>
      <c r="BH53" s="1049"/>
      <c r="BI53" s="1049"/>
      <c r="BJ53" s="1049"/>
      <c r="BK53" s="1049"/>
      <c r="BL53" s="1049"/>
      <c r="BM53" s="1049"/>
      <c r="BN53" s="1049"/>
      <c r="BO53" s="1049"/>
      <c r="BP53" s="1049"/>
      <c r="BQ53" s="1049"/>
      <c r="BR53" s="1048"/>
      <c r="BS53" s="1048"/>
      <c r="BT53" s="1048"/>
      <c r="BU53" s="1048"/>
      <c r="BV53" s="1048"/>
      <c r="BW53" s="1048"/>
      <c r="BX53" s="1048"/>
      <c r="BY53" s="1048"/>
      <c r="BZ53" s="1048"/>
      <c r="CA53" s="1048"/>
      <c r="CB53" s="1048"/>
      <c r="CC53" s="1048"/>
      <c r="CD53" s="1048"/>
      <c r="CE53" s="1048"/>
      <c r="CF53" s="1048"/>
      <c r="CG53" s="1048"/>
      <c r="CH53" s="1048"/>
      <c r="CI53" s="1048"/>
      <c r="CJ53" s="1048"/>
      <c r="CK53" s="1048"/>
      <c r="CL53" s="1048"/>
      <c r="CM53" s="1048"/>
      <c r="CN53" s="1048"/>
      <c r="CO53" s="1048"/>
      <c r="CP53" s="1048"/>
      <c r="CQ53" s="1048"/>
      <c r="CR53" s="1048"/>
      <c r="CS53" s="1048"/>
      <c r="CT53" s="1048"/>
      <c r="CU53" s="1048"/>
      <c r="CV53" s="1048"/>
      <c r="CW53" s="1048"/>
      <c r="CX53" s="1048"/>
      <c r="CY53" s="1048"/>
      <c r="CZ53" s="1048"/>
      <c r="DA53" s="1048"/>
      <c r="DB53" s="1048"/>
      <c r="DC53" s="1048"/>
      <c r="DD53" s="1048"/>
      <c r="DE53" s="1048"/>
      <c r="DF53" s="1048"/>
      <c r="DG53" s="1048"/>
      <c r="DH53" s="1048"/>
      <c r="DI53" s="1048"/>
      <c r="DJ53" s="1048"/>
      <c r="DK53" s="1048"/>
      <c r="DL53" s="1048"/>
      <c r="DM53" s="1048"/>
      <c r="DN53" s="1048"/>
      <c r="DO53" s="1048"/>
      <c r="DP53" s="1048"/>
      <c r="DQ53" s="1048"/>
      <c r="DR53" s="1048"/>
      <c r="DS53" s="1048"/>
      <c r="DT53" s="1048"/>
      <c r="DU53" s="1048"/>
      <c r="DV53" s="1048"/>
      <c r="DW53" s="1048"/>
      <c r="DX53" s="1048"/>
      <c r="DY53" s="1048"/>
      <c r="DZ53" s="1048"/>
      <c r="EA53" s="1048"/>
      <c r="EB53" s="1048"/>
      <c r="EC53" s="1048"/>
      <c r="ED53" s="1048"/>
      <c r="EE53" s="1048"/>
      <c r="EF53" s="1048"/>
      <c r="EG53" s="1049"/>
      <c r="EH53" s="1049"/>
      <c r="EI53" s="1049"/>
      <c r="EJ53" s="1049"/>
      <c r="EK53" s="1049"/>
      <c r="EL53" s="1049"/>
      <c r="EM53" s="1049"/>
      <c r="EN53" s="1048">
        <v>1</v>
      </c>
      <c r="EO53" s="1049"/>
      <c r="EP53" s="1049"/>
      <c r="EQ53" s="1049"/>
      <c r="ER53" s="1049"/>
      <c r="ES53" s="1049"/>
      <c r="ET53" s="1049"/>
      <c r="EU53" s="1049"/>
      <c r="EV53" s="1049"/>
      <c r="EW53" s="1049"/>
      <c r="EX53" s="1049"/>
      <c r="EY53" s="1049"/>
      <c r="EZ53" s="1049"/>
      <c r="FA53" s="1049"/>
      <c r="FB53" s="1049"/>
      <c r="FC53" s="1049"/>
      <c r="FD53" s="1049"/>
      <c r="FE53" s="1049"/>
      <c r="FF53" s="1049"/>
      <c r="FG53" s="1049"/>
      <c r="FH53" s="1049"/>
      <c r="FI53" s="1049"/>
      <c r="FJ53" s="1049"/>
      <c r="FK53" s="1049"/>
      <c r="FL53" s="1049"/>
      <c r="FM53" s="1049"/>
      <c r="FN53" s="1049"/>
      <c r="FO53" s="1049"/>
      <c r="FP53" s="1049"/>
      <c r="FQ53" s="1049"/>
      <c r="FR53" s="1049"/>
      <c r="FS53" s="1049"/>
      <c r="FT53" s="1049"/>
      <c r="FU53" s="1049"/>
      <c r="FV53" s="1049"/>
      <c r="FW53" s="1049"/>
      <c r="FX53" s="1049"/>
      <c r="FY53" s="1049"/>
      <c r="FZ53" s="1049"/>
      <c r="GA53" s="1049"/>
      <c r="GB53" s="1028"/>
    </row>
    <row r="54" spans="1:184" s="1007" customFormat="1" ht="24.95" customHeight="1">
      <c r="A54" s="1007">
        <v>29</v>
      </c>
      <c r="B54" s="1040">
        <f t="shared" si="2"/>
        <v>38</v>
      </c>
      <c r="C54" s="1041">
        <v>126335</v>
      </c>
      <c r="D54" s="1056" t="s">
        <v>2131</v>
      </c>
      <c r="E54" s="1058" t="s">
        <v>2435</v>
      </c>
      <c r="F54" s="1055"/>
      <c r="G54" s="1053" t="s">
        <v>195</v>
      </c>
      <c r="H54" s="1046">
        <f>ROUNDUP(J54+INT(J54*I54/100),1)</f>
        <v>39</v>
      </c>
      <c r="I54" s="1029"/>
      <c r="J54" s="1046">
        <f>ROUNDUP(SUM(K54:GA54),1)</f>
        <v>39</v>
      </c>
      <c r="K54" s="1048"/>
      <c r="L54" s="1048"/>
      <c r="M54" s="1049"/>
      <c r="N54" s="1049"/>
      <c r="O54" s="1049"/>
      <c r="P54" s="1049"/>
      <c r="Q54" s="1049"/>
      <c r="R54" s="1049"/>
      <c r="S54" s="1049"/>
      <c r="T54" s="1049"/>
      <c r="U54" s="1049"/>
      <c r="V54" s="1049"/>
      <c r="W54" s="1049"/>
      <c r="X54" s="1049"/>
      <c r="Y54" s="1049"/>
      <c r="Z54" s="1049"/>
      <c r="AA54" s="1049"/>
      <c r="AB54" s="1050"/>
      <c r="AC54" s="1049"/>
      <c r="AD54" s="1048"/>
      <c r="AE54" s="1049"/>
      <c r="AF54" s="1049"/>
      <c r="AG54" s="1049"/>
      <c r="AH54" s="1049"/>
      <c r="AI54" s="1049"/>
      <c r="AJ54" s="1049"/>
      <c r="AK54" s="1049"/>
      <c r="AL54" s="1049"/>
      <c r="AM54" s="1049"/>
      <c r="AN54" s="1049"/>
      <c r="AO54" s="1049"/>
      <c r="AP54" s="1049"/>
      <c r="AQ54" s="1049"/>
      <c r="AR54" s="1049"/>
      <c r="AS54" s="1049"/>
      <c r="AT54" s="1049"/>
      <c r="AU54" s="1049"/>
      <c r="AV54" s="1049"/>
      <c r="AW54" s="1049"/>
      <c r="AX54" s="1049"/>
      <c r="AY54" s="1049"/>
      <c r="AZ54" s="1049"/>
      <c r="BA54" s="1049"/>
      <c r="BB54" s="1049"/>
      <c r="BC54" s="1049"/>
      <c r="BD54" s="1049"/>
      <c r="BE54" s="1049"/>
      <c r="BF54" s="1049"/>
      <c r="BG54" s="1049"/>
      <c r="BH54" s="1049"/>
      <c r="BI54" s="1049"/>
      <c r="BJ54" s="1049"/>
      <c r="BK54" s="1049"/>
      <c r="BL54" s="1049"/>
      <c r="BM54" s="1049"/>
      <c r="BN54" s="1049"/>
      <c r="BO54" s="1049"/>
      <c r="BP54" s="1049"/>
      <c r="BQ54" s="1049"/>
      <c r="BR54" s="1048"/>
      <c r="BS54" s="1048"/>
      <c r="BT54" s="1048"/>
      <c r="BU54" s="1048"/>
      <c r="BV54" s="1048"/>
      <c r="BW54" s="1048"/>
      <c r="BX54" s="1048"/>
      <c r="BY54" s="1048"/>
      <c r="BZ54" s="1048"/>
      <c r="CA54" s="1048"/>
      <c r="CB54" s="1048"/>
      <c r="CC54" s="1048"/>
      <c r="CD54" s="1048"/>
      <c r="CE54" s="1048"/>
      <c r="CF54" s="1048"/>
      <c r="CG54" s="1048"/>
      <c r="CH54" s="1048"/>
      <c r="CI54" s="1048"/>
      <c r="CJ54" s="1048"/>
      <c r="CK54" s="1048"/>
      <c r="CL54" s="1048"/>
      <c r="CM54" s="1048"/>
      <c r="CN54" s="1048"/>
      <c r="CO54" s="1048"/>
      <c r="CP54" s="1048"/>
      <c r="CQ54" s="1048"/>
      <c r="CR54" s="1048"/>
      <c r="CS54" s="1048"/>
      <c r="CT54" s="1048"/>
      <c r="CU54" s="1048"/>
      <c r="CV54" s="1048"/>
      <c r="CW54" s="1048"/>
      <c r="CX54" s="1048"/>
      <c r="CY54" s="1048"/>
      <c r="CZ54" s="1048"/>
      <c r="DA54" s="1048"/>
      <c r="DB54" s="1048"/>
      <c r="DC54" s="1048"/>
      <c r="DD54" s="1048"/>
      <c r="DE54" s="1048"/>
      <c r="DF54" s="1048"/>
      <c r="DG54" s="1048"/>
      <c r="DH54" s="1048"/>
      <c r="DI54" s="1048"/>
      <c r="DJ54" s="1048"/>
      <c r="DK54" s="1048"/>
      <c r="DL54" s="1048"/>
      <c r="DM54" s="1048"/>
      <c r="DN54" s="1048"/>
      <c r="DO54" s="1048"/>
      <c r="DP54" s="1048"/>
      <c r="DQ54" s="1048"/>
      <c r="DR54" s="1048"/>
      <c r="DS54" s="1048"/>
      <c r="DT54" s="1048"/>
      <c r="DU54" s="1048"/>
      <c r="DV54" s="1048"/>
      <c r="DW54" s="1048"/>
      <c r="DX54" s="1048"/>
      <c r="DY54" s="1048"/>
      <c r="DZ54" s="1048"/>
      <c r="EA54" s="1048"/>
      <c r="EB54" s="1048"/>
      <c r="EC54" s="1048"/>
      <c r="ED54" s="1048"/>
      <c r="EE54" s="1048"/>
      <c r="EF54" s="1048"/>
      <c r="EG54" s="1049"/>
      <c r="EH54" s="1049"/>
      <c r="EI54" s="1049"/>
      <c r="EJ54" s="1049"/>
      <c r="EK54" s="1049"/>
      <c r="EL54" s="1049"/>
      <c r="EM54" s="1049"/>
      <c r="EN54" s="1048"/>
      <c r="EO54" s="1049">
        <v>1</v>
      </c>
      <c r="EP54" s="1049">
        <v>1</v>
      </c>
      <c r="EQ54" s="1049">
        <v>1</v>
      </c>
      <c r="ER54" s="1049">
        <v>1</v>
      </c>
      <c r="ES54" s="1049">
        <v>1</v>
      </c>
      <c r="ET54" s="1049">
        <v>1</v>
      </c>
      <c r="EU54" s="1049">
        <v>1</v>
      </c>
      <c r="EV54" s="1049">
        <v>1</v>
      </c>
      <c r="EW54" s="1049">
        <v>1</v>
      </c>
      <c r="EX54" s="1049">
        <v>1</v>
      </c>
      <c r="EY54" s="1049">
        <v>1</v>
      </c>
      <c r="EZ54" s="1049">
        <v>1</v>
      </c>
      <c r="FA54" s="1049">
        <v>1</v>
      </c>
      <c r="FB54" s="1049">
        <v>1</v>
      </c>
      <c r="FC54" s="1049">
        <v>1</v>
      </c>
      <c r="FD54" s="1049">
        <v>1</v>
      </c>
      <c r="FE54" s="1049">
        <v>1</v>
      </c>
      <c r="FF54" s="1049">
        <v>1</v>
      </c>
      <c r="FG54" s="1049">
        <v>1</v>
      </c>
      <c r="FH54" s="1049">
        <v>1</v>
      </c>
      <c r="FI54" s="1049">
        <v>1</v>
      </c>
      <c r="FJ54" s="1049">
        <v>1</v>
      </c>
      <c r="FK54" s="1049">
        <v>1</v>
      </c>
      <c r="FL54" s="1049">
        <v>1</v>
      </c>
      <c r="FM54" s="1049">
        <v>1</v>
      </c>
      <c r="FN54" s="1049">
        <v>1</v>
      </c>
      <c r="FO54" s="1049">
        <v>1</v>
      </c>
      <c r="FP54" s="1049">
        <v>1</v>
      </c>
      <c r="FQ54" s="1049">
        <v>1</v>
      </c>
      <c r="FR54" s="1049">
        <v>1</v>
      </c>
      <c r="FS54" s="1049">
        <v>1</v>
      </c>
      <c r="FT54" s="1049">
        <v>1</v>
      </c>
      <c r="FU54" s="1049">
        <v>1</v>
      </c>
      <c r="FV54" s="1049">
        <v>1</v>
      </c>
      <c r="FW54" s="1049">
        <v>1</v>
      </c>
      <c r="FX54" s="1049">
        <v>1</v>
      </c>
      <c r="FY54" s="1049">
        <v>1</v>
      </c>
      <c r="FZ54" s="1049">
        <v>1</v>
      </c>
      <c r="GA54" s="1049">
        <v>1</v>
      </c>
      <c r="GB54" s="1028"/>
    </row>
    <row r="55" spans="1:184" s="1007" customFormat="1" ht="24.95" hidden="1" customHeight="1">
      <c r="B55" s="1040"/>
      <c r="C55" s="1396"/>
      <c r="D55" s="1397" t="s">
        <v>2132</v>
      </c>
      <c r="E55" s="1398" t="s">
        <v>2133</v>
      </c>
      <c r="F55" s="1399"/>
      <c r="G55" s="1053" t="s">
        <v>195</v>
      </c>
      <c r="H55" s="1046">
        <f t="shared" si="0"/>
        <v>0</v>
      </c>
      <c r="I55" s="1029"/>
      <c r="J55" s="1046">
        <f t="shared" si="3"/>
        <v>0</v>
      </c>
      <c r="K55" s="1048"/>
      <c r="L55" s="1048"/>
      <c r="M55" s="1049"/>
      <c r="N55" s="1049"/>
      <c r="O55" s="1049"/>
      <c r="P55" s="1049"/>
      <c r="Q55" s="1049"/>
      <c r="R55" s="1049"/>
      <c r="S55" s="1049"/>
      <c r="T55" s="1049"/>
      <c r="U55" s="1049"/>
      <c r="V55" s="1049"/>
      <c r="W55" s="1049"/>
      <c r="X55" s="1049"/>
      <c r="Y55" s="1049"/>
      <c r="Z55" s="1049"/>
      <c r="AA55" s="1049"/>
      <c r="AB55" s="1050"/>
      <c r="AC55" s="1049"/>
      <c r="AD55" s="1048"/>
      <c r="AE55" s="1049"/>
      <c r="AF55" s="1049"/>
      <c r="AG55" s="1049"/>
      <c r="AH55" s="1049"/>
      <c r="AI55" s="1049"/>
      <c r="AJ55" s="1049"/>
      <c r="AK55" s="1049"/>
      <c r="AL55" s="1049"/>
      <c r="AM55" s="1049"/>
      <c r="AN55" s="1049"/>
      <c r="AO55" s="1049"/>
      <c r="AP55" s="1049"/>
      <c r="AQ55" s="1049"/>
      <c r="AR55" s="1049"/>
      <c r="AS55" s="1049"/>
      <c r="AT55" s="1049"/>
      <c r="AU55" s="1049"/>
      <c r="AV55" s="1049"/>
      <c r="AW55" s="1049"/>
      <c r="AX55" s="1049"/>
      <c r="AY55" s="1049"/>
      <c r="AZ55" s="1049"/>
      <c r="BA55" s="1049"/>
      <c r="BB55" s="1049"/>
      <c r="BC55" s="1049"/>
      <c r="BD55" s="1049"/>
      <c r="BE55" s="1049"/>
      <c r="BF55" s="1049"/>
      <c r="BG55" s="1049"/>
      <c r="BH55" s="1049"/>
      <c r="BI55" s="1049"/>
      <c r="BJ55" s="1049"/>
      <c r="BK55" s="1049"/>
      <c r="BL55" s="1049"/>
      <c r="BM55" s="1049"/>
      <c r="BN55" s="1049"/>
      <c r="BO55" s="1049"/>
      <c r="BP55" s="1049"/>
      <c r="BQ55" s="1049"/>
      <c r="BR55" s="1048"/>
      <c r="BS55" s="1048"/>
      <c r="BT55" s="1048"/>
      <c r="BU55" s="1048"/>
      <c r="BV55" s="1048"/>
      <c r="BW55" s="1048"/>
      <c r="BX55" s="1048"/>
      <c r="BY55" s="1048"/>
      <c r="BZ55" s="1048"/>
      <c r="CA55" s="1048"/>
      <c r="CB55" s="1048"/>
      <c r="CC55" s="1048"/>
      <c r="CD55" s="1048"/>
      <c r="CE55" s="1048"/>
      <c r="CF55" s="1048"/>
      <c r="CG55" s="1048"/>
      <c r="CH55" s="1048"/>
      <c r="CI55" s="1048"/>
      <c r="CJ55" s="1048"/>
      <c r="CK55" s="1048"/>
      <c r="CL55" s="1048"/>
      <c r="CM55" s="1048"/>
      <c r="CN55" s="1048"/>
      <c r="CO55" s="1048"/>
      <c r="CP55" s="1048"/>
      <c r="CQ55" s="1048"/>
      <c r="CR55" s="1048"/>
      <c r="CS55" s="1048"/>
      <c r="CT55" s="1048"/>
      <c r="CU55" s="1048"/>
      <c r="CV55" s="1048"/>
      <c r="CW55" s="1048"/>
      <c r="CX55" s="1048"/>
      <c r="CY55" s="1048"/>
      <c r="CZ55" s="1048"/>
      <c r="DA55" s="1048"/>
      <c r="DB55" s="1048"/>
      <c r="DC55" s="1048"/>
      <c r="DD55" s="1048"/>
      <c r="DE55" s="1048"/>
      <c r="DF55" s="1048"/>
      <c r="DG55" s="1048"/>
      <c r="DH55" s="1048"/>
      <c r="DI55" s="1048"/>
      <c r="DJ55" s="1048"/>
      <c r="DK55" s="1048"/>
      <c r="DL55" s="1048"/>
      <c r="DM55" s="1048"/>
      <c r="DN55" s="1048"/>
      <c r="DO55" s="1048"/>
      <c r="DP55" s="1048"/>
      <c r="DQ55" s="1048"/>
      <c r="DR55" s="1048"/>
      <c r="DS55" s="1048"/>
      <c r="DT55" s="1048"/>
      <c r="DU55" s="1048"/>
      <c r="DV55" s="1048"/>
      <c r="DW55" s="1048"/>
      <c r="DX55" s="1048"/>
      <c r="DY55" s="1048"/>
      <c r="DZ55" s="1048"/>
      <c r="EA55" s="1048"/>
      <c r="EB55" s="1048"/>
      <c r="EC55" s="1048"/>
      <c r="ED55" s="1048"/>
      <c r="EE55" s="1048"/>
      <c r="EF55" s="1048"/>
      <c r="EG55" s="1049"/>
      <c r="EH55" s="1049"/>
      <c r="EI55" s="1049"/>
      <c r="EJ55" s="1049"/>
      <c r="EK55" s="1049"/>
      <c r="EL55" s="1049"/>
      <c r="EM55" s="1049"/>
      <c r="EN55" s="1048"/>
      <c r="EO55" s="1049"/>
      <c r="EP55" s="1049"/>
      <c r="EQ55" s="1049"/>
      <c r="ER55" s="1049"/>
      <c r="ES55" s="1049"/>
      <c r="ET55" s="1049"/>
      <c r="EU55" s="1049"/>
      <c r="EV55" s="1049"/>
      <c r="EW55" s="1049"/>
      <c r="EX55" s="1049"/>
      <c r="EY55" s="1049"/>
      <c r="EZ55" s="1049"/>
      <c r="FA55" s="1049"/>
      <c r="FB55" s="1049"/>
      <c r="FC55" s="1049"/>
      <c r="FD55" s="1049"/>
      <c r="FE55" s="1049"/>
      <c r="FF55" s="1049"/>
      <c r="FG55" s="1049"/>
      <c r="FH55" s="1049"/>
      <c r="FI55" s="1049"/>
      <c r="FJ55" s="1049"/>
      <c r="FK55" s="1049"/>
      <c r="FL55" s="1049"/>
      <c r="FM55" s="1049"/>
      <c r="FN55" s="1049"/>
      <c r="FO55" s="1049"/>
      <c r="FP55" s="1049"/>
      <c r="FQ55" s="1049"/>
      <c r="FR55" s="1049"/>
      <c r="FS55" s="1049"/>
      <c r="FT55" s="1049"/>
      <c r="FU55" s="1049"/>
      <c r="FV55" s="1049"/>
      <c r="FW55" s="1049"/>
      <c r="FX55" s="1049"/>
      <c r="FY55" s="1049"/>
      <c r="FZ55" s="1049"/>
      <c r="GA55" s="1049"/>
      <c r="GB55" s="1083"/>
    </row>
    <row r="56" spans="1:184" s="1007" customFormat="1" ht="24.95" hidden="1" customHeight="1">
      <c r="B56" s="1040"/>
      <c r="C56" s="1396">
        <v>124242</v>
      </c>
      <c r="D56" s="1397" t="s">
        <v>2134</v>
      </c>
      <c r="E56" s="1398" t="s">
        <v>2135</v>
      </c>
      <c r="F56" s="1399"/>
      <c r="G56" s="1053" t="s">
        <v>195</v>
      </c>
      <c r="H56" s="1046">
        <f t="shared" si="0"/>
        <v>0</v>
      </c>
      <c r="I56" s="1029"/>
      <c r="J56" s="1046">
        <f t="shared" si="3"/>
        <v>0</v>
      </c>
      <c r="K56" s="1048"/>
      <c r="L56" s="1048"/>
      <c r="M56" s="1049"/>
      <c r="N56" s="1049"/>
      <c r="O56" s="1049"/>
      <c r="P56" s="1049"/>
      <c r="Q56" s="1049"/>
      <c r="R56" s="1049"/>
      <c r="S56" s="1049"/>
      <c r="T56" s="1049"/>
      <c r="U56" s="1049"/>
      <c r="V56" s="1049"/>
      <c r="W56" s="1049"/>
      <c r="X56" s="1049"/>
      <c r="Y56" s="1049"/>
      <c r="Z56" s="1049"/>
      <c r="AA56" s="1049"/>
      <c r="AB56" s="1050"/>
      <c r="AC56" s="1049"/>
      <c r="AD56" s="1048"/>
      <c r="AE56" s="1049"/>
      <c r="AF56" s="1049"/>
      <c r="AG56" s="1049"/>
      <c r="AH56" s="1049"/>
      <c r="AI56" s="1049"/>
      <c r="AJ56" s="1049"/>
      <c r="AK56" s="1049"/>
      <c r="AL56" s="1049"/>
      <c r="AM56" s="1049"/>
      <c r="AN56" s="1049"/>
      <c r="AO56" s="1049"/>
      <c r="AP56" s="1049"/>
      <c r="AQ56" s="1049"/>
      <c r="AR56" s="1049"/>
      <c r="AS56" s="1049"/>
      <c r="AT56" s="1049"/>
      <c r="AU56" s="1049"/>
      <c r="AV56" s="1049"/>
      <c r="AW56" s="1049"/>
      <c r="AX56" s="1049"/>
      <c r="AY56" s="1049"/>
      <c r="AZ56" s="1049"/>
      <c r="BA56" s="1049"/>
      <c r="BB56" s="1049"/>
      <c r="BC56" s="1049"/>
      <c r="BD56" s="1049"/>
      <c r="BE56" s="1049"/>
      <c r="BF56" s="1049"/>
      <c r="BG56" s="1049"/>
      <c r="BH56" s="1049"/>
      <c r="BI56" s="1049"/>
      <c r="BJ56" s="1049"/>
      <c r="BK56" s="1049"/>
      <c r="BL56" s="1049"/>
      <c r="BM56" s="1049"/>
      <c r="BN56" s="1049"/>
      <c r="BO56" s="1049"/>
      <c r="BP56" s="1049"/>
      <c r="BQ56" s="1049"/>
      <c r="BR56" s="1048"/>
      <c r="BS56" s="1048"/>
      <c r="BT56" s="1048"/>
      <c r="BU56" s="1048"/>
      <c r="BV56" s="1048"/>
      <c r="BW56" s="1048"/>
      <c r="BX56" s="1048"/>
      <c r="BY56" s="1048"/>
      <c r="BZ56" s="1048"/>
      <c r="CA56" s="1048"/>
      <c r="CB56" s="1048"/>
      <c r="CC56" s="1048"/>
      <c r="CD56" s="1048"/>
      <c r="CE56" s="1048"/>
      <c r="CF56" s="1048"/>
      <c r="CG56" s="1048"/>
      <c r="CH56" s="1048"/>
      <c r="CI56" s="1048"/>
      <c r="CJ56" s="1048"/>
      <c r="CK56" s="1048"/>
      <c r="CL56" s="1048"/>
      <c r="CM56" s="1048"/>
      <c r="CN56" s="1048"/>
      <c r="CO56" s="1048"/>
      <c r="CP56" s="1048"/>
      <c r="CQ56" s="1048"/>
      <c r="CR56" s="1048"/>
      <c r="CS56" s="1048"/>
      <c r="CT56" s="1048"/>
      <c r="CU56" s="1048"/>
      <c r="CV56" s="1048"/>
      <c r="CW56" s="1048"/>
      <c r="CX56" s="1048"/>
      <c r="CY56" s="1048"/>
      <c r="CZ56" s="1048"/>
      <c r="DA56" s="1048"/>
      <c r="DB56" s="1048"/>
      <c r="DC56" s="1048"/>
      <c r="DD56" s="1048"/>
      <c r="DE56" s="1048"/>
      <c r="DF56" s="1048"/>
      <c r="DG56" s="1048"/>
      <c r="DH56" s="1048"/>
      <c r="DI56" s="1048"/>
      <c r="DJ56" s="1048"/>
      <c r="DK56" s="1048"/>
      <c r="DL56" s="1048"/>
      <c r="DM56" s="1048"/>
      <c r="DN56" s="1048"/>
      <c r="DO56" s="1048"/>
      <c r="DP56" s="1048"/>
      <c r="DQ56" s="1048"/>
      <c r="DR56" s="1048"/>
      <c r="DS56" s="1048"/>
      <c r="DT56" s="1048"/>
      <c r="DU56" s="1048"/>
      <c r="DV56" s="1048"/>
      <c r="DW56" s="1048"/>
      <c r="DX56" s="1048"/>
      <c r="DY56" s="1048"/>
      <c r="DZ56" s="1048"/>
      <c r="EA56" s="1048"/>
      <c r="EB56" s="1048"/>
      <c r="EC56" s="1048"/>
      <c r="ED56" s="1048"/>
      <c r="EE56" s="1048"/>
      <c r="EF56" s="1048"/>
      <c r="EG56" s="1049"/>
      <c r="EH56" s="1049"/>
      <c r="EI56" s="1049"/>
      <c r="EJ56" s="1049"/>
      <c r="EK56" s="1049"/>
      <c r="EL56" s="1049"/>
      <c r="EM56" s="1049"/>
      <c r="EN56" s="1048"/>
      <c r="EO56" s="1049"/>
      <c r="EP56" s="1049"/>
      <c r="EQ56" s="1049"/>
      <c r="ER56" s="1049"/>
      <c r="ES56" s="1049"/>
      <c r="ET56" s="1049"/>
      <c r="EU56" s="1049"/>
      <c r="EV56" s="1049"/>
      <c r="EW56" s="1049"/>
      <c r="EX56" s="1049"/>
      <c r="EY56" s="1049"/>
      <c r="EZ56" s="1049"/>
      <c r="FA56" s="1049"/>
      <c r="FB56" s="1049"/>
      <c r="FC56" s="1049"/>
      <c r="FD56" s="1049"/>
      <c r="FE56" s="1049"/>
      <c r="FF56" s="1049"/>
      <c r="FG56" s="1049"/>
      <c r="FH56" s="1049"/>
      <c r="FI56" s="1049"/>
      <c r="FJ56" s="1049"/>
      <c r="FK56" s="1049"/>
      <c r="FL56" s="1049"/>
      <c r="FM56" s="1049"/>
      <c r="FN56" s="1049"/>
      <c r="FO56" s="1049"/>
      <c r="FP56" s="1049"/>
      <c r="FQ56" s="1049"/>
      <c r="FR56" s="1049"/>
      <c r="FS56" s="1049"/>
      <c r="FT56" s="1049"/>
      <c r="FU56" s="1049"/>
      <c r="FV56" s="1049"/>
      <c r="FW56" s="1049"/>
      <c r="FX56" s="1049"/>
      <c r="FY56" s="1049"/>
      <c r="FZ56" s="1049"/>
      <c r="GA56" s="1049"/>
      <c r="GB56" s="1083"/>
    </row>
    <row r="57" spans="1:184" s="1007" customFormat="1" ht="24.95" hidden="1" customHeight="1">
      <c r="B57" s="1040"/>
      <c r="C57" s="1396">
        <v>124244</v>
      </c>
      <c r="D57" s="1397" t="s">
        <v>2136</v>
      </c>
      <c r="E57" s="1398" t="s">
        <v>2137</v>
      </c>
      <c r="F57" s="1399"/>
      <c r="G57" s="1053" t="s">
        <v>195</v>
      </c>
      <c r="H57" s="1046">
        <f t="shared" si="0"/>
        <v>0</v>
      </c>
      <c r="I57" s="1029"/>
      <c r="J57" s="1046">
        <f t="shared" si="3"/>
        <v>0</v>
      </c>
      <c r="K57" s="1048"/>
      <c r="L57" s="1048"/>
      <c r="M57" s="1049"/>
      <c r="N57" s="1049"/>
      <c r="O57" s="1049"/>
      <c r="P57" s="1049"/>
      <c r="Q57" s="1049"/>
      <c r="R57" s="1049"/>
      <c r="S57" s="1049"/>
      <c r="T57" s="1049"/>
      <c r="U57" s="1049"/>
      <c r="V57" s="1049"/>
      <c r="W57" s="1049"/>
      <c r="X57" s="1049"/>
      <c r="Y57" s="1049"/>
      <c r="Z57" s="1049"/>
      <c r="AA57" s="1049"/>
      <c r="AB57" s="1050"/>
      <c r="AC57" s="1049"/>
      <c r="AD57" s="1048"/>
      <c r="AE57" s="1049"/>
      <c r="AF57" s="1049"/>
      <c r="AG57" s="1049"/>
      <c r="AH57" s="1049"/>
      <c r="AI57" s="1049"/>
      <c r="AJ57" s="1049"/>
      <c r="AK57" s="1049"/>
      <c r="AL57" s="1049"/>
      <c r="AM57" s="1049"/>
      <c r="AN57" s="1049"/>
      <c r="AO57" s="1049"/>
      <c r="AP57" s="1049"/>
      <c r="AQ57" s="1049"/>
      <c r="AR57" s="1049"/>
      <c r="AS57" s="1049"/>
      <c r="AT57" s="1049"/>
      <c r="AU57" s="1049"/>
      <c r="AV57" s="1049"/>
      <c r="AW57" s="1049"/>
      <c r="AX57" s="1049"/>
      <c r="AY57" s="1049"/>
      <c r="AZ57" s="1049"/>
      <c r="BA57" s="1049"/>
      <c r="BB57" s="1049"/>
      <c r="BC57" s="1049"/>
      <c r="BD57" s="1049"/>
      <c r="BE57" s="1049"/>
      <c r="BF57" s="1049"/>
      <c r="BG57" s="1049"/>
      <c r="BH57" s="1049"/>
      <c r="BI57" s="1049"/>
      <c r="BJ57" s="1049"/>
      <c r="BK57" s="1049"/>
      <c r="BL57" s="1049"/>
      <c r="BM57" s="1049"/>
      <c r="BN57" s="1049"/>
      <c r="BO57" s="1049"/>
      <c r="BP57" s="1049"/>
      <c r="BQ57" s="1049"/>
      <c r="BR57" s="1048"/>
      <c r="BS57" s="1048"/>
      <c r="BT57" s="1048"/>
      <c r="BU57" s="1048"/>
      <c r="BV57" s="1048"/>
      <c r="BW57" s="1048"/>
      <c r="BX57" s="1048"/>
      <c r="BY57" s="1048"/>
      <c r="BZ57" s="1048"/>
      <c r="CA57" s="1048"/>
      <c r="CB57" s="1048"/>
      <c r="CC57" s="1048"/>
      <c r="CD57" s="1048"/>
      <c r="CE57" s="1048"/>
      <c r="CF57" s="1048"/>
      <c r="CG57" s="1048"/>
      <c r="CH57" s="1048"/>
      <c r="CI57" s="1048"/>
      <c r="CJ57" s="1048"/>
      <c r="CK57" s="1048"/>
      <c r="CL57" s="1048"/>
      <c r="CM57" s="1048"/>
      <c r="CN57" s="1048"/>
      <c r="CO57" s="1048"/>
      <c r="CP57" s="1048"/>
      <c r="CQ57" s="1048"/>
      <c r="CR57" s="1048"/>
      <c r="CS57" s="1048"/>
      <c r="CT57" s="1048"/>
      <c r="CU57" s="1048"/>
      <c r="CV57" s="1048"/>
      <c r="CW57" s="1048"/>
      <c r="CX57" s="1048"/>
      <c r="CY57" s="1048"/>
      <c r="CZ57" s="1048"/>
      <c r="DA57" s="1048"/>
      <c r="DB57" s="1048"/>
      <c r="DC57" s="1048"/>
      <c r="DD57" s="1048"/>
      <c r="DE57" s="1048"/>
      <c r="DF57" s="1048"/>
      <c r="DG57" s="1048"/>
      <c r="DH57" s="1048"/>
      <c r="DI57" s="1048"/>
      <c r="DJ57" s="1048"/>
      <c r="DK57" s="1048"/>
      <c r="DL57" s="1048"/>
      <c r="DM57" s="1048"/>
      <c r="DN57" s="1048"/>
      <c r="DO57" s="1048"/>
      <c r="DP57" s="1048"/>
      <c r="DQ57" s="1048"/>
      <c r="DR57" s="1048"/>
      <c r="DS57" s="1048"/>
      <c r="DT57" s="1048"/>
      <c r="DU57" s="1048"/>
      <c r="DV57" s="1048"/>
      <c r="DW57" s="1048"/>
      <c r="DX57" s="1048"/>
      <c r="DY57" s="1048"/>
      <c r="DZ57" s="1048"/>
      <c r="EA57" s="1048"/>
      <c r="EB57" s="1048"/>
      <c r="EC57" s="1048"/>
      <c r="ED57" s="1048"/>
      <c r="EE57" s="1048"/>
      <c r="EF57" s="1048"/>
      <c r="EG57" s="1049"/>
      <c r="EH57" s="1049"/>
      <c r="EI57" s="1049"/>
      <c r="EJ57" s="1049"/>
      <c r="EK57" s="1049"/>
      <c r="EL57" s="1049"/>
      <c r="EM57" s="1049"/>
      <c r="EN57" s="1048"/>
      <c r="EO57" s="1049"/>
      <c r="EP57" s="1049"/>
      <c r="EQ57" s="1049"/>
      <c r="ER57" s="1049"/>
      <c r="ES57" s="1049"/>
      <c r="ET57" s="1049"/>
      <c r="EU57" s="1049"/>
      <c r="EV57" s="1049"/>
      <c r="EW57" s="1049"/>
      <c r="EX57" s="1049"/>
      <c r="EY57" s="1049"/>
      <c r="EZ57" s="1049"/>
      <c r="FA57" s="1049"/>
      <c r="FB57" s="1049"/>
      <c r="FC57" s="1049"/>
      <c r="FD57" s="1049"/>
      <c r="FE57" s="1049"/>
      <c r="FF57" s="1049"/>
      <c r="FG57" s="1049"/>
      <c r="FH57" s="1049"/>
      <c r="FI57" s="1049"/>
      <c r="FJ57" s="1049"/>
      <c r="FK57" s="1049"/>
      <c r="FL57" s="1049"/>
      <c r="FM57" s="1049"/>
      <c r="FN57" s="1049"/>
      <c r="FO57" s="1049"/>
      <c r="FP57" s="1049"/>
      <c r="FQ57" s="1049"/>
      <c r="FR57" s="1049"/>
      <c r="FS57" s="1049"/>
      <c r="FT57" s="1049"/>
      <c r="FU57" s="1049"/>
      <c r="FV57" s="1049"/>
      <c r="FW57" s="1049"/>
      <c r="FX57" s="1049"/>
      <c r="FY57" s="1049"/>
      <c r="FZ57" s="1049"/>
      <c r="GA57" s="1049"/>
      <c r="GB57" s="1083"/>
    </row>
    <row r="58" spans="1:184" s="1007" customFormat="1" ht="24.95" hidden="1" customHeight="1">
      <c r="B58" s="1040"/>
      <c r="C58" s="1396"/>
      <c r="D58" s="1397" t="s">
        <v>2138</v>
      </c>
      <c r="E58" s="1398" t="s">
        <v>2139</v>
      </c>
      <c r="F58" s="1399"/>
      <c r="G58" s="1053" t="s">
        <v>195</v>
      </c>
      <c r="H58" s="1046">
        <f t="shared" si="0"/>
        <v>0</v>
      </c>
      <c r="I58" s="1029"/>
      <c r="J58" s="1046">
        <f t="shared" si="3"/>
        <v>0</v>
      </c>
      <c r="K58" s="1048"/>
      <c r="L58" s="1048"/>
      <c r="M58" s="1049"/>
      <c r="N58" s="1049"/>
      <c r="O58" s="1049"/>
      <c r="P58" s="1049"/>
      <c r="Q58" s="1049"/>
      <c r="R58" s="1049"/>
      <c r="S58" s="1049"/>
      <c r="T58" s="1049"/>
      <c r="U58" s="1049"/>
      <c r="V58" s="1049"/>
      <c r="W58" s="1049"/>
      <c r="X58" s="1049"/>
      <c r="Y58" s="1049"/>
      <c r="Z58" s="1049"/>
      <c r="AA58" s="1049"/>
      <c r="AB58" s="1050"/>
      <c r="AC58" s="1049"/>
      <c r="AD58" s="1048"/>
      <c r="AE58" s="1049"/>
      <c r="AF58" s="1049"/>
      <c r="AG58" s="1049"/>
      <c r="AH58" s="1049"/>
      <c r="AI58" s="1049"/>
      <c r="AJ58" s="1049"/>
      <c r="AK58" s="1049"/>
      <c r="AL58" s="1049"/>
      <c r="AM58" s="1049"/>
      <c r="AN58" s="1049"/>
      <c r="AO58" s="1049"/>
      <c r="AP58" s="1049"/>
      <c r="AQ58" s="1049"/>
      <c r="AR58" s="1049"/>
      <c r="AS58" s="1049"/>
      <c r="AT58" s="1049"/>
      <c r="AU58" s="1049"/>
      <c r="AV58" s="1049"/>
      <c r="AW58" s="1049"/>
      <c r="AX58" s="1049"/>
      <c r="AY58" s="1049"/>
      <c r="AZ58" s="1049"/>
      <c r="BA58" s="1049"/>
      <c r="BB58" s="1049"/>
      <c r="BC58" s="1049"/>
      <c r="BD58" s="1049"/>
      <c r="BE58" s="1049"/>
      <c r="BF58" s="1049"/>
      <c r="BG58" s="1049"/>
      <c r="BH58" s="1049"/>
      <c r="BI58" s="1049"/>
      <c r="BJ58" s="1049"/>
      <c r="BK58" s="1049"/>
      <c r="BL58" s="1049"/>
      <c r="BM58" s="1049"/>
      <c r="BN58" s="1049"/>
      <c r="BO58" s="1049"/>
      <c r="BP58" s="1049"/>
      <c r="BQ58" s="1049"/>
      <c r="BR58" s="1048"/>
      <c r="BS58" s="1048"/>
      <c r="BT58" s="1048"/>
      <c r="BU58" s="1048"/>
      <c r="BV58" s="1048"/>
      <c r="BW58" s="1048"/>
      <c r="BX58" s="1048"/>
      <c r="BY58" s="1048"/>
      <c r="BZ58" s="1048"/>
      <c r="CA58" s="1048"/>
      <c r="CB58" s="1048"/>
      <c r="CC58" s="1048"/>
      <c r="CD58" s="1048"/>
      <c r="CE58" s="1048"/>
      <c r="CF58" s="1048"/>
      <c r="CG58" s="1048"/>
      <c r="CH58" s="1048"/>
      <c r="CI58" s="1048"/>
      <c r="CJ58" s="1048"/>
      <c r="CK58" s="1048"/>
      <c r="CL58" s="1048"/>
      <c r="CM58" s="1048"/>
      <c r="CN58" s="1048"/>
      <c r="CO58" s="1048"/>
      <c r="CP58" s="1048"/>
      <c r="CQ58" s="1048"/>
      <c r="CR58" s="1048"/>
      <c r="CS58" s="1048"/>
      <c r="CT58" s="1048"/>
      <c r="CU58" s="1048"/>
      <c r="CV58" s="1048"/>
      <c r="CW58" s="1048"/>
      <c r="CX58" s="1048"/>
      <c r="CY58" s="1048"/>
      <c r="CZ58" s="1048"/>
      <c r="DA58" s="1048"/>
      <c r="DB58" s="1048"/>
      <c r="DC58" s="1048"/>
      <c r="DD58" s="1048"/>
      <c r="DE58" s="1048"/>
      <c r="DF58" s="1048"/>
      <c r="DG58" s="1048"/>
      <c r="DH58" s="1048"/>
      <c r="DI58" s="1048"/>
      <c r="DJ58" s="1048"/>
      <c r="DK58" s="1048"/>
      <c r="DL58" s="1048"/>
      <c r="DM58" s="1048"/>
      <c r="DN58" s="1048"/>
      <c r="DO58" s="1048"/>
      <c r="DP58" s="1048"/>
      <c r="DQ58" s="1048"/>
      <c r="DR58" s="1048"/>
      <c r="DS58" s="1048"/>
      <c r="DT58" s="1048"/>
      <c r="DU58" s="1048"/>
      <c r="DV58" s="1048"/>
      <c r="DW58" s="1048"/>
      <c r="DX58" s="1048"/>
      <c r="DY58" s="1048"/>
      <c r="DZ58" s="1048"/>
      <c r="EA58" s="1048"/>
      <c r="EB58" s="1048"/>
      <c r="EC58" s="1048"/>
      <c r="ED58" s="1048"/>
      <c r="EE58" s="1048"/>
      <c r="EF58" s="1048"/>
      <c r="EG58" s="1049"/>
      <c r="EH58" s="1049"/>
      <c r="EI58" s="1049"/>
      <c r="EJ58" s="1049"/>
      <c r="EK58" s="1049"/>
      <c r="EL58" s="1049"/>
      <c r="EM58" s="1049"/>
      <c r="EN58" s="1048"/>
      <c r="EO58" s="1049"/>
      <c r="EP58" s="1049"/>
      <c r="EQ58" s="1049"/>
      <c r="ER58" s="1049"/>
      <c r="ES58" s="1049"/>
      <c r="ET58" s="1049"/>
      <c r="EU58" s="1049"/>
      <c r="EV58" s="1049"/>
      <c r="EW58" s="1049"/>
      <c r="EX58" s="1049"/>
      <c r="EY58" s="1049"/>
      <c r="EZ58" s="1049"/>
      <c r="FA58" s="1049"/>
      <c r="FB58" s="1049"/>
      <c r="FC58" s="1049"/>
      <c r="FD58" s="1049"/>
      <c r="FE58" s="1049"/>
      <c r="FF58" s="1049"/>
      <c r="FG58" s="1049"/>
      <c r="FH58" s="1049"/>
      <c r="FI58" s="1049"/>
      <c r="FJ58" s="1049"/>
      <c r="FK58" s="1049"/>
      <c r="FL58" s="1049"/>
      <c r="FM58" s="1049"/>
      <c r="FN58" s="1049"/>
      <c r="FO58" s="1049"/>
      <c r="FP58" s="1049"/>
      <c r="FQ58" s="1049"/>
      <c r="FR58" s="1049"/>
      <c r="FS58" s="1049"/>
      <c r="FT58" s="1049"/>
      <c r="FU58" s="1049"/>
      <c r="FV58" s="1049"/>
      <c r="FW58" s="1049"/>
      <c r="FX58" s="1049"/>
      <c r="FY58" s="1049"/>
      <c r="FZ58" s="1049"/>
      <c r="GA58" s="1049"/>
      <c r="GB58" s="1083"/>
    </row>
    <row r="59" spans="1:184" s="1007" customFormat="1" ht="24.95" hidden="1" customHeight="1">
      <c r="B59" s="1400"/>
      <c r="C59" s="1396"/>
      <c r="D59" s="1397" t="s">
        <v>2140</v>
      </c>
      <c r="E59" s="1398" t="s">
        <v>2141</v>
      </c>
      <c r="F59" s="1399"/>
      <c r="G59" s="1085" t="s">
        <v>337</v>
      </c>
      <c r="H59" s="1046">
        <f t="shared" si="0"/>
        <v>0</v>
      </c>
      <c r="I59" s="1029"/>
      <c r="J59" s="1046">
        <f t="shared" si="3"/>
        <v>0</v>
      </c>
      <c r="K59" s="1401"/>
      <c r="L59" s="1401"/>
      <c r="M59" s="1402"/>
      <c r="N59" s="1402"/>
      <c r="O59" s="1402"/>
      <c r="P59" s="1402"/>
      <c r="Q59" s="1402"/>
      <c r="R59" s="1402"/>
      <c r="S59" s="1402"/>
      <c r="T59" s="1402"/>
      <c r="U59" s="1402"/>
      <c r="V59" s="1403"/>
      <c r="W59" s="1402"/>
      <c r="X59" s="1402"/>
      <c r="Y59" s="1403"/>
      <c r="Z59" s="1402"/>
      <c r="AA59" s="1402"/>
      <c r="AB59" s="1403"/>
      <c r="AC59" s="1402"/>
      <c r="AD59" s="1401"/>
      <c r="AE59" s="1402"/>
      <c r="AF59" s="1402"/>
      <c r="AG59" s="1402"/>
      <c r="AH59" s="1402"/>
      <c r="AI59" s="1402"/>
      <c r="AJ59" s="1402"/>
      <c r="AK59" s="1402"/>
      <c r="AL59" s="1402"/>
      <c r="AM59" s="1402"/>
      <c r="AN59" s="1402"/>
      <c r="AO59" s="1402"/>
      <c r="AP59" s="1402"/>
      <c r="AQ59" s="1402"/>
      <c r="AR59" s="1402"/>
      <c r="AS59" s="1402"/>
      <c r="AT59" s="1402"/>
      <c r="AU59" s="1402"/>
      <c r="AV59" s="1402"/>
      <c r="AW59" s="1402"/>
      <c r="AX59" s="1402"/>
      <c r="AY59" s="1402"/>
      <c r="AZ59" s="1402"/>
      <c r="BA59" s="1402"/>
      <c r="BB59" s="1402"/>
      <c r="BC59" s="1402"/>
      <c r="BD59" s="1402"/>
      <c r="BE59" s="1402"/>
      <c r="BF59" s="1402"/>
      <c r="BG59" s="1402"/>
      <c r="BH59" s="1402"/>
      <c r="BI59" s="1402"/>
      <c r="BJ59" s="1402"/>
      <c r="BK59" s="1402"/>
      <c r="BL59" s="1402"/>
      <c r="BM59" s="1402"/>
      <c r="BN59" s="1402"/>
      <c r="BO59" s="1402"/>
      <c r="BP59" s="1402"/>
      <c r="BQ59" s="1402"/>
      <c r="BR59" s="1401"/>
      <c r="BS59" s="1401"/>
      <c r="BT59" s="1401"/>
      <c r="BU59" s="1401"/>
      <c r="BV59" s="1401"/>
      <c r="BW59" s="1401"/>
      <c r="BX59" s="1401"/>
      <c r="BY59" s="1401"/>
      <c r="BZ59" s="1401"/>
      <c r="CA59" s="1401"/>
      <c r="CB59" s="1401"/>
      <c r="CC59" s="1401"/>
      <c r="CD59" s="1401"/>
      <c r="CE59" s="1401"/>
      <c r="CF59" s="1401"/>
      <c r="CG59" s="1401"/>
      <c r="CH59" s="1401"/>
      <c r="CI59" s="1401"/>
      <c r="CJ59" s="1401"/>
      <c r="CK59" s="1401"/>
      <c r="CL59" s="1401"/>
      <c r="CM59" s="1401"/>
      <c r="CN59" s="1401"/>
      <c r="CO59" s="1401"/>
      <c r="CP59" s="1401"/>
      <c r="CQ59" s="1401"/>
      <c r="CR59" s="1401"/>
      <c r="CS59" s="1401"/>
      <c r="CT59" s="1401"/>
      <c r="CU59" s="1401"/>
      <c r="CV59" s="1401"/>
      <c r="CW59" s="1401"/>
      <c r="CX59" s="1401"/>
      <c r="CY59" s="1401"/>
      <c r="CZ59" s="1401"/>
      <c r="DA59" s="1401"/>
      <c r="DB59" s="1401"/>
      <c r="DC59" s="1401"/>
      <c r="DD59" s="1401"/>
      <c r="DE59" s="1401"/>
      <c r="DF59" s="1401"/>
      <c r="DG59" s="1401"/>
      <c r="DH59" s="1401"/>
      <c r="DI59" s="1401"/>
      <c r="DJ59" s="1401"/>
      <c r="DK59" s="1401"/>
      <c r="DL59" s="1401"/>
      <c r="DM59" s="1401"/>
      <c r="DN59" s="1401"/>
      <c r="DO59" s="1401"/>
      <c r="DP59" s="1401"/>
      <c r="DQ59" s="1401"/>
      <c r="DR59" s="1401"/>
      <c r="DS59" s="1401"/>
      <c r="DT59" s="1401"/>
      <c r="DU59" s="1401"/>
      <c r="DV59" s="1401"/>
      <c r="DW59" s="1401"/>
      <c r="DX59" s="1401"/>
      <c r="DY59" s="1401"/>
      <c r="DZ59" s="1401"/>
      <c r="EA59" s="1401"/>
      <c r="EB59" s="1401"/>
      <c r="EC59" s="1401"/>
      <c r="ED59" s="1401"/>
      <c r="EE59" s="1401"/>
      <c r="EF59" s="1401"/>
      <c r="EG59" s="1402"/>
      <c r="EH59" s="1402"/>
      <c r="EI59" s="1402"/>
      <c r="EJ59" s="1402"/>
      <c r="EK59" s="1402"/>
      <c r="EL59" s="1402"/>
      <c r="EM59" s="1402"/>
      <c r="EN59" s="1401"/>
      <c r="EO59" s="1402"/>
      <c r="EP59" s="1402"/>
      <c r="EQ59" s="1402"/>
      <c r="ER59" s="1402"/>
      <c r="ES59" s="1402"/>
      <c r="ET59" s="1402"/>
      <c r="EU59" s="1402"/>
      <c r="EV59" s="1402"/>
      <c r="EW59" s="1402"/>
      <c r="EX59" s="1402"/>
      <c r="EY59" s="1402"/>
      <c r="EZ59" s="1402"/>
      <c r="FA59" s="1402"/>
      <c r="FB59" s="1402"/>
      <c r="FC59" s="1402"/>
      <c r="FD59" s="1402"/>
      <c r="FE59" s="1402"/>
      <c r="FF59" s="1402"/>
      <c r="FG59" s="1402"/>
      <c r="FH59" s="1402"/>
      <c r="FI59" s="1402"/>
      <c r="FJ59" s="1402"/>
      <c r="FK59" s="1402"/>
      <c r="FL59" s="1402"/>
      <c r="FM59" s="1402"/>
      <c r="FN59" s="1402"/>
      <c r="FO59" s="1402"/>
      <c r="FP59" s="1402"/>
      <c r="FQ59" s="1402"/>
      <c r="FR59" s="1402"/>
      <c r="FS59" s="1402"/>
      <c r="FT59" s="1402"/>
      <c r="FU59" s="1402"/>
      <c r="FV59" s="1402"/>
      <c r="FW59" s="1402"/>
      <c r="FX59" s="1402"/>
      <c r="FY59" s="1402"/>
      <c r="FZ59" s="1402"/>
      <c r="GA59" s="1402"/>
      <c r="GB59" s="1083"/>
    </row>
    <row r="60" spans="1:184" s="1007" customFormat="1" ht="24.95" hidden="1" customHeight="1">
      <c r="B60" s="1404">
        <f>B54+1</f>
        <v>39</v>
      </c>
      <c r="C60" s="1405"/>
      <c r="D60" s="1406" t="s">
        <v>2142</v>
      </c>
      <c r="E60" s="1407" t="s">
        <v>2143</v>
      </c>
      <c r="F60" s="1408"/>
      <c r="G60" s="1109" t="s">
        <v>11</v>
      </c>
      <c r="H60" s="1409">
        <f t="shared" si="0"/>
        <v>0</v>
      </c>
      <c r="I60" s="1110"/>
      <c r="J60" s="1409">
        <f t="shared" si="3"/>
        <v>0</v>
      </c>
      <c r="K60" s="1657"/>
      <c r="L60" s="1410"/>
      <c r="M60" s="1410"/>
      <c r="N60" s="1410"/>
      <c r="O60" s="1410"/>
      <c r="P60" s="1410"/>
      <c r="Q60" s="1410"/>
      <c r="R60" s="1410"/>
      <c r="S60" s="1410"/>
      <c r="T60" s="1410"/>
      <c r="U60" s="1410"/>
      <c r="V60" s="1411"/>
      <c r="W60" s="1410"/>
      <c r="X60" s="1410"/>
      <c r="Y60" s="1411"/>
      <c r="Z60" s="1410"/>
      <c r="AA60" s="1410"/>
      <c r="AB60" s="1410"/>
      <c r="AC60" s="1410"/>
      <c r="AD60" s="1410"/>
      <c r="AE60" s="1410"/>
      <c r="AF60" s="1410"/>
      <c r="AG60" s="1410"/>
      <c r="AH60" s="1410"/>
      <c r="AI60" s="1410"/>
      <c r="AJ60" s="1410"/>
      <c r="AK60" s="1410"/>
      <c r="AL60" s="1410"/>
      <c r="AM60" s="1410"/>
      <c r="AN60" s="1410"/>
      <c r="AO60" s="1410"/>
      <c r="AP60" s="1410"/>
      <c r="AQ60" s="1410"/>
      <c r="AR60" s="1410"/>
      <c r="AS60" s="1410"/>
      <c r="AT60" s="1410"/>
      <c r="AU60" s="1410"/>
      <c r="AV60" s="1410"/>
      <c r="AW60" s="1410"/>
      <c r="AX60" s="1410"/>
      <c r="AY60" s="1410"/>
      <c r="AZ60" s="1410"/>
      <c r="BA60" s="1410"/>
      <c r="BB60" s="1410"/>
      <c r="BC60" s="1410"/>
      <c r="BD60" s="1410"/>
      <c r="BE60" s="1410"/>
      <c r="BF60" s="1410"/>
      <c r="BG60" s="1410"/>
      <c r="BH60" s="1410"/>
      <c r="BI60" s="1410"/>
      <c r="BJ60" s="1410"/>
      <c r="BK60" s="1410"/>
      <c r="BL60" s="1410"/>
      <c r="BM60" s="1410"/>
      <c r="BN60" s="1410"/>
      <c r="BO60" s="1410"/>
      <c r="BP60" s="1410"/>
      <c r="BQ60" s="1410"/>
      <c r="BR60" s="1412"/>
      <c r="BS60" s="1412"/>
      <c r="BT60" s="1412"/>
      <c r="BU60" s="1412"/>
      <c r="BV60" s="1412"/>
      <c r="BW60" s="1412"/>
      <c r="BX60" s="1412"/>
      <c r="BY60" s="1412"/>
      <c r="BZ60" s="1412"/>
      <c r="CA60" s="1412"/>
      <c r="CB60" s="1412"/>
      <c r="CC60" s="1412"/>
      <c r="CD60" s="1412"/>
      <c r="CE60" s="1412"/>
      <c r="CF60" s="1412"/>
      <c r="CG60" s="1412"/>
      <c r="CH60" s="1412"/>
      <c r="CI60" s="1412"/>
      <c r="CJ60" s="1412"/>
      <c r="CK60" s="1412"/>
      <c r="CL60" s="1412"/>
      <c r="CM60" s="1412"/>
      <c r="CN60" s="1412"/>
      <c r="CO60" s="1412"/>
      <c r="CP60" s="1412"/>
      <c r="CQ60" s="1412"/>
      <c r="CR60" s="1412"/>
      <c r="CS60" s="1412"/>
      <c r="CT60" s="1412"/>
      <c r="CU60" s="1412"/>
      <c r="CV60" s="1412"/>
      <c r="CW60" s="1412"/>
      <c r="CX60" s="1412"/>
      <c r="CY60" s="1412"/>
      <c r="CZ60" s="1412"/>
      <c r="DA60" s="1412"/>
      <c r="DB60" s="1412"/>
      <c r="DC60" s="1412"/>
      <c r="DD60" s="1412"/>
      <c r="DE60" s="1412"/>
      <c r="DF60" s="1412"/>
      <c r="DG60" s="1412"/>
      <c r="DH60" s="1412"/>
      <c r="DI60" s="1412"/>
      <c r="DJ60" s="1412"/>
      <c r="DK60" s="1412"/>
      <c r="DL60" s="1412"/>
      <c r="DM60" s="1412"/>
      <c r="DN60" s="1412"/>
      <c r="DO60" s="1412"/>
      <c r="DP60" s="1412"/>
      <c r="DQ60" s="1412"/>
      <c r="DR60" s="1412"/>
      <c r="DS60" s="1412"/>
      <c r="DT60" s="1412"/>
      <c r="DU60" s="1412"/>
      <c r="DV60" s="1412"/>
      <c r="DW60" s="1412"/>
      <c r="DX60" s="1412"/>
      <c r="DY60" s="1412"/>
      <c r="DZ60" s="1412"/>
      <c r="EA60" s="1412"/>
      <c r="EB60" s="1412"/>
      <c r="EC60" s="1412"/>
      <c r="ED60" s="1412"/>
      <c r="EE60" s="1412"/>
      <c r="EF60" s="1412"/>
      <c r="EG60" s="1410"/>
      <c r="EH60" s="1410"/>
      <c r="EI60" s="1410"/>
      <c r="EJ60" s="1410"/>
      <c r="EK60" s="1410"/>
      <c r="EL60" s="1410"/>
      <c r="EM60" s="1410"/>
      <c r="EN60" s="1412"/>
      <c r="EO60" s="1410"/>
      <c r="EP60" s="1410"/>
      <c r="EQ60" s="1410"/>
      <c r="ER60" s="1410"/>
      <c r="ES60" s="1410"/>
      <c r="ET60" s="1410"/>
      <c r="EU60" s="1410"/>
      <c r="EV60" s="1410"/>
      <c r="EW60" s="1410"/>
      <c r="EX60" s="1410"/>
      <c r="EY60" s="1410"/>
      <c r="EZ60" s="1410"/>
      <c r="FA60" s="1410"/>
      <c r="FB60" s="1410"/>
      <c r="FC60" s="1410"/>
      <c r="FD60" s="1410"/>
      <c r="FE60" s="1410"/>
      <c r="FF60" s="1410"/>
      <c r="FG60" s="1410"/>
      <c r="FH60" s="1410"/>
      <c r="FI60" s="1410"/>
      <c r="FJ60" s="1410"/>
      <c r="FK60" s="1410"/>
      <c r="FL60" s="1410"/>
      <c r="FM60" s="1410"/>
      <c r="FN60" s="1410"/>
      <c r="FO60" s="1410"/>
      <c r="FP60" s="1410"/>
      <c r="FQ60" s="1410"/>
      <c r="FR60" s="1410"/>
      <c r="FS60" s="1410"/>
      <c r="FT60" s="1410"/>
      <c r="FU60" s="1410"/>
      <c r="FV60" s="1410"/>
      <c r="FW60" s="1410"/>
      <c r="FX60" s="1410"/>
      <c r="FY60" s="1410"/>
      <c r="FZ60" s="1410"/>
      <c r="GA60" s="1410"/>
      <c r="GB60" s="1113"/>
    </row>
    <row r="61" spans="1:184" s="1007" customFormat="1" ht="24.95" customHeight="1">
      <c r="B61" s="1384" t="s">
        <v>2144</v>
      </c>
      <c r="C61" s="1385" t="s">
        <v>3155</v>
      </c>
      <c r="D61" s="1386" t="s">
        <v>1194</v>
      </c>
      <c r="E61" s="1387"/>
      <c r="F61" s="1388"/>
      <c r="G61" s="1389"/>
      <c r="H61" s="1059">
        <f t="shared" si="0"/>
        <v>0</v>
      </c>
      <c r="I61" s="1060"/>
      <c r="J61" s="1059">
        <f t="shared" si="3"/>
        <v>0</v>
      </c>
      <c r="K61" s="1658"/>
      <c r="L61" s="1390"/>
      <c r="M61" s="1390"/>
      <c r="N61" s="1390"/>
      <c r="O61" s="1390"/>
      <c r="P61" s="1390"/>
      <c r="Q61" s="1390"/>
      <c r="R61" s="1390"/>
      <c r="S61" s="1390"/>
      <c r="T61" s="1390"/>
      <c r="U61" s="1390"/>
      <c r="V61" s="1391"/>
      <c r="W61" s="1390"/>
      <c r="X61" s="1390"/>
      <c r="Y61" s="1391"/>
      <c r="Z61" s="1390"/>
      <c r="AA61" s="1390"/>
      <c r="AB61" s="1390"/>
      <c r="AC61" s="1390"/>
      <c r="AD61" s="1390"/>
      <c r="AE61" s="1390"/>
      <c r="AF61" s="1390"/>
      <c r="AG61" s="1390"/>
      <c r="AH61" s="1390"/>
      <c r="AI61" s="1390"/>
      <c r="AJ61" s="1390"/>
      <c r="AK61" s="1390"/>
      <c r="AL61" s="1390"/>
      <c r="AM61" s="1390"/>
      <c r="AN61" s="1390"/>
      <c r="AO61" s="1390"/>
      <c r="AP61" s="1390"/>
      <c r="AQ61" s="1390"/>
      <c r="AR61" s="1390"/>
      <c r="AS61" s="1390"/>
      <c r="AT61" s="1390"/>
      <c r="AU61" s="1390"/>
      <c r="AV61" s="1390"/>
      <c r="AW61" s="1390"/>
      <c r="AX61" s="1390"/>
      <c r="AY61" s="1390"/>
      <c r="AZ61" s="1390"/>
      <c r="BA61" s="1390"/>
      <c r="BB61" s="1390"/>
      <c r="BC61" s="1390"/>
      <c r="BD61" s="1390"/>
      <c r="BE61" s="1390"/>
      <c r="BF61" s="1390"/>
      <c r="BG61" s="1390"/>
      <c r="BH61" s="1390"/>
      <c r="BI61" s="1390"/>
      <c r="BJ61" s="1390"/>
      <c r="BK61" s="1390"/>
      <c r="BL61" s="1390"/>
      <c r="BM61" s="1390"/>
      <c r="BN61" s="1390"/>
      <c r="BO61" s="1390"/>
      <c r="BP61" s="1390"/>
      <c r="BQ61" s="1390"/>
      <c r="BR61" s="1392"/>
      <c r="BS61" s="1392"/>
      <c r="BT61" s="1392"/>
      <c r="BU61" s="1392"/>
      <c r="BV61" s="1392"/>
      <c r="BW61" s="1392"/>
      <c r="BX61" s="1392"/>
      <c r="BY61" s="1392"/>
      <c r="BZ61" s="1392"/>
      <c r="CA61" s="1392"/>
      <c r="CB61" s="1392"/>
      <c r="CC61" s="1392"/>
      <c r="CD61" s="1392"/>
      <c r="CE61" s="1392"/>
      <c r="CF61" s="1392"/>
      <c r="CG61" s="1392"/>
      <c r="CH61" s="1392"/>
      <c r="CI61" s="1392"/>
      <c r="CJ61" s="1392"/>
      <c r="CK61" s="1392"/>
      <c r="CL61" s="1392"/>
      <c r="CM61" s="1392"/>
      <c r="CN61" s="1392"/>
      <c r="CO61" s="1392"/>
      <c r="CP61" s="1392"/>
      <c r="CQ61" s="1392"/>
      <c r="CR61" s="1392"/>
      <c r="CS61" s="1392"/>
      <c r="CT61" s="1392"/>
      <c r="CU61" s="1392"/>
      <c r="CV61" s="1392"/>
      <c r="CW61" s="1392"/>
      <c r="CX61" s="1392"/>
      <c r="CY61" s="1392"/>
      <c r="CZ61" s="1392"/>
      <c r="DA61" s="1392"/>
      <c r="DB61" s="1392"/>
      <c r="DC61" s="1392"/>
      <c r="DD61" s="1392"/>
      <c r="DE61" s="1392"/>
      <c r="DF61" s="1392"/>
      <c r="DG61" s="1392"/>
      <c r="DH61" s="1392"/>
      <c r="DI61" s="1392"/>
      <c r="DJ61" s="1392"/>
      <c r="DK61" s="1392"/>
      <c r="DL61" s="1392"/>
      <c r="DM61" s="1392"/>
      <c r="DN61" s="1392"/>
      <c r="DO61" s="1392"/>
      <c r="DP61" s="1392"/>
      <c r="DQ61" s="1392"/>
      <c r="DR61" s="1392"/>
      <c r="DS61" s="1392"/>
      <c r="DT61" s="1392"/>
      <c r="DU61" s="1392"/>
      <c r="DV61" s="1392"/>
      <c r="DW61" s="1392"/>
      <c r="DX61" s="1392"/>
      <c r="DY61" s="1392"/>
      <c r="DZ61" s="1392"/>
      <c r="EA61" s="1392"/>
      <c r="EB61" s="1392"/>
      <c r="EC61" s="1392"/>
      <c r="ED61" s="1392"/>
      <c r="EE61" s="1392"/>
      <c r="EF61" s="1392"/>
      <c r="EG61" s="1390"/>
      <c r="EH61" s="1390"/>
      <c r="EI61" s="1390"/>
      <c r="EJ61" s="1390"/>
      <c r="EK61" s="1390"/>
      <c r="EL61" s="1390"/>
      <c r="EM61" s="1390"/>
      <c r="EN61" s="1392"/>
      <c r="EO61" s="1390"/>
      <c r="EP61" s="1390"/>
      <c r="EQ61" s="1390"/>
      <c r="ER61" s="1390"/>
      <c r="ES61" s="1390"/>
      <c r="ET61" s="1390"/>
      <c r="EU61" s="1390"/>
      <c r="EV61" s="1390"/>
      <c r="EW61" s="1390"/>
      <c r="EX61" s="1390"/>
      <c r="EY61" s="1390"/>
      <c r="EZ61" s="1390"/>
      <c r="FA61" s="1390"/>
      <c r="FB61" s="1390"/>
      <c r="FC61" s="1390"/>
      <c r="FD61" s="1390"/>
      <c r="FE61" s="1390"/>
      <c r="FF61" s="1390"/>
      <c r="FG61" s="1390"/>
      <c r="FH61" s="1390"/>
      <c r="FI61" s="1390"/>
      <c r="FJ61" s="1390"/>
      <c r="FK61" s="1390"/>
      <c r="FL61" s="1390"/>
      <c r="FM61" s="1390"/>
      <c r="FN61" s="1390"/>
      <c r="FO61" s="1390"/>
      <c r="FP61" s="1390"/>
      <c r="FQ61" s="1390"/>
      <c r="FR61" s="1390"/>
      <c r="FS61" s="1390"/>
      <c r="FT61" s="1390"/>
      <c r="FU61" s="1390"/>
      <c r="FV61" s="1390"/>
      <c r="FW61" s="1390"/>
      <c r="FX61" s="1390"/>
      <c r="FY61" s="1390"/>
      <c r="FZ61" s="1390"/>
      <c r="GA61" s="1390"/>
      <c r="GB61" s="1061"/>
    </row>
    <row r="62" spans="1:184" s="1007" customFormat="1" ht="24.95" hidden="1" customHeight="1">
      <c r="A62" s="1007">
        <v>3</v>
      </c>
      <c r="B62" s="1062">
        <v>1</v>
      </c>
      <c r="C62" s="1063"/>
      <c r="D62" s="1064" t="s">
        <v>2145</v>
      </c>
      <c r="E62" s="1065" t="s">
        <v>2146</v>
      </c>
      <c r="F62" s="1066"/>
      <c r="G62" s="1067" t="s">
        <v>337</v>
      </c>
      <c r="H62" s="1059">
        <f t="shared" si="0"/>
        <v>0</v>
      </c>
      <c r="I62" s="1060"/>
      <c r="J62" s="1059">
        <f t="shared" si="3"/>
        <v>0</v>
      </c>
      <c r="K62" s="1659"/>
      <c r="L62" s="1049"/>
      <c r="M62" s="1049"/>
      <c r="N62" s="1049"/>
      <c r="O62" s="1049"/>
      <c r="P62" s="1049"/>
      <c r="Q62" s="1049"/>
      <c r="R62" s="1049"/>
      <c r="S62" s="1049"/>
      <c r="T62" s="1049"/>
      <c r="U62" s="1049"/>
      <c r="V62" s="1050"/>
      <c r="W62" s="1049"/>
      <c r="X62" s="1049"/>
      <c r="Y62" s="1050"/>
      <c r="Z62" s="1049"/>
      <c r="AA62" s="1049"/>
      <c r="AB62" s="1049"/>
      <c r="AC62" s="1049"/>
      <c r="AD62" s="1049"/>
      <c r="AE62" s="1049"/>
      <c r="AF62" s="1049"/>
      <c r="AG62" s="1049"/>
      <c r="AH62" s="1049"/>
      <c r="AI62" s="1049"/>
      <c r="AJ62" s="1049"/>
      <c r="AK62" s="1049"/>
      <c r="AL62" s="1049"/>
      <c r="AM62" s="1049"/>
      <c r="AN62" s="1049"/>
      <c r="AO62" s="1049"/>
      <c r="AP62" s="1049"/>
      <c r="AQ62" s="1049"/>
      <c r="AR62" s="1049"/>
      <c r="AS62" s="1049"/>
      <c r="AT62" s="1049"/>
      <c r="AU62" s="1049"/>
      <c r="AV62" s="1049"/>
      <c r="AW62" s="1049"/>
      <c r="AX62" s="1049"/>
      <c r="AY62" s="1049"/>
      <c r="AZ62" s="1049"/>
      <c r="BA62" s="1049"/>
      <c r="BB62" s="1049"/>
      <c r="BC62" s="1049"/>
      <c r="BD62" s="1049"/>
      <c r="BE62" s="1049"/>
      <c r="BF62" s="1049"/>
      <c r="BG62" s="1049"/>
      <c r="BH62" s="1049"/>
      <c r="BI62" s="1049"/>
      <c r="BJ62" s="1049"/>
      <c r="BK62" s="1049"/>
      <c r="BL62" s="1049"/>
      <c r="BM62" s="1049"/>
      <c r="BN62" s="1049"/>
      <c r="BO62" s="1049"/>
      <c r="BP62" s="1049"/>
      <c r="BQ62" s="1049"/>
      <c r="BR62" s="1048"/>
      <c r="BS62" s="1048"/>
      <c r="BT62" s="1048"/>
      <c r="BU62" s="1048"/>
      <c r="BV62" s="1048"/>
      <c r="BW62" s="1048"/>
      <c r="BX62" s="1048"/>
      <c r="BY62" s="1048"/>
      <c r="BZ62" s="1048"/>
      <c r="CA62" s="1048"/>
      <c r="CB62" s="1048"/>
      <c r="CC62" s="1048"/>
      <c r="CD62" s="1048"/>
      <c r="CE62" s="1048"/>
      <c r="CF62" s="1048"/>
      <c r="CG62" s="1048"/>
      <c r="CH62" s="1048"/>
      <c r="CI62" s="1048"/>
      <c r="CJ62" s="1048"/>
      <c r="CK62" s="1048"/>
      <c r="CL62" s="1048"/>
      <c r="CM62" s="1048"/>
      <c r="CN62" s="1048"/>
      <c r="CO62" s="1048"/>
      <c r="CP62" s="1048"/>
      <c r="CQ62" s="1048"/>
      <c r="CR62" s="1048"/>
      <c r="CS62" s="1048"/>
      <c r="CT62" s="1048"/>
      <c r="CU62" s="1048"/>
      <c r="CV62" s="1048"/>
      <c r="CW62" s="1048"/>
      <c r="CX62" s="1048"/>
      <c r="CY62" s="1048"/>
      <c r="CZ62" s="1048"/>
      <c r="DA62" s="1048"/>
      <c r="DB62" s="1048"/>
      <c r="DC62" s="1048"/>
      <c r="DD62" s="1048"/>
      <c r="DE62" s="1048"/>
      <c r="DF62" s="1048"/>
      <c r="DG62" s="1048"/>
      <c r="DH62" s="1048"/>
      <c r="DI62" s="1048"/>
      <c r="DJ62" s="1048"/>
      <c r="DK62" s="1048"/>
      <c r="DL62" s="1048"/>
      <c r="DM62" s="1048"/>
      <c r="DN62" s="1048"/>
      <c r="DO62" s="1048"/>
      <c r="DP62" s="1048"/>
      <c r="DQ62" s="1048"/>
      <c r="DR62" s="1048"/>
      <c r="DS62" s="1048"/>
      <c r="DT62" s="1048"/>
      <c r="DU62" s="1048"/>
      <c r="DV62" s="1048"/>
      <c r="DW62" s="1048"/>
      <c r="DX62" s="1048"/>
      <c r="DY62" s="1048"/>
      <c r="DZ62" s="1048"/>
      <c r="EA62" s="1048"/>
      <c r="EB62" s="1048"/>
      <c r="EC62" s="1048"/>
      <c r="ED62" s="1048"/>
      <c r="EE62" s="1048"/>
      <c r="EF62" s="1048"/>
      <c r="EG62" s="1049"/>
      <c r="EH62" s="1049"/>
      <c r="EI62" s="1049"/>
      <c r="EJ62" s="1049"/>
      <c r="EK62" s="1049"/>
      <c r="EL62" s="1049"/>
      <c r="EM62" s="1049"/>
      <c r="EN62" s="1048"/>
      <c r="EO62" s="1049"/>
      <c r="EP62" s="1049"/>
      <c r="EQ62" s="1049"/>
      <c r="ER62" s="1049"/>
      <c r="ES62" s="1049"/>
      <c r="ET62" s="1049"/>
      <c r="EU62" s="1049"/>
      <c r="EV62" s="1049"/>
      <c r="EW62" s="1049"/>
      <c r="EX62" s="1049"/>
      <c r="EY62" s="1049"/>
      <c r="EZ62" s="1049"/>
      <c r="FA62" s="1049"/>
      <c r="FB62" s="1049"/>
      <c r="FC62" s="1049"/>
      <c r="FD62" s="1049"/>
      <c r="FE62" s="1049"/>
      <c r="FF62" s="1049"/>
      <c r="FG62" s="1049"/>
      <c r="FH62" s="1049"/>
      <c r="FI62" s="1049"/>
      <c r="FJ62" s="1049"/>
      <c r="FK62" s="1049"/>
      <c r="FL62" s="1049"/>
      <c r="FM62" s="1049"/>
      <c r="FN62" s="1049"/>
      <c r="FO62" s="1049"/>
      <c r="FP62" s="1049"/>
      <c r="FQ62" s="1049"/>
      <c r="FR62" s="1049"/>
      <c r="FS62" s="1049"/>
      <c r="FT62" s="1049"/>
      <c r="FU62" s="1049"/>
      <c r="FV62" s="1049"/>
      <c r="FW62" s="1049"/>
      <c r="FX62" s="1049"/>
      <c r="FY62" s="1049"/>
      <c r="FZ62" s="1049"/>
      <c r="GA62" s="1049"/>
      <c r="GB62" s="1061"/>
    </row>
    <row r="63" spans="1:184" s="1007" customFormat="1" ht="24.95" hidden="1" customHeight="1">
      <c r="A63" s="1007">
        <v>1</v>
      </c>
      <c r="B63" s="1062">
        <f>B62+1</f>
        <v>2</v>
      </c>
      <c r="C63" s="1063"/>
      <c r="D63" s="1064" t="s">
        <v>2147</v>
      </c>
      <c r="E63" s="1065" t="s">
        <v>2148</v>
      </c>
      <c r="F63" s="1066"/>
      <c r="G63" s="1067" t="s">
        <v>337</v>
      </c>
      <c r="H63" s="1059">
        <f t="shared" si="0"/>
        <v>0</v>
      </c>
      <c r="I63" s="1060"/>
      <c r="J63" s="1059">
        <f t="shared" si="3"/>
        <v>0</v>
      </c>
      <c r="K63" s="1068"/>
      <c r="L63" s="1068"/>
      <c r="M63" s="1069"/>
      <c r="N63" s="1070"/>
      <c r="O63" s="1070"/>
      <c r="P63" s="1071"/>
      <c r="Q63" s="1071"/>
      <c r="R63" s="1071"/>
      <c r="S63" s="1071"/>
      <c r="T63" s="1071"/>
      <c r="U63" s="1068"/>
      <c r="V63" s="1071"/>
      <c r="W63" s="1071"/>
      <c r="X63" s="1071"/>
      <c r="Y63" s="1071"/>
      <c r="Z63" s="1070"/>
      <c r="AA63" s="1071"/>
      <c r="AB63" s="1071"/>
      <c r="AC63" s="1071"/>
      <c r="AD63" s="1071"/>
      <c r="AE63" s="1071"/>
      <c r="AF63" s="1071"/>
      <c r="AG63" s="1071"/>
      <c r="AH63" s="1071"/>
      <c r="AI63" s="1071"/>
      <c r="AJ63" s="1071"/>
      <c r="AK63" s="1071"/>
      <c r="AL63" s="1071"/>
      <c r="AM63" s="1071"/>
      <c r="AN63" s="1071"/>
      <c r="AO63" s="1071"/>
      <c r="AP63" s="1071"/>
      <c r="AQ63" s="1071"/>
      <c r="AR63" s="1071"/>
      <c r="AS63" s="1071"/>
      <c r="AT63" s="1071"/>
      <c r="AU63" s="1071"/>
      <c r="AV63" s="1071"/>
      <c r="AW63" s="1071"/>
      <c r="AX63" s="1071"/>
      <c r="AY63" s="1071"/>
      <c r="AZ63" s="1071"/>
      <c r="BA63" s="1071"/>
      <c r="BB63" s="1071"/>
      <c r="BC63" s="1071"/>
      <c r="BD63" s="1071"/>
      <c r="BE63" s="1071"/>
      <c r="BF63" s="1071"/>
      <c r="BG63" s="1071"/>
      <c r="BH63" s="1071"/>
      <c r="BI63" s="1071"/>
      <c r="BJ63" s="1071"/>
      <c r="BK63" s="1071"/>
      <c r="BL63" s="1071"/>
      <c r="BM63" s="1071"/>
      <c r="BN63" s="1071"/>
      <c r="BO63" s="1071"/>
      <c r="BP63" s="1071"/>
      <c r="BQ63" s="1071"/>
      <c r="BR63" s="1068"/>
      <c r="BS63" s="1068"/>
      <c r="BT63" s="1068"/>
      <c r="BU63" s="1068"/>
      <c r="BV63" s="1068"/>
      <c r="BW63" s="1068"/>
      <c r="BX63" s="1068"/>
      <c r="BY63" s="1068"/>
      <c r="BZ63" s="1068"/>
      <c r="CA63" s="1068"/>
      <c r="CB63" s="1068"/>
      <c r="CC63" s="1068"/>
      <c r="CD63" s="1068"/>
      <c r="CE63" s="1068"/>
      <c r="CF63" s="1068"/>
      <c r="CG63" s="1068"/>
      <c r="CH63" s="1068"/>
      <c r="CI63" s="1068"/>
      <c r="CJ63" s="1068"/>
      <c r="CK63" s="1068"/>
      <c r="CL63" s="1068"/>
      <c r="CM63" s="1068"/>
      <c r="CN63" s="1068"/>
      <c r="CO63" s="1068"/>
      <c r="CP63" s="1068"/>
      <c r="CQ63" s="1068"/>
      <c r="CR63" s="1068"/>
      <c r="CS63" s="1068"/>
      <c r="CT63" s="1068"/>
      <c r="CU63" s="1068"/>
      <c r="CV63" s="1068"/>
      <c r="CW63" s="1068"/>
      <c r="CX63" s="1068"/>
      <c r="CY63" s="1068"/>
      <c r="CZ63" s="1068"/>
      <c r="DA63" s="1068"/>
      <c r="DB63" s="1068"/>
      <c r="DC63" s="1068"/>
      <c r="DD63" s="1068"/>
      <c r="DE63" s="1068"/>
      <c r="DF63" s="1068"/>
      <c r="DG63" s="1068"/>
      <c r="DH63" s="1068"/>
      <c r="DI63" s="1068"/>
      <c r="DJ63" s="1068"/>
      <c r="DK63" s="1068"/>
      <c r="DL63" s="1068"/>
      <c r="DM63" s="1068"/>
      <c r="DN63" s="1068"/>
      <c r="DO63" s="1068"/>
      <c r="DP63" s="1068"/>
      <c r="DQ63" s="1068"/>
      <c r="DR63" s="1068"/>
      <c r="DS63" s="1068"/>
      <c r="DT63" s="1068"/>
      <c r="DU63" s="1068"/>
      <c r="DV63" s="1068"/>
      <c r="DW63" s="1068"/>
      <c r="DX63" s="1068"/>
      <c r="DY63" s="1068"/>
      <c r="DZ63" s="1068"/>
      <c r="EA63" s="1068"/>
      <c r="EB63" s="1068"/>
      <c r="EC63" s="1068"/>
      <c r="ED63" s="1068"/>
      <c r="EE63" s="1068"/>
      <c r="EF63" s="1068"/>
      <c r="EG63" s="1068"/>
      <c r="EH63" s="1068"/>
      <c r="EI63" s="1068"/>
      <c r="EJ63" s="1068"/>
      <c r="EK63" s="1068"/>
      <c r="EL63" s="1068"/>
      <c r="EM63" s="1068"/>
      <c r="EN63" s="1068"/>
      <c r="EO63" s="1071"/>
      <c r="EP63" s="1071"/>
      <c r="EQ63" s="1071"/>
      <c r="ER63" s="1071"/>
      <c r="ES63" s="1071"/>
      <c r="ET63" s="1071"/>
      <c r="EU63" s="1071"/>
      <c r="EV63" s="1071"/>
      <c r="EW63" s="1071"/>
      <c r="EX63" s="1071"/>
      <c r="EY63" s="1071"/>
      <c r="EZ63" s="1071"/>
      <c r="FA63" s="1071"/>
      <c r="FB63" s="1071"/>
      <c r="FC63" s="1071"/>
      <c r="FD63" s="1071"/>
      <c r="FE63" s="1071"/>
      <c r="FF63" s="1071"/>
      <c r="FG63" s="1071"/>
      <c r="FH63" s="1071"/>
      <c r="FI63" s="1071"/>
      <c r="FJ63" s="1071"/>
      <c r="FK63" s="1071"/>
      <c r="FL63" s="1071"/>
      <c r="FM63" s="1071"/>
      <c r="FN63" s="1071"/>
      <c r="FO63" s="1071"/>
      <c r="FP63" s="1071"/>
      <c r="FQ63" s="1071"/>
      <c r="FR63" s="1071"/>
      <c r="FS63" s="1071"/>
      <c r="FT63" s="1071"/>
      <c r="FU63" s="1071"/>
      <c r="FV63" s="1071"/>
      <c r="FW63" s="1071"/>
      <c r="FX63" s="1071"/>
      <c r="FY63" s="1071"/>
      <c r="FZ63" s="1071"/>
      <c r="GA63" s="1071"/>
      <c r="GB63" s="1061"/>
    </row>
    <row r="64" spans="1:184" s="1007" customFormat="1" ht="24.95" customHeight="1">
      <c r="A64" s="1007">
        <v>2</v>
      </c>
      <c r="B64" s="1062">
        <f t="shared" ref="B64:B121" si="4">B63+1</f>
        <v>3</v>
      </c>
      <c r="C64" s="1072"/>
      <c r="D64" s="1051" t="s">
        <v>2149</v>
      </c>
      <c r="E64" s="1073" t="s">
        <v>2150</v>
      </c>
      <c r="F64" s="1052"/>
      <c r="G64" s="1053" t="s">
        <v>337</v>
      </c>
      <c r="H64" s="1046">
        <f t="shared" si="0"/>
        <v>8</v>
      </c>
      <c r="I64" s="1029"/>
      <c r="J64" s="1046">
        <f t="shared" si="3"/>
        <v>8</v>
      </c>
      <c r="K64" s="1069"/>
      <c r="L64" s="1069"/>
      <c r="M64" s="1069"/>
      <c r="N64" s="1070"/>
      <c r="O64" s="1070"/>
      <c r="P64" s="1070"/>
      <c r="Q64" s="1070"/>
      <c r="R64" s="1070"/>
      <c r="S64" s="1070"/>
      <c r="T64" s="1070"/>
      <c r="U64" s="1069"/>
      <c r="V64" s="1070"/>
      <c r="W64" s="1070"/>
      <c r="X64" s="1070"/>
      <c r="Y64" s="1070"/>
      <c r="Z64" s="1070"/>
      <c r="AA64" s="1070"/>
      <c r="AB64" s="1070"/>
      <c r="AC64" s="1070"/>
      <c r="AD64" s="1070"/>
      <c r="AE64" s="1070"/>
      <c r="AF64" s="1070"/>
      <c r="AG64" s="1070"/>
      <c r="AH64" s="1070"/>
      <c r="AI64" s="1070"/>
      <c r="AJ64" s="1070"/>
      <c r="AK64" s="1070"/>
      <c r="AL64" s="1070"/>
      <c r="AM64" s="1070"/>
      <c r="AN64" s="1070"/>
      <c r="AO64" s="1070"/>
      <c r="AP64" s="1070"/>
      <c r="AQ64" s="1070"/>
      <c r="AR64" s="1070"/>
      <c r="AS64" s="1070"/>
      <c r="AT64" s="1070"/>
      <c r="AU64" s="1070"/>
      <c r="AV64" s="1070"/>
      <c r="AW64" s="1070"/>
      <c r="AX64" s="1070"/>
      <c r="AY64" s="1070"/>
      <c r="AZ64" s="1070"/>
      <c r="BA64" s="1070"/>
      <c r="BB64" s="1070"/>
      <c r="BC64" s="1070"/>
      <c r="BD64" s="1070"/>
      <c r="BE64" s="1070"/>
      <c r="BF64" s="1070"/>
      <c r="BG64" s="1070"/>
      <c r="BH64" s="1070"/>
      <c r="BI64" s="1070"/>
      <c r="BJ64" s="1070"/>
      <c r="BK64" s="1070"/>
      <c r="BL64" s="1070"/>
      <c r="BM64" s="1070"/>
      <c r="BN64" s="1070"/>
      <c r="BO64" s="1070"/>
      <c r="BP64" s="1070"/>
      <c r="BQ64" s="1070"/>
      <c r="BR64" s="1069"/>
      <c r="BS64" s="1069"/>
      <c r="BT64" s="1069"/>
      <c r="BU64" s="1069"/>
      <c r="BV64" s="1069"/>
      <c r="BW64" s="1069"/>
      <c r="BX64" s="1069"/>
      <c r="BY64" s="1069"/>
      <c r="BZ64" s="1069"/>
      <c r="CA64" s="1069"/>
      <c r="CB64" s="1069"/>
      <c r="CC64" s="1069"/>
      <c r="CD64" s="1069"/>
      <c r="CE64" s="1069"/>
      <c r="CF64" s="1069"/>
      <c r="CG64" s="1069"/>
      <c r="CH64" s="1069"/>
      <c r="CI64" s="1069"/>
      <c r="CJ64" s="1069"/>
      <c r="CK64" s="1069"/>
      <c r="CL64" s="1069"/>
      <c r="CM64" s="1069"/>
      <c r="CN64" s="1069"/>
      <c r="CO64" s="1069"/>
      <c r="CP64" s="1069"/>
      <c r="CQ64" s="1069"/>
      <c r="CR64" s="1069"/>
      <c r="CS64" s="1069"/>
      <c r="CT64" s="1069"/>
      <c r="CU64" s="1069"/>
      <c r="CV64" s="1069"/>
      <c r="CW64" s="1069"/>
      <c r="CX64" s="1069"/>
      <c r="CY64" s="1069"/>
      <c r="CZ64" s="1069"/>
      <c r="DA64" s="1069"/>
      <c r="DB64" s="1069"/>
      <c r="DC64" s="1069"/>
      <c r="DD64" s="1069"/>
      <c r="DE64" s="1069"/>
      <c r="DF64" s="1069"/>
      <c r="DG64" s="1069"/>
      <c r="DH64" s="1069"/>
      <c r="DI64" s="1069"/>
      <c r="DJ64" s="1069"/>
      <c r="DK64" s="1069"/>
      <c r="DL64" s="1069"/>
      <c r="DM64" s="1069"/>
      <c r="DN64" s="1069"/>
      <c r="DO64" s="1069"/>
      <c r="DP64" s="1069"/>
      <c r="DQ64" s="1069"/>
      <c r="DR64" s="1069"/>
      <c r="DS64" s="1069"/>
      <c r="DT64" s="1069"/>
      <c r="DU64" s="1069"/>
      <c r="DV64" s="1069"/>
      <c r="DW64" s="1069"/>
      <c r="DX64" s="1069"/>
      <c r="DY64" s="1069">
        <v>1</v>
      </c>
      <c r="DZ64" s="1069">
        <v>1</v>
      </c>
      <c r="EA64" s="1069">
        <v>1</v>
      </c>
      <c r="EB64" s="1069">
        <v>1</v>
      </c>
      <c r="EC64" s="1069">
        <v>1</v>
      </c>
      <c r="ED64" s="1069">
        <v>1</v>
      </c>
      <c r="EE64" s="1069">
        <v>1</v>
      </c>
      <c r="EF64" s="1069">
        <v>1</v>
      </c>
      <c r="EG64" s="1069"/>
      <c r="EH64" s="1069"/>
      <c r="EI64" s="1069"/>
      <c r="EJ64" s="1069"/>
      <c r="EK64" s="1069"/>
      <c r="EL64" s="1069"/>
      <c r="EM64" s="1069"/>
      <c r="EN64" s="1069"/>
      <c r="EO64" s="1070"/>
      <c r="EP64" s="1070"/>
      <c r="EQ64" s="1070"/>
      <c r="ER64" s="1070"/>
      <c r="ES64" s="1070"/>
      <c r="ET64" s="1070"/>
      <c r="EU64" s="1070"/>
      <c r="EV64" s="1070"/>
      <c r="EW64" s="1070"/>
      <c r="EX64" s="1070"/>
      <c r="EY64" s="1070"/>
      <c r="EZ64" s="1070"/>
      <c r="FA64" s="1070"/>
      <c r="FB64" s="1070"/>
      <c r="FC64" s="1070"/>
      <c r="FD64" s="1070"/>
      <c r="FE64" s="1070"/>
      <c r="FF64" s="1070"/>
      <c r="FG64" s="1070"/>
      <c r="FH64" s="1070"/>
      <c r="FI64" s="1070"/>
      <c r="FJ64" s="1070"/>
      <c r="FK64" s="1070"/>
      <c r="FL64" s="1070"/>
      <c r="FM64" s="1070"/>
      <c r="FN64" s="1070"/>
      <c r="FO64" s="1070"/>
      <c r="FP64" s="1070"/>
      <c r="FQ64" s="1070"/>
      <c r="FR64" s="1070"/>
      <c r="FS64" s="1070"/>
      <c r="FT64" s="1070"/>
      <c r="FU64" s="1070"/>
      <c r="FV64" s="1070"/>
      <c r="FW64" s="1070"/>
      <c r="FX64" s="1070"/>
      <c r="FY64" s="1070"/>
      <c r="FZ64" s="1070"/>
      <c r="GA64" s="1070"/>
      <c r="GB64" s="1028"/>
    </row>
    <row r="65" spans="1:184" s="1007" customFormat="1" ht="24.95" hidden="1" customHeight="1">
      <c r="A65" s="1007">
        <v>4</v>
      </c>
      <c r="B65" s="1062">
        <f t="shared" si="4"/>
        <v>4</v>
      </c>
      <c r="C65" s="1072"/>
      <c r="D65" s="1051" t="s">
        <v>2142</v>
      </c>
      <c r="E65" s="1073" t="s">
        <v>2151</v>
      </c>
      <c r="F65" s="1052"/>
      <c r="G65" s="1053" t="s">
        <v>337</v>
      </c>
      <c r="H65" s="1046">
        <f t="shared" si="0"/>
        <v>0</v>
      </c>
      <c r="I65" s="1029"/>
      <c r="J65" s="1046">
        <f t="shared" si="3"/>
        <v>0</v>
      </c>
      <c r="K65" s="1069"/>
      <c r="L65" s="1069"/>
      <c r="M65" s="1069"/>
      <c r="N65" s="1070"/>
      <c r="O65" s="1070"/>
      <c r="P65" s="1070"/>
      <c r="Q65" s="1070"/>
      <c r="R65" s="1070"/>
      <c r="S65" s="1070"/>
      <c r="T65" s="1070"/>
      <c r="U65" s="1069"/>
      <c r="V65" s="1070"/>
      <c r="W65" s="1070"/>
      <c r="X65" s="1070"/>
      <c r="Y65" s="1070"/>
      <c r="Z65" s="1070"/>
      <c r="AA65" s="1070"/>
      <c r="AB65" s="1070"/>
      <c r="AC65" s="1070"/>
      <c r="AD65" s="1070"/>
      <c r="AE65" s="1070"/>
      <c r="AF65" s="1070"/>
      <c r="AG65" s="1070"/>
      <c r="AH65" s="1070"/>
      <c r="AI65" s="1070"/>
      <c r="AJ65" s="1070"/>
      <c r="AK65" s="1070"/>
      <c r="AL65" s="1070"/>
      <c r="AM65" s="1070"/>
      <c r="AN65" s="1070"/>
      <c r="AO65" s="1070"/>
      <c r="AP65" s="1070"/>
      <c r="AQ65" s="1070"/>
      <c r="AR65" s="1070"/>
      <c r="AS65" s="1070"/>
      <c r="AT65" s="1070"/>
      <c r="AU65" s="1070"/>
      <c r="AV65" s="1070"/>
      <c r="AW65" s="1070"/>
      <c r="AX65" s="1070"/>
      <c r="AY65" s="1070"/>
      <c r="AZ65" s="1070"/>
      <c r="BA65" s="1070"/>
      <c r="BB65" s="1070"/>
      <c r="BC65" s="1070"/>
      <c r="BD65" s="1070"/>
      <c r="BE65" s="1070"/>
      <c r="BF65" s="1070"/>
      <c r="BG65" s="1070"/>
      <c r="BH65" s="1070"/>
      <c r="BI65" s="1070"/>
      <c r="BJ65" s="1070"/>
      <c r="BK65" s="1070"/>
      <c r="BL65" s="1070"/>
      <c r="BM65" s="1070"/>
      <c r="BN65" s="1070"/>
      <c r="BO65" s="1070"/>
      <c r="BP65" s="1070"/>
      <c r="BQ65" s="1070"/>
      <c r="BR65" s="1069"/>
      <c r="BS65" s="1069"/>
      <c r="BT65" s="1069"/>
      <c r="BU65" s="1069"/>
      <c r="BV65" s="1069"/>
      <c r="BW65" s="1069"/>
      <c r="BX65" s="1069"/>
      <c r="BY65" s="1069"/>
      <c r="BZ65" s="1069"/>
      <c r="CA65" s="1069"/>
      <c r="CB65" s="1069"/>
      <c r="CC65" s="1069"/>
      <c r="CD65" s="1069"/>
      <c r="CE65" s="1069"/>
      <c r="CF65" s="1069"/>
      <c r="CG65" s="1069"/>
      <c r="CH65" s="1069"/>
      <c r="CI65" s="1069"/>
      <c r="CJ65" s="1069"/>
      <c r="CK65" s="1069"/>
      <c r="CL65" s="1069"/>
      <c r="CM65" s="1069"/>
      <c r="CN65" s="1069"/>
      <c r="CO65" s="1069"/>
      <c r="CP65" s="1069"/>
      <c r="CQ65" s="1069"/>
      <c r="CR65" s="1069"/>
      <c r="CS65" s="1069"/>
      <c r="CT65" s="1069"/>
      <c r="CU65" s="1069"/>
      <c r="CV65" s="1069"/>
      <c r="CW65" s="1069"/>
      <c r="CX65" s="1069"/>
      <c r="CY65" s="1069"/>
      <c r="CZ65" s="1069"/>
      <c r="DA65" s="1069"/>
      <c r="DB65" s="1069"/>
      <c r="DC65" s="1069"/>
      <c r="DD65" s="1069"/>
      <c r="DE65" s="1069"/>
      <c r="DF65" s="1069"/>
      <c r="DG65" s="1069"/>
      <c r="DH65" s="1069"/>
      <c r="DI65" s="1069"/>
      <c r="DJ65" s="1069"/>
      <c r="DK65" s="1069"/>
      <c r="DL65" s="1069"/>
      <c r="DM65" s="1069"/>
      <c r="DN65" s="1069"/>
      <c r="DO65" s="1069"/>
      <c r="DP65" s="1069"/>
      <c r="DQ65" s="1069"/>
      <c r="DR65" s="1069"/>
      <c r="DS65" s="1069"/>
      <c r="DT65" s="1069"/>
      <c r="DU65" s="1069"/>
      <c r="DV65" s="1069"/>
      <c r="DW65" s="1069"/>
      <c r="DX65" s="1069"/>
      <c r="DY65" s="1069"/>
      <c r="DZ65" s="1069"/>
      <c r="EA65" s="1069"/>
      <c r="EB65" s="1069"/>
      <c r="EC65" s="1069"/>
      <c r="ED65" s="1069"/>
      <c r="EE65" s="1069"/>
      <c r="EF65" s="1069"/>
      <c r="EG65" s="1069"/>
      <c r="EH65" s="1069"/>
      <c r="EI65" s="1069"/>
      <c r="EJ65" s="1069"/>
      <c r="EK65" s="1069"/>
      <c r="EL65" s="1069"/>
      <c r="EM65" s="1069"/>
      <c r="EN65" s="1069"/>
      <c r="EO65" s="1070"/>
      <c r="EP65" s="1070"/>
      <c r="EQ65" s="1070"/>
      <c r="ER65" s="1070"/>
      <c r="ES65" s="1070"/>
      <c r="ET65" s="1070"/>
      <c r="EU65" s="1070"/>
      <c r="EV65" s="1070"/>
      <c r="EW65" s="1070"/>
      <c r="EX65" s="1070"/>
      <c r="EY65" s="1070"/>
      <c r="EZ65" s="1070"/>
      <c r="FA65" s="1070"/>
      <c r="FB65" s="1070"/>
      <c r="FC65" s="1070"/>
      <c r="FD65" s="1070"/>
      <c r="FE65" s="1070"/>
      <c r="FF65" s="1070"/>
      <c r="FG65" s="1070"/>
      <c r="FH65" s="1070"/>
      <c r="FI65" s="1070"/>
      <c r="FJ65" s="1070"/>
      <c r="FK65" s="1070"/>
      <c r="FL65" s="1070"/>
      <c r="FM65" s="1070"/>
      <c r="FN65" s="1070"/>
      <c r="FO65" s="1070"/>
      <c r="FP65" s="1070"/>
      <c r="FQ65" s="1070"/>
      <c r="FR65" s="1070"/>
      <c r="FS65" s="1070"/>
      <c r="FT65" s="1070"/>
      <c r="FU65" s="1070"/>
      <c r="FV65" s="1070"/>
      <c r="FW65" s="1070"/>
      <c r="FX65" s="1070"/>
      <c r="FY65" s="1070"/>
      <c r="FZ65" s="1070"/>
      <c r="GA65" s="1070"/>
      <c r="GB65" s="1028"/>
    </row>
    <row r="66" spans="1:184" s="1007" customFormat="1" ht="24.95" hidden="1" customHeight="1">
      <c r="A66" s="1007">
        <v>4</v>
      </c>
      <c r="B66" s="1062">
        <f t="shared" si="4"/>
        <v>5</v>
      </c>
      <c r="C66" s="1072"/>
      <c r="D66" s="1051" t="s">
        <v>2152</v>
      </c>
      <c r="E66" s="1073" t="s">
        <v>2153</v>
      </c>
      <c r="F66" s="1052"/>
      <c r="G66" s="1053" t="s">
        <v>337</v>
      </c>
      <c r="H66" s="1046">
        <f t="shared" si="0"/>
        <v>0</v>
      </c>
      <c r="I66" s="1029"/>
      <c r="J66" s="1046">
        <f t="shared" si="3"/>
        <v>0</v>
      </c>
      <c r="K66" s="1069"/>
      <c r="L66" s="1069"/>
      <c r="M66" s="1069"/>
      <c r="N66" s="1070"/>
      <c r="O66" s="1070"/>
      <c r="P66" s="1070"/>
      <c r="Q66" s="1070"/>
      <c r="R66" s="1070"/>
      <c r="S66" s="1070"/>
      <c r="T66" s="1070"/>
      <c r="U66" s="1069"/>
      <c r="V66" s="1070"/>
      <c r="W66" s="1070"/>
      <c r="X66" s="1070"/>
      <c r="Y66" s="1070"/>
      <c r="Z66" s="1070"/>
      <c r="AA66" s="1070"/>
      <c r="AB66" s="1070"/>
      <c r="AC66" s="1070"/>
      <c r="AD66" s="1070"/>
      <c r="AE66" s="1070"/>
      <c r="AF66" s="1070"/>
      <c r="AG66" s="1070"/>
      <c r="AH66" s="1070"/>
      <c r="AI66" s="1070"/>
      <c r="AJ66" s="1070"/>
      <c r="AK66" s="1070"/>
      <c r="AL66" s="1070"/>
      <c r="AM66" s="1070"/>
      <c r="AN66" s="1070"/>
      <c r="AO66" s="1070"/>
      <c r="AP66" s="1070"/>
      <c r="AQ66" s="1070"/>
      <c r="AR66" s="1070"/>
      <c r="AS66" s="1070"/>
      <c r="AT66" s="1070"/>
      <c r="AU66" s="1070"/>
      <c r="AV66" s="1070"/>
      <c r="AW66" s="1070"/>
      <c r="AX66" s="1070"/>
      <c r="AY66" s="1070"/>
      <c r="AZ66" s="1070"/>
      <c r="BA66" s="1070"/>
      <c r="BB66" s="1070"/>
      <c r="BC66" s="1070"/>
      <c r="BD66" s="1070"/>
      <c r="BE66" s="1070"/>
      <c r="BF66" s="1070"/>
      <c r="BG66" s="1070"/>
      <c r="BH66" s="1070"/>
      <c r="BI66" s="1070"/>
      <c r="BJ66" s="1070"/>
      <c r="BK66" s="1070"/>
      <c r="BL66" s="1070"/>
      <c r="BM66" s="1070"/>
      <c r="BN66" s="1070"/>
      <c r="BO66" s="1070"/>
      <c r="BP66" s="1070"/>
      <c r="BQ66" s="1070"/>
      <c r="BR66" s="1069"/>
      <c r="BS66" s="1069"/>
      <c r="BT66" s="1069"/>
      <c r="BU66" s="1069"/>
      <c r="BV66" s="1069"/>
      <c r="BW66" s="1069"/>
      <c r="BX66" s="1069"/>
      <c r="BY66" s="1069"/>
      <c r="BZ66" s="1069"/>
      <c r="CA66" s="1069"/>
      <c r="CB66" s="1069"/>
      <c r="CC66" s="1069"/>
      <c r="CD66" s="1069"/>
      <c r="CE66" s="1069"/>
      <c r="CF66" s="1069"/>
      <c r="CG66" s="1069"/>
      <c r="CH66" s="1069"/>
      <c r="CI66" s="1069"/>
      <c r="CJ66" s="1069"/>
      <c r="CK66" s="1069"/>
      <c r="CL66" s="1069"/>
      <c r="CM66" s="1069"/>
      <c r="CN66" s="1069"/>
      <c r="CO66" s="1069"/>
      <c r="CP66" s="1069"/>
      <c r="CQ66" s="1069"/>
      <c r="CR66" s="1069"/>
      <c r="CS66" s="1069"/>
      <c r="CT66" s="1069"/>
      <c r="CU66" s="1069"/>
      <c r="CV66" s="1069"/>
      <c r="CW66" s="1069"/>
      <c r="CX66" s="1069"/>
      <c r="CY66" s="1069"/>
      <c r="CZ66" s="1069"/>
      <c r="DA66" s="1069"/>
      <c r="DB66" s="1069"/>
      <c r="DC66" s="1069"/>
      <c r="DD66" s="1069"/>
      <c r="DE66" s="1069"/>
      <c r="DF66" s="1069"/>
      <c r="DG66" s="1069"/>
      <c r="DH66" s="1069"/>
      <c r="DI66" s="1069"/>
      <c r="DJ66" s="1069"/>
      <c r="DK66" s="1069"/>
      <c r="DL66" s="1069"/>
      <c r="DM66" s="1069"/>
      <c r="DN66" s="1069"/>
      <c r="DO66" s="1069"/>
      <c r="DP66" s="1069"/>
      <c r="DQ66" s="1069"/>
      <c r="DR66" s="1069"/>
      <c r="DS66" s="1069"/>
      <c r="DT66" s="1069"/>
      <c r="DU66" s="1069"/>
      <c r="DV66" s="1069"/>
      <c r="DW66" s="1069"/>
      <c r="DX66" s="1069"/>
      <c r="DY66" s="1069"/>
      <c r="DZ66" s="1069"/>
      <c r="EA66" s="1069"/>
      <c r="EB66" s="1069"/>
      <c r="EC66" s="1069"/>
      <c r="ED66" s="1069"/>
      <c r="EE66" s="1069"/>
      <c r="EF66" s="1069"/>
      <c r="EG66" s="1069"/>
      <c r="EH66" s="1069"/>
      <c r="EI66" s="1069"/>
      <c r="EJ66" s="1069"/>
      <c r="EK66" s="1069"/>
      <c r="EL66" s="1069"/>
      <c r="EM66" s="1069"/>
      <c r="EN66" s="1069"/>
      <c r="EO66" s="1070"/>
      <c r="EP66" s="1070"/>
      <c r="EQ66" s="1070"/>
      <c r="ER66" s="1070"/>
      <c r="ES66" s="1070"/>
      <c r="ET66" s="1070"/>
      <c r="EU66" s="1070"/>
      <c r="EV66" s="1070"/>
      <c r="EW66" s="1070"/>
      <c r="EX66" s="1070"/>
      <c r="EY66" s="1070"/>
      <c r="EZ66" s="1070"/>
      <c r="FA66" s="1070"/>
      <c r="FB66" s="1070"/>
      <c r="FC66" s="1070"/>
      <c r="FD66" s="1070"/>
      <c r="FE66" s="1070"/>
      <c r="FF66" s="1070"/>
      <c r="FG66" s="1070"/>
      <c r="FH66" s="1070"/>
      <c r="FI66" s="1070"/>
      <c r="FJ66" s="1070"/>
      <c r="FK66" s="1070"/>
      <c r="FL66" s="1070"/>
      <c r="FM66" s="1070"/>
      <c r="FN66" s="1070"/>
      <c r="FO66" s="1070"/>
      <c r="FP66" s="1070"/>
      <c r="FQ66" s="1070"/>
      <c r="FR66" s="1070"/>
      <c r="FS66" s="1070"/>
      <c r="FT66" s="1070"/>
      <c r="FU66" s="1070"/>
      <c r="FV66" s="1070"/>
      <c r="FW66" s="1070"/>
      <c r="FX66" s="1070"/>
      <c r="FY66" s="1070"/>
      <c r="FZ66" s="1070"/>
      <c r="GA66" s="1070"/>
      <c r="GB66" s="1028"/>
    </row>
    <row r="67" spans="1:184" s="1007" customFormat="1" ht="24.95" customHeight="1">
      <c r="A67" s="1007">
        <v>8</v>
      </c>
      <c r="B67" s="1062">
        <f t="shared" si="4"/>
        <v>6</v>
      </c>
      <c r="C67" s="1072"/>
      <c r="D67" s="1051" t="s">
        <v>1717</v>
      </c>
      <c r="E67" s="1073" t="s">
        <v>2154</v>
      </c>
      <c r="F67" s="1052"/>
      <c r="G67" s="1053" t="s">
        <v>337</v>
      </c>
      <c r="H67" s="1046">
        <f t="shared" si="0"/>
        <v>2</v>
      </c>
      <c r="I67" s="1029"/>
      <c r="J67" s="1046">
        <f t="shared" si="3"/>
        <v>2</v>
      </c>
      <c r="K67" s="1069"/>
      <c r="L67" s="1069"/>
      <c r="M67" s="1069"/>
      <c r="N67" s="1070"/>
      <c r="O67" s="1070"/>
      <c r="P67" s="1070"/>
      <c r="Q67" s="1070"/>
      <c r="R67" s="1070"/>
      <c r="S67" s="1070"/>
      <c r="T67" s="1070"/>
      <c r="U67" s="1069"/>
      <c r="V67" s="1070"/>
      <c r="W67" s="1070"/>
      <c r="X67" s="1070"/>
      <c r="Y67" s="1070"/>
      <c r="Z67" s="1070"/>
      <c r="AA67" s="1070"/>
      <c r="AB67" s="1070"/>
      <c r="AC67" s="1070"/>
      <c r="AD67" s="1070"/>
      <c r="AE67" s="1070"/>
      <c r="AF67" s="1070"/>
      <c r="AG67" s="1070"/>
      <c r="AH67" s="1070"/>
      <c r="AI67" s="1070"/>
      <c r="AJ67" s="1070"/>
      <c r="AK67" s="1070"/>
      <c r="AL67" s="1070"/>
      <c r="AM67" s="1070"/>
      <c r="AN67" s="1070"/>
      <c r="AO67" s="1070"/>
      <c r="AP67" s="1070"/>
      <c r="AQ67" s="1070"/>
      <c r="AR67" s="1070"/>
      <c r="AS67" s="1070"/>
      <c r="AT67" s="1070"/>
      <c r="AU67" s="1070"/>
      <c r="AV67" s="1070"/>
      <c r="AW67" s="1070"/>
      <c r="AX67" s="1070"/>
      <c r="AY67" s="1070"/>
      <c r="AZ67" s="1070"/>
      <c r="BA67" s="1070"/>
      <c r="BB67" s="1070"/>
      <c r="BC67" s="1070"/>
      <c r="BD67" s="1070"/>
      <c r="BE67" s="1070"/>
      <c r="BF67" s="1070"/>
      <c r="BG67" s="1070"/>
      <c r="BH67" s="1070"/>
      <c r="BI67" s="1070"/>
      <c r="BJ67" s="1070"/>
      <c r="BK67" s="1070"/>
      <c r="BL67" s="1070"/>
      <c r="BM67" s="1070"/>
      <c r="BN67" s="1070"/>
      <c r="BO67" s="1070"/>
      <c r="BP67" s="1070"/>
      <c r="BQ67" s="1070"/>
      <c r="BR67" s="1069"/>
      <c r="BS67" s="1069"/>
      <c r="BT67" s="1069"/>
      <c r="BU67" s="1069"/>
      <c r="BV67" s="1069"/>
      <c r="BW67" s="1069"/>
      <c r="BX67" s="1069"/>
      <c r="BY67" s="1069"/>
      <c r="BZ67" s="1069"/>
      <c r="CA67" s="1069"/>
      <c r="CB67" s="1069"/>
      <c r="CC67" s="1069"/>
      <c r="CD67" s="1069"/>
      <c r="CE67" s="1069"/>
      <c r="CF67" s="1069"/>
      <c r="CG67" s="1069"/>
      <c r="CH67" s="1069"/>
      <c r="CI67" s="1069"/>
      <c r="CJ67" s="1069"/>
      <c r="CK67" s="1069"/>
      <c r="CL67" s="1069"/>
      <c r="CM67" s="1069"/>
      <c r="CN67" s="1069"/>
      <c r="CO67" s="1069"/>
      <c r="CP67" s="1069"/>
      <c r="CQ67" s="1069"/>
      <c r="CR67" s="1069"/>
      <c r="CS67" s="1069"/>
      <c r="CT67" s="1069"/>
      <c r="CU67" s="1069"/>
      <c r="CV67" s="1069"/>
      <c r="CW67" s="1069"/>
      <c r="CX67" s="1069"/>
      <c r="CY67" s="1069"/>
      <c r="CZ67" s="1069"/>
      <c r="DA67" s="1069"/>
      <c r="DB67" s="1069"/>
      <c r="DC67" s="1069"/>
      <c r="DD67" s="1069"/>
      <c r="DE67" s="1069"/>
      <c r="DF67" s="1069"/>
      <c r="DG67" s="1069"/>
      <c r="DH67" s="1069"/>
      <c r="DI67" s="1069"/>
      <c r="DJ67" s="1069"/>
      <c r="DK67" s="1069"/>
      <c r="DL67" s="1069"/>
      <c r="DM67" s="1069"/>
      <c r="DN67" s="1069"/>
      <c r="DO67" s="1069"/>
      <c r="DP67" s="1069"/>
      <c r="DQ67" s="1069"/>
      <c r="DR67" s="1069"/>
      <c r="DS67" s="1069"/>
      <c r="DT67" s="1069"/>
      <c r="DU67" s="1069"/>
      <c r="DV67" s="1069"/>
      <c r="DW67" s="1069"/>
      <c r="DX67" s="1069"/>
      <c r="DY67" s="1069"/>
      <c r="DZ67" s="1069"/>
      <c r="EA67" s="1069"/>
      <c r="EB67" s="1069"/>
      <c r="EC67" s="1069"/>
      <c r="ED67" s="1069"/>
      <c r="EE67" s="1069"/>
      <c r="EF67" s="1069"/>
      <c r="EG67" s="1069"/>
      <c r="EH67" s="1069"/>
      <c r="EI67" s="1069"/>
      <c r="EJ67" s="1069"/>
      <c r="EK67" s="1069"/>
      <c r="EL67" s="1069"/>
      <c r="EM67" s="1069"/>
      <c r="EN67" s="1069">
        <v>1</v>
      </c>
      <c r="EO67" s="1070"/>
      <c r="EP67" s="1070"/>
      <c r="EQ67" s="1070"/>
      <c r="ER67" s="1070"/>
      <c r="ES67" s="1070"/>
      <c r="ET67" s="1070"/>
      <c r="EU67" s="1070"/>
      <c r="EV67" s="1070"/>
      <c r="EW67" s="1070"/>
      <c r="EX67" s="1070"/>
      <c r="EY67" s="1070"/>
      <c r="EZ67" s="1070"/>
      <c r="FA67" s="1070"/>
      <c r="FB67" s="1070"/>
      <c r="FC67" s="1070"/>
      <c r="FD67" s="1070"/>
      <c r="FE67" s="1070"/>
      <c r="FF67" s="1070"/>
      <c r="FG67" s="1070"/>
      <c r="FH67" s="1070"/>
      <c r="FI67" s="1070"/>
      <c r="FJ67" s="1070"/>
      <c r="FK67" s="1070"/>
      <c r="FL67" s="1070"/>
      <c r="FM67" s="1070"/>
      <c r="FN67" s="1070"/>
      <c r="FO67" s="1070"/>
      <c r="FP67" s="1070"/>
      <c r="FQ67" s="1070"/>
      <c r="FR67" s="1070"/>
      <c r="FS67" s="1070"/>
      <c r="FT67" s="1070"/>
      <c r="FU67" s="1070"/>
      <c r="FV67" s="1070"/>
      <c r="FW67" s="1070"/>
      <c r="FX67" s="1070"/>
      <c r="FY67" s="1070"/>
      <c r="FZ67" s="1070"/>
      <c r="GA67" s="1070">
        <v>1</v>
      </c>
      <c r="GB67" s="1028"/>
    </row>
    <row r="68" spans="1:184" s="1007" customFormat="1" ht="24.95" customHeight="1">
      <c r="A68" s="1007">
        <v>8</v>
      </c>
      <c r="B68" s="1062">
        <f t="shared" si="4"/>
        <v>7</v>
      </c>
      <c r="C68" s="1072"/>
      <c r="D68" s="1051" t="s">
        <v>2155</v>
      </c>
      <c r="E68" s="1073" t="s">
        <v>2156</v>
      </c>
      <c r="F68" s="1052"/>
      <c r="G68" s="1053" t="s">
        <v>337</v>
      </c>
      <c r="H68" s="1046">
        <f t="shared" si="0"/>
        <v>38</v>
      </c>
      <c r="I68" s="1029"/>
      <c r="J68" s="1046">
        <f t="shared" si="3"/>
        <v>38</v>
      </c>
      <c r="K68" s="1069"/>
      <c r="L68" s="1069"/>
      <c r="M68" s="1069"/>
      <c r="N68" s="1070"/>
      <c r="O68" s="1070"/>
      <c r="P68" s="1070"/>
      <c r="Q68" s="1070"/>
      <c r="R68" s="1070"/>
      <c r="S68" s="1070"/>
      <c r="T68" s="1070"/>
      <c r="U68" s="1069"/>
      <c r="V68" s="1070"/>
      <c r="W68" s="1070"/>
      <c r="X68" s="1070"/>
      <c r="Y68" s="1070"/>
      <c r="Z68" s="1070"/>
      <c r="AA68" s="1070"/>
      <c r="AB68" s="1070"/>
      <c r="AC68" s="1070"/>
      <c r="AD68" s="1070"/>
      <c r="AE68" s="1070"/>
      <c r="AF68" s="1070"/>
      <c r="AG68" s="1070"/>
      <c r="AH68" s="1070"/>
      <c r="AI68" s="1070"/>
      <c r="AJ68" s="1070"/>
      <c r="AK68" s="1070"/>
      <c r="AL68" s="1070"/>
      <c r="AM68" s="1070"/>
      <c r="AN68" s="1070"/>
      <c r="AO68" s="1070"/>
      <c r="AP68" s="1070"/>
      <c r="AQ68" s="1070"/>
      <c r="AR68" s="1070"/>
      <c r="AS68" s="1070"/>
      <c r="AT68" s="1070"/>
      <c r="AU68" s="1070"/>
      <c r="AV68" s="1070"/>
      <c r="AW68" s="1070"/>
      <c r="AX68" s="1070"/>
      <c r="AY68" s="1070"/>
      <c r="AZ68" s="1070"/>
      <c r="BA68" s="1070"/>
      <c r="BB68" s="1070"/>
      <c r="BC68" s="1070"/>
      <c r="BD68" s="1070"/>
      <c r="BE68" s="1070"/>
      <c r="BF68" s="1070"/>
      <c r="BG68" s="1070"/>
      <c r="BH68" s="1070"/>
      <c r="BI68" s="1070"/>
      <c r="BJ68" s="1070"/>
      <c r="BK68" s="1070"/>
      <c r="BL68" s="1070"/>
      <c r="BM68" s="1070"/>
      <c r="BN68" s="1070"/>
      <c r="BO68" s="1070"/>
      <c r="BP68" s="1070"/>
      <c r="BQ68" s="1070"/>
      <c r="BR68" s="1069"/>
      <c r="BS68" s="1069"/>
      <c r="BT68" s="1069"/>
      <c r="BU68" s="1069"/>
      <c r="BV68" s="1069"/>
      <c r="BW68" s="1069"/>
      <c r="BX68" s="1069"/>
      <c r="BY68" s="1069"/>
      <c r="BZ68" s="1069"/>
      <c r="CA68" s="1069"/>
      <c r="CB68" s="1069"/>
      <c r="CC68" s="1069"/>
      <c r="CD68" s="1069"/>
      <c r="CE68" s="1069"/>
      <c r="CF68" s="1069"/>
      <c r="CG68" s="1069"/>
      <c r="CH68" s="1069"/>
      <c r="CI68" s="1069"/>
      <c r="CJ68" s="1069"/>
      <c r="CK68" s="1069"/>
      <c r="CL68" s="1069"/>
      <c r="CM68" s="1069"/>
      <c r="CN68" s="1069"/>
      <c r="CO68" s="1069"/>
      <c r="CP68" s="1069"/>
      <c r="CQ68" s="1069"/>
      <c r="CR68" s="1069"/>
      <c r="CS68" s="1069"/>
      <c r="CT68" s="1069"/>
      <c r="CU68" s="1069"/>
      <c r="CV68" s="1069"/>
      <c r="CW68" s="1069"/>
      <c r="CX68" s="1069"/>
      <c r="CY68" s="1069"/>
      <c r="CZ68" s="1069"/>
      <c r="DA68" s="1069"/>
      <c r="DB68" s="1069"/>
      <c r="DC68" s="1069"/>
      <c r="DD68" s="1069"/>
      <c r="DE68" s="1069"/>
      <c r="DF68" s="1069"/>
      <c r="DG68" s="1069"/>
      <c r="DH68" s="1069"/>
      <c r="DI68" s="1069"/>
      <c r="DJ68" s="1069"/>
      <c r="DK68" s="1069"/>
      <c r="DL68" s="1069"/>
      <c r="DM68" s="1069"/>
      <c r="DN68" s="1069"/>
      <c r="DO68" s="1069"/>
      <c r="DP68" s="1069"/>
      <c r="DQ68" s="1069"/>
      <c r="DR68" s="1069"/>
      <c r="DS68" s="1069"/>
      <c r="DT68" s="1069"/>
      <c r="DU68" s="1069"/>
      <c r="DV68" s="1069"/>
      <c r="DW68" s="1069"/>
      <c r="DX68" s="1069"/>
      <c r="DY68" s="1069"/>
      <c r="DZ68" s="1069"/>
      <c r="EA68" s="1069"/>
      <c r="EB68" s="1069"/>
      <c r="EC68" s="1069"/>
      <c r="ED68" s="1069"/>
      <c r="EE68" s="1069"/>
      <c r="EF68" s="1069"/>
      <c r="EG68" s="1069"/>
      <c r="EH68" s="1069"/>
      <c r="EI68" s="1069"/>
      <c r="EJ68" s="1069"/>
      <c r="EK68" s="1069"/>
      <c r="EL68" s="1069"/>
      <c r="EM68" s="1069"/>
      <c r="EN68" s="1069"/>
      <c r="EO68" s="1070">
        <v>1</v>
      </c>
      <c r="EP68" s="1070">
        <v>1</v>
      </c>
      <c r="EQ68" s="1070">
        <v>1</v>
      </c>
      <c r="ER68" s="1070">
        <v>1</v>
      </c>
      <c r="ES68" s="1070">
        <v>1</v>
      </c>
      <c r="ET68" s="1070">
        <v>1</v>
      </c>
      <c r="EU68" s="1070">
        <v>1</v>
      </c>
      <c r="EV68" s="1070">
        <v>1</v>
      </c>
      <c r="EW68" s="1070">
        <v>1</v>
      </c>
      <c r="EX68" s="1070">
        <v>1</v>
      </c>
      <c r="EY68" s="1070">
        <v>1</v>
      </c>
      <c r="EZ68" s="1070">
        <v>1</v>
      </c>
      <c r="FA68" s="1070">
        <v>1</v>
      </c>
      <c r="FB68" s="1070">
        <v>1</v>
      </c>
      <c r="FC68" s="1070">
        <v>1</v>
      </c>
      <c r="FD68" s="1070">
        <v>1</v>
      </c>
      <c r="FE68" s="1070">
        <v>1</v>
      </c>
      <c r="FF68" s="1070">
        <v>1</v>
      </c>
      <c r="FG68" s="1070">
        <v>1</v>
      </c>
      <c r="FH68" s="1070">
        <v>1</v>
      </c>
      <c r="FI68" s="1070">
        <v>1</v>
      </c>
      <c r="FJ68" s="1070">
        <v>1</v>
      </c>
      <c r="FK68" s="1070">
        <v>1</v>
      </c>
      <c r="FL68" s="1070">
        <v>1</v>
      </c>
      <c r="FM68" s="1070">
        <v>1</v>
      </c>
      <c r="FN68" s="1070">
        <v>1</v>
      </c>
      <c r="FO68" s="1070">
        <v>1</v>
      </c>
      <c r="FP68" s="1070">
        <v>1</v>
      </c>
      <c r="FQ68" s="1070">
        <v>1</v>
      </c>
      <c r="FR68" s="1070">
        <v>1</v>
      </c>
      <c r="FS68" s="1070">
        <v>1</v>
      </c>
      <c r="FT68" s="1070">
        <v>1</v>
      </c>
      <c r="FU68" s="1070">
        <v>1</v>
      </c>
      <c r="FV68" s="1070">
        <v>1</v>
      </c>
      <c r="FW68" s="1070">
        <v>1</v>
      </c>
      <c r="FX68" s="1070">
        <v>1</v>
      </c>
      <c r="FY68" s="1070">
        <v>1</v>
      </c>
      <c r="FZ68" s="1070">
        <v>1</v>
      </c>
      <c r="GA68" s="1070"/>
      <c r="GB68" s="1028"/>
    </row>
    <row r="69" spans="1:184" s="1007" customFormat="1" ht="24.95" customHeight="1">
      <c r="A69" s="1007">
        <v>9</v>
      </c>
      <c r="B69" s="1062">
        <f t="shared" si="4"/>
        <v>8</v>
      </c>
      <c r="C69" s="1072"/>
      <c r="D69" s="1051" t="s">
        <v>2157</v>
      </c>
      <c r="E69" s="1073" t="s">
        <v>2158</v>
      </c>
      <c r="F69" s="1052"/>
      <c r="G69" s="1053" t="s">
        <v>337</v>
      </c>
      <c r="H69" s="1046">
        <f t="shared" si="0"/>
        <v>39</v>
      </c>
      <c r="I69" s="1029"/>
      <c r="J69" s="1046">
        <f t="shared" si="3"/>
        <v>39</v>
      </c>
      <c r="K69" s="1069"/>
      <c r="L69" s="1069"/>
      <c r="M69" s="1069"/>
      <c r="N69" s="1070"/>
      <c r="O69" s="1070"/>
      <c r="P69" s="1070"/>
      <c r="Q69" s="1070"/>
      <c r="R69" s="1070"/>
      <c r="S69" s="1070"/>
      <c r="T69" s="1070"/>
      <c r="U69" s="1069"/>
      <c r="V69" s="1070"/>
      <c r="W69" s="1070"/>
      <c r="X69" s="1070"/>
      <c r="Y69" s="1070"/>
      <c r="Z69" s="1070"/>
      <c r="AA69" s="1070"/>
      <c r="AB69" s="1070"/>
      <c r="AC69" s="1070"/>
      <c r="AD69" s="1070"/>
      <c r="AE69" s="1070"/>
      <c r="AF69" s="1070"/>
      <c r="AG69" s="1070"/>
      <c r="AH69" s="1070"/>
      <c r="AI69" s="1070"/>
      <c r="AJ69" s="1070"/>
      <c r="AK69" s="1070"/>
      <c r="AL69" s="1070"/>
      <c r="AM69" s="1070"/>
      <c r="AN69" s="1070"/>
      <c r="AO69" s="1070"/>
      <c r="AP69" s="1070"/>
      <c r="AQ69" s="1070"/>
      <c r="AR69" s="1070"/>
      <c r="AS69" s="1070"/>
      <c r="AT69" s="1070"/>
      <c r="AU69" s="1070"/>
      <c r="AV69" s="1070"/>
      <c r="AW69" s="1070"/>
      <c r="AX69" s="1070"/>
      <c r="AY69" s="1070"/>
      <c r="AZ69" s="1070"/>
      <c r="BA69" s="1070"/>
      <c r="BB69" s="1070"/>
      <c r="BC69" s="1070"/>
      <c r="BD69" s="1070"/>
      <c r="BE69" s="1070"/>
      <c r="BF69" s="1070"/>
      <c r="BG69" s="1070"/>
      <c r="BH69" s="1070"/>
      <c r="BI69" s="1070"/>
      <c r="BJ69" s="1070"/>
      <c r="BK69" s="1070"/>
      <c r="BL69" s="1070"/>
      <c r="BM69" s="1070"/>
      <c r="BN69" s="1070"/>
      <c r="BO69" s="1070"/>
      <c r="BP69" s="1070"/>
      <c r="BQ69" s="1070"/>
      <c r="BR69" s="1069"/>
      <c r="BS69" s="1069"/>
      <c r="BT69" s="1069"/>
      <c r="BU69" s="1069"/>
      <c r="BV69" s="1069"/>
      <c r="BW69" s="1069"/>
      <c r="BX69" s="1069"/>
      <c r="BY69" s="1069"/>
      <c r="BZ69" s="1069"/>
      <c r="CA69" s="1069"/>
      <c r="CB69" s="1069"/>
      <c r="CC69" s="1069"/>
      <c r="CD69" s="1069"/>
      <c r="CE69" s="1069"/>
      <c r="CF69" s="1069"/>
      <c r="CG69" s="1069"/>
      <c r="CH69" s="1069"/>
      <c r="CI69" s="1069"/>
      <c r="CJ69" s="1069"/>
      <c r="CK69" s="1069"/>
      <c r="CL69" s="1069"/>
      <c r="CM69" s="1069"/>
      <c r="CN69" s="1069"/>
      <c r="CO69" s="1069"/>
      <c r="CP69" s="1069"/>
      <c r="CQ69" s="1069"/>
      <c r="CR69" s="1069"/>
      <c r="CS69" s="1069"/>
      <c r="CT69" s="1069"/>
      <c r="CU69" s="1069"/>
      <c r="CV69" s="1069"/>
      <c r="CW69" s="1069"/>
      <c r="CX69" s="1069"/>
      <c r="CY69" s="1069"/>
      <c r="CZ69" s="1069"/>
      <c r="DA69" s="1069"/>
      <c r="DB69" s="1069"/>
      <c r="DC69" s="1069"/>
      <c r="DD69" s="1069"/>
      <c r="DE69" s="1069"/>
      <c r="DF69" s="1069"/>
      <c r="DG69" s="1069"/>
      <c r="DH69" s="1069"/>
      <c r="DI69" s="1069"/>
      <c r="DJ69" s="1069"/>
      <c r="DK69" s="1069"/>
      <c r="DL69" s="1069"/>
      <c r="DM69" s="1069"/>
      <c r="DN69" s="1069"/>
      <c r="DO69" s="1069"/>
      <c r="DP69" s="1069"/>
      <c r="DQ69" s="1069"/>
      <c r="DR69" s="1069"/>
      <c r="DS69" s="1069"/>
      <c r="DT69" s="1069"/>
      <c r="DU69" s="1069"/>
      <c r="DV69" s="1069"/>
      <c r="DW69" s="1069"/>
      <c r="DX69" s="1069"/>
      <c r="DY69" s="1069"/>
      <c r="DZ69" s="1069"/>
      <c r="EA69" s="1069"/>
      <c r="EB69" s="1069"/>
      <c r="EC69" s="1069"/>
      <c r="ED69" s="1069"/>
      <c r="EE69" s="1069"/>
      <c r="EF69" s="1069"/>
      <c r="EG69" s="1069"/>
      <c r="EH69" s="1069"/>
      <c r="EI69" s="1069"/>
      <c r="EJ69" s="1069"/>
      <c r="EK69" s="1069"/>
      <c r="EL69" s="1069"/>
      <c r="EM69" s="1069"/>
      <c r="EN69" s="1069">
        <v>1</v>
      </c>
      <c r="EO69" s="1070">
        <v>1</v>
      </c>
      <c r="EP69" s="1070">
        <v>1</v>
      </c>
      <c r="EQ69" s="1070">
        <v>1</v>
      </c>
      <c r="ER69" s="1070">
        <v>1</v>
      </c>
      <c r="ES69" s="1070">
        <v>1</v>
      </c>
      <c r="ET69" s="1070">
        <v>1</v>
      </c>
      <c r="EU69" s="1070">
        <v>1</v>
      </c>
      <c r="EV69" s="1070">
        <v>1</v>
      </c>
      <c r="EW69" s="1070">
        <v>1</v>
      </c>
      <c r="EX69" s="1070">
        <v>1</v>
      </c>
      <c r="EY69" s="1070">
        <v>1</v>
      </c>
      <c r="EZ69" s="1070">
        <v>1</v>
      </c>
      <c r="FA69" s="1070">
        <v>1</v>
      </c>
      <c r="FB69" s="1070">
        <v>1</v>
      </c>
      <c r="FC69" s="1070">
        <v>1</v>
      </c>
      <c r="FD69" s="1070">
        <v>1</v>
      </c>
      <c r="FE69" s="1070">
        <v>1</v>
      </c>
      <c r="FF69" s="1070">
        <v>1</v>
      </c>
      <c r="FG69" s="1070">
        <v>1</v>
      </c>
      <c r="FH69" s="1070">
        <v>1</v>
      </c>
      <c r="FI69" s="1070">
        <v>1</v>
      </c>
      <c r="FJ69" s="1070">
        <v>1</v>
      </c>
      <c r="FK69" s="1070">
        <v>1</v>
      </c>
      <c r="FL69" s="1070">
        <v>1</v>
      </c>
      <c r="FM69" s="1070">
        <v>1</v>
      </c>
      <c r="FN69" s="1070">
        <v>1</v>
      </c>
      <c r="FO69" s="1070">
        <v>1</v>
      </c>
      <c r="FP69" s="1070">
        <v>1</v>
      </c>
      <c r="FQ69" s="1070">
        <v>1</v>
      </c>
      <c r="FR69" s="1070">
        <v>1</v>
      </c>
      <c r="FS69" s="1070">
        <v>1</v>
      </c>
      <c r="FT69" s="1070">
        <v>1</v>
      </c>
      <c r="FU69" s="1070">
        <v>1</v>
      </c>
      <c r="FV69" s="1070">
        <v>1</v>
      </c>
      <c r="FW69" s="1070">
        <v>1</v>
      </c>
      <c r="FX69" s="1070">
        <v>1</v>
      </c>
      <c r="FY69" s="1070">
        <v>1</v>
      </c>
      <c r="FZ69" s="1070">
        <v>1</v>
      </c>
      <c r="GA69" s="1070"/>
      <c r="GB69" s="1028"/>
    </row>
    <row r="70" spans="1:184" s="1007" customFormat="1" ht="24.95" hidden="1" customHeight="1">
      <c r="B70" s="1062"/>
      <c r="C70" s="1072"/>
      <c r="D70" s="1051" t="s">
        <v>2159</v>
      </c>
      <c r="E70" s="1073" t="s">
        <v>2160</v>
      </c>
      <c r="F70" s="1052"/>
      <c r="G70" s="1053" t="s">
        <v>337</v>
      </c>
      <c r="H70" s="1046">
        <f t="shared" si="0"/>
        <v>0</v>
      </c>
      <c r="I70" s="1029"/>
      <c r="J70" s="1046">
        <f t="shared" si="3"/>
        <v>0</v>
      </c>
      <c r="K70" s="1069"/>
      <c r="L70" s="1069"/>
      <c r="M70" s="1069"/>
      <c r="N70" s="1070"/>
      <c r="O70" s="1070"/>
      <c r="P70" s="1070"/>
      <c r="Q70" s="1070"/>
      <c r="R70" s="1070"/>
      <c r="S70" s="1070"/>
      <c r="T70" s="1070"/>
      <c r="U70" s="1069"/>
      <c r="V70" s="1070"/>
      <c r="W70" s="1070"/>
      <c r="X70" s="1070"/>
      <c r="Y70" s="1070"/>
      <c r="Z70" s="1070"/>
      <c r="AA70" s="1070"/>
      <c r="AB70" s="1070"/>
      <c r="AC70" s="1070"/>
      <c r="AD70" s="1070"/>
      <c r="AE70" s="1070"/>
      <c r="AF70" s="1070"/>
      <c r="AG70" s="1070"/>
      <c r="AH70" s="1070"/>
      <c r="AI70" s="1070"/>
      <c r="AJ70" s="1070"/>
      <c r="AK70" s="1070"/>
      <c r="AL70" s="1070"/>
      <c r="AM70" s="1070"/>
      <c r="AN70" s="1070"/>
      <c r="AO70" s="1070"/>
      <c r="AP70" s="1070"/>
      <c r="AQ70" s="1070"/>
      <c r="AR70" s="1070"/>
      <c r="AS70" s="1070"/>
      <c r="AT70" s="1070"/>
      <c r="AU70" s="1070"/>
      <c r="AV70" s="1070"/>
      <c r="AW70" s="1070"/>
      <c r="AX70" s="1070"/>
      <c r="AY70" s="1070"/>
      <c r="AZ70" s="1070"/>
      <c r="BA70" s="1070"/>
      <c r="BB70" s="1070"/>
      <c r="BC70" s="1070"/>
      <c r="BD70" s="1070"/>
      <c r="BE70" s="1070"/>
      <c r="BF70" s="1070"/>
      <c r="BG70" s="1070"/>
      <c r="BH70" s="1070"/>
      <c r="BI70" s="1070"/>
      <c r="BJ70" s="1070"/>
      <c r="BK70" s="1070"/>
      <c r="BL70" s="1070"/>
      <c r="BM70" s="1070"/>
      <c r="BN70" s="1070"/>
      <c r="BO70" s="1070"/>
      <c r="BP70" s="1070"/>
      <c r="BQ70" s="1070"/>
      <c r="BR70" s="1069"/>
      <c r="BS70" s="1069"/>
      <c r="BT70" s="1069"/>
      <c r="BU70" s="1069"/>
      <c r="BV70" s="1069"/>
      <c r="BW70" s="1069"/>
      <c r="BX70" s="1069"/>
      <c r="BY70" s="1069"/>
      <c r="BZ70" s="1069"/>
      <c r="CA70" s="1069"/>
      <c r="CB70" s="1069"/>
      <c r="CC70" s="1069"/>
      <c r="CD70" s="1069"/>
      <c r="CE70" s="1069"/>
      <c r="CF70" s="1069"/>
      <c r="CG70" s="1069"/>
      <c r="CH70" s="1069"/>
      <c r="CI70" s="1069"/>
      <c r="CJ70" s="1069"/>
      <c r="CK70" s="1069"/>
      <c r="CL70" s="1069"/>
      <c r="CM70" s="1069"/>
      <c r="CN70" s="1069"/>
      <c r="CO70" s="1069"/>
      <c r="CP70" s="1069"/>
      <c r="CQ70" s="1069"/>
      <c r="CR70" s="1069"/>
      <c r="CS70" s="1069"/>
      <c r="CT70" s="1069"/>
      <c r="CU70" s="1069"/>
      <c r="CV70" s="1069"/>
      <c r="CW70" s="1069"/>
      <c r="CX70" s="1069"/>
      <c r="CY70" s="1069"/>
      <c r="CZ70" s="1069"/>
      <c r="DA70" s="1069"/>
      <c r="DB70" s="1069"/>
      <c r="DC70" s="1069"/>
      <c r="DD70" s="1069"/>
      <c r="DE70" s="1069"/>
      <c r="DF70" s="1069"/>
      <c r="DG70" s="1069"/>
      <c r="DH70" s="1069"/>
      <c r="DI70" s="1069"/>
      <c r="DJ70" s="1069"/>
      <c r="DK70" s="1069"/>
      <c r="DL70" s="1069"/>
      <c r="DM70" s="1069"/>
      <c r="DN70" s="1069"/>
      <c r="DO70" s="1069"/>
      <c r="DP70" s="1069"/>
      <c r="DQ70" s="1069"/>
      <c r="DR70" s="1069"/>
      <c r="DS70" s="1069"/>
      <c r="DT70" s="1069"/>
      <c r="DU70" s="1069"/>
      <c r="DV70" s="1069"/>
      <c r="DW70" s="1069"/>
      <c r="DX70" s="1069"/>
      <c r="DY70" s="1069"/>
      <c r="DZ70" s="1069"/>
      <c r="EA70" s="1069"/>
      <c r="EB70" s="1069"/>
      <c r="EC70" s="1069"/>
      <c r="ED70" s="1069"/>
      <c r="EE70" s="1069"/>
      <c r="EF70" s="1069"/>
      <c r="EG70" s="1069"/>
      <c r="EH70" s="1069"/>
      <c r="EI70" s="1069"/>
      <c r="EJ70" s="1069"/>
      <c r="EK70" s="1069"/>
      <c r="EL70" s="1069"/>
      <c r="EM70" s="1069"/>
      <c r="EN70" s="1069"/>
      <c r="EO70" s="1070"/>
      <c r="EP70" s="1070"/>
      <c r="EQ70" s="1070"/>
      <c r="ER70" s="1070"/>
      <c r="ES70" s="1070"/>
      <c r="ET70" s="1070"/>
      <c r="EU70" s="1070"/>
      <c r="EV70" s="1070"/>
      <c r="EW70" s="1070"/>
      <c r="EX70" s="1070"/>
      <c r="EY70" s="1070"/>
      <c r="EZ70" s="1070"/>
      <c r="FA70" s="1070"/>
      <c r="FB70" s="1070"/>
      <c r="FC70" s="1070"/>
      <c r="FD70" s="1070"/>
      <c r="FE70" s="1070"/>
      <c r="FF70" s="1070"/>
      <c r="FG70" s="1070"/>
      <c r="FH70" s="1070"/>
      <c r="FI70" s="1070"/>
      <c r="FJ70" s="1070"/>
      <c r="FK70" s="1070"/>
      <c r="FL70" s="1070"/>
      <c r="FM70" s="1070"/>
      <c r="FN70" s="1070"/>
      <c r="FO70" s="1070"/>
      <c r="FP70" s="1070"/>
      <c r="FQ70" s="1070"/>
      <c r="FR70" s="1070"/>
      <c r="FS70" s="1070"/>
      <c r="FT70" s="1070"/>
      <c r="FU70" s="1070"/>
      <c r="FV70" s="1070"/>
      <c r="FW70" s="1070"/>
      <c r="FX70" s="1070"/>
      <c r="FY70" s="1070"/>
      <c r="FZ70" s="1070"/>
      <c r="GA70" s="1070"/>
      <c r="GB70" s="1028"/>
    </row>
    <row r="71" spans="1:184" s="1007" customFormat="1" ht="24.95" customHeight="1">
      <c r="A71" s="1007">
        <v>10</v>
      </c>
      <c r="B71" s="1062">
        <f>B69+1</f>
        <v>9</v>
      </c>
      <c r="C71" s="1072"/>
      <c r="D71" s="1051" t="s">
        <v>2161</v>
      </c>
      <c r="E71" s="1073" t="s">
        <v>2162</v>
      </c>
      <c r="F71" s="1052"/>
      <c r="G71" s="1053" t="s">
        <v>337</v>
      </c>
      <c r="H71" s="1046">
        <f t="shared" si="0"/>
        <v>312</v>
      </c>
      <c r="I71" s="1029"/>
      <c r="J71" s="1046">
        <f t="shared" si="3"/>
        <v>312</v>
      </c>
      <c r="K71" s="1069"/>
      <c r="L71" s="1069"/>
      <c r="M71" s="1069"/>
      <c r="N71" s="1070"/>
      <c r="O71" s="1070"/>
      <c r="P71" s="1070"/>
      <c r="Q71" s="1070"/>
      <c r="R71" s="1070"/>
      <c r="S71" s="1070"/>
      <c r="T71" s="1070"/>
      <c r="U71" s="1069"/>
      <c r="V71" s="1070"/>
      <c r="W71" s="1070"/>
      <c r="X71" s="1070"/>
      <c r="Y71" s="1070"/>
      <c r="Z71" s="1070"/>
      <c r="AA71" s="1070"/>
      <c r="AB71" s="1070"/>
      <c r="AC71" s="1070"/>
      <c r="AD71" s="1070"/>
      <c r="AE71" s="1070"/>
      <c r="AF71" s="1070"/>
      <c r="AG71" s="1070"/>
      <c r="AH71" s="1070"/>
      <c r="AI71" s="1070"/>
      <c r="AJ71" s="1070"/>
      <c r="AK71" s="1070"/>
      <c r="AL71" s="1070"/>
      <c r="AM71" s="1070"/>
      <c r="AN71" s="1070"/>
      <c r="AO71" s="1070"/>
      <c r="AP71" s="1070"/>
      <c r="AQ71" s="1070"/>
      <c r="AR71" s="1070"/>
      <c r="AS71" s="1070"/>
      <c r="AT71" s="1070"/>
      <c r="AU71" s="1070"/>
      <c r="AV71" s="1070"/>
      <c r="AW71" s="1070"/>
      <c r="AX71" s="1070"/>
      <c r="AY71" s="1070"/>
      <c r="AZ71" s="1070"/>
      <c r="BA71" s="1070"/>
      <c r="BB71" s="1070"/>
      <c r="BC71" s="1070"/>
      <c r="BD71" s="1070"/>
      <c r="BE71" s="1070"/>
      <c r="BF71" s="1070"/>
      <c r="BG71" s="1070"/>
      <c r="BH71" s="1070"/>
      <c r="BI71" s="1070"/>
      <c r="BJ71" s="1070"/>
      <c r="BK71" s="1070"/>
      <c r="BL71" s="1070"/>
      <c r="BM71" s="1070"/>
      <c r="BN71" s="1070"/>
      <c r="BO71" s="1070"/>
      <c r="BP71" s="1070"/>
      <c r="BQ71" s="1070"/>
      <c r="BR71" s="1069"/>
      <c r="BS71" s="1069"/>
      <c r="BT71" s="1069"/>
      <c r="BU71" s="1069"/>
      <c r="BV71" s="1069"/>
      <c r="BW71" s="1069"/>
      <c r="BX71" s="1069"/>
      <c r="BY71" s="1069"/>
      <c r="BZ71" s="1069"/>
      <c r="CA71" s="1069"/>
      <c r="CB71" s="1069"/>
      <c r="CC71" s="1069"/>
      <c r="CD71" s="1069"/>
      <c r="CE71" s="1069"/>
      <c r="CF71" s="1069"/>
      <c r="CG71" s="1069"/>
      <c r="CH71" s="1069"/>
      <c r="CI71" s="1069"/>
      <c r="CJ71" s="1069"/>
      <c r="CK71" s="1069"/>
      <c r="CL71" s="1069"/>
      <c r="CM71" s="1069"/>
      <c r="CN71" s="1069"/>
      <c r="CO71" s="1069"/>
      <c r="CP71" s="1069"/>
      <c r="CQ71" s="1069"/>
      <c r="CR71" s="1069"/>
      <c r="CS71" s="1069"/>
      <c r="CT71" s="1069"/>
      <c r="CU71" s="1069"/>
      <c r="CV71" s="1069"/>
      <c r="CW71" s="1069"/>
      <c r="CX71" s="1069"/>
      <c r="CY71" s="1069"/>
      <c r="CZ71" s="1069"/>
      <c r="DA71" s="1069"/>
      <c r="DB71" s="1069"/>
      <c r="DC71" s="1069"/>
      <c r="DD71" s="1069"/>
      <c r="DE71" s="1069"/>
      <c r="DF71" s="1069"/>
      <c r="DG71" s="1069"/>
      <c r="DH71" s="1069"/>
      <c r="DI71" s="1069"/>
      <c r="DJ71" s="1069"/>
      <c r="DK71" s="1069"/>
      <c r="DL71" s="1069"/>
      <c r="DM71" s="1069"/>
      <c r="DN71" s="1069"/>
      <c r="DO71" s="1069"/>
      <c r="DP71" s="1069"/>
      <c r="DQ71" s="1069"/>
      <c r="DR71" s="1069"/>
      <c r="DS71" s="1069"/>
      <c r="DT71" s="1069"/>
      <c r="DU71" s="1069"/>
      <c r="DV71" s="1069"/>
      <c r="DW71" s="1069"/>
      <c r="DX71" s="1069"/>
      <c r="DY71" s="1069"/>
      <c r="DZ71" s="1069"/>
      <c r="EA71" s="1069"/>
      <c r="EB71" s="1069"/>
      <c r="EC71" s="1069"/>
      <c r="ED71" s="1069"/>
      <c r="EE71" s="1069"/>
      <c r="EF71" s="1069"/>
      <c r="EG71" s="1069"/>
      <c r="EH71" s="1069"/>
      <c r="EI71" s="1069"/>
      <c r="EJ71" s="1069"/>
      <c r="EK71" s="1069"/>
      <c r="EL71" s="1069"/>
      <c r="EM71" s="1069"/>
      <c r="EN71" s="1069">
        <v>8</v>
      </c>
      <c r="EO71" s="1070">
        <v>8</v>
      </c>
      <c r="EP71" s="1070">
        <v>8</v>
      </c>
      <c r="EQ71" s="1070">
        <v>8</v>
      </c>
      <c r="ER71" s="1070">
        <v>8</v>
      </c>
      <c r="ES71" s="1070">
        <v>8</v>
      </c>
      <c r="ET71" s="1070">
        <v>8</v>
      </c>
      <c r="EU71" s="1070">
        <v>8</v>
      </c>
      <c r="EV71" s="1070">
        <v>8</v>
      </c>
      <c r="EW71" s="1070">
        <v>8</v>
      </c>
      <c r="EX71" s="1070">
        <v>8</v>
      </c>
      <c r="EY71" s="1070">
        <v>8</v>
      </c>
      <c r="EZ71" s="1070">
        <v>8</v>
      </c>
      <c r="FA71" s="1070">
        <v>8</v>
      </c>
      <c r="FB71" s="1070">
        <v>8</v>
      </c>
      <c r="FC71" s="1070">
        <v>8</v>
      </c>
      <c r="FD71" s="1070">
        <v>8</v>
      </c>
      <c r="FE71" s="1070">
        <v>8</v>
      </c>
      <c r="FF71" s="1070">
        <v>8</v>
      </c>
      <c r="FG71" s="1070">
        <v>8</v>
      </c>
      <c r="FH71" s="1070">
        <v>8</v>
      </c>
      <c r="FI71" s="1070">
        <v>8</v>
      </c>
      <c r="FJ71" s="1070">
        <v>8</v>
      </c>
      <c r="FK71" s="1070">
        <v>8</v>
      </c>
      <c r="FL71" s="1070">
        <v>8</v>
      </c>
      <c r="FM71" s="1070">
        <v>8</v>
      </c>
      <c r="FN71" s="1070">
        <v>8</v>
      </c>
      <c r="FO71" s="1070">
        <v>8</v>
      </c>
      <c r="FP71" s="1070">
        <v>8</v>
      </c>
      <c r="FQ71" s="1070">
        <v>8</v>
      </c>
      <c r="FR71" s="1070">
        <v>8</v>
      </c>
      <c r="FS71" s="1070">
        <v>8</v>
      </c>
      <c r="FT71" s="1070">
        <v>8</v>
      </c>
      <c r="FU71" s="1070">
        <v>8</v>
      </c>
      <c r="FV71" s="1070">
        <v>8</v>
      </c>
      <c r="FW71" s="1070">
        <v>8</v>
      </c>
      <c r="FX71" s="1070">
        <v>8</v>
      </c>
      <c r="FY71" s="1070">
        <v>8</v>
      </c>
      <c r="FZ71" s="1070">
        <v>8</v>
      </c>
      <c r="GA71" s="1070"/>
      <c r="GB71" s="1028"/>
    </row>
    <row r="72" spans="1:184" s="1007" customFormat="1" ht="24.95" customHeight="1">
      <c r="A72" s="1007">
        <v>11</v>
      </c>
      <c r="B72" s="1062">
        <f t="shared" si="4"/>
        <v>10</v>
      </c>
      <c r="C72" s="1072"/>
      <c r="D72" s="1051" t="s">
        <v>2163</v>
      </c>
      <c r="E72" s="1075" t="s">
        <v>3305</v>
      </c>
      <c r="F72" s="1052"/>
      <c r="G72" s="1053" t="s">
        <v>337</v>
      </c>
      <c r="H72" s="1046">
        <f t="shared" si="0"/>
        <v>156</v>
      </c>
      <c r="I72" s="1029"/>
      <c r="J72" s="1046">
        <f t="shared" si="3"/>
        <v>156</v>
      </c>
      <c r="K72" s="1069"/>
      <c r="L72" s="1069"/>
      <c r="M72" s="1069"/>
      <c r="N72" s="1070"/>
      <c r="O72" s="1070"/>
      <c r="P72" s="1070"/>
      <c r="Q72" s="1070"/>
      <c r="R72" s="1070"/>
      <c r="S72" s="1070"/>
      <c r="T72" s="1070"/>
      <c r="U72" s="1069"/>
      <c r="V72" s="1070"/>
      <c r="W72" s="1070"/>
      <c r="X72" s="1070"/>
      <c r="Y72" s="1070"/>
      <c r="Z72" s="1070"/>
      <c r="AA72" s="1070"/>
      <c r="AB72" s="1070"/>
      <c r="AC72" s="1070"/>
      <c r="AD72" s="1070"/>
      <c r="AE72" s="1070"/>
      <c r="AF72" s="1070"/>
      <c r="AG72" s="1070"/>
      <c r="AH72" s="1070"/>
      <c r="AI72" s="1070"/>
      <c r="AJ72" s="1070"/>
      <c r="AK72" s="1070"/>
      <c r="AL72" s="1070"/>
      <c r="AM72" s="1070"/>
      <c r="AN72" s="1070"/>
      <c r="AO72" s="1070"/>
      <c r="AP72" s="1070"/>
      <c r="AQ72" s="1070"/>
      <c r="AR72" s="1070"/>
      <c r="AS72" s="1070"/>
      <c r="AT72" s="1070"/>
      <c r="AU72" s="1070"/>
      <c r="AV72" s="1070"/>
      <c r="AW72" s="1070"/>
      <c r="AX72" s="1070"/>
      <c r="AY72" s="1070"/>
      <c r="AZ72" s="1070"/>
      <c r="BA72" s="1070"/>
      <c r="BB72" s="1070"/>
      <c r="BC72" s="1070"/>
      <c r="BD72" s="1070"/>
      <c r="BE72" s="1070"/>
      <c r="BF72" s="1070"/>
      <c r="BG72" s="1070"/>
      <c r="BH72" s="1070"/>
      <c r="BI72" s="1070"/>
      <c r="BJ72" s="1070"/>
      <c r="BK72" s="1070"/>
      <c r="BL72" s="1070"/>
      <c r="BM72" s="1070"/>
      <c r="BN72" s="1070"/>
      <c r="BO72" s="1070"/>
      <c r="BP72" s="1070"/>
      <c r="BQ72" s="1070"/>
      <c r="BR72" s="1069"/>
      <c r="BS72" s="1069"/>
      <c r="BT72" s="1069"/>
      <c r="BU72" s="1069"/>
      <c r="BV72" s="1069"/>
      <c r="BW72" s="1069"/>
      <c r="BX72" s="1069"/>
      <c r="BY72" s="1069"/>
      <c r="BZ72" s="1069"/>
      <c r="CA72" s="1069"/>
      <c r="CB72" s="1069"/>
      <c r="CC72" s="1069"/>
      <c r="CD72" s="1069"/>
      <c r="CE72" s="1069"/>
      <c r="CF72" s="1069"/>
      <c r="CG72" s="1069"/>
      <c r="CH72" s="1069"/>
      <c r="CI72" s="1069"/>
      <c r="CJ72" s="1069"/>
      <c r="CK72" s="1069"/>
      <c r="CL72" s="1069"/>
      <c r="CM72" s="1069"/>
      <c r="CN72" s="1069"/>
      <c r="CO72" s="1069"/>
      <c r="CP72" s="1069"/>
      <c r="CQ72" s="1069"/>
      <c r="CR72" s="1069"/>
      <c r="CS72" s="1069"/>
      <c r="CT72" s="1069"/>
      <c r="CU72" s="1069"/>
      <c r="CV72" s="1069"/>
      <c r="CW72" s="1069"/>
      <c r="CX72" s="1069"/>
      <c r="CY72" s="1069"/>
      <c r="CZ72" s="1069"/>
      <c r="DA72" s="1069"/>
      <c r="DB72" s="1069"/>
      <c r="DC72" s="1069"/>
      <c r="DD72" s="1069"/>
      <c r="DE72" s="1069"/>
      <c r="DF72" s="1069"/>
      <c r="DG72" s="1069"/>
      <c r="DH72" s="1069"/>
      <c r="DI72" s="1069"/>
      <c r="DJ72" s="1069"/>
      <c r="DK72" s="1069"/>
      <c r="DL72" s="1069"/>
      <c r="DM72" s="1069"/>
      <c r="DN72" s="1069"/>
      <c r="DO72" s="1069"/>
      <c r="DP72" s="1069"/>
      <c r="DQ72" s="1069"/>
      <c r="DR72" s="1069"/>
      <c r="DS72" s="1069"/>
      <c r="DT72" s="1069"/>
      <c r="DU72" s="1069"/>
      <c r="DV72" s="1069"/>
      <c r="DW72" s="1069"/>
      <c r="DX72" s="1069"/>
      <c r="DY72" s="1069"/>
      <c r="DZ72" s="1069"/>
      <c r="EA72" s="1069"/>
      <c r="EB72" s="1069"/>
      <c r="EC72" s="1069"/>
      <c r="ED72" s="1069"/>
      <c r="EE72" s="1069"/>
      <c r="EF72" s="1069"/>
      <c r="EG72" s="1069"/>
      <c r="EH72" s="1069"/>
      <c r="EI72" s="1069"/>
      <c r="EJ72" s="1069"/>
      <c r="EK72" s="1069"/>
      <c r="EL72" s="1069"/>
      <c r="EM72" s="1069"/>
      <c r="EN72" s="1069">
        <v>4</v>
      </c>
      <c r="EO72" s="1070">
        <v>4</v>
      </c>
      <c r="EP72" s="1070">
        <v>4</v>
      </c>
      <c r="EQ72" s="1070">
        <v>4</v>
      </c>
      <c r="ER72" s="1070">
        <v>4</v>
      </c>
      <c r="ES72" s="1070">
        <v>4</v>
      </c>
      <c r="ET72" s="1070">
        <v>4</v>
      </c>
      <c r="EU72" s="1070">
        <v>4</v>
      </c>
      <c r="EV72" s="1070">
        <v>4</v>
      </c>
      <c r="EW72" s="1070">
        <v>4</v>
      </c>
      <c r="EX72" s="1070">
        <v>4</v>
      </c>
      <c r="EY72" s="1070">
        <v>4</v>
      </c>
      <c r="EZ72" s="1070">
        <v>4</v>
      </c>
      <c r="FA72" s="1070">
        <v>4</v>
      </c>
      <c r="FB72" s="1070">
        <v>4</v>
      </c>
      <c r="FC72" s="1070">
        <v>4</v>
      </c>
      <c r="FD72" s="1070">
        <v>4</v>
      </c>
      <c r="FE72" s="1070">
        <v>4</v>
      </c>
      <c r="FF72" s="1070">
        <v>4</v>
      </c>
      <c r="FG72" s="1070">
        <v>4</v>
      </c>
      <c r="FH72" s="1070">
        <v>4</v>
      </c>
      <c r="FI72" s="1070">
        <v>4</v>
      </c>
      <c r="FJ72" s="1070">
        <v>4</v>
      </c>
      <c r="FK72" s="1070">
        <v>4</v>
      </c>
      <c r="FL72" s="1070">
        <v>4</v>
      </c>
      <c r="FM72" s="1070">
        <v>4</v>
      </c>
      <c r="FN72" s="1070">
        <v>4</v>
      </c>
      <c r="FO72" s="1070">
        <v>4</v>
      </c>
      <c r="FP72" s="1070">
        <v>4</v>
      </c>
      <c r="FQ72" s="1070">
        <v>4</v>
      </c>
      <c r="FR72" s="1070">
        <v>4</v>
      </c>
      <c r="FS72" s="1070">
        <v>4</v>
      </c>
      <c r="FT72" s="1070">
        <v>4</v>
      </c>
      <c r="FU72" s="1070">
        <v>4</v>
      </c>
      <c r="FV72" s="1070">
        <v>4</v>
      </c>
      <c r="FW72" s="1070">
        <v>4</v>
      </c>
      <c r="FX72" s="1070">
        <v>4</v>
      </c>
      <c r="FY72" s="1070">
        <v>4</v>
      </c>
      <c r="FZ72" s="1070">
        <v>4</v>
      </c>
      <c r="GA72" s="1070"/>
      <c r="GB72" s="1028"/>
    </row>
    <row r="73" spans="1:184" s="1007" customFormat="1" ht="24.95" hidden="1" customHeight="1">
      <c r="B73" s="1062"/>
      <c r="C73" s="1076"/>
      <c r="D73" s="1077" t="s">
        <v>2164</v>
      </c>
      <c r="E73" s="1078" t="s">
        <v>2165</v>
      </c>
      <c r="F73" s="1079"/>
      <c r="G73" s="1053" t="s">
        <v>337</v>
      </c>
      <c r="H73" s="1046">
        <f t="shared" si="0"/>
        <v>0</v>
      </c>
      <c r="I73" s="1029"/>
      <c r="J73" s="1046">
        <f t="shared" ref="J73:J105" si="5">ROUNDUP(SUM(K73:GA73),1)</f>
        <v>0</v>
      </c>
      <c r="K73" s="1080"/>
      <c r="L73" s="1080"/>
      <c r="M73" s="1070"/>
      <c r="N73" s="1070"/>
      <c r="O73" s="1070"/>
      <c r="P73" s="1081"/>
      <c r="Q73" s="1081"/>
      <c r="R73" s="1081"/>
      <c r="S73" s="1081"/>
      <c r="T73" s="1081"/>
      <c r="U73" s="1080"/>
      <c r="V73" s="1081"/>
      <c r="W73" s="1081"/>
      <c r="X73" s="1081"/>
      <c r="Y73" s="1081"/>
      <c r="Z73" s="1081"/>
      <c r="AA73" s="1081"/>
      <c r="AB73" s="1081"/>
      <c r="AC73" s="1081"/>
      <c r="AD73" s="1081"/>
      <c r="AE73" s="1081"/>
      <c r="AF73" s="1081"/>
      <c r="AG73" s="1081"/>
      <c r="AH73" s="1081"/>
      <c r="AI73" s="1081"/>
      <c r="AJ73" s="1081"/>
      <c r="AK73" s="1081"/>
      <c r="AL73" s="1081"/>
      <c r="AM73" s="1081"/>
      <c r="AN73" s="1081"/>
      <c r="AO73" s="1081"/>
      <c r="AP73" s="1081"/>
      <c r="AQ73" s="1081"/>
      <c r="AR73" s="1081"/>
      <c r="AS73" s="1081"/>
      <c r="AT73" s="1081"/>
      <c r="AU73" s="1081"/>
      <c r="AV73" s="1081"/>
      <c r="AW73" s="1081"/>
      <c r="AX73" s="1081"/>
      <c r="AY73" s="1081"/>
      <c r="AZ73" s="1081"/>
      <c r="BA73" s="1081"/>
      <c r="BB73" s="1081"/>
      <c r="BC73" s="1081"/>
      <c r="BD73" s="1081"/>
      <c r="BE73" s="1081"/>
      <c r="BF73" s="1081"/>
      <c r="BG73" s="1081"/>
      <c r="BH73" s="1081"/>
      <c r="BI73" s="1081"/>
      <c r="BJ73" s="1081"/>
      <c r="BK73" s="1081"/>
      <c r="BL73" s="1081"/>
      <c r="BM73" s="1081"/>
      <c r="BN73" s="1081"/>
      <c r="BO73" s="1081"/>
      <c r="BP73" s="1081"/>
      <c r="BQ73" s="1081"/>
      <c r="BR73" s="1080"/>
      <c r="BS73" s="1080"/>
      <c r="BT73" s="1080"/>
      <c r="BU73" s="1080"/>
      <c r="BV73" s="1080"/>
      <c r="BW73" s="1080"/>
      <c r="BX73" s="1080"/>
      <c r="BY73" s="1080"/>
      <c r="BZ73" s="1080"/>
      <c r="CA73" s="1080"/>
      <c r="CB73" s="1080"/>
      <c r="CC73" s="1080"/>
      <c r="CD73" s="1080"/>
      <c r="CE73" s="1080"/>
      <c r="CF73" s="1080"/>
      <c r="CG73" s="1080"/>
      <c r="CH73" s="1080"/>
      <c r="CI73" s="1080"/>
      <c r="CJ73" s="1080"/>
      <c r="CK73" s="1080"/>
      <c r="CL73" s="1080"/>
      <c r="CM73" s="1080"/>
      <c r="CN73" s="1080"/>
      <c r="CO73" s="1080"/>
      <c r="CP73" s="1080"/>
      <c r="CQ73" s="1080"/>
      <c r="CR73" s="1080"/>
      <c r="CS73" s="1080"/>
      <c r="CT73" s="1080"/>
      <c r="CU73" s="1080"/>
      <c r="CV73" s="1080"/>
      <c r="CW73" s="1080"/>
      <c r="CX73" s="1080"/>
      <c r="CY73" s="1080"/>
      <c r="CZ73" s="1080"/>
      <c r="DA73" s="1080"/>
      <c r="DB73" s="1080"/>
      <c r="DC73" s="1080"/>
      <c r="DD73" s="1080"/>
      <c r="DE73" s="1080"/>
      <c r="DF73" s="1080"/>
      <c r="DG73" s="1080"/>
      <c r="DH73" s="1080"/>
      <c r="DI73" s="1080"/>
      <c r="DJ73" s="1080"/>
      <c r="DK73" s="1080"/>
      <c r="DL73" s="1080"/>
      <c r="DM73" s="1080"/>
      <c r="DN73" s="1080"/>
      <c r="DO73" s="1080"/>
      <c r="DP73" s="1080"/>
      <c r="DQ73" s="1080"/>
      <c r="DR73" s="1080"/>
      <c r="DS73" s="1080"/>
      <c r="DT73" s="1080"/>
      <c r="DU73" s="1080"/>
      <c r="DV73" s="1080"/>
      <c r="DW73" s="1080"/>
      <c r="DX73" s="1080"/>
      <c r="DY73" s="1080"/>
      <c r="DZ73" s="1080"/>
      <c r="EA73" s="1080"/>
      <c r="EB73" s="1080"/>
      <c r="EC73" s="1080"/>
      <c r="ED73" s="1080"/>
      <c r="EE73" s="1080"/>
      <c r="EF73" s="1080"/>
      <c r="EG73" s="1080"/>
      <c r="EH73" s="1080"/>
      <c r="EI73" s="1080"/>
      <c r="EJ73" s="1080"/>
      <c r="EK73" s="1080"/>
      <c r="EL73" s="1080"/>
      <c r="EM73" s="1080"/>
      <c r="EN73" s="1080"/>
      <c r="EO73" s="1081"/>
      <c r="EP73" s="1081"/>
      <c r="EQ73" s="1081"/>
      <c r="ER73" s="1081"/>
      <c r="ES73" s="1081"/>
      <c r="ET73" s="1081"/>
      <c r="EU73" s="1081"/>
      <c r="EV73" s="1081"/>
      <c r="EW73" s="1081"/>
      <c r="EX73" s="1081"/>
      <c r="EY73" s="1081"/>
      <c r="EZ73" s="1081"/>
      <c r="FA73" s="1081"/>
      <c r="FB73" s="1081"/>
      <c r="FC73" s="1081"/>
      <c r="FD73" s="1081"/>
      <c r="FE73" s="1081"/>
      <c r="FF73" s="1081"/>
      <c r="FG73" s="1081"/>
      <c r="FH73" s="1081"/>
      <c r="FI73" s="1081"/>
      <c r="FJ73" s="1081"/>
      <c r="FK73" s="1081"/>
      <c r="FL73" s="1081"/>
      <c r="FM73" s="1081"/>
      <c r="FN73" s="1081"/>
      <c r="FO73" s="1081"/>
      <c r="FP73" s="1081"/>
      <c r="FQ73" s="1081"/>
      <c r="FR73" s="1081"/>
      <c r="FS73" s="1081"/>
      <c r="FT73" s="1081"/>
      <c r="FU73" s="1081"/>
      <c r="FV73" s="1081"/>
      <c r="FW73" s="1081"/>
      <c r="FX73" s="1081"/>
      <c r="FY73" s="1081"/>
      <c r="FZ73" s="1081"/>
      <c r="GA73" s="1081"/>
      <c r="GB73" s="1083"/>
    </row>
    <row r="74" spans="1:184" s="1007" customFormat="1" ht="24.95" customHeight="1">
      <c r="A74" s="1007">
        <v>16</v>
      </c>
      <c r="B74" s="1040">
        <f t="shared" ref="B74" si="6">B73+1</f>
        <v>1</v>
      </c>
      <c r="C74" s="1041"/>
      <c r="D74" s="1729" t="s">
        <v>3325</v>
      </c>
      <c r="E74" s="1058" t="s">
        <v>3326</v>
      </c>
      <c r="F74" s="1055"/>
      <c r="G74" s="1053" t="s">
        <v>195</v>
      </c>
      <c r="H74" s="1046">
        <f t="shared" ref="H74" si="7">ROUNDUP(J74+INT(J74*I74/100),1)</f>
        <v>4</v>
      </c>
      <c r="I74" s="1029"/>
      <c r="J74" s="1046">
        <f t="shared" ref="J74" si="8">ROUNDUP(SUM(K74:GA74),1)</f>
        <v>4</v>
      </c>
      <c r="K74" s="1048"/>
      <c r="L74" s="1048"/>
      <c r="M74" s="1049"/>
      <c r="N74" s="1049"/>
      <c r="O74" s="1049"/>
      <c r="P74" s="1049"/>
      <c r="Q74" s="1049"/>
      <c r="R74" s="1049"/>
      <c r="S74" s="1049"/>
      <c r="T74" s="1049"/>
      <c r="U74" s="1049"/>
      <c r="V74" s="1049"/>
      <c r="W74" s="1049"/>
      <c r="X74" s="1049"/>
      <c r="Y74" s="1049"/>
      <c r="Z74" s="1049"/>
      <c r="AA74" s="1049"/>
      <c r="AB74" s="1050"/>
      <c r="AC74" s="1049"/>
      <c r="AD74" s="1048"/>
      <c r="AE74" s="1049"/>
      <c r="AF74" s="1049"/>
      <c r="AG74" s="1049"/>
      <c r="AH74" s="1049"/>
      <c r="AI74" s="1049"/>
      <c r="AJ74" s="1049"/>
      <c r="AK74" s="1049"/>
      <c r="AL74" s="1049"/>
      <c r="AM74" s="1049"/>
      <c r="AN74" s="1049"/>
      <c r="AO74" s="1049"/>
      <c r="AP74" s="1049"/>
      <c r="AQ74" s="1049"/>
      <c r="AR74" s="1049"/>
      <c r="AS74" s="1049"/>
      <c r="AT74" s="1049"/>
      <c r="AU74" s="1049"/>
      <c r="AV74" s="1049"/>
      <c r="AW74" s="1049"/>
      <c r="AX74" s="1049"/>
      <c r="AY74" s="1049"/>
      <c r="AZ74" s="1049"/>
      <c r="BA74" s="1049"/>
      <c r="BB74" s="1049"/>
      <c r="BC74" s="1049"/>
      <c r="BD74" s="1049"/>
      <c r="BE74" s="1049"/>
      <c r="BF74" s="1049"/>
      <c r="BG74" s="1049"/>
      <c r="BH74" s="1049"/>
      <c r="BI74" s="1049"/>
      <c r="BJ74" s="1049"/>
      <c r="BK74" s="1049"/>
      <c r="BL74" s="1049"/>
      <c r="BM74" s="1049"/>
      <c r="BN74" s="1049"/>
      <c r="BO74" s="1049"/>
      <c r="BP74" s="1049"/>
      <c r="BQ74" s="1049"/>
      <c r="BR74" s="1048"/>
      <c r="BS74" s="1048"/>
      <c r="BT74" s="1048"/>
      <c r="BU74" s="1048"/>
      <c r="BV74" s="1048"/>
      <c r="BW74" s="1048"/>
      <c r="BX74" s="1048"/>
      <c r="BY74" s="1048"/>
      <c r="BZ74" s="1048"/>
      <c r="CA74" s="1048"/>
      <c r="CB74" s="1048"/>
      <c r="CC74" s="1048"/>
      <c r="CD74" s="1048"/>
      <c r="CE74" s="1048"/>
      <c r="CF74" s="1048"/>
      <c r="CG74" s="1048"/>
      <c r="CH74" s="1048"/>
      <c r="CI74" s="1048"/>
      <c r="CJ74" s="1048"/>
      <c r="CK74" s="1048"/>
      <c r="CL74" s="1048"/>
      <c r="CM74" s="1048"/>
      <c r="CN74" s="1048"/>
      <c r="CO74" s="1048"/>
      <c r="CP74" s="1048"/>
      <c r="CQ74" s="1048"/>
      <c r="CR74" s="1048"/>
      <c r="CS74" s="1048"/>
      <c r="CT74" s="1048"/>
      <c r="CU74" s="1048"/>
      <c r="CV74" s="1048"/>
      <c r="CW74" s="1048"/>
      <c r="CX74" s="1048"/>
      <c r="CY74" s="1048"/>
      <c r="CZ74" s="1048"/>
      <c r="DA74" s="1048"/>
      <c r="DB74" s="1048"/>
      <c r="DC74" s="1048"/>
      <c r="DD74" s="1048"/>
      <c r="DE74" s="1048"/>
      <c r="DF74" s="1048"/>
      <c r="DG74" s="1048"/>
      <c r="DH74" s="1048"/>
      <c r="DI74" s="1048"/>
      <c r="DJ74" s="1048"/>
      <c r="DK74" s="1048"/>
      <c r="DL74" s="1048"/>
      <c r="DM74" s="1048"/>
      <c r="DN74" s="1048"/>
      <c r="DO74" s="1048"/>
      <c r="DP74" s="1048"/>
      <c r="DQ74" s="1048"/>
      <c r="DR74" s="1048"/>
      <c r="DS74" s="1048"/>
      <c r="DT74" s="1048"/>
      <c r="DU74" s="1048"/>
      <c r="DV74" s="1048"/>
      <c r="DW74" s="1048">
        <v>2</v>
      </c>
      <c r="DX74" s="1048">
        <v>2</v>
      </c>
      <c r="DY74" s="1048"/>
      <c r="DZ74" s="1048"/>
      <c r="EA74" s="1048"/>
      <c r="EB74" s="1048"/>
      <c r="EC74" s="1048"/>
      <c r="ED74" s="1048"/>
      <c r="EE74" s="1048"/>
      <c r="EF74" s="1048"/>
      <c r="EG74" s="1049"/>
      <c r="EH74" s="1049"/>
      <c r="EI74" s="1049"/>
      <c r="EJ74" s="1049"/>
      <c r="EK74" s="1049"/>
      <c r="EL74" s="1049"/>
      <c r="EM74" s="1049"/>
      <c r="EN74" s="1048"/>
      <c r="EO74" s="1049"/>
      <c r="EP74" s="1049"/>
      <c r="EQ74" s="1049"/>
      <c r="ER74" s="1049"/>
      <c r="ES74" s="1049"/>
      <c r="ET74" s="1049"/>
      <c r="EU74" s="1049"/>
      <c r="EV74" s="1049"/>
      <c r="EW74" s="1049"/>
      <c r="EX74" s="1049"/>
      <c r="EY74" s="1049"/>
      <c r="EZ74" s="1049"/>
      <c r="FA74" s="1049"/>
      <c r="FB74" s="1049"/>
      <c r="FC74" s="1049"/>
      <c r="FD74" s="1049"/>
      <c r="FE74" s="1049"/>
      <c r="FF74" s="1049"/>
      <c r="FG74" s="1049"/>
      <c r="FH74" s="1049"/>
      <c r="FI74" s="1049"/>
      <c r="FJ74" s="1049"/>
      <c r="FK74" s="1049"/>
      <c r="FL74" s="1049"/>
      <c r="FM74" s="1049"/>
      <c r="FN74" s="1049"/>
      <c r="FO74" s="1049"/>
      <c r="FP74" s="1049"/>
      <c r="FQ74" s="1049"/>
      <c r="FR74" s="1049"/>
      <c r="FS74" s="1049"/>
      <c r="FT74" s="1049"/>
      <c r="FU74" s="1049"/>
      <c r="FV74" s="1049"/>
      <c r="FW74" s="1049"/>
      <c r="FX74" s="1049"/>
      <c r="FY74" s="1049"/>
      <c r="FZ74" s="1049"/>
      <c r="GA74" s="1049"/>
      <c r="GB74" s="1028"/>
    </row>
    <row r="75" spans="1:184" s="1007" customFormat="1" ht="24.95" customHeight="1">
      <c r="A75" s="1007">
        <v>13</v>
      </c>
      <c r="B75" s="1062">
        <f>B72+1</f>
        <v>11</v>
      </c>
      <c r="C75" s="1076"/>
      <c r="D75" s="1077" t="s">
        <v>2166</v>
      </c>
      <c r="E75" s="1084" t="s">
        <v>2167</v>
      </c>
      <c r="F75" s="1079"/>
      <c r="G75" s="1085" t="s">
        <v>1546</v>
      </c>
      <c r="H75" s="1046">
        <f t="shared" si="0"/>
        <v>8</v>
      </c>
      <c r="I75" s="1029"/>
      <c r="J75" s="1046">
        <f t="shared" si="5"/>
        <v>8</v>
      </c>
      <c r="K75" s="1080"/>
      <c r="L75" s="1080"/>
      <c r="M75" s="1080" t="s">
        <v>2280</v>
      </c>
      <c r="N75" s="1080"/>
      <c r="O75" s="1080"/>
      <c r="P75" s="1081"/>
      <c r="Q75" s="1081"/>
      <c r="R75" s="1081"/>
      <c r="S75" s="1081"/>
      <c r="T75" s="1081"/>
      <c r="U75" s="1080"/>
      <c r="V75" s="1081"/>
      <c r="W75" s="1081"/>
      <c r="X75" s="1081"/>
      <c r="Y75" s="1081"/>
      <c r="Z75" s="1081"/>
      <c r="AA75" s="1081"/>
      <c r="AB75" s="1081"/>
      <c r="AC75" s="1081"/>
      <c r="AD75" s="1081"/>
      <c r="AE75" s="1081"/>
      <c r="AF75" s="1081"/>
      <c r="AG75" s="1081"/>
      <c r="AH75" s="1081"/>
      <c r="AI75" s="1081"/>
      <c r="AJ75" s="1081"/>
      <c r="AK75" s="1081"/>
      <c r="AL75" s="1081"/>
      <c r="AM75" s="1081"/>
      <c r="AN75" s="1081"/>
      <c r="AO75" s="1081"/>
      <c r="AP75" s="1081"/>
      <c r="AQ75" s="1081"/>
      <c r="AR75" s="1081"/>
      <c r="AS75" s="1081"/>
      <c r="AT75" s="1081"/>
      <c r="AU75" s="1081"/>
      <c r="AV75" s="1081"/>
      <c r="AW75" s="1081"/>
      <c r="AX75" s="1081"/>
      <c r="AY75" s="1081"/>
      <c r="AZ75" s="1081"/>
      <c r="BA75" s="1081"/>
      <c r="BB75" s="1081"/>
      <c r="BC75" s="1081"/>
      <c r="BD75" s="1081"/>
      <c r="BE75" s="1081"/>
      <c r="BF75" s="1081"/>
      <c r="BG75" s="1081"/>
      <c r="BH75" s="1081"/>
      <c r="BI75" s="1081"/>
      <c r="BJ75" s="1081"/>
      <c r="BK75" s="1081"/>
      <c r="BL75" s="1081"/>
      <c r="BM75" s="1081"/>
      <c r="BN75" s="1081"/>
      <c r="BO75" s="1081"/>
      <c r="BP75" s="1081"/>
      <c r="BQ75" s="1081"/>
      <c r="BR75" s="1080"/>
      <c r="BS75" s="1080"/>
      <c r="BT75" s="1080"/>
      <c r="BU75" s="1080"/>
      <c r="BV75" s="1080"/>
      <c r="BW75" s="1080"/>
      <c r="BX75" s="1080"/>
      <c r="BY75" s="1080"/>
      <c r="BZ75" s="1080"/>
      <c r="CA75" s="1080"/>
      <c r="CB75" s="1080"/>
      <c r="CC75" s="1080"/>
      <c r="CD75" s="1080"/>
      <c r="CE75" s="1080"/>
      <c r="CF75" s="1080"/>
      <c r="CG75" s="1080"/>
      <c r="CH75" s="1080"/>
      <c r="CI75" s="1080"/>
      <c r="CJ75" s="1080"/>
      <c r="CK75" s="1080"/>
      <c r="CL75" s="1080"/>
      <c r="CM75" s="1080"/>
      <c r="CN75" s="1080"/>
      <c r="CO75" s="1080"/>
      <c r="CP75" s="1080"/>
      <c r="CQ75" s="1080"/>
      <c r="CR75" s="1080"/>
      <c r="CS75" s="1080"/>
      <c r="CT75" s="1080"/>
      <c r="CU75" s="1080"/>
      <c r="CV75" s="1080"/>
      <c r="CW75" s="1080"/>
      <c r="CX75" s="1080"/>
      <c r="CY75" s="1080"/>
      <c r="CZ75" s="1080"/>
      <c r="DA75" s="1080"/>
      <c r="DB75" s="1080"/>
      <c r="DC75" s="1080"/>
      <c r="DD75" s="1080"/>
      <c r="DE75" s="1080"/>
      <c r="DF75" s="1080"/>
      <c r="DG75" s="1080"/>
      <c r="DH75" s="1080"/>
      <c r="DI75" s="1080"/>
      <c r="DJ75" s="1080"/>
      <c r="DK75" s="1080"/>
      <c r="DL75" s="1080"/>
      <c r="DM75" s="1080"/>
      <c r="DN75" s="1080"/>
      <c r="DO75" s="1080"/>
      <c r="DP75" s="1080"/>
      <c r="DQ75" s="1080"/>
      <c r="DR75" s="1080"/>
      <c r="DS75" s="1080"/>
      <c r="DT75" s="1080"/>
      <c r="DU75" s="1080"/>
      <c r="DV75" s="1080"/>
      <c r="DW75" s="1080"/>
      <c r="DX75" s="1080"/>
      <c r="DY75" s="1080">
        <v>1</v>
      </c>
      <c r="DZ75" s="1080">
        <v>1</v>
      </c>
      <c r="EA75" s="1080">
        <v>1</v>
      </c>
      <c r="EB75" s="1080">
        <v>1</v>
      </c>
      <c r="EC75" s="1080">
        <v>1</v>
      </c>
      <c r="ED75" s="1080">
        <v>1</v>
      </c>
      <c r="EE75" s="1080">
        <v>1</v>
      </c>
      <c r="EF75" s="1080">
        <v>1</v>
      </c>
      <c r="EG75" s="1080"/>
      <c r="EH75" s="1080"/>
      <c r="EI75" s="1080"/>
      <c r="EJ75" s="1080"/>
      <c r="EK75" s="1080"/>
      <c r="EL75" s="1080"/>
      <c r="EM75" s="1080"/>
      <c r="EN75" s="1080"/>
      <c r="EO75" s="1081"/>
      <c r="EP75" s="1081"/>
      <c r="EQ75" s="1081"/>
      <c r="ER75" s="1081"/>
      <c r="ES75" s="1081"/>
      <c r="ET75" s="1081"/>
      <c r="EU75" s="1081"/>
      <c r="EV75" s="1081"/>
      <c r="EW75" s="1081"/>
      <c r="EX75" s="1081"/>
      <c r="EY75" s="1081"/>
      <c r="EZ75" s="1081"/>
      <c r="FA75" s="1081"/>
      <c r="FB75" s="1081"/>
      <c r="FC75" s="1081"/>
      <c r="FD75" s="1081"/>
      <c r="FE75" s="1081"/>
      <c r="FF75" s="1081"/>
      <c r="FG75" s="1081"/>
      <c r="FH75" s="1081"/>
      <c r="FI75" s="1081"/>
      <c r="FJ75" s="1081"/>
      <c r="FK75" s="1081"/>
      <c r="FL75" s="1081"/>
      <c r="FM75" s="1081"/>
      <c r="FN75" s="1081"/>
      <c r="FO75" s="1081"/>
      <c r="FP75" s="1081"/>
      <c r="FQ75" s="1081"/>
      <c r="FR75" s="1081"/>
      <c r="FS75" s="1081"/>
      <c r="FT75" s="1081"/>
      <c r="FU75" s="1081"/>
      <c r="FV75" s="1081"/>
      <c r="FW75" s="1081"/>
      <c r="FX75" s="1081"/>
      <c r="FY75" s="1081"/>
      <c r="FZ75" s="1081"/>
      <c r="GA75" s="1081"/>
      <c r="GB75" s="1083"/>
    </row>
    <row r="76" spans="1:184" s="1007" customFormat="1" ht="24.95" hidden="1" customHeight="1">
      <c r="A76" s="1007">
        <v>14</v>
      </c>
      <c r="B76" s="1062">
        <f t="shared" si="4"/>
        <v>12</v>
      </c>
      <c r="C76" s="1076"/>
      <c r="D76" s="1077" t="s">
        <v>2168</v>
      </c>
      <c r="E76" s="1084" t="s">
        <v>2169</v>
      </c>
      <c r="F76" s="1079"/>
      <c r="G76" s="1085" t="s">
        <v>1546</v>
      </c>
      <c r="H76" s="1086">
        <f t="shared" si="0"/>
        <v>0</v>
      </c>
      <c r="I76" s="1087"/>
      <c r="J76" s="1086">
        <f t="shared" si="5"/>
        <v>0</v>
      </c>
      <c r="K76" s="1080"/>
      <c r="L76" s="1080"/>
      <c r="M76" s="1080"/>
      <c r="N76" s="1081"/>
      <c r="O76" s="1070"/>
      <c r="P76" s="1081"/>
      <c r="Q76" s="1081"/>
      <c r="R76" s="1081"/>
      <c r="S76" s="1081"/>
      <c r="T76" s="1081"/>
      <c r="U76" s="1080"/>
      <c r="V76" s="1081"/>
      <c r="W76" s="1081"/>
      <c r="X76" s="1081"/>
      <c r="Y76" s="1081"/>
      <c r="Z76" s="1081"/>
      <c r="AA76" s="1081"/>
      <c r="AB76" s="1081"/>
      <c r="AC76" s="1081"/>
      <c r="AD76" s="1081"/>
      <c r="AE76" s="1081"/>
      <c r="AF76" s="1081"/>
      <c r="AG76" s="1081"/>
      <c r="AH76" s="1081"/>
      <c r="AI76" s="1081"/>
      <c r="AJ76" s="1081"/>
      <c r="AK76" s="1081"/>
      <c r="AL76" s="1081"/>
      <c r="AM76" s="1081"/>
      <c r="AN76" s="1081"/>
      <c r="AO76" s="1081"/>
      <c r="AP76" s="1081"/>
      <c r="AQ76" s="1081"/>
      <c r="AR76" s="1081"/>
      <c r="AS76" s="1081"/>
      <c r="AT76" s="1081"/>
      <c r="AU76" s="1081"/>
      <c r="AV76" s="1081"/>
      <c r="AW76" s="1081"/>
      <c r="AX76" s="1081"/>
      <c r="AY76" s="1081"/>
      <c r="AZ76" s="1081"/>
      <c r="BA76" s="1081"/>
      <c r="BB76" s="1081"/>
      <c r="BC76" s="1081"/>
      <c r="BD76" s="1081"/>
      <c r="BE76" s="1081"/>
      <c r="BF76" s="1081"/>
      <c r="BG76" s="1081"/>
      <c r="BH76" s="1081"/>
      <c r="BI76" s="1081"/>
      <c r="BJ76" s="1081"/>
      <c r="BK76" s="1081"/>
      <c r="BL76" s="1081"/>
      <c r="BM76" s="1081"/>
      <c r="BN76" s="1081"/>
      <c r="BO76" s="1081"/>
      <c r="BP76" s="1081"/>
      <c r="BQ76" s="1081"/>
      <c r="BR76" s="1080"/>
      <c r="BS76" s="1080"/>
      <c r="BT76" s="1080"/>
      <c r="BU76" s="1080"/>
      <c r="BV76" s="1080"/>
      <c r="BW76" s="1080"/>
      <c r="BX76" s="1080"/>
      <c r="BY76" s="1080"/>
      <c r="BZ76" s="1080"/>
      <c r="CA76" s="1080"/>
      <c r="CB76" s="1080"/>
      <c r="CC76" s="1080"/>
      <c r="CD76" s="1080"/>
      <c r="CE76" s="1080"/>
      <c r="CF76" s="1080"/>
      <c r="CG76" s="1080"/>
      <c r="CH76" s="1080"/>
      <c r="CI76" s="1080"/>
      <c r="CJ76" s="1080"/>
      <c r="CK76" s="1080"/>
      <c r="CL76" s="1080"/>
      <c r="CM76" s="1080"/>
      <c r="CN76" s="1080"/>
      <c r="CO76" s="1080"/>
      <c r="CP76" s="1080"/>
      <c r="CQ76" s="1080"/>
      <c r="CR76" s="1080"/>
      <c r="CS76" s="1080"/>
      <c r="CT76" s="1080"/>
      <c r="CU76" s="1080"/>
      <c r="CV76" s="1080"/>
      <c r="CW76" s="1080"/>
      <c r="CX76" s="1080"/>
      <c r="CY76" s="1080"/>
      <c r="CZ76" s="1080"/>
      <c r="DA76" s="1080"/>
      <c r="DB76" s="1080"/>
      <c r="DC76" s="1080"/>
      <c r="DD76" s="1080"/>
      <c r="DE76" s="1080"/>
      <c r="DF76" s="1080"/>
      <c r="DG76" s="1080"/>
      <c r="DH76" s="1080"/>
      <c r="DI76" s="1080"/>
      <c r="DJ76" s="1080"/>
      <c r="DK76" s="1080"/>
      <c r="DL76" s="1080"/>
      <c r="DM76" s="1080"/>
      <c r="DN76" s="1080"/>
      <c r="DO76" s="1080"/>
      <c r="DP76" s="1080"/>
      <c r="DQ76" s="1080"/>
      <c r="DR76" s="1080"/>
      <c r="DS76" s="1080"/>
      <c r="DT76" s="1080"/>
      <c r="DU76" s="1080"/>
      <c r="DV76" s="1080"/>
      <c r="DW76" s="1080"/>
      <c r="DX76" s="1080"/>
      <c r="DY76" s="1080"/>
      <c r="DZ76" s="1080"/>
      <c r="EA76" s="1080"/>
      <c r="EB76" s="1080"/>
      <c r="EC76" s="1080"/>
      <c r="ED76" s="1080"/>
      <c r="EE76" s="1080"/>
      <c r="EF76" s="1080"/>
      <c r="EG76" s="1080"/>
      <c r="EH76" s="1080"/>
      <c r="EI76" s="1080"/>
      <c r="EJ76" s="1080"/>
      <c r="EK76" s="1080"/>
      <c r="EL76" s="1080"/>
      <c r="EM76" s="1080"/>
      <c r="EN76" s="1080"/>
      <c r="EO76" s="1081"/>
      <c r="EP76" s="1081"/>
      <c r="EQ76" s="1081"/>
      <c r="ER76" s="1081"/>
      <c r="ES76" s="1081"/>
      <c r="ET76" s="1081"/>
      <c r="EU76" s="1081"/>
      <c r="EV76" s="1081"/>
      <c r="EW76" s="1081"/>
      <c r="EX76" s="1081"/>
      <c r="EY76" s="1081"/>
      <c r="EZ76" s="1081"/>
      <c r="FA76" s="1081"/>
      <c r="FB76" s="1081"/>
      <c r="FC76" s="1081"/>
      <c r="FD76" s="1081"/>
      <c r="FE76" s="1081"/>
      <c r="FF76" s="1081"/>
      <c r="FG76" s="1081"/>
      <c r="FH76" s="1081"/>
      <c r="FI76" s="1081"/>
      <c r="FJ76" s="1081"/>
      <c r="FK76" s="1081"/>
      <c r="FL76" s="1081"/>
      <c r="FM76" s="1081"/>
      <c r="FN76" s="1081"/>
      <c r="FO76" s="1081"/>
      <c r="FP76" s="1081"/>
      <c r="FQ76" s="1081"/>
      <c r="FR76" s="1081"/>
      <c r="FS76" s="1081"/>
      <c r="FT76" s="1081"/>
      <c r="FU76" s="1081"/>
      <c r="FV76" s="1081"/>
      <c r="FW76" s="1081"/>
      <c r="FX76" s="1081"/>
      <c r="FY76" s="1081"/>
      <c r="FZ76" s="1081"/>
      <c r="GA76" s="1081"/>
      <c r="GB76" s="1083"/>
    </row>
    <row r="77" spans="1:184" s="1007" customFormat="1" ht="24.95" customHeight="1">
      <c r="A77" s="1007">
        <v>15</v>
      </c>
      <c r="B77" s="1062">
        <f t="shared" si="4"/>
        <v>13</v>
      </c>
      <c r="C77" s="1076"/>
      <c r="D77" s="1077" t="s">
        <v>2170</v>
      </c>
      <c r="E77" s="1084" t="s">
        <v>2171</v>
      </c>
      <c r="F77" s="1073"/>
      <c r="G77" s="1085" t="s">
        <v>337</v>
      </c>
      <c r="H77" s="1086">
        <f t="shared" si="0"/>
        <v>1</v>
      </c>
      <c r="I77" s="1087"/>
      <c r="J77" s="1086">
        <f t="shared" si="5"/>
        <v>1</v>
      </c>
      <c r="K77" s="1080">
        <v>1</v>
      </c>
      <c r="L77" s="1080"/>
      <c r="M77" s="1080"/>
      <c r="N77" s="1081"/>
      <c r="O77" s="1081"/>
      <c r="P77" s="1081"/>
      <c r="Q77" s="1081"/>
      <c r="R77" s="1081"/>
      <c r="S77" s="1081"/>
      <c r="T77" s="1081"/>
      <c r="U77" s="1080"/>
      <c r="V77" s="1081"/>
      <c r="W77" s="1081"/>
      <c r="X77" s="1081"/>
      <c r="Y77" s="1081"/>
      <c r="Z77" s="1081"/>
      <c r="AA77" s="1081"/>
      <c r="AB77" s="1081"/>
      <c r="AC77" s="1081"/>
      <c r="AD77" s="1081"/>
      <c r="AE77" s="1081"/>
      <c r="AF77" s="1081"/>
      <c r="AG77" s="1081"/>
      <c r="AH77" s="1081"/>
      <c r="AI77" s="1081"/>
      <c r="AJ77" s="1081"/>
      <c r="AK77" s="1081"/>
      <c r="AL77" s="1081"/>
      <c r="AM77" s="1081"/>
      <c r="AN77" s="1081"/>
      <c r="AO77" s="1081"/>
      <c r="AP77" s="1081"/>
      <c r="AQ77" s="1081"/>
      <c r="AR77" s="1081"/>
      <c r="AS77" s="1081"/>
      <c r="AT77" s="1081"/>
      <c r="AU77" s="1081"/>
      <c r="AV77" s="1081"/>
      <c r="AW77" s="1081"/>
      <c r="AX77" s="1081"/>
      <c r="AY77" s="1081"/>
      <c r="AZ77" s="1081"/>
      <c r="BA77" s="1081"/>
      <c r="BB77" s="1081"/>
      <c r="BC77" s="1081"/>
      <c r="BD77" s="1081"/>
      <c r="BE77" s="1081"/>
      <c r="BF77" s="1081"/>
      <c r="BG77" s="1081"/>
      <c r="BH77" s="1081"/>
      <c r="BI77" s="1081"/>
      <c r="BJ77" s="1081"/>
      <c r="BK77" s="1081"/>
      <c r="BL77" s="1081"/>
      <c r="BM77" s="1081"/>
      <c r="BN77" s="1081"/>
      <c r="BO77" s="1081"/>
      <c r="BP77" s="1081"/>
      <c r="BQ77" s="1081"/>
      <c r="BR77" s="1080"/>
      <c r="BS77" s="1080"/>
      <c r="BT77" s="1080"/>
      <c r="BU77" s="1080"/>
      <c r="BV77" s="1080"/>
      <c r="BW77" s="1080"/>
      <c r="BX77" s="1080"/>
      <c r="BY77" s="1080"/>
      <c r="BZ77" s="1080"/>
      <c r="CA77" s="1080"/>
      <c r="CB77" s="1080"/>
      <c r="CC77" s="1080"/>
      <c r="CD77" s="1080"/>
      <c r="CE77" s="1080"/>
      <c r="CF77" s="1080"/>
      <c r="CG77" s="1080"/>
      <c r="CH77" s="1080"/>
      <c r="CI77" s="1080"/>
      <c r="CJ77" s="1080"/>
      <c r="CK77" s="1080"/>
      <c r="CL77" s="1080"/>
      <c r="CM77" s="1080"/>
      <c r="CN77" s="1080"/>
      <c r="CO77" s="1080"/>
      <c r="CP77" s="1080"/>
      <c r="CQ77" s="1080"/>
      <c r="CR77" s="1080"/>
      <c r="CS77" s="1080"/>
      <c r="CT77" s="1080"/>
      <c r="CU77" s="1080"/>
      <c r="CV77" s="1080"/>
      <c r="CW77" s="1080"/>
      <c r="CX77" s="1080"/>
      <c r="CY77" s="1080"/>
      <c r="CZ77" s="1080"/>
      <c r="DA77" s="1080"/>
      <c r="DB77" s="1080"/>
      <c r="DC77" s="1080"/>
      <c r="DD77" s="1080"/>
      <c r="DE77" s="1080"/>
      <c r="DF77" s="1080"/>
      <c r="DG77" s="1080"/>
      <c r="DH77" s="1080"/>
      <c r="DI77" s="1080"/>
      <c r="DJ77" s="1080"/>
      <c r="DK77" s="1080"/>
      <c r="DL77" s="1080"/>
      <c r="DM77" s="1080"/>
      <c r="DN77" s="1080"/>
      <c r="DO77" s="1080"/>
      <c r="DP77" s="1080"/>
      <c r="DQ77" s="1080"/>
      <c r="DR77" s="1080"/>
      <c r="DS77" s="1080"/>
      <c r="DT77" s="1080"/>
      <c r="DU77" s="1080"/>
      <c r="DV77" s="1080"/>
      <c r="DW77" s="1080"/>
      <c r="DX77" s="1080"/>
      <c r="DY77" s="1080"/>
      <c r="DZ77" s="1080"/>
      <c r="EA77" s="1080"/>
      <c r="EB77" s="1080"/>
      <c r="EC77" s="1080"/>
      <c r="ED77" s="1080"/>
      <c r="EE77" s="1080"/>
      <c r="EF77" s="1080"/>
      <c r="EG77" s="1080"/>
      <c r="EH77" s="1080"/>
      <c r="EI77" s="1080"/>
      <c r="EJ77" s="1080"/>
      <c r="EK77" s="1080"/>
      <c r="EL77" s="1080"/>
      <c r="EM77" s="1080"/>
      <c r="EN77" s="1070"/>
      <c r="EO77" s="1070"/>
      <c r="EP77" s="1070"/>
      <c r="EQ77" s="1070"/>
      <c r="ER77" s="1070"/>
      <c r="ES77" s="1070"/>
      <c r="ET77" s="1070"/>
      <c r="EU77" s="1070"/>
      <c r="EV77" s="1070"/>
      <c r="EW77" s="980"/>
      <c r="EX77" s="980"/>
      <c r="EY77" s="980"/>
      <c r="EZ77" s="1081"/>
      <c r="FA77" s="1081"/>
      <c r="FB77" s="1081"/>
      <c r="FC77" s="1081"/>
      <c r="FD77" s="1070"/>
      <c r="FE77" s="1070"/>
      <c r="FF77" s="1070"/>
      <c r="FG77" s="1070"/>
      <c r="FH77" s="1070"/>
      <c r="FI77" s="1070"/>
      <c r="FJ77" s="980"/>
      <c r="FK77" s="980"/>
      <c r="FL77" s="980"/>
      <c r="FM77" s="1070"/>
      <c r="FN77" s="980"/>
      <c r="FO77" s="980"/>
      <c r="FP77" s="980"/>
      <c r="FQ77" s="980"/>
      <c r="FR77" s="980"/>
      <c r="FS77" s="980"/>
      <c r="FT77" s="980"/>
      <c r="FU77" s="980"/>
      <c r="FV77" s="980"/>
      <c r="FW77" s="980"/>
      <c r="FX77" s="980"/>
      <c r="FY77" s="980"/>
      <c r="FZ77" s="1689"/>
      <c r="GA77" s="1081"/>
      <c r="GB77" s="1083"/>
    </row>
    <row r="78" spans="1:184" s="1007" customFormat="1" ht="24.95" customHeight="1">
      <c r="A78" s="1007">
        <v>16</v>
      </c>
      <c r="B78" s="1062">
        <f t="shared" si="4"/>
        <v>14</v>
      </c>
      <c r="C78" s="1072"/>
      <c r="D78" s="1051" t="s">
        <v>897</v>
      </c>
      <c r="E78" s="1073" t="s">
        <v>3235</v>
      </c>
      <c r="F78" s="1073" t="s">
        <v>2172</v>
      </c>
      <c r="G78" s="1053" t="s">
        <v>814</v>
      </c>
      <c r="H78" s="1046">
        <f t="shared" si="0"/>
        <v>2650.3</v>
      </c>
      <c r="I78" s="1088">
        <v>7.5</v>
      </c>
      <c r="J78" s="1046">
        <f t="shared" si="5"/>
        <v>2466.3000000000002</v>
      </c>
      <c r="K78" s="1069"/>
      <c r="L78" s="1069"/>
      <c r="M78" s="1069"/>
      <c r="N78" s="1070"/>
      <c r="O78" s="1070"/>
      <c r="P78" s="1070"/>
      <c r="Q78" s="1070"/>
      <c r="R78" s="1070"/>
      <c r="S78" s="1070"/>
      <c r="T78" s="1070"/>
      <c r="U78" s="1069"/>
      <c r="V78" s="1070"/>
      <c r="W78" s="1070"/>
      <c r="X78" s="1070"/>
      <c r="Y78" s="1070"/>
      <c r="Z78" s="1070"/>
      <c r="AA78" s="1070"/>
      <c r="AB78" s="1070"/>
      <c r="AC78" s="1070"/>
      <c r="AD78" s="1070"/>
      <c r="AE78" s="1070"/>
      <c r="AF78" s="1070"/>
      <c r="AG78" s="1070"/>
      <c r="AH78" s="1070"/>
      <c r="AI78" s="1070"/>
      <c r="AJ78" s="1070"/>
      <c r="AK78" s="1070"/>
      <c r="AL78" s="1070"/>
      <c r="AM78" s="1070"/>
      <c r="AN78" s="1070"/>
      <c r="AO78" s="1070"/>
      <c r="AP78" s="1070"/>
      <c r="AQ78" s="1070"/>
      <c r="AR78" s="1070"/>
      <c r="AS78" s="1070"/>
      <c r="AT78" s="1070"/>
      <c r="AU78" s="1070"/>
      <c r="AV78" s="1070"/>
      <c r="AW78" s="1070"/>
      <c r="AX78" s="1070"/>
      <c r="AY78" s="1070"/>
      <c r="AZ78" s="1070"/>
      <c r="BA78" s="1070"/>
      <c r="BB78" s="1070"/>
      <c r="BC78" s="1070"/>
      <c r="BD78" s="1070"/>
      <c r="BE78" s="1070"/>
      <c r="BF78" s="1070"/>
      <c r="BG78" s="1070"/>
      <c r="BH78" s="1070"/>
      <c r="BI78" s="1070"/>
      <c r="BJ78" s="1070"/>
      <c r="BK78" s="1070"/>
      <c r="BL78" s="1070"/>
      <c r="BM78" s="1070"/>
      <c r="BN78" s="1070"/>
      <c r="BO78" s="1070"/>
      <c r="BP78" s="1070"/>
      <c r="BQ78" s="1070"/>
      <c r="BR78" s="1069"/>
      <c r="BS78" s="1069"/>
      <c r="BT78" s="1069"/>
      <c r="BU78" s="1069"/>
      <c r="BV78" s="1069"/>
      <c r="BW78" s="1069"/>
      <c r="BX78" s="1069"/>
      <c r="BY78" s="1069"/>
      <c r="BZ78" s="1069"/>
      <c r="CA78" s="1069"/>
      <c r="CB78" s="1069"/>
      <c r="CC78" s="1069"/>
      <c r="CD78" s="1069"/>
      <c r="CE78" s="1069"/>
      <c r="CF78" s="1069"/>
      <c r="CG78" s="1069"/>
      <c r="CH78" s="1069"/>
      <c r="CI78" s="1069"/>
      <c r="CJ78" s="1069"/>
      <c r="CK78" s="1069"/>
      <c r="CL78" s="1069"/>
      <c r="CM78" s="1069"/>
      <c r="CN78" s="1069"/>
      <c r="CO78" s="1069"/>
      <c r="CP78" s="1069"/>
      <c r="CQ78" s="1069"/>
      <c r="CR78" s="1069"/>
      <c r="CS78" s="1069"/>
      <c r="CT78" s="1069"/>
      <c r="CU78" s="1069"/>
      <c r="CV78" s="1069"/>
      <c r="CW78" s="1069"/>
      <c r="CX78" s="1069"/>
      <c r="CY78" s="1069"/>
      <c r="CZ78" s="1069"/>
      <c r="DA78" s="1069"/>
      <c r="DB78" s="1069"/>
      <c r="DC78" s="1069"/>
      <c r="DD78" s="1069"/>
      <c r="DE78" s="1069"/>
      <c r="DF78" s="1069"/>
      <c r="DG78" s="1069"/>
      <c r="DH78" s="1069"/>
      <c r="DI78" s="1069"/>
      <c r="DJ78" s="1069"/>
      <c r="DK78" s="1069"/>
      <c r="DL78" s="1069"/>
      <c r="DM78" s="1069"/>
      <c r="DN78" s="1069"/>
      <c r="DO78" s="1069"/>
      <c r="DP78" s="1069"/>
      <c r="DQ78" s="1069"/>
      <c r="DR78" s="1069"/>
      <c r="DS78" s="1069"/>
      <c r="DT78" s="1069"/>
      <c r="DU78" s="1069"/>
      <c r="DV78" s="1069"/>
      <c r="DW78" s="1069"/>
      <c r="DX78" s="1069"/>
      <c r="DY78" s="1069"/>
      <c r="DZ78" s="1069"/>
      <c r="EA78" s="1069"/>
      <c r="EB78" s="1069"/>
      <c r="EC78" s="1069"/>
      <c r="ED78" s="1069"/>
      <c r="EE78" s="1069"/>
      <c r="EF78" s="1069"/>
      <c r="EG78" s="1069"/>
      <c r="EH78" s="1069"/>
      <c r="EI78" s="1069"/>
      <c r="EJ78" s="1069"/>
      <c r="EK78" s="1069"/>
      <c r="EL78" s="1069"/>
      <c r="EM78" s="1069"/>
      <c r="EN78" s="1185"/>
      <c r="EO78" s="1070">
        <f>16.2+3</f>
        <v>19.2</v>
      </c>
      <c r="EP78" s="1070">
        <f>18.2+2</f>
        <v>20.2</v>
      </c>
      <c r="EQ78" s="1070">
        <f>48.2+2</f>
        <v>50.2</v>
      </c>
      <c r="ER78" s="1070">
        <f>70.2+2</f>
        <v>72.2</v>
      </c>
      <c r="ES78" s="1070">
        <f>13+2</f>
        <v>15</v>
      </c>
      <c r="ET78" s="1070">
        <f>70.2+2</f>
        <v>72.2</v>
      </c>
      <c r="EU78" s="1070">
        <f>60.2+2</f>
        <v>62.2</v>
      </c>
      <c r="EV78" s="1070">
        <f>6.7+2</f>
        <v>8.6999999999999993</v>
      </c>
      <c r="EW78" s="980">
        <f>67.2+2</f>
        <v>69.2</v>
      </c>
      <c r="EX78" s="980">
        <f>70.2+2</f>
        <v>72.2</v>
      </c>
      <c r="EY78" s="980">
        <f>109.2+2</f>
        <v>111.2</v>
      </c>
      <c r="EZ78" s="980">
        <f>179.7+2</f>
        <v>181.7</v>
      </c>
      <c r="FA78" s="980">
        <f>18.2+2</f>
        <v>20.2</v>
      </c>
      <c r="FB78" s="980">
        <f>98.2+2</f>
        <v>100.2</v>
      </c>
      <c r="FC78" s="980">
        <f>35.2+2</f>
        <v>37.200000000000003</v>
      </c>
      <c r="FD78" s="1070">
        <f>43.2+2</f>
        <v>45.2</v>
      </c>
      <c r="FE78" s="1070">
        <f>19.2+2</f>
        <v>21.2</v>
      </c>
      <c r="FF78" s="1070">
        <f>21+16.7+3+30+2</f>
        <v>72.7</v>
      </c>
      <c r="FG78" s="1070">
        <f>101+4+32.7+3</f>
        <v>140.69999999999999</v>
      </c>
      <c r="FH78" s="1070">
        <f>29.7+3+89+4</f>
        <v>125.7</v>
      </c>
      <c r="FI78" s="1070">
        <f>25.7+3+79+4</f>
        <v>111.7</v>
      </c>
      <c r="FJ78" s="980">
        <f>18.7+3+96+4</f>
        <v>121.7</v>
      </c>
      <c r="FK78" s="980">
        <f>25.7+3+79+4</f>
        <v>111.7</v>
      </c>
      <c r="FL78" s="980">
        <f>14.7+3+79+4</f>
        <v>100.7</v>
      </c>
      <c r="FM78" s="1070">
        <f>16.7+3+104+4</f>
        <v>127.7</v>
      </c>
      <c r="FN78" s="980">
        <f>12.7+1.6+0.9</f>
        <v>15.2</v>
      </c>
      <c r="FO78" s="980">
        <f>FO81</f>
        <v>32.200000000000003</v>
      </c>
      <c r="FP78" s="980">
        <f>119.2+2</f>
        <v>121.2</v>
      </c>
      <c r="FQ78" s="980">
        <f>38.2+2</f>
        <v>40.200000000000003</v>
      </c>
      <c r="FR78" s="980">
        <f>27.2+2</f>
        <v>29.2</v>
      </c>
      <c r="FS78" s="980">
        <f>74.2+2</f>
        <v>76.2</v>
      </c>
      <c r="FT78" s="980">
        <f>15.2+2</f>
        <v>17.2</v>
      </c>
      <c r="FU78" s="980">
        <f>80.1+2</f>
        <v>82.1</v>
      </c>
      <c r="FV78" s="980">
        <f>6.3+2</f>
        <v>8.3000000000000007</v>
      </c>
      <c r="FW78" s="980">
        <f>19.1+2</f>
        <v>21.1</v>
      </c>
      <c r="FX78" s="980">
        <f>78.2+2</f>
        <v>80.2</v>
      </c>
      <c r="FY78" s="980">
        <f>18.2+2</f>
        <v>20.2</v>
      </c>
      <c r="FZ78" s="980">
        <f>30.2+2</f>
        <v>32.200000000000003</v>
      </c>
      <c r="GA78" s="980"/>
      <c r="GB78" s="1393"/>
    </row>
    <row r="79" spans="1:184" s="1007" customFormat="1" ht="24.95" customHeight="1">
      <c r="A79" s="1007">
        <v>17</v>
      </c>
      <c r="B79" s="1062">
        <f t="shared" si="4"/>
        <v>15</v>
      </c>
      <c r="C79" s="1072"/>
      <c r="D79" s="1051" t="s">
        <v>2173</v>
      </c>
      <c r="E79" s="1073" t="s">
        <v>2174</v>
      </c>
      <c r="F79" s="1052"/>
      <c r="G79" s="1053" t="s">
        <v>337</v>
      </c>
      <c r="H79" s="1046">
        <f t="shared" ref="H79:H104" si="9">ROUNDUP(J79+INT(J79*I79/100),1)</f>
        <v>16</v>
      </c>
      <c r="I79" s="1029"/>
      <c r="J79" s="1046">
        <f t="shared" si="5"/>
        <v>16</v>
      </c>
      <c r="K79" s="1069">
        <v>3</v>
      </c>
      <c r="L79" s="1069"/>
      <c r="M79" s="1069"/>
      <c r="N79" s="1070"/>
      <c r="O79" s="1070"/>
      <c r="P79" s="1070"/>
      <c r="Q79" s="1070"/>
      <c r="R79" s="1070"/>
      <c r="S79" s="1070"/>
      <c r="T79" s="1070"/>
      <c r="U79" s="1069"/>
      <c r="V79" s="1070"/>
      <c r="W79" s="1070"/>
      <c r="X79" s="1070"/>
      <c r="Y79" s="1070"/>
      <c r="Z79" s="1070"/>
      <c r="AA79" s="1070"/>
      <c r="AB79" s="1070"/>
      <c r="AC79" s="1070"/>
      <c r="AD79" s="1070"/>
      <c r="AE79" s="1070"/>
      <c r="AF79" s="1070"/>
      <c r="AG79" s="1070"/>
      <c r="AH79" s="1070"/>
      <c r="AI79" s="1070"/>
      <c r="AJ79" s="1070"/>
      <c r="AK79" s="1070"/>
      <c r="AL79" s="1070"/>
      <c r="AM79" s="1070"/>
      <c r="AN79" s="1070"/>
      <c r="AO79" s="1070"/>
      <c r="AP79" s="1070"/>
      <c r="AQ79" s="1070"/>
      <c r="AR79" s="1070"/>
      <c r="AS79" s="1070"/>
      <c r="AT79" s="1070"/>
      <c r="AU79" s="1070"/>
      <c r="AV79" s="1070"/>
      <c r="AW79" s="1070"/>
      <c r="AX79" s="1070"/>
      <c r="AY79" s="1070"/>
      <c r="AZ79" s="1070"/>
      <c r="BA79" s="1070"/>
      <c r="BB79" s="1070"/>
      <c r="BC79" s="1070"/>
      <c r="BD79" s="1070"/>
      <c r="BE79" s="1070"/>
      <c r="BF79" s="1070"/>
      <c r="BG79" s="1070"/>
      <c r="BH79" s="1070"/>
      <c r="BI79" s="1070"/>
      <c r="BJ79" s="1070"/>
      <c r="BK79" s="1070"/>
      <c r="BL79" s="1070"/>
      <c r="BM79" s="1070"/>
      <c r="BN79" s="1070"/>
      <c r="BO79" s="1070"/>
      <c r="BP79" s="1070"/>
      <c r="BQ79" s="1070"/>
      <c r="BR79" s="1069"/>
      <c r="BS79" s="1069"/>
      <c r="BT79" s="1069"/>
      <c r="BU79" s="1069"/>
      <c r="BV79" s="1069"/>
      <c r="BW79" s="1069"/>
      <c r="BX79" s="1069"/>
      <c r="BY79" s="1069"/>
      <c r="BZ79" s="1069"/>
      <c r="CA79" s="1069"/>
      <c r="CB79" s="1069"/>
      <c r="CC79" s="1069"/>
      <c r="CD79" s="1069"/>
      <c r="CE79" s="1069"/>
      <c r="CF79" s="1069"/>
      <c r="CG79" s="1069"/>
      <c r="CH79" s="1069"/>
      <c r="CI79" s="1069"/>
      <c r="CJ79" s="1069"/>
      <c r="CK79" s="1069"/>
      <c r="CL79" s="1069"/>
      <c r="CM79" s="1069"/>
      <c r="CN79" s="1069"/>
      <c r="CO79" s="1069"/>
      <c r="CP79" s="1069"/>
      <c r="CQ79" s="1069"/>
      <c r="CR79" s="1069"/>
      <c r="CS79" s="1069"/>
      <c r="CT79" s="1069"/>
      <c r="CU79" s="1069"/>
      <c r="CV79" s="1069"/>
      <c r="CW79" s="1069"/>
      <c r="CX79" s="1069"/>
      <c r="CY79" s="1069"/>
      <c r="CZ79" s="1069"/>
      <c r="DA79" s="1069"/>
      <c r="DB79" s="1069"/>
      <c r="DC79" s="1069"/>
      <c r="DD79" s="1069"/>
      <c r="DE79" s="1069"/>
      <c r="DF79" s="1069"/>
      <c r="DG79" s="1069"/>
      <c r="DH79" s="1069"/>
      <c r="DI79" s="1069"/>
      <c r="DJ79" s="1069"/>
      <c r="DK79" s="1069"/>
      <c r="DL79" s="1069"/>
      <c r="DM79" s="1069"/>
      <c r="DN79" s="1069"/>
      <c r="DO79" s="1069"/>
      <c r="DP79" s="1069"/>
      <c r="DQ79" s="1069"/>
      <c r="DR79" s="1069"/>
      <c r="DS79" s="1069"/>
      <c r="DT79" s="1069"/>
      <c r="DU79" s="1069"/>
      <c r="DV79" s="1069"/>
      <c r="DW79" s="1069"/>
      <c r="DX79" s="1069"/>
      <c r="DY79" s="1069"/>
      <c r="DZ79" s="1069"/>
      <c r="EA79" s="1069"/>
      <c r="EB79" s="1069"/>
      <c r="EC79" s="1069"/>
      <c r="ED79" s="1069"/>
      <c r="EE79" s="1069"/>
      <c r="EF79" s="1069"/>
      <c r="EG79" s="1069"/>
      <c r="EH79" s="1069"/>
      <c r="EI79" s="1069"/>
      <c r="EJ79" s="1069"/>
      <c r="EK79" s="1069"/>
      <c r="EL79" s="1069"/>
      <c r="EM79" s="1069"/>
      <c r="EN79" s="1069">
        <v>3</v>
      </c>
      <c r="EO79" s="1070"/>
      <c r="EP79" s="1070"/>
      <c r="EQ79" s="1070"/>
      <c r="ER79" s="1070"/>
      <c r="ES79" s="1070"/>
      <c r="ET79" s="1070"/>
      <c r="EU79" s="1070">
        <v>2</v>
      </c>
      <c r="EV79" s="1070">
        <v>2</v>
      </c>
      <c r="EW79" s="1070"/>
      <c r="EX79" s="1070"/>
      <c r="EY79" s="1070"/>
      <c r="EZ79" s="1070"/>
      <c r="FA79" s="1070"/>
      <c r="FB79" s="1070"/>
      <c r="FC79" s="1070"/>
      <c r="FD79" s="1070">
        <v>2</v>
      </c>
      <c r="FE79" s="1070"/>
      <c r="FF79" s="1070">
        <v>2</v>
      </c>
      <c r="FG79" s="1070"/>
      <c r="FH79" s="1070"/>
      <c r="FI79" s="1070"/>
      <c r="FJ79" s="1070"/>
      <c r="FK79" s="1070"/>
      <c r="FL79" s="1070"/>
      <c r="FM79" s="1070"/>
      <c r="FN79" s="1070">
        <v>2</v>
      </c>
      <c r="FO79" s="1070"/>
      <c r="FP79" s="1070"/>
      <c r="FQ79" s="1070"/>
      <c r="FR79" s="1070"/>
      <c r="FS79" s="1070"/>
      <c r="FT79" s="1070"/>
      <c r="FU79" s="1070"/>
      <c r="FV79" s="1070"/>
      <c r="FW79" s="1070"/>
      <c r="FX79" s="1070"/>
      <c r="FY79" s="1070"/>
      <c r="FZ79" s="1070"/>
      <c r="GA79" s="1070"/>
      <c r="GB79" s="1028"/>
    </row>
    <row r="80" spans="1:184" s="1007" customFormat="1" ht="24.95" customHeight="1">
      <c r="A80" s="1007">
        <v>19</v>
      </c>
      <c r="B80" s="1062">
        <f t="shared" si="4"/>
        <v>16</v>
      </c>
      <c r="C80" s="1063"/>
      <c r="D80" s="1064" t="s">
        <v>2175</v>
      </c>
      <c r="E80" s="1065" t="s">
        <v>1911</v>
      </c>
      <c r="F80" s="1066" t="s">
        <v>2176</v>
      </c>
      <c r="G80" s="1067" t="s">
        <v>814</v>
      </c>
      <c r="H80" s="1059">
        <f t="shared" si="9"/>
        <v>20.5</v>
      </c>
      <c r="I80" s="1088">
        <v>7.5</v>
      </c>
      <c r="J80" s="1059">
        <f t="shared" si="5"/>
        <v>19.5</v>
      </c>
      <c r="K80" s="1069">
        <f>1+1+10+4.5+1+1+1</f>
        <v>19.5</v>
      </c>
      <c r="L80" s="1069"/>
      <c r="M80" s="1069"/>
      <c r="N80" s="1070"/>
      <c r="O80" s="1070"/>
      <c r="P80" s="1070"/>
      <c r="Q80" s="1070"/>
      <c r="R80" s="1070"/>
      <c r="S80" s="1070"/>
      <c r="T80" s="1070"/>
      <c r="U80" s="1069"/>
      <c r="V80" s="1070"/>
      <c r="W80" s="1070"/>
      <c r="X80" s="1070"/>
      <c r="Y80" s="1070"/>
      <c r="Z80" s="1070"/>
      <c r="AA80" s="1070"/>
      <c r="AB80" s="1070"/>
      <c r="AC80" s="1070"/>
      <c r="AD80" s="1070"/>
      <c r="AE80" s="1070"/>
      <c r="AF80" s="1070"/>
      <c r="AG80" s="1070"/>
      <c r="AH80" s="1070"/>
      <c r="AI80" s="1070"/>
      <c r="AJ80" s="1070"/>
      <c r="AK80" s="1070"/>
      <c r="AL80" s="1070"/>
      <c r="AM80" s="1070"/>
      <c r="AN80" s="1070"/>
      <c r="AO80" s="1070"/>
      <c r="AP80" s="1070"/>
      <c r="AQ80" s="1070"/>
      <c r="AR80" s="1070"/>
      <c r="AS80" s="1070"/>
      <c r="AT80" s="1070"/>
      <c r="AU80" s="1070"/>
      <c r="AV80" s="1070"/>
      <c r="AW80" s="1070"/>
      <c r="AX80" s="1070"/>
      <c r="AY80" s="1070"/>
      <c r="AZ80" s="1070"/>
      <c r="BA80" s="1070"/>
      <c r="BB80" s="1070"/>
      <c r="BC80" s="1070"/>
      <c r="BD80" s="1070"/>
      <c r="BE80" s="1070"/>
      <c r="BF80" s="1070"/>
      <c r="BG80" s="1070"/>
      <c r="BH80" s="1070"/>
      <c r="BI80" s="1070"/>
      <c r="BJ80" s="1070"/>
      <c r="BK80" s="1070"/>
      <c r="BL80" s="1070"/>
      <c r="BM80" s="1070"/>
      <c r="BN80" s="1070"/>
      <c r="BO80" s="1070"/>
      <c r="BP80" s="1070"/>
      <c r="BQ80" s="1070"/>
      <c r="BR80" s="1069"/>
      <c r="BS80" s="1069"/>
      <c r="BT80" s="1069"/>
      <c r="BU80" s="1069"/>
      <c r="BV80" s="1069"/>
      <c r="BW80" s="1069"/>
      <c r="BX80" s="1069"/>
      <c r="BY80" s="1069"/>
      <c r="BZ80" s="1069"/>
      <c r="CA80" s="1069"/>
      <c r="CB80" s="1069"/>
      <c r="CC80" s="1069"/>
      <c r="CD80" s="1069"/>
      <c r="CE80" s="1069"/>
      <c r="CF80" s="1069"/>
      <c r="CG80" s="1069"/>
      <c r="CH80" s="1069"/>
      <c r="CI80" s="1069"/>
      <c r="CJ80" s="1069"/>
      <c r="CK80" s="1069"/>
      <c r="CL80" s="1069"/>
      <c r="CM80" s="1069"/>
      <c r="CN80" s="1069"/>
      <c r="CO80" s="1069"/>
      <c r="CP80" s="1069"/>
      <c r="CQ80" s="1069"/>
      <c r="CR80" s="1069"/>
      <c r="CS80" s="1069"/>
      <c r="CT80" s="1069"/>
      <c r="CU80" s="1069"/>
      <c r="CV80" s="1069"/>
      <c r="CW80" s="1069"/>
      <c r="CX80" s="1069"/>
      <c r="CY80" s="1069"/>
      <c r="CZ80" s="1069"/>
      <c r="DA80" s="1069"/>
      <c r="DB80" s="1069"/>
      <c r="DC80" s="1069"/>
      <c r="DD80" s="1069"/>
      <c r="DE80" s="1069"/>
      <c r="DF80" s="1069"/>
      <c r="DG80" s="1069"/>
      <c r="DH80" s="1069"/>
      <c r="DI80" s="1069"/>
      <c r="DJ80" s="1069"/>
      <c r="DK80" s="1069"/>
      <c r="DL80" s="1069"/>
      <c r="DM80" s="1069"/>
      <c r="DN80" s="1069"/>
      <c r="DO80" s="1069"/>
      <c r="DP80" s="1069"/>
      <c r="DQ80" s="1069"/>
      <c r="DR80" s="1069"/>
      <c r="DS80" s="1069"/>
      <c r="DT80" s="1069"/>
      <c r="DU80" s="1069"/>
      <c r="DV80" s="1069"/>
      <c r="DW80" s="1069"/>
      <c r="DX80" s="1069"/>
      <c r="DY80" s="1069"/>
      <c r="DZ80" s="1069"/>
      <c r="EA80" s="1069"/>
      <c r="EB80" s="1069"/>
      <c r="EC80" s="1069"/>
      <c r="ED80" s="1069"/>
      <c r="EE80" s="1069"/>
      <c r="EF80" s="1069"/>
      <c r="EG80" s="1069"/>
      <c r="EH80" s="1069"/>
      <c r="EI80" s="1069"/>
      <c r="EJ80" s="1069"/>
      <c r="EK80" s="1069"/>
      <c r="EL80" s="1069"/>
      <c r="EM80" s="1069"/>
      <c r="EN80" s="1069"/>
      <c r="EO80" s="1070"/>
      <c r="EP80" s="1070"/>
      <c r="EQ80" s="1070"/>
      <c r="ER80" s="1070"/>
      <c r="ES80" s="1070"/>
      <c r="ET80" s="1070"/>
      <c r="EU80" s="1070"/>
      <c r="EV80" s="1070"/>
      <c r="EW80" s="1070"/>
      <c r="EX80" s="1070"/>
      <c r="EY80" s="1070"/>
      <c r="EZ80" s="1070"/>
      <c r="FA80" s="1070"/>
      <c r="FB80" s="1070"/>
      <c r="FC80" s="1070"/>
      <c r="FD80" s="1070"/>
      <c r="FE80" s="1070"/>
      <c r="FF80" s="1070"/>
      <c r="FG80" s="1070"/>
      <c r="FH80" s="1070"/>
      <c r="FI80" s="1070"/>
      <c r="FJ80" s="1070"/>
      <c r="FK80" s="1070"/>
      <c r="FL80" s="1070"/>
      <c r="FM80" s="1070"/>
      <c r="FN80" s="1070"/>
      <c r="FO80" s="1070"/>
      <c r="FP80" s="1070"/>
      <c r="FQ80" s="1070"/>
      <c r="FR80" s="1070"/>
      <c r="FS80" s="1070"/>
      <c r="FT80" s="1070"/>
      <c r="FU80" s="1070"/>
      <c r="FV80" s="1070"/>
      <c r="FW80" s="1070"/>
      <c r="FX80" s="1070"/>
      <c r="FY80" s="1070"/>
      <c r="FZ80" s="1070"/>
      <c r="GA80" s="1070"/>
      <c r="GB80" s="1061"/>
    </row>
    <row r="81" spans="1:193" s="1007" customFormat="1" ht="24.95" customHeight="1">
      <c r="A81" s="1007">
        <v>20</v>
      </c>
      <c r="B81" s="1062">
        <f t="shared" si="4"/>
        <v>17</v>
      </c>
      <c r="C81" s="1072"/>
      <c r="D81" s="1051" t="s">
        <v>2175</v>
      </c>
      <c r="E81" s="1073" t="s">
        <v>2177</v>
      </c>
      <c r="F81" s="1052" t="s">
        <v>2178</v>
      </c>
      <c r="G81" s="1053" t="s">
        <v>814</v>
      </c>
      <c r="H81" s="1046">
        <f t="shared" si="9"/>
        <v>7393.7</v>
      </c>
      <c r="I81" s="1088">
        <v>7.5</v>
      </c>
      <c r="J81" s="1046">
        <f t="shared" si="5"/>
        <v>6878.7</v>
      </c>
      <c r="K81" s="980"/>
      <c r="L81" s="1185">
        <v>1</v>
      </c>
      <c r="M81" s="1185">
        <v>2</v>
      </c>
      <c r="N81" s="1185">
        <f>10.4+1.5-N92</f>
        <v>10.4</v>
      </c>
      <c r="O81" s="1185">
        <f>21.4+1.5-O92</f>
        <v>21.4</v>
      </c>
      <c r="P81" s="1093">
        <f>25.4+1.5-P92</f>
        <v>25.4</v>
      </c>
      <c r="Q81" s="1093">
        <f>14.7+1.5-Q92</f>
        <v>7.3999999999999986</v>
      </c>
      <c r="R81" s="1093">
        <f>21.4+1.5-R92</f>
        <v>14.099999999999998</v>
      </c>
      <c r="S81" s="1093">
        <f>28.7+1.5-S92</f>
        <v>21.4</v>
      </c>
      <c r="T81" s="1093">
        <f>27.2+1.5-T92</f>
        <v>19.899999999999999</v>
      </c>
      <c r="U81" s="1093">
        <f>30.2+1.5-U92</f>
        <v>22.9</v>
      </c>
      <c r="V81" s="1413">
        <f>47.7+1.5-V92</f>
        <v>40.400000000000006</v>
      </c>
      <c r="W81" s="1414">
        <f>49.7+1.5-W92</f>
        <v>42.400000000000006</v>
      </c>
      <c r="X81" s="1414">
        <f>26.7+1.5-X92</f>
        <v>19.399999999999999</v>
      </c>
      <c r="Y81" s="1414">
        <f>29.2+1.5-Y92</f>
        <v>21.9</v>
      </c>
      <c r="Z81" s="1414">
        <f>47.2+1.5-Z92</f>
        <v>39.900000000000006</v>
      </c>
      <c r="AA81" s="1414">
        <f>49.7+1.5-AA92</f>
        <v>42.400000000000006</v>
      </c>
      <c r="AB81" s="1414">
        <f>26.7+1.5-AB92</f>
        <v>19.399999999999999</v>
      </c>
      <c r="AC81" s="1414">
        <f>38.7+1.5-AC92</f>
        <v>31.400000000000002</v>
      </c>
      <c r="AD81" s="1414">
        <f>50.7+1.5-AD92</f>
        <v>43.400000000000006</v>
      </c>
      <c r="AE81" s="1414">
        <f>7.4+1.5-AE92</f>
        <v>7.4</v>
      </c>
      <c r="AF81" s="1414">
        <f>13.4+1.5-AF92</f>
        <v>13.4</v>
      </c>
      <c r="AG81" s="1414">
        <f>30.4+1.5-AG92</f>
        <v>30.4</v>
      </c>
      <c r="AH81" s="1414">
        <f>14.4+1.5-AH92</f>
        <v>14.4</v>
      </c>
      <c r="AI81" s="1414">
        <f>22.4+1.5-AI92</f>
        <v>22.4</v>
      </c>
      <c r="AJ81" s="1414">
        <f>29.4+15-AJ92</f>
        <v>42.9</v>
      </c>
      <c r="AK81" s="1414">
        <f>42.7+1.5-AK92</f>
        <v>35.400000000000006</v>
      </c>
      <c r="AL81" s="1414">
        <f>75.7+1.5-AL92</f>
        <v>68.400000000000006</v>
      </c>
      <c r="AM81" s="1414">
        <f>33.7+1.5-AM92</f>
        <v>26.400000000000002</v>
      </c>
      <c r="AN81" s="1414">
        <f>35.7+1.5-AN92</f>
        <v>28.400000000000002</v>
      </c>
      <c r="AO81" s="1414">
        <f>38.7+1.5-AO92</f>
        <v>31.400000000000002</v>
      </c>
      <c r="AP81" s="1414">
        <f>36.7+1.5-AP92</f>
        <v>29.400000000000002</v>
      </c>
      <c r="AQ81" s="1414">
        <f>31.7+1.5-AQ92</f>
        <v>24.400000000000002</v>
      </c>
      <c r="AR81" s="1414">
        <f>33.7+1.5-AR92</f>
        <v>26.400000000000002</v>
      </c>
      <c r="AS81" s="1414">
        <f>81.7+1.5-AS92</f>
        <v>74.400000000000006</v>
      </c>
      <c r="AT81" s="1414">
        <f>13.7+1.5-AT92</f>
        <v>6.3999999999999986</v>
      </c>
      <c r="AU81" s="1414">
        <f>26.7+1.5-AU92</f>
        <v>19.399999999999999</v>
      </c>
      <c r="AV81" s="1414">
        <f>74.7+1.5-AV92</f>
        <v>67.400000000000006</v>
      </c>
      <c r="AW81" s="1414">
        <f>11.4+1.5-AW92</f>
        <v>11.4</v>
      </c>
      <c r="AX81" s="1414">
        <f>11.4+1.5-AX92</f>
        <v>11.4</v>
      </c>
      <c r="AY81" s="1414">
        <f>33.4+1.5-AY92</f>
        <v>33.4</v>
      </c>
      <c r="AZ81" s="1414">
        <f>68.4+1.5-AZ92</f>
        <v>68.400000000000006</v>
      </c>
      <c r="BA81" s="1414">
        <f>11.4+1.5-BA92</f>
        <v>6.1000000000000005</v>
      </c>
      <c r="BB81" s="1414">
        <f>35.4+1.5-BB92</f>
        <v>30.099999999999998</v>
      </c>
      <c r="BC81" s="1414">
        <f>75.4+1.5-BC92</f>
        <v>70.100000000000009</v>
      </c>
      <c r="BD81" s="1414">
        <f>36.7+1.5-BD92</f>
        <v>36.700000000000003</v>
      </c>
      <c r="BE81" s="1414">
        <f>54.7+1.5-BE92</f>
        <v>47.400000000000006</v>
      </c>
      <c r="BF81" s="1414">
        <f>98.7+1.5-BF92</f>
        <v>91.4</v>
      </c>
      <c r="BG81" s="1414">
        <f>41.7+1.5-BG92</f>
        <v>34.400000000000006</v>
      </c>
      <c r="BH81" s="1414">
        <f>85.7+1.5-BH92</f>
        <v>78.400000000000006</v>
      </c>
      <c r="BI81" s="1414">
        <f>42.7+1.5-BI92</f>
        <v>35.400000000000006</v>
      </c>
      <c r="BJ81" s="1414">
        <f>92.7+1.5-BJ92</f>
        <v>85.4</v>
      </c>
      <c r="BK81" s="1414">
        <f>25.7+1.5-BK92</f>
        <v>18.399999999999999</v>
      </c>
      <c r="BL81" s="1414">
        <f>72.7+1.5-BL92</f>
        <v>65.400000000000006</v>
      </c>
      <c r="BM81" s="1414">
        <f>8.4+1.5-BM92</f>
        <v>8.4</v>
      </c>
      <c r="BN81" s="1414">
        <f>28.4+1.5-BN92</f>
        <v>28.4</v>
      </c>
      <c r="BO81" s="1414">
        <f>42.4+1.5-BO92</f>
        <v>42.4</v>
      </c>
      <c r="BP81" s="1414">
        <f>15.4+1.5-BP92</f>
        <v>15.399999999999999</v>
      </c>
      <c r="BQ81" s="1414">
        <f>35.4+1.5-BQ92</f>
        <v>35.4</v>
      </c>
      <c r="BR81" s="1414">
        <f>12.4+1.5-BR92</f>
        <v>12.4</v>
      </c>
      <c r="BS81" s="1414">
        <f>29.4+1.5-BS92</f>
        <v>29.4</v>
      </c>
      <c r="BT81" s="1414">
        <f>42.7+1.5-BT92</f>
        <v>35.400000000000006</v>
      </c>
      <c r="BU81" s="1414">
        <f>75.7+1.5-BU92</f>
        <v>68.400000000000006</v>
      </c>
      <c r="BV81" s="1414">
        <f>43.7+1.5-BV92</f>
        <v>36.400000000000006</v>
      </c>
      <c r="BW81" s="1414">
        <f>29.7+1.5-BW92</f>
        <v>22.4</v>
      </c>
      <c r="BX81" s="1415">
        <f>36.7+1.5-BX92</f>
        <v>29.400000000000002</v>
      </c>
      <c r="BY81" s="1415">
        <f>38.7+1.5-BY92</f>
        <v>31.400000000000002</v>
      </c>
      <c r="BZ81" s="1415">
        <f>44.7+1.5-BZ92</f>
        <v>37.400000000000006</v>
      </c>
      <c r="CA81" s="1415">
        <f>92.7+1.5-CA92</f>
        <v>85.4</v>
      </c>
      <c r="CB81" s="1415">
        <f>29.7+1.5-CB92</f>
        <v>22.4</v>
      </c>
      <c r="CC81" s="1415">
        <f>14.7+1.5-CC92</f>
        <v>7.3999999999999986</v>
      </c>
      <c r="CD81" s="1415">
        <f>27.7+1.5-CD92</f>
        <v>20.399999999999999</v>
      </c>
      <c r="CE81" s="1415">
        <f>74.7+1.5-CE92</f>
        <v>67.400000000000006</v>
      </c>
      <c r="CF81" s="1415">
        <f>7.4+1.5-CF92</f>
        <v>7.4</v>
      </c>
      <c r="CG81" s="1415">
        <f>10.4+1.5-CG92</f>
        <v>10.4</v>
      </c>
      <c r="CH81" s="1415">
        <f>31.7+1.5-CH92</f>
        <v>16.400000000000002</v>
      </c>
      <c r="CI81" s="1415">
        <f>66.7+1.5-CI92</f>
        <v>51.400000000000006</v>
      </c>
      <c r="CJ81" s="1415">
        <f>64.7+1.5-CJ92</f>
        <v>49.400000000000006</v>
      </c>
      <c r="CK81" s="1415">
        <f>114.7+1.5-CK92</f>
        <v>98.4</v>
      </c>
      <c r="CL81" s="1415">
        <f>103.7+1.5-CL92</f>
        <v>87.4</v>
      </c>
      <c r="CM81" s="1415">
        <f>64.7+1.5-CM92</f>
        <v>48.400000000000006</v>
      </c>
      <c r="CN81" s="1415">
        <f>67.7+1.5-CN92</f>
        <v>51.400000000000006</v>
      </c>
      <c r="CO81" s="1415">
        <f>65.7+1.5-CO92</f>
        <v>49.400000000000006</v>
      </c>
      <c r="CP81" s="1415">
        <f>32.7+1.5-CP92</f>
        <v>16.400000000000002</v>
      </c>
      <c r="CQ81" s="1415">
        <f>22.2+1.5-CQ92</f>
        <v>5.8999999999999986</v>
      </c>
      <c r="CR81" s="1415">
        <f>7.4+1.5-CR92</f>
        <v>7.4</v>
      </c>
      <c r="CS81" s="1415">
        <f>10.4+1.5-CS92</f>
        <v>10.4</v>
      </c>
      <c r="CT81" s="1415">
        <f>12.6+1.5-CT92</f>
        <v>13.1</v>
      </c>
      <c r="CU81" s="1415">
        <f>30.7+1.5-CU92</f>
        <v>15.400000000000002</v>
      </c>
      <c r="CV81" s="1415">
        <f>69.7+1.5-CV92</f>
        <v>54.400000000000006</v>
      </c>
      <c r="CW81" s="1415">
        <f>65.7+1.5-CW92</f>
        <v>49.400000000000006</v>
      </c>
      <c r="CX81" s="1415">
        <f>67.7+1.5-CX92</f>
        <v>51.400000000000006</v>
      </c>
      <c r="CY81" s="1415">
        <f>112.7+1.5-CY92</f>
        <v>96.4</v>
      </c>
      <c r="CZ81" s="1415">
        <f>101.7+1.5-CZ92</f>
        <v>85.4</v>
      </c>
      <c r="DA81" s="1415">
        <f>66.7+1.5-DA92</f>
        <v>51.400000000000006</v>
      </c>
      <c r="DB81" s="1415">
        <f>32.7+1.5-DB92</f>
        <v>16.400000000000002</v>
      </c>
      <c r="DC81" s="1415">
        <f>22.7+1.5-DC92</f>
        <v>6.3999999999999986</v>
      </c>
      <c r="DD81" s="1415">
        <f>60.7+1.5-DD92</f>
        <v>44.400000000000006</v>
      </c>
      <c r="DE81" s="1415">
        <f>7.4+1.5-DE92</f>
        <v>7.4</v>
      </c>
      <c r="DF81" s="1415">
        <f>12.3+1.5-DF92</f>
        <v>12.3</v>
      </c>
      <c r="DG81" s="1415">
        <f>18.3+1.5-DG92</f>
        <v>18.3</v>
      </c>
      <c r="DH81" s="1415">
        <f>16+1.5-DH92</f>
        <v>16</v>
      </c>
      <c r="DI81" s="1415">
        <f>21+1.5-DI92</f>
        <v>21</v>
      </c>
      <c r="DJ81" s="1415">
        <f>24+1.5-DJ92</f>
        <v>24</v>
      </c>
      <c r="DK81" s="1415">
        <f>29+1.5-DK92</f>
        <v>29</v>
      </c>
      <c r="DL81" s="1415">
        <f>34+1.5-DL92</f>
        <v>34</v>
      </c>
      <c r="DM81" s="1415">
        <f>16+1.5-DM92</f>
        <v>16</v>
      </c>
      <c r="DN81" s="1415">
        <f>21+1.5-DN92</f>
        <v>21</v>
      </c>
      <c r="DO81" s="1415">
        <f>24+1.5-DO92</f>
        <v>24</v>
      </c>
      <c r="DP81" s="1415">
        <f>29+1.5-DP92</f>
        <v>29</v>
      </c>
      <c r="DQ81" s="1415">
        <f>34+1.5-DQ92</f>
        <v>34</v>
      </c>
      <c r="DR81" s="1415">
        <f>10+1.5-DR92</f>
        <v>10</v>
      </c>
      <c r="DS81" s="1415">
        <f>17+1.5-DS92</f>
        <v>17</v>
      </c>
      <c r="DT81" s="1415">
        <f>21+1.5-DT92</f>
        <v>21</v>
      </c>
      <c r="DU81" s="1415">
        <f>27+1.5-DU92</f>
        <v>27</v>
      </c>
      <c r="DV81" s="1415">
        <f>34+1.5-DV92</f>
        <v>34</v>
      </c>
      <c r="DW81" s="1415">
        <f>2.5+1+2.5</f>
        <v>6</v>
      </c>
      <c r="DX81" s="1415">
        <f>2.5+1+1+2.5</f>
        <v>7</v>
      </c>
      <c r="DY81" s="1415">
        <f>3.6+1.5</f>
        <v>5.0999999999999996</v>
      </c>
      <c r="DZ81" s="1415">
        <f t="shared" ref="DZ81:EF81" si="10">3.6+1.5</f>
        <v>5.0999999999999996</v>
      </c>
      <c r="EA81" s="1415">
        <f t="shared" si="10"/>
        <v>5.0999999999999996</v>
      </c>
      <c r="EB81" s="1415">
        <f t="shared" si="10"/>
        <v>5.0999999999999996</v>
      </c>
      <c r="EC81" s="1415">
        <f t="shared" si="10"/>
        <v>5.0999999999999996</v>
      </c>
      <c r="ED81" s="1415">
        <f>3.6+1.5</f>
        <v>5.0999999999999996</v>
      </c>
      <c r="EE81" s="1415">
        <f t="shared" si="10"/>
        <v>5.0999999999999996</v>
      </c>
      <c r="EF81" s="1415">
        <f t="shared" si="10"/>
        <v>5.0999999999999996</v>
      </c>
      <c r="EG81" s="1185">
        <f>(38.5+2)+(80.5+2)</f>
        <v>123</v>
      </c>
      <c r="EH81" s="1185">
        <f>92.6+1.2</f>
        <v>93.8</v>
      </c>
      <c r="EI81" s="1185">
        <f>1+11.8+3.5+1</f>
        <v>17.3</v>
      </c>
      <c r="EJ81" s="1185">
        <f>15.2+1.2</f>
        <v>16.399999999999999</v>
      </c>
      <c r="EK81" s="1185"/>
      <c r="EL81" s="1185"/>
      <c r="EM81" s="1185"/>
      <c r="EN81" s="1185"/>
      <c r="EO81" s="1070">
        <f>1.6+13+1.6+3</f>
        <v>19.2</v>
      </c>
      <c r="EP81" s="1093">
        <f>18.2+2</f>
        <v>20.2</v>
      </c>
      <c r="EQ81" s="1093">
        <f>48.2+2</f>
        <v>50.2</v>
      </c>
      <c r="ER81" s="1093">
        <f>70.2+2</f>
        <v>72.2</v>
      </c>
      <c r="ES81" s="1093">
        <f>70.2+2</f>
        <v>72.2</v>
      </c>
      <c r="ET81" s="1093">
        <f>60.2+2</f>
        <v>62.2</v>
      </c>
      <c r="EU81" s="1093">
        <f>15.6+1+82.5+3</f>
        <v>102.1</v>
      </c>
      <c r="EV81" s="1093">
        <f>15.6+1+89.2+2</f>
        <v>107.80000000000001</v>
      </c>
      <c r="EW81" s="1187">
        <f>67.2+2</f>
        <v>69.2</v>
      </c>
      <c r="EX81" s="1187">
        <f>70.2+2</f>
        <v>72.2</v>
      </c>
      <c r="EY81" s="1187">
        <f>109.2+2</f>
        <v>111.2</v>
      </c>
      <c r="EZ81" s="1187"/>
      <c r="FA81" s="1187">
        <f>18.2+2</f>
        <v>20.2</v>
      </c>
      <c r="FB81" s="1187">
        <f>99.2+2</f>
        <v>101.2</v>
      </c>
      <c r="FC81" s="1187">
        <f>43.2+2</f>
        <v>45.2</v>
      </c>
      <c r="FD81" s="1093">
        <f>5.6+1+106.7+2</f>
        <v>115.3</v>
      </c>
      <c r="FE81" s="1093">
        <f>19.8+2</f>
        <v>21.8</v>
      </c>
      <c r="FF81" s="1093">
        <f>1+106.7+2</f>
        <v>109.7</v>
      </c>
      <c r="FG81" s="1093">
        <f>101+4+32.7+3</f>
        <v>140.69999999999999</v>
      </c>
      <c r="FH81" s="1093">
        <f>29.7+3+89+4</f>
        <v>125.7</v>
      </c>
      <c r="FI81" s="1093">
        <f>25.7+3+79+4</f>
        <v>111.7</v>
      </c>
      <c r="FJ81" s="1187">
        <f>18.7+3+96+4</f>
        <v>121.7</v>
      </c>
      <c r="FK81" s="1187">
        <f>25.7+3+79+4</f>
        <v>111.7</v>
      </c>
      <c r="FL81" s="1187">
        <f>14.7+3+79+4</f>
        <v>100.7</v>
      </c>
      <c r="FM81" s="1093">
        <f>16.7+3+104+4</f>
        <v>127.7</v>
      </c>
      <c r="FN81" s="1187">
        <f>9.6+114+48.2+63.5+3</f>
        <v>238.3</v>
      </c>
      <c r="FO81" s="1187">
        <f>30.2+2</f>
        <v>32.200000000000003</v>
      </c>
      <c r="FP81" s="1187">
        <f>119.2+2</f>
        <v>121.2</v>
      </c>
      <c r="FQ81" s="1187">
        <f>38.2+2</f>
        <v>40.200000000000003</v>
      </c>
      <c r="FR81" s="980">
        <f>27.2+2</f>
        <v>29.2</v>
      </c>
      <c r="FS81" s="980">
        <f>74.2+2</f>
        <v>76.2</v>
      </c>
      <c r="FT81" s="980">
        <f>15.2+2</f>
        <v>17.2</v>
      </c>
      <c r="FU81" s="980">
        <f>80.1+2</f>
        <v>82.1</v>
      </c>
      <c r="FV81" s="980">
        <f>6.3+2</f>
        <v>8.3000000000000007</v>
      </c>
      <c r="FW81" s="1187">
        <f>19.1+2</f>
        <v>21.1</v>
      </c>
      <c r="FX81" s="980">
        <f>78.2+2</f>
        <v>80.2</v>
      </c>
      <c r="FY81" s="980">
        <f>18.2+2</f>
        <v>20.2</v>
      </c>
      <c r="FZ81" s="980">
        <f>30.2+2</f>
        <v>32.200000000000003</v>
      </c>
      <c r="GA81" s="980"/>
      <c r="GB81" s="1046"/>
      <c r="GD81" s="1416">
        <v>1</v>
      </c>
      <c r="GE81" s="1417">
        <v>2</v>
      </c>
      <c r="GF81" s="1417">
        <v>3</v>
      </c>
      <c r="GG81" s="1417">
        <v>4</v>
      </c>
      <c r="GH81" s="1417">
        <v>5</v>
      </c>
      <c r="GI81" s="1417">
        <v>6</v>
      </c>
      <c r="GJ81" s="1417">
        <v>7</v>
      </c>
      <c r="GK81" s="1418">
        <v>8</v>
      </c>
    </row>
    <row r="82" spans="1:193" s="1007" customFormat="1" ht="24.95" hidden="1" customHeight="1">
      <c r="A82" s="1007">
        <v>21</v>
      </c>
      <c r="B82" s="1062">
        <f t="shared" si="4"/>
        <v>18</v>
      </c>
      <c r="C82" s="1063"/>
      <c r="D82" s="1064" t="s">
        <v>2175</v>
      </c>
      <c r="E82" s="1065" t="s">
        <v>2179</v>
      </c>
      <c r="F82" s="1052" t="s">
        <v>2180</v>
      </c>
      <c r="G82" s="1067" t="s">
        <v>814</v>
      </c>
      <c r="H82" s="1059">
        <f t="shared" si="9"/>
        <v>0</v>
      </c>
      <c r="I82" s="1088">
        <v>7.5</v>
      </c>
      <c r="J82" s="1059">
        <f t="shared" si="5"/>
        <v>0</v>
      </c>
      <c r="K82" s="1660"/>
      <c r="L82" s="1186"/>
      <c r="M82" s="1185"/>
      <c r="N82" s="1185"/>
      <c r="O82" s="1093"/>
      <c r="P82" s="1415"/>
      <c r="Q82" s="1415"/>
      <c r="R82" s="1415"/>
      <c r="S82" s="1415"/>
      <c r="T82" s="1415"/>
      <c r="U82" s="1415"/>
      <c r="V82" s="1415"/>
      <c r="W82" s="1415"/>
      <c r="X82" s="1415"/>
      <c r="Y82" s="1415"/>
      <c r="Z82" s="1415"/>
      <c r="AA82" s="1415"/>
      <c r="AB82" s="1415"/>
      <c r="AC82" s="1415"/>
      <c r="AD82" s="1415"/>
      <c r="AE82" s="1415"/>
      <c r="AF82" s="1415"/>
      <c r="AG82" s="1415"/>
      <c r="AH82" s="1415"/>
      <c r="AI82" s="1415"/>
      <c r="AJ82" s="1415"/>
      <c r="AK82" s="1415"/>
      <c r="AL82" s="1415"/>
      <c r="AM82" s="1415"/>
      <c r="AN82" s="1415"/>
      <c r="AO82" s="1415"/>
      <c r="AP82" s="1415"/>
      <c r="AQ82" s="1415"/>
      <c r="AR82" s="1415"/>
      <c r="AS82" s="1415"/>
      <c r="AT82" s="1415"/>
      <c r="AU82" s="1415"/>
      <c r="AV82" s="1415"/>
      <c r="AW82" s="1415" t="s">
        <v>2879</v>
      </c>
      <c r="AX82" s="1415"/>
      <c r="AY82" s="1415"/>
      <c r="AZ82" s="1415"/>
      <c r="BA82" s="1415"/>
      <c r="BB82" s="1415"/>
      <c r="BC82" s="1415"/>
      <c r="BD82" s="1415"/>
      <c r="BE82" s="1415"/>
      <c r="BF82" s="1415"/>
      <c r="BG82" s="1415"/>
      <c r="BH82" s="1415"/>
      <c r="BI82" s="1415"/>
      <c r="BJ82" s="1415"/>
      <c r="BK82" s="1415"/>
      <c r="BL82" s="1415"/>
      <c r="BM82" s="1415"/>
      <c r="BN82" s="1415"/>
      <c r="BO82" s="1415"/>
      <c r="BP82" s="1415"/>
      <c r="BQ82" s="1415"/>
      <c r="BR82" s="1415"/>
      <c r="BS82" s="1415"/>
      <c r="BT82" s="1415"/>
      <c r="BU82" s="1415"/>
      <c r="BV82" s="1415"/>
      <c r="BW82" s="1415"/>
      <c r="BX82" s="1415"/>
      <c r="BY82" s="1415"/>
      <c r="BZ82" s="1415"/>
      <c r="CA82" s="1415"/>
      <c r="CB82" s="1415"/>
      <c r="CC82" s="1415"/>
      <c r="CD82" s="1415"/>
      <c r="CE82" s="1415"/>
      <c r="CF82" s="1415"/>
      <c r="CG82" s="1415"/>
      <c r="CH82" s="1415"/>
      <c r="CI82" s="1415"/>
      <c r="CJ82" s="1415"/>
      <c r="CK82" s="1415"/>
      <c r="CL82" s="1415"/>
      <c r="CM82" s="1415"/>
      <c r="CN82" s="1415"/>
      <c r="CO82" s="1415"/>
      <c r="CP82" s="1415"/>
      <c r="CQ82" s="1415"/>
      <c r="CR82" s="1415"/>
      <c r="CS82" s="1415"/>
      <c r="CT82" s="1415"/>
      <c r="CU82" s="1415"/>
      <c r="CV82" s="1415"/>
      <c r="CW82" s="1415"/>
      <c r="CX82" s="1415"/>
      <c r="CY82" s="1415"/>
      <c r="CZ82" s="1415"/>
      <c r="DA82" s="1415"/>
      <c r="DB82" s="1415"/>
      <c r="DC82" s="1415"/>
      <c r="DD82" s="1415"/>
      <c r="DE82" s="1415"/>
      <c r="DF82" s="1415"/>
      <c r="DG82" s="1415"/>
      <c r="DH82" s="1415"/>
      <c r="DI82" s="1415"/>
      <c r="DJ82" s="1415"/>
      <c r="DK82" s="1415"/>
      <c r="DL82" s="1415"/>
      <c r="DM82" s="1415"/>
      <c r="DN82" s="1415"/>
      <c r="DO82" s="1415"/>
      <c r="DP82" s="1415"/>
      <c r="DQ82" s="1415"/>
      <c r="DR82" s="1415"/>
      <c r="DS82" s="1415"/>
      <c r="DT82" s="1415"/>
      <c r="DU82" s="1415"/>
      <c r="DV82" s="1415"/>
      <c r="DW82" s="1415"/>
      <c r="DX82" s="1415"/>
      <c r="DY82" s="1415"/>
      <c r="DZ82" s="1415"/>
      <c r="EA82" s="1415"/>
      <c r="EB82" s="1415"/>
      <c r="EC82" s="1415"/>
      <c r="ED82" s="1415"/>
      <c r="EE82" s="1415"/>
      <c r="EF82" s="1415"/>
      <c r="EG82" s="1185"/>
      <c r="EH82" s="1185"/>
      <c r="EI82" s="1185"/>
      <c r="EJ82" s="1185"/>
      <c r="EK82" s="1185"/>
      <c r="EL82" s="1185"/>
      <c r="EM82" s="1185"/>
      <c r="EN82" s="1185"/>
      <c r="EO82" s="1093"/>
      <c r="EP82" s="1093"/>
      <c r="EQ82" s="1093"/>
      <c r="ER82" s="1093"/>
      <c r="ES82" s="1093"/>
      <c r="ET82" s="1093"/>
      <c r="EU82" s="1093"/>
      <c r="EV82" s="1093"/>
      <c r="EW82" s="1093"/>
      <c r="EX82" s="1093"/>
      <c r="EY82" s="1093"/>
      <c r="EZ82" s="1187"/>
      <c r="FA82" s="1187"/>
      <c r="FB82" s="1187"/>
      <c r="FC82" s="1187"/>
      <c r="FD82" s="1093"/>
      <c r="FE82" s="1093"/>
      <c r="FF82" s="1093"/>
      <c r="FG82" s="1093"/>
      <c r="FH82" s="1093"/>
      <c r="FI82" s="1093"/>
      <c r="FJ82" s="1093"/>
      <c r="FK82" s="1093"/>
      <c r="FL82" s="1093"/>
      <c r="FM82" s="1093"/>
      <c r="FN82" s="1093"/>
      <c r="FO82" s="1093"/>
      <c r="FP82" s="1093"/>
      <c r="FQ82" s="1093"/>
      <c r="FR82" s="1093"/>
      <c r="FS82" s="1093"/>
      <c r="FT82" s="1093"/>
      <c r="FU82" s="1093"/>
      <c r="FV82" s="1093"/>
      <c r="FW82" s="1093"/>
      <c r="FX82" s="1093"/>
      <c r="FY82" s="1093"/>
      <c r="FZ82" s="1093"/>
      <c r="GA82" s="1187"/>
      <c r="GB82" s="1059"/>
      <c r="GD82" s="1089" t="s">
        <v>2181</v>
      </c>
      <c r="GE82" s="1090">
        <v>3</v>
      </c>
      <c r="GF82" s="1090">
        <v>4</v>
      </c>
      <c r="GG82" s="1090">
        <v>5</v>
      </c>
      <c r="GH82" s="1090">
        <v>6</v>
      </c>
      <c r="GI82" s="1090">
        <v>7</v>
      </c>
      <c r="GJ82" s="1090" t="s">
        <v>2182</v>
      </c>
      <c r="GK82" s="1091" t="s">
        <v>2183</v>
      </c>
    </row>
    <row r="83" spans="1:193" s="1007" customFormat="1" ht="24.95" hidden="1" customHeight="1">
      <c r="A83" s="1007">
        <v>21</v>
      </c>
      <c r="B83" s="1062">
        <f t="shared" si="4"/>
        <v>19</v>
      </c>
      <c r="C83" s="1063"/>
      <c r="D83" s="1064" t="s">
        <v>2175</v>
      </c>
      <c r="E83" s="1065" t="s">
        <v>2184</v>
      </c>
      <c r="F83" s="1052" t="s">
        <v>2185</v>
      </c>
      <c r="G83" s="1067" t="s">
        <v>814</v>
      </c>
      <c r="H83" s="1059">
        <f t="shared" si="9"/>
        <v>0</v>
      </c>
      <c r="I83" s="1088">
        <v>7.5</v>
      </c>
      <c r="J83" s="1059">
        <f t="shared" si="5"/>
        <v>0</v>
      </c>
      <c r="K83" s="1660"/>
      <c r="L83" s="1186"/>
      <c r="M83" s="1185"/>
      <c r="N83" s="1185"/>
      <c r="O83" s="1093"/>
      <c r="P83" s="1415"/>
      <c r="Q83" s="1415"/>
      <c r="R83" s="1415"/>
      <c r="S83" s="1415"/>
      <c r="T83" s="1415"/>
      <c r="U83" s="1415"/>
      <c r="V83" s="1415"/>
      <c r="W83" s="1415"/>
      <c r="X83" s="1415"/>
      <c r="Y83" s="1415"/>
      <c r="Z83" s="1415"/>
      <c r="AA83" s="1415"/>
      <c r="AB83" s="1415"/>
      <c r="AC83" s="1415"/>
      <c r="AD83" s="1415"/>
      <c r="AE83" s="1415"/>
      <c r="AF83" s="1415"/>
      <c r="AG83" s="1415"/>
      <c r="AH83" s="1415"/>
      <c r="AI83" s="1415"/>
      <c r="AJ83" s="1415"/>
      <c r="AK83" s="1415"/>
      <c r="AL83" s="1415"/>
      <c r="AM83" s="1415"/>
      <c r="AN83" s="1415"/>
      <c r="AO83" s="1415"/>
      <c r="AP83" s="1415"/>
      <c r="AQ83" s="1415"/>
      <c r="AR83" s="1415"/>
      <c r="AS83" s="1415"/>
      <c r="AT83" s="1415"/>
      <c r="AU83" s="1415"/>
      <c r="AV83" s="1415"/>
      <c r="AW83" s="1415"/>
      <c r="AX83" s="1415"/>
      <c r="AY83" s="1415"/>
      <c r="AZ83" s="1415"/>
      <c r="BA83" s="1415"/>
      <c r="BB83" s="1415"/>
      <c r="BC83" s="1415"/>
      <c r="BD83" s="1415"/>
      <c r="BE83" s="1415"/>
      <c r="BF83" s="1415"/>
      <c r="BG83" s="1415"/>
      <c r="BH83" s="1415"/>
      <c r="BI83" s="1415"/>
      <c r="BJ83" s="1415"/>
      <c r="BK83" s="1415"/>
      <c r="BL83" s="1415"/>
      <c r="BM83" s="1415"/>
      <c r="BN83" s="1415"/>
      <c r="BO83" s="1415"/>
      <c r="BP83" s="1415"/>
      <c r="BQ83" s="1415"/>
      <c r="BR83" s="1415"/>
      <c r="BS83" s="1415"/>
      <c r="BT83" s="1415"/>
      <c r="BU83" s="1415"/>
      <c r="BV83" s="1415"/>
      <c r="BW83" s="1415"/>
      <c r="BX83" s="1415"/>
      <c r="BY83" s="1415"/>
      <c r="BZ83" s="1415"/>
      <c r="CA83" s="1415"/>
      <c r="CB83" s="1415"/>
      <c r="CC83" s="1415"/>
      <c r="CD83" s="1415"/>
      <c r="CE83" s="1415"/>
      <c r="CF83" s="1415"/>
      <c r="CG83" s="1415"/>
      <c r="CH83" s="1415"/>
      <c r="CI83" s="1415"/>
      <c r="CJ83" s="1415"/>
      <c r="CK83" s="1415"/>
      <c r="CL83" s="1415"/>
      <c r="CM83" s="1415"/>
      <c r="CN83" s="1415"/>
      <c r="CO83" s="1415"/>
      <c r="CP83" s="1415"/>
      <c r="CQ83" s="1415"/>
      <c r="CR83" s="1415"/>
      <c r="CS83" s="1415"/>
      <c r="CT83" s="1415"/>
      <c r="CU83" s="1415"/>
      <c r="CV83" s="1415"/>
      <c r="CW83" s="1415"/>
      <c r="CX83" s="1415"/>
      <c r="CY83" s="1415"/>
      <c r="CZ83" s="1415"/>
      <c r="DA83" s="1415"/>
      <c r="DB83" s="1415"/>
      <c r="DC83" s="1415"/>
      <c r="DD83" s="1415"/>
      <c r="DE83" s="1415"/>
      <c r="DF83" s="1415"/>
      <c r="DG83" s="1415"/>
      <c r="DH83" s="1415"/>
      <c r="DI83" s="1415"/>
      <c r="DJ83" s="1415"/>
      <c r="DK83" s="1415"/>
      <c r="DL83" s="1415"/>
      <c r="DM83" s="1415"/>
      <c r="DN83" s="1415"/>
      <c r="DO83" s="1415"/>
      <c r="DP83" s="1415"/>
      <c r="DQ83" s="1415"/>
      <c r="DR83" s="1415"/>
      <c r="DS83" s="1415"/>
      <c r="DT83" s="1415"/>
      <c r="DU83" s="1415"/>
      <c r="DV83" s="1415"/>
      <c r="DW83" s="1415"/>
      <c r="DX83" s="1415"/>
      <c r="DY83" s="1415"/>
      <c r="DZ83" s="1415"/>
      <c r="EA83" s="1415"/>
      <c r="EB83" s="1415"/>
      <c r="EC83" s="1415"/>
      <c r="ED83" s="1415"/>
      <c r="EE83" s="1415"/>
      <c r="EF83" s="1415"/>
      <c r="EG83" s="1185"/>
      <c r="EH83" s="1185"/>
      <c r="EI83" s="1185"/>
      <c r="EJ83" s="1185"/>
      <c r="EK83" s="1185"/>
      <c r="EL83" s="1185"/>
      <c r="EM83" s="1185"/>
      <c r="EN83" s="1185"/>
      <c r="EO83" s="1093"/>
      <c r="EP83" s="1093"/>
      <c r="EQ83" s="1093"/>
      <c r="ER83" s="1093"/>
      <c r="ES83" s="1093"/>
      <c r="ET83" s="1093"/>
      <c r="EU83" s="1093"/>
      <c r="EV83" s="1093"/>
      <c r="EW83" s="1093"/>
      <c r="EX83" s="1093"/>
      <c r="EY83" s="1093"/>
      <c r="EZ83" s="1093"/>
      <c r="FA83" s="1093"/>
      <c r="FB83" s="1093"/>
      <c r="FC83" s="1093"/>
      <c r="FD83" s="1093"/>
      <c r="FE83" s="1093"/>
      <c r="FF83" s="1093"/>
      <c r="FG83" s="1093"/>
      <c r="FH83" s="1093"/>
      <c r="FI83" s="1093"/>
      <c r="FJ83" s="1093"/>
      <c r="FK83" s="1093"/>
      <c r="FL83" s="1093"/>
      <c r="FM83" s="1093"/>
      <c r="FN83" s="1093"/>
      <c r="FO83" s="1093"/>
      <c r="FP83" s="1093"/>
      <c r="FQ83" s="1093"/>
      <c r="FR83" s="1093"/>
      <c r="FS83" s="1093"/>
      <c r="FT83" s="1093"/>
      <c r="FU83" s="1093"/>
      <c r="FV83" s="1093"/>
      <c r="FW83" s="1093"/>
      <c r="FX83" s="1093"/>
      <c r="FY83" s="1093"/>
      <c r="FZ83" s="1093"/>
      <c r="GA83" s="1093"/>
      <c r="GB83" s="1059"/>
    </row>
    <row r="84" spans="1:193" s="1007" customFormat="1" ht="24.95" hidden="1" customHeight="1">
      <c r="A84" s="1007">
        <v>22</v>
      </c>
      <c r="B84" s="1062">
        <f t="shared" si="4"/>
        <v>20</v>
      </c>
      <c r="C84" s="1072"/>
      <c r="D84" s="1051" t="s">
        <v>2175</v>
      </c>
      <c r="E84" s="1073" t="s">
        <v>2186</v>
      </c>
      <c r="F84" s="1052" t="s">
        <v>2187</v>
      </c>
      <c r="G84" s="1053" t="s">
        <v>814</v>
      </c>
      <c r="H84" s="1046">
        <f t="shared" si="9"/>
        <v>0</v>
      </c>
      <c r="I84" s="1088">
        <v>7.5</v>
      </c>
      <c r="J84" s="1046">
        <f t="shared" si="5"/>
        <v>0</v>
      </c>
      <c r="K84" s="1661"/>
      <c r="L84" s="1185"/>
      <c r="M84" s="1185"/>
      <c r="N84" s="1185"/>
      <c r="O84" s="1093"/>
      <c r="P84" s="1185"/>
      <c r="Q84" s="1185"/>
      <c r="R84" s="1185"/>
      <c r="S84" s="1185"/>
      <c r="T84" s="1185"/>
      <c r="U84" s="1093"/>
      <c r="V84" s="1093"/>
      <c r="W84" s="1093"/>
      <c r="X84" s="1185"/>
      <c r="Y84" s="1185"/>
      <c r="Z84" s="1185"/>
      <c r="AA84" s="1185"/>
      <c r="AB84" s="1185"/>
      <c r="AC84" s="1185"/>
      <c r="AD84" s="1093"/>
      <c r="AE84" s="1185"/>
      <c r="AF84" s="1185"/>
      <c r="AG84" s="1185"/>
      <c r="AH84" s="1185"/>
      <c r="AI84" s="1185"/>
      <c r="AJ84" s="1185"/>
      <c r="AK84" s="1185"/>
      <c r="AL84" s="1185"/>
      <c r="AM84" s="1185"/>
      <c r="AN84" s="1185"/>
      <c r="AO84" s="1185"/>
      <c r="AP84" s="1185"/>
      <c r="AQ84" s="1185"/>
      <c r="AR84" s="1185"/>
      <c r="AS84" s="1185"/>
      <c r="AT84" s="1185"/>
      <c r="AU84" s="1185"/>
      <c r="AV84" s="1185"/>
      <c r="AW84" s="1185"/>
      <c r="AX84" s="1185"/>
      <c r="AY84" s="1185"/>
      <c r="AZ84" s="1185"/>
      <c r="BA84" s="1185"/>
      <c r="BB84" s="1185"/>
      <c r="BC84" s="1185"/>
      <c r="BD84" s="1185"/>
      <c r="BE84" s="1185"/>
      <c r="BF84" s="1185"/>
      <c r="BG84" s="1185"/>
      <c r="BH84" s="1185"/>
      <c r="BI84" s="1185"/>
      <c r="BJ84" s="1185"/>
      <c r="BK84" s="1185"/>
      <c r="BL84" s="1185"/>
      <c r="BM84" s="1185"/>
      <c r="BN84" s="1185"/>
      <c r="BO84" s="1185"/>
      <c r="BP84" s="1185"/>
      <c r="BQ84" s="1185"/>
      <c r="BR84" s="1185"/>
      <c r="BS84" s="1185"/>
      <c r="BT84" s="1185"/>
      <c r="BU84" s="1185"/>
      <c r="BV84" s="1185"/>
      <c r="BW84" s="1185"/>
      <c r="BX84" s="1185"/>
      <c r="BY84" s="1185"/>
      <c r="BZ84" s="1185"/>
      <c r="CA84" s="1185"/>
      <c r="CB84" s="1185"/>
      <c r="CC84" s="1185"/>
      <c r="CD84" s="1185"/>
      <c r="CE84" s="1185"/>
      <c r="CF84" s="1185"/>
      <c r="CG84" s="1185"/>
      <c r="CH84" s="1185"/>
      <c r="CI84" s="1185"/>
      <c r="CJ84" s="1185"/>
      <c r="CK84" s="1185"/>
      <c r="CL84" s="1185"/>
      <c r="CM84" s="1185"/>
      <c r="CN84" s="1185"/>
      <c r="CO84" s="1185"/>
      <c r="CP84" s="1185"/>
      <c r="CQ84" s="1185"/>
      <c r="CR84" s="1185"/>
      <c r="CS84" s="1185"/>
      <c r="CT84" s="1185"/>
      <c r="CU84" s="1185"/>
      <c r="CV84" s="1185"/>
      <c r="CW84" s="1185"/>
      <c r="CX84" s="1185"/>
      <c r="CY84" s="1185"/>
      <c r="CZ84" s="1185"/>
      <c r="DA84" s="1185"/>
      <c r="DB84" s="1185"/>
      <c r="DC84" s="1185"/>
      <c r="DD84" s="1185"/>
      <c r="DE84" s="1185"/>
      <c r="DF84" s="1185"/>
      <c r="DG84" s="1185"/>
      <c r="DH84" s="1185"/>
      <c r="DI84" s="1185"/>
      <c r="DJ84" s="1185"/>
      <c r="DK84" s="1185"/>
      <c r="DL84" s="1185"/>
      <c r="DM84" s="1185"/>
      <c r="DN84" s="1185"/>
      <c r="DO84" s="1185"/>
      <c r="DP84" s="1185"/>
      <c r="DQ84" s="1185"/>
      <c r="DR84" s="1185"/>
      <c r="DS84" s="1185"/>
      <c r="DT84" s="1185"/>
      <c r="DU84" s="1185"/>
      <c r="DV84" s="1185"/>
      <c r="DW84" s="1185"/>
      <c r="DX84" s="1185"/>
      <c r="DY84" s="1185"/>
      <c r="DZ84" s="1185"/>
      <c r="EA84" s="1185"/>
      <c r="EB84" s="1185"/>
      <c r="EC84" s="1185"/>
      <c r="ED84" s="1185"/>
      <c r="EE84" s="1185"/>
      <c r="EF84" s="1185"/>
      <c r="EG84" s="1185"/>
      <c r="EH84" s="1185"/>
      <c r="EI84" s="1185"/>
      <c r="EJ84" s="1185"/>
      <c r="EK84" s="1185"/>
      <c r="EL84" s="1185"/>
      <c r="EM84" s="1185"/>
      <c r="EN84" s="1185"/>
      <c r="EO84" s="1093"/>
      <c r="EP84" s="1093"/>
      <c r="EQ84" s="1093"/>
      <c r="ER84" s="1093"/>
      <c r="ES84" s="1093"/>
      <c r="ET84" s="1093"/>
      <c r="EU84" s="1093"/>
      <c r="EV84" s="1093"/>
      <c r="EW84" s="1093"/>
      <c r="EX84" s="1093"/>
      <c r="EY84" s="1093"/>
      <c r="EZ84" s="1093"/>
      <c r="FA84" s="1093"/>
      <c r="FB84" s="1093"/>
      <c r="FC84" s="1093"/>
      <c r="FD84" s="1093"/>
      <c r="FE84" s="1093"/>
      <c r="FF84" s="1093"/>
      <c r="FG84" s="1093"/>
      <c r="FH84" s="1093"/>
      <c r="FI84" s="1093"/>
      <c r="FJ84" s="1093"/>
      <c r="FK84" s="1093"/>
      <c r="FL84" s="1093"/>
      <c r="FM84" s="1093"/>
      <c r="FN84" s="1093"/>
      <c r="FO84" s="1093"/>
      <c r="FP84" s="1093"/>
      <c r="FQ84" s="1093"/>
      <c r="FR84" s="1093"/>
      <c r="FS84" s="1093"/>
      <c r="FT84" s="1093"/>
      <c r="FU84" s="1093"/>
      <c r="FV84" s="1093"/>
      <c r="FW84" s="1093"/>
      <c r="FX84" s="1093"/>
      <c r="FY84" s="1093"/>
      <c r="FZ84" s="1093"/>
      <c r="GA84" s="1093"/>
      <c r="GB84" s="1046"/>
    </row>
    <row r="85" spans="1:193" s="1007" customFormat="1" ht="24.95" customHeight="1">
      <c r="A85" s="1007">
        <v>23</v>
      </c>
      <c r="B85" s="1062">
        <f t="shared" si="4"/>
        <v>21</v>
      </c>
      <c r="C85" s="1072"/>
      <c r="D85" s="1051" t="s">
        <v>2188</v>
      </c>
      <c r="E85" s="1073" t="s">
        <v>1929</v>
      </c>
      <c r="F85" s="1052" t="s">
        <v>2189</v>
      </c>
      <c r="G85" s="1053" t="s">
        <v>814</v>
      </c>
      <c r="H85" s="1046">
        <f t="shared" si="9"/>
        <v>43.2</v>
      </c>
      <c r="I85" s="1088">
        <v>7.5</v>
      </c>
      <c r="J85" s="1046">
        <f t="shared" si="5"/>
        <v>40.200000000000003</v>
      </c>
      <c r="K85" s="1069"/>
      <c r="L85" s="1187"/>
      <c r="M85" s="1185"/>
      <c r="N85" s="1185"/>
      <c r="O85" s="1093"/>
      <c r="P85" s="1093"/>
      <c r="Q85" s="1093"/>
      <c r="R85" s="1093"/>
      <c r="S85" s="1093"/>
      <c r="T85" s="1093"/>
      <c r="U85" s="1093"/>
      <c r="V85" s="1093"/>
      <c r="W85" s="1093"/>
      <c r="X85" s="1093"/>
      <c r="Y85" s="1093"/>
      <c r="Z85" s="1093"/>
      <c r="AA85" s="1093"/>
      <c r="AB85" s="1093"/>
      <c r="AC85" s="1093"/>
      <c r="AD85" s="1093"/>
      <c r="AE85" s="1093"/>
      <c r="AF85" s="1093"/>
      <c r="AG85" s="1093"/>
      <c r="AH85" s="1093"/>
      <c r="AI85" s="1093"/>
      <c r="AJ85" s="1093"/>
      <c r="AK85" s="1093"/>
      <c r="AL85" s="1093"/>
      <c r="AM85" s="1093"/>
      <c r="AN85" s="1093"/>
      <c r="AO85" s="1093"/>
      <c r="AP85" s="1093"/>
      <c r="AQ85" s="1093"/>
      <c r="AR85" s="1093"/>
      <c r="AS85" s="1093"/>
      <c r="AT85" s="1093"/>
      <c r="AU85" s="1093"/>
      <c r="AV85" s="1093"/>
      <c r="AW85" s="1093"/>
      <c r="AX85" s="1093"/>
      <c r="AY85" s="1093"/>
      <c r="AZ85" s="1093"/>
      <c r="BA85" s="1093"/>
      <c r="BB85" s="1093"/>
      <c r="BC85" s="1093"/>
      <c r="BD85" s="1093"/>
      <c r="BE85" s="1093"/>
      <c r="BF85" s="1093"/>
      <c r="BG85" s="1093"/>
      <c r="BH85" s="1093"/>
      <c r="BI85" s="1093"/>
      <c r="BJ85" s="1093"/>
      <c r="BK85" s="1093"/>
      <c r="BL85" s="1093"/>
      <c r="BM85" s="1093"/>
      <c r="BN85" s="1093"/>
      <c r="BO85" s="1093"/>
      <c r="BP85" s="1093"/>
      <c r="BQ85" s="1093"/>
      <c r="BR85" s="1093"/>
      <c r="BS85" s="1093"/>
      <c r="BT85" s="1093"/>
      <c r="BU85" s="1093"/>
      <c r="BV85" s="1093"/>
      <c r="BW85" s="1093"/>
      <c r="BX85" s="1185"/>
      <c r="BY85" s="1185"/>
      <c r="BZ85" s="1185"/>
      <c r="CA85" s="1185"/>
      <c r="CB85" s="1185"/>
      <c r="CC85" s="1185"/>
      <c r="CD85" s="1185"/>
      <c r="CE85" s="1185"/>
      <c r="CF85" s="1185"/>
      <c r="CG85" s="1185"/>
      <c r="CH85" s="1185"/>
      <c r="CI85" s="1185"/>
      <c r="CJ85" s="1185"/>
      <c r="CK85" s="1185"/>
      <c r="CL85" s="1185"/>
      <c r="CM85" s="1185"/>
      <c r="CN85" s="1185"/>
      <c r="CO85" s="1185"/>
      <c r="CP85" s="1185"/>
      <c r="CQ85" s="1185"/>
      <c r="CR85" s="1185"/>
      <c r="CS85" s="1185"/>
      <c r="CT85" s="1185"/>
      <c r="CU85" s="1185"/>
      <c r="CV85" s="1185"/>
      <c r="CW85" s="1185"/>
      <c r="CX85" s="1185"/>
      <c r="CY85" s="1185"/>
      <c r="CZ85" s="1185"/>
      <c r="DA85" s="1185"/>
      <c r="DB85" s="1185"/>
      <c r="DC85" s="1185"/>
      <c r="DD85" s="1185"/>
      <c r="DE85" s="1185"/>
      <c r="DF85" s="1185"/>
      <c r="DG85" s="1185"/>
      <c r="DH85" s="1185"/>
      <c r="DI85" s="1185"/>
      <c r="DJ85" s="1185"/>
      <c r="DK85" s="1185"/>
      <c r="DL85" s="1185"/>
      <c r="DM85" s="1185"/>
      <c r="DN85" s="1185"/>
      <c r="DO85" s="1185"/>
      <c r="DP85" s="1185"/>
      <c r="DQ85" s="1185"/>
      <c r="DR85" s="1185"/>
      <c r="DS85" s="1185"/>
      <c r="DT85" s="1185"/>
      <c r="DU85" s="1185"/>
      <c r="DV85" s="1185"/>
      <c r="DW85" s="1185"/>
      <c r="DX85" s="1185"/>
      <c r="DY85" s="1185"/>
      <c r="DZ85" s="1185"/>
      <c r="EA85" s="1185"/>
      <c r="EB85" s="1185"/>
      <c r="EC85" s="1185"/>
      <c r="ED85" s="1185"/>
      <c r="EE85" s="1185"/>
      <c r="EF85" s="1185"/>
      <c r="EG85" s="1185">
        <f>38.2+2</f>
        <v>40.200000000000003</v>
      </c>
      <c r="EH85" s="1185"/>
      <c r="EI85" s="1185"/>
      <c r="EJ85" s="1185"/>
      <c r="EK85" s="1185"/>
      <c r="EL85" s="1185"/>
      <c r="EM85" s="1185"/>
      <c r="EN85" s="1185"/>
      <c r="EO85" s="1093"/>
      <c r="EP85" s="1093"/>
      <c r="EQ85" s="1093"/>
      <c r="ER85" s="1093"/>
      <c r="ES85" s="1093"/>
      <c r="ET85" s="1093"/>
      <c r="EU85" s="1093"/>
      <c r="EV85" s="1093"/>
      <c r="EW85" s="1093"/>
      <c r="EX85" s="1093"/>
      <c r="EY85" s="1093"/>
      <c r="EZ85" s="1093"/>
      <c r="FA85" s="1093"/>
      <c r="FB85" s="1093"/>
      <c r="FC85" s="1093"/>
      <c r="FD85" s="1093"/>
      <c r="FE85" s="1093"/>
      <c r="FF85" s="1093"/>
      <c r="FG85" s="1093"/>
      <c r="FH85" s="1093"/>
      <c r="FI85" s="1093"/>
      <c r="FJ85" s="1093"/>
      <c r="FK85" s="1093"/>
      <c r="FL85" s="1093"/>
      <c r="FM85" s="1093"/>
      <c r="FN85" s="1093"/>
      <c r="FO85" s="1093"/>
      <c r="FP85" s="1093"/>
      <c r="FQ85" s="1093"/>
      <c r="FR85" s="1093"/>
      <c r="FS85" s="1093"/>
      <c r="FT85" s="1093"/>
      <c r="FU85" s="1093"/>
      <c r="FV85" s="1093"/>
      <c r="FW85" s="1093"/>
      <c r="FX85" s="1093"/>
      <c r="FY85" s="1093"/>
      <c r="FZ85" s="1093"/>
      <c r="GA85" s="1093"/>
      <c r="GB85" s="1046"/>
    </row>
    <row r="86" spans="1:193" s="1007" customFormat="1" ht="24.95" customHeight="1">
      <c r="A86" s="1007">
        <v>24</v>
      </c>
      <c r="B86" s="1062">
        <f t="shared" si="4"/>
        <v>22</v>
      </c>
      <c r="C86" s="1072"/>
      <c r="D86" s="1051" t="s">
        <v>2188</v>
      </c>
      <c r="E86" s="1073" t="s">
        <v>1930</v>
      </c>
      <c r="F86" s="1052" t="s">
        <v>2190</v>
      </c>
      <c r="G86" s="1053" t="s">
        <v>814</v>
      </c>
      <c r="H86" s="1046">
        <f t="shared" si="9"/>
        <v>43.2</v>
      </c>
      <c r="I86" s="1088">
        <v>7.5</v>
      </c>
      <c r="J86" s="1046">
        <f t="shared" si="5"/>
        <v>40.200000000000003</v>
      </c>
      <c r="K86" s="1069"/>
      <c r="L86" s="1185"/>
      <c r="M86" s="1185"/>
      <c r="N86" s="1185"/>
      <c r="O86" s="1093"/>
      <c r="P86" s="1093"/>
      <c r="Q86" s="1093"/>
      <c r="R86" s="1093"/>
      <c r="S86" s="1093"/>
      <c r="T86" s="1093"/>
      <c r="U86" s="1185"/>
      <c r="V86" s="1093"/>
      <c r="W86" s="1093"/>
      <c r="X86" s="1093"/>
      <c r="Y86" s="1093"/>
      <c r="Z86" s="1093"/>
      <c r="AA86" s="1093"/>
      <c r="AB86" s="1093"/>
      <c r="AC86" s="1093"/>
      <c r="AD86" s="1093"/>
      <c r="AE86" s="1093"/>
      <c r="AF86" s="1093"/>
      <c r="AG86" s="1093"/>
      <c r="AH86" s="1093"/>
      <c r="AI86" s="1093"/>
      <c r="AJ86" s="1093"/>
      <c r="AK86" s="1093"/>
      <c r="AL86" s="1093"/>
      <c r="AM86" s="1093"/>
      <c r="AN86" s="1093"/>
      <c r="AO86" s="1093"/>
      <c r="AP86" s="1093"/>
      <c r="AQ86" s="1093"/>
      <c r="AR86" s="1093"/>
      <c r="AS86" s="1093"/>
      <c r="AT86" s="1093"/>
      <c r="AU86" s="1093"/>
      <c r="AV86" s="1093"/>
      <c r="AW86" s="1093"/>
      <c r="AX86" s="1093"/>
      <c r="AY86" s="1093"/>
      <c r="AZ86" s="1093"/>
      <c r="BA86" s="1093"/>
      <c r="BB86" s="1093"/>
      <c r="BC86" s="1093"/>
      <c r="BD86" s="1093"/>
      <c r="BE86" s="1093"/>
      <c r="BF86" s="1093"/>
      <c r="BG86" s="1093"/>
      <c r="BH86" s="1093"/>
      <c r="BI86" s="1093"/>
      <c r="BJ86" s="1093"/>
      <c r="BK86" s="1093"/>
      <c r="BL86" s="1093"/>
      <c r="BM86" s="1093"/>
      <c r="BN86" s="1093"/>
      <c r="BO86" s="1093"/>
      <c r="BP86" s="1093"/>
      <c r="BQ86" s="1093"/>
      <c r="BR86" s="1093"/>
      <c r="BS86" s="1093"/>
      <c r="BT86" s="1093"/>
      <c r="BU86" s="1093"/>
      <c r="BV86" s="1093"/>
      <c r="BW86" s="1093"/>
      <c r="BX86" s="1185"/>
      <c r="BY86" s="1185"/>
      <c r="BZ86" s="1185"/>
      <c r="CA86" s="1185"/>
      <c r="CB86" s="1185"/>
      <c r="CC86" s="1185"/>
      <c r="CD86" s="1185"/>
      <c r="CE86" s="1185"/>
      <c r="CF86" s="1185"/>
      <c r="CG86" s="1185"/>
      <c r="CH86" s="1185"/>
      <c r="CI86" s="1185"/>
      <c r="CJ86" s="1185"/>
      <c r="CK86" s="1185"/>
      <c r="CL86" s="1185"/>
      <c r="CM86" s="1185"/>
      <c r="CN86" s="1185"/>
      <c r="CO86" s="1185"/>
      <c r="CP86" s="1185"/>
      <c r="CQ86" s="1185"/>
      <c r="CR86" s="1185"/>
      <c r="CS86" s="1185"/>
      <c r="CT86" s="1185"/>
      <c r="CU86" s="1185"/>
      <c r="CV86" s="1185"/>
      <c r="CW86" s="1185"/>
      <c r="CX86" s="1185"/>
      <c r="CY86" s="1185"/>
      <c r="CZ86" s="1185"/>
      <c r="DA86" s="1185"/>
      <c r="DB86" s="1185"/>
      <c r="DC86" s="1185"/>
      <c r="DD86" s="1185"/>
      <c r="DE86" s="1185"/>
      <c r="DF86" s="1185"/>
      <c r="DG86" s="1185"/>
      <c r="DH86" s="1185"/>
      <c r="DI86" s="1185"/>
      <c r="DJ86" s="1185"/>
      <c r="DK86" s="1185"/>
      <c r="DL86" s="1185"/>
      <c r="DM86" s="1185"/>
      <c r="DN86" s="1185"/>
      <c r="DO86" s="1185"/>
      <c r="DP86" s="1185"/>
      <c r="DQ86" s="1185"/>
      <c r="DR86" s="1185"/>
      <c r="DS86" s="1185"/>
      <c r="DT86" s="1185"/>
      <c r="DU86" s="1185"/>
      <c r="DV86" s="1185"/>
      <c r="DW86" s="1185"/>
      <c r="DX86" s="1185"/>
      <c r="DY86" s="1185"/>
      <c r="DZ86" s="1185"/>
      <c r="EA86" s="1185"/>
      <c r="EB86" s="1185"/>
      <c r="EC86" s="1185"/>
      <c r="ED86" s="1185"/>
      <c r="EE86" s="1185"/>
      <c r="EF86" s="1185"/>
      <c r="EG86" s="1185">
        <f>38.2+2</f>
        <v>40.200000000000003</v>
      </c>
      <c r="EH86" s="1185"/>
      <c r="EI86" s="1185"/>
      <c r="EJ86" s="1185"/>
      <c r="EK86" s="1185"/>
      <c r="EL86" s="1185"/>
      <c r="EM86" s="1185"/>
      <c r="EN86" s="1185"/>
      <c r="EO86" s="1093"/>
      <c r="EP86" s="1093"/>
      <c r="EQ86" s="1093"/>
      <c r="ER86" s="1093"/>
      <c r="ES86" s="1093"/>
      <c r="ET86" s="1093"/>
      <c r="EU86" s="1093"/>
      <c r="EV86" s="1093"/>
      <c r="EW86" s="1093"/>
      <c r="EX86" s="1093"/>
      <c r="EY86" s="1093"/>
      <c r="EZ86" s="1093"/>
      <c r="FA86" s="1093"/>
      <c r="FB86" s="1093"/>
      <c r="FC86" s="1093"/>
      <c r="FD86" s="1093"/>
      <c r="FE86" s="1093"/>
      <c r="FF86" s="1093"/>
      <c r="FG86" s="1093"/>
      <c r="FH86" s="1093"/>
      <c r="FI86" s="1093"/>
      <c r="FJ86" s="1093"/>
      <c r="FK86" s="1093"/>
      <c r="FL86" s="1093"/>
      <c r="FM86" s="1093"/>
      <c r="FN86" s="1093"/>
      <c r="FO86" s="1093"/>
      <c r="FP86" s="1093"/>
      <c r="FQ86" s="1093"/>
      <c r="FR86" s="1093"/>
      <c r="FS86" s="1093"/>
      <c r="FT86" s="1093"/>
      <c r="FU86" s="1093"/>
      <c r="FV86" s="1093"/>
      <c r="FW86" s="1093"/>
      <c r="FX86" s="1093"/>
      <c r="FY86" s="1093"/>
      <c r="FZ86" s="1093"/>
      <c r="GA86" s="1093"/>
      <c r="GB86" s="1046"/>
    </row>
    <row r="87" spans="1:193" s="1007" customFormat="1" ht="24.95" hidden="1" customHeight="1">
      <c r="A87" s="1007">
        <v>25</v>
      </c>
      <c r="B87" s="1062">
        <f t="shared" si="4"/>
        <v>23</v>
      </c>
      <c r="C87" s="1072"/>
      <c r="D87" s="1051" t="s">
        <v>1931</v>
      </c>
      <c r="E87" s="1073" t="s">
        <v>2191</v>
      </c>
      <c r="F87" s="1052" t="s">
        <v>2192</v>
      </c>
      <c r="G87" s="1053" t="s">
        <v>814</v>
      </c>
      <c r="H87" s="1046">
        <f t="shared" si="9"/>
        <v>0</v>
      </c>
      <c r="I87" s="1088">
        <v>7.5</v>
      </c>
      <c r="J87" s="1046">
        <f t="shared" si="5"/>
        <v>0</v>
      </c>
      <c r="K87" s="1069"/>
      <c r="L87" s="1185"/>
      <c r="M87" s="1185"/>
      <c r="N87" s="1185"/>
      <c r="O87" s="1093"/>
      <c r="P87" s="1093"/>
      <c r="Q87" s="1093"/>
      <c r="R87" s="1093"/>
      <c r="S87" s="1093"/>
      <c r="T87" s="1093"/>
      <c r="U87" s="1185"/>
      <c r="V87" s="1093"/>
      <c r="W87" s="1093"/>
      <c r="X87" s="1093"/>
      <c r="Y87" s="1093"/>
      <c r="Z87" s="1093"/>
      <c r="AA87" s="1093"/>
      <c r="AB87" s="1093"/>
      <c r="AC87" s="1093"/>
      <c r="AD87" s="1093"/>
      <c r="AE87" s="1093"/>
      <c r="AF87" s="1093"/>
      <c r="AG87" s="1093"/>
      <c r="AH87" s="1093"/>
      <c r="AI87" s="1093"/>
      <c r="AJ87" s="1093"/>
      <c r="AK87" s="1093"/>
      <c r="AL87" s="1093"/>
      <c r="AM87" s="1093"/>
      <c r="AN87" s="1093"/>
      <c r="AO87" s="1093"/>
      <c r="AP87" s="1093"/>
      <c r="AQ87" s="1093"/>
      <c r="AR87" s="1093"/>
      <c r="AS87" s="1093"/>
      <c r="AT87" s="1093"/>
      <c r="AU87" s="1093"/>
      <c r="AV87" s="1093"/>
      <c r="AW87" s="1093"/>
      <c r="AX87" s="1093"/>
      <c r="AY87" s="1093"/>
      <c r="AZ87" s="1093"/>
      <c r="BA87" s="1093"/>
      <c r="BB87" s="1093"/>
      <c r="BC87" s="1093"/>
      <c r="BD87" s="1093"/>
      <c r="BE87" s="1093"/>
      <c r="BF87" s="1093"/>
      <c r="BG87" s="1093"/>
      <c r="BH87" s="1093"/>
      <c r="BI87" s="1093"/>
      <c r="BJ87" s="1093"/>
      <c r="BK87" s="1093"/>
      <c r="BL87" s="1093"/>
      <c r="BM87" s="1093"/>
      <c r="BN87" s="1093"/>
      <c r="BO87" s="1093"/>
      <c r="BP87" s="1093"/>
      <c r="BQ87" s="1093"/>
      <c r="BR87" s="1093"/>
      <c r="BS87" s="1093"/>
      <c r="BT87" s="1093"/>
      <c r="BU87" s="1093"/>
      <c r="BV87" s="1093"/>
      <c r="BW87" s="1093"/>
      <c r="BX87" s="1185"/>
      <c r="BY87" s="1185"/>
      <c r="BZ87" s="1185"/>
      <c r="CA87" s="1185"/>
      <c r="CB87" s="1185"/>
      <c r="CC87" s="1185"/>
      <c r="CD87" s="1185"/>
      <c r="CE87" s="1185"/>
      <c r="CF87" s="1185"/>
      <c r="CG87" s="1185"/>
      <c r="CH87" s="1185"/>
      <c r="CI87" s="1185"/>
      <c r="CJ87" s="1185"/>
      <c r="CK87" s="1185"/>
      <c r="CL87" s="1185"/>
      <c r="CM87" s="1185"/>
      <c r="CN87" s="1185"/>
      <c r="CO87" s="1185"/>
      <c r="CP87" s="1185"/>
      <c r="CQ87" s="1185"/>
      <c r="CR87" s="1185"/>
      <c r="CS87" s="1185"/>
      <c r="CT87" s="1185"/>
      <c r="CU87" s="1185"/>
      <c r="CV87" s="1185"/>
      <c r="CW87" s="1185"/>
      <c r="CX87" s="1185"/>
      <c r="CY87" s="1185"/>
      <c r="CZ87" s="1185"/>
      <c r="DA87" s="1185"/>
      <c r="DB87" s="1185"/>
      <c r="DC87" s="1185"/>
      <c r="DD87" s="1185"/>
      <c r="DE87" s="1185"/>
      <c r="DF87" s="1185"/>
      <c r="DG87" s="1185"/>
      <c r="DH87" s="1185"/>
      <c r="DI87" s="1185"/>
      <c r="DJ87" s="1185"/>
      <c r="DK87" s="1185"/>
      <c r="DL87" s="1185"/>
      <c r="DM87" s="1185"/>
      <c r="DN87" s="1185"/>
      <c r="DO87" s="1185"/>
      <c r="DP87" s="1185"/>
      <c r="DQ87" s="1185"/>
      <c r="DR87" s="1185"/>
      <c r="DS87" s="1185"/>
      <c r="DT87" s="1185"/>
      <c r="DU87" s="1185"/>
      <c r="DV87" s="1185"/>
      <c r="DW87" s="1185"/>
      <c r="DX87" s="1185"/>
      <c r="DY87" s="1185"/>
      <c r="DZ87" s="1185"/>
      <c r="EA87" s="1185"/>
      <c r="EB87" s="1185"/>
      <c r="EC87" s="1185"/>
      <c r="ED87" s="1185"/>
      <c r="EE87" s="1185"/>
      <c r="EF87" s="1185"/>
      <c r="EG87" s="1185"/>
      <c r="EH87" s="1185"/>
      <c r="EI87" s="1185"/>
      <c r="EJ87" s="1185"/>
      <c r="EK87" s="1185"/>
      <c r="EL87" s="1185"/>
      <c r="EM87" s="1185"/>
      <c r="EN87" s="1185"/>
      <c r="EO87" s="1093"/>
      <c r="EP87" s="1093"/>
      <c r="EQ87" s="1093"/>
      <c r="ER87" s="1093"/>
      <c r="ES87" s="1093"/>
      <c r="ET87" s="1093"/>
      <c r="EU87" s="1093"/>
      <c r="EV87" s="1093"/>
      <c r="EW87" s="1093"/>
      <c r="EX87" s="1093"/>
      <c r="EY87" s="1093"/>
      <c r="EZ87" s="1093"/>
      <c r="FA87" s="1093"/>
      <c r="FB87" s="1093"/>
      <c r="FC87" s="1093"/>
      <c r="FD87" s="1093"/>
      <c r="FE87" s="1093"/>
      <c r="FF87" s="1093"/>
      <c r="FG87" s="1093"/>
      <c r="FH87" s="1093"/>
      <c r="FI87" s="1093"/>
      <c r="FJ87" s="1093"/>
      <c r="FK87" s="1093"/>
      <c r="FL87" s="1093"/>
      <c r="FM87" s="1093"/>
      <c r="FN87" s="1093"/>
      <c r="FO87" s="1093"/>
      <c r="FP87" s="1093"/>
      <c r="FQ87" s="1093"/>
      <c r="FR87" s="1093"/>
      <c r="FS87" s="1093"/>
      <c r="FT87" s="1093"/>
      <c r="FU87" s="1093"/>
      <c r="FV87" s="1093"/>
      <c r="FW87" s="1093"/>
      <c r="FX87" s="1093"/>
      <c r="FY87" s="1093"/>
      <c r="FZ87" s="1093"/>
      <c r="GA87" s="1093"/>
      <c r="GB87" s="1046"/>
    </row>
    <row r="88" spans="1:193" s="1007" customFormat="1" ht="24.95" customHeight="1">
      <c r="A88" s="1007">
        <v>26</v>
      </c>
      <c r="B88" s="1062">
        <f t="shared" si="4"/>
        <v>24</v>
      </c>
      <c r="C88" s="1072"/>
      <c r="D88" s="1051" t="s">
        <v>2193</v>
      </c>
      <c r="E88" s="1073" t="s">
        <v>2194</v>
      </c>
      <c r="F88" s="1052" t="s">
        <v>2195</v>
      </c>
      <c r="G88" s="1053" t="s">
        <v>814</v>
      </c>
      <c r="H88" s="1046">
        <f t="shared" si="9"/>
        <v>32</v>
      </c>
      <c r="I88" s="1088">
        <v>7.5</v>
      </c>
      <c r="J88" s="1046">
        <f t="shared" si="5"/>
        <v>30</v>
      </c>
      <c r="K88" s="1069"/>
      <c r="L88" s="1185"/>
      <c r="M88" s="1185"/>
      <c r="N88" s="1185"/>
      <c r="O88" s="1093"/>
      <c r="P88" s="1093"/>
      <c r="Q88" s="1093"/>
      <c r="R88" s="1093"/>
      <c r="S88" s="1093"/>
      <c r="T88" s="1093"/>
      <c r="U88" s="1185"/>
      <c r="V88" s="1093"/>
      <c r="W88" s="1093"/>
      <c r="X88" s="1093"/>
      <c r="Y88" s="1093"/>
      <c r="Z88" s="1093"/>
      <c r="AA88" s="1093"/>
      <c r="AB88" s="1093"/>
      <c r="AC88" s="1093"/>
      <c r="AD88" s="1093"/>
      <c r="AE88" s="1093"/>
      <c r="AF88" s="1093"/>
      <c r="AG88" s="1093"/>
      <c r="AH88" s="1093"/>
      <c r="AI88" s="1093"/>
      <c r="AJ88" s="1093"/>
      <c r="AK88" s="1093"/>
      <c r="AL88" s="1093"/>
      <c r="AM88" s="1093"/>
      <c r="AN88" s="1093"/>
      <c r="AO88" s="1093"/>
      <c r="AP88" s="1093"/>
      <c r="AQ88" s="1093"/>
      <c r="AR88" s="1093"/>
      <c r="AS88" s="1093"/>
      <c r="AT88" s="1093"/>
      <c r="AU88" s="1093"/>
      <c r="AV88" s="1093"/>
      <c r="AW88" s="1093"/>
      <c r="AX88" s="1093"/>
      <c r="AY88" s="1093"/>
      <c r="AZ88" s="1093"/>
      <c r="BA88" s="1093"/>
      <c r="BB88" s="1093"/>
      <c r="BC88" s="1093"/>
      <c r="BD88" s="1093"/>
      <c r="BE88" s="1093"/>
      <c r="BF88" s="1093"/>
      <c r="BG88" s="1093"/>
      <c r="BH88" s="1093"/>
      <c r="BI88" s="1093"/>
      <c r="BJ88" s="1093"/>
      <c r="BK88" s="1093"/>
      <c r="BL88" s="1093"/>
      <c r="BM88" s="1093"/>
      <c r="BN88" s="1093"/>
      <c r="BO88" s="1093"/>
      <c r="BP88" s="1093"/>
      <c r="BQ88" s="1093"/>
      <c r="BR88" s="1093"/>
      <c r="BS88" s="1093"/>
      <c r="BT88" s="1093"/>
      <c r="BU88" s="1093"/>
      <c r="BV88" s="1093"/>
      <c r="BW88" s="1093"/>
      <c r="BX88" s="1185"/>
      <c r="BY88" s="1185"/>
      <c r="BZ88" s="1185"/>
      <c r="CA88" s="1185"/>
      <c r="CB88" s="1185"/>
      <c r="CC88" s="1185"/>
      <c r="CD88" s="1185"/>
      <c r="CE88" s="1185"/>
      <c r="CF88" s="1185"/>
      <c r="CG88" s="1185"/>
      <c r="CH88" s="1185"/>
      <c r="CI88" s="1185"/>
      <c r="CJ88" s="1185"/>
      <c r="CK88" s="1185"/>
      <c r="CL88" s="1185"/>
      <c r="CM88" s="1185"/>
      <c r="CN88" s="1185"/>
      <c r="CO88" s="1185"/>
      <c r="CP88" s="1185"/>
      <c r="CQ88" s="1185"/>
      <c r="CR88" s="1185"/>
      <c r="CS88" s="1185"/>
      <c r="CT88" s="1185"/>
      <c r="CU88" s="1185"/>
      <c r="CV88" s="1185"/>
      <c r="CW88" s="1185"/>
      <c r="CX88" s="1185"/>
      <c r="CY88" s="1185"/>
      <c r="CZ88" s="1185"/>
      <c r="DA88" s="1185"/>
      <c r="DB88" s="1185"/>
      <c r="DC88" s="1185"/>
      <c r="DD88" s="1185"/>
      <c r="DE88" s="1185"/>
      <c r="DF88" s="1185"/>
      <c r="DG88" s="1185"/>
      <c r="DH88" s="1185"/>
      <c r="DI88" s="1185"/>
      <c r="DJ88" s="1185"/>
      <c r="DK88" s="1185"/>
      <c r="DL88" s="1185"/>
      <c r="DM88" s="1185"/>
      <c r="DN88" s="1185"/>
      <c r="DO88" s="1185"/>
      <c r="DP88" s="1185"/>
      <c r="DQ88" s="1185"/>
      <c r="DR88" s="1185"/>
      <c r="DS88" s="1185"/>
      <c r="DT88" s="1185"/>
      <c r="DU88" s="1185"/>
      <c r="DV88" s="1185"/>
      <c r="DW88" s="1185"/>
      <c r="DX88" s="1185"/>
      <c r="DY88" s="1185"/>
      <c r="DZ88" s="1185"/>
      <c r="EA88" s="1185"/>
      <c r="EB88" s="1185"/>
      <c r="EC88" s="1185"/>
      <c r="ED88" s="1185"/>
      <c r="EE88" s="1185"/>
      <c r="EF88" s="1185"/>
      <c r="EG88" s="1185"/>
      <c r="EH88" s="1185"/>
      <c r="EI88" s="1185"/>
      <c r="EJ88" s="1185"/>
      <c r="EK88" s="1185"/>
      <c r="EL88" s="1185"/>
      <c r="EM88" s="1185"/>
      <c r="EN88" s="1185">
        <f>6*5</f>
        <v>30</v>
      </c>
      <c r="EO88" s="1093"/>
      <c r="EP88" s="1093"/>
      <c r="EQ88" s="1093"/>
      <c r="ER88" s="1093"/>
      <c r="ES88" s="1093"/>
      <c r="ET88" s="1093"/>
      <c r="EU88" s="1093"/>
      <c r="EV88" s="1093"/>
      <c r="EW88" s="1093"/>
      <c r="EX88" s="1093"/>
      <c r="EY88" s="1093"/>
      <c r="EZ88" s="1093"/>
      <c r="FA88" s="1093"/>
      <c r="FB88" s="1093"/>
      <c r="FC88" s="1093"/>
      <c r="FD88" s="1093"/>
      <c r="FE88" s="1093"/>
      <c r="FF88" s="1093"/>
      <c r="FG88" s="1093"/>
      <c r="FH88" s="1093"/>
      <c r="FI88" s="1093"/>
      <c r="FJ88" s="1093"/>
      <c r="FK88" s="1093"/>
      <c r="FL88" s="1093"/>
      <c r="FM88" s="1093"/>
      <c r="FN88" s="1093"/>
      <c r="FO88" s="1093"/>
      <c r="FP88" s="1093"/>
      <c r="FQ88" s="1093"/>
      <c r="FR88" s="1093"/>
      <c r="FS88" s="1093"/>
      <c r="FT88" s="1093"/>
      <c r="FU88" s="1093"/>
      <c r="FV88" s="1093"/>
      <c r="FW88" s="1093"/>
      <c r="FX88" s="1093"/>
      <c r="FY88" s="1093"/>
      <c r="FZ88" s="1093"/>
      <c r="GA88" s="1093"/>
      <c r="GB88" s="1046"/>
    </row>
    <row r="89" spans="1:193" s="1007" customFormat="1" ht="24.95" customHeight="1">
      <c r="A89" s="1007">
        <v>28</v>
      </c>
      <c r="B89" s="1062">
        <f>B92+1</f>
        <v>26</v>
      </c>
      <c r="C89" s="1072"/>
      <c r="D89" s="1051" t="s">
        <v>2196</v>
      </c>
      <c r="E89" s="1073" t="s">
        <v>2197</v>
      </c>
      <c r="F89" s="1052" t="s">
        <v>2198</v>
      </c>
      <c r="G89" s="1053" t="s">
        <v>814</v>
      </c>
      <c r="H89" s="1046">
        <f>ROUNDUP(J89+INT(J89*I89/100),1)</f>
        <v>5726.2</v>
      </c>
      <c r="I89" s="1088">
        <v>7.5</v>
      </c>
      <c r="J89" s="1046">
        <f>ROUNDUP(SUM(K89:GA89),1)</f>
        <v>5327.2</v>
      </c>
      <c r="K89" s="1069"/>
      <c r="L89" s="1187">
        <f>(L81)+L92</f>
        <v>3</v>
      </c>
      <c r="M89" s="1187">
        <f>(M81)+M92</f>
        <v>8.5</v>
      </c>
      <c r="N89" s="1187">
        <f>N81+N92</f>
        <v>11.9</v>
      </c>
      <c r="O89" s="1187">
        <f>O81+O92</f>
        <v>22.9</v>
      </c>
      <c r="P89" s="1187">
        <f>P81+P92</f>
        <v>26.9</v>
      </c>
      <c r="Q89" s="1187">
        <f>Q81+Q92</f>
        <v>16.2</v>
      </c>
      <c r="R89" s="1187">
        <f>R81+R92</f>
        <v>22.9</v>
      </c>
      <c r="S89" s="1187">
        <f t="shared" ref="S89:Y89" si="11">S81+S92</f>
        <v>30.2</v>
      </c>
      <c r="T89" s="1187">
        <f t="shared" si="11"/>
        <v>28.7</v>
      </c>
      <c r="U89" s="1187">
        <f t="shared" si="11"/>
        <v>31.7</v>
      </c>
      <c r="V89" s="1187">
        <f t="shared" si="11"/>
        <v>49.2</v>
      </c>
      <c r="W89" s="1187">
        <f t="shared" si="11"/>
        <v>51.2</v>
      </c>
      <c r="X89" s="1187">
        <f t="shared" si="11"/>
        <v>28.2</v>
      </c>
      <c r="Y89" s="1187">
        <f t="shared" si="11"/>
        <v>30.7</v>
      </c>
      <c r="Z89" s="1187">
        <f>(Z81)+Z92</f>
        <v>48.7</v>
      </c>
      <c r="AA89" s="1187">
        <f t="shared" ref="AA89:BX89" si="12">(AA81)+AA92</f>
        <v>51.2</v>
      </c>
      <c r="AB89" s="1187">
        <f t="shared" si="12"/>
        <v>28.2</v>
      </c>
      <c r="AC89" s="1187">
        <f t="shared" si="12"/>
        <v>40.200000000000003</v>
      </c>
      <c r="AD89" s="1187">
        <f t="shared" si="12"/>
        <v>52.2</v>
      </c>
      <c r="AE89" s="1187">
        <f t="shared" si="12"/>
        <v>8.9</v>
      </c>
      <c r="AF89" s="1187">
        <f t="shared" si="12"/>
        <v>14.9</v>
      </c>
      <c r="AG89" s="1187">
        <f t="shared" si="12"/>
        <v>31.9</v>
      </c>
      <c r="AH89" s="1187">
        <f t="shared" si="12"/>
        <v>15.9</v>
      </c>
      <c r="AI89" s="1187">
        <f t="shared" si="12"/>
        <v>23.9</v>
      </c>
      <c r="AJ89" s="1187">
        <f t="shared" si="12"/>
        <v>44.4</v>
      </c>
      <c r="AK89" s="1187">
        <f t="shared" si="12"/>
        <v>44.2</v>
      </c>
      <c r="AL89" s="1187">
        <f t="shared" si="12"/>
        <v>77.2</v>
      </c>
      <c r="AM89" s="1187">
        <f t="shared" si="12"/>
        <v>35.200000000000003</v>
      </c>
      <c r="AN89" s="1187">
        <f t="shared" si="12"/>
        <v>37.200000000000003</v>
      </c>
      <c r="AO89" s="1187">
        <f t="shared" si="12"/>
        <v>40.200000000000003</v>
      </c>
      <c r="AP89" s="1187">
        <f t="shared" si="12"/>
        <v>38.200000000000003</v>
      </c>
      <c r="AQ89" s="1187">
        <f t="shared" si="12"/>
        <v>33.200000000000003</v>
      </c>
      <c r="AR89" s="1187">
        <f t="shared" si="12"/>
        <v>35.200000000000003</v>
      </c>
      <c r="AS89" s="1187">
        <f t="shared" si="12"/>
        <v>83.2</v>
      </c>
      <c r="AT89" s="1187">
        <f t="shared" si="12"/>
        <v>15.2</v>
      </c>
      <c r="AU89" s="1187">
        <f t="shared" si="12"/>
        <v>28.2</v>
      </c>
      <c r="AV89" s="1187">
        <f t="shared" si="12"/>
        <v>76.2</v>
      </c>
      <c r="AW89" s="1187">
        <f t="shared" si="12"/>
        <v>12.9</v>
      </c>
      <c r="AX89" s="1187">
        <f t="shared" si="12"/>
        <v>12.9</v>
      </c>
      <c r="AY89" s="1187">
        <f t="shared" si="12"/>
        <v>34.9</v>
      </c>
      <c r="AZ89" s="1187">
        <f t="shared" si="12"/>
        <v>69.900000000000006</v>
      </c>
      <c r="BA89" s="1187">
        <f t="shared" si="12"/>
        <v>12.9</v>
      </c>
      <c r="BB89" s="1187">
        <f t="shared" si="12"/>
        <v>36.9</v>
      </c>
      <c r="BC89" s="1187">
        <f t="shared" si="12"/>
        <v>76.900000000000006</v>
      </c>
      <c r="BD89" s="1187">
        <f t="shared" si="12"/>
        <v>38.200000000000003</v>
      </c>
      <c r="BE89" s="1187">
        <f t="shared" si="12"/>
        <v>56.2</v>
      </c>
      <c r="BF89" s="1187">
        <f t="shared" si="12"/>
        <v>100.2</v>
      </c>
      <c r="BG89" s="1187">
        <f t="shared" si="12"/>
        <v>43.2</v>
      </c>
      <c r="BH89" s="1187">
        <f t="shared" si="12"/>
        <v>87.2</v>
      </c>
      <c r="BI89" s="1187">
        <f t="shared" si="12"/>
        <v>44.2</v>
      </c>
      <c r="BJ89" s="1187">
        <f t="shared" si="12"/>
        <v>94.2</v>
      </c>
      <c r="BK89" s="1187">
        <f t="shared" si="12"/>
        <v>27.2</v>
      </c>
      <c r="BL89" s="1187">
        <f t="shared" si="12"/>
        <v>74.2</v>
      </c>
      <c r="BM89" s="1187">
        <f t="shared" si="12"/>
        <v>9.9</v>
      </c>
      <c r="BN89" s="1187">
        <f t="shared" si="12"/>
        <v>29.9</v>
      </c>
      <c r="BO89" s="1187">
        <f t="shared" si="12"/>
        <v>43.9</v>
      </c>
      <c r="BP89" s="1187">
        <f t="shared" si="12"/>
        <v>16.899999999999999</v>
      </c>
      <c r="BQ89" s="1187">
        <f t="shared" si="12"/>
        <v>36.9</v>
      </c>
      <c r="BR89" s="1187">
        <f t="shared" si="12"/>
        <v>13.9</v>
      </c>
      <c r="BS89" s="1187">
        <f t="shared" si="12"/>
        <v>30.9</v>
      </c>
      <c r="BT89" s="1187">
        <f t="shared" si="12"/>
        <v>44.2</v>
      </c>
      <c r="BU89" s="1187">
        <f t="shared" si="12"/>
        <v>77.2</v>
      </c>
      <c r="BV89" s="1187">
        <f t="shared" si="12"/>
        <v>45.2</v>
      </c>
      <c r="BW89" s="1187">
        <f t="shared" si="12"/>
        <v>31.2</v>
      </c>
      <c r="BX89" s="1187">
        <f t="shared" si="12"/>
        <v>38.200000000000003</v>
      </c>
      <c r="BY89" s="1187">
        <f t="shared" ref="BY89:EC89" si="13">(BY81)+BY92</f>
        <v>40.200000000000003</v>
      </c>
      <c r="BZ89" s="1187">
        <f t="shared" si="13"/>
        <v>46.2</v>
      </c>
      <c r="CA89" s="1187">
        <f t="shared" si="13"/>
        <v>94.2</v>
      </c>
      <c r="CB89" s="1187">
        <f t="shared" si="13"/>
        <v>31.2</v>
      </c>
      <c r="CC89" s="1187">
        <f t="shared" si="13"/>
        <v>16.2</v>
      </c>
      <c r="CD89" s="1187">
        <f t="shared" si="13"/>
        <v>29.2</v>
      </c>
      <c r="CE89" s="1187">
        <f t="shared" si="13"/>
        <v>76.2</v>
      </c>
      <c r="CF89" s="1187">
        <f t="shared" si="13"/>
        <v>8.9</v>
      </c>
      <c r="CG89" s="1187">
        <f t="shared" ref="CG89:CI89" si="14">(CG81)+CG92</f>
        <v>11.9</v>
      </c>
      <c r="CH89" s="1187">
        <f t="shared" si="14"/>
        <v>33.200000000000003</v>
      </c>
      <c r="CI89" s="1187">
        <f t="shared" si="14"/>
        <v>68.2</v>
      </c>
      <c r="CJ89" s="1187">
        <f t="shared" ref="CJ89:CO89" si="15">(CJ81)+CJ92</f>
        <v>66.2</v>
      </c>
      <c r="CK89" s="1187">
        <f t="shared" si="15"/>
        <v>116.2</v>
      </c>
      <c r="CL89" s="1187">
        <f t="shared" si="15"/>
        <v>105.2</v>
      </c>
      <c r="CM89" s="1187">
        <f t="shared" si="15"/>
        <v>66.2</v>
      </c>
      <c r="CN89" s="1187">
        <f t="shared" si="15"/>
        <v>69.2</v>
      </c>
      <c r="CO89" s="1187">
        <f t="shared" si="15"/>
        <v>67.2</v>
      </c>
      <c r="CP89" s="1187">
        <f t="shared" ref="CP89:DA89" si="16">(CP81)+CP92</f>
        <v>34.200000000000003</v>
      </c>
      <c r="CQ89" s="1187">
        <f t="shared" si="16"/>
        <v>23.7</v>
      </c>
      <c r="CR89" s="1187">
        <f t="shared" si="16"/>
        <v>8.9</v>
      </c>
      <c r="CS89" s="1187">
        <f t="shared" si="16"/>
        <v>11.9</v>
      </c>
      <c r="CT89" s="1187">
        <f t="shared" si="16"/>
        <v>14.1</v>
      </c>
      <c r="CU89" s="1187">
        <f t="shared" si="16"/>
        <v>32.200000000000003</v>
      </c>
      <c r="CV89" s="1187">
        <f t="shared" si="16"/>
        <v>71.2</v>
      </c>
      <c r="CW89" s="1187">
        <f t="shared" si="16"/>
        <v>67.2</v>
      </c>
      <c r="CX89" s="1187">
        <f t="shared" si="16"/>
        <v>69.2</v>
      </c>
      <c r="CY89" s="1187">
        <f t="shared" si="16"/>
        <v>114.2</v>
      </c>
      <c r="CZ89" s="1187">
        <f t="shared" si="16"/>
        <v>103.2</v>
      </c>
      <c r="DA89" s="1187">
        <f t="shared" si="16"/>
        <v>68.2</v>
      </c>
      <c r="DB89" s="1187">
        <f t="shared" ref="DB89:DM89" si="17">(DB81)+DB92</f>
        <v>34.200000000000003</v>
      </c>
      <c r="DC89" s="1187">
        <f t="shared" si="17"/>
        <v>24.2</v>
      </c>
      <c r="DD89" s="1187">
        <f t="shared" si="17"/>
        <v>62.2</v>
      </c>
      <c r="DE89" s="1187">
        <f t="shared" si="17"/>
        <v>8.9</v>
      </c>
      <c r="DF89" s="1187">
        <f t="shared" si="17"/>
        <v>13.8</v>
      </c>
      <c r="DG89" s="1187">
        <f t="shared" si="17"/>
        <v>19.8</v>
      </c>
      <c r="DH89" s="1187">
        <f t="shared" si="17"/>
        <v>17.5</v>
      </c>
      <c r="DI89" s="1187">
        <f t="shared" si="17"/>
        <v>22.5</v>
      </c>
      <c r="DJ89" s="1187">
        <f t="shared" si="17"/>
        <v>25.5</v>
      </c>
      <c r="DK89" s="1187">
        <f t="shared" si="17"/>
        <v>30.5</v>
      </c>
      <c r="DL89" s="1187">
        <f t="shared" si="17"/>
        <v>35.5</v>
      </c>
      <c r="DM89" s="1187">
        <f t="shared" si="17"/>
        <v>17.5</v>
      </c>
      <c r="DN89" s="1187">
        <f t="shared" ref="DN89:DV89" si="18">(DN81)+DN92</f>
        <v>22.5</v>
      </c>
      <c r="DO89" s="1187">
        <f t="shared" si="18"/>
        <v>25.5</v>
      </c>
      <c r="DP89" s="1187">
        <f t="shared" si="18"/>
        <v>30.5</v>
      </c>
      <c r="DQ89" s="1187">
        <f t="shared" si="18"/>
        <v>35.5</v>
      </c>
      <c r="DR89" s="1187">
        <f t="shared" si="18"/>
        <v>11.5</v>
      </c>
      <c r="DS89" s="1187">
        <f t="shared" si="18"/>
        <v>18.5</v>
      </c>
      <c r="DT89" s="1187">
        <f t="shared" si="18"/>
        <v>22.5</v>
      </c>
      <c r="DU89" s="1187">
        <f t="shared" si="18"/>
        <v>28.5</v>
      </c>
      <c r="DV89" s="1187">
        <f t="shared" si="18"/>
        <v>35.5</v>
      </c>
      <c r="DW89" s="1187">
        <f>(DW81)+DW92</f>
        <v>132</v>
      </c>
      <c r="DX89" s="1187">
        <f>(DX81)+DX92</f>
        <v>113</v>
      </c>
      <c r="DY89" s="1187">
        <f t="shared" ref="DY89" si="19">(DY81)+DY92</f>
        <v>8.6999999999999993</v>
      </c>
      <c r="DZ89" s="1187">
        <f t="shared" ref="DZ89" si="20">(DZ81)+DZ92</f>
        <v>8.6999999999999993</v>
      </c>
      <c r="EA89" s="1187">
        <f t="shared" si="13"/>
        <v>8.6999999999999993</v>
      </c>
      <c r="EB89" s="1187">
        <f t="shared" si="13"/>
        <v>8.6999999999999993</v>
      </c>
      <c r="EC89" s="1187">
        <f t="shared" si="13"/>
        <v>8.6999999999999993</v>
      </c>
      <c r="ED89" s="1187">
        <f t="shared" ref="ED89" si="21">(ED81)+ED92</f>
        <v>8.6999999999999993</v>
      </c>
      <c r="EE89" s="1187">
        <f t="shared" ref="EE89:EF89" si="22">(EE81)+EE92</f>
        <v>8.6999999999999993</v>
      </c>
      <c r="EF89" s="1187">
        <f t="shared" si="22"/>
        <v>8.6999999999999993</v>
      </c>
      <c r="EG89" s="1185">
        <f>(5.2+2)+(11.2+2)</f>
        <v>20.399999999999999</v>
      </c>
      <c r="EH89" s="1185">
        <f>(9.2+1.2)*2+(92.6+1.2)*2</f>
        <v>208.39999999999998</v>
      </c>
      <c r="EI89" s="1185">
        <f>(9.2+1.2)*2</f>
        <v>20.799999999999997</v>
      </c>
      <c r="EJ89" s="1185">
        <f>(9.2+1.2)*2+(15.2+1.2)*2</f>
        <v>53.599999999999994</v>
      </c>
      <c r="EK89" s="1185">
        <f>(10.2+1.2)*2</f>
        <v>22.799999999999997</v>
      </c>
      <c r="EL89" s="1185">
        <f>(10.2+1.2)*2</f>
        <v>22.799999999999997</v>
      </c>
      <c r="EM89" s="1185">
        <f>(1.6+15+1.6+1.2)*2</f>
        <v>38.800000000000004</v>
      </c>
      <c r="EN89" s="1185"/>
      <c r="EO89" s="1093"/>
      <c r="EP89" s="1093"/>
      <c r="EQ89" s="1093"/>
      <c r="ER89" s="1093"/>
      <c r="ES89" s="1093"/>
      <c r="ET89" s="1093"/>
      <c r="EU89" s="1093"/>
      <c r="EV89" s="1093"/>
      <c r="EW89" s="1093"/>
      <c r="EX89" s="1093"/>
      <c r="EY89" s="1093"/>
      <c r="EZ89" s="1093"/>
      <c r="FA89" s="1093"/>
      <c r="FB89" s="1093"/>
      <c r="FC89" s="1093"/>
      <c r="FD89" s="1093"/>
      <c r="FE89" s="1093"/>
      <c r="FF89" s="1093"/>
      <c r="FG89" s="1093"/>
      <c r="FH89" s="1093"/>
      <c r="FI89" s="1093"/>
      <c r="FJ89" s="1093"/>
      <c r="FK89" s="1093"/>
      <c r="FL89" s="1093"/>
      <c r="FM89" s="1093"/>
      <c r="FN89" s="1093"/>
      <c r="FO89" s="1093"/>
      <c r="FP89" s="1093"/>
      <c r="FQ89" s="1093"/>
      <c r="FR89" s="1093"/>
      <c r="FS89" s="1093"/>
      <c r="FT89" s="1093"/>
      <c r="FU89" s="1093"/>
      <c r="FV89" s="1093"/>
      <c r="FW89" s="1093"/>
      <c r="FX89" s="1093"/>
      <c r="FY89" s="1093"/>
      <c r="FZ89" s="1093"/>
      <c r="GA89" s="1093">
        <v>12</v>
      </c>
      <c r="GB89" s="1046"/>
    </row>
    <row r="90" spans="1:193" s="1007" customFormat="1" ht="24.95" hidden="1" customHeight="1">
      <c r="B90" s="1062"/>
      <c r="C90" s="1072"/>
      <c r="D90" s="1051" t="s">
        <v>2199</v>
      </c>
      <c r="E90" s="1073" t="s">
        <v>2200</v>
      </c>
      <c r="F90" s="1052"/>
      <c r="G90" s="1053" t="s">
        <v>814</v>
      </c>
      <c r="H90" s="1046">
        <f t="shared" si="9"/>
        <v>0</v>
      </c>
      <c r="I90" s="1088">
        <v>7.5</v>
      </c>
      <c r="J90" s="1046">
        <f t="shared" si="5"/>
        <v>0</v>
      </c>
      <c r="K90" s="1069"/>
      <c r="L90" s="1188"/>
      <c r="M90" s="1188"/>
      <c r="N90" s="1188"/>
      <c r="O90" s="1188"/>
      <c r="P90" s="1188"/>
      <c r="Q90" s="1188"/>
      <c r="R90" s="1188"/>
      <c r="S90" s="1188"/>
      <c r="T90" s="1188"/>
      <c r="U90" s="1188"/>
      <c r="V90" s="1188"/>
      <c r="W90" s="1188"/>
      <c r="X90" s="1188"/>
      <c r="Y90" s="1188"/>
      <c r="Z90" s="1188"/>
      <c r="AA90" s="1188"/>
      <c r="AB90" s="1188"/>
      <c r="AC90" s="1188"/>
      <c r="AD90" s="1188"/>
      <c r="AE90" s="1093"/>
      <c r="AF90" s="1093"/>
      <c r="AG90" s="1185"/>
      <c r="AH90" s="1185"/>
      <c r="AI90" s="1185"/>
      <c r="AJ90" s="1185"/>
      <c r="AK90" s="1185"/>
      <c r="AL90" s="1185"/>
      <c r="AM90" s="1185"/>
      <c r="AN90" s="1185"/>
      <c r="AO90" s="1185"/>
      <c r="AP90" s="1185"/>
      <c r="AQ90" s="1185"/>
      <c r="AR90" s="1185"/>
      <c r="AS90" s="1185"/>
      <c r="AT90" s="1185"/>
      <c r="AU90" s="1185"/>
      <c r="AV90" s="1185"/>
      <c r="AW90" s="1185"/>
      <c r="AX90" s="1185"/>
      <c r="AY90" s="1185"/>
      <c r="AZ90" s="1185"/>
      <c r="BA90" s="1185"/>
      <c r="BB90" s="1185"/>
      <c r="BC90" s="1185"/>
      <c r="BD90" s="1185"/>
      <c r="BE90" s="1185"/>
      <c r="BF90" s="1185"/>
      <c r="BG90" s="1185"/>
      <c r="BH90" s="1185"/>
      <c r="BI90" s="1185"/>
      <c r="BJ90" s="1185"/>
      <c r="BK90" s="1185"/>
      <c r="BL90" s="1185"/>
      <c r="BM90" s="1185"/>
      <c r="BN90" s="1185"/>
      <c r="BO90" s="1185"/>
      <c r="BP90" s="1185"/>
      <c r="BQ90" s="1185"/>
      <c r="BR90" s="1185"/>
      <c r="BS90" s="1185"/>
      <c r="BT90" s="1185"/>
      <c r="BU90" s="1185"/>
      <c r="BV90" s="1185"/>
      <c r="BW90" s="1185"/>
      <c r="BX90" s="1185"/>
      <c r="BY90" s="1185"/>
      <c r="BZ90" s="1185"/>
      <c r="CA90" s="1185"/>
      <c r="CB90" s="1185"/>
      <c r="CC90" s="1185"/>
      <c r="CD90" s="1185"/>
      <c r="CE90" s="1185"/>
      <c r="CF90" s="1185"/>
      <c r="CG90" s="1185"/>
      <c r="CH90" s="1185"/>
      <c r="CI90" s="1185"/>
      <c r="CJ90" s="1185"/>
      <c r="CK90" s="1185"/>
      <c r="CL90" s="1185"/>
      <c r="CM90" s="1185"/>
      <c r="CN90" s="1185"/>
      <c r="CO90" s="1185"/>
      <c r="CP90" s="1185"/>
      <c r="CQ90" s="1185"/>
      <c r="CR90" s="1185"/>
      <c r="CS90" s="1185"/>
      <c r="CT90" s="1185"/>
      <c r="CU90" s="1185"/>
      <c r="CV90" s="1185"/>
      <c r="CW90" s="1185"/>
      <c r="CX90" s="1185"/>
      <c r="CY90" s="1185"/>
      <c r="CZ90" s="1185"/>
      <c r="DA90" s="1185"/>
      <c r="DB90" s="1185"/>
      <c r="DC90" s="1185"/>
      <c r="DD90" s="1185"/>
      <c r="DE90" s="1185"/>
      <c r="DF90" s="1185"/>
      <c r="DG90" s="1185"/>
      <c r="DH90" s="1185"/>
      <c r="DI90" s="1185"/>
      <c r="DJ90" s="1185"/>
      <c r="DK90" s="1185"/>
      <c r="DL90" s="1185"/>
      <c r="DM90" s="1185"/>
      <c r="DN90" s="1185"/>
      <c r="DO90" s="1185"/>
      <c r="DP90" s="1185"/>
      <c r="DQ90" s="1185"/>
      <c r="DR90" s="1185"/>
      <c r="DS90" s="1185"/>
      <c r="DT90" s="1185"/>
      <c r="DU90" s="1185"/>
      <c r="DV90" s="1185"/>
      <c r="DW90" s="1185"/>
      <c r="DX90" s="1185"/>
      <c r="DY90" s="1185"/>
      <c r="DZ90" s="1185"/>
      <c r="EA90" s="1185"/>
      <c r="EB90" s="1185"/>
      <c r="EC90" s="1185"/>
      <c r="ED90" s="1185"/>
      <c r="EE90" s="1185"/>
      <c r="EF90" s="1185"/>
      <c r="EG90" s="1185"/>
      <c r="EH90" s="1185"/>
      <c r="EI90" s="1185"/>
      <c r="EJ90" s="1185"/>
      <c r="EK90" s="1185"/>
      <c r="EL90" s="1185"/>
      <c r="EM90" s="1185"/>
      <c r="EN90" s="1185"/>
      <c r="EO90" s="1093"/>
      <c r="EP90" s="1093"/>
      <c r="EQ90" s="1093"/>
      <c r="ER90" s="1093"/>
      <c r="ES90" s="1093"/>
      <c r="ET90" s="1093"/>
      <c r="EU90" s="1093"/>
      <c r="EV90" s="1093"/>
      <c r="EW90" s="1093"/>
      <c r="EX90" s="1093"/>
      <c r="EY90" s="1093"/>
      <c r="EZ90" s="1093"/>
      <c r="FA90" s="1093"/>
      <c r="FB90" s="1093"/>
      <c r="FC90" s="1093"/>
      <c r="FD90" s="1093"/>
      <c r="FE90" s="1093"/>
      <c r="FF90" s="1093"/>
      <c r="FG90" s="1093"/>
      <c r="FH90" s="1093"/>
      <c r="FI90" s="1093"/>
      <c r="FJ90" s="1093"/>
      <c r="FK90" s="1093"/>
      <c r="FL90" s="1093"/>
      <c r="FM90" s="1093"/>
      <c r="FN90" s="1093"/>
      <c r="FO90" s="1093"/>
      <c r="FP90" s="1093"/>
      <c r="FQ90" s="1093"/>
      <c r="FR90" s="1093"/>
      <c r="FS90" s="1093"/>
      <c r="FT90" s="1093"/>
      <c r="FU90" s="1093"/>
      <c r="FV90" s="1093"/>
      <c r="FW90" s="1093"/>
      <c r="FX90" s="1093"/>
      <c r="FY90" s="1093"/>
      <c r="FZ90" s="1093"/>
      <c r="GA90" s="1093"/>
      <c r="GB90" s="1046"/>
    </row>
    <row r="91" spans="1:193" s="1007" customFormat="1" ht="24.95" hidden="1" customHeight="1">
      <c r="B91" s="1062"/>
      <c r="C91" s="1072"/>
      <c r="D91" s="1051" t="s">
        <v>2199</v>
      </c>
      <c r="E91" s="1073" t="s">
        <v>2201</v>
      </c>
      <c r="F91" s="1052"/>
      <c r="G91" s="1053" t="s">
        <v>814</v>
      </c>
      <c r="H91" s="1046">
        <f t="shared" si="9"/>
        <v>0</v>
      </c>
      <c r="I91" s="1088">
        <v>7.5</v>
      </c>
      <c r="J91" s="1046">
        <f t="shared" si="5"/>
        <v>0</v>
      </c>
      <c r="L91" s="1175"/>
      <c r="M91" s="1175"/>
      <c r="N91" s="1175"/>
      <c r="O91" s="1175"/>
      <c r="P91" s="1175"/>
      <c r="Q91" s="1175"/>
      <c r="R91" s="1175"/>
      <c r="S91" s="1175"/>
      <c r="T91" s="1175"/>
      <c r="U91" s="1175"/>
      <c r="V91" s="1175"/>
      <c r="W91" s="1175"/>
      <c r="X91" s="1175"/>
      <c r="Y91" s="1175"/>
      <c r="Z91" s="1175"/>
      <c r="AA91" s="1175"/>
      <c r="AB91" s="1175"/>
      <c r="AC91" s="1175"/>
      <c r="AD91" s="1175"/>
      <c r="AE91" s="1175"/>
      <c r="AF91" s="1175"/>
      <c r="AG91" s="1175"/>
      <c r="AH91" s="1175"/>
      <c r="AI91" s="1175"/>
      <c r="AJ91" s="1175"/>
      <c r="AK91" s="1175"/>
      <c r="AL91" s="1175"/>
      <c r="AM91" s="1175"/>
      <c r="AN91" s="1175"/>
      <c r="AO91" s="1175"/>
      <c r="AP91" s="1175"/>
      <c r="AQ91" s="1175"/>
      <c r="AR91" s="1175"/>
      <c r="AS91" s="1175"/>
      <c r="AT91" s="1175"/>
      <c r="AU91" s="1175"/>
      <c r="AV91" s="1175"/>
      <c r="AW91" s="1175"/>
      <c r="AX91" s="1175"/>
      <c r="AY91" s="1175"/>
      <c r="AZ91" s="1175"/>
      <c r="BA91" s="1175"/>
      <c r="BB91" s="1175"/>
      <c r="BC91" s="1175"/>
      <c r="BD91" s="1175"/>
      <c r="BE91" s="1175"/>
      <c r="BF91" s="1175"/>
      <c r="BG91" s="1175"/>
      <c r="BH91" s="1175"/>
      <c r="BI91" s="1175"/>
      <c r="BJ91" s="1175"/>
      <c r="BK91" s="1175"/>
      <c r="BL91" s="1175"/>
      <c r="BM91" s="1175"/>
      <c r="BN91" s="1175"/>
      <c r="BO91" s="1175"/>
      <c r="BP91" s="1175"/>
      <c r="BQ91" s="1175"/>
      <c r="BR91" s="1175"/>
      <c r="BS91" s="1175"/>
      <c r="BT91" s="1175"/>
      <c r="BU91" s="1175"/>
      <c r="BV91" s="1175"/>
      <c r="BW91" s="1175"/>
      <c r="BX91" s="1175"/>
      <c r="BY91" s="1175"/>
      <c r="BZ91" s="1175"/>
      <c r="CA91" s="1175"/>
      <c r="CB91" s="1175"/>
      <c r="CC91" s="1175"/>
      <c r="CD91" s="1175"/>
      <c r="CE91" s="1175"/>
      <c r="CF91" s="1175"/>
      <c r="CG91" s="1175"/>
      <c r="CH91" s="1175"/>
      <c r="CI91" s="1175"/>
      <c r="CJ91" s="1175"/>
      <c r="CK91" s="1175"/>
      <c r="CL91" s="1175"/>
      <c r="CM91" s="1175"/>
      <c r="CN91" s="1175"/>
      <c r="CO91" s="1175"/>
      <c r="CP91" s="1175"/>
      <c r="CQ91" s="1175"/>
      <c r="CR91" s="1175"/>
      <c r="CS91" s="1175"/>
      <c r="CT91" s="1175"/>
      <c r="CU91" s="1175"/>
      <c r="CV91" s="1175"/>
      <c r="CW91" s="1175"/>
      <c r="CX91" s="1175"/>
      <c r="CY91" s="1175"/>
      <c r="CZ91" s="1175"/>
      <c r="DA91" s="1175"/>
      <c r="DB91" s="1175"/>
      <c r="DC91" s="1175"/>
      <c r="DD91" s="1175"/>
      <c r="DE91" s="1175"/>
      <c r="DF91" s="1175"/>
      <c r="DG91" s="1175"/>
      <c r="DH91" s="1175"/>
      <c r="DI91" s="1175"/>
      <c r="DJ91" s="1175"/>
      <c r="DK91" s="1175"/>
      <c r="DL91" s="1175"/>
      <c r="DM91" s="1175"/>
      <c r="DN91" s="1175"/>
      <c r="DO91" s="1175"/>
      <c r="DP91" s="1175"/>
      <c r="DQ91" s="1175"/>
      <c r="DR91" s="1175"/>
      <c r="DS91" s="1175"/>
      <c r="DT91" s="1175"/>
      <c r="DU91" s="1175"/>
      <c r="DV91" s="1175"/>
      <c r="DW91" s="1175"/>
      <c r="DX91" s="1175"/>
      <c r="DY91" s="1175"/>
      <c r="DZ91" s="1175"/>
      <c r="EA91" s="1175"/>
      <c r="EB91" s="1175"/>
      <c r="EC91" s="1175"/>
      <c r="ED91" s="1175"/>
      <c r="EE91" s="1175"/>
      <c r="EF91" s="1175"/>
      <c r="EG91" s="1175"/>
      <c r="EH91" s="1175"/>
      <c r="EI91" s="1175"/>
      <c r="EJ91" s="1175"/>
      <c r="EK91" s="1175"/>
      <c r="EL91" s="1175"/>
      <c r="EM91" s="1175"/>
      <c r="EN91" s="1175"/>
      <c r="EO91" s="1175"/>
      <c r="EP91" s="1175"/>
      <c r="EQ91" s="1175"/>
      <c r="ER91" s="1175"/>
      <c r="ES91" s="1175"/>
      <c r="ET91" s="1175"/>
      <c r="EU91" s="1175"/>
      <c r="EV91" s="1175"/>
      <c r="EW91" s="1175"/>
      <c r="EX91" s="1175"/>
      <c r="EY91" s="1175"/>
      <c r="EZ91" s="1175"/>
      <c r="FA91" s="1175"/>
      <c r="FB91" s="1175"/>
      <c r="FC91" s="1175"/>
      <c r="FD91" s="1175"/>
      <c r="FE91" s="1175"/>
      <c r="FF91" s="1175"/>
      <c r="FG91" s="1175"/>
      <c r="FH91" s="1175"/>
      <c r="FI91" s="1175"/>
      <c r="FJ91" s="1175"/>
      <c r="FK91" s="1175"/>
      <c r="FL91" s="1175"/>
      <c r="FM91" s="1175"/>
      <c r="FN91" s="1175"/>
      <c r="FO91" s="1175"/>
      <c r="FP91" s="1175"/>
      <c r="FQ91" s="1175"/>
      <c r="FR91" s="1175"/>
      <c r="FS91" s="1175"/>
      <c r="FT91" s="1175"/>
      <c r="FU91" s="1175"/>
      <c r="FV91" s="1175"/>
      <c r="FW91" s="1175"/>
      <c r="FX91" s="1175"/>
      <c r="FY91" s="1175"/>
      <c r="FZ91" s="1175"/>
      <c r="GA91" s="1175"/>
      <c r="GB91" s="1046"/>
    </row>
    <row r="92" spans="1:193" s="1007" customFormat="1" ht="24.95" customHeight="1">
      <c r="A92" s="1007">
        <v>27</v>
      </c>
      <c r="B92" s="1062">
        <f>B88+1</f>
        <v>25</v>
      </c>
      <c r="C92" s="1072"/>
      <c r="D92" s="1051" t="s">
        <v>2199</v>
      </c>
      <c r="E92" s="1073" t="s">
        <v>2202</v>
      </c>
      <c r="F92" s="1052" t="s">
        <v>2878</v>
      </c>
      <c r="G92" s="1053" t="s">
        <v>814</v>
      </c>
      <c r="H92" s="1046">
        <f t="shared" si="9"/>
        <v>1414.9</v>
      </c>
      <c r="I92" s="1088">
        <v>7.5</v>
      </c>
      <c r="J92" s="1046">
        <f t="shared" si="5"/>
        <v>1316.9</v>
      </c>
      <c r="K92" s="1069"/>
      <c r="L92" s="1185">
        <v>2</v>
      </c>
      <c r="M92" s="1185">
        <v>6.5</v>
      </c>
      <c r="N92" s="1185">
        <v>1.5</v>
      </c>
      <c r="O92" s="1185">
        <v>1.5</v>
      </c>
      <c r="P92" s="1185">
        <v>1.5</v>
      </c>
      <c r="Q92" s="1185">
        <v>8.8000000000000007</v>
      </c>
      <c r="R92" s="1185">
        <v>8.8000000000000007</v>
      </c>
      <c r="S92" s="1185">
        <v>8.8000000000000007</v>
      </c>
      <c r="T92" s="1185">
        <v>8.8000000000000007</v>
      </c>
      <c r="U92" s="1185">
        <v>8.8000000000000007</v>
      </c>
      <c r="V92" s="1185">
        <v>8.8000000000000007</v>
      </c>
      <c r="W92" s="1185">
        <v>8.8000000000000007</v>
      </c>
      <c r="X92" s="1185">
        <v>8.8000000000000007</v>
      </c>
      <c r="Y92" s="1185">
        <v>8.8000000000000007</v>
      </c>
      <c r="Z92" s="1185">
        <v>8.8000000000000007</v>
      </c>
      <c r="AA92" s="1185">
        <v>8.8000000000000007</v>
      </c>
      <c r="AB92" s="1185">
        <v>8.8000000000000007</v>
      </c>
      <c r="AC92" s="1185">
        <v>8.8000000000000007</v>
      </c>
      <c r="AD92" s="1185">
        <v>8.8000000000000007</v>
      </c>
      <c r="AE92" s="1185">
        <v>1.5</v>
      </c>
      <c r="AF92" s="1185">
        <v>1.5</v>
      </c>
      <c r="AG92" s="1185">
        <v>1.5</v>
      </c>
      <c r="AH92" s="1185">
        <v>1.5</v>
      </c>
      <c r="AI92" s="1185">
        <v>1.5</v>
      </c>
      <c r="AJ92" s="1185">
        <v>1.5</v>
      </c>
      <c r="AK92" s="1185">
        <v>8.8000000000000007</v>
      </c>
      <c r="AL92" s="1185">
        <v>8.8000000000000007</v>
      </c>
      <c r="AM92" s="1185">
        <v>8.8000000000000007</v>
      </c>
      <c r="AN92" s="1185">
        <v>8.8000000000000007</v>
      </c>
      <c r="AO92" s="1185">
        <v>8.8000000000000007</v>
      </c>
      <c r="AP92" s="1185">
        <v>8.8000000000000007</v>
      </c>
      <c r="AQ92" s="1185">
        <v>8.8000000000000007</v>
      </c>
      <c r="AR92" s="1185">
        <v>8.8000000000000007</v>
      </c>
      <c r="AS92" s="1185">
        <v>8.8000000000000007</v>
      </c>
      <c r="AT92" s="1185">
        <v>8.8000000000000007</v>
      </c>
      <c r="AU92" s="1185">
        <v>8.8000000000000007</v>
      </c>
      <c r="AV92" s="1185">
        <v>8.8000000000000007</v>
      </c>
      <c r="AW92" s="1185">
        <v>1.5</v>
      </c>
      <c r="AX92" s="1185">
        <v>1.5</v>
      </c>
      <c r="AY92" s="1185">
        <v>1.5</v>
      </c>
      <c r="AZ92" s="1185">
        <v>1.5</v>
      </c>
      <c r="BA92" s="1185">
        <v>6.8</v>
      </c>
      <c r="BB92" s="1185">
        <v>6.8</v>
      </c>
      <c r="BC92" s="1185">
        <v>6.8</v>
      </c>
      <c r="BD92" s="1185">
        <v>1.5</v>
      </c>
      <c r="BE92" s="1185">
        <v>8.8000000000000007</v>
      </c>
      <c r="BF92" s="1185">
        <v>8.8000000000000007</v>
      </c>
      <c r="BG92" s="1185">
        <v>8.8000000000000007</v>
      </c>
      <c r="BH92" s="1185">
        <v>8.8000000000000007</v>
      </c>
      <c r="BI92" s="1185">
        <v>8.8000000000000007</v>
      </c>
      <c r="BJ92" s="1185">
        <v>8.8000000000000007</v>
      </c>
      <c r="BK92" s="1185">
        <v>8.8000000000000007</v>
      </c>
      <c r="BL92" s="1185">
        <v>8.8000000000000007</v>
      </c>
      <c r="BM92" s="1185">
        <v>1.5</v>
      </c>
      <c r="BN92" s="1185">
        <v>1.5</v>
      </c>
      <c r="BO92" s="1185">
        <v>1.5</v>
      </c>
      <c r="BP92" s="1185">
        <v>1.5</v>
      </c>
      <c r="BQ92" s="1185">
        <v>1.5</v>
      </c>
      <c r="BR92" s="1185">
        <v>1.5</v>
      </c>
      <c r="BS92" s="1185">
        <v>1.5</v>
      </c>
      <c r="BT92" s="1185">
        <v>8.8000000000000007</v>
      </c>
      <c r="BU92" s="1185">
        <v>8.8000000000000007</v>
      </c>
      <c r="BV92" s="1185">
        <v>8.8000000000000007</v>
      </c>
      <c r="BW92" s="1185">
        <v>8.8000000000000007</v>
      </c>
      <c r="BX92" s="1185">
        <v>8.8000000000000007</v>
      </c>
      <c r="BY92" s="1185">
        <v>8.8000000000000007</v>
      </c>
      <c r="BZ92" s="1185">
        <v>8.8000000000000007</v>
      </c>
      <c r="CA92" s="1185">
        <v>8.8000000000000007</v>
      </c>
      <c r="CB92" s="1185">
        <v>8.8000000000000007</v>
      </c>
      <c r="CC92" s="1185">
        <v>8.8000000000000007</v>
      </c>
      <c r="CD92" s="1185">
        <v>8.8000000000000007</v>
      </c>
      <c r="CE92" s="1185">
        <v>8.8000000000000007</v>
      </c>
      <c r="CF92" s="1185">
        <v>1.5</v>
      </c>
      <c r="CG92" s="1185">
        <v>1.5</v>
      </c>
      <c r="CH92" s="1185">
        <v>16.8</v>
      </c>
      <c r="CI92" s="1185">
        <v>16.8</v>
      </c>
      <c r="CJ92" s="1185">
        <v>16.8</v>
      </c>
      <c r="CK92" s="1185">
        <v>17.8</v>
      </c>
      <c r="CL92" s="1185">
        <v>17.8</v>
      </c>
      <c r="CM92" s="1185">
        <v>17.8</v>
      </c>
      <c r="CN92" s="1185">
        <v>17.8</v>
      </c>
      <c r="CO92" s="1185">
        <v>17.8</v>
      </c>
      <c r="CP92" s="1185">
        <v>17.8</v>
      </c>
      <c r="CQ92" s="1185">
        <v>17.8</v>
      </c>
      <c r="CR92" s="1185">
        <v>1.5</v>
      </c>
      <c r="CS92" s="1185">
        <v>1.5</v>
      </c>
      <c r="CT92" s="1185">
        <v>1</v>
      </c>
      <c r="CU92" s="1185">
        <v>16.8</v>
      </c>
      <c r="CV92" s="1185">
        <v>16.8</v>
      </c>
      <c r="CW92" s="1185">
        <v>17.8</v>
      </c>
      <c r="CX92" s="1185">
        <v>17.8</v>
      </c>
      <c r="CY92" s="1185">
        <v>17.8</v>
      </c>
      <c r="CZ92" s="1185">
        <v>17.8</v>
      </c>
      <c r="DA92" s="1185">
        <v>16.8</v>
      </c>
      <c r="DB92" s="1185">
        <v>17.8</v>
      </c>
      <c r="DC92" s="1185">
        <v>17.8</v>
      </c>
      <c r="DD92" s="1185">
        <v>17.8</v>
      </c>
      <c r="DE92" s="1185">
        <v>1.5</v>
      </c>
      <c r="DF92" s="1185">
        <v>1.5</v>
      </c>
      <c r="DG92" s="1185">
        <v>1.5</v>
      </c>
      <c r="DH92" s="1185">
        <v>1.5</v>
      </c>
      <c r="DI92" s="1185">
        <v>1.5</v>
      </c>
      <c r="DJ92" s="1185">
        <v>1.5</v>
      </c>
      <c r="DK92" s="1185">
        <v>1.5</v>
      </c>
      <c r="DL92" s="1185">
        <v>1.5</v>
      </c>
      <c r="DM92" s="1185">
        <v>1.5</v>
      </c>
      <c r="DN92" s="1185">
        <v>1.5</v>
      </c>
      <c r="DO92" s="1185">
        <v>1.5</v>
      </c>
      <c r="DP92" s="1185">
        <v>1.5</v>
      </c>
      <c r="DQ92" s="1185">
        <v>1.5</v>
      </c>
      <c r="DR92" s="1185">
        <v>1.5</v>
      </c>
      <c r="DS92" s="1185">
        <v>1.5</v>
      </c>
      <c r="DT92" s="1185">
        <v>1.5</v>
      </c>
      <c r="DU92" s="1185">
        <v>1.5</v>
      </c>
      <c r="DV92" s="1185">
        <v>1.5</v>
      </c>
      <c r="DW92" s="1185">
        <f>(2.5+12+27)*2+43</f>
        <v>126</v>
      </c>
      <c r="DX92" s="1185">
        <f>(2.5+14+19)*2+35</f>
        <v>106</v>
      </c>
      <c r="DY92" s="1185">
        <v>3.6</v>
      </c>
      <c r="DZ92" s="1185">
        <v>3.6</v>
      </c>
      <c r="EA92" s="1185">
        <v>3.6</v>
      </c>
      <c r="EB92" s="1185">
        <v>3.6</v>
      </c>
      <c r="EC92" s="1185">
        <v>3.6</v>
      </c>
      <c r="ED92" s="1185">
        <v>3.6</v>
      </c>
      <c r="EE92" s="1185">
        <v>3.6</v>
      </c>
      <c r="EF92" s="1185">
        <v>3.6</v>
      </c>
      <c r="EG92" s="1185">
        <f>28.5+2</f>
        <v>30.5</v>
      </c>
      <c r="EH92" s="1185">
        <f>(2.2+3+1.6)*2+(1.3+3+1.6)*2+0.8*2</f>
        <v>27.000000000000004</v>
      </c>
      <c r="EI92" s="1185">
        <f>(2.2+3+1.6)*2+(1+3.3+1.6)*2+0.8*2</f>
        <v>27.000000000000004</v>
      </c>
      <c r="EJ92" s="1185">
        <f>(2.2+3+1.6)*2+(1.3+3+1.6)*2+2*2</f>
        <v>29.400000000000002</v>
      </c>
      <c r="EK92" s="1185">
        <f>(2.2+3+1.6)*2+(1.3+3+1.6)*2+0.8*2</f>
        <v>27.000000000000004</v>
      </c>
      <c r="EL92" s="1185">
        <f>(2.2+3+1.6)*2+(1.3+3+1.6)*2+0.8*2</f>
        <v>27.000000000000004</v>
      </c>
      <c r="EM92" s="1185">
        <f>(2.2+3+1.6)*2+(1.3+3+1.6)*2+0.8*2</f>
        <v>27.000000000000004</v>
      </c>
      <c r="EN92" s="1185"/>
      <c r="EO92" s="1093"/>
      <c r="EP92" s="1093"/>
      <c r="EQ92" s="1093"/>
      <c r="ER92" s="1093"/>
      <c r="ES92" s="1093"/>
      <c r="ET92" s="1093"/>
      <c r="EU92" s="1093"/>
      <c r="EV92" s="1093"/>
      <c r="EW92" s="1093"/>
      <c r="EX92" s="1093"/>
      <c r="EY92" s="1093"/>
      <c r="EZ92" s="1093"/>
      <c r="FA92" s="1093"/>
      <c r="FB92" s="1093"/>
      <c r="FC92" s="1093"/>
      <c r="FD92" s="1093"/>
      <c r="FE92" s="1093"/>
      <c r="FF92" s="1093"/>
      <c r="FG92" s="1093"/>
      <c r="FH92" s="1093"/>
      <c r="FI92" s="1093"/>
      <c r="FJ92" s="1093"/>
      <c r="FK92" s="1093"/>
      <c r="FL92" s="1093"/>
      <c r="FM92" s="1093"/>
      <c r="FN92" s="1093"/>
      <c r="FO92" s="1093"/>
      <c r="FP92" s="1093"/>
      <c r="FQ92" s="1093"/>
      <c r="FR92" s="1093"/>
      <c r="FS92" s="1093"/>
      <c r="FT92" s="1093"/>
      <c r="FU92" s="1093"/>
      <c r="FV92" s="1093"/>
      <c r="FW92" s="1093"/>
      <c r="FX92" s="1093"/>
      <c r="FY92" s="1093"/>
      <c r="FZ92" s="1093"/>
      <c r="GA92" s="1093">
        <v>12</v>
      </c>
      <c r="GB92" s="1175"/>
    </row>
    <row r="93" spans="1:193" s="1007" customFormat="1" ht="24.95" customHeight="1">
      <c r="A93" s="1007">
        <v>29</v>
      </c>
      <c r="B93" s="1062">
        <f>B89+1</f>
        <v>27</v>
      </c>
      <c r="C93" s="1072"/>
      <c r="D93" s="1051" t="s">
        <v>1382</v>
      </c>
      <c r="E93" s="1073" t="s">
        <v>2203</v>
      </c>
      <c r="F93" s="1052" t="s">
        <v>2204</v>
      </c>
      <c r="G93" s="1053" t="s">
        <v>814</v>
      </c>
      <c r="H93" s="1046">
        <f t="shared" si="9"/>
        <v>136.5</v>
      </c>
      <c r="I93" s="1088">
        <v>7.5</v>
      </c>
      <c r="J93" s="1046">
        <f>ROUNDUP(SUM(K93:GA93),1)</f>
        <v>127.5</v>
      </c>
      <c r="K93" s="1069"/>
      <c r="L93" s="1069"/>
      <c r="M93" s="1069"/>
      <c r="N93" s="1070"/>
      <c r="O93" s="1070"/>
      <c r="P93" s="1070"/>
      <c r="Q93" s="1070"/>
      <c r="R93" s="1070"/>
      <c r="S93" s="1070"/>
      <c r="T93" s="1070"/>
      <c r="U93" s="1069"/>
      <c r="V93" s="1070"/>
      <c r="W93" s="1070"/>
      <c r="X93" s="1070"/>
      <c r="Y93" s="1070"/>
      <c r="Z93" s="1070"/>
      <c r="AA93" s="1070"/>
      <c r="AB93" s="1070"/>
      <c r="AC93" s="1070"/>
      <c r="AD93" s="1070"/>
      <c r="AE93" s="1070"/>
      <c r="AF93" s="1074"/>
      <c r="AG93" s="1074"/>
      <c r="AH93" s="1074"/>
      <c r="AI93" s="1074"/>
      <c r="AJ93" s="1074"/>
      <c r="AK93" s="1074"/>
      <c r="AL93" s="1074"/>
      <c r="AM93" s="1074"/>
      <c r="AN93" s="1074"/>
      <c r="AO93" s="1074"/>
      <c r="AP93" s="1074"/>
      <c r="AQ93" s="1074"/>
      <c r="AR93" s="1074"/>
      <c r="AS93" s="1074"/>
      <c r="AT93" s="1074"/>
      <c r="AU93" s="1074"/>
      <c r="AV93" s="1074"/>
      <c r="AW93" s="1074"/>
      <c r="AX93" s="1074"/>
      <c r="AY93" s="1074"/>
      <c r="AZ93" s="1074"/>
      <c r="BA93" s="1074"/>
      <c r="BB93" s="1074"/>
      <c r="BC93" s="1074"/>
      <c r="BD93" s="1074"/>
      <c r="BE93" s="1074"/>
      <c r="BF93" s="1074"/>
      <c r="BG93" s="1074"/>
      <c r="BH93" s="1074"/>
      <c r="BI93" s="1074"/>
      <c r="BJ93" s="1074"/>
      <c r="BK93" s="1074"/>
      <c r="BL93" s="1074"/>
      <c r="BM93" s="1074"/>
      <c r="BN93" s="1074"/>
      <c r="BO93" s="1074"/>
      <c r="BP93" s="1074"/>
      <c r="BQ93" s="1074"/>
      <c r="BR93" s="1184"/>
      <c r="BS93" s="1184"/>
      <c r="BT93" s="1184"/>
      <c r="BU93" s="1184"/>
      <c r="BV93" s="1184"/>
      <c r="BW93" s="1184"/>
      <c r="BX93" s="1184"/>
      <c r="BY93" s="1184"/>
      <c r="BZ93" s="1184"/>
      <c r="CA93" s="1184"/>
      <c r="CB93" s="1184"/>
      <c r="CC93" s="1184"/>
      <c r="CD93" s="1184"/>
      <c r="CE93" s="1184"/>
      <c r="CF93" s="1184"/>
      <c r="CG93" s="1184"/>
      <c r="CH93" s="1184"/>
      <c r="CI93" s="1184"/>
      <c r="CJ93" s="1184"/>
      <c r="CK93" s="1184"/>
      <c r="CL93" s="1184"/>
      <c r="CM93" s="1184"/>
      <c r="CN93" s="1184"/>
      <c r="CO93" s="1184"/>
      <c r="CP93" s="1184"/>
      <c r="CQ93" s="1184"/>
      <c r="CR93" s="1184"/>
      <c r="CS93" s="1184"/>
      <c r="CT93" s="1184"/>
      <c r="CU93" s="1184"/>
      <c r="CV93" s="1184"/>
      <c r="CW93" s="1184"/>
      <c r="CX93" s="1184"/>
      <c r="CY93" s="1184"/>
      <c r="CZ93" s="1184"/>
      <c r="DA93" s="1184"/>
      <c r="DB93" s="1184"/>
      <c r="DC93" s="1184"/>
      <c r="DD93" s="1184"/>
      <c r="DE93" s="1184"/>
      <c r="DF93" s="1184"/>
      <c r="DG93" s="1184"/>
      <c r="DH93" s="1184"/>
      <c r="DI93" s="1184"/>
      <c r="DJ93" s="1184"/>
      <c r="DK93" s="1184"/>
      <c r="DL93" s="1184"/>
      <c r="DM93" s="1184"/>
      <c r="DN93" s="1184"/>
      <c r="DO93" s="1184"/>
      <c r="DP93" s="1184"/>
      <c r="DQ93" s="1184"/>
      <c r="DR93" s="1184"/>
      <c r="DS93" s="1184"/>
      <c r="DT93" s="1184"/>
      <c r="DU93" s="1184"/>
      <c r="DV93" s="1184"/>
      <c r="DW93" s="1184"/>
      <c r="DX93" s="1184"/>
      <c r="DY93" s="1184"/>
      <c r="DZ93" s="1184"/>
      <c r="EA93" s="1184"/>
      <c r="EB93" s="1184"/>
      <c r="EC93" s="1184"/>
      <c r="ED93" s="1184"/>
      <c r="EE93" s="1184"/>
      <c r="EF93" s="1184"/>
      <c r="EG93" s="1069"/>
      <c r="EH93" s="1069">
        <f>EH81</f>
        <v>93.8</v>
      </c>
      <c r="EI93" s="1069">
        <f t="shared" ref="EI93:EM93" si="23">EI81</f>
        <v>17.3</v>
      </c>
      <c r="EJ93" s="1069">
        <f t="shared" si="23"/>
        <v>16.399999999999999</v>
      </c>
      <c r="EK93" s="1069">
        <f t="shared" si="23"/>
        <v>0</v>
      </c>
      <c r="EL93" s="1069">
        <f t="shared" si="23"/>
        <v>0</v>
      </c>
      <c r="EM93" s="1069">
        <f t="shared" si="23"/>
        <v>0</v>
      </c>
      <c r="EN93" s="1069"/>
      <c r="EO93" s="1070"/>
      <c r="EP93" s="1070"/>
      <c r="EQ93" s="1070"/>
      <c r="ER93" s="1070"/>
      <c r="ES93" s="1070"/>
      <c r="ET93" s="1070"/>
      <c r="EU93" s="1070"/>
      <c r="EV93" s="1070"/>
      <c r="EW93" s="1070"/>
      <c r="EX93" s="1070"/>
      <c r="EY93" s="1070"/>
      <c r="EZ93" s="1070"/>
      <c r="FA93" s="1070"/>
      <c r="FB93" s="1070"/>
      <c r="FC93" s="1070"/>
      <c r="FD93" s="1070"/>
      <c r="FE93" s="1070"/>
      <c r="FF93" s="1070"/>
      <c r="FG93" s="1070"/>
      <c r="FH93" s="1070"/>
      <c r="FI93" s="1070"/>
      <c r="FJ93" s="1070"/>
      <c r="FK93" s="1070"/>
      <c r="FL93" s="1070"/>
      <c r="FM93" s="1070"/>
      <c r="FN93" s="1070"/>
      <c r="FO93" s="1070"/>
      <c r="FP93" s="1070"/>
      <c r="FQ93" s="1070"/>
      <c r="FR93" s="1070"/>
      <c r="FS93" s="1070"/>
      <c r="FT93" s="1070"/>
      <c r="FU93" s="1070"/>
      <c r="FV93" s="1070"/>
      <c r="FW93" s="1070"/>
      <c r="FX93" s="1070"/>
      <c r="FY93" s="1070"/>
      <c r="FZ93" s="1070"/>
      <c r="GA93" s="1070"/>
      <c r="GB93" s="1028"/>
    </row>
    <row r="94" spans="1:193" s="1007" customFormat="1" ht="24.95" hidden="1" customHeight="1">
      <c r="A94" s="1007">
        <v>30</v>
      </c>
      <c r="B94" s="1062">
        <f t="shared" si="4"/>
        <v>28</v>
      </c>
      <c r="C94" s="1072"/>
      <c r="D94" s="1051" t="s">
        <v>1382</v>
      </c>
      <c r="E94" s="1073" t="s">
        <v>2205</v>
      </c>
      <c r="F94" s="1052" t="s">
        <v>2206</v>
      </c>
      <c r="G94" s="1053" t="s">
        <v>814</v>
      </c>
      <c r="H94" s="1046">
        <f t="shared" si="9"/>
        <v>0</v>
      </c>
      <c r="I94" s="1088">
        <v>7.5</v>
      </c>
      <c r="J94" s="1046">
        <f t="shared" si="5"/>
        <v>0</v>
      </c>
      <c r="K94" s="1069"/>
      <c r="L94" s="1069"/>
      <c r="M94" s="1069"/>
      <c r="N94" s="1069"/>
      <c r="O94" s="1069"/>
      <c r="P94" s="1070"/>
      <c r="Q94" s="1070"/>
      <c r="R94" s="1070"/>
      <c r="S94" s="1070"/>
      <c r="T94" s="1070"/>
      <c r="U94" s="1070"/>
      <c r="V94" s="1070"/>
      <c r="W94" s="1070"/>
      <c r="X94" s="1070"/>
      <c r="Y94" s="1070"/>
      <c r="Z94" s="1070"/>
      <c r="AA94" s="1070"/>
      <c r="AB94" s="1070"/>
      <c r="AC94" s="1070"/>
      <c r="AD94" s="1070"/>
      <c r="AE94" s="1070"/>
      <c r="AF94" s="1074"/>
      <c r="AG94" s="1074"/>
      <c r="AH94" s="1074"/>
      <c r="AI94" s="1074"/>
      <c r="AJ94" s="1074"/>
      <c r="AK94" s="1074"/>
      <c r="AL94" s="1074"/>
      <c r="AM94" s="1074"/>
      <c r="AN94" s="1074"/>
      <c r="AO94" s="1074"/>
      <c r="AP94" s="1074"/>
      <c r="AQ94" s="1074"/>
      <c r="AR94" s="1074"/>
      <c r="AS94" s="1074"/>
      <c r="AT94" s="1074"/>
      <c r="AU94" s="1074"/>
      <c r="AV94" s="1074"/>
      <c r="AW94" s="1074"/>
      <c r="AX94" s="1074"/>
      <c r="AY94" s="1074"/>
      <c r="AZ94" s="1074"/>
      <c r="BA94" s="1074"/>
      <c r="BB94" s="1074"/>
      <c r="BC94" s="1074"/>
      <c r="BD94" s="1074"/>
      <c r="BE94" s="1074"/>
      <c r="BF94" s="1074"/>
      <c r="BG94" s="1074"/>
      <c r="BH94" s="1074"/>
      <c r="BI94" s="1074"/>
      <c r="BJ94" s="1074"/>
      <c r="BK94" s="1074"/>
      <c r="BL94" s="1074"/>
      <c r="BM94" s="1074"/>
      <c r="BN94" s="1074"/>
      <c r="BO94" s="1074"/>
      <c r="BP94" s="1074"/>
      <c r="BQ94" s="1074"/>
      <c r="BR94" s="1184"/>
      <c r="BS94" s="1184"/>
      <c r="BT94" s="1184"/>
      <c r="BU94" s="1184"/>
      <c r="BV94" s="1184"/>
      <c r="BW94" s="1184"/>
      <c r="BX94" s="1184"/>
      <c r="BY94" s="1184"/>
      <c r="BZ94" s="1184"/>
      <c r="CA94" s="1184"/>
      <c r="CB94" s="1184"/>
      <c r="CC94" s="1184"/>
      <c r="CD94" s="1184"/>
      <c r="CE94" s="1184"/>
      <c r="CF94" s="1184"/>
      <c r="CG94" s="1184"/>
      <c r="CH94" s="1184"/>
      <c r="CI94" s="1184"/>
      <c r="CJ94" s="1184"/>
      <c r="CK94" s="1184"/>
      <c r="CL94" s="1184"/>
      <c r="CM94" s="1184"/>
      <c r="CN94" s="1184"/>
      <c r="CO94" s="1184"/>
      <c r="CP94" s="1184"/>
      <c r="CQ94" s="1184"/>
      <c r="CR94" s="1184"/>
      <c r="CS94" s="1184"/>
      <c r="CT94" s="1184"/>
      <c r="CU94" s="1184"/>
      <c r="CV94" s="1184"/>
      <c r="CW94" s="1184"/>
      <c r="CX94" s="1184"/>
      <c r="CY94" s="1184"/>
      <c r="CZ94" s="1184"/>
      <c r="DA94" s="1184"/>
      <c r="DB94" s="1184"/>
      <c r="DC94" s="1184"/>
      <c r="DD94" s="1184"/>
      <c r="DE94" s="1184"/>
      <c r="DF94" s="1184"/>
      <c r="DG94" s="1184"/>
      <c r="DH94" s="1184"/>
      <c r="DI94" s="1184"/>
      <c r="DJ94" s="1184"/>
      <c r="DK94" s="1184"/>
      <c r="DL94" s="1184"/>
      <c r="DM94" s="1184"/>
      <c r="DN94" s="1184"/>
      <c r="DO94" s="1184"/>
      <c r="DP94" s="1184"/>
      <c r="DQ94" s="1184"/>
      <c r="DR94" s="1184"/>
      <c r="DS94" s="1184"/>
      <c r="DT94" s="1184"/>
      <c r="DU94" s="1184"/>
      <c r="DV94" s="1184"/>
      <c r="DW94" s="1184"/>
      <c r="DX94" s="1184"/>
      <c r="DY94" s="1184"/>
      <c r="DZ94" s="1184"/>
      <c r="EA94" s="1184"/>
      <c r="EB94" s="1184"/>
      <c r="EC94" s="1184"/>
      <c r="ED94" s="1184"/>
      <c r="EE94" s="1184"/>
      <c r="EF94" s="1184"/>
      <c r="EG94" s="1069"/>
      <c r="EH94" s="1069"/>
      <c r="EI94" s="1069"/>
      <c r="EJ94" s="1069"/>
      <c r="EK94" s="1069"/>
      <c r="EL94" s="1069"/>
      <c r="EM94" s="1069"/>
      <c r="EN94" s="1069"/>
      <c r="EO94" s="1070"/>
      <c r="EP94" s="1070"/>
      <c r="EQ94" s="1070"/>
      <c r="ER94" s="1070"/>
      <c r="ES94" s="1070"/>
      <c r="ET94" s="1070"/>
      <c r="EU94" s="1070"/>
      <c r="EV94" s="1070"/>
      <c r="EW94" s="1070"/>
      <c r="EX94" s="1070"/>
      <c r="EY94" s="1070"/>
      <c r="EZ94" s="1070"/>
      <c r="FA94" s="1070"/>
      <c r="FB94" s="1070"/>
      <c r="FC94" s="1070"/>
      <c r="FD94" s="1070"/>
      <c r="FE94" s="1070"/>
      <c r="FF94" s="1070"/>
      <c r="FG94" s="1070"/>
      <c r="FH94" s="1070"/>
      <c r="FI94" s="1070"/>
      <c r="FJ94" s="1070"/>
      <c r="FK94" s="1070"/>
      <c r="FL94" s="1070"/>
      <c r="FM94" s="1070"/>
      <c r="FN94" s="1070"/>
      <c r="FO94" s="1070"/>
      <c r="FP94" s="1070"/>
      <c r="FQ94" s="1070"/>
      <c r="FR94" s="1070"/>
      <c r="FS94" s="1070"/>
      <c r="FT94" s="1070"/>
      <c r="FU94" s="1070"/>
      <c r="FV94" s="1070"/>
      <c r="FW94" s="1070"/>
      <c r="FX94" s="1070"/>
      <c r="FY94" s="1070"/>
      <c r="FZ94" s="1070"/>
      <c r="GA94" s="1070"/>
      <c r="GB94" s="1028"/>
    </row>
    <row r="95" spans="1:193" s="1007" customFormat="1" ht="24.95" hidden="1" customHeight="1">
      <c r="A95" s="1007">
        <v>30</v>
      </c>
      <c r="B95" s="1062">
        <f t="shared" si="4"/>
        <v>29</v>
      </c>
      <c r="C95" s="1072"/>
      <c r="D95" s="1051" t="s">
        <v>1382</v>
      </c>
      <c r="E95" s="1073" t="s">
        <v>2207</v>
      </c>
      <c r="F95" s="1052" t="s">
        <v>2208</v>
      </c>
      <c r="G95" s="1053" t="s">
        <v>814</v>
      </c>
      <c r="H95" s="1046">
        <f t="shared" si="9"/>
        <v>0</v>
      </c>
      <c r="I95" s="1088">
        <v>7.5</v>
      </c>
      <c r="J95" s="1046">
        <f t="shared" si="5"/>
        <v>0</v>
      </c>
      <c r="K95" s="1069"/>
      <c r="L95" s="1069"/>
      <c r="M95" s="1069"/>
      <c r="N95" s="1070"/>
      <c r="O95" s="1070"/>
      <c r="P95" s="1070"/>
      <c r="Q95" s="1070"/>
      <c r="R95" s="1070"/>
      <c r="S95" s="1070"/>
      <c r="T95" s="1070"/>
      <c r="U95" s="1070"/>
      <c r="V95" s="1070"/>
      <c r="W95" s="1070"/>
      <c r="X95" s="1070"/>
      <c r="Y95" s="1070"/>
      <c r="Z95" s="1070"/>
      <c r="AA95" s="1070"/>
      <c r="AB95" s="1070"/>
      <c r="AC95" s="1070"/>
      <c r="AD95" s="1070"/>
      <c r="AE95" s="1070"/>
      <c r="AF95" s="1074"/>
      <c r="AG95" s="1074"/>
      <c r="AH95" s="1074"/>
      <c r="AI95" s="1074"/>
      <c r="AJ95" s="1074"/>
      <c r="AK95" s="1074"/>
      <c r="AL95" s="1074"/>
      <c r="AM95" s="1074"/>
      <c r="AN95" s="1074"/>
      <c r="AO95" s="1074"/>
      <c r="AP95" s="1074"/>
      <c r="AQ95" s="1074"/>
      <c r="AR95" s="1074"/>
      <c r="AS95" s="1074"/>
      <c r="AT95" s="1074"/>
      <c r="AU95" s="1074"/>
      <c r="AV95" s="1074"/>
      <c r="AW95" s="1074"/>
      <c r="AX95" s="1074"/>
      <c r="AY95" s="1074"/>
      <c r="AZ95" s="1074"/>
      <c r="BA95" s="1074"/>
      <c r="BB95" s="1074"/>
      <c r="BC95" s="1074"/>
      <c r="BD95" s="1074"/>
      <c r="BE95" s="1074"/>
      <c r="BF95" s="1074"/>
      <c r="BG95" s="1074"/>
      <c r="BH95" s="1074"/>
      <c r="BI95" s="1074"/>
      <c r="BJ95" s="1074"/>
      <c r="BK95" s="1074"/>
      <c r="BL95" s="1074"/>
      <c r="BM95" s="1074"/>
      <c r="BN95" s="1074"/>
      <c r="BO95" s="1074"/>
      <c r="BP95" s="1074"/>
      <c r="BQ95" s="1074"/>
      <c r="BR95" s="1184"/>
      <c r="BS95" s="1184"/>
      <c r="BT95" s="1184"/>
      <c r="BU95" s="1184"/>
      <c r="BV95" s="1184"/>
      <c r="BW95" s="1184"/>
      <c r="BX95" s="1184"/>
      <c r="BY95" s="1184"/>
      <c r="BZ95" s="1184"/>
      <c r="CA95" s="1184"/>
      <c r="CB95" s="1184"/>
      <c r="CC95" s="1184"/>
      <c r="CD95" s="1184"/>
      <c r="CE95" s="1184"/>
      <c r="CF95" s="1184"/>
      <c r="CG95" s="1184"/>
      <c r="CH95" s="1184"/>
      <c r="CI95" s="1184"/>
      <c r="CJ95" s="1184"/>
      <c r="CK95" s="1184"/>
      <c r="CL95" s="1184"/>
      <c r="CM95" s="1184"/>
      <c r="CN95" s="1184"/>
      <c r="CO95" s="1184"/>
      <c r="CP95" s="1184"/>
      <c r="CQ95" s="1184"/>
      <c r="CR95" s="1184"/>
      <c r="CS95" s="1184"/>
      <c r="CT95" s="1184"/>
      <c r="CU95" s="1184"/>
      <c r="CV95" s="1184"/>
      <c r="CW95" s="1184"/>
      <c r="CX95" s="1184"/>
      <c r="CY95" s="1184"/>
      <c r="CZ95" s="1184"/>
      <c r="DA95" s="1184"/>
      <c r="DB95" s="1184"/>
      <c r="DC95" s="1184"/>
      <c r="DD95" s="1184"/>
      <c r="DE95" s="1184"/>
      <c r="DF95" s="1184"/>
      <c r="DG95" s="1184"/>
      <c r="DH95" s="1184"/>
      <c r="DI95" s="1184"/>
      <c r="DJ95" s="1184"/>
      <c r="DK95" s="1184"/>
      <c r="DL95" s="1184"/>
      <c r="DM95" s="1184"/>
      <c r="DN95" s="1184"/>
      <c r="DO95" s="1184"/>
      <c r="DP95" s="1184"/>
      <c r="DQ95" s="1184"/>
      <c r="DR95" s="1184"/>
      <c r="DS95" s="1184"/>
      <c r="DT95" s="1184"/>
      <c r="DU95" s="1184"/>
      <c r="DV95" s="1184"/>
      <c r="DW95" s="1184"/>
      <c r="DX95" s="1184"/>
      <c r="DY95" s="1184"/>
      <c r="DZ95" s="1184"/>
      <c r="EA95" s="1184"/>
      <c r="EB95" s="1184"/>
      <c r="EC95" s="1184"/>
      <c r="ED95" s="1184"/>
      <c r="EE95" s="1184"/>
      <c r="EF95" s="1184"/>
      <c r="EG95" s="1069"/>
      <c r="EH95" s="1069"/>
      <c r="EI95" s="1069"/>
      <c r="EJ95" s="1069"/>
      <c r="EK95" s="1069"/>
      <c r="EL95" s="1069"/>
      <c r="EM95" s="1069"/>
      <c r="EN95" s="1069"/>
      <c r="EO95" s="1070"/>
      <c r="EP95" s="1070"/>
      <c r="EQ95" s="1070"/>
      <c r="ER95" s="1070"/>
      <c r="ES95" s="1070"/>
      <c r="ET95" s="1070"/>
      <c r="EU95" s="1070"/>
      <c r="EV95" s="1070"/>
      <c r="EW95" s="1070"/>
      <c r="EX95" s="1070"/>
      <c r="EY95" s="1070"/>
      <c r="EZ95" s="1070"/>
      <c r="FA95" s="1070"/>
      <c r="FB95" s="1070"/>
      <c r="FC95" s="1070"/>
      <c r="FD95" s="1070"/>
      <c r="FE95" s="1070"/>
      <c r="FF95" s="1070"/>
      <c r="FG95" s="1070"/>
      <c r="FH95" s="1070"/>
      <c r="FI95" s="1070"/>
      <c r="FJ95" s="1070"/>
      <c r="FK95" s="1070"/>
      <c r="FL95" s="1070"/>
      <c r="FM95" s="1070"/>
      <c r="FN95" s="1070"/>
      <c r="FO95" s="1070"/>
      <c r="FP95" s="1070"/>
      <c r="FQ95" s="1070"/>
      <c r="FR95" s="1070"/>
      <c r="FS95" s="1070"/>
      <c r="FT95" s="1070"/>
      <c r="FU95" s="1070"/>
      <c r="FV95" s="1070"/>
      <c r="FW95" s="1070"/>
      <c r="FX95" s="1070"/>
      <c r="FY95" s="1070"/>
      <c r="FZ95" s="1070"/>
      <c r="GA95" s="1070"/>
      <c r="GB95" s="1028"/>
    </row>
    <row r="96" spans="1:193" s="1007" customFormat="1" ht="24.95" hidden="1" customHeight="1">
      <c r="B96" s="1062"/>
      <c r="C96" s="1072"/>
      <c r="D96" s="1051" t="s">
        <v>2209</v>
      </c>
      <c r="E96" s="1073" t="s">
        <v>2210</v>
      </c>
      <c r="F96" s="1052"/>
      <c r="G96" s="1053" t="s">
        <v>814</v>
      </c>
      <c r="H96" s="1046">
        <f t="shared" si="9"/>
        <v>0</v>
      </c>
      <c r="I96" s="1088">
        <v>7.5</v>
      </c>
      <c r="J96" s="1046">
        <f t="shared" si="5"/>
        <v>0</v>
      </c>
      <c r="K96" s="1069"/>
      <c r="L96" s="1092"/>
      <c r="M96" s="1069"/>
      <c r="N96" s="1070"/>
      <c r="O96" s="1070"/>
      <c r="P96" s="1070"/>
      <c r="Q96" s="1070"/>
      <c r="R96" s="1070"/>
      <c r="S96" s="1070"/>
      <c r="T96" s="1070"/>
      <c r="U96" s="1070"/>
      <c r="V96" s="1070"/>
      <c r="W96" s="1070"/>
      <c r="X96" s="1070"/>
      <c r="Y96" s="1070"/>
      <c r="Z96" s="1070"/>
      <c r="AA96" s="1070"/>
      <c r="AB96" s="1070"/>
      <c r="AC96" s="1070"/>
      <c r="AD96" s="1070"/>
      <c r="AE96" s="1070"/>
      <c r="AF96" s="1070"/>
      <c r="AG96" s="1070"/>
      <c r="AH96" s="1070"/>
      <c r="AI96" s="1070"/>
      <c r="AJ96" s="1070"/>
      <c r="AK96" s="1070"/>
      <c r="AL96" s="1070"/>
      <c r="AM96" s="1070"/>
      <c r="AN96" s="1070"/>
      <c r="AO96" s="1070"/>
      <c r="AP96" s="1070"/>
      <c r="AQ96" s="1070"/>
      <c r="AR96" s="1070"/>
      <c r="AS96" s="1070"/>
      <c r="AT96" s="1070"/>
      <c r="AU96" s="1070"/>
      <c r="AV96" s="1070"/>
      <c r="AW96" s="1070"/>
      <c r="AX96" s="1070"/>
      <c r="AY96" s="1070"/>
      <c r="AZ96" s="1070"/>
      <c r="BA96" s="1070"/>
      <c r="BB96" s="1070"/>
      <c r="BC96" s="1070"/>
      <c r="BD96" s="1070"/>
      <c r="BE96" s="1070"/>
      <c r="BF96" s="1070"/>
      <c r="BG96" s="1070"/>
      <c r="BH96" s="1070"/>
      <c r="BI96" s="1070"/>
      <c r="BJ96" s="1070"/>
      <c r="BK96" s="1070"/>
      <c r="BL96" s="1070"/>
      <c r="BM96" s="1070"/>
      <c r="BN96" s="1070"/>
      <c r="BO96" s="1070"/>
      <c r="BP96" s="1070"/>
      <c r="BQ96" s="1070"/>
      <c r="BR96" s="1069"/>
      <c r="BS96" s="1069"/>
      <c r="BT96" s="1069"/>
      <c r="BU96" s="1069"/>
      <c r="BV96" s="1069"/>
      <c r="BW96" s="1069"/>
      <c r="BX96" s="1069"/>
      <c r="BY96" s="1069"/>
      <c r="BZ96" s="1069"/>
      <c r="CA96" s="1069"/>
      <c r="CB96" s="1069"/>
      <c r="CC96" s="1069"/>
      <c r="CD96" s="1069"/>
      <c r="CE96" s="1069"/>
      <c r="CF96" s="1069"/>
      <c r="CG96" s="1069"/>
      <c r="CH96" s="1069"/>
      <c r="CI96" s="1069"/>
      <c r="CJ96" s="1069"/>
      <c r="CK96" s="1069"/>
      <c r="CL96" s="1069"/>
      <c r="CM96" s="1069"/>
      <c r="CN96" s="1069"/>
      <c r="CO96" s="1069"/>
      <c r="CP96" s="1069"/>
      <c r="CQ96" s="1069"/>
      <c r="CR96" s="1069"/>
      <c r="CS96" s="1069"/>
      <c r="CT96" s="1069"/>
      <c r="CU96" s="1069"/>
      <c r="CV96" s="1069"/>
      <c r="CW96" s="1069"/>
      <c r="CX96" s="1069"/>
      <c r="CY96" s="1069"/>
      <c r="CZ96" s="1069"/>
      <c r="DA96" s="1069"/>
      <c r="DB96" s="1069"/>
      <c r="DC96" s="1069"/>
      <c r="DD96" s="1069"/>
      <c r="DE96" s="1069"/>
      <c r="DF96" s="1069"/>
      <c r="DG96" s="1069"/>
      <c r="DH96" s="1069"/>
      <c r="DI96" s="1069"/>
      <c r="DJ96" s="1069"/>
      <c r="DK96" s="1069"/>
      <c r="DL96" s="1069"/>
      <c r="DM96" s="1069"/>
      <c r="DN96" s="1069"/>
      <c r="DO96" s="1069"/>
      <c r="DP96" s="1069"/>
      <c r="DQ96" s="1069"/>
      <c r="DR96" s="1069"/>
      <c r="DS96" s="1069"/>
      <c r="DT96" s="1069"/>
      <c r="DU96" s="1069"/>
      <c r="DV96" s="1069"/>
      <c r="DW96" s="1069"/>
      <c r="DX96" s="1069"/>
      <c r="DY96" s="1069"/>
      <c r="DZ96" s="1069"/>
      <c r="EA96" s="1069"/>
      <c r="EB96" s="1069"/>
      <c r="EC96" s="1069"/>
      <c r="ED96" s="1069"/>
      <c r="EE96" s="1069"/>
      <c r="EF96" s="1069"/>
      <c r="EG96" s="1069"/>
      <c r="EH96" s="1069"/>
      <c r="EI96" s="1069"/>
      <c r="EJ96" s="1069"/>
      <c r="EK96" s="1069"/>
      <c r="EL96" s="1069"/>
      <c r="EM96" s="1069"/>
      <c r="EN96" s="1069"/>
      <c r="EO96" s="1070"/>
      <c r="EP96" s="1070"/>
      <c r="EQ96" s="1070"/>
      <c r="ER96" s="1070"/>
      <c r="ES96" s="1070"/>
      <c r="ET96" s="1070"/>
      <c r="EU96" s="1070"/>
      <c r="EV96" s="1070"/>
      <c r="EW96" s="1070"/>
      <c r="EX96" s="1070"/>
      <c r="EY96" s="1070"/>
      <c r="EZ96" s="1070"/>
      <c r="FA96" s="1070"/>
      <c r="FB96" s="1070"/>
      <c r="FC96" s="1070"/>
      <c r="FD96" s="1070"/>
      <c r="FE96" s="1070"/>
      <c r="FF96" s="1070"/>
      <c r="FG96" s="1070"/>
      <c r="FH96" s="1070"/>
      <c r="FI96" s="1070"/>
      <c r="FJ96" s="1070"/>
      <c r="FK96" s="1070"/>
      <c r="FL96" s="1070"/>
      <c r="FM96" s="1070"/>
      <c r="FN96" s="1070"/>
      <c r="FO96" s="1070"/>
      <c r="FP96" s="1070"/>
      <c r="FQ96" s="1070"/>
      <c r="FR96" s="1070"/>
      <c r="FS96" s="1070"/>
      <c r="FT96" s="1070"/>
      <c r="FU96" s="1070"/>
      <c r="FV96" s="1070"/>
      <c r="FW96" s="1070"/>
      <c r="FX96" s="1070"/>
      <c r="FY96" s="1070"/>
      <c r="FZ96" s="1070"/>
      <c r="GA96" s="1070"/>
      <c r="GB96" s="1028"/>
    </row>
    <row r="97" spans="1:184" s="1007" customFormat="1" ht="24.95" hidden="1" customHeight="1">
      <c r="A97" s="1007">
        <v>31</v>
      </c>
      <c r="B97" s="1062">
        <f>B95+1</f>
        <v>30</v>
      </c>
      <c r="C97" s="1072"/>
      <c r="D97" s="1051" t="s">
        <v>2209</v>
      </c>
      <c r="E97" s="1073" t="s">
        <v>2211</v>
      </c>
      <c r="F97" s="1052"/>
      <c r="G97" s="1053" t="s">
        <v>814</v>
      </c>
      <c r="H97" s="1046">
        <f t="shared" si="9"/>
        <v>0</v>
      </c>
      <c r="I97" s="1088">
        <v>7.5</v>
      </c>
      <c r="J97" s="1046">
        <f t="shared" si="5"/>
        <v>0</v>
      </c>
      <c r="K97" s="1069"/>
      <c r="L97" s="1069"/>
      <c r="M97" s="1069"/>
      <c r="N97" s="1070"/>
      <c r="O97" s="1070"/>
      <c r="P97" s="1070"/>
      <c r="Q97" s="1070"/>
      <c r="R97" s="1070"/>
      <c r="S97" s="1070"/>
      <c r="T97" s="1070"/>
      <c r="U97" s="1070"/>
      <c r="V97" s="1070"/>
      <c r="W97" s="1070"/>
      <c r="X97" s="1070"/>
      <c r="Y97" s="1070"/>
      <c r="Z97" s="1070"/>
      <c r="AA97" s="1070"/>
      <c r="AB97" s="1070"/>
      <c r="AC97" s="1070"/>
      <c r="AD97" s="1070"/>
      <c r="AE97" s="1070"/>
      <c r="AF97" s="1070"/>
      <c r="AG97" s="1070"/>
      <c r="AH97" s="1070"/>
      <c r="AI97" s="1070"/>
      <c r="AJ97" s="1070"/>
      <c r="AK97" s="1070"/>
      <c r="AL97" s="1070"/>
      <c r="AM97" s="1070"/>
      <c r="AN97" s="1070"/>
      <c r="AO97" s="1070"/>
      <c r="AP97" s="1070"/>
      <c r="AQ97" s="1070"/>
      <c r="AR97" s="1070"/>
      <c r="AS97" s="1070"/>
      <c r="AT97" s="1070"/>
      <c r="AU97" s="1070"/>
      <c r="AV97" s="1070"/>
      <c r="AW97" s="1070"/>
      <c r="AX97" s="1070"/>
      <c r="AY97" s="1070"/>
      <c r="AZ97" s="1070"/>
      <c r="BA97" s="1070"/>
      <c r="BB97" s="1070"/>
      <c r="BC97" s="1070"/>
      <c r="BD97" s="1070"/>
      <c r="BE97" s="1070"/>
      <c r="BF97" s="1070"/>
      <c r="BG97" s="1070"/>
      <c r="BH97" s="1070"/>
      <c r="BI97" s="1070"/>
      <c r="BJ97" s="1070"/>
      <c r="BK97" s="1070"/>
      <c r="BL97" s="1070"/>
      <c r="BM97" s="1070"/>
      <c r="BN97" s="1070"/>
      <c r="BO97" s="1070"/>
      <c r="BP97" s="1070"/>
      <c r="BQ97" s="1070"/>
      <c r="BR97" s="1069"/>
      <c r="BS97" s="1069"/>
      <c r="BT97" s="1069"/>
      <c r="BU97" s="1069"/>
      <c r="BV97" s="1069"/>
      <c r="BW97" s="1069"/>
      <c r="BX97" s="1069"/>
      <c r="BY97" s="1069"/>
      <c r="BZ97" s="1069"/>
      <c r="CA97" s="1069"/>
      <c r="CB97" s="1069"/>
      <c r="CC97" s="1069"/>
      <c r="CD97" s="1069"/>
      <c r="CE97" s="1069"/>
      <c r="CF97" s="1069"/>
      <c r="CG97" s="1069"/>
      <c r="CH97" s="1069"/>
      <c r="CI97" s="1069"/>
      <c r="CJ97" s="1069"/>
      <c r="CK97" s="1069"/>
      <c r="CL97" s="1069"/>
      <c r="CM97" s="1069"/>
      <c r="CN97" s="1069"/>
      <c r="CO97" s="1069"/>
      <c r="CP97" s="1069"/>
      <c r="CQ97" s="1069"/>
      <c r="CR97" s="1069"/>
      <c r="CS97" s="1069"/>
      <c r="CT97" s="1069"/>
      <c r="CU97" s="1069"/>
      <c r="CV97" s="1069"/>
      <c r="CW97" s="1069"/>
      <c r="CX97" s="1069"/>
      <c r="CY97" s="1069"/>
      <c r="CZ97" s="1069"/>
      <c r="DA97" s="1069"/>
      <c r="DB97" s="1069"/>
      <c r="DC97" s="1069"/>
      <c r="DD97" s="1069"/>
      <c r="DE97" s="1069"/>
      <c r="DF97" s="1069"/>
      <c r="DG97" s="1069"/>
      <c r="DH97" s="1069"/>
      <c r="DI97" s="1069"/>
      <c r="DJ97" s="1069"/>
      <c r="DK97" s="1069"/>
      <c r="DL97" s="1069"/>
      <c r="DM97" s="1069"/>
      <c r="DN97" s="1069"/>
      <c r="DO97" s="1069"/>
      <c r="DP97" s="1069"/>
      <c r="DQ97" s="1069"/>
      <c r="DR97" s="1069"/>
      <c r="DS97" s="1069"/>
      <c r="DT97" s="1069"/>
      <c r="DU97" s="1069"/>
      <c r="DV97" s="1069"/>
      <c r="DW97" s="1069"/>
      <c r="DX97" s="1069"/>
      <c r="DY97" s="1069"/>
      <c r="DZ97" s="1069"/>
      <c r="EA97" s="1069"/>
      <c r="EB97" s="1069"/>
      <c r="EC97" s="1069"/>
      <c r="ED97" s="1069"/>
      <c r="EE97" s="1069"/>
      <c r="EF97" s="1069"/>
      <c r="EG97" s="1069"/>
      <c r="EH97" s="1069"/>
      <c r="EI97" s="1069"/>
      <c r="EJ97" s="1069"/>
      <c r="EK97" s="1069"/>
      <c r="EL97" s="1069"/>
      <c r="EM97" s="1069"/>
      <c r="EN97" s="1069"/>
      <c r="EO97" s="1070"/>
      <c r="EP97" s="1070"/>
      <c r="EQ97" s="1070"/>
      <c r="ER97" s="1070"/>
      <c r="ES97" s="1070"/>
      <c r="ET97" s="1070"/>
      <c r="EU97" s="1070"/>
      <c r="EV97" s="1070"/>
      <c r="EW97" s="1070"/>
      <c r="EX97" s="1070"/>
      <c r="EY97" s="1070"/>
      <c r="EZ97" s="1070"/>
      <c r="FA97" s="1070"/>
      <c r="FB97" s="1070"/>
      <c r="FC97" s="1070"/>
      <c r="FD97" s="1070"/>
      <c r="FE97" s="1070"/>
      <c r="FF97" s="1070"/>
      <c r="FG97" s="1070"/>
      <c r="FH97" s="1070"/>
      <c r="FI97" s="1070"/>
      <c r="FJ97" s="1070"/>
      <c r="FK97" s="1070"/>
      <c r="FL97" s="1070"/>
      <c r="FM97" s="1070"/>
      <c r="FN97" s="1070"/>
      <c r="FO97" s="1070"/>
      <c r="FP97" s="1070"/>
      <c r="FQ97" s="1070"/>
      <c r="FR97" s="1070"/>
      <c r="FS97" s="1070"/>
      <c r="FT97" s="1070"/>
      <c r="FU97" s="1070"/>
      <c r="FV97" s="1070"/>
      <c r="FW97" s="1070"/>
      <c r="FX97" s="1070"/>
      <c r="FY97" s="1070"/>
      <c r="FZ97" s="1070"/>
      <c r="GA97" s="1070"/>
      <c r="GB97" s="1028"/>
    </row>
    <row r="98" spans="1:184" s="1007" customFormat="1" ht="24.95" hidden="1" customHeight="1">
      <c r="A98" s="1007">
        <v>32</v>
      </c>
      <c r="B98" s="1062">
        <f t="shared" si="4"/>
        <v>31</v>
      </c>
      <c r="C98" s="1072"/>
      <c r="D98" s="1051" t="s">
        <v>2212</v>
      </c>
      <c r="E98" s="1073" t="s">
        <v>2213</v>
      </c>
      <c r="F98" s="1052"/>
      <c r="G98" s="1053" t="s">
        <v>814</v>
      </c>
      <c r="H98" s="1046">
        <f t="shared" si="9"/>
        <v>0</v>
      </c>
      <c r="I98" s="1088">
        <v>7.5</v>
      </c>
      <c r="J98" s="1046">
        <f t="shared" si="5"/>
        <v>0</v>
      </c>
      <c r="K98" s="1069"/>
      <c r="L98" s="1069"/>
      <c r="M98" s="1069"/>
      <c r="N98" s="1070"/>
      <c r="O98" s="1070"/>
      <c r="P98" s="1070"/>
      <c r="Q98" s="1070"/>
      <c r="R98" s="1070"/>
      <c r="S98" s="1070"/>
      <c r="T98" s="1070"/>
      <c r="U98" s="1070"/>
      <c r="V98" s="1070"/>
      <c r="W98" s="1070"/>
      <c r="X98" s="1070"/>
      <c r="Y98" s="1070"/>
      <c r="Z98" s="1070"/>
      <c r="AA98" s="1070"/>
      <c r="AB98" s="1070"/>
      <c r="AC98" s="1070"/>
      <c r="AD98" s="1070"/>
      <c r="AE98" s="1070"/>
      <c r="AF98" s="1070"/>
      <c r="AG98" s="1070"/>
      <c r="AH98" s="1070"/>
      <c r="AI98" s="1070"/>
      <c r="AJ98" s="1070"/>
      <c r="AK98" s="1070"/>
      <c r="AL98" s="1070"/>
      <c r="AM98" s="1070"/>
      <c r="AN98" s="1070"/>
      <c r="AO98" s="1070"/>
      <c r="AP98" s="1070"/>
      <c r="AQ98" s="1070"/>
      <c r="AR98" s="1070"/>
      <c r="AS98" s="1070"/>
      <c r="AT98" s="1070"/>
      <c r="AU98" s="1070"/>
      <c r="AV98" s="1070"/>
      <c r="AW98" s="1070"/>
      <c r="AX98" s="1070"/>
      <c r="AY98" s="1070"/>
      <c r="AZ98" s="1070"/>
      <c r="BA98" s="1070"/>
      <c r="BB98" s="1070"/>
      <c r="BC98" s="1070"/>
      <c r="BD98" s="1070"/>
      <c r="BE98" s="1070"/>
      <c r="BF98" s="1070"/>
      <c r="BG98" s="1070"/>
      <c r="BH98" s="1070"/>
      <c r="BI98" s="1070"/>
      <c r="BJ98" s="1070"/>
      <c r="BK98" s="1070"/>
      <c r="BL98" s="1070"/>
      <c r="BM98" s="1070"/>
      <c r="BN98" s="1070"/>
      <c r="BO98" s="1070"/>
      <c r="BP98" s="1070"/>
      <c r="BQ98" s="1070"/>
      <c r="BR98" s="1069"/>
      <c r="BS98" s="1069"/>
      <c r="BT98" s="1069"/>
      <c r="BU98" s="1069"/>
      <c r="BV98" s="1069"/>
      <c r="BW98" s="1069"/>
      <c r="BX98" s="1069"/>
      <c r="BY98" s="1069"/>
      <c r="BZ98" s="1069"/>
      <c r="CA98" s="1069"/>
      <c r="CB98" s="1069"/>
      <c r="CC98" s="1069"/>
      <c r="CD98" s="1069"/>
      <c r="CE98" s="1069"/>
      <c r="CF98" s="1069"/>
      <c r="CG98" s="1069"/>
      <c r="CH98" s="1069"/>
      <c r="CI98" s="1069"/>
      <c r="CJ98" s="1069"/>
      <c r="CK98" s="1069"/>
      <c r="CL98" s="1069"/>
      <c r="CM98" s="1069"/>
      <c r="CN98" s="1069"/>
      <c r="CO98" s="1069"/>
      <c r="CP98" s="1069"/>
      <c r="CQ98" s="1069"/>
      <c r="CR98" s="1069"/>
      <c r="CS98" s="1069"/>
      <c r="CT98" s="1069"/>
      <c r="CU98" s="1069"/>
      <c r="CV98" s="1069"/>
      <c r="CW98" s="1069"/>
      <c r="CX98" s="1069"/>
      <c r="CY98" s="1069"/>
      <c r="CZ98" s="1069"/>
      <c r="DA98" s="1069"/>
      <c r="DB98" s="1069"/>
      <c r="DC98" s="1069"/>
      <c r="DD98" s="1069"/>
      <c r="DE98" s="1069"/>
      <c r="DF98" s="1069"/>
      <c r="DG98" s="1069"/>
      <c r="DH98" s="1069"/>
      <c r="DI98" s="1069"/>
      <c r="DJ98" s="1069"/>
      <c r="DK98" s="1069"/>
      <c r="DL98" s="1069"/>
      <c r="DM98" s="1069"/>
      <c r="DN98" s="1069"/>
      <c r="DO98" s="1069"/>
      <c r="DP98" s="1069"/>
      <c r="DQ98" s="1069"/>
      <c r="DR98" s="1069"/>
      <c r="DS98" s="1069"/>
      <c r="DT98" s="1069"/>
      <c r="DU98" s="1069"/>
      <c r="DV98" s="1069"/>
      <c r="DW98" s="1069"/>
      <c r="DX98" s="1069"/>
      <c r="DY98" s="1069"/>
      <c r="DZ98" s="1069"/>
      <c r="EA98" s="1069"/>
      <c r="EB98" s="1069"/>
      <c r="EC98" s="1069"/>
      <c r="ED98" s="1069"/>
      <c r="EE98" s="1069"/>
      <c r="EF98" s="1069"/>
      <c r="EG98" s="1069"/>
      <c r="EH98" s="1069"/>
      <c r="EI98" s="1069"/>
      <c r="EJ98" s="1069"/>
      <c r="EK98" s="1069"/>
      <c r="EL98" s="1069"/>
      <c r="EM98" s="1069"/>
      <c r="EN98" s="1069"/>
      <c r="EO98" s="1070"/>
      <c r="EP98" s="1070"/>
      <c r="EQ98" s="1070"/>
      <c r="ER98" s="1070"/>
      <c r="ES98" s="1070"/>
      <c r="ET98" s="1070"/>
      <c r="EU98" s="1070"/>
      <c r="EV98" s="1070"/>
      <c r="EW98" s="1070"/>
      <c r="EX98" s="1070"/>
      <c r="EY98" s="1070"/>
      <c r="EZ98" s="1070"/>
      <c r="FA98" s="1070"/>
      <c r="FB98" s="1070"/>
      <c r="FC98" s="1070"/>
      <c r="FD98" s="1070"/>
      <c r="FE98" s="1070"/>
      <c r="FF98" s="1070"/>
      <c r="FG98" s="1070"/>
      <c r="FH98" s="1070"/>
      <c r="FI98" s="1070"/>
      <c r="FJ98" s="1070"/>
      <c r="FK98" s="1070"/>
      <c r="FL98" s="1070"/>
      <c r="FM98" s="1070"/>
      <c r="FN98" s="1070"/>
      <c r="FO98" s="1070"/>
      <c r="FP98" s="1070"/>
      <c r="FQ98" s="1070"/>
      <c r="FR98" s="1070"/>
      <c r="FS98" s="1070"/>
      <c r="FT98" s="1070"/>
      <c r="FU98" s="1070"/>
      <c r="FV98" s="1070"/>
      <c r="FW98" s="1070"/>
      <c r="FX98" s="1070"/>
      <c r="FY98" s="1070"/>
      <c r="FZ98" s="1070"/>
      <c r="GA98" s="1070"/>
      <c r="GB98" s="1028"/>
    </row>
    <row r="99" spans="1:184" s="1007" customFormat="1" ht="24.95" hidden="1" customHeight="1">
      <c r="A99" s="1007">
        <v>33</v>
      </c>
      <c r="B99" s="1062">
        <f t="shared" si="4"/>
        <v>32</v>
      </c>
      <c r="C99" s="1072"/>
      <c r="D99" s="1051" t="s">
        <v>2212</v>
      </c>
      <c r="E99" s="1073" t="s">
        <v>2214</v>
      </c>
      <c r="F99" s="1052"/>
      <c r="G99" s="1053" t="s">
        <v>814</v>
      </c>
      <c r="H99" s="1046">
        <f t="shared" si="9"/>
        <v>0</v>
      </c>
      <c r="I99" s="1088">
        <v>7.5</v>
      </c>
      <c r="J99" s="1046">
        <f t="shared" si="5"/>
        <v>0</v>
      </c>
      <c r="K99" s="1069"/>
      <c r="L99" s="1069"/>
      <c r="M99" s="1069"/>
      <c r="N99" s="1070"/>
      <c r="O99" s="1070"/>
      <c r="P99" s="1070"/>
      <c r="Q99" s="1070"/>
      <c r="R99" s="1070"/>
      <c r="S99" s="1070"/>
      <c r="T99" s="1070"/>
      <c r="U99" s="1069"/>
      <c r="V99" s="1070"/>
      <c r="W99" s="1070"/>
      <c r="X99" s="1070"/>
      <c r="Y99" s="1070"/>
      <c r="Z99" s="1070"/>
      <c r="AA99" s="1070"/>
      <c r="AB99" s="1070"/>
      <c r="AC99" s="1070"/>
      <c r="AD99" s="1070"/>
      <c r="AE99" s="1070"/>
      <c r="AF99" s="1070"/>
      <c r="AG99" s="1070"/>
      <c r="AH99" s="1070"/>
      <c r="AI99" s="1070"/>
      <c r="AJ99" s="1070"/>
      <c r="AK99" s="1070"/>
      <c r="AL99" s="1070"/>
      <c r="AM99" s="1070"/>
      <c r="AN99" s="1070"/>
      <c r="AO99" s="1070"/>
      <c r="AP99" s="1070"/>
      <c r="AQ99" s="1070"/>
      <c r="AR99" s="1070"/>
      <c r="AS99" s="1070"/>
      <c r="AT99" s="1070"/>
      <c r="AU99" s="1070"/>
      <c r="AV99" s="1070"/>
      <c r="AW99" s="1070"/>
      <c r="AX99" s="1070"/>
      <c r="AY99" s="1070"/>
      <c r="AZ99" s="1070"/>
      <c r="BA99" s="1070"/>
      <c r="BB99" s="1070"/>
      <c r="BC99" s="1070"/>
      <c r="BD99" s="1070"/>
      <c r="BE99" s="1070"/>
      <c r="BF99" s="1070"/>
      <c r="BG99" s="1070"/>
      <c r="BH99" s="1070"/>
      <c r="BI99" s="1070"/>
      <c r="BJ99" s="1070"/>
      <c r="BK99" s="1070"/>
      <c r="BL99" s="1070"/>
      <c r="BM99" s="1070"/>
      <c r="BN99" s="1070"/>
      <c r="BO99" s="1070"/>
      <c r="BP99" s="1070"/>
      <c r="BQ99" s="1070"/>
      <c r="BR99" s="1069"/>
      <c r="BS99" s="1069"/>
      <c r="BT99" s="1069"/>
      <c r="BU99" s="1069"/>
      <c r="BV99" s="1069"/>
      <c r="BW99" s="1069"/>
      <c r="BX99" s="1069"/>
      <c r="BY99" s="1069"/>
      <c r="BZ99" s="1069"/>
      <c r="CA99" s="1069"/>
      <c r="CB99" s="1069"/>
      <c r="CC99" s="1069"/>
      <c r="CD99" s="1069"/>
      <c r="CE99" s="1069"/>
      <c r="CF99" s="1069"/>
      <c r="CG99" s="1069"/>
      <c r="CH99" s="1069"/>
      <c r="CI99" s="1069"/>
      <c r="CJ99" s="1069"/>
      <c r="CK99" s="1069"/>
      <c r="CL99" s="1069"/>
      <c r="CM99" s="1069"/>
      <c r="CN99" s="1069"/>
      <c r="CO99" s="1069"/>
      <c r="CP99" s="1069"/>
      <c r="CQ99" s="1069"/>
      <c r="CR99" s="1069"/>
      <c r="CS99" s="1069"/>
      <c r="CT99" s="1069"/>
      <c r="CU99" s="1069"/>
      <c r="CV99" s="1069"/>
      <c r="CW99" s="1069"/>
      <c r="CX99" s="1069"/>
      <c r="CY99" s="1069"/>
      <c r="CZ99" s="1069"/>
      <c r="DA99" s="1069"/>
      <c r="DB99" s="1069"/>
      <c r="DC99" s="1069"/>
      <c r="DD99" s="1069"/>
      <c r="DE99" s="1069"/>
      <c r="DF99" s="1069"/>
      <c r="DG99" s="1069"/>
      <c r="DH99" s="1069"/>
      <c r="DI99" s="1069"/>
      <c r="DJ99" s="1069"/>
      <c r="DK99" s="1069"/>
      <c r="DL99" s="1069"/>
      <c r="DM99" s="1069"/>
      <c r="DN99" s="1069"/>
      <c r="DO99" s="1069"/>
      <c r="DP99" s="1069"/>
      <c r="DQ99" s="1069"/>
      <c r="DR99" s="1069"/>
      <c r="DS99" s="1069"/>
      <c r="DT99" s="1069"/>
      <c r="DU99" s="1069"/>
      <c r="DV99" s="1069"/>
      <c r="DW99" s="1069"/>
      <c r="DX99" s="1069"/>
      <c r="DY99" s="1069"/>
      <c r="DZ99" s="1069"/>
      <c r="EA99" s="1069"/>
      <c r="EB99" s="1069"/>
      <c r="EC99" s="1069"/>
      <c r="ED99" s="1069"/>
      <c r="EE99" s="1069"/>
      <c r="EF99" s="1069"/>
      <c r="EG99" s="1069"/>
      <c r="EH99" s="1069"/>
      <c r="EI99" s="1069"/>
      <c r="EJ99" s="1069"/>
      <c r="EK99" s="1069"/>
      <c r="EL99" s="1069"/>
      <c r="EM99" s="1069"/>
      <c r="EN99" s="1069"/>
      <c r="EO99" s="1070"/>
      <c r="EP99" s="1070"/>
      <c r="EQ99" s="1070"/>
      <c r="ER99" s="1070"/>
      <c r="ES99" s="1070"/>
      <c r="ET99" s="1070"/>
      <c r="EU99" s="1070"/>
      <c r="EV99" s="1070"/>
      <c r="EW99" s="1070"/>
      <c r="EX99" s="1070"/>
      <c r="EY99" s="1070"/>
      <c r="EZ99" s="1070"/>
      <c r="FA99" s="1070"/>
      <c r="FB99" s="1070"/>
      <c r="FC99" s="1070"/>
      <c r="FD99" s="1070"/>
      <c r="FE99" s="1070"/>
      <c r="FF99" s="1070"/>
      <c r="FG99" s="1070"/>
      <c r="FH99" s="1070"/>
      <c r="FI99" s="1070"/>
      <c r="FJ99" s="1070"/>
      <c r="FK99" s="1070"/>
      <c r="FL99" s="1070"/>
      <c r="FM99" s="1070"/>
      <c r="FN99" s="1070"/>
      <c r="FO99" s="1070"/>
      <c r="FP99" s="1070"/>
      <c r="FQ99" s="1070"/>
      <c r="FR99" s="1070"/>
      <c r="FS99" s="1070"/>
      <c r="FT99" s="1070"/>
      <c r="FU99" s="1070"/>
      <c r="FV99" s="1070"/>
      <c r="FW99" s="1070"/>
      <c r="FX99" s="1070"/>
      <c r="FY99" s="1070"/>
      <c r="FZ99" s="1070"/>
      <c r="GA99" s="1070"/>
      <c r="GB99" s="1028"/>
    </row>
    <row r="100" spans="1:184" s="1007" customFormat="1" ht="24.95" hidden="1" customHeight="1">
      <c r="A100" s="1007">
        <v>34</v>
      </c>
      <c r="B100" s="1062">
        <f t="shared" si="4"/>
        <v>33</v>
      </c>
      <c r="C100" s="1072"/>
      <c r="D100" s="1051" t="s">
        <v>2215</v>
      </c>
      <c r="E100" s="1073" t="s">
        <v>2216</v>
      </c>
      <c r="F100" s="1052"/>
      <c r="G100" s="1053" t="s">
        <v>814</v>
      </c>
      <c r="H100" s="1046">
        <f t="shared" si="9"/>
        <v>0</v>
      </c>
      <c r="I100" s="1088">
        <v>7.5</v>
      </c>
      <c r="J100" s="1046">
        <f t="shared" si="5"/>
        <v>0</v>
      </c>
      <c r="K100" s="1069"/>
      <c r="L100" s="1069"/>
      <c r="M100" s="1069"/>
      <c r="N100" s="1070"/>
      <c r="O100" s="1070"/>
      <c r="P100" s="1070"/>
      <c r="Q100" s="1070"/>
      <c r="R100" s="1070"/>
      <c r="S100" s="1070"/>
      <c r="T100" s="1070"/>
      <c r="U100" s="1069"/>
      <c r="V100" s="1070"/>
      <c r="W100" s="1070"/>
      <c r="X100" s="1070"/>
      <c r="Y100" s="1070"/>
      <c r="Z100" s="1070"/>
      <c r="AA100" s="1070"/>
      <c r="AB100" s="1070"/>
      <c r="AC100" s="1070"/>
      <c r="AD100" s="1070"/>
      <c r="AE100" s="1070"/>
      <c r="AF100" s="1070"/>
      <c r="AG100" s="1070"/>
      <c r="AH100" s="1070"/>
      <c r="AI100" s="1070"/>
      <c r="AJ100" s="1070"/>
      <c r="AK100" s="1070"/>
      <c r="AL100" s="1070"/>
      <c r="AM100" s="1070"/>
      <c r="AN100" s="1070"/>
      <c r="AO100" s="1070"/>
      <c r="AP100" s="1070"/>
      <c r="AQ100" s="1070"/>
      <c r="AR100" s="1070"/>
      <c r="AS100" s="1070"/>
      <c r="AT100" s="1070"/>
      <c r="AU100" s="1070"/>
      <c r="AV100" s="1070"/>
      <c r="AW100" s="1070"/>
      <c r="AX100" s="1070"/>
      <c r="AY100" s="1070"/>
      <c r="AZ100" s="1070"/>
      <c r="BA100" s="1070"/>
      <c r="BB100" s="1070"/>
      <c r="BC100" s="1070"/>
      <c r="BD100" s="1070"/>
      <c r="BE100" s="1070"/>
      <c r="BF100" s="1070"/>
      <c r="BG100" s="1070"/>
      <c r="BH100" s="1070"/>
      <c r="BI100" s="1070"/>
      <c r="BJ100" s="1070"/>
      <c r="BK100" s="1070"/>
      <c r="BL100" s="1070"/>
      <c r="BM100" s="1070"/>
      <c r="BN100" s="1070"/>
      <c r="BO100" s="1070"/>
      <c r="BP100" s="1070"/>
      <c r="BQ100" s="1070"/>
      <c r="BR100" s="1069"/>
      <c r="BS100" s="1069"/>
      <c r="BT100" s="1069"/>
      <c r="BU100" s="1069"/>
      <c r="BV100" s="1069"/>
      <c r="BW100" s="1069"/>
      <c r="BX100" s="1069"/>
      <c r="BY100" s="1069"/>
      <c r="BZ100" s="1069"/>
      <c r="CA100" s="1069"/>
      <c r="CB100" s="1069"/>
      <c r="CC100" s="1069"/>
      <c r="CD100" s="1069"/>
      <c r="CE100" s="1069"/>
      <c r="CF100" s="1069"/>
      <c r="CG100" s="1069"/>
      <c r="CH100" s="1069"/>
      <c r="CI100" s="1069"/>
      <c r="CJ100" s="1069"/>
      <c r="CK100" s="1069"/>
      <c r="CL100" s="1069"/>
      <c r="CM100" s="1069"/>
      <c r="CN100" s="1069"/>
      <c r="CO100" s="1069"/>
      <c r="CP100" s="1069"/>
      <c r="CQ100" s="1069"/>
      <c r="CR100" s="1069"/>
      <c r="CS100" s="1069"/>
      <c r="CT100" s="1069"/>
      <c r="CU100" s="1069"/>
      <c r="CV100" s="1069"/>
      <c r="CW100" s="1069"/>
      <c r="CX100" s="1069"/>
      <c r="CY100" s="1069"/>
      <c r="CZ100" s="1069"/>
      <c r="DA100" s="1069"/>
      <c r="DB100" s="1069"/>
      <c r="DC100" s="1069"/>
      <c r="DD100" s="1069"/>
      <c r="DE100" s="1069"/>
      <c r="DF100" s="1069"/>
      <c r="DG100" s="1069"/>
      <c r="DH100" s="1069"/>
      <c r="DI100" s="1069"/>
      <c r="DJ100" s="1069"/>
      <c r="DK100" s="1069"/>
      <c r="DL100" s="1069"/>
      <c r="DM100" s="1069"/>
      <c r="DN100" s="1069"/>
      <c r="DO100" s="1069"/>
      <c r="DP100" s="1069"/>
      <c r="DQ100" s="1069"/>
      <c r="DR100" s="1069"/>
      <c r="DS100" s="1069"/>
      <c r="DT100" s="1069"/>
      <c r="DU100" s="1069"/>
      <c r="DV100" s="1069"/>
      <c r="DW100" s="1069"/>
      <c r="DX100" s="1069"/>
      <c r="DY100" s="1069"/>
      <c r="DZ100" s="1069"/>
      <c r="EA100" s="1069"/>
      <c r="EB100" s="1069"/>
      <c r="EC100" s="1069"/>
      <c r="ED100" s="1069"/>
      <c r="EE100" s="1069"/>
      <c r="EF100" s="1069"/>
      <c r="EG100" s="1069"/>
      <c r="EH100" s="1069"/>
      <c r="EI100" s="1069"/>
      <c r="EJ100" s="1069"/>
      <c r="EK100" s="1069"/>
      <c r="EL100" s="1069"/>
      <c r="EM100" s="1069"/>
      <c r="EN100" s="1069"/>
      <c r="EO100" s="1070"/>
      <c r="EP100" s="1070"/>
      <c r="EQ100" s="1070"/>
      <c r="ER100" s="1070"/>
      <c r="ES100" s="1070"/>
      <c r="ET100" s="1070"/>
      <c r="EU100" s="1070"/>
      <c r="EV100" s="1070"/>
      <c r="EW100" s="1070"/>
      <c r="EX100" s="1070"/>
      <c r="EY100" s="1070"/>
      <c r="EZ100" s="1070"/>
      <c r="FA100" s="1070"/>
      <c r="FB100" s="1070"/>
      <c r="FC100" s="1070"/>
      <c r="FD100" s="1070"/>
      <c r="FE100" s="1070"/>
      <c r="FF100" s="1070"/>
      <c r="FG100" s="1070"/>
      <c r="FH100" s="1070"/>
      <c r="FI100" s="1070"/>
      <c r="FJ100" s="1070"/>
      <c r="FK100" s="1070"/>
      <c r="FL100" s="1070"/>
      <c r="FM100" s="1070"/>
      <c r="FN100" s="1070"/>
      <c r="FO100" s="1070"/>
      <c r="FP100" s="1070"/>
      <c r="FQ100" s="1070"/>
      <c r="FR100" s="1070"/>
      <c r="FS100" s="1070"/>
      <c r="FT100" s="1070"/>
      <c r="FU100" s="1070"/>
      <c r="FV100" s="1070"/>
      <c r="FW100" s="1070"/>
      <c r="FX100" s="1070"/>
      <c r="FY100" s="1070"/>
      <c r="FZ100" s="1070"/>
      <c r="GA100" s="1070"/>
      <c r="GB100" s="1028"/>
    </row>
    <row r="101" spans="1:184" s="1007" customFormat="1" ht="24.95" hidden="1" customHeight="1">
      <c r="A101" s="1007">
        <v>35</v>
      </c>
      <c r="B101" s="1062">
        <f t="shared" si="4"/>
        <v>34</v>
      </c>
      <c r="C101" s="1072"/>
      <c r="D101" s="1051" t="s">
        <v>2215</v>
      </c>
      <c r="E101" s="1073" t="s">
        <v>2217</v>
      </c>
      <c r="F101" s="1052"/>
      <c r="G101" s="1053" t="s">
        <v>814</v>
      </c>
      <c r="H101" s="1046">
        <f t="shared" si="9"/>
        <v>0</v>
      </c>
      <c r="I101" s="1088">
        <v>7.5</v>
      </c>
      <c r="J101" s="1046">
        <f t="shared" si="5"/>
        <v>0</v>
      </c>
      <c r="K101" s="1069"/>
      <c r="L101" s="1069"/>
      <c r="M101" s="1069"/>
      <c r="N101" s="1070"/>
      <c r="O101" s="1070"/>
      <c r="P101" s="1070"/>
      <c r="Q101" s="1070"/>
      <c r="R101" s="1070"/>
      <c r="S101" s="1070"/>
      <c r="T101" s="1070"/>
      <c r="U101" s="1069"/>
      <c r="V101" s="1070"/>
      <c r="W101" s="1070"/>
      <c r="X101" s="1070"/>
      <c r="Y101" s="1070"/>
      <c r="Z101" s="1070"/>
      <c r="AA101" s="1070"/>
      <c r="AB101" s="1070"/>
      <c r="AC101" s="1070"/>
      <c r="AD101" s="1070"/>
      <c r="AE101" s="1070"/>
      <c r="AF101" s="1070"/>
      <c r="AG101" s="1070"/>
      <c r="AH101" s="1070"/>
      <c r="AI101" s="1070"/>
      <c r="AJ101" s="1070"/>
      <c r="AK101" s="1070"/>
      <c r="AL101" s="1070"/>
      <c r="AM101" s="1070"/>
      <c r="AN101" s="1070"/>
      <c r="AO101" s="1070"/>
      <c r="AP101" s="1070"/>
      <c r="AQ101" s="1070"/>
      <c r="AR101" s="1070"/>
      <c r="AS101" s="1070"/>
      <c r="AT101" s="1070"/>
      <c r="AU101" s="1070"/>
      <c r="AV101" s="1070"/>
      <c r="AW101" s="1070"/>
      <c r="AX101" s="1070"/>
      <c r="AY101" s="1070"/>
      <c r="AZ101" s="1070"/>
      <c r="BA101" s="1070"/>
      <c r="BB101" s="1070"/>
      <c r="BC101" s="1070"/>
      <c r="BD101" s="1070"/>
      <c r="BE101" s="1070"/>
      <c r="BF101" s="1070"/>
      <c r="BG101" s="1070"/>
      <c r="BH101" s="1070"/>
      <c r="BI101" s="1070"/>
      <c r="BJ101" s="1070"/>
      <c r="BK101" s="1070"/>
      <c r="BL101" s="1070"/>
      <c r="BM101" s="1070"/>
      <c r="BN101" s="1070"/>
      <c r="BO101" s="1070"/>
      <c r="BP101" s="1070"/>
      <c r="BQ101" s="1070"/>
      <c r="BR101" s="1069"/>
      <c r="BS101" s="1069"/>
      <c r="BT101" s="1069"/>
      <c r="BU101" s="1069"/>
      <c r="BV101" s="1069"/>
      <c r="BW101" s="1069"/>
      <c r="BX101" s="1069"/>
      <c r="BY101" s="1069"/>
      <c r="BZ101" s="1069"/>
      <c r="CA101" s="1069"/>
      <c r="CB101" s="1069"/>
      <c r="CC101" s="1069"/>
      <c r="CD101" s="1069"/>
      <c r="CE101" s="1069"/>
      <c r="CF101" s="1069"/>
      <c r="CG101" s="1069"/>
      <c r="CH101" s="1069"/>
      <c r="CI101" s="1069"/>
      <c r="CJ101" s="1069"/>
      <c r="CK101" s="1069"/>
      <c r="CL101" s="1069"/>
      <c r="CM101" s="1069"/>
      <c r="CN101" s="1069"/>
      <c r="CO101" s="1069"/>
      <c r="CP101" s="1069"/>
      <c r="CQ101" s="1069"/>
      <c r="CR101" s="1069"/>
      <c r="CS101" s="1069"/>
      <c r="CT101" s="1069"/>
      <c r="CU101" s="1069"/>
      <c r="CV101" s="1069"/>
      <c r="CW101" s="1069"/>
      <c r="CX101" s="1069"/>
      <c r="CY101" s="1069"/>
      <c r="CZ101" s="1069"/>
      <c r="DA101" s="1069"/>
      <c r="DB101" s="1069"/>
      <c r="DC101" s="1069"/>
      <c r="DD101" s="1069"/>
      <c r="DE101" s="1069"/>
      <c r="DF101" s="1069"/>
      <c r="DG101" s="1069"/>
      <c r="DH101" s="1069"/>
      <c r="DI101" s="1069"/>
      <c r="DJ101" s="1069"/>
      <c r="DK101" s="1069"/>
      <c r="DL101" s="1069"/>
      <c r="DM101" s="1069"/>
      <c r="DN101" s="1069"/>
      <c r="DO101" s="1069"/>
      <c r="DP101" s="1069"/>
      <c r="DQ101" s="1069"/>
      <c r="DR101" s="1069"/>
      <c r="DS101" s="1069"/>
      <c r="DT101" s="1069"/>
      <c r="DU101" s="1069"/>
      <c r="DV101" s="1069"/>
      <c r="DW101" s="1069"/>
      <c r="DX101" s="1069"/>
      <c r="DY101" s="1069"/>
      <c r="DZ101" s="1069"/>
      <c r="EA101" s="1069"/>
      <c r="EB101" s="1069"/>
      <c r="EC101" s="1069"/>
      <c r="ED101" s="1069"/>
      <c r="EE101" s="1069"/>
      <c r="EF101" s="1069"/>
      <c r="EG101" s="1069"/>
      <c r="EH101" s="1069"/>
      <c r="EI101" s="1069"/>
      <c r="EJ101" s="1069"/>
      <c r="EK101" s="1069"/>
      <c r="EL101" s="1069"/>
      <c r="EM101" s="1069"/>
      <c r="EN101" s="1069"/>
      <c r="EO101" s="1070"/>
      <c r="EP101" s="1070"/>
      <c r="EQ101" s="1070"/>
      <c r="ER101" s="1070"/>
      <c r="ES101" s="1070"/>
      <c r="ET101" s="1070"/>
      <c r="EU101" s="1070"/>
      <c r="EV101" s="1070"/>
      <c r="EW101" s="1070"/>
      <c r="EX101" s="1070"/>
      <c r="EY101" s="1070"/>
      <c r="EZ101" s="1070"/>
      <c r="FA101" s="1070"/>
      <c r="FB101" s="1070"/>
      <c r="FC101" s="1070"/>
      <c r="FD101" s="1070"/>
      <c r="FE101" s="1070"/>
      <c r="FF101" s="1070"/>
      <c r="FG101" s="1070"/>
      <c r="FH101" s="1070"/>
      <c r="FI101" s="1070"/>
      <c r="FJ101" s="1070"/>
      <c r="FK101" s="1070"/>
      <c r="FL101" s="1070"/>
      <c r="FM101" s="1070"/>
      <c r="FN101" s="1070"/>
      <c r="FO101" s="1070"/>
      <c r="FP101" s="1070"/>
      <c r="FQ101" s="1070"/>
      <c r="FR101" s="1070"/>
      <c r="FS101" s="1070"/>
      <c r="FT101" s="1070"/>
      <c r="FU101" s="1070"/>
      <c r="FV101" s="1070"/>
      <c r="FW101" s="1070"/>
      <c r="FX101" s="1070"/>
      <c r="FY101" s="1070"/>
      <c r="FZ101" s="1070"/>
      <c r="GA101" s="1070"/>
      <c r="GB101" s="1028"/>
    </row>
    <row r="102" spans="1:184" s="1007" customFormat="1" ht="24.95" hidden="1" customHeight="1">
      <c r="A102" s="1007">
        <v>36</v>
      </c>
      <c r="B102" s="1062">
        <f t="shared" si="4"/>
        <v>35</v>
      </c>
      <c r="C102" s="1072"/>
      <c r="D102" s="1051" t="s">
        <v>2218</v>
      </c>
      <c r="E102" s="1073" t="s">
        <v>2219</v>
      </c>
      <c r="F102" s="1052"/>
      <c r="G102" s="1053" t="s">
        <v>814</v>
      </c>
      <c r="H102" s="1046">
        <f t="shared" si="9"/>
        <v>0</v>
      </c>
      <c r="I102" s="1088">
        <v>7.5</v>
      </c>
      <c r="J102" s="1046">
        <f t="shared" si="5"/>
        <v>0</v>
      </c>
      <c r="K102" s="1069"/>
      <c r="L102" s="1069"/>
      <c r="M102" s="1069"/>
      <c r="N102" s="1070"/>
      <c r="O102" s="1070"/>
      <c r="P102" s="1070"/>
      <c r="Q102" s="1070"/>
      <c r="R102" s="1070"/>
      <c r="S102" s="1070"/>
      <c r="T102" s="1070"/>
      <c r="U102" s="1069"/>
      <c r="V102" s="1070"/>
      <c r="W102" s="1070"/>
      <c r="X102" s="1070"/>
      <c r="Y102" s="1070"/>
      <c r="Z102" s="1070"/>
      <c r="AA102" s="1070"/>
      <c r="AB102" s="1070"/>
      <c r="AC102" s="1070"/>
      <c r="AD102" s="1070"/>
      <c r="AE102" s="1070"/>
      <c r="AF102" s="1070"/>
      <c r="AG102" s="1070"/>
      <c r="AH102" s="1070"/>
      <c r="AI102" s="1070"/>
      <c r="AJ102" s="1070"/>
      <c r="AK102" s="1070"/>
      <c r="AL102" s="1070"/>
      <c r="AM102" s="1070"/>
      <c r="AN102" s="1070"/>
      <c r="AO102" s="1070"/>
      <c r="AP102" s="1070"/>
      <c r="AQ102" s="1070"/>
      <c r="AR102" s="1070"/>
      <c r="AS102" s="1070"/>
      <c r="AT102" s="1070"/>
      <c r="AU102" s="1070"/>
      <c r="AV102" s="1070"/>
      <c r="AW102" s="1070"/>
      <c r="AX102" s="1070"/>
      <c r="AY102" s="1070"/>
      <c r="AZ102" s="1070"/>
      <c r="BA102" s="1070"/>
      <c r="BB102" s="1070"/>
      <c r="BC102" s="1070"/>
      <c r="BD102" s="1070"/>
      <c r="BE102" s="1070"/>
      <c r="BF102" s="1070"/>
      <c r="BG102" s="1070"/>
      <c r="BH102" s="1070"/>
      <c r="BI102" s="1070"/>
      <c r="BJ102" s="1070"/>
      <c r="BK102" s="1070"/>
      <c r="BL102" s="1070"/>
      <c r="BM102" s="1070"/>
      <c r="BN102" s="1070"/>
      <c r="BO102" s="1070"/>
      <c r="BP102" s="1070"/>
      <c r="BQ102" s="1070"/>
      <c r="BR102" s="1069"/>
      <c r="BS102" s="1069"/>
      <c r="BT102" s="1069"/>
      <c r="BU102" s="1069"/>
      <c r="BV102" s="1069"/>
      <c r="BW102" s="1069"/>
      <c r="BX102" s="1069"/>
      <c r="BY102" s="1069"/>
      <c r="BZ102" s="1069"/>
      <c r="CA102" s="1069"/>
      <c r="CB102" s="1069"/>
      <c r="CC102" s="1069"/>
      <c r="CD102" s="1069"/>
      <c r="CE102" s="1069"/>
      <c r="CF102" s="1069"/>
      <c r="CG102" s="1069"/>
      <c r="CH102" s="1069"/>
      <c r="CI102" s="1069"/>
      <c r="CJ102" s="1069"/>
      <c r="CK102" s="1069"/>
      <c r="CL102" s="1069"/>
      <c r="CM102" s="1069"/>
      <c r="CN102" s="1069"/>
      <c r="CO102" s="1069"/>
      <c r="CP102" s="1069"/>
      <c r="CQ102" s="1069"/>
      <c r="CR102" s="1069"/>
      <c r="CS102" s="1069"/>
      <c r="CT102" s="1069"/>
      <c r="CU102" s="1069"/>
      <c r="CV102" s="1069"/>
      <c r="CW102" s="1069"/>
      <c r="CX102" s="1069"/>
      <c r="CY102" s="1069"/>
      <c r="CZ102" s="1069"/>
      <c r="DA102" s="1069"/>
      <c r="DB102" s="1069"/>
      <c r="DC102" s="1069"/>
      <c r="DD102" s="1069"/>
      <c r="DE102" s="1069"/>
      <c r="DF102" s="1069"/>
      <c r="DG102" s="1069"/>
      <c r="DH102" s="1069"/>
      <c r="DI102" s="1069"/>
      <c r="DJ102" s="1069"/>
      <c r="DK102" s="1069"/>
      <c r="DL102" s="1069"/>
      <c r="DM102" s="1069"/>
      <c r="DN102" s="1069"/>
      <c r="DO102" s="1069"/>
      <c r="DP102" s="1069"/>
      <c r="DQ102" s="1069"/>
      <c r="DR102" s="1069"/>
      <c r="DS102" s="1069"/>
      <c r="DT102" s="1069"/>
      <c r="DU102" s="1069"/>
      <c r="DV102" s="1069"/>
      <c r="DW102" s="1069"/>
      <c r="DX102" s="1069"/>
      <c r="DY102" s="1069"/>
      <c r="DZ102" s="1069"/>
      <c r="EA102" s="1069"/>
      <c r="EB102" s="1069"/>
      <c r="EC102" s="1069"/>
      <c r="ED102" s="1069"/>
      <c r="EE102" s="1069"/>
      <c r="EF102" s="1069"/>
      <c r="EG102" s="1069"/>
      <c r="EH102" s="1069"/>
      <c r="EI102" s="1069"/>
      <c r="EJ102" s="1069"/>
      <c r="EK102" s="1069"/>
      <c r="EL102" s="1069"/>
      <c r="EM102" s="1069"/>
      <c r="EN102" s="1069"/>
      <c r="EO102" s="1070"/>
      <c r="EP102" s="1070"/>
      <c r="EQ102" s="1070"/>
      <c r="ER102" s="1070"/>
      <c r="ES102" s="1070"/>
      <c r="ET102" s="1070"/>
      <c r="EU102" s="1070"/>
      <c r="EV102" s="1070"/>
      <c r="EW102" s="1070"/>
      <c r="EX102" s="1070"/>
      <c r="EY102" s="1070"/>
      <c r="EZ102" s="1070"/>
      <c r="FA102" s="1070"/>
      <c r="FB102" s="1070"/>
      <c r="FC102" s="1070"/>
      <c r="FD102" s="1070"/>
      <c r="FE102" s="1070"/>
      <c r="FF102" s="1070"/>
      <c r="FG102" s="1070"/>
      <c r="FH102" s="1070"/>
      <c r="FI102" s="1070"/>
      <c r="FJ102" s="1070"/>
      <c r="FK102" s="1070"/>
      <c r="FL102" s="1070"/>
      <c r="FM102" s="1070"/>
      <c r="FN102" s="1070"/>
      <c r="FO102" s="1070"/>
      <c r="FP102" s="1070"/>
      <c r="FQ102" s="1070"/>
      <c r="FR102" s="1070"/>
      <c r="FS102" s="1070"/>
      <c r="FT102" s="1070"/>
      <c r="FU102" s="1070"/>
      <c r="FV102" s="1070"/>
      <c r="FW102" s="1070"/>
      <c r="FX102" s="1070"/>
      <c r="FY102" s="1070"/>
      <c r="FZ102" s="1070"/>
      <c r="GA102" s="1070"/>
      <c r="GB102" s="1028"/>
    </row>
    <row r="103" spans="1:184" s="1007" customFormat="1" ht="24.95" hidden="1" customHeight="1">
      <c r="A103" s="1007">
        <v>37</v>
      </c>
      <c r="B103" s="1062">
        <f t="shared" si="4"/>
        <v>36</v>
      </c>
      <c r="C103" s="1072"/>
      <c r="D103" s="1051" t="s">
        <v>2220</v>
      </c>
      <c r="E103" s="1073" t="s">
        <v>2221</v>
      </c>
      <c r="F103" s="1052"/>
      <c r="G103" s="1053" t="s">
        <v>337</v>
      </c>
      <c r="H103" s="1046">
        <f t="shared" si="9"/>
        <v>0</v>
      </c>
      <c r="I103" s="1029"/>
      <c r="J103" s="1046">
        <f t="shared" si="5"/>
        <v>0</v>
      </c>
      <c r="K103" s="1069"/>
      <c r="L103" s="1069"/>
      <c r="M103" s="1069"/>
      <c r="N103" s="1070"/>
      <c r="O103" s="1070"/>
      <c r="P103" s="1070"/>
      <c r="Q103" s="1070"/>
      <c r="R103" s="1070"/>
      <c r="S103" s="1070"/>
      <c r="T103" s="1070"/>
      <c r="U103" s="1069"/>
      <c r="V103" s="1070"/>
      <c r="W103" s="1070"/>
      <c r="X103" s="1070"/>
      <c r="Y103" s="1070"/>
      <c r="Z103" s="1070"/>
      <c r="AA103" s="1070"/>
      <c r="AB103" s="1070"/>
      <c r="AC103" s="1070"/>
      <c r="AD103" s="1070"/>
      <c r="AE103" s="1070"/>
      <c r="AF103" s="1070"/>
      <c r="AG103" s="1070"/>
      <c r="AH103" s="1070"/>
      <c r="AI103" s="1070"/>
      <c r="AJ103" s="1070"/>
      <c r="AK103" s="1070"/>
      <c r="AL103" s="1070"/>
      <c r="AM103" s="1070"/>
      <c r="AN103" s="1070"/>
      <c r="AO103" s="1070"/>
      <c r="AP103" s="1070"/>
      <c r="AQ103" s="1070"/>
      <c r="AR103" s="1070"/>
      <c r="AS103" s="1070"/>
      <c r="AT103" s="1070"/>
      <c r="AU103" s="1070"/>
      <c r="AV103" s="1070"/>
      <c r="AW103" s="1070"/>
      <c r="AX103" s="1070"/>
      <c r="AY103" s="1070"/>
      <c r="AZ103" s="1070"/>
      <c r="BA103" s="1070"/>
      <c r="BB103" s="1070"/>
      <c r="BC103" s="1070"/>
      <c r="BD103" s="1070"/>
      <c r="BE103" s="1070"/>
      <c r="BF103" s="1070"/>
      <c r="BG103" s="1070"/>
      <c r="BH103" s="1070"/>
      <c r="BI103" s="1070"/>
      <c r="BJ103" s="1070"/>
      <c r="BK103" s="1070"/>
      <c r="BL103" s="1070"/>
      <c r="BM103" s="1070"/>
      <c r="BN103" s="1070"/>
      <c r="BO103" s="1070"/>
      <c r="BP103" s="1070"/>
      <c r="BQ103" s="1070"/>
      <c r="BR103" s="1069"/>
      <c r="BS103" s="1069"/>
      <c r="BT103" s="1069"/>
      <c r="BU103" s="1069"/>
      <c r="BV103" s="1069"/>
      <c r="BW103" s="1069"/>
      <c r="BX103" s="1069"/>
      <c r="BY103" s="1069"/>
      <c r="BZ103" s="1069"/>
      <c r="CA103" s="1069"/>
      <c r="CB103" s="1069"/>
      <c r="CC103" s="1069"/>
      <c r="CD103" s="1069"/>
      <c r="CE103" s="1069"/>
      <c r="CF103" s="1069"/>
      <c r="CG103" s="1069"/>
      <c r="CH103" s="1069"/>
      <c r="CI103" s="1069"/>
      <c r="CJ103" s="1069"/>
      <c r="CK103" s="1069"/>
      <c r="CL103" s="1069"/>
      <c r="CM103" s="1069"/>
      <c r="CN103" s="1069"/>
      <c r="CO103" s="1069"/>
      <c r="CP103" s="1069"/>
      <c r="CQ103" s="1069"/>
      <c r="CR103" s="1069"/>
      <c r="CS103" s="1069"/>
      <c r="CT103" s="1069"/>
      <c r="CU103" s="1069"/>
      <c r="CV103" s="1069"/>
      <c r="CW103" s="1069"/>
      <c r="CX103" s="1069"/>
      <c r="CY103" s="1069"/>
      <c r="CZ103" s="1069"/>
      <c r="DA103" s="1069"/>
      <c r="DB103" s="1069"/>
      <c r="DC103" s="1069"/>
      <c r="DD103" s="1069"/>
      <c r="DE103" s="1069"/>
      <c r="DF103" s="1069"/>
      <c r="DG103" s="1069"/>
      <c r="DH103" s="1069"/>
      <c r="DI103" s="1069"/>
      <c r="DJ103" s="1069"/>
      <c r="DK103" s="1069"/>
      <c r="DL103" s="1069"/>
      <c r="DM103" s="1069"/>
      <c r="DN103" s="1069"/>
      <c r="DO103" s="1069"/>
      <c r="DP103" s="1069"/>
      <c r="DQ103" s="1069"/>
      <c r="DR103" s="1069"/>
      <c r="DS103" s="1069"/>
      <c r="DT103" s="1069"/>
      <c r="DU103" s="1069"/>
      <c r="DV103" s="1069"/>
      <c r="DW103" s="1069"/>
      <c r="DX103" s="1069"/>
      <c r="DY103" s="1069"/>
      <c r="DZ103" s="1069"/>
      <c r="EA103" s="1069"/>
      <c r="EB103" s="1069"/>
      <c r="EC103" s="1069"/>
      <c r="ED103" s="1069"/>
      <c r="EE103" s="1069"/>
      <c r="EF103" s="1069"/>
      <c r="EG103" s="1069"/>
      <c r="EH103" s="1069"/>
      <c r="EI103" s="1069"/>
      <c r="EJ103" s="1069"/>
      <c r="EK103" s="1069"/>
      <c r="EL103" s="1069"/>
      <c r="EM103" s="1069"/>
      <c r="EN103" s="1069"/>
      <c r="EO103" s="1070"/>
      <c r="EP103" s="1070"/>
      <c r="EQ103" s="1070"/>
      <c r="ER103" s="1070"/>
      <c r="ES103" s="1070"/>
      <c r="ET103" s="1070"/>
      <c r="EU103" s="1070"/>
      <c r="EV103" s="1070"/>
      <c r="EW103" s="1070"/>
      <c r="EX103" s="1070"/>
      <c r="EY103" s="1070"/>
      <c r="EZ103" s="1070"/>
      <c r="FA103" s="1070"/>
      <c r="FB103" s="1070"/>
      <c r="FC103" s="1070"/>
      <c r="FD103" s="1070"/>
      <c r="FE103" s="1070"/>
      <c r="FF103" s="1070"/>
      <c r="FG103" s="1070"/>
      <c r="FH103" s="1070"/>
      <c r="FI103" s="1070"/>
      <c r="FJ103" s="1070"/>
      <c r="FK103" s="1070"/>
      <c r="FL103" s="1070"/>
      <c r="FM103" s="1070"/>
      <c r="FN103" s="1070"/>
      <c r="FO103" s="1070"/>
      <c r="FP103" s="1070"/>
      <c r="FQ103" s="1070"/>
      <c r="FR103" s="1070"/>
      <c r="FS103" s="1070"/>
      <c r="FT103" s="1070"/>
      <c r="FU103" s="1070"/>
      <c r="FV103" s="1070"/>
      <c r="FW103" s="1070"/>
      <c r="FX103" s="1070"/>
      <c r="FY103" s="1070"/>
      <c r="FZ103" s="1070"/>
      <c r="GA103" s="1070"/>
      <c r="GB103" s="1028"/>
    </row>
    <row r="104" spans="1:184" s="1007" customFormat="1" ht="24.95" customHeight="1">
      <c r="A104" s="1007">
        <v>37</v>
      </c>
      <c r="B104" s="1062">
        <f t="shared" si="4"/>
        <v>37</v>
      </c>
      <c r="C104" s="1072"/>
      <c r="D104" s="1051" t="s">
        <v>2222</v>
      </c>
      <c r="E104" s="1073" t="s">
        <v>2223</v>
      </c>
      <c r="F104" s="1052"/>
      <c r="G104" s="1053" t="s">
        <v>337</v>
      </c>
      <c r="H104" s="1046">
        <f t="shared" si="9"/>
        <v>32</v>
      </c>
      <c r="I104" s="1029"/>
      <c r="J104" s="1046">
        <f t="shared" si="5"/>
        <v>32</v>
      </c>
      <c r="K104" s="1069">
        <v>8</v>
      </c>
      <c r="L104" s="1070">
        <f>L26*4-L26*4+L115*4+((L98+L99)/2/1.5*2)</f>
        <v>0</v>
      </c>
      <c r="M104" s="1070">
        <f>M26*4-M26*4+M115*4+((M98+M99)/2/1.5*2)</f>
        <v>0</v>
      </c>
      <c r="N104" s="1070">
        <f>N26*4-N26*4+N115*4+((N98+N99)/2/1.5*2)</f>
        <v>0</v>
      </c>
      <c r="O104" s="1070">
        <f>O26*4-O26*4+O115*4+((O98+O99)/2/1.5*2)</f>
        <v>0</v>
      </c>
      <c r="P104" s="1093">
        <f t="shared" ref="P104:AJ104" si="24">ROUNDUP((P26*4+P115*4+((P98+P99)/2/1.5*2)),0)</f>
        <v>0</v>
      </c>
      <c r="Q104" s="1093">
        <f t="shared" si="24"/>
        <v>0</v>
      </c>
      <c r="R104" s="1070">
        <f t="shared" si="24"/>
        <v>0</v>
      </c>
      <c r="S104" s="1070">
        <f t="shared" si="24"/>
        <v>0</v>
      </c>
      <c r="T104" s="1070">
        <f t="shared" si="24"/>
        <v>0</v>
      </c>
      <c r="U104" s="1070">
        <f t="shared" si="24"/>
        <v>0</v>
      </c>
      <c r="V104" s="1070">
        <f t="shared" si="24"/>
        <v>0</v>
      </c>
      <c r="W104" s="1070">
        <f t="shared" si="24"/>
        <v>0</v>
      </c>
      <c r="X104" s="1070">
        <f t="shared" si="24"/>
        <v>0</v>
      </c>
      <c r="Y104" s="1070">
        <f t="shared" si="24"/>
        <v>0</v>
      </c>
      <c r="Z104" s="1070">
        <f t="shared" si="24"/>
        <v>0</v>
      </c>
      <c r="AA104" s="1070">
        <f t="shared" si="24"/>
        <v>0</v>
      </c>
      <c r="AB104" s="1070">
        <f t="shared" si="24"/>
        <v>0</v>
      </c>
      <c r="AC104" s="1070">
        <f t="shared" si="24"/>
        <v>0</v>
      </c>
      <c r="AD104" s="1070">
        <f t="shared" si="24"/>
        <v>0</v>
      </c>
      <c r="AE104" s="1070">
        <f t="shared" si="24"/>
        <v>0</v>
      </c>
      <c r="AF104" s="1070">
        <f t="shared" si="24"/>
        <v>0</v>
      </c>
      <c r="AG104" s="1070">
        <f t="shared" si="24"/>
        <v>0</v>
      </c>
      <c r="AH104" s="1070">
        <f t="shared" si="24"/>
        <v>0</v>
      </c>
      <c r="AI104" s="1070">
        <f t="shared" si="24"/>
        <v>0</v>
      </c>
      <c r="AJ104" s="1070">
        <f t="shared" si="24"/>
        <v>0</v>
      </c>
      <c r="AK104" s="1070"/>
      <c r="AL104" s="1070"/>
      <c r="AM104" s="1070"/>
      <c r="AN104" s="1070"/>
      <c r="AO104" s="1070"/>
      <c r="AP104" s="1070"/>
      <c r="AQ104" s="1070"/>
      <c r="AR104" s="1070"/>
      <c r="AS104" s="1070"/>
      <c r="AT104" s="1070"/>
      <c r="AU104" s="1070"/>
      <c r="AV104" s="1070"/>
      <c r="AW104" s="1070"/>
      <c r="AX104" s="1070"/>
      <c r="AY104" s="1070"/>
      <c r="AZ104" s="1070"/>
      <c r="BA104" s="1070"/>
      <c r="BB104" s="1070"/>
      <c r="BC104" s="1070"/>
      <c r="BD104" s="1070"/>
      <c r="BE104" s="1070"/>
      <c r="BF104" s="1070"/>
      <c r="BG104" s="1070"/>
      <c r="BH104" s="1070"/>
      <c r="BI104" s="1070"/>
      <c r="BJ104" s="1070"/>
      <c r="BK104" s="1070"/>
      <c r="BL104" s="1070"/>
      <c r="BM104" s="1070"/>
      <c r="BN104" s="1070"/>
      <c r="BO104" s="1070"/>
      <c r="BP104" s="1070"/>
      <c r="BQ104" s="1070"/>
      <c r="BR104" s="1069"/>
      <c r="BS104" s="1069"/>
      <c r="BT104" s="1069"/>
      <c r="BU104" s="1069"/>
      <c r="BV104" s="1069"/>
      <c r="BW104" s="1069"/>
      <c r="BX104" s="1069"/>
      <c r="BY104" s="1069"/>
      <c r="BZ104" s="1069"/>
      <c r="CA104" s="1069"/>
      <c r="CB104" s="1069"/>
      <c r="CC104" s="1069"/>
      <c r="CD104" s="1069"/>
      <c r="CE104" s="1069"/>
      <c r="CF104" s="1069"/>
      <c r="CG104" s="1069"/>
      <c r="CH104" s="1069"/>
      <c r="CI104" s="1069"/>
      <c r="CJ104" s="1069"/>
      <c r="CK104" s="1069"/>
      <c r="CL104" s="1069"/>
      <c r="CM104" s="1069"/>
      <c r="CN104" s="1069"/>
      <c r="CO104" s="1069"/>
      <c r="CP104" s="1069"/>
      <c r="CQ104" s="1069"/>
      <c r="CR104" s="1069"/>
      <c r="CS104" s="1069"/>
      <c r="CT104" s="1069"/>
      <c r="CU104" s="1069"/>
      <c r="CV104" s="1069"/>
      <c r="CW104" s="1069"/>
      <c r="CX104" s="1069"/>
      <c r="CY104" s="1069"/>
      <c r="CZ104" s="1069"/>
      <c r="DA104" s="1069"/>
      <c r="DB104" s="1069"/>
      <c r="DC104" s="1069"/>
      <c r="DD104" s="1069"/>
      <c r="DE104" s="1069"/>
      <c r="DF104" s="1069"/>
      <c r="DG104" s="1069"/>
      <c r="DH104" s="1069"/>
      <c r="DI104" s="1069"/>
      <c r="DJ104" s="1069"/>
      <c r="DK104" s="1069"/>
      <c r="DL104" s="1069"/>
      <c r="DM104" s="1069"/>
      <c r="DN104" s="1069"/>
      <c r="DO104" s="1069"/>
      <c r="DP104" s="1069"/>
      <c r="DQ104" s="1069"/>
      <c r="DR104" s="1069"/>
      <c r="DS104" s="1069"/>
      <c r="DT104" s="1069"/>
      <c r="DU104" s="1069"/>
      <c r="DV104" s="1069"/>
      <c r="DW104" s="1069"/>
      <c r="DX104" s="1069"/>
      <c r="DY104" s="1069"/>
      <c r="DZ104" s="1069"/>
      <c r="EA104" s="1069"/>
      <c r="EB104" s="1069"/>
      <c r="EC104" s="1069"/>
      <c r="ED104" s="1069"/>
      <c r="EE104" s="1069"/>
      <c r="EF104" s="1069"/>
      <c r="EG104" s="1069"/>
      <c r="EH104" s="1069">
        <v>4</v>
      </c>
      <c r="EI104" s="1069">
        <v>4</v>
      </c>
      <c r="EJ104" s="1069">
        <v>4</v>
      </c>
      <c r="EK104" s="1069">
        <v>4</v>
      </c>
      <c r="EL104" s="1069">
        <v>4</v>
      </c>
      <c r="EM104" s="1069">
        <v>4</v>
      </c>
      <c r="EN104" s="1069"/>
      <c r="EO104" s="1070">
        <f t="shared" ref="EO104:FJ104" si="25">ROUNDUP((EO26*4+EO115*4+((EO98+EO99)/2/1.5*2)),0)</f>
        <v>0</v>
      </c>
      <c r="EP104" s="1070">
        <f t="shared" ref="EP104:EY104" si="26">ROUNDUP((EP26*4+EP115*4+((EP98+EP99)/2/1.5*2)),0)</f>
        <v>0</v>
      </c>
      <c r="EQ104" s="1070">
        <f t="shared" si="26"/>
        <v>0</v>
      </c>
      <c r="ER104" s="1070">
        <f t="shared" si="26"/>
        <v>0</v>
      </c>
      <c r="ES104" s="1070"/>
      <c r="ET104" s="1070">
        <f t="shared" si="26"/>
        <v>0</v>
      </c>
      <c r="EU104" s="1070">
        <f t="shared" si="26"/>
        <v>0</v>
      </c>
      <c r="EV104" s="1070">
        <f t="shared" si="26"/>
        <v>0</v>
      </c>
      <c r="EW104" s="1070">
        <f t="shared" si="26"/>
        <v>0</v>
      </c>
      <c r="EX104" s="1070">
        <f t="shared" si="26"/>
        <v>0</v>
      </c>
      <c r="EY104" s="1070">
        <f t="shared" si="26"/>
        <v>0</v>
      </c>
      <c r="EZ104" s="1070"/>
      <c r="FA104" s="1070"/>
      <c r="FB104" s="1070"/>
      <c r="FC104" s="1070"/>
      <c r="FD104" s="1070">
        <f t="shared" si="25"/>
        <v>0</v>
      </c>
      <c r="FE104" s="1070">
        <f t="shared" si="25"/>
        <v>0</v>
      </c>
      <c r="FF104" s="1070">
        <f t="shared" si="25"/>
        <v>0</v>
      </c>
      <c r="FG104" s="1070">
        <f t="shared" si="25"/>
        <v>0</v>
      </c>
      <c r="FH104" s="1070">
        <f t="shared" si="25"/>
        <v>0</v>
      </c>
      <c r="FI104" s="1070">
        <f t="shared" si="25"/>
        <v>0</v>
      </c>
      <c r="FJ104" s="1070">
        <f t="shared" si="25"/>
        <v>0</v>
      </c>
      <c r="FK104" s="1070">
        <f t="shared" ref="FK104:FN104" si="27">ROUNDUP((FK26*4+FK115*4+((FK98+FK99)/2/1.5*2)),0)</f>
        <v>0</v>
      </c>
      <c r="FL104" s="1070">
        <f t="shared" si="27"/>
        <v>0</v>
      </c>
      <c r="FM104" s="1070">
        <f t="shared" si="27"/>
        <v>0</v>
      </c>
      <c r="FN104" s="1070">
        <f t="shared" si="27"/>
        <v>0</v>
      </c>
      <c r="FO104" s="1070">
        <f t="shared" ref="FO104:FP104" si="28">ROUNDUP((FO26*4+FO115*4+((FO98+FO99)/2/1.5*2)),0)</f>
        <v>0</v>
      </c>
      <c r="FP104" s="1070">
        <f t="shared" si="28"/>
        <v>0</v>
      </c>
      <c r="FQ104" s="1070">
        <f t="shared" ref="FQ104:FT104" si="29">ROUNDUP((FQ26*4+FQ115*4+((FQ98+FQ99)/2/1.5*2)),0)</f>
        <v>0</v>
      </c>
      <c r="FR104" s="1070">
        <f t="shared" si="29"/>
        <v>0</v>
      </c>
      <c r="FS104" s="1070">
        <f t="shared" si="29"/>
        <v>0</v>
      </c>
      <c r="FT104" s="1070">
        <f t="shared" si="29"/>
        <v>0</v>
      </c>
      <c r="FU104" s="1070">
        <f t="shared" ref="FU104:FX104" si="30">ROUNDUP((FU26*4+FU115*4+((FU98+FU99)/2/1.5*2)),0)</f>
        <v>0</v>
      </c>
      <c r="FV104" s="1070">
        <f t="shared" si="30"/>
        <v>0</v>
      </c>
      <c r="FW104" s="1070">
        <f t="shared" si="30"/>
        <v>0</v>
      </c>
      <c r="FX104" s="1070">
        <f t="shared" si="30"/>
        <v>0</v>
      </c>
      <c r="FY104" s="1070">
        <f t="shared" ref="FY104" si="31">ROUNDUP((FY26*4+FY115*4+((FY98+FY99)/2/1.5*2)),0)</f>
        <v>0</v>
      </c>
      <c r="FZ104" s="1070"/>
      <c r="GA104" s="1070"/>
      <c r="GB104" s="1028"/>
    </row>
    <row r="105" spans="1:184" s="1007" customFormat="1" ht="24.95" hidden="1" customHeight="1">
      <c r="A105" s="1007">
        <v>38</v>
      </c>
      <c r="B105" s="1062">
        <f t="shared" si="4"/>
        <v>38</v>
      </c>
      <c r="C105" s="1072"/>
      <c r="D105" s="1051" t="s">
        <v>2224</v>
      </c>
      <c r="E105" s="1073" t="s">
        <v>2225</v>
      </c>
      <c r="F105" s="1052"/>
      <c r="G105" s="1053" t="s">
        <v>40</v>
      </c>
      <c r="H105" s="1046">
        <f>ROUNDUP(J105+INT(J105*I105/100),1)</f>
        <v>0</v>
      </c>
      <c r="I105" s="1094"/>
      <c r="J105" s="1046">
        <f t="shared" si="5"/>
        <v>0</v>
      </c>
      <c r="K105" s="1069"/>
      <c r="L105" s="1093">
        <f t="shared" ref="L105:AJ105" si="32">(L99+L98+L101+L100)/2/1.5*0.2</f>
        <v>0</v>
      </c>
      <c r="M105" s="1093">
        <f t="shared" si="32"/>
        <v>0</v>
      </c>
      <c r="N105" s="1093">
        <f t="shared" si="32"/>
        <v>0</v>
      </c>
      <c r="O105" s="1093">
        <f t="shared" si="32"/>
        <v>0</v>
      </c>
      <c r="P105" s="1093">
        <f t="shared" si="32"/>
        <v>0</v>
      </c>
      <c r="Q105" s="1093">
        <f>(Q99+Q98+Q101+Q100)/2/1.5*0.2</f>
        <v>0</v>
      </c>
      <c r="R105" s="1093">
        <f>(R99+R98+R101+R100)/2/1.5*0.2</f>
        <v>0</v>
      </c>
      <c r="S105" s="1093">
        <f>(S99+S98+S101+S100)/2/1.5*0.2</f>
        <v>0</v>
      </c>
      <c r="T105" s="1093">
        <f>(T99+T98+T101+T100)/2/1.5*0.2</f>
        <v>0</v>
      </c>
      <c r="U105" s="1093">
        <f t="shared" si="32"/>
        <v>0</v>
      </c>
      <c r="V105" s="1093">
        <f t="shared" si="32"/>
        <v>0</v>
      </c>
      <c r="W105" s="1093">
        <f t="shared" si="32"/>
        <v>0</v>
      </c>
      <c r="X105" s="1093">
        <f t="shared" si="32"/>
        <v>0</v>
      </c>
      <c r="Y105" s="1093">
        <f t="shared" si="32"/>
        <v>0</v>
      </c>
      <c r="Z105" s="1093">
        <f t="shared" si="32"/>
        <v>0</v>
      </c>
      <c r="AA105" s="1093">
        <f t="shared" si="32"/>
        <v>0</v>
      </c>
      <c r="AB105" s="1093">
        <f t="shared" si="32"/>
        <v>0</v>
      </c>
      <c r="AC105" s="1093">
        <f t="shared" si="32"/>
        <v>0</v>
      </c>
      <c r="AD105" s="1093">
        <f t="shared" si="32"/>
        <v>0</v>
      </c>
      <c r="AE105" s="1093">
        <f t="shared" si="32"/>
        <v>0</v>
      </c>
      <c r="AF105" s="1093">
        <f t="shared" si="32"/>
        <v>0</v>
      </c>
      <c r="AG105" s="1093">
        <f t="shared" si="32"/>
        <v>0</v>
      </c>
      <c r="AH105" s="1093">
        <f t="shared" si="32"/>
        <v>0</v>
      </c>
      <c r="AI105" s="1093">
        <f t="shared" si="32"/>
        <v>0</v>
      </c>
      <c r="AJ105" s="1093">
        <f t="shared" si="32"/>
        <v>0</v>
      </c>
      <c r="AK105" s="1093"/>
      <c r="AL105" s="1093"/>
      <c r="AM105" s="1093"/>
      <c r="AN105" s="1093"/>
      <c r="AO105" s="1093"/>
      <c r="AP105" s="1093"/>
      <c r="AQ105" s="1093"/>
      <c r="AR105" s="1093"/>
      <c r="AS105" s="1093"/>
      <c r="AT105" s="1093"/>
      <c r="AU105" s="1093"/>
      <c r="AV105" s="1093"/>
      <c r="AW105" s="1093"/>
      <c r="AX105" s="1093"/>
      <c r="AY105" s="1093"/>
      <c r="AZ105" s="1093"/>
      <c r="BA105" s="1093"/>
      <c r="BB105" s="1093"/>
      <c r="BC105" s="1093"/>
      <c r="BD105" s="1093"/>
      <c r="BE105" s="1093"/>
      <c r="BF105" s="1093"/>
      <c r="BG105" s="1093"/>
      <c r="BH105" s="1093"/>
      <c r="BI105" s="1093"/>
      <c r="BJ105" s="1093"/>
      <c r="BK105" s="1093"/>
      <c r="BL105" s="1093"/>
      <c r="BM105" s="1093"/>
      <c r="BN105" s="1093"/>
      <c r="BO105" s="1093"/>
      <c r="BP105" s="1093"/>
      <c r="BQ105" s="1093"/>
      <c r="BR105" s="1185"/>
      <c r="BS105" s="1185"/>
      <c r="BT105" s="1185"/>
      <c r="BU105" s="1185"/>
      <c r="BV105" s="1185"/>
      <c r="BW105" s="1185"/>
      <c r="BX105" s="1185"/>
      <c r="BY105" s="1185"/>
      <c r="BZ105" s="1185"/>
      <c r="CA105" s="1185"/>
      <c r="CB105" s="1185"/>
      <c r="CC105" s="1185"/>
      <c r="CD105" s="1185"/>
      <c r="CE105" s="1185"/>
      <c r="CF105" s="1185"/>
      <c r="CG105" s="1185"/>
      <c r="CH105" s="1185"/>
      <c r="CI105" s="1185"/>
      <c r="CJ105" s="1185"/>
      <c r="CK105" s="1185"/>
      <c r="CL105" s="1185"/>
      <c r="CM105" s="1185"/>
      <c r="CN105" s="1185"/>
      <c r="CO105" s="1185"/>
      <c r="CP105" s="1185"/>
      <c r="CQ105" s="1185"/>
      <c r="CR105" s="1185"/>
      <c r="CS105" s="1185"/>
      <c r="CT105" s="1185"/>
      <c r="CU105" s="1185"/>
      <c r="CV105" s="1185"/>
      <c r="CW105" s="1185"/>
      <c r="CX105" s="1185"/>
      <c r="CY105" s="1185"/>
      <c r="CZ105" s="1185"/>
      <c r="DA105" s="1185"/>
      <c r="DB105" s="1185"/>
      <c r="DC105" s="1185"/>
      <c r="DD105" s="1185"/>
      <c r="DE105" s="1185"/>
      <c r="DF105" s="1185"/>
      <c r="DG105" s="1185"/>
      <c r="DH105" s="1185"/>
      <c r="DI105" s="1185"/>
      <c r="DJ105" s="1185"/>
      <c r="DK105" s="1185"/>
      <c r="DL105" s="1185"/>
      <c r="DM105" s="1185"/>
      <c r="DN105" s="1185"/>
      <c r="DO105" s="1185"/>
      <c r="DP105" s="1185"/>
      <c r="DQ105" s="1185"/>
      <c r="DR105" s="1185"/>
      <c r="DS105" s="1185"/>
      <c r="DT105" s="1185"/>
      <c r="DU105" s="1185"/>
      <c r="DV105" s="1185"/>
      <c r="DW105" s="1185"/>
      <c r="DX105" s="1185"/>
      <c r="DY105" s="1185"/>
      <c r="DZ105" s="1185"/>
      <c r="EA105" s="1185"/>
      <c r="EB105" s="1185"/>
      <c r="EC105" s="1185"/>
      <c r="ED105" s="1185"/>
      <c r="EE105" s="1185"/>
      <c r="EF105" s="1185"/>
      <c r="EG105" s="1069"/>
      <c r="EH105" s="1069"/>
      <c r="EI105" s="1069"/>
      <c r="EJ105" s="1069"/>
      <c r="EK105" s="1069"/>
      <c r="EL105" s="1069"/>
      <c r="EM105" s="1069"/>
      <c r="EN105" s="1069"/>
      <c r="EO105" s="1070"/>
      <c r="EP105" s="1070"/>
      <c r="EQ105" s="1070"/>
      <c r="ER105" s="1070"/>
      <c r="ES105" s="1070"/>
      <c r="ET105" s="1070"/>
      <c r="EU105" s="1070"/>
      <c r="EV105" s="1070"/>
      <c r="EW105" s="1070"/>
      <c r="EX105" s="1070"/>
      <c r="EY105" s="1070"/>
      <c r="EZ105" s="1070"/>
      <c r="FA105" s="1070"/>
      <c r="FB105" s="1070"/>
      <c r="FC105" s="1070"/>
      <c r="FD105" s="1070"/>
      <c r="FE105" s="1070"/>
      <c r="FF105" s="1070"/>
      <c r="FG105" s="1070"/>
      <c r="FH105" s="1070"/>
      <c r="FI105" s="1070"/>
      <c r="FJ105" s="1070"/>
      <c r="FK105" s="1070"/>
      <c r="FL105" s="1070"/>
      <c r="FM105" s="1070"/>
      <c r="FN105" s="1070"/>
      <c r="FO105" s="1070"/>
      <c r="FP105" s="1070"/>
      <c r="FQ105" s="1070"/>
      <c r="FR105" s="1070"/>
      <c r="FS105" s="1070"/>
      <c r="FT105" s="1070"/>
      <c r="FU105" s="1070"/>
      <c r="FV105" s="1070"/>
      <c r="FW105" s="1070"/>
      <c r="FX105" s="1070"/>
      <c r="FY105" s="1070"/>
      <c r="FZ105" s="1070"/>
      <c r="GA105" s="1070"/>
      <c r="GB105" s="1046"/>
    </row>
    <row r="106" spans="1:184" s="1007" customFormat="1" ht="24.95" hidden="1" customHeight="1">
      <c r="A106" s="1007">
        <v>39</v>
      </c>
      <c r="B106" s="1062">
        <f t="shared" si="4"/>
        <v>39</v>
      </c>
      <c r="C106" s="1072"/>
      <c r="D106" s="1051" t="s">
        <v>2226</v>
      </c>
      <c r="E106" s="1073" t="s">
        <v>2227</v>
      </c>
      <c r="F106" s="1052"/>
      <c r="G106" s="1053" t="s">
        <v>337</v>
      </c>
      <c r="H106" s="1046">
        <f t="shared" ref="H106:H126" si="33">ROUNDUP(J106+INT(J106*I106/100),1)</f>
        <v>0</v>
      </c>
      <c r="I106" s="1088"/>
      <c r="J106" s="1046">
        <f t="shared" ref="J106:J126" si="34">ROUNDUP(SUM(K106:GA106),1)</f>
        <v>0</v>
      </c>
      <c r="K106" s="1069"/>
      <c r="L106" s="1095">
        <f t="shared" ref="L106:R106" si="35">ROUNDDOWN((L98+L100)/1.5,0)</f>
        <v>0</v>
      </c>
      <c r="M106" s="1095">
        <f t="shared" si="35"/>
        <v>0</v>
      </c>
      <c r="N106" s="1095">
        <f t="shared" si="35"/>
        <v>0</v>
      </c>
      <c r="O106" s="1095">
        <f t="shared" si="35"/>
        <v>0</v>
      </c>
      <c r="P106" s="1095">
        <f t="shared" si="35"/>
        <v>0</v>
      </c>
      <c r="Q106" s="1095">
        <f t="shared" si="35"/>
        <v>0</v>
      </c>
      <c r="R106" s="1095">
        <f t="shared" si="35"/>
        <v>0</v>
      </c>
      <c r="S106" s="1095">
        <f>ROUNDDOWN((S98+S100)/1.5,0)</f>
        <v>0</v>
      </c>
      <c r="T106" s="1095">
        <f>ROUNDDOWN((T98+T100)/1.5,0)</f>
        <v>0</v>
      </c>
      <c r="U106" s="1095">
        <f t="shared" ref="U106:AJ106" si="36">ROUNDDOWN((U98+U100)/1.5,0)</f>
        <v>0</v>
      </c>
      <c r="V106" s="1095">
        <f t="shared" si="36"/>
        <v>0</v>
      </c>
      <c r="W106" s="1095">
        <f t="shared" si="36"/>
        <v>0</v>
      </c>
      <c r="X106" s="1095">
        <f t="shared" si="36"/>
        <v>0</v>
      </c>
      <c r="Y106" s="1095">
        <f t="shared" si="36"/>
        <v>0</v>
      </c>
      <c r="Z106" s="1095">
        <f t="shared" si="36"/>
        <v>0</v>
      </c>
      <c r="AA106" s="1095">
        <f t="shared" si="36"/>
        <v>0</v>
      </c>
      <c r="AB106" s="1095">
        <f t="shared" si="36"/>
        <v>0</v>
      </c>
      <c r="AC106" s="1095">
        <f t="shared" si="36"/>
        <v>0</v>
      </c>
      <c r="AD106" s="1095">
        <f t="shared" si="36"/>
        <v>0</v>
      </c>
      <c r="AE106" s="1095">
        <f t="shared" si="36"/>
        <v>0</v>
      </c>
      <c r="AF106" s="1095">
        <f t="shared" si="36"/>
        <v>0</v>
      </c>
      <c r="AG106" s="1095">
        <f t="shared" si="36"/>
        <v>0</v>
      </c>
      <c r="AH106" s="1095">
        <f t="shared" si="36"/>
        <v>0</v>
      </c>
      <c r="AI106" s="1095">
        <f t="shared" si="36"/>
        <v>0</v>
      </c>
      <c r="AJ106" s="1095">
        <f t="shared" si="36"/>
        <v>0</v>
      </c>
      <c r="AK106" s="1095"/>
      <c r="AL106" s="1095"/>
      <c r="AM106" s="1095"/>
      <c r="AN106" s="1095"/>
      <c r="AO106" s="1095"/>
      <c r="AP106" s="1095"/>
      <c r="AQ106" s="1095"/>
      <c r="AR106" s="1095"/>
      <c r="AS106" s="1095"/>
      <c r="AT106" s="1095"/>
      <c r="AU106" s="1095"/>
      <c r="AV106" s="1095"/>
      <c r="AW106" s="1095"/>
      <c r="AX106" s="1095"/>
      <c r="AY106" s="1095"/>
      <c r="AZ106" s="1095"/>
      <c r="BA106" s="1095"/>
      <c r="BB106" s="1095"/>
      <c r="BC106" s="1095"/>
      <c r="BD106" s="1095"/>
      <c r="BE106" s="1095"/>
      <c r="BF106" s="1095"/>
      <c r="BG106" s="1095"/>
      <c r="BH106" s="1095"/>
      <c r="BI106" s="1095"/>
      <c r="BJ106" s="1095"/>
      <c r="BK106" s="1095"/>
      <c r="BL106" s="1095"/>
      <c r="BM106" s="1095"/>
      <c r="BN106" s="1095"/>
      <c r="BO106" s="1095"/>
      <c r="BP106" s="1095"/>
      <c r="BQ106" s="1095"/>
      <c r="BR106" s="1098"/>
      <c r="BS106" s="1098"/>
      <c r="BT106" s="1098"/>
      <c r="BU106" s="1098"/>
      <c r="BV106" s="1098"/>
      <c r="BW106" s="1098"/>
      <c r="BX106" s="1098"/>
      <c r="BY106" s="1098"/>
      <c r="BZ106" s="1098"/>
      <c r="CA106" s="1098"/>
      <c r="CB106" s="1098"/>
      <c r="CC106" s="1098"/>
      <c r="CD106" s="1098"/>
      <c r="CE106" s="1098"/>
      <c r="CF106" s="1098"/>
      <c r="CG106" s="1098"/>
      <c r="CH106" s="1098"/>
      <c r="CI106" s="1098"/>
      <c r="CJ106" s="1098"/>
      <c r="CK106" s="1098"/>
      <c r="CL106" s="1098"/>
      <c r="CM106" s="1098"/>
      <c r="CN106" s="1098"/>
      <c r="CO106" s="1098"/>
      <c r="CP106" s="1098"/>
      <c r="CQ106" s="1098"/>
      <c r="CR106" s="1098"/>
      <c r="CS106" s="1098"/>
      <c r="CT106" s="1098"/>
      <c r="CU106" s="1098"/>
      <c r="CV106" s="1098"/>
      <c r="CW106" s="1098"/>
      <c r="CX106" s="1098"/>
      <c r="CY106" s="1098"/>
      <c r="CZ106" s="1098"/>
      <c r="DA106" s="1098"/>
      <c r="DB106" s="1098"/>
      <c r="DC106" s="1098"/>
      <c r="DD106" s="1098"/>
      <c r="DE106" s="1098"/>
      <c r="DF106" s="1098"/>
      <c r="DG106" s="1098"/>
      <c r="DH106" s="1098"/>
      <c r="DI106" s="1098"/>
      <c r="DJ106" s="1098"/>
      <c r="DK106" s="1098"/>
      <c r="DL106" s="1098"/>
      <c r="DM106" s="1098"/>
      <c r="DN106" s="1098"/>
      <c r="DO106" s="1098"/>
      <c r="DP106" s="1098"/>
      <c r="DQ106" s="1098"/>
      <c r="DR106" s="1098"/>
      <c r="DS106" s="1098"/>
      <c r="DT106" s="1098"/>
      <c r="DU106" s="1098"/>
      <c r="DV106" s="1098"/>
      <c r="DW106" s="1098"/>
      <c r="DX106" s="1098"/>
      <c r="DY106" s="1098"/>
      <c r="DZ106" s="1098"/>
      <c r="EA106" s="1098"/>
      <c r="EB106" s="1098"/>
      <c r="EC106" s="1098"/>
      <c r="ED106" s="1098"/>
      <c r="EE106" s="1098"/>
      <c r="EF106" s="1098"/>
      <c r="EG106" s="1069"/>
      <c r="EH106" s="1069"/>
      <c r="EI106" s="1069"/>
      <c r="EJ106" s="1069"/>
      <c r="EK106" s="1069"/>
      <c r="EL106" s="1069"/>
      <c r="EM106" s="1069"/>
      <c r="EN106" s="1069"/>
      <c r="EO106" s="1070"/>
      <c r="EP106" s="1070"/>
      <c r="EQ106" s="1070"/>
      <c r="ER106" s="1070"/>
      <c r="ES106" s="1070"/>
      <c r="ET106" s="1070"/>
      <c r="EU106" s="1070"/>
      <c r="EV106" s="1070"/>
      <c r="EW106" s="1070"/>
      <c r="EX106" s="1070"/>
      <c r="EY106" s="1070"/>
      <c r="EZ106" s="1070"/>
      <c r="FA106" s="1070"/>
      <c r="FB106" s="1070"/>
      <c r="FC106" s="1070"/>
      <c r="FD106" s="1070"/>
      <c r="FE106" s="1070"/>
      <c r="FF106" s="1070"/>
      <c r="FG106" s="1070"/>
      <c r="FH106" s="1070"/>
      <c r="FI106" s="1070"/>
      <c r="FJ106" s="1070"/>
      <c r="FK106" s="1070"/>
      <c r="FL106" s="1070"/>
      <c r="FM106" s="1070"/>
      <c r="FN106" s="1070"/>
      <c r="FO106" s="1070"/>
      <c r="FP106" s="1070"/>
      <c r="FQ106" s="1070"/>
      <c r="FR106" s="1070"/>
      <c r="FS106" s="1070"/>
      <c r="FT106" s="1070"/>
      <c r="FU106" s="1070"/>
      <c r="FV106" s="1070"/>
      <c r="FW106" s="1070"/>
      <c r="FX106" s="1070"/>
      <c r="FY106" s="1070"/>
      <c r="FZ106" s="1070"/>
      <c r="GA106" s="1070"/>
      <c r="GB106" s="1046"/>
    </row>
    <row r="107" spans="1:184" s="1007" customFormat="1" ht="24.95" hidden="1" customHeight="1">
      <c r="A107" s="1007">
        <v>40</v>
      </c>
      <c r="B107" s="1062">
        <f t="shared" si="4"/>
        <v>40</v>
      </c>
      <c r="C107" s="1072"/>
      <c r="D107" s="1051" t="s">
        <v>2226</v>
      </c>
      <c r="E107" s="1073" t="s">
        <v>2228</v>
      </c>
      <c r="F107" s="1052"/>
      <c r="G107" s="1053" t="s">
        <v>337</v>
      </c>
      <c r="H107" s="1046">
        <f t="shared" si="33"/>
        <v>0</v>
      </c>
      <c r="I107" s="1088"/>
      <c r="J107" s="1046">
        <f t="shared" si="34"/>
        <v>0</v>
      </c>
      <c r="K107" s="1069"/>
      <c r="L107" s="1095">
        <f t="shared" ref="L107:AJ107" si="37">ROUNDUP((L99+L101)/1.5,0)</f>
        <v>0</v>
      </c>
      <c r="M107" s="1095">
        <f t="shared" si="37"/>
        <v>0</v>
      </c>
      <c r="N107" s="1095">
        <f t="shared" si="37"/>
        <v>0</v>
      </c>
      <c r="O107" s="1095">
        <f t="shared" si="37"/>
        <v>0</v>
      </c>
      <c r="P107" s="1095">
        <f t="shared" si="37"/>
        <v>0</v>
      </c>
      <c r="Q107" s="1095">
        <f t="shared" si="37"/>
        <v>0</v>
      </c>
      <c r="R107" s="1095">
        <f t="shared" si="37"/>
        <v>0</v>
      </c>
      <c r="S107" s="1095">
        <f t="shared" si="37"/>
        <v>0</v>
      </c>
      <c r="T107" s="1095">
        <f t="shared" si="37"/>
        <v>0</v>
      </c>
      <c r="U107" s="1095">
        <f t="shared" si="37"/>
        <v>0</v>
      </c>
      <c r="V107" s="1095">
        <f t="shared" si="37"/>
        <v>0</v>
      </c>
      <c r="W107" s="1095">
        <f t="shared" si="37"/>
        <v>0</v>
      </c>
      <c r="X107" s="1095">
        <f t="shared" si="37"/>
        <v>0</v>
      </c>
      <c r="Y107" s="1095">
        <f t="shared" si="37"/>
        <v>0</v>
      </c>
      <c r="Z107" s="1095">
        <f t="shared" si="37"/>
        <v>0</v>
      </c>
      <c r="AA107" s="1095">
        <f t="shared" si="37"/>
        <v>0</v>
      </c>
      <c r="AB107" s="1095">
        <f t="shared" si="37"/>
        <v>0</v>
      </c>
      <c r="AC107" s="1095">
        <f t="shared" si="37"/>
        <v>0</v>
      </c>
      <c r="AD107" s="1095">
        <f t="shared" si="37"/>
        <v>0</v>
      </c>
      <c r="AE107" s="1095">
        <f t="shared" si="37"/>
        <v>0</v>
      </c>
      <c r="AF107" s="1095">
        <f t="shared" si="37"/>
        <v>0</v>
      </c>
      <c r="AG107" s="1095">
        <f t="shared" si="37"/>
        <v>0</v>
      </c>
      <c r="AH107" s="1095">
        <f t="shared" si="37"/>
        <v>0</v>
      </c>
      <c r="AI107" s="1095">
        <f t="shared" si="37"/>
        <v>0</v>
      </c>
      <c r="AJ107" s="1095">
        <f t="shared" si="37"/>
        <v>0</v>
      </c>
      <c r="AK107" s="1095"/>
      <c r="AL107" s="1095"/>
      <c r="AM107" s="1095"/>
      <c r="AN107" s="1095"/>
      <c r="AO107" s="1095"/>
      <c r="AP107" s="1095"/>
      <c r="AQ107" s="1095"/>
      <c r="AR107" s="1095"/>
      <c r="AS107" s="1095"/>
      <c r="AT107" s="1095"/>
      <c r="AU107" s="1095"/>
      <c r="AV107" s="1095"/>
      <c r="AW107" s="1095"/>
      <c r="AX107" s="1095"/>
      <c r="AY107" s="1095"/>
      <c r="AZ107" s="1095"/>
      <c r="BA107" s="1095"/>
      <c r="BB107" s="1095"/>
      <c r="BC107" s="1095"/>
      <c r="BD107" s="1095"/>
      <c r="BE107" s="1095"/>
      <c r="BF107" s="1095"/>
      <c r="BG107" s="1095"/>
      <c r="BH107" s="1095"/>
      <c r="BI107" s="1095"/>
      <c r="BJ107" s="1095"/>
      <c r="BK107" s="1095"/>
      <c r="BL107" s="1095"/>
      <c r="BM107" s="1095"/>
      <c r="BN107" s="1095"/>
      <c r="BO107" s="1095"/>
      <c r="BP107" s="1095"/>
      <c r="BQ107" s="1095"/>
      <c r="BR107" s="1098"/>
      <c r="BS107" s="1098"/>
      <c r="BT107" s="1098"/>
      <c r="BU107" s="1098"/>
      <c r="BV107" s="1098"/>
      <c r="BW107" s="1098"/>
      <c r="BX107" s="1098"/>
      <c r="BY107" s="1098"/>
      <c r="BZ107" s="1098"/>
      <c r="CA107" s="1098"/>
      <c r="CB107" s="1098"/>
      <c r="CC107" s="1098"/>
      <c r="CD107" s="1098"/>
      <c r="CE107" s="1098"/>
      <c r="CF107" s="1098"/>
      <c r="CG107" s="1098"/>
      <c r="CH107" s="1098"/>
      <c r="CI107" s="1098"/>
      <c r="CJ107" s="1098"/>
      <c r="CK107" s="1098"/>
      <c r="CL107" s="1098"/>
      <c r="CM107" s="1098"/>
      <c r="CN107" s="1098"/>
      <c r="CO107" s="1098"/>
      <c r="CP107" s="1098"/>
      <c r="CQ107" s="1098"/>
      <c r="CR107" s="1098"/>
      <c r="CS107" s="1098"/>
      <c r="CT107" s="1098"/>
      <c r="CU107" s="1098"/>
      <c r="CV107" s="1098"/>
      <c r="CW107" s="1098"/>
      <c r="CX107" s="1098"/>
      <c r="CY107" s="1098"/>
      <c r="CZ107" s="1098"/>
      <c r="DA107" s="1098"/>
      <c r="DB107" s="1098"/>
      <c r="DC107" s="1098"/>
      <c r="DD107" s="1098"/>
      <c r="DE107" s="1098"/>
      <c r="DF107" s="1098"/>
      <c r="DG107" s="1098"/>
      <c r="DH107" s="1098"/>
      <c r="DI107" s="1098"/>
      <c r="DJ107" s="1098"/>
      <c r="DK107" s="1098"/>
      <c r="DL107" s="1098"/>
      <c r="DM107" s="1098"/>
      <c r="DN107" s="1098"/>
      <c r="DO107" s="1098"/>
      <c r="DP107" s="1098"/>
      <c r="DQ107" s="1098"/>
      <c r="DR107" s="1098"/>
      <c r="DS107" s="1098"/>
      <c r="DT107" s="1098"/>
      <c r="DU107" s="1098"/>
      <c r="DV107" s="1098"/>
      <c r="DW107" s="1098"/>
      <c r="DX107" s="1098"/>
      <c r="DY107" s="1098"/>
      <c r="DZ107" s="1098"/>
      <c r="EA107" s="1098"/>
      <c r="EB107" s="1098"/>
      <c r="EC107" s="1098"/>
      <c r="ED107" s="1098"/>
      <c r="EE107" s="1098"/>
      <c r="EF107" s="1098"/>
      <c r="EG107" s="1069"/>
      <c r="EH107" s="1069"/>
      <c r="EI107" s="1069"/>
      <c r="EJ107" s="1069"/>
      <c r="EK107" s="1069"/>
      <c r="EL107" s="1069"/>
      <c r="EM107" s="1069"/>
      <c r="EN107" s="1069"/>
      <c r="EO107" s="1070"/>
      <c r="EP107" s="1070"/>
      <c r="EQ107" s="1070"/>
      <c r="ER107" s="1070"/>
      <c r="ES107" s="1070"/>
      <c r="ET107" s="1070"/>
      <c r="EU107" s="1070"/>
      <c r="EV107" s="1070"/>
      <c r="EW107" s="1070"/>
      <c r="EX107" s="1070"/>
      <c r="EY107" s="1070"/>
      <c r="EZ107" s="1070"/>
      <c r="FA107" s="1070"/>
      <c r="FB107" s="1070"/>
      <c r="FC107" s="1070"/>
      <c r="FD107" s="1070"/>
      <c r="FE107" s="1070"/>
      <c r="FF107" s="1070"/>
      <c r="FG107" s="1070"/>
      <c r="FH107" s="1070"/>
      <c r="FI107" s="1070"/>
      <c r="FJ107" s="1070"/>
      <c r="FK107" s="1070"/>
      <c r="FL107" s="1070"/>
      <c r="FM107" s="1070"/>
      <c r="FN107" s="1070"/>
      <c r="FO107" s="1070"/>
      <c r="FP107" s="1070"/>
      <c r="FQ107" s="1070"/>
      <c r="FR107" s="1070"/>
      <c r="FS107" s="1070"/>
      <c r="FT107" s="1070"/>
      <c r="FU107" s="1070"/>
      <c r="FV107" s="1070"/>
      <c r="FW107" s="1070"/>
      <c r="FX107" s="1070"/>
      <c r="FY107" s="1070"/>
      <c r="FZ107" s="1070"/>
      <c r="GA107" s="1070"/>
      <c r="GB107" s="1046"/>
    </row>
    <row r="108" spans="1:184" s="1007" customFormat="1" ht="24.95" hidden="1" customHeight="1">
      <c r="A108" s="1007">
        <v>37</v>
      </c>
      <c r="B108" s="1062">
        <f t="shared" si="4"/>
        <v>41</v>
      </c>
      <c r="C108" s="1072"/>
      <c r="D108" s="1051" t="s">
        <v>2229</v>
      </c>
      <c r="E108" s="1073" t="s">
        <v>2230</v>
      </c>
      <c r="F108" s="1052"/>
      <c r="G108" s="1053" t="s">
        <v>337</v>
      </c>
      <c r="H108" s="1046">
        <f t="shared" si="33"/>
        <v>0</v>
      </c>
      <c r="I108" s="1029"/>
      <c r="J108" s="1046">
        <f t="shared" si="34"/>
        <v>0</v>
      </c>
      <c r="K108" s="1069"/>
      <c r="L108" s="1069"/>
      <c r="M108" s="1069"/>
      <c r="N108" s="1070"/>
      <c r="O108" s="1070"/>
      <c r="P108" s="1070"/>
      <c r="Q108" s="1070"/>
      <c r="R108" s="1070"/>
      <c r="S108" s="1070"/>
      <c r="T108" s="1070"/>
      <c r="U108" s="1069"/>
      <c r="V108" s="1070"/>
      <c r="W108" s="1070"/>
      <c r="X108" s="1070"/>
      <c r="Y108" s="1070"/>
      <c r="Z108" s="1070"/>
      <c r="AA108" s="1070"/>
      <c r="AB108" s="1070"/>
      <c r="AC108" s="1070"/>
      <c r="AD108" s="1070"/>
      <c r="AE108" s="1070"/>
      <c r="AF108" s="1070"/>
      <c r="AG108" s="1070"/>
      <c r="AH108" s="1070"/>
      <c r="AI108" s="1070"/>
      <c r="AJ108" s="1070"/>
      <c r="AK108" s="1070"/>
      <c r="AL108" s="1070"/>
      <c r="AM108" s="1070"/>
      <c r="AN108" s="1070"/>
      <c r="AO108" s="1070"/>
      <c r="AP108" s="1070"/>
      <c r="AQ108" s="1070"/>
      <c r="AR108" s="1070"/>
      <c r="AS108" s="1070"/>
      <c r="AT108" s="1070"/>
      <c r="AU108" s="1070"/>
      <c r="AV108" s="1070"/>
      <c r="AW108" s="1070"/>
      <c r="AX108" s="1070"/>
      <c r="AY108" s="1070"/>
      <c r="AZ108" s="1070"/>
      <c r="BA108" s="1070"/>
      <c r="BB108" s="1070"/>
      <c r="BC108" s="1070"/>
      <c r="BD108" s="1070"/>
      <c r="BE108" s="1070"/>
      <c r="BF108" s="1070"/>
      <c r="BG108" s="1070"/>
      <c r="BH108" s="1070"/>
      <c r="BI108" s="1070"/>
      <c r="BJ108" s="1070"/>
      <c r="BK108" s="1070"/>
      <c r="BL108" s="1070"/>
      <c r="BM108" s="1070"/>
      <c r="BN108" s="1070"/>
      <c r="BO108" s="1070"/>
      <c r="BP108" s="1070"/>
      <c r="BQ108" s="1070"/>
      <c r="BR108" s="1069"/>
      <c r="BS108" s="1069"/>
      <c r="BT108" s="1069"/>
      <c r="BU108" s="1069"/>
      <c r="BV108" s="1069"/>
      <c r="BW108" s="1069"/>
      <c r="BX108" s="1069"/>
      <c r="BY108" s="1069"/>
      <c r="BZ108" s="1069"/>
      <c r="CA108" s="1069"/>
      <c r="CB108" s="1069"/>
      <c r="CC108" s="1069"/>
      <c r="CD108" s="1069"/>
      <c r="CE108" s="1069"/>
      <c r="CF108" s="1069"/>
      <c r="CG108" s="1069"/>
      <c r="CH108" s="1069"/>
      <c r="CI108" s="1069"/>
      <c r="CJ108" s="1069"/>
      <c r="CK108" s="1069"/>
      <c r="CL108" s="1069"/>
      <c r="CM108" s="1069"/>
      <c r="CN108" s="1069"/>
      <c r="CO108" s="1069"/>
      <c r="CP108" s="1069"/>
      <c r="CQ108" s="1069"/>
      <c r="CR108" s="1069"/>
      <c r="CS108" s="1069"/>
      <c r="CT108" s="1069"/>
      <c r="CU108" s="1069"/>
      <c r="CV108" s="1069"/>
      <c r="CW108" s="1069"/>
      <c r="CX108" s="1069"/>
      <c r="CY108" s="1069"/>
      <c r="CZ108" s="1069"/>
      <c r="DA108" s="1069"/>
      <c r="DB108" s="1069"/>
      <c r="DC108" s="1069"/>
      <c r="DD108" s="1069"/>
      <c r="DE108" s="1069"/>
      <c r="DF108" s="1069"/>
      <c r="DG108" s="1069"/>
      <c r="DH108" s="1069"/>
      <c r="DI108" s="1069"/>
      <c r="DJ108" s="1069"/>
      <c r="DK108" s="1069"/>
      <c r="DL108" s="1069"/>
      <c r="DM108" s="1069"/>
      <c r="DN108" s="1069"/>
      <c r="DO108" s="1069"/>
      <c r="DP108" s="1069"/>
      <c r="DQ108" s="1069"/>
      <c r="DR108" s="1069"/>
      <c r="DS108" s="1069"/>
      <c r="DT108" s="1069"/>
      <c r="DU108" s="1069"/>
      <c r="DV108" s="1069"/>
      <c r="DW108" s="1069"/>
      <c r="DX108" s="1069"/>
      <c r="DY108" s="1069"/>
      <c r="DZ108" s="1069"/>
      <c r="EA108" s="1069"/>
      <c r="EB108" s="1069"/>
      <c r="EC108" s="1069"/>
      <c r="ED108" s="1069"/>
      <c r="EE108" s="1069"/>
      <c r="EF108" s="1069"/>
      <c r="EG108" s="1069"/>
      <c r="EH108" s="1069"/>
      <c r="EI108" s="1069"/>
      <c r="EJ108" s="1069"/>
      <c r="EK108" s="1069"/>
      <c r="EL108" s="1069"/>
      <c r="EM108" s="1069"/>
      <c r="EN108" s="1069"/>
      <c r="EO108" s="1070"/>
      <c r="EP108" s="1070"/>
      <c r="EQ108" s="1070"/>
      <c r="ER108" s="1070"/>
      <c r="ES108" s="1070"/>
      <c r="ET108" s="1070"/>
      <c r="EU108" s="1070"/>
      <c r="EV108" s="1070"/>
      <c r="EW108" s="1070"/>
      <c r="EX108" s="1070"/>
      <c r="EY108" s="1070"/>
      <c r="EZ108" s="1070"/>
      <c r="FA108" s="1070"/>
      <c r="FB108" s="1070"/>
      <c r="FC108" s="1070"/>
      <c r="FD108" s="1070"/>
      <c r="FE108" s="1070"/>
      <c r="FF108" s="1070"/>
      <c r="FG108" s="1070"/>
      <c r="FH108" s="1070"/>
      <c r="FI108" s="1070"/>
      <c r="FJ108" s="1070"/>
      <c r="FK108" s="1070"/>
      <c r="FL108" s="1070"/>
      <c r="FM108" s="1070"/>
      <c r="FN108" s="1070"/>
      <c r="FO108" s="1070"/>
      <c r="FP108" s="1070"/>
      <c r="FQ108" s="1070"/>
      <c r="FR108" s="1070"/>
      <c r="FS108" s="1070"/>
      <c r="FT108" s="1070"/>
      <c r="FU108" s="1070"/>
      <c r="FV108" s="1070"/>
      <c r="FW108" s="1070"/>
      <c r="FX108" s="1070"/>
      <c r="FY108" s="1070"/>
      <c r="FZ108" s="1070"/>
      <c r="GA108" s="1070"/>
      <c r="GB108" s="1028"/>
    </row>
    <row r="109" spans="1:184" s="1007" customFormat="1" ht="24.95" hidden="1" customHeight="1">
      <c r="A109" s="1007">
        <v>37</v>
      </c>
      <c r="B109" s="1062">
        <f t="shared" si="4"/>
        <v>42</v>
      </c>
      <c r="C109" s="1072"/>
      <c r="D109" s="1051" t="s">
        <v>2231</v>
      </c>
      <c r="E109" s="1073" t="s">
        <v>2232</v>
      </c>
      <c r="F109" s="1052"/>
      <c r="G109" s="1053" t="s">
        <v>337</v>
      </c>
      <c r="H109" s="1046">
        <f t="shared" si="33"/>
        <v>0</v>
      </c>
      <c r="I109" s="1029"/>
      <c r="J109" s="1088">
        <f t="shared" si="34"/>
        <v>0</v>
      </c>
      <c r="K109" s="1662"/>
      <c r="L109" s="1069"/>
      <c r="M109" s="1069"/>
      <c r="N109" s="1070"/>
      <c r="O109" s="1070"/>
      <c r="P109" s="1070"/>
      <c r="Q109" s="1070"/>
      <c r="R109" s="1070"/>
      <c r="S109" s="1070"/>
      <c r="T109" s="1070"/>
      <c r="U109" s="1069"/>
      <c r="V109" s="1070"/>
      <c r="W109" s="1070"/>
      <c r="X109" s="1070"/>
      <c r="Y109" s="1070"/>
      <c r="Z109" s="1070"/>
      <c r="AA109" s="1070"/>
      <c r="AB109" s="1070"/>
      <c r="AC109" s="1070"/>
      <c r="AD109" s="1070"/>
      <c r="AE109" s="1070"/>
      <c r="AF109" s="1070"/>
      <c r="AG109" s="1070"/>
      <c r="AH109" s="1070"/>
      <c r="AI109" s="1070"/>
      <c r="AJ109" s="1070"/>
      <c r="AK109" s="1070"/>
      <c r="AL109" s="1070"/>
      <c r="AM109" s="1070"/>
      <c r="AN109" s="1070"/>
      <c r="AO109" s="1070"/>
      <c r="AP109" s="1070"/>
      <c r="AQ109" s="1070"/>
      <c r="AR109" s="1070"/>
      <c r="AS109" s="1070"/>
      <c r="AT109" s="1070"/>
      <c r="AU109" s="1070"/>
      <c r="AV109" s="1070"/>
      <c r="AW109" s="1070"/>
      <c r="AX109" s="1070"/>
      <c r="AY109" s="1070"/>
      <c r="AZ109" s="1070"/>
      <c r="BA109" s="1070"/>
      <c r="BB109" s="1070"/>
      <c r="BC109" s="1070"/>
      <c r="BD109" s="1070"/>
      <c r="BE109" s="1070"/>
      <c r="BF109" s="1070"/>
      <c r="BG109" s="1070"/>
      <c r="BH109" s="1070"/>
      <c r="BI109" s="1070"/>
      <c r="BJ109" s="1070"/>
      <c r="BK109" s="1070"/>
      <c r="BL109" s="1070"/>
      <c r="BM109" s="1070"/>
      <c r="BN109" s="1070"/>
      <c r="BO109" s="1070"/>
      <c r="BP109" s="1070"/>
      <c r="BQ109" s="1070"/>
      <c r="BR109" s="1069"/>
      <c r="BS109" s="1069"/>
      <c r="BT109" s="1069"/>
      <c r="BU109" s="1069"/>
      <c r="BV109" s="1069"/>
      <c r="BW109" s="1069"/>
      <c r="BX109" s="1069"/>
      <c r="BY109" s="1069"/>
      <c r="BZ109" s="1069"/>
      <c r="CA109" s="1069"/>
      <c r="CB109" s="1069"/>
      <c r="CC109" s="1069"/>
      <c r="CD109" s="1069"/>
      <c r="CE109" s="1069"/>
      <c r="CF109" s="1069"/>
      <c r="CG109" s="1069"/>
      <c r="CH109" s="1069"/>
      <c r="CI109" s="1069"/>
      <c r="CJ109" s="1069"/>
      <c r="CK109" s="1069"/>
      <c r="CL109" s="1069"/>
      <c r="CM109" s="1069"/>
      <c r="CN109" s="1069"/>
      <c r="CO109" s="1069"/>
      <c r="CP109" s="1069"/>
      <c r="CQ109" s="1069"/>
      <c r="CR109" s="1069"/>
      <c r="CS109" s="1069"/>
      <c r="CT109" s="1069"/>
      <c r="CU109" s="1069"/>
      <c r="CV109" s="1069"/>
      <c r="CW109" s="1069"/>
      <c r="CX109" s="1069"/>
      <c r="CY109" s="1069"/>
      <c r="CZ109" s="1069"/>
      <c r="DA109" s="1069"/>
      <c r="DB109" s="1069"/>
      <c r="DC109" s="1069"/>
      <c r="DD109" s="1069"/>
      <c r="DE109" s="1069"/>
      <c r="DF109" s="1069"/>
      <c r="DG109" s="1069"/>
      <c r="DH109" s="1069"/>
      <c r="DI109" s="1069"/>
      <c r="DJ109" s="1069"/>
      <c r="DK109" s="1069"/>
      <c r="DL109" s="1069"/>
      <c r="DM109" s="1069"/>
      <c r="DN109" s="1069"/>
      <c r="DO109" s="1069"/>
      <c r="DP109" s="1069"/>
      <c r="DQ109" s="1069"/>
      <c r="DR109" s="1069"/>
      <c r="DS109" s="1069"/>
      <c r="DT109" s="1069"/>
      <c r="DU109" s="1069"/>
      <c r="DV109" s="1069"/>
      <c r="DW109" s="1069"/>
      <c r="DX109" s="1069"/>
      <c r="DY109" s="1069"/>
      <c r="DZ109" s="1069"/>
      <c r="EA109" s="1069"/>
      <c r="EB109" s="1069"/>
      <c r="EC109" s="1069"/>
      <c r="ED109" s="1069"/>
      <c r="EE109" s="1069"/>
      <c r="EF109" s="1069"/>
      <c r="EG109" s="1069"/>
      <c r="EH109" s="1069"/>
      <c r="EI109" s="1069"/>
      <c r="EJ109" s="1069"/>
      <c r="EK109" s="1069"/>
      <c r="EL109" s="1069"/>
      <c r="EM109" s="1069"/>
      <c r="EN109" s="1069"/>
      <c r="EO109" s="1070"/>
      <c r="EP109" s="1070"/>
      <c r="EQ109" s="1070"/>
      <c r="ER109" s="1070"/>
      <c r="ES109" s="1070"/>
      <c r="ET109" s="1070"/>
      <c r="EU109" s="1070"/>
      <c r="EV109" s="1070"/>
      <c r="EW109" s="1070"/>
      <c r="EX109" s="1070"/>
      <c r="EY109" s="1070"/>
      <c r="EZ109" s="1070"/>
      <c r="FA109" s="1070"/>
      <c r="FB109" s="1070"/>
      <c r="FC109" s="1070"/>
      <c r="FD109" s="1070"/>
      <c r="FE109" s="1070"/>
      <c r="FF109" s="1070"/>
      <c r="FG109" s="1070"/>
      <c r="FH109" s="1070"/>
      <c r="FI109" s="1070"/>
      <c r="FJ109" s="1070"/>
      <c r="FK109" s="1070"/>
      <c r="FL109" s="1070"/>
      <c r="FM109" s="1070"/>
      <c r="FN109" s="1070"/>
      <c r="FO109" s="1070"/>
      <c r="FP109" s="1070"/>
      <c r="FQ109" s="1070"/>
      <c r="FR109" s="1070"/>
      <c r="FS109" s="1070"/>
      <c r="FT109" s="1070"/>
      <c r="FU109" s="1070"/>
      <c r="FV109" s="1070"/>
      <c r="FW109" s="1070"/>
      <c r="FX109" s="1070"/>
      <c r="FY109" s="1070"/>
      <c r="FZ109" s="1070"/>
      <c r="GA109" s="1070"/>
      <c r="GB109" s="1028"/>
    </row>
    <row r="110" spans="1:184" s="1007" customFormat="1" ht="24.95" hidden="1" customHeight="1">
      <c r="A110" s="1007">
        <v>37</v>
      </c>
      <c r="B110" s="1062">
        <f t="shared" si="4"/>
        <v>43</v>
      </c>
      <c r="C110" s="1072"/>
      <c r="D110" s="1051" t="s">
        <v>2233</v>
      </c>
      <c r="E110" s="1073" t="s">
        <v>2234</v>
      </c>
      <c r="F110" s="1052"/>
      <c r="G110" s="1053" t="s">
        <v>337</v>
      </c>
      <c r="H110" s="1046">
        <f t="shared" si="33"/>
        <v>0</v>
      </c>
      <c r="I110" s="1029"/>
      <c r="J110" s="1088">
        <f t="shared" si="34"/>
        <v>0</v>
      </c>
      <c r="K110" s="1662"/>
      <c r="L110" s="1069"/>
      <c r="M110" s="1069"/>
      <c r="N110" s="1070"/>
      <c r="O110" s="1070"/>
      <c r="P110" s="1070"/>
      <c r="Q110" s="1070"/>
      <c r="R110" s="1070"/>
      <c r="S110" s="1070"/>
      <c r="T110" s="1070"/>
      <c r="U110" s="1069"/>
      <c r="V110" s="1070"/>
      <c r="W110" s="1070"/>
      <c r="X110" s="1070"/>
      <c r="Y110" s="1070"/>
      <c r="Z110" s="1070"/>
      <c r="AA110" s="1070"/>
      <c r="AB110" s="1070"/>
      <c r="AC110" s="1070"/>
      <c r="AD110" s="1070"/>
      <c r="AE110" s="1070"/>
      <c r="AF110" s="1070"/>
      <c r="AG110" s="1070"/>
      <c r="AH110" s="1070"/>
      <c r="AI110" s="1070"/>
      <c r="AJ110" s="1070"/>
      <c r="AK110" s="1070"/>
      <c r="AL110" s="1070"/>
      <c r="AM110" s="1070"/>
      <c r="AN110" s="1070"/>
      <c r="AO110" s="1070"/>
      <c r="AP110" s="1070"/>
      <c r="AQ110" s="1070"/>
      <c r="AR110" s="1070"/>
      <c r="AS110" s="1070"/>
      <c r="AT110" s="1070"/>
      <c r="AU110" s="1070"/>
      <c r="AV110" s="1070"/>
      <c r="AW110" s="1070"/>
      <c r="AX110" s="1070"/>
      <c r="AY110" s="1070"/>
      <c r="AZ110" s="1070"/>
      <c r="BA110" s="1070"/>
      <c r="BB110" s="1070"/>
      <c r="BC110" s="1070"/>
      <c r="BD110" s="1070"/>
      <c r="BE110" s="1070"/>
      <c r="BF110" s="1070"/>
      <c r="BG110" s="1070"/>
      <c r="BH110" s="1070"/>
      <c r="BI110" s="1070"/>
      <c r="BJ110" s="1070"/>
      <c r="BK110" s="1070"/>
      <c r="BL110" s="1070"/>
      <c r="BM110" s="1070"/>
      <c r="BN110" s="1070"/>
      <c r="BO110" s="1070"/>
      <c r="BP110" s="1070"/>
      <c r="BQ110" s="1070"/>
      <c r="BR110" s="1069"/>
      <c r="BS110" s="1069"/>
      <c r="BT110" s="1069"/>
      <c r="BU110" s="1069"/>
      <c r="BV110" s="1069"/>
      <c r="BW110" s="1069"/>
      <c r="BX110" s="1069"/>
      <c r="BY110" s="1069"/>
      <c r="BZ110" s="1069"/>
      <c r="CA110" s="1069"/>
      <c r="CB110" s="1069"/>
      <c r="CC110" s="1069"/>
      <c r="CD110" s="1069"/>
      <c r="CE110" s="1069"/>
      <c r="CF110" s="1069"/>
      <c r="CG110" s="1069"/>
      <c r="CH110" s="1069"/>
      <c r="CI110" s="1069"/>
      <c r="CJ110" s="1069"/>
      <c r="CK110" s="1069"/>
      <c r="CL110" s="1069"/>
      <c r="CM110" s="1069"/>
      <c r="CN110" s="1069"/>
      <c r="CO110" s="1069"/>
      <c r="CP110" s="1069"/>
      <c r="CQ110" s="1069"/>
      <c r="CR110" s="1069"/>
      <c r="CS110" s="1069"/>
      <c r="CT110" s="1069"/>
      <c r="CU110" s="1069"/>
      <c r="CV110" s="1069"/>
      <c r="CW110" s="1069"/>
      <c r="CX110" s="1069"/>
      <c r="CY110" s="1069"/>
      <c r="CZ110" s="1069"/>
      <c r="DA110" s="1069"/>
      <c r="DB110" s="1069"/>
      <c r="DC110" s="1069"/>
      <c r="DD110" s="1069"/>
      <c r="DE110" s="1069"/>
      <c r="DF110" s="1069"/>
      <c r="DG110" s="1069"/>
      <c r="DH110" s="1069"/>
      <c r="DI110" s="1069"/>
      <c r="DJ110" s="1069"/>
      <c r="DK110" s="1069"/>
      <c r="DL110" s="1069"/>
      <c r="DM110" s="1069"/>
      <c r="DN110" s="1069"/>
      <c r="DO110" s="1069"/>
      <c r="DP110" s="1069"/>
      <c r="DQ110" s="1069"/>
      <c r="DR110" s="1069"/>
      <c r="DS110" s="1069"/>
      <c r="DT110" s="1069"/>
      <c r="DU110" s="1069"/>
      <c r="DV110" s="1069"/>
      <c r="DW110" s="1069"/>
      <c r="DX110" s="1069"/>
      <c r="DY110" s="1069"/>
      <c r="DZ110" s="1069"/>
      <c r="EA110" s="1069"/>
      <c r="EB110" s="1069"/>
      <c r="EC110" s="1069"/>
      <c r="ED110" s="1069"/>
      <c r="EE110" s="1069"/>
      <c r="EF110" s="1069"/>
      <c r="EG110" s="1069"/>
      <c r="EH110" s="1069"/>
      <c r="EI110" s="1069"/>
      <c r="EJ110" s="1069"/>
      <c r="EK110" s="1069"/>
      <c r="EL110" s="1069"/>
      <c r="EM110" s="1069"/>
      <c r="EN110" s="1069"/>
      <c r="EO110" s="1070"/>
      <c r="EP110" s="1070"/>
      <c r="EQ110" s="1070"/>
      <c r="ER110" s="1070"/>
      <c r="ES110" s="1070"/>
      <c r="ET110" s="1070"/>
      <c r="EU110" s="1070"/>
      <c r="EV110" s="1070"/>
      <c r="EW110" s="1070"/>
      <c r="EX110" s="1070"/>
      <c r="EY110" s="1070"/>
      <c r="EZ110" s="1070"/>
      <c r="FA110" s="1070"/>
      <c r="FB110" s="1070"/>
      <c r="FC110" s="1070"/>
      <c r="FD110" s="1070"/>
      <c r="FE110" s="1070"/>
      <c r="FF110" s="1070"/>
      <c r="FG110" s="1070"/>
      <c r="FH110" s="1070"/>
      <c r="FI110" s="1070"/>
      <c r="FJ110" s="1070"/>
      <c r="FK110" s="1070"/>
      <c r="FL110" s="1070"/>
      <c r="FM110" s="1070"/>
      <c r="FN110" s="1070"/>
      <c r="FO110" s="1070"/>
      <c r="FP110" s="1070"/>
      <c r="FQ110" s="1070"/>
      <c r="FR110" s="1070"/>
      <c r="FS110" s="1070"/>
      <c r="FT110" s="1070"/>
      <c r="FU110" s="1070"/>
      <c r="FV110" s="1070"/>
      <c r="FW110" s="1070"/>
      <c r="FX110" s="1070"/>
      <c r="FY110" s="1070"/>
      <c r="FZ110" s="1070"/>
      <c r="GA110" s="1070"/>
      <c r="GB110" s="1028"/>
    </row>
    <row r="111" spans="1:184" s="1007" customFormat="1" ht="24.95" hidden="1" customHeight="1">
      <c r="A111" s="1007">
        <v>37</v>
      </c>
      <c r="B111" s="1062">
        <f t="shared" si="4"/>
        <v>44</v>
      </c>
      <c r="C111" s="1072"/>
      <c r="D111" s="1051" t="s">
        <v>2235</v>
      </c>
      <c r="E111" s="1073" t="s">
        <v>2236</v>
      </c>
      <c r="F111" s="1052"/>
      <c r="G111" s="1053" t="s">
        <v>337</v>
      </c>
      <c r="H111" s="1046">
        <f t="shared" si="33"/>
        <v>0</v>
      </c>
      <c r="I111" s="1029"/>
      <c r="J111" s="1088">
        <f t="shared" si="34"/>
        <v>0</v>
      </c>
      <c r="K111" s="1662"/>
      <c r="L111" s="1069"/>
      <c r="M111" s="1069"/>
      <c r="N111" s="1070"/>
      <c r="O111" s="1070"/>
      <c r="P111" s="1070"/>
      <c r="Q111" s="1070"/>
      <c r="R111" s="1070"/>
      <c r="S111" s="1070"/>
      <c r="T111" s="1070"/>
      <c r="U111" s="1069"/>
      <c r="V111" s="1070"/>
      <c r="W111" s="1070"/>
      <c r="X111" s="1070"/>
      <c r="Y111" s="1070"/>
      <c r="Z111" s="1070"/>
      <c r="AA111" s="1070"/>
      <c r="AB111" s="1070"/>
      <c r="AC111" s="1070"/>
      <c r="AD111" s="1070"/>
      <c r="AE111" s="1070"/>
      <c r="AF111" s="1070"/>
      <c r="AG111" s="1070"/>
      <c r="AH111" s="1070"/>
      <c r="AI111" s="1070"/>
      <c r="AJ111" s="1070"/>
      <c r="AK111" s="1070"/>
      <c r="AL111" s="1070"/>
      <c r="AM111" s="1070"/>
      <c r="AN111" s="1070"/>
      <c r="AO111" s="1070"/>
      <c r="AP111" s="1070"/>
      <c r="AQ111" s="1070"/>
      <c r="AR111" s="1070"/>
      <c r="AS111" s="1070"/>
      <c r="AT111" s="1070"/>
      <c r="AU111" s="1070"/>
      <c r="AV111" s="1070"/>
      <c r="AW111" s="1070"/>
      <c r="AX111" s="1070"/>
      <c r="AY111" s="1070"/>
      <c r="AZ111" s="1070"/>
      <c r="BA111" s="1070"/>
      <c r="BB111" s="1070"/>
      <c r="BC111" s="1070"/>
      <c r="BD111" s="1070"/>
      <c r="BE111" s="1070"/>
      <c r="BF111" s="1070"/>
      <c r="BG111" s="1070"/>
      <c r="BH111" s="1070"/>
      <c r="BI111" s="1070"/>
      <c r="BJ111" s="1070"/>
      <c r="BK111" s="1070"/>
      <c r="BL111" s="1070"/>
      <c r="BM111" s="1070"/>
      <c r="BN111" s="1070"/>
      <c r="BO111" s="1070"/>
      <c r="BP111" s="1070"/>
      <c r="BQ111" s="1070"/>
      <c r="BR111" s="1069"/>
      <c r="BS111" s="1069"/>
      <c r="BT111" s="1069"/>
      <c r="BU111" s="1069"/>
      <c r="BV111" s="1069"/>
      <c r="BW111" s="1069"/>
      <c r="BX111" s="1069"/>
      <c r="BY111" s="1069"/>
      <c r="BZ111" s="1069"/>
      <c r="CA111" s="1069"/>
      <c r="CB111" s="1069"/>
      <c r="CC111" s="1069"/>
      <c r="CD111" s="1069"/>
      <c r="CE111" s="1069"/>
      <c r="CF111" s="1069"/>
      <c r="CG111" s="1069"/>
      <c r="CH111" s="1069"/>
      <c r="CI111" s="1069"/>
      <c r="CJ111" s="1069"/>
      <c r="CK111" s="1069"/>
      <c r="CL111" s="1069"/>
      <c r="CM111" s="1069"/>
      <c r="CN111" s="1069"/>
      <c r="CO111" s="1069"/>
      <c r="CP111" s="1069"/>
      <c r="CQ111" s="1069"/>
      <c r="CR111" s="1069"/>
      <c r="CS111" s="1069"/>
      <c r="CT111" s="1069"/>
      <c r="CU111" s="1069"/>
      <c r="CV111" s="1069"/>
      <c r="CW111" s="1069"/>
      <c r="CX111" s="1069"/>
      <c r="CY111" s="1069"/>
      <c r="CZ111" s="1069"/>
      <c r="DA111" s="1069"/>
      <c r="DB111" s="1069"/>
      <c r="DC111" s="1069"/>
      <c r="DD111" s="1069"/>
      <c r="DE111" s="1069"/>
      <c r="DF111" s="1069"/>
      <c r="DG111" s="1069"/>
      <c r="DH111" s="1069"/>
      <c r="DI111" s="1069"/>
      <c r="DJ111" s="1069"/>
      <c r="DK111" s="1069"/>
      <c r="DL111" s="1069"/>
      <c r="DM111" s="1069"/>
      <c r="DN111" s="1069"/>
      <c r="DO111" s="1069"/>
      <c r="DP111" s="1069"/>
      <c r="DQ111" s="1069"/>
      <c r="DR111" s="1069"/>
      <c r="DS111" s="1069"/>
      <c r="DT111" s="1069"/>
      <c r="DU111" s="1069"/>
      <c r="DV111" s="1069"/>
      <c r="DW111" s="1069"/>
      <c r="DX111" s="1069"/>
      <c r="DY111" s="1069"/>
      <c r="DZ111" s="1069"/>
      <c r="EA111" s="1069"/>
      <c r="EB111" s="1069"/>
      <c r="EC111" s="1069"/>
      <c r="ED111" s="1069"/>
      <c r="EE111" s="1069"/>
      <c r="EF111" s="1069"/>
      <c r="EG111" s="1069"/>
      <c r="EH111" s="1069"/>
      <c r="EI111" s="1069"/>
      <c r="EJ111" s="1069"/>
      <c r="EK111" s="1069"/>
      <c r="EL111" s="1069"/>
      <c r="EM111" s="1069"/>
      <c r="EN111" s="1069"/>
      <c r="EO111" s="1070"/>
      <c r="EP111" s="1070"/>
      <c r="EQ111" s="1070"/>
      <c r="ER111" s="1070"/>
      <c r="ES111" s="1070"/>
      <c r="ET111" s="1070"/>
      <c r="EU111" s="1070"/>
      <c r="EV111" s="1070"/>
      <c r="EW111" s="1070"/>
      <c r="EX111" s="1070"/>
      <c r="EY111" s="1070"/>
      <c r="EZ111" s="1070"/>
      <c r="FA111" s="1070"/>
      <c r="FB111" s="1070"/>
      <c r="FC111" s="1070"/>
      <c r="FD111" s="1070"/>
      <c r="FE111" s="1070"/>
      <c r="FF111" s="1070"/>
      <c r="FG111" s="1070"/>
      <c r="FH111" s="1070"/>
      <c r="FI111" s="1070"/>
      <c r="FJ111" s="1070"/>
      <c r="FK111" s="1070"/>
      <c r="FL111" s="1070"/>
      <c r="FM111" s="1070"/>
      <c r="FN111" s="1070"/>
      <c r="FO111" s="1070"/>
      <c r="FP111" s="1070"/>
      <c r="FQ111" s="1070"/>
      <c r="FR111" s="1070"/>
      <c r="FS111" s="1070"/>
      <c r="FT111" s="1070"/>
      <c r="FU111" s="1070"/>
      <c r="FV111" s="1070"/>
      <c r="FW111" s="1070"/>
      <c r="FX111" s="1070"/>
      <c r="FY111" s="1070"/>
      <c r="FZ111" s="1070"/>
      <c r="GA111" s="1070"/>
      <c r="GB111" s="1028"/>
    </row>
    <row r="112" spans="1:184" s="1007" customFormat="1" ht="24.95" customHeight="1">
      <c r="A112" s="1007">
        <v>41</v>
      </c>
      <c r="B112" s="1062">
        <f t="shared" si="4"/>
        <v>45</v>
      </c>
      <c r="C112" s="1072"/>
      <c r="D112" s="1051" t="s">
        <v>2237</v>
      </c>
      <c r="E112" s="1073" t="s">
        <v>2238</v>
      </c>
      <c r="F112" s="1052"/>
      <c r="G112" s="1053" t="s">
        <v>337</v>
      </c>
      <c r="H112" s="1046">
        <f t="shared" si="33"/>
        <v>314</v>
      </c>
      <c r="I112" s="1088"/>
      <c r="J112" s="1088">
        <f t="shared" si="34"/>
        <v>314</v>
      </c>
      <c r="K112" s="1663">
        <v>8</v>
      </c>
      <c r="L112" s="1096">
        <v>2</v>
      </c>
      <c r="M112" s="1096">
        <v>2</v>
      </c>
      <c r="N112" s="1096">
        <v>2</v>
      </c>
      <c r="O112" s="1096">
        <v>2</v>
      </c>
      <c r="P112" s="1096">
        <v>2</v>
      </c>
      <c r="Q112" s="1096">
        <v>2</v>
      </c>
      <c r="R112" s="1096">
        <v>2</v>
      </c>
      <c r="S112" s="1096">
        <v>2</v>
      </c>
      <c r="T112" s="1096">
        <v>2</v>
      </c>
      <c r="U112" s="1096">
        <v>2</v>
      </c>
      <c r="V112" s="1096">
        <v>2</v>
      </c>
      <c r="W112" s="1096">
        <v>2</v>
      </c>
      <c r="X112" s="1096">
        <v>2</v>
      </c>
      <c r="Y112" s="1096">
        <v>2</v>
      </c>
      <c r="Z112" s="1096">
        <v>2</v>
      </c>
      <c r="AA112" s="1096">
        <v>2</v>
      </c>
      <c r="AB112" s="1096">
        <v>2</v>
      </c>
      <c r="AC112" s="1096">
        <v>2</v>
      </c>
      <c r="AD112" s="1096">
        <v>2</v>
      </c>
      <c r="AE112" s="1096">
        <v>2</v>
      </c>
      <c r="AF112" s="1096">
        <v>2</v>
      </c>
      <c r="AG112" s="1096">
        <v>2</v>
      </c>
      <c r="AH112" s="1096">
        <v>2</v>
      </c>
      <c r="AI112" s="1096">
        <v>2</v>
      </c>
      <c r="AJ112" s="1096">
        <v>2</v>
      </c>
      <c r="AK112" s="1096">
        <v>2</v>
      </c>
      <c r="AL112" s="1096">
        <v>2</v>
      </c>
      <c r="AM112" s="1096">
        <v>2</v>
      </c>
      <c r="AN112" s="1096">
        <v>2</v>
      </c>
      <c r="AO112" s="1096">
        <v>2</v>
      </c>
      <c r="AP112" s="1096">
        <v>2</v>
      </c>
      <c r="AQ112" s="1096">
        <v>2</v>
      </c>
      <c r="AR112" s="1096">
        <v>2</v>
      </c>
      <c r="AS112" s="1096">
        <v>2</v>
      </c>
      <c r="AT112" s="1096">
        <v>2</v>
      </c>
      <c r="AU112" s="1096">
        <v>2</v>
      </c>
      <c r="AV112" s="1096">
        <v>2</v>
      </c>
      <c r="AW112" s="1096">
        <v>2</v>
      </c>
      <c r="AX112" s="1096">
        <v>2</v>
      </c>
      <c r="AY112" s="1096">
        <v>2</v>
      </c>
      <c r="AZ112" s="1096">
        <v>2</v>
      </c>
      <c r="BA112" s="1096">
        <v>2</v>
      </c>
      <c r="BB112" s="1096">
        <v>2</v>
      </c>
      <c r="BC112" s="1096">
        <v>2</v>
      </c>
      <c r="BD112" s="1096">
        <v>2</v>
      </c>
      <c r="BE112" s="1096">
        <v>2</v>
      </c>
      <c r="BF112" s="1096">
        <v>2</v>
      </c>
      <c r="BG112" s="1096">
        <v>2</v>
      </c>
      <c r="BH112" s="1096">
        <v>2</v>
      </c>
      <c r="BI112" s="1096">
        <v>2</v>
      </c>
      <c r="BJ112" s="1096">
        <v>2</v>
      </c>
      <c r="BK112" s="1096">
        <v>2</v>
      </c>
      <c r="BL112" s="1096">
        <v>2</v>
      </c>
      <c r="BM112" s="1096">
        <v>2</v>
      </c>
      <c r="BN112" s="1096">
        <v>2</v>
      </c>
      <c r="BO112" s="1096">
        <v>2</v>
      </c>
      <c r="BP112" s="1096">
        <v>2</v>
      </c>
      <c r="BQ112" s="1096">
        <v>2</v>
      </c>
      <c r="BR112" s="1096">
        <v>2</v>
      </c>
      <c r="BS112" s="1096">
        <v>2</v>
      </c>
      <c r="BT112" s="1096">
        <v>2</v>
      </c>
      <c r="BU112" s="1096">
        <v>2</v>
      </c>
      <c r="BV112" s="1096">
        <v>2</v>
      </c>
      <c r="BW112" s="1096">
        <v>2</v>
      </c>
      <c r="BX112" s="1096">
        <v>2</v>
      </c>
      <c r="BY112" s="1096">
        <v>2</v>
      </c>
      <c r="BZ112" s="1096">
        <v>2</v>
      </c>
      <c r="CA112" s="1096">
        <v>2</v>
      </c>
      <c r="CB112" s="1096">
        <v>2</v>
      </c>
      <c r="CC112" s="1096">
        <v>2</v>
      </c>
      <c r="CD112" s="1096">
        <v>2</v>
      </c>
      <c r="CE112" s="1096">
        <v>2</v>
      </c>
      <c r="CF112" s="1096">
        <v>2</v>
      </c>
      <c r="CG112" s="1096">
        <v>2</v>
      </c>
      <c r="CH112" s="1096">
        <v>2</v>
      </c>
      <c r="CI112" s="1096">
        <v>2</v>
      </c>
      <c r="CJ112" s="1096">
        <v>2</v>
      </c>
      <c r="CK112" s="1096">
        <v>2</v>
      </c>
      <c r="CL112" s="1096">
        <v>2</v>
      </c>
      <c r="CM112" s="1096">
        <v>2</v>
      </c>
      <c r="CN112" s="1096">
        <v>2</v>
      </c>
      <c r="CO112" s="1096">
        <v>2</v>
      </c>
      <c r="CP112" s="1096">
        <v>2</v>
      </c>
      <c r="CQ112" s="1096">
        <v>2</v>
      </c>
      <c r="CR112" s="1096">
        <v>2</v>
      </c>
      <c r="CS112" s="1096">
        <v>2</v>
      </c>
      <c r="CT112" s="1096">
        <v>2</v>
      </c>
      <c r="CU112" s="1096">
        <v>2</v>
      </c>
      <c r="CV112" s="1096">
        <v>2</v>
      </c>
      <c r="CW112" s="1096">
        <v>2</v>
      </c>
      <c r="CX112" s="1096">
        <v>2</v>
      </c>
      <c r="CY112" s="1096">
        <v>2</v>
      </c>
      <c r="CZ112" s="1096">
        <v>2</v>
      </c>
      <c r="DA112" s="1096">
        <v>2</v>
      </c>
      <c r="DB112" s="1096">
        <v>2</v>
      </c>
      <c r="DC112" s="1096">
        <v>2</v>
      </c>
      <c r="DD112" s="1096">
        <v>2</v>
      </c>
      <c r="DE112" s="1096">
        <v>2</v>
      </c>
      <c r="DF112" s="1096">
        <v>2</v>
      </c>
      <c r="DG112" s="1096">
        <v>2</v>
      </c>
      <c r="DH112" s="1096">
        <v>2</v>
      </c>
      <c r="DI112" s="1096">
        <v>2</v>
      </c>
      <c r="DJ112" s="1096">
        <v>2</v>
      </c>
      <c r="DK112" s="1096">
        <v>2</v>
      </c>
      <c r="DL112" s="1096">
        <v>2</v>
      </c>
      <c r="DM112" s="1096">
        <v>2</v>
      </c>
      <c r="DN112" s="1096">
        <v>2</v>
      </c>
      <c r="DO112" s="1096">
        <v>2</v>
      </c>
      <c r="DP112" s="1096">
        <v>2</v>
      </c>
      <c r="DQ112" s="1096">
        <v>2</v>
      </c>
      <c r="DR112" s="1096">
        <v>2</v>
      </c>
      <c r="DS112" s="1096">
        <v>2</v>
      </c>
      <c r="DT112" s="1096">
        <v>2</v>
      </c>
      <c r="DU112" s="1096">
        <v>2</v>
      </c>
      <c r="DV112" s="1096">
        <v>2</v>
      </c>
      <c r="DW112" s="1096">
        <v>4</v>
      </c>
      <c r="DX112" s="1096">
        <v>4</v>
      </c>
      <c r="DY112" s="1096">
        <v>2</v>
      </c>
      <c r="DZ112" s="1096">
        <v>2</v>
      </c>
      <c r="EA112" s="1096">
        <v>2</v>
      </c>
      <c r="EB112" s="1096">
        <v>2</v>
      </c>
      <c r="EC112" s="1096">
        <v>2</v>
      </c>
      <c r="ED112" s="1096">
        <v>2</v>
      </c>
      <c r="EE112" s="1096">
        <v>2</v>
      </c>
      <c r="EF112" s="1096">
        <v>2</v>
      </c>
      <c r="EG112" s="1096">
        <v>4</v>
      </c>
      <c r="EH112" s="1096">
        <v>8</v>
      </c>
      <c r="EI112" s="1096">
        <v>8</v>
      </c>
      <c r="EJ112" s="1096">
        <v>8</v>
      </c>
      <c r="EK112" s="1096">
        <v>8</v>
      </c>
      <c r="EL112" s="1096">
        <v>8</v>
      </c>
      <c r="EM112" s="1096">
        <v>8</v>
      </c>
      <c r="EN112" s="1098"/>
      <c r="EO112" s="1095"/>
      <c r="EP112" s="1095"/>
      <c r="EQ112" s="1095"/>
      <c r="ER112" s="1097"/>
      <c r="ES112" s="1097"/>
      <c r="ET112" s="1097"/>
      <c r="EU112" s="1097"/>
      <c r="EV112" s="1097"/>
      <c r="EW112" s="1097"/>
      <c r="EX112" s="1097"/>
      <c r="EY112" s="1097"/>
      <c r="EZ112" s="1097"/>
      <c r="FA112" s="1097"/>
      <c r="FB112" s="1097"/>
      <c r="FC112" s="1097"/>
      <c r="FD112" s="1095"/>
      <c r="FE112" s="1095"/>
      <c r="FF112" s="1097"/>
      <c r="FG112" s="1097"/>
      <c r="FH112" s="1097"/>
      <c r="FI112" s="1097"/>
      <c r="FJ112" s="1097"/>
      <c r="FK112" s="1097"/>
      <c r="FL112" s="1097"/>
      <c r="FM112" s="1097"/>
      <c r="FN112" s="1097"/>
      <c r="FO112" s="1097"/>
      <c r="FP112" s="1097"/>
      <c r="FQ112" s="1097"/>
      <c r="FR112" s="1097"/>
      <c r="FS112" s="1097"/>
      <c r="FT112" s="1097"/>
      <c r="FU112" s="1097"/>
      <c r="FV112" s="1097"/>
      <c r="FW112" s="1097"/>
      <c r="FX112" s="1097"/>
      <c r="FY112" s="1097"/>
      <c r="FZ112" s="1097"/>
      <c r="GA112" s="1097"/>
      <c r="GB112" s="1046"/>
    </row>
    <row r="113" spans="1:184" s="1007" customFormat="1" ht="24.95" hidden="1" customHeight="1">
      <c r="A113" s="1007">
        <v>42</v>
      </c>
      <c r="B113" s="1062">
        <f t="shared" si="4"/>
        <v>46</v>
      </c>
      <c r="C113" s="1072"/>
      <c r="D113" s="1051" t="s">
        <v>1970</v>
      </c>
      <c r="E113" s="1073" t="s">
        <v>2239</v>
      </c>
      <c r="F113" s="1052"/>
      <c r="G113" s="1053" t="s">
        <v>337</v>
      </c>
      <c r="H113" s="1046">
        <f t="shared" si="33"/>
        <v>0</v>
      </c>
      <c r="I113" s="1088"/>
      <c r="J113" s="1088">
        <f t="shared" si="34"/>
        <v>0</v>
      </c>
      <c r="K113" s="1663"/>
      <c r="L113" s="1096"/>
      <c r="M113" s="1096"/>
      <c r="N113" s="1097"/>
      <c r="O113" s="1097"/>
      <c r="P113" s="1097"/>
      <c r="Q113" s="1097"/>
      <c r="R113" s="1097"/>
      <c r="S113" s="1097"/>
      <c r="T113" s="1097"/>
      <c r="U113" s="1096"/>
      <c r="V113" s="1097"/>
      <c r="W113" s="1097"/>
      <c r="X113" s="1097"/>
      <c r="Y113" s="1097"/>
      <c r="Z113" s="1097"/>
      <c r="AA113" s="1097"/>
      <c r="AB113" s="1097"/>
      <c r="AC113" s="1097"/>
      <c r="AD113" s="1097"/>
      <c r="AE113" s="1097"/>
      <c r="AF113" s="1100"/>
      <c r="AG113" s="1100"/>
      <c r="AH113" s="1100"/>
      <c r="AI113" s="1100"/>
      <c r="AJ113" s="1100"/>
      <c r="AK113" s="1100"/>
      <c r="AL113" s="1100"/>
      <c r="AM113" s="1100"/>
      <c r="AN113" s="1100"/>
      <c r="AO113" s="1100"/>
      <c r="AP113" s="1100"/>
      <c r="AQ113" s="1100"/>
      <c r="AR113" s="1100"/>
      <c r="AS113" s="1100"/>
      <c r="AT113" s="1100"/>
      <c r="AU113" s="1100"/>
      <c r="AV113" s="1100"/>
      <c r="AW113" s="1100"/>
      <c r="AX113" s="1100"/>
      <c r="AY113" s="1100"/>
      <c r="AZ113" s="1100"/>
      <c r="BA113" s="1100"/>
      <c r="BB113" s="1100"/>
      <c r="BC113" s="1100"/>
      <c r="BD113" s="1100"/>
      <c r="BE113" s="1100"/>
      <c r="BF113" s="1100"/>
      <c r="BG113" s="1100"/>
      <c r="BH113" s="1100"/>
      <c r="BI113" s="1100"/>
      <c r="BJ113" s="1100"/>
      <c r="BK113" s="1100"/>
      <c r="BL113" s="1100"/>
      <c r="BM113" s="1100"/>
      <c r="BN113" s="1100"/>
      <c r="BO113" s="1100"/>
      <c r="BP113" s="1100"/>
      <c r="BQ113" s="1100"/>
      <c r="BR113" s="1100"/>
      <c r="BS113" s="1100"/>
      <c r="BT113" s="1100"/>
      <c r="BU113" s="1100"/>
      <c r="BV113" s="1100"/>
      <c r="BW113" s="1100"/>
      <c r="BX113" s="1100"/>
      <c r="BY113" s="1100"/>
      <c r="BZ113" s="1100"/>
      <c r="CA113" s="1100"/>
      <c r="CB113" s="1100"/>
      <c r="CC113" s="1100"/>
      <c r="CD113" s="1100"/>
      <c r="CE113" s="1100"/>
      <c r="CF113" s="1100"/>
      <c r="CG113" s="1100"/>
      <c r="CH113" s="1100"/>
      <c r="CI113" s="1100"/>
      <c r="CJ113" s="1100"/>
      <c r="CK113" s="1100"/>
      <c r="CL113" s="1100"/>
      <c r="CM113" s="1100"/>
      <c r="CN113" s="1100"/>
      <c r="CO113" s="1100"/>
      <c r="CP113" s="1100"/>
      <c r="CQ113" s="1100"/>
      <c r="CR113" s="1100"/>
      <c r="CS113" s="1100"/>
      <c r="CT113" s="1100"/>
      <c r="CU113" s="1100"/>
      <c r="CV113" s="1100"/>
      <c r="CW113" s="1100"/>
      <c r="CX113" s="1100"/>
      <c r="CY113" s="1100"/>
      <c r="CZ113" s="1100"/>
      <c r="DA113" s="1100"/>
      <c r="DB113" s="1100"/>
      <c r="DC113" s="1100"/>
      <c r="DD113" s="1100"/>
      <c r="DE113" s="1100"/>
      <c r="DF113" s="1100"/>
      <c r="DG113" s="1100"/>
      <c r="DH113" s="1100"/>
      <c r="DI113" s="1100"/>
      <c r="DJ113" s="1100"/>
      <c r="DK113" s="1100"/>
      <c r="DL113" s="1100"/>
      <c r="DM113" s="1100"/>
      <c r="DN113" s="1100"/>
      <c r="DO113" s="1100"/>
      <c r="DP113" s="1100"/>
      <c r="DQ113" s="1100"/>
      <c r="DR113" s="1100"/>
      <c r="DS113" s="1100"/>
      <c r="DT113" s="1100"/>
      <c r="DU113" s="1100"/>
      <c r="DV113" s="1100"/>
      <c r="DW113" s="1100"/>
      <c r="DX113" s="1100"/>
      <c r="DY113" s="1100"/>
      <c r="DZ113" s="1100"/>
      <c r="EA113" s="1100"/>
      <c r="EB113" s="1100"/>
      <c r="EC113" s="1100"/>
      <c r="ED113" s="1100"/>
      <c r="EE113" s="1100"/>
      <c r="EF113" s="1100"/>
      <c r="EG113" s="1096"/>
      <c r="EH113" s="1096"/>
      <c r="EI113" s="1096"/>
      <c r="EJ113" s="1096"/>
      <c r="EK113" s="1096"/>
      <c r="EL113" s="1096"/>
      <c r="EM113" s="1096"/>
      <c r="EN113" s="1098"/>
      <c r="EO113" s="1095"/>
      <c r="EP113" s="1095"/>
      <c r="EQ113" s="1095"/>
      <c r="ER113" s="1097"/>
      <c r="ES113" s="1097"/>
      <c r="ET113" s="1097"/>
      <c r="EU113" s="1097"/>
      <c r="EV113" s="1097"/>
      <c r="EW113" s="1097"/>
      <c r="EX113" s="1097"/>
      <c r="EY113" s="1097"/>
      <c r="EZ113" s="1097"/>
      <c r="FA113" s="1097"/>
      <c r="FB113" s="1097"/>
      <c r="FC113" s="1097"/>
      <c r="FD113" s="1095"/>
      <c r="FE113" s="1095"/>
      <c r="FF113" s="1097"/>
      <c r="FG113" s="1097"/>
      <c r="FH113" s="1097"/>
      <c r="FI113" s="1097"/>
      <c r="FJ113" s="1097"/>
      <c r="FK113" s="1097"/>
      <c r="FL113" s="1097"/>
      <c r="FM113" s="1097"/>
      <c r="FN113" s="1097"/>
      <c r="FO113" s="1097"/>
      <c r="FP113" s="1097"/>
      <c r="FQ113" s="1097"/>
      <c r="FR113" s="1097"/>
      <c r="FS113" s="1097"/>
      <c r="FT113" s="1097"/>
      <c r="FU113" s="1097"/>
      <c r="FV113" s="1097"/>
      <c r="FW113" s="1097"/>
      <c r="FX113" s="1097"/>
      <c r="FY113" s="1097"/>
      <c r="FZ113" s="1097"/>
      <c r="GA113" s="1097"/>
      <c r="GB113" s="1046"/>
    </row>
    <row r="114" spans="1:184" s="1007" customFormat="1" ht="24.95" hidden="1" customHeight="1">
      <c r="A114" s="1007">
        <v>43</v>
      </c>
      <c r="B114" s="1062">
        <f t="shared" si="4"/>
        <v>47</v>
      </c>
      <c r="C114" s="1072"/>
      <c r="D114" s="1051" t="s">
        <v>2240</v>
      </c>
      <c r="E114" s="1073" t="s">
        <v>2241</v>
      </c>
      <c r="F114" s="1052"/>
      <c r="G114" s="1053" t="s">
        <v>337</v>
      </c>
      <c r="H114" s="1046">
        <f t="shared" si="33"/>
        <v>0</v>
      </c>
      <c r="I114" s="1029"/>
      <c r="J114" s="1088">
        <f t="shared" si="34"/>
        <v>0</v>
      </c>
      <c r="K114" s="1663"/>
      <c r="L114" s="1098"/>
      <c r="M114" s="1098"/>
      <c r="N114" s="1095"/>
      <c r="O114" s="1095"/>
      <c r="P114" s="1095"/>
      <c r="Q114" s="1095"/>
      <c r="R114" s="1095"/>
      <c r="S114" s="1095"/>
      <c r="T114" s="1095"/>
      <c r="U114" s="1098"/>
      <c r="V114" s="1095"/>
      <c r="W114" s="1095"/>
      <c r="X114" s="1095"/>
      <c r="Y114" s="1095"/>
      <c r="Z114" s="1095"/>
      <c r="AA114" s="1095"/>
      <c r="AB114" s="1095"/>
      <c r="AC114" s="1095"/>
      <c r="AD114" s="1095"/>
      <c r="AE114" s="1095"/>
      <c r="AF114" s="1099"/>
      <c r="AG114" s="1099"/>
      <c r="AH114" s="1099"/>
      <c r="AI114" s="1099"/>
      <c r="AJ114" s="1099"/>
      <c r="AK114" s="1099"/>
      <c r="AL114" s="1099"/>
      <c r="AM114" s="1099"/>
      <c r="AN114" s="1099"/>
      <c r="AO114" s="1099"/>
      <c r="AP114" s="1099"/>
      <c r="AQ114" s="1099"/>
      <c r="AR114" s="1099"/>
      <c r="AS114" s="1099"/>
      <c r="AT114" s="1099"/>
      <c r="AU114" s="1099"/>
      <c r="AV114" s="1099"/>
      <c r="AW114" s="1099"/>
      <c r="AX114" s="1099"/>
      <c r="AY114" s="1099"/>
      <c r="AZ114" s="1099"/>
      <c r="BA114" s="1099"/>
      <c r="BB114" s="1099"/>
      <c r="BC114" s="1099"/>
      <c r="BD114" s="1099"/>
      <c r="BE114" s="1099"/>
      <c r="BF114" s="1099"/>
      <c r="BG114" s="1099"/>
      <c r="BH114" s="1099"/>
      <c r="BI114" s="1099"/>
      <c r="BJ114" s="1099"/>
      <c r="BK114" s="1099"/>
      <c r="BL114" s="1099"/>
      <c r="BM114" s="1099"/>
      <c r="BN114" s="1099"/>
      <c r="BO114" s="1099"/>
      <c r="BP114" s="1099"/>
      <c r="BQ114" s="1099"/>
      <c r="BR114" s="1099"/>
      <c r="BS114" s="1099"/>
      <c r="BT114" s="1099"/>
      <c r="BU114" s="1099"/>
      <c r="BV114" s="1099"/>
      <c r="BW114" s="1099"/>
      <c r="BX114" s="1099"/>
      <c r="BY114" s="1099"/>
      <c r="BZ114" s="1099"/>
      <c r="CA114" s="1099"/>
      <c r="CB114" s="1099"/>
      <c r="CC114" s="1099"/>
      <c r="CD114" s="1099"/>
      <c r="CE114" s="1099"/>
      <c r="CF114" s="1099"/>
      <c r="CG114" s="1099"/>
      <c r="CH114" s="1099"/>
      <c r="CI114" s="1099"/>
      <c r="CJ114" s="1099"/>
      <c r="CK114" s="1099"/>
      <c r="CL114" s="1099"/>
      <c r="CM114" s="1099"/>
      <c r="CN114" s="1099"/>
      <c r="CO114" s="1099"/>
      <c r="CP114" s="1099"/>
      <c r="CQ114" s="1099"/>
      <c r="CR114" s="1099"/>
      <c r="CS114" s="1099"/>
      <c r="CT114" s="1099"/>
      <c r="CU114" s="1099"/>
      <c r="CV114" s="1099"/>
      <c r="CW114" s="1099"/>
      <c r="CX114" s="1099"/>
      <c r="CY114" s="1099"/>
      <c r="CZ114" s="1099"/>
      <c r="DA114" s="1099"/>
      <c r="DB114" s="1099"/>
      <c r="DC114" s="1099"/>
      <c r="DD114" s="1099"/>
      <c r="DE114" s="1099"/>
      <c r="DF114" s="1099"/>
      <c r="DG114" s="1099"/>
      <c r="DH114" s="1099"/>
      <c r="DI114" s="1099"/>
      <c r="DJ114" s="1099"/>
      <c r="DK114" s="1099"/>
      <c r="DL114" s="1099"/>
      <c r="DM114" s="1099"/>
      <c r="DN114" s="1099"/>
      <c r="DO114" s="1099"/>
      <c r="DP114" s="1099"/>
      <c r="DQ114" s="1099"/>
      <c r="DR114" s="1099"/>
      <c r="DS114" s="1099"/>
      <c r="DT114" s="1099"/>
      <c r="DU114" s="1099"/>
      <c r="DV114" s="1099"/>
      <c r="DW114" s="1099"/>
      <c r="DX114" s="1099"/>
      <c r="DY114" s="1099"/>
      <c r="DZ114" s="1099"/>
      <c r="EA114" s="1099"/>
      <c r="EB114" s="1099"/>
      <c r="EC114" s="1099"/>
      <c r="ED114" s="1099"/>
      <c r="EE114" s="1099"/>
      <c r="EF114" s="1099"/>
      <c r="EG114" s="1098"/>
      <c r="EH114" s="1098"/>
      <c r="EI114" s="1098"/>
      <c r="EJ114" s="1098"/>
      <c r="EK114" s="1098"/>
      <c r="EL114" s="1098"/>
      <c r="EM114" s="1098"/>
      <c r="EN114" s="1096"/>
      <c r="EO114" s="1095"/>
      <c r="EP114" s="1095"/>
      <c r="EQ114" s="1095"/>
      <c r="ER114" s="1095"/>
      <c r="ES114" s="1095"/>
      <c r="ET114" s="1095"/>
      <c r="EU114" s="1095"/>
      <c r="EV114" s="1095"/>
      <c r="EW114" s="1095"/>
      <c r="EX114" s="1095"/>
      <c r="EY114" s="1095"/>
      <c r="EZ114" s="1095"/>
      <c r="FA114" s="1095"/>
      <c r="FB114" s="1095"/>
      <c r="FC114" s="1095"/>
      <c r="FD114" s="1095"/>
      <c r="FE114" s="1095"/>
      <c r="FF114" s="1095"/>
      <c r="FG114" s="1095"/>
      <c r="FH114" s="1095"/>
      <c r="FI114" s="1095"/>
      <c r="FJ114" s="1095"/>
      <c r="FK114" s="1095"/>
      <c r="FL114" s="1095"/>
      <c r="FM114" s="1095"/>
      <c r="FN114" s="1095"/>
      <c r="FO114" s="1095"/>
      <c r="FP114" s="1095"/>
      <c r="FQ114" s="1095"/>
      <c r="FR114" s="1095"/>
      <c r="FS114" s="1095"/>
      <c r="FT114" s="1095"/>
      <c r="FU114" s="1095"/>
      <c r="FV114" s="1095"/>
      <c r="FW114" s="1095"/>
      <c r="FX114" s="1095"/>
      <c r="FY114" s="1095"/>
      <c r="FZ114" s="1095"/>
      <c r="GA114" s="1095"/>
      <c r="GB114" s="1046"/>
    </row>
    <row r="115" spans="1:184" s="1007" customFormat="1" ht="24.95" hidden="1" customHeight="1">
      <c r="A115" s="1007">
        <v>44</v>
      </c>
      <c r="B115" s="1062">
        <f t="shared" si="4"/>
        <v>48</v>
      </c>
      <c r="C115" s="1072"/>
      <c r="D115" s="1051" t="s">
        <v>2242</v>
      </c>
      <c r="E115" s="1073" t="s">
        <v>2243</v>
      </c>
      <c r="F115" s="1052"/>
      <c r="G115" s="1053" t="s">
        <v>337</v>
      </c>
      <c r="H115" s="1046">
        <f t="shared" si="33"/>
        <v>0</v>
      </c>
      <c r="I115" s="1029"/>
      <c r="J115" s="1088">
        <f t="shared" si="34"/>
        <v>0</v>
      </c>
      <c r="K115" s="1664"/>
      <c r="L115" s="1101"/>
      <c r="M115" s="1101"/>
      <c r="N115" s="1102"/>
      <c r="O115" s="1102"/>
      <c r="P115" s="1102"/>
      <c r="Q115" s="1102"/>
      <c r="R115" s="1102"/>
      <c r="S115" s="1102"/>
      <c r="T115" s="1102"/>
      <c r="U115" s="1101"/>
      <c r="V115" s="1102"/>
      <c r="W115" s="1102"/>
      <c r="X115" s="1102"/>
      <c r="Y115" s="1102"/>
      <c r="Z115" s="1102"/>
      <c r="AA115" s="1102"/>
      <c r="AB115" s="1102"/>
      <c r="AC115" s="1102"/>
      <c r="AD115" s="1102"/>
      <c r="AE115" s="1102"/>
      <c r="AF115" s="1103"/>
      <c r="AG115" s="1103"/>
      <c r="AH115" s="1103"/>
      <c r="AI115" s="1103"/>
      <c r="AJ115" s="1103"/>
      <c r="AK115" s="1103"/>
      <c r="AL115" s="1103"/>
      <c r="AM115" s="1103"/>
      <c r="AN115" s="1103"/>
      <c r="AO115" s="1103"/>
      <c r="AP115" s="1103"/>
      <c r="AQ115" s="1103"/>
      <c r="AR115" s="1103"/>
      <c r="AS115" s="1103"/>
      <c r="AT115" s="1103"/>
      <c r="AU115" s="1103"/>
      <c r="AV115" s="1103"/>
      <c r="AW115" s="1103"/>
      <c r="AX115" s="1103"/>
      <c r="AY115" s="1103"/>
      <c r="AZ115" s="1103"/>
      <c r="BA115" s="1103"/>
      <c r="BB115" s="1103"/>
      <c r="BC115" s="1103"/>
      <c r="BD115" s="1103"/>
      <c r="BE115" s="1103"/>
      <c r="BF115" s="1103"/>
      <c r="BG115" s="1103"/>
      <c r="BH115" s="1103"/>
      <c r="BI115" s="1103"/>
      <c r="BJ115" s="1103"/>
      <c r="BK115" s="1103"/>
      <c r="BL115" s="1103"/>
      <c r="BM115" s="1103"/>
      <c r="BN115" s="1103"/>
      <c r="BO115" s="1103"/>
      <c r="BP115" s="1103"/>
      <c r="BQ115" s="1103"/>
      <c r="BR115" s="1103"/>
      <c r="BS115" s="1103"/>
      <c r="BT115" s="1103"/>
      <c r="BU115" s="1103"/>
      <c r="BV115" s="1103"/>
      <c r="BW115" s="1103"/>
      <c r="BX115" s="1103"/>
      <c r="BY115" s="1103"/>
      <c r="BZ115" s="1103"/>
      <c r="CA115" s="1103"/>
      <c r="CB115" s="1103"/>
      <c r="CC115" s="1103"/>
      <c r="CD115" s="1103"/>
      <c r="CE115" s="1103"/>
      <c r="CF115" s="1103"/>
      <c r="CG115" s="1103"/>
      <c r="CH115" s="1103"/>
      <c r="CI115" s="1103"/>
      <c r="CJ115" s="1103"/>
      <c r="CK115" s="1103"/>
      <c r="CL115" s="1103"/>
      <c r="CM115" s="1103"/>
      <c r="CN115" s="1103"/>
      <c r="CO115" s="1103"/>
      <c r="CP115" s="1103"/>
      <c r="CQ115" s="1103"/>
      <c r="CR115" s="1103"/>
      <c r="CS115" s="1103"/>
      <c r="CT115" s="1103"/>
      <c r="CU115" s="1103"/>
      <c r="CV115" s="1103"/>
      <c r="CW115" s="1103"/>
      <c r="CX115" s="1103"/>
      <c r="CY115" s="1103"/>
      <c r="CZ115" s="1103"/>
      <c r="DA115" s="1103"/>
      <c r="DB115" s="1103"/>
      <c r="DC115" s="1103"/>
      <c r="DD115" s="1103"/>
      <c r="DE115" s="1103"/>
      <c r="DF115" s="1103"/>
      <c r="DG115" s="1103"/>
      <c r="DH115" s="1103"/>
      <c r="DI115" s="1103"/>
      <c r="DJ115" s="1103"/>
      <c r="DK115" s="1103"/>
      <c r="DL115" s="1103"/>
      <c r="DM115" s="1103"/>
      <c r="DN115" s="1103"/>
      <c r="DO115" s="1103"/>
      <c r="DP115" s="1103"/>
      <c r="DQ115" s="1103"/>
      <c r="DR115" s="1103"/>
      <c r="DS115" s="1103"/>
      <c r="DT115" s="1103"/>
      <c r="DU115" s="1103"/>
      <c r="DV115" s="1103"/>
      <c r="DW115" s="1103"/>
      <c r="DX115" s="1103"/>
      <c r="DY115" s="1103"/>
      <c r="DZ115" s="1103"/>
      <c r="EA115" s="1103"/>
      <c r="EB115" s="1103"/>
      <c r="EC115" s="1103"/>
      <c r="ED115" s="1103"/>
      <c r="EE115" s="1103"/>
      <c r="EF115" s="1103"/>
      <c r="EG115" s="1101"/>
      <c r="EH115" s="1101"/>
      <c r="EI115" s="1101"/>
      <c r="EJ115" s="1101"/>
      <c r="EK115" s="1101"/>
      <c r="EL115" s="1101"/>
      <c r="EM115" s="1101"/>
      <c r="EN115" s="1394"/>
      <c r="EO115" s="1104"/>
      <c r="EP115" s="1104"/>
      <c r="EQ115" s="1104"/>
      <c r="ER115" s="1104"/>
      <c r="ES115" s="1104"/>
      <c r="ET115" s="1104"/>
      <c r="EU115" s="1104"/>
      <c r="EV115" s="1104"/>
      <c r="EW115" s="1104"/>
      <c r="EX115" s="1104"/>
      <c r="EY115" s="1104"/>
      <c r="EZ115" s="1104"/>
      <c r="FA115" s="1104"/>
      <c r="FB115" s="1104"/>
      <c r="FC115" s="1104"/>
      <c r="FD115" s="1104"/>
      <c r="FE115" s="1104"/>
      <c r="FF115" s="1104"/>
      <c r="FG115" s="1104"/>
      <c r="FH115" s="1104"/>
      <c r="FI115" s="1104"/>
      <c r="FJ115" s="1104"/>
      <c r="FK115" s="1104"/>
      <c r="FL115" s="1104"/>
      <c r="FM115" s="1104"/>
      <c r="FN115" s="1104"/>
      <c r="FO115" s="1104"/>
      <c r="FP115" s="1104"/>
      <c r="FQ115" s="1104"/>
      <c r="FR115" s="1104"/>
      <c r="FS115" s="1104"/>
      <c r="FT115" s="1104"/>
      <c r="FU115" s="1104"/>
      <c r="FV115" s="1104"/>
      <c r="FW115" s="1104"/>
      <c r="FX115" s="1104"/>
      <c r="FY115" s="1104"/>
      <c r="FZ115" s="1104"/>
      <c r="GA115" s="1104"/>
      <c r="GB115" s="1028"/>
    </row>
    <row r="116" spans="1:184" s="1007" customFormat="1" ht="24.95" hidden="1" customHeight="1">
      <c r="A116" s="1007">
        <v>45</v>
      </c>
      <c r="B116" s="1062">
        <f t="shared" si="4"/>
        <v>49</v>
      </c>
      <c r="C116" s="1072"/>
      <c r="D116" s="1051" t="s">
        <v>2244</v>
      </c>
      <c r="E116" s="1073" t="s">
        <v>2245</v>
      </c>
      <c r="F116" s="1052"/>
      <c r="G116" s="1053" t="s">
        <v>337</v>
      </c>
      <c r="H116" s="1046">
        <f t="shared" si="33"/>
        <v>0</v>
      </c>
      <c r="I116" s="1087"/>
      <c r="J116" s="1105">
        <f t="shared" si="34"/>
        <v>0</v>
      </c>
      <c r="K116" s="1665"/>
      <c r="L116" s="1080"/>
      <c r="M116" s="1080"/>
      <c r="N116" s="1081"/>
      <c r="O116" s="1081"/>
      <c r="P116" s="1081"/>
      <c r="Q116" s="1081"/>
      <c r="R116" s="1081"/>
      <c r="S116" s="1081"/>
      <c r="T116" s="1081"/>
      <c r="U116" s="1080"/>
      <c r="V116" s="1081"/>
      <c r="W116" s="1081"/>
      <c r="X116" s="1081"/>
      <c r="Y116" s="1081"/>
      <c r="Z116" s="1081"/>
      <c r="AA116" s="1081"/>
      <c r="AB116" s="1081"/>
      <c r="AC116" s="1081"/>
      <c r="AD116" s="1081"/>
      <c r="AE116" s="1081"/>
      <c r="AF116" s="1082"/>
      <c r="AG116" s="1082"/>
      <c r="AH116" s="1082"/>
      <c r="AI116" s="1082"/>
      <c r="AJ116" s="1082"/>
      <c r="AK116" s="1082"/>
      <c r="AL116" s="1082"/>
      <c r="AM116" s="1082"/>
      <c r="AN116" s="1082"/>
      <c r="AO116" s="1082"/>
      <c r="AP116" s="1082"/>
      <c r="AQ116" s="1082"/>
      <c r="AR116" s="1082"/>
      <c r="AS116" s="1082"/>
      <c r="AT116" s="1082"/>
      <c r="AU116" s="1082"/>
      <c r="AV116" s="1082"/>
      <c r="AW116" s="1082"/>
      <c r="AX116" s="1082"/>
      <c r="AY116" s="1082"/>
      <c r="AZ116" s="1082"/>
      <c r="BA116" s="1082"/>
      <c r="BB116" s="1082"/>
      <c r="BC116" s="1082"/>
      <c r="BD116" s="1082"/>
      <c r="BE116" s="1082"/>
      <c r="BF116" s="1082"/>
      <c r="BG116" s="1082"/>
      <c r="BH116" s="1082"/>
      <c r="BI116" s="1082"/>
      <c r="BJ116" s="1082"/>
      <c r="BK116" s="1082"/>
      <c r="BL116" s="1082"/>
      <c r="BM116" s="1082"/>
      <c r="BN116" s="1082"/>
      <c r="BO116" s="1082"/>
      <c r="BP116" s="1082"/>
      <c r="BQ116" s="1082"/>
      <c r="BR116" s="1082"/>
      <c r="BS116" s="1082"/>
      <c r="BT116" s="1082"/>
      <c r="BU116" s="1082"/>
      <c r="BV116" s="1082"/>
      <c r="BW116" s="1082"/>
      <c r="BX116" s="1082"/>
      <c r="BY116" s="1082"/>
      <c r="BZ116" s="1082"/>
      <c r="CA116" s="1082"/>
      <c r="CB116" s="1082"/>
      <c r="CC116" s="1082"/>
      <c r="CD116" s="1082"/>
      <c r="CE116" s="1082"/>
      <c r="CF116" s="1082"/>
      <c r="CG116" s="1082"/>
      <c r="CH116" s="1082"/>
      <c r="CI116" s="1082"/>
      <c r="CJ116" s="1082"/>
      <c r="CK116" s="1082"/>
      <c r="CL116" s="1082"/>
      <c r="CM116" s="1082"/>
      <c r="CN116" s="1082"/>
      <c r="CO116" s="1082"/>
      <c r="CP116" s="1082"/>
      <c r="CQ116" s="1082"/>
      <c r="CR116" s="1082"/>
      <c r="CS116" s="1082"/>
      <c r="CT116" s="1082"/>
      <c r="CU116" s="1082"/>
      <c r="CV116" s="1082"/>
      <c r="CW116" s="1082"/>
      <c r="CX116" s="1082"/>
      <c r="CY116" s="1082"/>
      <c r="CZ116" s="1082"/>
      <c r="DA116" s="1082"/>
      <c r="DB116" s="1082"/>
      <c r="DC116" s="1082"/>
      <c r="DD116" s="1082"/>
      <c r="DE116" s="1082"/>
      <c r="DF116" s="1082"/>
      <c r="DG116" s="1082"/>
      <c r="DH116" s="1082"/>
      <c r="DI116" s="1082"/>
      <c r="DJ116" s="1082"/>
      <c r="DK116" s="1082"/>
      <c r="DL116" s="1082"/>
      <c r="DM116" s="1082"/>
      <c r="DN116" s="1082"/>
      <c r="DO116" s="1082"/>
      <c r="DP116" s="1082"/>
      <c r="DQ116" s="1082"/>
      <c r="DR116" s="1082"/>
      <c r="DS116" s="1082"/>
      <c r="DT116" s="1082"/>
      <c r="DU116" s="1082"/>
      <c r="DV116" s="1082"/>
      <c r="DW116" s="1082"/>
      <c r="DX116" s="1082"/>
      <c r="DY116" s="1082"/>
      <c r="DZ116" s="1082"/>
      <c r="EA116" s="1082"/>
      <c r="EB116" s="1082"/>
      <c r="EC116" s="1082"/>
      <c r="ED116" s="1082"/>
      <c r="EE116" s="1082"/>
      <c r="EF116" s="1082"/>
      <c r="EG116" s="1098"/>
      <c r="EH116" s="1098"/>
      <c r="EI116" s="1098"/>
      <c r="EJ116" s="1098"/>
      <c r="EK116" s="1098"/>
      <c r="EL116" s="1098"/>
      <c r="EM116" s="1098"/>
      <c r="EN116" s="1080"/>
      <c r="EO116" s="1081"/>
      <c r="EP116" s="1081"/>
      <c r="EQ116" s="1081"/>
      <c r="ER116" s="1081"/>
      <c r="ES116" s="1081"/>
      <c r="ET116" s="1081"/>
      <c r="EU116" s="1081"/>
      <c r="EV116" s="1081"/>
      <c r="EW116" s="1081"/>
      <c r="EX116" s="1081"/>
      <c r="EY116" s="1081"/>
      <c r="EZ116" s="1081"/>
      <c r="FA116" s="1081"/>
      <c r="FB116" s="1081"/>
      <c r="FC116" s="1081"/>
      <c r="FD116" s="1081"/>
      <c r="FE116" s="1081"/>
      <c r="FF116" s="1081"/>
      <c r="FG116" s="1081"/>
      <c r="FH116" s="1081"/>
      <c r="FI116" s="1081"/>
      <c r="FJ116" s="1081"/>
      <c r="FK116" s="1081"/>
      <c r="FL116" s="1081"/>
      <c r="FM116" s="1081"/>
      <c r="FN116" s="1081"/>
      <c r="FO116" s="1081"/>
      <c r="FP116" s="1081"/>
      <c r="FQ116" s="1081"/>
      <c r="FR116" s="1081"/>
      <c r="FS116" s="1081"/>
      <c r="FT116" s="1081"/>
      <c r="FU116" s="1081"/>
      <c r="FV116" s="1081"/>
      <c r="FW116" s="1081"/>
      <c r="FX116" s="1081"/>
      <c r="FY116" s="1081"/>
      <c r="FZ116" s="1081"/>
      <c r="GA116" s="1081"/>
      <c r="GB116" s="1028"/>
    </row>
    <row r="117" spans="1:184" s="1007" customFormat="1" ht="24.95" hidden="1" customHeight="1">
      <c r="A117" s="1007">
        <v>46</v>
      </c>
      <c r="B117" s="1062">
        <f t="shared" si="4"/>
        <v>50</v>
      </c>
      <c r="C117" s="1076"/>
      <c r="D117" s="1077" t="s">
        <v>2246</v>
      </c>
      <c r="E117" s="1084" t="s">
        <v>2247</v>
      </c>
      <c r="F117" s="1079"/>
      <c r="G117" s="1085" t="s">
        <v>337</v>
      </c>
      <c r="H117" s="1086">
        <f t="shared" si="33"/>
        <v>0</v>
      </c>
      <c r="I117" s="1087"/>
      <c r="J117" s="1105">
        <f t="shared" si="34"/>
        <v>0</v>
      </c>
      <c r="K117" s="1665"/>
      <c r="L117" s="1080"/>
      <c r="M117" s="1080"/>
      <c r="N117" s="1081"/>
      <c r="O117" s="1081"/>
      <c r="P117" s="1081"/>
      <c r="Q117" s="1081"/>
      <c r="R117" s="1081"/>
      <c r="S117" s="1081"/>
      <c r="T117" s="1081"/>
      <c r="U117" s="1080"/>
      <c r="V117" s="1081"/>
      <c r="W117" s="1081"/>
      <c r="X117" s="1081"/>
      <c r="Y117" s="1081"/>
      <c r="Z117" s="1081"/>
      <c r="AA117" s="1081"/>
      <c r="AB117" s="1081"/>
      <c r="AC117" s="1081"/>
      <c r="AD117" s="1081"/>
      <c r="AE117" s="1081"/>
      <c r="AF117" s="1082"/>
      <c r="AG117" s="1082"/>
      <c r="AH117" s="1082"/>
      <c r="AI117" s="1082"/>
      <c r="AJ117" s="1082"/>
      <c r="AK117" s="1082"/>
      <c r="AL117" s="1082"/>
      <c r="AM117" s="1082"/>
      <c r="AN117" s="1082"/>
      <c r="AO117" s="1082"/>
      <c r="AP117" s="1082"/>
      <c r="AQ117" s="1082"/>
      <c r="AR117" s="1082"/>
      <c r="AS117" s="1082"/>
      <c r="AT117" s="1082"/>
      <c r="AU117" s="1082"/>
      <c r="AV117" s="1082"/>
      <c r="AW117" s="1082"/>
      <c r="AX117" s="1082"/>
      <c r="AY117" s="1082"/>
      <c r="AZ117" s="1082"/>
      <c r="BA117" s="1082"/>
      <c r="BB117" s="1082"/>
      <c r="BC117" s="1082"/>
      <c r="BD117" s="1082"/>
      <c r="BE117" s="1082"/>
      <c r="BF117" s="1082"/>
      <c r="BG117" s="1082"/>
      <c r="BH117" s="1082"/>
      <c r="BI117" s="1082"/>
      <c r="BJ117" s="1082"/>
      <c r="BK117" s="1082"/>
      <c r="BL117" s="1082"/>
      <c r="BM117" s="1082"/>
      <c r="BN117" s="1082"/>
      <c r="BO117" s="1082"/>
      <c r="BP117" s="1082"/>
      <c r="BQ117" s="1082"/>
      <c r="BR117" s="1082"/>
      <c r="BS117" s="1082"/>
      <c r="BT117" s="1082"/>
      <c r="BU117" s="1082"/>
      <c r="BV117" s="1082"/>
      <c r="BW117" s="1082"/>
      <c r="BX117" s="1082"/>
      <c r="BY117" s="1082"/>
      <c r="BZ117" s="1082"/>
      <c r="CA117" s="1082"/>
      <c r="CB117" s="1082"/>
      <c r="CC117" s="1082"/>
      <c r="CD117" s="1082"/>
      <c r="CE117" s="1082"/>
      <c r="CF117" s="1082"/>
      <c r="CG117" s="1082"/>
      <c r="CH117" s="1082"/>
      <c r="CI117" s="1082"/>
      <c r="CJ117" s="1082"/>
      <c r="CK117" s="1082"/>
      <c r="CL117" s="1082"/>
      <c r="CM117" s="1082"/>
      <c r="CN117" s="1082"/>
      <c r="CO117" s="1082"/>
      <c r="CP117" s="1082"/>
      <c r="CQ117" s="1082"/>
      <c r="CR117" s="1082"/>
      <c r="CS117" s="1082"/>
      <c r="CT117" s="1082"/>
      <c r="CU117" s="1082"/>
      <c r="CV117" s="1082"/>
      <c r="CW117" s="1082"/>
      <c r="CX117" s="1082"/>
      <c r="CY117" s="1082"/>
      <c r="CZ117" s="1082"/>
      <c r="DA117" s="1082"/>
      <c r="DB117" s="1082"/>
      <c r="DC117" s="1082"/>
      <c r="DD117" s="1082"/>
      <c r="DE117" s="1082"/>
      <c r="DF117" s="1082"/>
      <c r="DG117" s="1082"/>
      <c r="DH117" s="1082"/>
      <c r="DI117" s="1082"/>
      <c r="DJ117" s="1082"/>
      <c r="DK117" s="1082"/>
      <c r="DL117" s="1082"/>
      <c r="DM117" s="1082"/>
      <c r="DN117" s="1082"/>
      <c r="DO117" s="1082"/>
      <c r="DP117" s="1082"/>
      <c r="DQ117" s="1082"/>
      <c r="DR117" s="1082"/>
      <c r="DS117" s="1082"/>
      <c r="DT117" s="1082"/>
      <c r="DU117" s="1082"/>
      <c r="DV117" s="1082"/>
      <c r="DW117" s="1082"/>
      <c r="DX117" s="1082"/>
      <c r="DY117" s="1082"/>
      <c r="DZ117" s="1082"/>
      <c r="EA117" s="1082"/>
      <c r="EB117" s="1082"/>
      <c r="EC117" s="1082"/>
      <c r="ED117" s="1082"/>
      <c r="EE117" s="1082"/>
      <c r="EF117" s="1082"/>
      <c r="EG117" s="1101"/>
      <c r="EH117" s="1101"/>
      <c r="EI117" s="1101"/>
      <c r="EJ117" s="1101"/>
      <c r="EK117" s="1101"/>
      <c r="EL117" s="1101"/>
      <c r="EM117" s="1101"/>
      <c r="EN117" s="1080"/>
      <c r="EO117" s="1081"/>
      <c r="EP117" s="1081"/>
      <c r="EQ117" s="1081"/>
      <c r="ER117" s="1081"/>
      <c r="ES117" s="1081"/>
      <c r="ET117" s="1081"/>
      <c r="EU117" s="1081"/>
      <c r="EV117" s="1081"/>
      <c r="EW117" s="1081"/>
      <c r="EX117" s="1081"/>
      <c r="EY117" s="1081"/>
      <c r="EZ117" s="1081"/>
      <c r="FA117" s="1081"/>
      <c r="FB117" s="1081"/>
      <c r="FC117" s="1081"/>
      <c r="FD117" s="1081"/>
      <c r="FE117" s="1081"/>
      <c r="FF117" s="1081"/>
      <c r="FG117" s="1081"/>
      <c r="FH117" s="1081"/>
      <c r="FI117" s="1081"/>
      <c r="FJ117" s="1081"/>
      <c r="FK117" s="1081"/>
      <c r="FL117" s="1081"/>
      <c r="FM117" s="1081"/>
      <c r="FN117" s="1081"/>
      <c r="FO117" s="1081"/>
      <c r="FP117" s="1081"/>
      <c r="FQ117" s="1081"/>
      <c r="FR117" s="1081"/>
      <c r="FS117" s="1081"/>
      <c r="FT117" s="1081"/>
      <c r="FU117" s="1081"/>
      <c r="FV117" s="1081"/>
      <c r="FW117" s="1081"/>
      <c r="FX117" s="1081"/>
      <c r="FY117" s="1081"/>
      <c r="FZ117" s="1081"/>
      <c r="GA117" s="1081"/>
      <c r="GB117" s="1083"/>
    </row>
    <row r="118" spans="1:184" s="1007" customFormat="1" ht="24.95" customHeight="1">
      <c r="B118" s="1062"/>
      <c r="C118" s="1076"/>
      <c r="D118" s="1077" t="s">
        <v>2248</v>
      </c>
      <c r="E118" s="1084" t="s">
        <v>2249</v>
      </c>
      <c r="F118" s="1079"/>
      <c r="G118" s="1085" t="s">
        <v>337</v>
      </c>
      <c r="H118" s="1086">
        <f t="shared" si="33"/>
        <v>164</v>
      </c>
      <c r="I118" s="1087"/>
      <c r="J118" s="1088">
        <f t="shared" si="34"/>
        <v>164</v>
      </c>
      <c r="K118" s="1662"/>
      <c r="L118" s="1070">
        <v>1</v>
      </c>
      <c r="M118" s="1070">
        <v>1</v>
      </c>
      <c r="N118" s="1070">
        <v>1</v>
      </c>
      <c r="O118" s="1070">
        <v>1</v>
      </c>
      <c r="P118" s="1070">
        <v>1</v>
      </c>
      <c r="Q118" s="1070">
        <v>1</v>
      </c>
      <c r="R118" s="1070">
        <v>1</v>
      </c>
      <c r="S118" s="1070">
        <v>1</v>
      </c>
      <c r="T118" s="1070">
        <v>1</v>
      </c>
      <c r="U118" s="1070">
        <v>1</v>
      </c>
      <c r="V118" s="1070">
        <v>1</v>
      </c>
      <c r="W118" s="1070">
        <v>1</v>
      </c>
      <c r="X118" s="1070">
        <v>1</v>
      </c>
      <c r="Y118" s="1070">
        <v>1</v>
      </c>
      <c r="Z118" s="1070">
        <v>1</v>
      </c>
      <c r="AA118" s="1070">
        <v>1</v>
      </c>
      <c r="AB118" s="1070">
        <v>1</v>
      </c>
      <c r="AC118" s="1070">
        <v>1</v>
      </c>
      <c r="AD118" s="1070">
        <v>1</v>
      </c>
      <c r="AE118" s="1070">
        <v>1</v>
      </c>
      <c r="AF118" s="1070">
        <v>1</v>
      </c>
      <c r="AG118" s="1070">
        <v>1</v>
      </c>
      <c r="AH118" s="1070">
        <v>1</v>
      </c>
      <c r="AI118" s="1070">
        <v>1</v>
      </c>
      <c r="AJ118" s="1070">
        <v>1</v>
      </c>
      <c r="AK118" s="1070">
        <v>1</v>
      </c>
      <c r="AL118" s="1070">
        <v>1</v>
      </c>
      <c r="AM118" s="1070">
        <v>1</v>
      </c>
      <c r="AN118" s="1070">
        <v>1</v>
      </c>
      <c r="AO118" s="1070">
        <v>1</v>
      </c>
      <c r="AP118" s="1070">
        <v>1</v>
      </c>
      <c r="AQ118" s="1070">
        <v>1</v>
      </c>
      <c r="AR118" s="1070">
        <v>1</v>
      </c>
      <c r="AS118" s="1070">
        <v>1</v>
      </c>
      <c r="AT118" s="1070">
        <v>1</v>
      </c>
      <c r="AU118" s="1070">
        <v>1</v>
      </c>
      <c r="AV118" s="1070">
        <v>1</v>
      </c>
      <c r="AW118" s="1070">
        <v>1</v>
      </c>
      <c r="AX118" s="1070">
        <v>1</v>
      </c>
      <c r="AY118" s="1070">
        <v>1</v>
      </c>
      <c r="AZ118" s="1070">
        <v>1</v>
      </c>
      <c r="BA118" s="1070">
        <v>1</v>
      </c>
      <c r="BB118" s="1070">
        <v>1</v>
      </c>
      <c r="BC118" s="1070">
        <v>1</v>
      </c>
      <c r="BD118" s="1070">
        <v>1</v>
      </c>
      <c r="BE118" s="1070">
        <v>1</v>
      </c>
      <c r="BF118" s="1070">
        <v>1</v>
      </c>
      <c r="BG118" s="1070">
        <v>1</v>
      </c>
      <c r="BH118" s="1070">
        <v>1</v>
      </c>
      <c r="BI118" s="1070">
        <v>1</v>
      </c>
      <c r="BJ118" s="1070">
        <v>1</v>
      </c>
      <c r="BK118" s="1070">
        <v>1</v>
      </c>
      <c r="BL118" s="1070">
        <v>1</v>
      </c>
      <c r="BM118" s="1070">
        <v>1</v>
      </c>
      <c r="BN118" s="1070">
        <v>1</v>
      </c>
      <c r="BO118" s="1070">
        <v>1</v>
      </c>
      <c r="BP118" s="1070">
        <v>1</v>
      </c>
      <c r="BQ118" s="1070">
        <v>1</v>
      </c>
      <c r="BR118" s="1070">
        <v>1</v>
      </c>
      <c r="BS118" s="1070">
        <v>1</v>
      </c>
      <c r="BT118" s="1070">
        <v>1</v>
      </c>
      <c r="BU118" s="1070">
        <v>1</v>
      </c>
      <c r="BV118" s="1070">
        <v>1</v>
      </c>
      <c r="BW118" s="1070">
        <v>1</v>
      </c>
      <c r="BX118" s="1070">
        <v>1</v>
      </c>
      <c r="BY118" s="1070">
        <v>1</v>
      </c>
      <c r="BZ118" s="1070">
        <v>1</v>
      </c>
      <c r="CA118" s="1070">
        <v>1</v>
      </c>
      <c r="CB118" s="1070">
        <v>1</v>
      </c>
      <c r="CC118" s="1070">
        <v>1</v>
      </c>
      <c r="CD118" s="1070">
        <v>1</v>
      </c>
      <c r="CE118" s="1070">
        <v>1</v>
      </c>
      <c r="CF118" s="1070">
        <v>1</v>
      </c>
      <c r="CG118" s="1070">
        <v>1</v>
      </c>
      <c r="CH118" s="1070">
        <v>1</v>
      </c>
      <c r="CI118" s="1070">
        <v>1</v>
      </c>
      <c r="CJ118" s="1070">
        <v>1</v>
      </c>
      <c r="CK118" s="1070">
        <v>1</v>
      </c>
      <c r="CL118" s="1070">
        <v>1</v>
      </c>
      <c r="CM118" s="1070">
        <v>1</v>
      </c>
      <c r="CN118" s="1070">
        <v>1</v>
      </c>
      <c r="CO118" s="1070">
        <v>1</v>
      </c>
      <c r="CP118" s="1070">
        <v>1</v>
      </c>
      <c r="CQ118" s="1070">
        <v>1</v>
      </c>
      <c r="CR118" s="1070">
        <v>1</v>
      </c>
      <c r="CS118" s="1070">
        <v>1</v>
      </c>
      <c r="CT118" s="1070">
        <v>1</v>
      </c>
      <c r="CU118" s="1070">
        <v>1</v>
      </c>
      <c r="CV118" s="1070">
        <v>1</v>
      </c>
      <c r="CW118" s="1070">
        <v>1</v>
      </c>
      <c r="CX118" s="1070">
        <v>1</v>
      </c>
      <c r="CY118" s="1070">
        <v>1</v>
      </c>
      <c r="CZ118" s="1070">
        <v>1</v>
      </c>
      <c r="DA118" s="1070">
        <v>1</v>
      </c>
      <c r="DB118" s="1070">
        <v>1</v>
      </c>
      <c r="DC118" s="1070">
        <v>1</v>
      </c>
      <c r="DD118" s="1070">
        <v>1</v>
      </c>
      <c r="DE118" s="1070">
        <v>1</v>
      </c>
      <c r="DF118" s="1070">
        <v>1</v>
      </c>
      <c r="DG118" s="1070">
        <v>1</v>
      </c>
      <c r="DH118" s="1070">
        <v>1</v>
      </c>
      <c r="DI118" s="1070">
        <v>1</v>
      </c>
      <c r="DJ118" s="1070">
        <v>1</v>
      </c>
      <c r="DK118" s="1070">
        <v>1</v>
      </c>
      <c r="DL118" s="1070">
        <v>1</v>
      </c>
      <c r="DM118" s="1070">
        <v>1</v>
      </c>
      <c r="DN118" s="1070">
        <v>1</v>
      </c>
      <c r="DO118" s="1070">
        <v>1</v>
      </c>
      <c r="DP118" s="1070">
        <v>1</v>
      </c>
      <c r="DQ118" s="1070">
        <v>1</v>
      </c>
      <c r="DR118" s="1070">
        <v>1</v>
      </c>
      <c r="DS118" s="1070">
        <v>1</v>
      </c>
      <c r="DT118" s="1070">
        <v>1</v>
      </c>
      <c r="DU118" s="1070">
        <v>1</v>
      </c>
      <c r="DV118" s="1070">
        <v>1</v>
      </c>
      <c r="DW118" s="1070">
        <v>1</v>
      </c>
      <c r="DX118" s="1070">
        <v>1</v>
      </c>
      <c r="DY118" s="1070">
        <v>1</v>
      </c>
      <c r="DZ118" s="1070">
        <v>1</v>
      </c>
      <c r="EA118" s="1070">
        <v>1</v>
      </c>
      <c r="EB118" s="1070">
        <v>1</v>
      </c>
      <c r="EC118" s="1070">
        <v>1</v>
      </c>
      <c r="ED118" s="1070">
        <v>1</v>
      </c>
      <c r="EE118" s="1070">
        <v>1</v>
      </c>
      <c r="EF118" s="1070">
        <v>1</v>
      </c>
      <c r="EG118" s="1098">
        <v>1</v>
      </c>
      <c r="EH118" s="1098"/>
      <c r="EI118" s="1098"/>
      <c r="EJ118" s="1098"/>
      <c r="EK118" s="1098"/>
      <c r="EL118" s="1098"/>
      <c r="EM118" s="1098"/>
      <c r="EN118" s="1069"/>
      <c r="EO118" s="1070">
        <v>1</v>
      </c>
      <c r="EP118" s="1070">
        <v>1</v>
      </c>
      <c r="EQ118" s="1070">
        <v>1</v>
      </c>
      <c r="ER118" s="1070">
        <v>1</v>
      </c>
      <c r="ES118" s="1070">
        <v>1</v>
      </c>
      <c r="ET118" s="1070">
        <v>1</v>
      </c>
      <c r="EU118" s="1070">
        <v>1</v>
      </c>
      <c r="EV118" s="1070">
        <v>1</v>
      </c>
      <c r="EW118" s="1070">
        <v>1</v>
      </c>
      <c r="EX118" s="1070">
        <v>1</v>
      </c>
      <c r="EY118" s="1070">
        <v>1</v>
      </c>
      <c r="EZ118" s="1070">
        <v>1</v>
      </c>
      <c r="FA118" s="1070">
        <v>1</v>
      </c>
      <c r="FB118" s="1070">
        <v>1</v>
      </c>
      <c r="FC118" s="1070">
        <v>1</v>
      </c>
      <c r="FD118" s="1070">
        <v>1</v>
      </c>
      <c r="FE118" s="1070">
        <v>1</v>
      </c>
      <c r="FF118" s="1070">
        <v>1</v>
      </c>
      <c r="FG118" s="1070">
        <v>1</v>
      </c>
      <c r="FH118" s="1070">
        <v>1</v>
      </c>
      <c r="FI118" s="1070">
        <v>1</v>
      </c>
      <c r="FJ118" s="1070">
        <v>1</v>
      </c>
      <c r="FK118" s="1070">
        <v>1</v>
      </c>
      <c r="FL118" s="1070">
        <v>1</v>
      </c>
      <c r="FM118" s="1070">
        <v>1</v>
      </c>
      <c r="FN118" s="1070">
        <v>1</v>
      </c>
      <c r="FO118" s="1070">
        <v>1</v>
      </c>
      <c r="FP118" s="1070">
        <v>1</v>
      </c>
      <c r="FQ118" s="1070">
        <v>1</v>
      </c>
      <c r="FR118" s="1070">
        <v>1</v>
      </c>
      <c r="FS118" s="1070">
        <v>1</v>
      </c>
      <c r="FT118" s="1070">
        <v>1</v>
      </c>
      <c r="FU118" s="1070">
        <v>1</v>
      </c>
      <c r="FV118" s="1070">
        <v>1</v>
      </c>
      <c r="FW118" s="1070">
        <v>1</v>
      </c>
      <c r="FX118" s="1070">
        <v>1</v>
      </c>
      <c r="FY118" s="1070">
        <v>1</v>
      </c>
      <c r="FZ118" s="1070">
        <v>1</v>
      </c>
      <c r="GA118" s="1070"/>
      <c r="GB118" s="1070"/>
    </row>
    <row r="119" spans="1:184" s="1007" customFormat="1" ht="24.95" customHeight="1">
      <c r="A119" s="1007">
        <v>46</v>
      </c>
      <c r="B119" s="1062">
        <f>B117+1</f>
        <v>51</v>
      </c>
      <c r="C119" s="1076"/>
      <c r="D119" s="1077" t="s">
        <v>1606</v>
      </c>
      <c r="E119" s="1078" t="s">
        <v>1607</v>
      </c>
      <c r="F119" s="1079"/>
      <c r="G119" s="1085" t="s">
        <v>337</v>
      </c>
      <c r="H119" s="1086">
        <f t="shared" si="33"/>
        <v>2</v>
      </c>
      <c r="I119" s="1087"/>
      <c r="J119" s="1088">
        <f t="shared" si="34"/>
        <v>2</v>
      </c>
      <c r="K119" s="1662">
        <v>2</v>
      </c>
      <c r="L119" s="1070"/>
      <c r="M119" s="1070"/>
      <c r="N119" s="1070"/>
      <c r="O119" s="1070"/>
      <c r="P119" s="1070"/>
      <c r="Q119" s="1070"/>
      <c r="R119" s="1070"/>
      <c r="S119" s="1070"/>
      <c r="T119" s="1070"/>
      <c r="U119" s="1070"/>
      <c r="V119" s="1070"/>
      <c r="W119" s="1070"/>
      <c r="X119" s="1070"/>
      <c r="Y119" s="1070"/>
      <c r="Z119" s="1070"/>
      <c r="AA119" s="1070"/>
      <c r="AB119" s="1070"/>
      <c r="AC119" s="1070"/>
      <c r="AD119" s="1070"/>
      <c r="AE119" s="1070"/>
      <c r="AF119" s="1070"/>
      <c r="AG119" s="1070"/>
      <c r="AH119" s="1070"/>
      <c r="AI119" s="1070"/>
      <c r="AJ119" s="1070"/>
      <c r="AK119" s="1070"/>
      <c r="AL119" s="1070"/>
      <c r="AM119" s="1070"/>
      <c r="AN119" s="1070"/>
      <c r="AO119" s="1070"/>
      <c r="AP119" s="1070"/>
      <c r="AQ119" s="1070"/>
      <c r="AR119" s="1070"/>
      <c r="AS119" s="1070"/>
      <c r="AT119" s="1070"/>
      <c r="AU119" s="1070"/>
      <c r="AV119" s="1070"/>
      <c r="AW119" s="1070"/>
      <c r="AX119" s="1070"/>
      <c r="AY119" s="1070"/>
      <c r="AZ119" s="1070"/>
      <c r="BA119" s="1070"/>
      <c r="BB119" s="1070"/>
      <c r="BC119" s="1070"/>
      <c r="BD119" s="1070"/>
      <c r="BE119" s="1070"/>
      <c r="BF119" s="1070"/>
      <c r="BG119" s="1070"/>
      <c r="BH119" s="1070"/>
      <c r="BI119" s="1070"/>
      <c r="BJ119" s="1070"/>
      <c r="BK119" s="1070"/>
      <c r="BL119" s="1070"/>
      <c r="BM119" s="1070"/>
      <c r="BN119" s="1070"/>
      <c r="BO119" s="1070"/>
      <c r="BP119" s="1070"/>
      <c r="BQ119" s="1070"/>
      <c r="BR119" s="1069"/>
      <c r="BS119" s="1069"/>
      <c r="BT119" s="1069"/>
      <c r="BU119" s="1069"/>
      <c r="BV119" s="1069"/>
      <c r="BW119" s="1069"/>
      <c r="BX119" s="1069"/>
      <c r="BY119" s="1069"/>
      <c r="BZ119" s="1069"/>
      <c r="CA119" s="1069"/>
      <c r="CB119" s="1069"/>
      <c r="CC119" s="1069"/>
      <c r="CD119" s="1069"/>
      <c r="CE119" s="1069"/>
      <c r="CF119" s="1069"/>
      <c r="CG119" s="1069"/>
      <c r="CH119" s="1069"/>
      <c r="CI119" s="1069"/>
      <c r="CJ119" s="1069"/>
      <c r="CK119" s="1069"/>
      <c r="CL119" s="1069"/>
      <c r="CM119" s="1069"/>
      <c r="CN119" s="1069"/>
      <c r="CO119" s="1069"/>
      <c r="CP119" s="1069"/>
      <c r="CQ119" s="1069"/>
      <c r="CR119" s="1069"/>
      <c r="CS119" s="1069"/>
      <c r="CT119" s="1069"/>
      <c r="CU119" s="1069"/>
      <c r="CV119" s="1069"/>
      <c r="CW119" s="1069"/>
      <c r="CX119" s="1069"/>
      <c r="CY119" s="1069"/>
      <c r="CZ119" s="1069"/>
      <c r="DA119" s="1069"/>
      <c r="DB119" s="1069"/>
      <c r="DC119" s="1069"/>
      <c r="DD119" s="1069"/>
      <c r="DE119" s="1069"/>
      <c r="DF119" s="1069"/>
      <c r="DG119" s="1069"/>
      <c r="DH119" s="1069"/>
      <c r="DI119" s="1069"/>
      <c r="DJ119" s="1069"/>
      <c r="DK119" s="1069"/>
      <c r="DL119" s="1069"/>
      <c r="DM119" s="1069"/>
      <c r="DN119" s="1069"/>
      <c r="DO119" s="1069"/>
      <c r="DP119" s="1069"/>
      <c r="DQ119" s="1069"/>
      <c r="DR119" s="1069"/>
      <c r="DS119" s="1069"/>
      <c r="DT119" s="1069"/>
      <c r="DU119" s="1069"/>
      <c r="DV119" s="1069"/>
      <c r="DW119" s="1069"/>
      <c r="DX119" s="1069"/>
      <c r="DY119" s="1069"/>
      <c r="DZ119" s="1069"/>
      <c r="EA119" s="1069"/>
      <c r="EB119" s="1069"/>
      <c r="EC119" s="1069"/>
      <c r="ED119" s="1069"/>
      <c r="EE119" s="1069"/>
      <c r="EF119" s="1069"/>
      <c r="EG119" s="1101"/>
      <c r="EH119" s="1101"/>
      <c r="EI119" s="1101"/>
      <c r="EJ119" s="1101"/>
      <c r="EK119" s="1101"/>
      <c r="EL119" s="1101"/>
      <c r="EM119" s="1101"/>
      <c r="EN119" s="1069"/>
      <c r="EO119" s="1070"/>
      <c r="EP119" s="1070"/>
      <c r="EQ119" s="1070"/>
      <c r="ER119" s="1070"/>
      <c r="ES119" s="1070"/>
      <c r="ET119" s="1070"/>
      <c r="EU119" s="1070"/>
      <c r="EV119" s="1070"/>
      <c r="EW119" s="1070"/>
      <c r="EX119" s="1070"/>
      <c r="EY119" s="1070"/>
      <c r="EZ119" s="1070"/>
      <c r="FA119" s="1070"/>
      <c r="FB119" s="1070"/>
      <c r="FC119" s="1070"/>
      <c r="FD119" s="1070"/>
      <c r="FE119" s="1070"/>
      <c r="FF119" s="1070"/>
      <c r="FG119" s="1070"/>
      <c r="FH119" s="1070"/>
      <c r="FI119" s="1070"/>
      <c r="FJ119" s="1070"/>
      <c r="FK119" s="1070"/>
      <c r="FL119" s="1070"/>
      <c r="FM119" s="1070"/>
      <c r="FN119" s="1070"/>
      <c r="FO119" s="1070"/>
      <c r="FP119" s="1070"/>
      <c r="FQ119" s="1070"/>
      <c r="FR119" s="1070"/>
      <c r="FS119" s="1070"/>
      <c r="FT119" s="1070"/>
      <c r="FU119" s="1070"/>
      <c r="FV119" s="1070"/>
      <c r="FW119" s="1070"/>
      <c r="FX119" s="1070"/>
      <c r="FY119" s="1070"/>
      <c r="FZ119" s="1070"/>
      <c r="GA119" s="1070"/>
      <c r="GB119" s="1083"/>
    </row>
    <row r="120" spans="1:184" s="1007" customFormat="1" ht="24.95" hidden="1" customHeight="1">
      <c r="A120" s="1007">
        <v>47</v>
      </c>
      <c r="B120" s="1062">
        <f t="shared" si="4"/>
        <v>52</v>
      </c>
      <c r="C120" s="1072"/>
      <c r="D120" s="1051" t="s">
        <v>2057</v>
      </c>
      <c r="E120" s="1073" t="s">
        <v>2250</v>
      </c>
      <c r="F120" s="1052"/>
      <c r="G120" s="1053" t="s">
        <v>337</v>
      </c>
      <c r="H120" s="1046">
        <f t="shared" si="33"/>
        <v>0</v>
      </c>
      <c r="I120" s="1029"/>
      <c r="J120" s="1088">
        <f t="shared" si="34"/>
        <v>0</v>
      </c>
      <c r="K120" s="1662"/>
      <c r="L120" s="1070"/>
      <c r="M120" s="1070"/>
      <c r="N120" s="1070"/>
      <c r="O120" s="1070"/>
      <c r="P120" s="1070"/>
      <c r="Q120" s="1070"/>
      <c r="R120" s="1070"/>
      <c r="S120" s="1070"/>
      <c r="T120" s="1070"/>
      <c r="U120" s="1070"/>
      <c r="V120" s="1070"/>
      <c r="W120" s="1070"/>
      <c r="X120" s="1070"/>
      <c r="Y120" s="1070"/>
      <c r="Z120" s="1070"/>
      <c r="AA120" s="1070"/>
      <c r="AB120" s="1070"/>
      <c r="AC120" s="1070"/>
      <c r="AD120" s="1070"/>
      <c r="AE120" s="1070"/>
      <c r="AF120" s="1070"/>
      <c r="AG120" s="1070"/>
      <c r="AH120" s="1070"/>
      <c r="AI120" s="1070"/>
      <c r="AJ120" s="1070"/>
      <c r="AK120" s="1070"/>
      <c r="AL120" s="1070"/>
      <c r="AM120" s="1070"/>
      <c r="AN120" s="1070"/>
      <c r="AO120" s="1070"/>
      <c r="AP120" s="1070"/>
      <c r="AQ120" s="1070"/>
      <c r="AR120" s="1070"/>
      <c r="AS120" s="1070"/>
      <c r="AT120" s="1070"/>
      <c r="AU120" s="1070"/>
      <c r="AV120" s="1070"/>
      <c r="AW120" s="1070"/>
      <c r="AX120" s="1070"/>
      <c r="AY120" s="1070"/>
      <c r="AZ120" s="1070"/>
      <c r="BA120" s="1070"/>
      <c r="BB120" s="1070"/>
      <c r="BC120" s="1070"/>
      <c r="BD120" s="1070"/>
      <c r="BE120" s="1070"/>
      <c r="BF120" s="1070"/>
      <c r="BG120" s="1070"/>
      <c r="BH120" s="1070"/>
      <c r="BI120" s="1070"/>
      <c r="BJ120" s="1070"/>
      <c r="BK120" s="1070"/>
      <c r="BL120" s="1070"/>
      <c r="BM120" s="1070"/>
      <c r="BN120" s="1070"/>
      <c r="BO120" s="1070"/>
      <c r="BP120" s="1070"/>
      <c r="BQ120" s="1070"/>
      <c r="BR120" s="1069"/>
      <c r="BS120" s="1069"/>
      <c r="BT120" s="1069"/>
      <c r="BU120" s="1069"/>
      <c r="BV120" s="1069"/>
      <c r="BW120" s="1069"/>
      <c r="BX120" s="1069"/>
      <c r="BY120" s="1069"/>
      <c r="BZ120" s="1069"/>
      <c r="CA120" s="1069"/>
      <c r="CB120" s="1069"/>
      <c r="CC120" s="1069"/>
      <c r="CD120" s="1069"/>
      <c r="CE120" s="1069"/>
      <c r="CF120" s="1069"/>
      <c r="CG120" s="1069"/>
      <c r="CH120" s="1069"/>
      <c r="CI120" s="1069"/>
      <c r="CJ120" s="1069"/>
      <c r="CK120" s="1069"/>
      <c r="CL120" s="1069"/>
      <c r="CM120" s="1069"/>
      <c r="CN120" s="1069"/>
      <c r="CO120" s="1069"/>
      <c r="CP120" s="1069"/>
      <c r="CQ120" s="1069"/>
      <c r="CR120" s="1069"/>
      <c r="CS120" s="1069"/>
      <c r="CT120" s="1069"/>
      <c r="CU120" s="1069"/>
      <c r="CV120" s="1069"/>
      <c r="CW120" s="1069"/>
      <c r="CX120" s="1069"/>
      <c r="CY120" s="1069"/>
      <c r="CZ120" s="1069"/>
      <c r="DA120" s="1069"/>
      <c r="DB120" s="1069"/>
      <c r="DC120" s="1069"/>
      <c r="DD120" s="1069"/>
      <c r="DE120" s="1069"/>
      <c r="DF120" s="1069"/>
      <c r="DG120" s="1069"/>
      <c r="DH120" s="1069"/>
      <c r="DI120" s="1069"/>
      <c r="DJ120" s="1069"/>
      <c r="DK120" s="1069"/>
      <c r="DL120" s="1069"/>
      <c r="DM120" s="1069"/>
      <c r="DN120" s="1069"/>
      <c r="DO120" s="1069"/>
      <c r="DP120" s="1069"/>
      <c r="DQ120" s="1069"/>
      <c r="DR120" s="1069"/>
      <c r="DS120" s="1069"/>
      <c r="DT120" s="1069"/>
      <c r="DU120" s="1069"/>
      <c r="DV120" s="1069"/>
      <c r="DW120" s="1069"/>
      <c r="DX120" s="1069"/>
      <c r="DY120" s="1069"/>
      <c r="DZ120" s="1069"/>
      <c r="EA120" s="1069"/>
      <c r="EB120" s="1069"/>
      <c r="EC120" s="1069"/>
      <c r="ED120" s="1069"/>
      <c r="EE120" s="1069"/>
      <c r="EF120" s="1069"/>
      <c r="EG120" s="1098"/>
      <c r="EH120" s="1098"/>
      <c r="EI120" s="1098"/>
      <c r="EJ120" s="1098"/>
      <c r="EK120" s="1098"/>
      <c r="EL120" s="1098"/>
      <c r="EM120" s="1098"/>
      <c r="EN120" s="1069"/>
      <c r="EO120" s="1070"/>
      <c r="EP120" s="1070"/>
      <c r="EQ120" s="1070"/>
      <c r="ER120" s="1070"/>
      <c r="ES120" s="1070"/>
      <c r="ET120" s="1070"/>
      <c r="EU120" s="1070"/>
      <c r="EV120" s="1070"/>
      <c r="EW120" s="1070"/>
      <c r="EX120" s="1070"/>
      <c r="EY120" s="1070"/>
      <c r="EZ120" s="1070"/>
      <c r="FA120" s="1070"/>
      <c r="FB120" s="1070"/>
      <c r="FC120" s="1070"/>
      <c r="FD120" s="1070"/>
      <c r="FE120" s="1070"/>
      <c r="FF120" s="1070"/>
      <c r="FG120" s="1070"/>
      <c r="FH120" s="1070"/>
      <c r="FI120" s="1070"/>
      <c r="FJ120" s="1070"/>
      <c r="FK120" s="1070"/>
      <c r="FL120" s="1070"/>
      <c r="FM120" s="1070"/>
      <c r="FN120" s="1070"/>
      <c r="FO120" s="1070"/>
      <c r="FP120" s="1070"/>
      <c r="FQ120" s="1070"/>
      <c r="FR120" s="1070"/>
      <c r="FS120" s="1070"/>
      <c r="FT120" s="1070"/>
      <c r="FU120" s="1070"/>
      <c r="FV120" s="1070"/>
      <c r="FW120" s="1070"/>
      <c r="FX120" s="1070"/>
      <c r="FY120" s="1070"/>
      <c r="FZ120" s="1070"/>
      <c r="GA120" s="1070"/>
      <c r="GB120" s="1028"/>
    </row>
    <row r="121" spans="1:184" s="1007" customFormat="1" ht="24.95" hidden="1" customHeight="1">
      <c r="A121" s="1007">
        <v>47</v>
      </c>
      <c r="B121" s="1062">
        <f t="shared" si="4"/>
        <v>53</v>
      </c>
      <c r="C121" s="1072"/>
      <c r="D121" s="1051" t="s">
        <v>2251</v>
      </c>
      <c r="E121" s="1073" t="s">
        <v>2252</v>
      </c>
      <c r="F121" s="1052" t="s">
        <v>2253</v>
      </c>
      <c r="G121" s="1053" t="s">
        <v>2254</v>
      </c>
      <c r="H121" s="1046">
        <f t="shared" si="33"/>
        <v>0</v>
      </c>
      <c r="I121" s="1029"/>
      <c r="J121" s="1088">
        <f t="shared" si="34"/>
        <v>0</v>
      </c>
      <c r="K121" s="1662"/>
      <c r="L121" s="1070"/>
      <c r="M121" s="1070"/>
      <c r="N121" s="1070"/>
      <c r="O121" s="1070"/>
      <c r="P121" s="1070"/>
      <c r="Q121" s="1070"/>
      <c r="R121" s="1070"/>
      <c r="S121" s="1070"/>
      <c r="T121" s="1070"/>
      <c r="U121" s="1070"/>
      <c r="V121" s="1070"/>
      <c r="W121" s="1070"/>
      <c r="X121" s="1070"/>
      <c r="Y121" s="1070"/>
      <c r="Z121" s="1070"/>
      <c r="AA121" s="1070"/>
      <c r="AB121" s="1070"/>
      <c r="AC121" s="1070"/>
      <c r="AD121" s="1070"/>
      <c r="AE121" s="1070"/>
      <c r="AF121" s="1070"/>
      <c r="AG121" s="1070"/>
      <c r="AH121" s="1070"/>
      <c r="AI121" s="1070"/>
      <c r="AJ121" s="1070"/>
      <c r="AK121" s="1070"/>
      <c r="AL121" s="1070"/>
      <c r="AM121" s="1070"/>
      <c r="AN121" s="1070"/>
      <c r="AO121" s="1070"/>
      <c r="AP121" s="1070"/>
      <c r="AQ121" s="1070"/>
      <c r="AR121" s="1070"/>
      <c r="AS121" s="1070"/>
      <c r="AT121" s="1070"/>
      <c r="AU121" s="1070"/>
      <c r="AV121" s="1070"/>
      <c r="AW121" s="1070"/>
      <c r="AX121" s="1070"/>
      <c r="AY121" s="1070"/>
      <c r="AZ121" s="1070"/>
      <c r="BA121" s="1070"/>
      <c r="BB121" s="1070"/>
      <c r="BC121" s="1070"/>
      <c r="BD121" s="1070"/>
      <c r="BE121" s="1070"/>
      <c r="BF121" s="1070"/>
      <c r="BG121" s="1070"/>
      <c r="BH121" s="1070"/>
      <c r="BI121" s="1070"/>
      <c r="BJ121" s="1070"/>
      <c r="BK121" s="1070"/>
      <c r="BL121" s="1070"/>
      <c r="BM121" s="1070"/>
      <c r="BN121" s="1070"/>
      <c r="BO121" s="1070"/>
      <c r="BP121" s="1070"/>
      <c r="BQ121" s="1070"/>
      <c r="BR121" s="1069"/>
      <c r="BS121" s="1069"/>
      <c r="BT121" s="1069"/>
      <c r="BU121" s="1069"/>
      <c r="BV121" s="1069"/>
      <c r="BW121" s="1069"/>
      <c r="BX121" s="1069"/>
      <c r="BY121" s="1069"/>
      <c r="BZ121" s="1069"/>
      <c r="CA121" s="1069"/>
      <c r="CB121" s="1069"/>
      <c r="CC121" s="1069"/>
      <c r="CD121" s="1069"/>
      <c r="CE121" s="1069"/>
      <c r="CF121" s="1069"/>
      <c r="CG121" s="1069"/>
      <c r="CH121" s="1069"/>
      <c r="CI121" s="1069"/>
      <c r="CJ121" s="1069"/>
      <c r="CK121" s="1069"/>
      <c r="CL121" s="1069"/>
      <c r="CM121" s="1069"/>
      <c r="CN121" s="1069"/>
      <c r="CO121" s="1069"/>
      <c r="CP121" s="1069"/>
      <c r="CQ121" s="1069"/>
      <c r="CR121" s="1069"/>
      <c r="CS121" s="1069"/>
      <c r="CT121" s="1069"/>
      <c r="CU121" s="1069"/>
      <c r="CV121" s="1069"/>
      <c r="CW121" s="1069"/>
      <c r="CX121" s="1069"/>
      <c r="CY121" s="1069"/>
      <c r="CZ121" s="1069"/>
      <c r="DA121" s="1069"/>
      <c r="DB121" s="1069"/>
      <c r="DC121" s="1069"/>
      <c r="DD121" s="1069"/>
      <c r="DE121" s="1069"/>
      <c r="DF121" s="1069"/>
      <c r="DG121" s="1069"/>
      <c r="DH121" s="1069"/>
      <c r="DI121" s="1069"/>
      <c r="DJ121" s="1069"/>
      <c r="DK121" s="1069"/>
      <c r="DL121" s="1069"/>
      <c r="DM121" s="1069"/>
      <c r="DN121" s="1069"/>
      <c r="DO121" s="1069"/>
      <c r="DP121" s="1069"/>
      <c r="DQ121" s="1069"/>
      <c r="DR121" s="1069"/>
      <c r="DS121" s="1069"/>
      <c r="DT121" s="1069"/>
      <c r="DU121" s="1069"/>
      <c r="DV121" s="1069"/>
      <c r="DW121" s="1069"/>
      <c r="DX121" s="1069"/>
      <c r="DY121" s="1069"/>
      <c r="DZ121" s="1069"/>
      <c r="EA121" s="1069"/>
      <c r="EB121" s="1069"/>
      <c r="EC121" s="1069"/>
      <c r="ED121" s="1069"/>
      <c r="EE121" s="1069"/>
      <c r="EF121" s="1069"/>
      <c r="EG121" s="1101"/>
      <c r="EH121" s="1101"/>
      <c r="EI121" s="1101"/>
      <c r="EJ121" s="1101"/>
      <c r="EK121" s="1101"/>
      <c r="EL121" s="1101"/>
      <c r="EM121" s="1101"/>
      <c r="EN121" s="1069"/>
      <c r="EO121" s="1070"/>
      <c r="EP121" s="1070"/>
      <c r="EQ121" s="1070"/>
      <c r="ER121" s="1070"/>
      <c r="ES121" s="1070"/>
      <c r="ET121" s="1070"/>
      <c r="EU121" s="1070"/>
      <c r="EV121" s="1070"/>
      <c r="EW121" s="1070"/>
      <c r="EX121" s="1070"/>
      <c r="EY121" s="1070"/>
      <c r="EZ121" s="1070"/>
      <c r="FA121" s="1070"/>
      <c r="FB121" s="1070"/>
      <c r="FC121" s="1070"/>
      <c r="FD121" s="1070"/>
      <c r="FE121" s="1070"/>
      <c r="FF121" s="1070"/>
      <c r="FG121" s="1070"/>
      <c r="FH121" s="1070"/>
      <c r="FI121" s="1070"/>
      <c r="FJ121" s="1070"/>
      <c r="FK121" s="1070"/>
      <c r="FL121" s="1070"/>
      <c r="FM121" s="1070"/>
      <c r="FN121" s="1070"/>
      <c r="FO121" s="1070"/>
      <c r="FP121" s="1070"/>
      <c r="FQ121" s="1070"/>
      <c r="FR121" s="1070"/>
      <c r="FS121" s="1070"/>
      <c r="FT121" s="1070"/>
      <c r="FU121" s="1070"/>
      <c r="FV121" s="1070"/>
      <c r="FW121" s="1070"/>
      <c r="FX121" s="1070"/>
      <c r="FY121" s="1070"/>
      <c r="FZ121" s="1070"/>
      <c r="GA121" s="1070"/>
      <c r="GB121" s="1028"/>
    </row>
    <row r="122" spans="1:184" s="1007" customFormat="1" ht="24.95" hidden="1" customHeight="1">
      <c r="B122" s="1062">
        <v>54</v>
      </c>
      <c r="C122" s="1072"/>
      <c r="D122" s="1051" t="s">
        <v>2255</v>
      </c>
      <c r="E122" s="1075" t="s">
        <v>2256</v>
      </c>
      <c r="F122" s="1052" t="s">
        <v>2257</v>
      </c>
      <c r="G122" s="1053" t="s">
        <v>338</v>
      </c>
      <c r="H122" s="1046">
        <f t="shared" si="33"/>
        <v>0</v>
      </c>
      <c r="I122" s="1029"/>
      <c r="J122" s="1088">
        <f t="shared" si="34"/>
        <v>0</v>
      </c>
      <c r="K122" s="1662"/>
      <c r="L122" s="1070"/>
      <c r="M122" s="1070"/>
      <c r="N122" s="1070"/>
      <c r="O122" s="1070"/>
      <c r="P122" s="1070"/>
      <c r="Q122" s="1070"/>
      <c r="R122" s="1070"/>
      <c r="S122" s="1070"/>
      <c r="T122" s="1070"/>
      <c r="U122" s="1070"/>
      <c r="V122" s="1070"/>
      <c r="W122" s="1070"/>
      <c r="X122" s="1070"/>
      <c r="Y122" s="1070"/>
      <c r="Z122" s="1070"/>
      <c r="AA122" s="1070"/>
      <c r="AB122" s="1070"/>
      <c r="AC122" s="1070"/>
      <c r="AD122" s="1070"/>
      <c r="AE122" s="1070"/>
      <c r="AF122" s="1070"/>
      <c r="AG122" s="1070"/>
      <c r="AH122" s="1070"/>
      <c r="AI122" s="1070"/>
      <c r="AJ122" s="1070"/>
      <c r="AK122" s="1070"/>
      <c r="AL122" s="1070"/>
      <c r="AM122" s="1070"/>
      <c r="AN122" s="1070"/>
      <c r="AO122" s="1070"/>
      <c r="AP122" s="1070"/>
      <c r="AQ122" s="1070"/>
      <c r="AR122" s="1070"/>
      <c r="AS122" s="1070"/>
      <c r="AT122" s="1070"/>
      <c r="AU122" s="1070"/>
      <c r="AV122" s="1070"/>
      <c r="AW122" s="1070"/>
      <c r="AX122" s="1070"/>
      <c r="AY122" s="1070"/>
      <c r="AZ122" s="1070"/>
      <c r="BA122" s="1070"/>
      <c r="BB122" s="1070"/>
      <c r="BC122" s="1070"/>
      <c r="BD122" s="1070"/>
      <c r="BE122" s="1070"/>
      <c r="BF122" s="1070"/>
      <c r="BG122" s="1070"/>
      <c r="BH122" s="1070"/>
      <c r="BI122" s="1070"/>
      <c r="BJ122" s="1070"/>
      <c r="BK122" s="1070"/>
      <c r="BL122" s="1070"/>
      <c r="BM122" s="1070"/>
      <c r="BN122" s="1070"/>
      <c r="BO122" s="1070"/>
      <c r="BP122" s="1070"/>
      <c r="BQ122" s="1070"/>
      <c r="BR122" s="1069"/>
      <c r="BS122" s="1069"/>
      <c r="BT122" s="1069"/>
      <c r="BU122" s="1069"/>
      <c r="BV122" s="1069"/>
      <c r="BW122" s="1069"/>
      <c r="BX122" s="1069"/>
      <c r="BY122" s="1069"/>
      <c r="BZ122" s="1069"/>
      <c r="CA122" s="1069"/>
      <c r="CB122" s="1069"/>
      <c r="CC122" s="1069"/>
      <c r="CD122" s="1069"/>
      <c r="CE122" s="1069"/>
      <c r="CF122" s="1069"/>
      <c r="CG122" s="1069"/>
      <c r="CH122" s="1069"/>
      <c r="CI122" s="1069"/>
      <c r="CJ122" s="1069"/>
      <c r="CK122" s="1069"/>
      <c r="CL122" s="1069"/>
      <c r="CM122" s="1069"/>
      <c r="CN122" s="1069"/>
      <c r="CO122" s="1069"/>
      <c r="CP122" s="1069"/>
      <c r="CQ122" s="1069"/>
      <c r="CR122" s="1069"/>
      <c r="CS122" s="1069"/>
      <c r="CT122" s="1069"/>
      <c r="CU122" s="1069"/>
      <c r="CV122" s="1069"/>
      <c r="CW122" s="1069"/>
      <c r="CX122" s="1069"/>
      <c r="CY122" s="1069"/>
      <c r="CZ122" s="1069"/>
      <c r="DA122" s="1069"/>
      <c r="DB122" s="1069"/>
      <c r="DC122" s="1069"/>
      <c r="DD122" s="1069"/>
      <c r="DE122" s="1069"/>
      <c r="DF122" s="1069"/>
      <c r="DG122" s="1069"/>
      <c r="DH122" s="1069"/>
      <c r="DI122" s="1069"/>
      <c r="DJ122" s="1069"/>
      <c r="DK122" s="1069"/>
      <c r="DL122" s="1069"/>
      <c r="DM122" s="1069"/>
      <c r="DN122" s="1069"/>
      <c r="DO122" s="1069"/>
      <c r="DP122" s="1069"/>
      <c r="DQ122" s="1069"/>
      <c r="DR122" s="1069"/>
      <c r="DS122" s="1069"/>
      <c r="DT122" s="1069"/>
      <c r="DU122" s="1069"/>
      <c r="DV122" s="1069"/>
      <c r="DW122" s="1069"/>
      <c r="DX122" s="1069"/>
      <c r="DY122" s="1069"/>
      <c r="DZ122" s="1069"/>
      <c r="EA122" s="1069"/>
      <c r="EB122" s="1069"/>
      <c r="EC122" s="1069"/>
      <c r="ED122" s="1069"/>
      <c r="EE122" s="1069"/>
      <c r="EF122" s="1069"/>
      <c r="EG122" s="1098"/>
      <c r="EH122" s="1098"/>
      <c r="EI122" s="1098"/>
      <c r="EJ122" s="1098"/>
      <c r="EK122" s="1098"/>
      <c r="EL122" s="1098"/>
      <c r="EM122" s="1098"/>
      <c r="EN122" s="1069"/>
      <c r="EO122" s="1070"/>
      <c r="EP122" s="1070"/>
      <c r="EQ122" s="1070"/>
      <c r="ER122" s="1070"/>
      <c r="ES122" s="1070"/>
      <c r="ET122" s="1070"/>
      <c r="EU122" s="1070"/>
      <c r="EV122" s="1070"/>
      <c r="EW122" s="1070"/>
      <c r="EX122" s="1070"/>
      <c r="EY122" s="1070"/>
      <c r="EZ122" s="1070"/>
      <c r="FA122" s="1070"/>
      <c r="FB122" s="1070"/>
      <c r="FC122" s="1070"/>
      <c r="FD122" s="1070"/>
      <c r="FE122" s="1070"/>
      <c r="FF122" s="1070"/>
      <c r="FG122" s="1070"/>
      <c r="FH122" s="1070"/>
      <c r="FI122" s="1070"/>
      <c r="FJ122" s="1070"/>
      <c r="FK122" s="1070"/>
      <c r="FL122" s="1070"/>
      <c r="FM122" s="1070"/>
      <c r="FN122" s="1070"/>
      <c r="FO122" s="1070"/>
      <c r="FP122" s="1070"/>
      <c r="FQ122" s="1070"/>
      <c r="FR122" s="1070"/>
      <c r="FS122" s="1070"/>
      <c r="FT122" s="1070"/>
      <c r="FU122" s="1070"/>
      <c r="FV122" s="1070"/>
      <c r="FW122" s="1070"/>
      <c r="FX122" s="1070"/>
      <c r="FY122" s="1070"/>
      <c r="FZ122" s="1070"/>
      <c r="GA122" s="1070"/>
      <c r="GB122" s="1028"/>
    </row>
    <row r="123" spans="1:184" s="1007" customFormat="1" ht="24.95" hidden="1" customHeight="1">
      <c r="B123" s="1062">
        <v>54</v>
      </c>
      <c r="C123" s="1072"/>
      <c r="D123" s="1051" t="s">
        <v>2258</v>
      </c>
      <c r="E123" s="1395" t="s">
        <v>2259</v>
      </c>
      <c r="F123" s="1052"/>
      <c r="G123" s="1053" t="s">
        <v>338</v>
      </c>
      <c r="H123" s="1046">
        <f t="shared" si="33"/>
        <v>0</v>
      </c>
      <c r="I123" s="1029"/>
      <c r="J123" s="1088">
        <f t="shared" si="34"/>
        <v>0</v>
      </c>
      <c r="K123" s="1662"/>
      <c r="L123" s="1070"/>
      <c r="M123" s="1070"/>
      <c r="N123" s="1070"/>
      <c r="O123" s="1070"/>
      <c r="P123" s="1070"/>
      <c r="Q123" s="1070"/>
      <c r="R123" s="1070"/>
      <c r="S123" s="1070"/>
      <c r="T123" s="1070"/>
      <c r="U123" s="1070"/>
      <c r="V123" s="1070"/>
      <c r="W123" s="1070"/>
      <c r="X123" s="1070"/>
      <c r="Y123" s="1070"/>
      <c r="Z123" s="1070"/>
      <c r="AA123" s="1070"/>
      <c r="AB123" s="1070"/>
      <c r="AC123" s="1070"/>
      <c r="AD123" s="1070"/>
      <c r="AE123" s="1070"/>
      <c r="AF123" s="1070"/>
      <c r="AG123" s="1070"/>
      <c r="AH123" s="1070"/>
      <c r="AI123" s="1070"/>
      <c r="AJ123" s="1070"/>
      <c r="AK123" s="1070"/>
      <c r="AL123" s="1070"/>
      <c r="AM123" s="1070"/>
      <c r="AN123" s="1070"/>
      <c r="AO123" s="1070"/>
      <c r="AP123" s="1070"/>
      <c r="AQ123" s="1070"/>
      <c r="AR123" s="1070"/>
      <c r="AS123" s="1070"/>
      <c r="AT123" s="1070"/>
      <c r="AU123" s="1070"/>
      <c r="AV123" s="1070"/>
      <c r="AW123" s="1070"/>
      <c r="AX123" s="1070"/>
      <c r="AY123" s="1070"/>
      <c r="AZ123" s="1070"/>
      <c r="BA123" s="1070"/>
      <c r="BB123" s="1070"/>
      <c r="BC123" s="1070"/>
      <c r="BD123" s="1070"/>
      <c r="BE123" s="1070"/>
      <c r="BF123" s="1070"/>
      <c r="BG123" s="1070"/>
      <c r="BH123" s="1070"/>
      <c r="BI123" s="1070"/>
      <c r="BJ123" s="1070"/>
      <c r="BK123" s="1070"/>
      <c r="BL123" s="1070"/>
      <c r="BM123" s="1070"/>
      <c r="BN123" s="1070"/>
      <c r="BO123" s="1070"/>
      <c r="BP123" s="1070"/>
      <c r="BQ123" s="1070"/>
      <c r="BR123" s="1069"/>
      <c r="BS123" s="1069"/>
      <c r="BT123" s="1069"/>
      <c r="BU123" s="1069"/>
      <c r="BV123" s="1069"/>
      <c r="BW123" s="1069"/>
      <c r="BX123" s="1069"/>
      <c r="BY123" s="1069"/>
      <c r="BZ123" s="1069"/>
      <c r="CA123" s="1069"/>
      <c r="CB123" s="1069"/>
      <c r="CC123" s="1069"/>
      <c r="CD123" s="1069"/>
      <c r="CE123" s="1069"/>
      <c r="CF123" s="1069"/>
      <c r="CG123" s="1069"/>
      <c r="CH123" s="1069"/>
      <c r="CI123" s="1069"/>
      <c r="CJ123" s="1069"/>
      <c r="CK123" s="1069"/>
      <c r="CL123" s="1069"/>
      <c r="CM123" s="1069"/>
      <c r="CN123" s="1069"/>
      <c r="CO123" s="1069"/>
      <c r="CP123" s="1069"/>
      <c r="CQ123" s="1069"/>
      <c r="CR123" s="1069"/>
      <c r="CS123" s="1069"/>
      <c r="CT123" s="1069"/>
      <c r="CU123" s="1069"/>
      <c r="CV123" s="1069"/>
      <c r="CW123" s="1069"/>
      <c r="CX123" s="1069"/>
      <c r="CY123" s="1069"/>
      <c r="CZ123" s="1069"/>
      <c r="DA123" s="1069"/>
      <c r="DB123" s="1069"/>
      <c r="DC123" s="1069"/>
      <c r="DD123" s="1069"/>
      <c r="DE123" s="1069"/>
      <c r="DF123" s="1069"/>
      <c r="DG123" s="1069"/>
      <c r="DH123" s="1069"/>
      <c r="DI123" s="1069"/>
      <c r="DJ123" s="1069"/>
      <c r="DK123" s="1069"/>
      <c r="DL123" s="1069"/>
      <c r="DM123" s="1069"/>
      <c r="DN123" s="1069"/>
      <c r="DO123" s="1069"/>
      <c r="DP123" s="1069"/>
      <c r="DQ123" s="1069"/>
      <c r="DR123" s="1069"/>
      <c r="DS123" s="1069"/>
      <c r="DT123" s="1069"/>
      <c r="DU123" s="1069"/>
      <c r="DV123" s="1069"/>
      <c r="DW123" s="1069"/>
      <c r="DX123" s="1069"/>
      <c r="DY123" s="1069"/>
      <c r="DZ123" s="1069"/>
      <c r="EA123" s="1069"/>
      <c r="EB123" s="1069"/>
      <c r="EC123" s="1069"/>
      <c r="ED123" s="1069"/>
      <c r="EE123" s="1069"/>
      <c r="EF123" s="1069"/>
      <c r="EG123" s="1098"/>
      <c r="EH123" s="1098"/>
      <c r="EI123" s="1098"/>
      <c r="EJ123" s="1098"/>
      <c r="EK123" s="1098"/>
      <c r="EL123" s="1098"/>
      <c r="EM123" s="1098"/>
      <c r="EN123" s="1069"/>
      <c r="EO123" s="1070"/>
      <c r="EP123" s="1070"/>
      <c r="EQ123" s="1070"/>
      <c r="ER123" s="1070"/>
      <c r="ES123" s="1070"/>
      <c r="ET123" s="1070"/>
      <c r="EU123" s="1070"/>
      <c r="EV123" s="1070"/>
      <c r="EW123" s="1070"/>
      <c r="EX123" s="1070"/>
      <c r="EY123" s="1070"/>
      <c r="EZ123" s="1070"/>
      <c r="FA123" s="1070"/>
      <c r="FB123" s="1070"/>
      <c r="FC123" s="1070"/>
      <c r="FD123" s="1070"/>
      <c r="FE123" s="1070"/>
      <c r="FF123" s="1070"/>
      <c r="FG123" s="1070"/>
      <c r="FH123" s="1070"/>
      <c r="FI123" s="1070"/>
      <c r="FJ123" s="1070"/>
      <c r="FK123" s="1070"/>
      <c r="FL123" s="1070"/>
      <c r="FM123" s="1070"/>
      <c r="FN123" s="1070"/>
      <c r="FO123" s="1070"/>
      <c r="FP123" s="1070"/>
      <c r="FQ123" s="1070"/>
      <c r="FR123" s="1070"/>
      <c r="FS123" s="1070"/>
      <c r="FT123" s="1070"/>
      <c r="FU123" s="1070"/>
      <c r="FV123" s="1070"/>
      <c r="FW123" s="1070"/>
      <c r="FX123" s="1070"/>
      <c r="FY123" s="1070"/>
      <c r="FZ123" s="1070"/>
      <c r="GA123" s="1070"/>
      <c r="GB123" s="1028"/>
    </row>
    <row r="124" spans="1:184" s="1007" customFormat="1" ht="24.95" hidden="1" customHeight="1">
      <c r="B124" s="1062">
        <v>55</v>
      </c>
      <c r="C124" s="1072"/>
      <c r="D124" s="1051" t="s">
        <v>2260</v>
      </c>
      <c r="E124" s="1075" t="s">
        <v>2261</v>
      </c>
      <c r="F124" s="1052"/>
      <c r="G124" s="1053" t="s">
        <v>338</v>
      </c>
      <c r="H124" s="1046">
        <f t="shared" si="33"/>
        <v>0</v>
      </c>
      <c r="I124" s="1029"/>
      <c r="J124" s="1088">
        <f t="shared" si="34"/>
        <v>0</v>
      </c>
      <c r="K124" s="1662"/>
      <c r="L124" s="1070"/>
      <c r="M124" s="1070"/>
      <c r="N124" s="1070"/>
      <c r="O124" s="1070"/>
      <c r="P124" s="1070"/>
      <c r="Q124" s="1070"/>
      <c r="R124" s="1070"/>
      <c r="S124" s="1070"/>
      <c r="T124" s="1070"/>
      <c r="U124" s="1070"/>
      <c r="V124" s="1070"/>
      <c r="W124" s="1070"/>
      <c r="X124" s="1070"/>
      <c r="Y124" s="1070"/>
      <c r="Z124" s="1070"/>
      <c r="AA124" s="1070"/>
      <c r="AB124" s="1070"/>
      <c r="AC124" s="1070"/>
      <c r="AD124" s="1070"/>
      <c r="AE124" s="1070"/>
      <c r="AF124" s="1070"/>
      <c r="AG124" s="1070"/>
      <c r="AH124" s="1070"/>
      <c r="AI124" s="1070"/>
      <c r="AJ124" s="1070"/>
      <c r="AK124" s="1070"/>
      <c r="AL124" s="1070"/>
      <c r="AM124" s="1070"/>
      <c r="AN124" s="1070"/>
      <c r="AO124" s="1070"/>
      <c r="AP124" s="1070"/>
      <c r="AQ124" s="1070"/>
      <c r="AR124" s="1070"/>
      <c r="AS124" s="1070"/>
      <c r="AT124" s="1070"/>
      <c r="AU124" s="1070"/>
      <c r="AV124" s="1070"/>
      <c r="AW124" s="1070"/>
      <c r="AX124" s="1070"/>
      <c r="AY124" s="1070"/>
      <c r="AZ124" s="1070"/>
      <c r="BA124" s="1070"/>
      <c r="BB124" s="1070"/>
      <c r="BC124" s="1070"/>
      <c r="BD124" s="1070"/>
      <c r="BE124" s="1070"/>
      <c r="BF124" s="1070"/>
      <c r="BG124" s="1070"/>
      <c r="BH124" s="1070"/>
      <c r="BI124" s="1070"/>
      <c r="BJ124" s="1070"/>
      <c r="BK124" s="1070"/>
      <c r="BL124" s="1070"/>
      <c r="BM124" s="1070"/>
      <c r="BN124" s="1070"/>
      <c r="BO124" s="1070"/>
      <c r="BP124" s="1070"/>
      <c r="BQ124" s="1070"/>
      <c r="BR124" s="1069"/>
      <c r="BS124" s="1069"/>
      <c r="BT124" s="1069"/>
      <c r="BU124" s="1069"/>
      <c r="BV124" s="1069"/>
      <c r="BW124" s="1069"/>
      <c r="BX124" s="1069"/>
      <c r="BY124" s="1069"/>
      <c r="BZ124" s="1069"/>
      <c r="CA124" s="1069"/>
      <c r="CB124" s="1069"/>
      <c r="CC124" s="1069"/>
      <c r="CD124" s="1069"/>
      <c r="CE124" s="1069"/>
      <c r="CF124" s="1069"/>
      <c r="CG124" s="1069"/>
      <c r="CH124" s="1069"/>
      <c r="CI124" s="1069"/>
      <c r="CJ124" s="1069"/>
      <c r="CK124" s="1069"/>
      <c r="CL124" s="1069"/>
      <c r="CM124" s="1069"/>
      <c r="CN124" s="1069"/>
      <c r="CO124" s="1069"/>
      <c r="CP124" s="1069"/>
      <c r="CQ124" s="1069"/>
      <c r="CR124" s="1069"/>
      <c r="CS124" s="1069"/>
      <c r="CT124" s="1069"/>
      <c r="CU124" s="1069"/>
      <c r="CV124" s="1069"/>
      <c r="CW124" s="1069"/>
      <c r="CX124" s="1069"/>
      <c r="CY124" s="1069"/>
      <c r="CZ124" s="1069"/>
      <c r="DA124" s="1069"/>
      <c r="DB124" s="1069"/>
      <c r="DC124" s="1069"/>
      <c r="DD124" s="1069"/>
      <c r="DE124" s="1069"/>
      <c r="DF124" s="1069"/>
      <c r="DG124" s="1069"/>
      <c r="DH124" s="1069"/>
      <c r="DI124" s="1069"/>
      <c r="DJ124" s="1069"/>
      <c r="DK124" s="1069"/>
      <c r="DL124" s="1069"/>
      <c r="DM124" s="1069"/>
      <c r="DN124" s="1069"/>
      <c r="DO124" s="1069"/>
      <c r="DP124" s="1069"/>
      <c r="DQ124" s="1069"/>
      <c r="DR124" s="1069"/>
      <c r="DS124" s="1069"/>
      <c r="DT124" s="1069"/>
      <c r="DU124" s="1069"/>
      <c r="DV124" s="1069"/>
      <c r="DW124" s="1069"/>
      <c r="DX124" s="1069"/>
      <c r="DY124" s="1069"/>
      <c r="DZ124" s="1069"/>
      <c r="EA124" s="1069"/>
      <c r="EB124" s="1069"/>
      <c r="EC124" s="1069"/>
      <c r="ED124" s="1069"/>
      <c r="EE124" s="1069"/>
      <c r="EF124" s="1069"/>
      <c r="EG124" s="1098"/>
      <c r="EH124" s="1098"/>
      <c r="EI124" s="1098"/>
      <c r="EJ124" s="1098"/>
      <c r="EK124" s="1098"/>
      <c r="EL124" s="1098"/>
      <c r="EM124" s="1098"/>
      <c r="EN124" s="1069"/>
      <c r="EO124" s="1070"/>
      <c r="EP124" s="1070"/>
      <c r="EQ124" s="1070"/>
      <c r="ER124" s="1070"/>
      <c r="ES124" s="1070"/>
      <c r="ET124" s="1070"/>
      <c r="EU124" s="1070"/>
      <c r="EV124" s="1070"/>
      <c r="EW124" s="1070"/>
      <c r="EX124" s="1070"/>
      <c r="EY124" s="1070"/>
      <c r="EZ124" s="1070"/>
      <c r="FA124" s="1070"/>
      <c r="FB124" s="1070"/>
      <c r="FC124" s="1070"/>
      <c r="FD124" s="1070"/>
      <c r="FE124" s="1070"/>
      <c r="FF124" s="1070"/>
      <c r="FG124" s="1070"/>
      <c r="FH124" s="1070"/>
      <c r="FI124" s="1070"/>
      <c r="FJ124" s="1070"/>
      <c r="FK124" s="1070"/>
      <c r="FL124" s="1070"/>
      <c r="FM124" s="1070"/>
      <c r="FN124" s="1070"/>
      <c r="FO124" s="1070"/>
      <c r="FP124" s="1070"/>
      <c r="FQ124" s="1070"/>
      <c r="FR124" s="1070"/>
      <c r="FS124" s="1070"/>
      <c r="FT124" s="1070"/>
      <c r="FU124" s="1070"/>
      <c r="FV124" s="1070"/>
      <c r="FW124" s="1070"/>
      <c r="FX124" s="1070"/>
      <c r="FY124" s="1070"/>
      <c r="FZ124" s="1070"/>
      <c r="GA124" s="1070"/>
      <c r="GB124" s="1028"/>
    </row>
    <row r="125" spans="1:184" s="1007" customFormat="1" ht="24.95" hidden="1" customHeight="1">
      <c r="B125" s="1062"/>
      <c r="C125" s="1072"/>
      <c r="D125" s="1051" t="s">
        <v>2420</v>
      </c>
      <c r="E125" s="1075" t="s">
        <v>2947</v>
      </c>
      <c r="F125" s="1052"/>
      <c r="G125" s="1053" t="s">
        <v>338</v>
      </c>
      <c r="H125" s="1046">
        <f t="shared" si="33"/>
        <v>0</v>
      </c>
      <c r="I125" s="1029"/>
      <c r="J125" s="1088">
        <f t="shared" si="34"/>
        <v>0</v>
      </c>
      <c r="K125" s="1662"/>
      <c r="L125" s="1070"/>
      <c r="M125" s="1070"/>
      <c r="N125" s="1070"/>
      <c r="O125" s="1070"/>
      <c r="P125" s="1070"/>
      <c r="Q125" s="1070"/>
      <c r="R125" s="1070"/>
      <c r="S125" s="1070"/>
      <c r="T125" s="1070"/>
      <c r="U125" s="1070"/>
      <c r="V125" s="1070"/>
      <c r="W125" s="1070"/>
      <c r="X125" s="1070"/>
      <c r="Y125" s="1070"/>
      <c r="Z125" s="1070"/>
      <c r="AA125" s="1070"/>
      <c r="AB125" s="1070"/>
      <c r="AC125" s="1070"/>
      <c r="AD125" s="1070"/>
      <c r="AE125" s="1070"/>
      <c r="AF125" s="1070"/>
      <c r="AG125" s="1070"/>
      <c r="AH125" s="1070"/>
      <c r="AI125" s="1070"/>
      <c r="AJ125" s="1070"/>
      <c r="AK125" s="1070"/>
      <c r="AL125" s="1070"/>
      <c r="AM125" s="1070"/>
      <c r="AN125" s="1070"/>
      <c r="AO125" s="1070"/>
      <c r="AP125" s="1070"/>
      <c r="AQ125" s="1070"/>
      <c r="AR125" s="1070"/>
      <c r="AS125" s="1070"/>
      <c r="AT125" s="1070"/>
      <c r="AU125" s="1070"/>
      <c r="AV125" s="1070"/>
      <c r="AW125" s="1070"/>
      <c r="AX125" s="1070"/>
      <c r="AY125" s="1070"/>
      <c r="AZ125" s="1070"/>
      <c r="BA125" s="1070"/>
      <c r="BB125" s="1070"/>
      <c r="BC125" s="1070"/>
      <c r="BD125" s="1070"/>
      <c r="BE125" s="1070"/>
      <c r="BF125" s="1070"/>
      <c r="BG125" s="1070"/>
      <c r="BH125" s="1070"/>
      <c r="BI125" s="1070"/>
      <c r="BJ125" s="1070"/>
      <c r="BK125" s="1070"/>
      <c r="BL125" s="1070"/>
      <c r="BM125" s="1070"/>
      <c r="BN125" s="1070"/>
      <c r="BO125" s="1070"/>
      <c r="BP125" s="1070"/>
      <c r="BQ125" s="1070"/>
      <c r="BR125" s="1069"/>
      <c r="BS125" s="1069"/>
      <c r="BT125" s="1069"/>
      <c r="BU125" s="1069"/>
      <c r="BV125" s="1069"/>
      <c r="BW125" s="1069"/>
      <c r="BX125" s="1069"/>
      <c r="BY125" s="1069"/>
      <c r="BZ125" s="1069"/>
      <c r="CA125" s="1069"/>
      <c r="CB125" s="1069"/>
      <c r="CC125" s="1069"/>
      <c r="CD125" s="1069"/>
      <c r="CE125" s="1069"/>
      <c r="CF125" s="1069"/>
      <c r="CG125" s="1069"/>
      <c r="CH125" s="1069"/>
      <c r="CI125" s="1069"/>
      <c r="CJ125" s="1069"/>
      <c r="CK125" s="1069"/>
      <c r="CL125" s="1069"/>
      <c r="CM125" s="1069"/>
      <c r="CN125" s="1069"/>
      <c r="CO125" s="1069"/>
      <c r="CP125" s="1069"/>
      <c r="CQ125" s="1069"/>
      <c r="CR125" s="1069"/>
      <c r="CS125" s="1069"/>
      <c r="CT125" s="1069"/>
      <c r="CU125" s="1069"/>
      <c r="CV125" s="1069"/>
      <c r="CW125" s="1069"/>
      <c r="CX125" s="1069"/>
      <c r="CY125" s="1069"/>
      <c r="CZ125" s="1069"/>
      <c r="DA125" s="1069"/>
      <c r="DB125" s="1069"/>
      <c r="DC125" s="1069"/>
      <c r="DD125" s="1069"/>
      <c r="DE125" s="1069"/>
      <c r="DF125" s="1069"/>
      <c r="DG125" s="1069"/>
      <c r="DH125" s="1069"/>
      <c r="DI125" s="1069"/>
      <c r="DJ125" s="1069"/>
      <c r="DK125" s="1069"/>
      <c r="DL125" s="1069"/>
      <c r="DM125" s="1069"/>
      <c r="DN125" s="1069"/>
      <c r="DO125" s="1069"/>
      <c r="DP125" s="1069"/>
      <c r="DQ125" s="1069"/>
      <c r="DR125" s="1069"/>
      <c r="DS125" s="1069"/>
      <c r="DT125" s="1069"/>
      <c r="DU125" s="1069"/>
      <c r="DV125" s="1069"/>
      <c r="DW125" s="1069"/>
      <c r="DX125" s="1069"/>
      <c r="DY125" s="1069"/>
      <c r="DZ125" s="1069"/>
      <c r="EA125" s="1069"/>
      <c r="EB125" s="1069"/>
      <c r="EC125" s="1069"/>
      <c r="ED125" s="1069"/>
      <c r="EE125" s="1069"/>
      <c r="EF125" s="1069"/>
      <c r="EG125" s="1098"/>
      <c r="EH125" s="1561"/>
      <c r="EI125" s="1561"/>
      <c r="EJ125" s="1561"/>
      <c r="EK125" s="1561"/>
      <c r="EL125" s="1561"/>
      <c r="EM125" s="1561"/>
      <c r="EN125" s="1069"/>
      <c r="EO125" s="1070"/>
      <c r="EP125" s="1070"/>
      <c r="EQ125" s="1070"/>
      <c r="ER125" s="1070"/>
      <c r="ES125" s="1070"/>
      <c r="ET125" s="1070"/>
      <c r="EU125" s="1070"/>
      <c r="EV125" s="1070"/>
      <c r="EW125" s="1070"/>
      <c r="EX125" s="1070"/>
      <c r="EY125" s="1070"/>
      <c r="EZ125" s="1070"/>
      <c r="FA125" s="1070"/>
      <c r="FB125" s="1070"/>
      <c r="FC125" s="1070"/>
      <c r="FD125" s="1070"/>
      <c r="FE125" s="1070"/>
      <c r="FF125" s="1070"/>
      <c r="FG125" s="1070"/>
      <c r="FH125" s="1070"/>
      <c r="FI125" s="1070"/>
      <c r="FJ125" s="1070"/>
      <c r="FK125" s="1070"/>
      <c r="FL125" s="1070"/>
      <c r="FM125" s="1070"/>
      <c r="FN125" s="1070"/>
      <c r="FO125" s="1070"/>
      <c r="FP125" s="1070"/>
      <c r="FQ125" s="1070"/>
      <c r="FR125" s="1070"/>
      <c r="FS125" s="1070"/>
      <c r="FT125" s="1070"/>
      <c r="FU125" s="1070"/>
      <c r="FV125" s="1070"/>
      <c r="FW125" s="1070"/>
      <c r="FX125" s="1070"/>
      <c r="FY125" s="1070"/>
      <c r="FZ125" s="1070"/>
      <c r="GA125" s="1070"/>
      <c r="GB125" s="1028"/>
    </row>
    <row r="126" spans="1:184" s="1339" customFormat="1" ht="24.95" hidden="1" customHeight="1">
      <c r="B126" s="1340"/>
      <c r="C126" s="1106"/>
      <c r="D126" s="1107" t="s">
        <v>2421</v>
      </c>
      <c r="E126" s="1341" t="s">
        <v>2948</v>
      </c>
      <c r="F126" s="1108"/>
      <c r="G126" s="1109" t="s">
        <v>338</v>
      </c>
      <c r="H126" s="1046">
        <f t="shared" si="33"/>
        <v>0</v>
      </c>
      <c r="I126" s="1110"/>
      <c r="J126" s="1088">
        <f t="shared" si="34"/>
        <v>0</v>
      </c>
      <c r="K126" s="1666"/>
      <c r="L126" s="1111"/>
      <c r="M126" s="1111"/>
      <c r="N126" s="1111"/>
      <c r="O126" s="1111"/>
      <c r="P126" s="1111"/>
      <c r="Q126" s="1111"/>
      <c r="R126" s="1111"/>
      <c r="S126" s="1111"/>
      <c r="T126" s="1111"/>
      <c r="U126" s="1111"/>
      <c r="V126" s="1111"/>
      <c r="W126" s="1111"/>
      <c r="X126" s="1111"/>
      <c r="Y126" s="1111"/>
      <c r="Z126" s="1111"/>
      <c r="AA126" s="1111"/>
      <c r="AB126" s="1111"/>
      <c r="AC126" s="1111"/>
      <c r="AD126" s="1111"/>
      <c r="AE126" s="1111"/>
      <c r="AF126" s="1111"/>
      <c r="AG126" s="1111"/>
      <c r="AH126" s="1111"/>
      <c r="AI126" s="1111"/>
      <c r="AJ126" s="1111"/>
      <c r="AK126" s="1111"/>
      <c r="AL126" s="1111"/>
      <c r="AM126" s="1111"/>
      <c r="AN126" s="1111"/>
      <c r="AO126" s="1111"/>
      <c r="AP126" s="1111"/>
      <c r="AQ126" s="1111"/>
      <c r="AR126" s="1111"/>
      <c r="AS126" s="1111"/>
      <c r="AT126" s="1111"/>
      <c r="AU126" s="1111"/>
      <c r="AV126" s="1111"/>
      <c r="AW126" s="1111"/>
      <c r="AX126" s="1111"/>
      <c r="AY126" s="1111"/>
      <c r="AZ126" s="1111"/>
      <c r="BA126" s="1111"/>
      <c r="BB126" s="1111"/>
      <c r="BC126" s="1111"/>
      <c r="BD126" s="1111"/>
      <c r="BE126" s="1111"/>
      <c r="BF126" s="1111"/>
      <c r="BG126" s="1111"/>
      <c r="BH126" s="1111"/>
      <c r="BI126" s="1111"/>
      <c r="BJ126" s="1111"/>
      <c r="BK126" s="1111"/>
      <c r="BL126" s="1111"/>
      <c r="BM126" s="1111"/>
      <c r="BN126" s="1111"/>
      <c r="BO126" s="1111"/>
      <c r="BP126" s="1111"/>
      <c r="BQ126" s="1111"/>
      <c r="BR126" s="1112"/>
      <c r="BS126" s="1112"/>
      <c r="BT126" s="1112"/>
      <c r="BU126" s="1112"/>
      <c r="BV126" s="1112"/>
      <c r="BW126" s="1112"/>
      <c r="BX126" s="1112"/>
      <c r="BY126" s="1112"/>
      <c r="BZ126" s="1112"/>
      <c r="CA126" s="1112"/>
      <c r="CB126" s="1112"/>
      <c r="CC126" s="1112"/>
      <c r="CD126" s="1112"/>
      <c r="CE126" s="1112"/>
      <c r="CF126" s="1112"/>
      <c r="CG126" s="1112"/>
      <c r="CH126" s="1112"/>
      <c r="CI126" s="1112"/>
      <c r="CJ126" s="1112"/>
      <c r="CK126" s="1112"/>
      <c r="CL126" s="1112"/>
      <c r="CM126" s="1112"/>
      <c r="CN126" s="1112"/>
      <c r="CO126" s="1112"/>
      <c r="CP126" s="1112"/>
      <c r="CQ126" s="1112"/>
      <c r="CR126" s="1112"/>
      <c r="CS126" s="1112"/>
      <c r="CT126" s="1112"/>
      <c r="CU126" s="1112"/>
      <c r="CV126" s="1112"/>
      <c r="CW126" s="1112"/>
      <c r="CX126" s="1112"/>
      <c r="CY126" s="1112"/>
      <c r="CZ126" s="1112"/>
      <c r="DA126" s="1112"/>
      <c r="DB126" s="1112"/>
      <c r="DC126" s="1112"/>
      <c r="DD126" s="1112"/>
      <c r="DE126" s="1112"/>
      <c r="DF126" s="1112"/>
      <c r="DG126" s="1112"/>
      <c r="DH126" s="1112"/>
      <c r="DI126" s="1112"/>
      <c r="DJ126" s="1112"/>
      <c r="DK126" s="1112"/>
      <c r="DL126" s="1112"/>
      <c r="DM126" s="1112"/>
      <c r="DN126" s="1112"/>
      <c r="DO126" s="1112"/>
      <c r="DP126" s="1112"/>
      <c r="DQ126" s="1112"/>
      <c r="DR126" s="1112"/>
      <c r="DS126" s="1112"/>
      <c r="DT126" s="1112"/>
      <c r="DU126" s="1112"/>
      <c r="DV126" s="1112"/>
      <c r="DW126" s="1112"/>
      <c r="DX126" s="1112"/>
      <c r="DY126" s="1112"/>
      <c r="DZ126" s="1112"/>
      <c r="EA126" s="1112"/>
      <c r="EB126" s="1112"/>
      <c r="EC126" s="1112"/>
      <c r="ED126" s="1112"/>
      <c r="EE126" s="1112"/>
      <c r="EF126" s="1112"/>
      <c r="EG126" s="1342"/>
      <c r="EH126" s="1562"/>
      <c r="EI126" s="1562"/>
      <c r="EJ126" s="1562"/>
      <c r="EK126" s="1562"/>
      <c r="EL126" s="1562"/>
      <c r="EM126" s="1562"/>
      <c r="EN126" s="1112"/>
      <c r="EO126" s="1111"/>
      <c r="EP126" s="1111"/>
      <c r="EQ126" s="1111"/>
      <c r="ER126" s="1111"/>
      <c r="ES126" s="1111"/>
      <c r="ET126" s="1111"/>
      <c r="EU126" s="1111"/>
      <c r="EV126" s="1111"/>
      <c r="EW126" s="1111"/>
      <c r="EX126" s="1111"/>
      <c r="EY126" s="1111"/>
      <c r="EZ126" s="1111"/>
      <c r="FA126" s="1111"/>
      <c r="FB126" s="1111"/>
      <c r="FC126" s="1111"/>
      <c r="FD126" s="1111"/>
      <c r="FE126" s="1111"/>
      <c r="FF126" s="1111"/>
      <c r="FG126" s="1111"/>
      <c r="FH126" s="1111"/>
      <c r="FI126" s="1111"/>
      <c r="FJ126" s="1111"/>
      <c r="FK126" s="1111"/>
      <c r="FL126" s="1111"/>
      <c r="FM126" s="1111"/>
      <c r="FN126" s="1111"/>
      <c r="FO126" s="1111"/>
      <c r="FP126" s="1111"/>
      <c r="FQ126" s="1111"/>
      <c r="FR126" s="1111"/>
      <c r="FS126" s="1111"/>
      <c r="FT126" s="1111"/>
      <c r="FU126" s="1111"/>
      <c r="FV126" s="1111"/>
      <c r="FW126" s="1111"/>
      <c r="FX126" s="1111"/>
      <c r="FY126" s="1111"/>
      <c r="FZ126" s="1111"/>
      <c r="GA126" s="1111"/>
      <c r="GB126" s="1113"/>
    </row>
    <row r="127" spans="1:184" s="1114" customFormat="1">
      <c r="C127" s="1332"/>
      <c r="D127" s="1333" t="s">
        <v>2262</v>
      </c>
      <c r="E127" s="1334"/>
      <c r="F127" s="1334"/>
      <c r="G127" s="1335"/>
      <c r="H127" s="1335"/>
      <c r="I127" s="1335"/>
      <c r="J127" s="1336">
        <f t="shared" ref="J127:J132" si="38">SUM(K127:GA127)</f>
        <v>6878.7000000000007</v>
      </c>
      <c r="K127" s="1667"/>
      <c r="L127" s="1337">
        <f t="shared" ref="L127:AQ127" si="39">L81</f>
        <v>1</v>
      </c>
      <c r="M127" s="1337">
        <f t="shared" si="39"/>
        <v>2</v>
      </c>
      <c r="N127" s="1337">
        <f>N81</f>
        <v>10.4</v>
      </c>
      <c r="O127" s="1337">
        <f>O81</f>
        <v>21.4</v>
      </c>
      <c r="P127" s="1337">
        <f t="shared" si="39"/>
        <v>25.4</v>
      </c>
      <c r="Q127" s="1337">
        <f t="shared" si="39"/>
        <v>7.3999999999999986</v>
      </c>
      <c r="R127" s="1337">
        <f t="shared" si="39"/>
        <v>14.099999999999998</v>
      </c>
      <c r="S127" s="1337">
        <f t="shared" si="39"/>
        <v>21.4</v>
      </c>
      <c r="T127" s="1337">
        <f t="shared" si="39"/>
        <v>19.899999999999999</v>
      </c>
      <c r="U127" s="1337">
        <f t="shared" si="39"/>
        <v>22.9</v>
      </c>
      <c r="V127" s="1337">
        <f t="shared" si="39"/>
        <v>40.400000000000006</v>
      </c>
      <c r="W127" s="1337">
        <f t="shared" si="39"/>
        <v>42.400000000000006</v>
      </c>
      <c r="X127" s="1337">
        <f t="shared" si="39"/>
        <v>19.399999999999999</v>
      </c>
      <c r="Y127" s="1337">
        <f t="shared" si="39"/>
        <v>21.9</v>
      </c>
      <c r="Z127" s="1337">
        <f t="shared" si="39"/>
        <v>39.900000000000006</v>
      </c>
      <c r="AA127" s="1337">
        <f t="shared" si="39"/>
        <v>42.400000000000006</v>
      </c>
      <c r="AB127" s="1337">
        <f t="shared" si="39"/>
        <v>19.399999999999999</v>
      </c>
      <c r="AC127" s="1337">
        <f t="shared" si="39"/>
        <v>31.400000000000002</v>
      </c>
      <c r="AD127" s="1337">
        <f t="shared" si="39"/>
        <v>43.400000000000006</v>
      </c>
      <c r="AE127" s="1337">
        <f t="shared" si="39"/>
        <v>7.4</v>
      </c>
      <c r="AF127" s="1337">
        <f t="shared" si="39"/>
        <v>13.4</v>
      </c>
      <c r="AG127" s="1337">
        <f t="shared" si="39"/>
        <v>30.4</v>
      </c>
      <c r="AH127" s="1337">
        <f t="shared" si="39"/>
        <v>14.4</v>
      </c>
      <c r="AI127" s="1337">
        <f t="shared" si="39"/>
        <v>22.4</v>
      </c>
      <c r="AJ127" s="1337">
        <f t="shared" si="39"/>
        <v>42.9</v>
      </c>
      <c r="AK127" s="1337">
        <f t="shared" si="39"/>
        <v>35.400000000000006</v>
      </c>
      <c r="AL127" s="1337">
        <f t="shared" si="39"/>
        <v>68.400000000000006</v>
      </c>
      <c r="AM127" s="1337">
        <f t="shared" si="39"/>
        <v>26.400000000000002</v>
      </c>
      <c r="AN127" s="1337">
        <f t="shared" si="39"/>
        <v>28.400000000000002</v>
      </c>
      <c r="AO127" s="1337">
        <f t="shared" si="39"/>
        <v>31.400000000000002</v>
      </c>
      <c r="AP127" s="1337">
        <f t="shared" si="39"/>
        <v>29.400000000000002</v>
      </c>
      <c r="AQ127" s="1337">
        <f t="shared" si="39"/>
        <v>24.400000000000002</v>
      </c>
      <c r="AR127" s="1337">
        <f t="shared" ref="AR127:BW127" si="40">AR81</f>
        <v>26.400000000000002</v>
      </c>
      <c r="AS127" s="1337">
        <f t="shared" si="40"/>
        <v>74.400000000000006</v>
      </c>
      <c r="AT127" s="1337">
        <f t="shared" si="40"/>
        <v>6.3999999999999986</v>
      </c>
      <c r="AU127" s="1337">
        <f t="shared" si="40"/>
        <v>19.399999999999999</v>
      </c>
      <c r="AV127" s="1337">
        <f t="shared" si="40"/>
        <v>67.400000000000006</v>
      </c>
      <c r="AW127" s="1337">
        <f t="shared" si="40"/>
        <v>11.4</v>
      </c>
      <c r="AX127" s="1337">
        <f t="shared" si="40"/>
        <v>11.4</v>
      </c>
      <c r="AY127" s="1337">
        <f t="shared" si="40"/>
        <v>33.4</v>
      </c>
      <c r="AZ127" s="1337">
        <f t="shared" si="40"/>
        <v>68.400000000000006</v>
      </c>
      <c r="BA127" s="1337">
        <f t="shared" si="40"/>
        <v>6.1000000000000005</v>
      </c>
      <c r="BB127" s="1337">
        <f t="shared" si="40"/>
        <v>30.099999999999998</v>
      </c>
      <c r="BC127" s="1337">
        <f t="shared" si="40"/>
        <v>70.100000000000009</v>
      </c>
      <c r="BD127" s="1337">
        <f t="shared" si="40"/>
        <v>36.700000000000003</v>
      </c>
      <c r="BE127" s="1337">
        <f t="shared" si="40"/>
        <v>47.400000000000006</v>
      </c>
      <c r="BF127" s="1337">
        <f t="shared" si="40"/>
        <v>91.4</v>
      </c>
      <c r="BG127" s="1337">
        <f t="shared" si="40"/>
        <v>34.400000000000006</v>
      </c>
      <c r="BH127" s="1337">
        <f t="shared" si="40"/>
        <v>78.400000000000006</v>
      </c>
      <c r="BI127" s="1337">
        <f t="shared" si="40"/>
        <v>35.400000000000006</v>
      </c>
      <c r="BJ127" s="1337">
        <f t="shared" si="40"/>
        <v>85.4</v>
      </c>
      <c r="BK127" s="1337">
        <f t="shared" si="40"/>
        <v>18.399999999999999</v>
      </c>
      <c r="BL127" s="1337">
        <f t="shared" si="40"/>
        <v>65.400000000000006</v>
      </c>
      <c r="BM127" s="1337">
        <f t="shared" si="40"/>
        <v>8.4</v>
      </c>
      <c r="BN127" s="1337">
        <f t="shared" si="40"/>
        <v>28.4</v>
      </c>
      <c r="BO127" s="1337">
        <f t="shared" si="40"/>
        <v>42.4</v>
      </c>
      <c r="BP127" s="1337">
        <f t="shared" si="40"/>
        <v>15.399999999999999</v>
      </c>
      <c r="BQ127" s="1337">
        <f t="shared" si="40"/>
        <v>35.4</v>
      </c>
      <c r="BR127" s="1337">
        <f t="shared" si="40"/>
        <v>12.4</v>
      </c>
      <c r="BS127" s="1337">
        <f t="shared" si="40"/>
        <v>29.4</v>
      </c>
      <c r="BT127" s="1337">
        <f t="shared" si="40"/>
        <v>35.400000000000006</v>
      </c>
      <c r="BU127" s="1337">
        <f t="shared" si="40"/>
        <v>68.400000000000006</v>
      </c>
      <c r="BV127" s="1337">
        <f t="shared" si="40"/>
        <v>36.400000000000006</v>
      </c>
      <c r="BW127" s="1337">
        <f t="shared" si="40"/>
        <v>22.4</v>
      </c>
      <c r="BX127" s="1337">
        <f t="shared" ref="BX127:GA127" si="41">BX81</f>
        <v>29.400000000000002</v>
      </c>
      <c r="BY127" s="1337">
        <f t="shared" si="41"/>
        <v>31.400000000000002</v>
      </c>
      <c r="BZ127" s="1337">
        <f t="shared" si="41"/>
        <v>37.400000000000006</v>
      </c>
      <c r="CA127" s="1337">
        <f t="shared" si="41"/>
        <v>85.4</v>
      </c>
      <c r="CB127" s="1337">
        <f t="shared" si="41"/>
        <v>22.4</v>
      </c>
      <c r="CC127" s="1337">
        <f t="shared" si="41"/>
        <v>7.3999999999999986</v>
      </c>
      <c r="CD127" s="1337">
        <f t="shared" si="41"/>
        <v>20.399999999999999</v>
      </c>
      <c r="CE127" s="1337">
        <f t="shared" si="41"/>
        <v>67.400000000000006</v>
      </c>
      <c r="CF127" s="1337">
        <f t="shared" si="41"/>
        <v>7.4</v>
      </c>
      <c r="CG127" s="1337">
        <f t="shared" ref="CG127:CI127" si="42">CG81</f>
        <v>10.4</v>
      </c>
      <c r="CH127" s="1337">
        <f t="shared" si="42"/>
        <v>16.400000000000002</v>
      </c>
      <c r="CI127" s="1337">
        <f t="shared" si="42"/>
        <v>51.400000000000006</v>
      </c>
      <c r="CJ127" s="1337">
        <f t="shared" ref="CJ127:CO127" si="43">CJ81</f>
        <v>49.400000000000006</v>
      </c>
      <c r="CK127" s="1337">
        <f t="shared" si="43"/>
        <v>98.4</v>
      </c>
      <c r="CL127" s="1337">
        <f t="shared" si="43"/>
        <v>87.4</v>
      </c>
      <c r="CM127" s="1337">
        <f t="shared" si="43"/>
        <v>48.400000000000006</v>
      </c>
      <c r="CN127" s="1337">
        <f t="shared" si="43"/>
        <v>51.400000000000006</v>
      </c>
      <c r="CO127" s="1337">
        <f t="shared" si="43"/>
        <v>49.400000000000006</v>
      </c>
      <c r="CP127" s="1337">
        <f t="shared" ref="CP127:DA127" si="44">CP81</f>
        <v>16.400000000000002</v>
      </c>
      <c r="CQ127" s="1337">
        <f t="shared" si="44"/>
        <v>5.8999999999999986</v>
      </c>
      <c r="CR127" s="1337">
        <f t="shared" si="44"/>
        <v>7.4</v>
      </c>
      <c r="CS127" s="1337">
        <f t="shared" si="44"/>
        <v>10.4</v>
      </c>
      <c r="CT127" s="1337">
        <f t="shared" si="44"/>
        <v>13.1</v>
      </c>
      <c r="CU127" s="1337">
        <f t="shared" si="44"/>
        <v>15.400000000000002</v>
      </c>
      <c r="CV127" s="1337">
        <f t="shared" si="44"/>
        <v>54.400000000000006</v>
      </c>
      <c r="CW127" s="1337">
        <f t="shared" si="44"/>
        <v>49.400000000000006</v>
      </c>
      <c r="CX127" s="1337">
        <f t="shared" si="44"/>
        <v>51.400000000000006</v>
      </c>
      <c r="CY127" s="1337">
        <f t="shared" si="44"/>
        <v>96.4</v>
      </c>
      <c r="CZ127" s="1337">
        <f t="shared" si="44"/>
        <v>85.4</v>
      </c>
      <c r="DA127" s="1337">
        <f t="shared" si="44"/>
        <v>51.400000000000006</v>
      </c>
      <c r="DB127" s="1337">
        <f t="shared" ref="DB127:DM127" si="45">DB81</f>
        <v>16.400000000000002</v>
      </c>
      <c r="DC127" s="1337">
        <f t="shared" si="45"/>
        <v>6.3999999999999986</v>
      </c>
      <c r="DD127" s="1337">
        <f t="shared" si="45"/>
        <v>44.400000000000006</v>
      </c>
      <c r="DE127" s="1337">
        <f t="shared" si="45"/>
        <v>7.4</v>
      </c>
      <c r="DF127" s="1337">
        <f t="shared" si="45"/>
        <v>12.3</v>
      </c>
      <c r="DG127" s="1337">
        <f t="shared" si="45"/>
        <v>18.3</v>
      </c>
      <c r="DH127" s="1337">
        <f t="shared" si="45"/>
        <v>16</v>
      </c>
      <c r="DI127" s="1337">
        <f t="shared" si="45"/>
        <v>21</v>
      </c>
      <c r="DJ127" s="1337">
        <f t="shared" si="45"/>
        <v>24</v>
      </c>
      <c r="DK127" s="1337">
        <f t="shared" si="45"/>
        <v>29</v>
      </c>
      <c r="DL127" s="1337">
        <f t="shared" si="45"/>
        <v>34</v>
      </c>
      <c r="DM127" s="1337">
        <f t="shared" si="45"/>
        <v>16</v>
      </c>
      <c r="DN127" s="1337">
        <f t="shared" ref="DN127:DX127" si="46">DN81</f>
        <v>21</v>
      </c>
      <c r="DO127" s="1337">
        <f t="shared" si="46"/>
        <v>24</v>
      </c>
      <c r="DP127" s="1337">
        <f t="shared" si="46"/>
        <v>29</v>
      </c>
      <c r="DQ127" s="1337">
        <f t="shared" si="46"/>
        <v>34</v>
      </c>
      <c r="DR127" s="1337">
        <f t="shared" si="46"/>
        <v>10</v>
      </c>
      <c r="DS127" s="1337">
        <f t="shared" si="46"/>
        <v>17</v>
      </c>
      <c r="DT127" s="1337">
        <f t="shared" si="46"/>
        <v>21</v>
      </c>
      <c r="DU127" s="1337">
        <f t="shared" si="46"/>
        <v>27</v>
      </c>
      <c r="DV127" s="1337">
        <f t="shared" si="46"/>
        <v>34</v>
      </c>
      <c r="DW127" s="1337">
        <f t="shared" si="46"/>
        <v>6</v>
      </c>
      <c r="DX127" s="1337">
        <f t="shared" si="46"/>
        <v>7</v>
      </c>
      <c r="DY127" s="1337">
        <f t="shared" ref="DY127" si="47">DY81</f>
        <v>5.0999999999999996</v>
      </c>
      <c r="DZ127" s="1337">
        <f t="shared" ref="DZ127" si="48">DZ81</f>
        <v>5.0999999999999996</v>
      </c>
      <c r="EA127" s="1337">
        <f t="shared" si="41"/>
        <v>5.0999999999999996</v>
      </c>
      <c r="EB127" s="1337">
        <f t="shared" si="41"/>
        <v>5.0999999999999996</v>
      </c>
      <c r="EC127" s="1337">
        <f t="shared" si="41"/>
        <v>5.0999999999999996</v>
      </c>
      <c r="ED127" s="1337">
        <f t="shared" ref="ED127" si="49">ED81</f>
        <v>5.0999999999999996</v>
      </c>
      <c r="EE127" s="1337">
        <f t="shared" ref="EE127:EF127" si="50">EE81</f>
        <v>5.0999999999999996</v>
      </c>
      <c r="EF127" s="1337">
        <f t="shared" si="50"/>
        <v>5.0999999999999996</v>
      </c>
      <c r="EG127" s="1337">
        <f t="shared" si="41"/>
        <v>123</v>
      </c>
      <c r="EH127" s="1337">
        <f>EH81</f>
        <v>93.8</v>
      </c>
      <c r="EI127" s="1337">
        <f t="shared" si="41"/>
        <v>17.3</v>
      </c>
      <c r="EJ127" s="1337">
        <f t="shared" si="41"/>
        <v>16.399999999999999</v>
      </c>
      <c r="EK127" s="1337">
        <f t="shared" si="41"/>
        <v>0</v>
      </c>
      <c r="EL127" s="1337">
        <f t="shared" ref="EL127:EM127" si="51">EL81</f>
        <v>0</v>
      </c>
      <c r="EM127" s="1337">
        <f t="shared" si="51"/>
        <v>0</v>
      </c>
      <c r="EN127" s="1337">
        <f t="shared" si="41"/>
        <v>0</v>
      </c>
      <c r="EO127" s="1337">
        <f t="shared" si="41"/>
        <v>19.2</v>
      </c>
      <c r="EP127" s="1337">
        <f t="shared" ref="EP127:FC127" si="52">EP81</f>
        <v>20.2</v>
      </c>
      <c r="EQ127" s="1337">
        <f t="shared" si="52"/>
        <v>50.2</v>
      </c>
      <c r="ER127" s="1337">
        <f t="shared" si="52"/>
        <v>72.2</v>
      </c>
      <c r="ES127" s="1337">
        <f t="shared" si="52"/>
        <v>72.2</v>
      </c>
      <c r="ET127" s="1337">
        <f t="shared" si="52"/>
        <v>62.2</v>
      </c>
      <c r="EU127" s="1337">
        <f t="shared" si="52"/>
        <v>102.1</v>
      </c>
      <c r="EV127" s="1337">
        <f t="shared" si="52"/>
        <v>107.80000000000001</v>
      </c>
      <c r="EW127" s="1337">
        <f t="shared" si="52"/>
        <v>69.2</v>
      </c>
      <c r="EX127" s="1337">
        <f t="shared" si="52"/>
        <v>72.2</v>
      </c>
      <c r="EY127" s="1337">
        <f t="shared" si="52"/>
        <v>111.2</v>
      </c>
      <c r="EZ127" s="1337">
        <f t="shared" si="52"/>
        <v>0</v>
      </c>
      <c r="FA127" s="1337">
        <f t="shared" si="52"/>
        <v>20.2</v>
      </c>
      <c r="FB127" s="1337">
        <f t="shared" si="52"/>
        <v>101.2</v>
      </c>
      <c r="FC127" s="1337">
        <f t="shared" si="52"/>
        <v>45.2</v>
      </c>
      <c r="FD127" s="1337">
        <f t="shared" si="41"/>
        <v>115.3</v>
      </c>
      <c r="FE127" s="1337">
        <f t="shared" si="41"/>
        <v>21.8</v>
      </c>
      <c r="FF127" s="1337">
        <f t="shared" si="41"/>
        <v>109.7</v>
      </c>
      <c r="FG127" s="1337">
        <f t="shared" si="41"/>
        <v>140.69999999999999</v>
      </c>
      <c r="FH127" s="1337">
        <f t="shared" si="41"/>
        <v>125.7</v>
      </c>
      <c r="FI127" s="1337">
        <f t="shared" si="41"/>
        <v>111.7</v>
      </c>
      <c r="FJ127" s="1337">
        <f t="shared" si="41"/>
        <v>121.7</v>
      </c>
      <c r="FK127" s="1337">
        <f t="shared" si="41"/>
        <v>111.7</v>
      </c>
      <c r="FL127" s="1337">
        <f>FL81</f>
        <v>100.7</v>
      </c>
      <c r="FM127" s="1337">
        <f t="shared" ref="FM127:FN127" si="53">FM81</f>
        <v>127.7</v>
      </c>
      <c r="FN127" s="1337">
        <f t="shared" si="53"/>
        <v>238.3</v>
      </c>
      <c r="FO127" s="1337">
        <f t="shared" ref="FO127:FP127" si="54">FO81</f>
        <v>32.200000000000003</v>
      </c>
      <c r="FP127" s="1337">
        <f t="shared" si="54"/>
        <v>121.2</v>
      </c>
      <c r="FQ127" s="1337">
        <f t="shared" ref="FQ127:FT127" si="55">FQ81</f>
        <v>40.200000000000003</v>
      </c>
      <c r="FR127" s="1337">
        <f t="shared" si="55"/>
        <v>29.2</v>
      </c>
      <c r="FS127" s="1337">
        <f t="shared" si="55"/>
        <v>76.2</v>
      </c>
      <c r="FT127" s="1337">
        <f t="shared" si="55"/>
        <v>17.2</v>
      </c>
      <c r="FU127" s="1337">
        <f t="shared" ref="FU127:FX127" si="56">FU81</f>
        <v>82.1</v>
      </c>
      <c r="FV127" s="1337">
        <f t="shared" si="56"/>
        <v>8.3000000000000007</v>
      </c>
      <c r="FW127" s="1337">
        <f t="shared" si="56"/>
        <v>21.1</v>
      </c>
      <c r="FX127" s="1337">
        <f t="shared" si="56"/>
        <v>80.2</v>
      </c>
      <c r="FY127" s="1337">
        <f t="shared" ref="FY127:FZ127" si="57">FY81</f>
        <v>20.2</v>
      </c>
      <c r="FZ127" s="1337">
        <f t="shared" si="57"/>
        <v>32.200000000000003</v>
      </c>
      <c r="GA127" s="1337">
        <f t="shared" si="41"/>
        <v>0</v>
      </c>
      <c r="GB127" s="1338"/>
    </row>
    <row r="128" spans="1:184">
      <c r="C128" s="1115"/>
      <c r="D128" s="1116" t="s">
        <v>2262</v>
      </c>
      <c r="E128" s="1117" t="s">
        <v>2263</v>
      </c>
      <c r="F128" s="1117"/>
      <c r="G128" s="1118"/>
      <c r="H128" s="1118"/>
      <c r="I128" s="1118"/>
      <c r="J128" s="1119">
        <f t="shared" si="38"/>
        <v>4035.3999999999978</v>
      </c>
      <c r="K128" s="1118"/>
      <c r="L128" s="1120">
        <f t="shared" ref="L128:O128" si="58">L127-L129-L130-L131</f>
        <v>0</v>
      </c>
      <c r="M128" s="1120">
        <f>M127-L127</f>
        <v>1</v>
      </c>
      <c r="N128" s="1120">
        <f t="shared" si="58"/>
        <v>10.4</v>
      </c>
      <c r="O128" s="1120">
        <f t="shared" si="58"/>
        <v>0</v>
      </c>
      <c r="P128" s="1120">
        <f>P127-O127</f>
        <v>4</v>
      </c>
      <c r="Q128" s="1120">
        <f>Q127-Q129-Q130-Q131</f>
        <v>0</v>
      </c>
      <c r="R128" s="1120">
        <v>0</v>
      </c>
      <c r="S128" s="1120">
        <f>S127-R127</f>
        <v>7.3000000000000007</v>
      </c>
      <c r="T128" s="1120">
        <f t="shared" ref="T128:CC128" si="59">T127-T129-T130-T131</f>
        <v>0</v>
      </c>
      <c r="U128" s="1120">
        <v>0</v>
      </c>
      <c r="V128" s="1120">
        <v>0</v>
      </c>
      <c r="W128" s="1120">
        <f>W127-V127</f>
        <v>2</v>
      </c>
      <c r="X128" s="1120">
        <f t="shared" si="59"/>
        <v>0</v>
      </c>
      <c r="Y128" s="1120">
        <v>0</v>
      </c>
      <c r="Z128" s="1120">
        <v>0</v>
      </c>
      <c r="AA128" s="1120">
        <f>AA127-Z127</f>
        <v>2.5</v>
      </c>
      <c r="AB128" s="1120"/>
      <c r="AC128" s="1120"/>
      <c r="AD128" s="1120">
        <f>AD127-AC127</f>
        <v>12.000000000000004</v>
      </c>
      <c r="AE128" s="1120">
        <f t="shared" si="59"/>
        <v>0</v>
      </c>
      <c r="AF128" s="1120"/>
      <c r="AG128" s="1120">
        <f>AG127-AF127</f>
        <v>17</v>
      </c>
      <c r="AH128" s="1120"/>
      <c r="AI128" s="1120"/>
      <c r="AJ128" s="1120">
        <f>AJ127-AI127</f>
        <v>20.5</v>
      </c>
      <c r="AK128" s="1120"/>
      <c r="AL128" s="1120">
        <f>AL127-AK127</f>
        <v>33</v>
      </c>
      <c r="AM128" s="1120"/>
      <c r="AN128" s="1120">
        <f>AN127-AM127</f>
        <v>2</v>
      </c>
      <c r="AO128" s="1120">
        <f>AO127-AP127</f>
        <v>2</v>
      </c>
      <c r="AP128" s="1120">
        <f t="shared" si="59"/>
        <v>0</v>
      </c>
      <c r="AQ128" s="1120">
        <f t="shared" si="59"/>
        <v>0</v>
      </c>
      <c r="AR128" s="1120">
        <f>AR127-AQ127</f>
        <v>2</v>
      </c>
      <c r="AS128" s="1120">
        <f>AS127-AQ127</f>
        <v>50</v>
      </c>
      <c r="AT128" s="1120">
        <f t="shared" si="59"/>
        <v>0</v>
      </c>
      <c r="AU128" s="1120"/>
      <c r="AV128" s="1120">
        <f>AV127-AU127</f>
        <v>48.000000000000007</v>
      </c>
      <c r="AW128" s="1120">
        <f t="shared" si="59"/>
        <v>11.4</v>
      </c>
      <c r="AX128" s="1120">
        <f t="shared" si="59"/>
        <v>11.4</v>
      </c>
      <c r="AY128" s="1120">
        <f t="shared" si="59"/>
        <v>0</v>
      </c>
      <c r="AZ128" s="1120">
        <f>AZ127-AY127</f>
        <v>35.000000000000007</v>
      </c>
      <c r="BA128" s="1120">
        <f t="shared" si="59"/>
        <v>0</v>
      </c>
      <c r="BB128" s="1120">
        <f t="shared" si="59"/>
        <v>0</v>
      </c>
      <c r="BC128" s="1120">
        <f>BC127-BB127</f>
        <v>40.000000000000014</v>
      </c>
      <c r="BD128" s="1120">
        <f>BD127-BA127</f>
        <v>30.6</v>
      </c>
      <c r="BE128" s="1120">
        <f t="shared" si="59"/>
        <v>0</v>
      </c>
      <c r="BF128" s="1120">
        <f>BF127-BE127</f>
        <v>44</v>
      </c>
      <c r="BG128" s="1120">
        <f t="shared" si="59"/>
        <v>0</v>
      </c>
      <c r="BH128" s="1120">
        <f>BH127-BG127</f>
        <v>44</v>
      </c>
      <c r="BI128" s="1120">
        <f t="shared" si="59"/>
        <v>0</v>
      </c>
      <c r="BJ128" s="1120">
        <f>BJ127-BI127</f>
        <v>50</v>
      </c>
      <c r="BK128" s="1120">
        <f t="shared" si="59"/>
        <v>0</v>
      </c>
      <c r="BL128" s="1120">
        <f>BL127-BK127</f>
        <v>47.000000000000007</v>
      </c>
      <c r="BM128" s="1120">
        <f t="shared" si="59"/>
        <v>0</v>
      </c>
      <c r="BN128" s="1120"/>
      <c r="BO128" s="1120">
        <f>BO127-BN127</f>
        <v>14</v>
      </c>
      <c r="BP128" s="1120">
        <f t="shared" si="59"/>
        <v>0</v>
      </c>
      <c r="BQ128" s="1120">
        <f>BQ127-BP127</f>
        <v>20</v>
      </c>
      <c r="BR128" s="1120">
        <f t="shared" si="59"/>
        <v>0</v>
      </c>
      <c r="BS128" s="1120">
        <f>BS127-BR127</f>
        <v>17</v>
      </c>
      <c r="BT128" s="1120">
        <f t="shared" si="59"/>
        <v>0</v>
      </c>
      <c r="BU128" s="1120">
        <f>BU127-BT127</f>
        <v>33</v>
      </c>
      <c r="BV128" s="1120">
        <f>BV127-BW127</f>
        <v>14.000000000000007</v>
      </c>
      <c r="BW128" s="1120">
        <f t="shared" si="59"/>
        <v>0</v>
      </c>
      <c r="BX128" s="1120">
        <f t="shared" si="59"/>
        <v>0</v>
      </c>
      <c r="BY128" s="1120">
        <f>BY127-BX127</f>
        <v>2</v>
      </c>
      <c r="BZ128" s="1120"/>
      <c r="CA128" s="1120">
        <f>CA127-BZ127</f>
        <v>48</v>
      </c>
      <c r="CB128" s="1120">
        <f t="shared" si="59"/>
        <v>0</v>
      </c>
      <c r="CC128" s="1120">
        <f t="shared" si="59"/>
        <v>0</v>
      </c>
      <c r="CD128" s="1120"/>
      <c r="CE128" s="1120">
        <f>CE127-CD127</f>
        <v>47.000000000000007</v>
      </c>
      <c r="CF128" s="1120">
        <f t="shared" ref="CF128:EO128" si="60">CF127-CF129-CF130-CF131</f>
        <v>7.4</v>
      </c>
      <c r="CG128" s="1120">
        <f t="shared" si="60"/>
        <v>10.4</v>
      </c>
      <c r="CH128" s="1120">
        <f t="shared" si="60"/>
        <v>0</v>
      </c>
      <c r="CI128" s="1120">
        <f>CI127-CH127</f>
        <v>35</v>
      </c>
      <c r="CJ128" s="1120">
        <f>CJ127-CO130-CP131</f>
        <v>0</v>
      </c>
      <c r="CK128" s="1120">
        <f>CK127-CL127</f>
        <v>11</v>
      </c>
      <c r="CL128" s="1120"/>
      <c r="CM128" s="1120">
        <f t="shared" si="60"/>
        <v>0</v>
      </c>
      <c r="CN128" s="1120">
        <f>CN127-CO130-CP131</f>
        <v>2.0000000000000036</v>
      </c>
      <c r="CO128" s="1120"/>
      <c r="CP128" s="1120">
        <f t="shared" si="60"/>
        <v>0</v>
      </c>
      <c r="CQ128" s="1120">
        <f t="shared" si="60"/>
        <v>5.8999999999999986</v>
      </c>
      <c r="CR128" s="1120">
        <f t="shared" si="60"/>
        <v>7.4</v>
      </c>
      <c r="CS128" s="1120">
        <f t="shared" si="60"/>
        <v>10.4</v>
      </c>
      <c r="CT128" s="1120">
        <f t="shared" si="60"/>
        <v>13.1</v>
      </c>
      <c r="CU128" s="1120">
        <f t="shared" si="60"/>
        <v>0</v>
      </c>
      <c r="CV128" s="1120">
        <f>CV127-CU127</f>
        <v>39</v>
      </c>
      <c r="CW128" s="1120"/>
      <c r="CX128" s="1120">
        <f>CX127-CW127</f>
        <v>2</v>
      </c>
      <c r="CY128" s="1120">
        <f>CY127-CZ127</f>
        <v>11</v>
      </c>
      <c r="CZ128" s="1120"/>
      <c r="DA128" s="1120">
        <f>DA127-CW127</f>
        <v>2</v>
      </c>
      <c r="DB128" s="1120">
        <f t="shared" si="60"/>
        <v>0</v>
      </c>
      <c r="DC128" s="1120">
        <f t="shared" si="60"/>
        <v>6.3999999999999986</v>
      </c>
      <c r="DD128" s="1120">
        <f t="shared" si="60"/>
        <v>0</v>
      </c>
      <c r="DE128" s="1120">
        <f t="shared" si="60"/>
        <v>7.4</v>
      </c>
      <c r="DF128" s="1120">
        <f t="shared" si="60"/>
        <v>0</v>
      </c>
      <c r="DG128" s="1120">
        <f>DG127-DF127</f>
        <v>6</v>
      </c>
      <c r="DH128" s="1120">
        <f t="shared" si="60"/>
        <v>0</v>
      </c>
      <c r="DI128" s="1120">
        <f>DI127-DH127</f>
        <v>5</v>
      </c>
      <c r="DJ128" s="1120">
        <f t="shared" si="60"/>
        <v>0</v>
      </c>
      <c r="DK128" s="1120"/>
      <c r="DL128" s="1120">
        <f>DL127-DK127</f>
        <v>5</v>
      </c>
      <c r="DM128" s="1120">
        <f t="shared" si="60"/>
        <v>0</v>
      </c>
      <c r="DN128" s="1120">
        <f>DN127-DM127</f>
        <v>5</v>
      </c>
      <c r="DO128" s="1120">
        <f t="shared" si="60"/>
        <v>0</v>
      </c>
      <c r="DP128" s="1120"/>
      <c r="DQ128" s="1120">
        <f>DQ127-DP127</f>
        <v>5</v>
      </c>
      <c r="DR128" s="1120">
        <f t="shared" si="60"/>
        <v>0</v>
      </c>
      <c r="DS128" s="1120">
        <f>DS127-DR127</f>
        <v>7</v>
      </c>
      <c r="DT128" s="1120">
        <f t="shared" si="60"/>
        <v>0</v>
      </c>
      <c r="DU128" s="1120"/>
      <c r="DV128" s="1120">
        <f>DV127-DU127</f>
        <v>7</v>
      </c>
      <c r="DW128" s="1120">
        <f t="shared" si="60"/>
        <v>0</v>
      </c>
      <c r="DX128" s="1120">
        <f>DX127-DW127</f>
        <v>1</v>
      </c>
      <c r="DY128" s="1120">
        <f t="shared" si="60"/>
        <v>5.0999999999999996</v>
      </c>
      <c r="DZ128" s="1120">
        <f t="shared" si="60"/>
        <v>5.0999999999999996</v>
      </c>
      <c r="EA128" s="1120">
        <f t="shared" si="60"/>
        <v>5.0999999999999996</v>
      </c>
      <c r="EB128" s="1120">
        <f t="shared" si="60"/>
        <v>5.0999999999999996</v>
      </c>
      <c r="EC128" s="1120">
        <f t="shared" si="60"/>
        <v>5.0999999999999996</v>
      </c>
      <c r="ED128" s="1120">
        <f t="shared" si="60"/>
        <v>5.0999999999999996</v>
      </c>
      <c r="EE128" s="1120">
        <f t="shared" si="60"/>
        <v>5.0999999999999996</v>
      </c>
      <c r="EF128" s="1120">
        <f t="shared" si="60"/>
        <v>5.0999999999999996</v>
      </c>
      <c r="EG128" s="1120">
        <f t="shared" si="60"/>
        <v>123</v>
      </c>
      <c r="EH128" s="1120">
        <f t="shared" si="60"/>
        <v>93.8</v>
      </c>
      <c r="EI128" s="1120">
        <f t="shared" si="60"/>
        <v>17.3</v>
      </c>
      <c r="EJ128" s="1120">
        <f t="shared" si="60"/>
        <v>16.399999999999999</v>
      </c>
      <c r="EK128" s="1120">
        <f t="shared" si="60"/>
        <v>0</v>
      </c>
      <c r="EL128" s="1120">
        <f t="shared" si="60"/>
        <v>0</v>
      </c>
      <c r="EM128" s="1120">
        <f t="shared" si="60"/>
        <v>0</v>
      </c>
      <c r="EN128" s="1120">
        <f t="shared" si="60"/>
        <v>0</v>
      </c>
      <c r="EO128" s="1120">
        <f t="shared" si="60"/>
        <v>19.2</v>
      </c>
      <c r="EP128" s="1120">
        <f t="shared" ref="EP128:GA128" si="61">EP127-EP129-EP130-EP131</f>
        <v>20.2</v>
      </c>
      <c r="EQ128" s="1120">
        <f t="shared" si="61"/>
        <v>50.2</v>
      </c>
      <c r="ER128" s="1120">
        <f t="shared" si="61"/>
        <v>72.2</v>
      </c>
      <c r="ES128" s="1120">
        <f t="shared" si="61"/>
        <v>72.2</v>
      </c>
      <c r="ET128" s="1120">
        <f t="shared" si="61"/>
        <v>62.2</v>
      </c>
      <c r="EU128" s="1120">
        <f t="shared" si="61"/>
        <v>102.1</v>
      </c>
      <c r="EV128" s="1120">
        <f t="shared" si="61"/>
        <v>107.80000000000001</v>
      </c>
      <c r="EW128" s="1120">
        <f t="shared" si="61"/>
        <v>69.2</v>
      </c>
      <c r="EX128" s="1120">
        <f t="shared" si="61"/>
        <v>72.2</v>
      </c>
      <c r="EY128" s="1120">
        <f t="shared" si="61"/>
        <v>111.2</v>
      </c>
      <c r="EZ128" s="1120">
        <f t="shared" si="61"/>
        <v>0</v>
      </c>
      <c r="FA128" s="1120">
        <f t="shared" si="61"/>
        <v>20.2</v>
      </c>
      <c r="FB128" s="1120">
        <f t="shared" si="61"/>
        <v>101.2</v>
      </c>
      <c r="FC128" s="1120">
        <f t="shared" si="61"/>
        <v>45.2</v>
      </c>
      <c r="FD128" s="1120">
        <f t="shared" si="61"/>
        <v>115.3</v>
      </c>
      <c r="FE128" s="1120">
        <f t="shared" si="61"/>
        <v>21.8</v>
      </c>
      <c r="FF128" s="1120">
        <f t="shared" si="61"/>
        <v>109.7</v>
      </c>
      <c r="FG128" s="1120">
        <f t="shared" si="61"/>
        <v>140.69999999999999</v>
      </c>
      <c r="FH128" s="1120">
        <f t="shared" si="61"/>
        <v>125.7</v>
      </c>
      <c r="FI128" s="1120">
        <f t="shared" si="61"/>
        <v>111.7</v>
      </c>
      <c r="FJ128" s="1120">
        <f t="shared" si="61"/>
        <v>121.7</v>
      </c>
      <c r="FK128" s="1120">
        <f t="shared" si="61"/>
        <v>111.7</v>
      </c>
      <c r="FL128" s="1120">
        <f t="shared" si="61"/>
        <v>100.7</v>
      </c>
      <c r="FM128" s="1120">
        <f t="shared" si="61"/>
        <v>127.7</v>
      </c>
      <c r="FN128" s="1120">
        <f t="shared" si="61"/>
        <v>238.3</v>
      </c>
      <c r="FO128" s="1120">
        <f t="shared" si="61"/>
        <v>32.200000000000003</v>
      </c>
      <c r="FP128" s="1120">
        <f t="shared" si="61"/>
        <v>121.2</v>
      </c>
      <c r="FQ128" s="1120">
        <f t="shared" si="61"/>
        <v>40.200000000000003</v>
      </c>
      <c r="FR128" s="1120">
        <f t="shared" si="61"/>
        <v>29.2</v>
      </c>
      <c r="FS128" s="1120">
        <f t="shared" si="61"/>
        <v>76.2</v>
      </c>
      <c r="FT128" s="1120">
        <f t="shared" si="61"/>
        <v>17.2</v>
      </c>
      <c r="FU128" s="1120">
        <f t="shared" si="61"/>
        <v>82.1</v>
      </c>
      <c r="FV128" s="1120">
        <f t="shared" si="61"/>
        <v>8.3000000000000007</v>
      </c>
      <c r="FW128" s="1120">
        <f t="shared" si="61"/>
        <v>21.1</v>
      </c>
      <c r="FX128" s="1120">
        <f t="shared" si="61"/>
        <v>80.2</v>
      </c>
      <c r="FY128" s="1120">
        <f t="shared" si="61"/>
        <v>20.2</v>
      </c>
      <c r="FZ128" s="1120">
        <f t="shared" ref="FZ128" si="62">FZ127-FZ129-FZ130-FZ131</f>
        <v>32.200000000000003</v>
      </c>
      <c r="GA128" s="1120">
        <f t="shared" si="61"/>
        <v>0</v>
      </c>
      <c r="GB128" s="1121"/>
    </row>
    <row r="129" spans="3:184" s="1129" customFormat="1">
      <c r="C129" s="1122"/>
      <c r="D129" s="1123" t="s">
        <v>2262</v>
      </c>
      <c r="E129" s="1124" t="s">
        <v>2264</v>
      </c>
      <c r="F129" s="1124"/>
      <c r="G129" s="1125"/>
      <c r="H129" s="1125"/>
      <c r="I129" s="1125"/>
      <c r="J129" s="1126">
        <f t="shared" si="38"/>
        <v>751.0999999999998</v>
      </c>
      <c r="K129" s="1668"/>
      <c r="L129" s="1127">
        <f>L127</f>
        <v>1</v>
      </c>
      <c r="M129" s="1127"/>
      <c r="N129" s="1125"/>
      <c r="O129" s="1127">
        <f>O127</f>
        <v>21.4</v>
      </c>
      <c r="P129" s="1127"/>
      <c r="Q129" s="1127"/>
      <c r="R129" s="1127">
        <f>R127-Q127</f>
        <v>6.6999999999999993</v>
      </c>
      <c r="S129" s="1127"/>
      <c r="T129" s="1125"/>
      <c r="U129" s="1127"/>
      <c r="V129" s="1127">
        <f>V127-U127</f>
        <v>17.500000000000007</v>
      </c>
      <c r="W129" s="1125"/>
      <c r="X129" s="1127"/>
      <c r="Y129" s="1125"/>
      <c r="Z129" s="1127">
        <f>Z127-Y127</f>
        <v>18.000000000000007</v>
      </c>
      <c r="AA129" s="1127"/>
      <c r="AB129" s="1125"/>
      <c r="AC129" s="1127">
        <f>AC127-AB130</f>
        <v>12.000000000000004</v>
      </c>
      <c r="AD129" s="1125"/>
      <c r="AE129" s="1127"/>
      <c r="AF129" s="1127">
        <f>AF127-AE127</f>
        <v>6</v>
      </c>
      <c r="AG129" s="1125"/>
      <c r="AH129" s="1125"/>
      <c r="AI129" s="1127">
        <f>AI127-AH127</f>
        <v>7.9999999999999982</v>
      </c>
      <c r="AJ129" s="1127"/>
      <c r="AK129" s="1127">
        <f>AK127</f>
        <v>35.400000000000006</v>
      </c>
      <c r="AL129" s="1125"/>
      <c r="AM129" s="1127">
        <f>AM127</f>
        <v>26.400000000000002</v>
      </c>
      <c r="AN129" s="1125"/>
      <c r="AO129" s="1125"/>
      <c r="AP129" s="1127">
        <f>AP127</f>
        <v>29.400000000000002</v>
      </c>
      <c r="AQ129" s="1125"/>
      <c r="AR129" s="1125"/>
      <c r="AS129" s="1125"/>
      <c r="AT129" s="1125"/>
      <c r="AU129" s="1127">
        <f>AU127-AT127</f>
        <v>13</v>
      </c>
      <c r="AV129" s="1125"/>
      <c r="AW129" s="1125"/>
      <c r="AX129" s="1125"/>
      <c r="AY129" s="1127">
        <f>AY127</f>
        <v>33.4</v>
      </c>
      <c r="AZ129" s="1127"/>
      <c r="BA129" s="1127">
        <f>BA127</f>
        <v>6.1000000000000005</v>
      </c>
      <c r="BB129" s="1127">
        <f>BB127</f>
        <v>30.099999999999998</v>
      </c>
      <c r="BC129" s="1125"/>
      <c r="BD129" s="1125"/>
      <c r="BE129" s="1127">
        <f>BE127</f>
        <v>47.400000000000006</v>
      </c>
      <c r="BF129" s="1125"/>
      <c r="BG129" s="1127">
        <f>BG127</f>
        <v>34.400000000000006</v>
      </c>
      <c r="BH129" s="1125"/>
      <c r="BI129" s="1127">
        <f>BI127</f>
        <v>35.400000000000006</v>
      </c>
      <c r="BJ129" s="1125"/>
      <c r="BK129" s="1127">
        <f>BK127</f>
        <v>18.399999999999999</v>
      </c>
      <c r="BL129" s="1127"/>
      <c r="BM129" s="1125"/>
      <c r="BN129" s="1127">
        <f>BN127-BM127</f>
        <v>20</v>
      </c>
      <c r="BO129" s="1125"/>
      <c r="BP129" s="1127">
        <f>BP127</f>
        <v>15.399999999999999</v>
      </c>
      <c r="BQ129" s="1125"/>
      <c r="BR129" s="1127">
        <f>BR127</f>
        <v>12.4</v>
      </c>
      <c r="BS129" s="1125"/>
      <c r="BT129" s="1127">
        <f>BT127</f>
        <v>35.400000000000006</v>
      </c>
      <c r="BU129" s="1125"/>
      <c r="BV129" s="1127"/>
      <c r="BW129" s="1127">
        <f>BW127</f>
        <v>22.4</v>
      </c>
      <c r="BX129" s="1127">
        <f>BX127</f>
        <v>29.400000000000002</v>
      </c>
      <c r="BY129" s="1125"/>
      <c r="BZ129" s="1127">
        <f>BZ127-CB127</f>
        <v>15.000000000000007</v>
      </c>
      <c r="CA129" s="1125"/>
      <c r="CB129" s="1125"/>
      <c r="CC129" s="1125"/>
      <c r="CD129" s="1127">
        <f>CD127-CC127</f>
        <v>13</v>
      </c>
      <c r="CE129" s="1125"/>
      <c r="CF129" s="1125"/>
      <c r="CG129" s="1125"/>
      <c r="CH129" s="1127">
        <f>CH127</f>
        <v>16.400000000000002</v>
      </c>
      <c r="CI129" s="1125"/>
      <c r="CJ129" s="1125"/>
      <c r="CK129" s="1125"/>
      <c r="CL129" s="1127">
        <f>CL127-CM127</f>
        <v>39</v>
      </c>
      <c r="CM129" s="1125"/>
      <c r="CN129" s="1125"/>
      <c r="CO129" s="1125"/>
      <c r="CP129" s="1125"/>
      <c r="CQ129" s="1125"/>
      <c r="CR129" s="1125"/>
      <c r="CS129" s="1125"/>
      <c r="CT129" s="1125"/>
      <c r="CU129" s="1127">
        <f>CU127</f>
        <v>15.400000000000002</v>
      </c>
      <c r="CV129" s="1125"/>
      <c r="CW129" s="1125"/>
      <c r="CX129" s="1125"/>
      <c r="CY129" s="1125"/>
      <c r="CZ129" s="1127">
        <f>CZ127-DD127</f>
        <v>41</v>
      </c>
      <c r="DA129" s="1125"/>
      <c r="DB129" s="1125"/>
      <c r="DC129" s="1125"/>
      <c r="DD129" s="1125"/>
      <c r="DE129" s="1125"/>
      <c r="DF129" s="1127">
        <f>DF127</f>
        <v>12.3</v>
      </c>
      <c r="DG129" s="1125"/>
      <c r="DH129" s="1127">
        <f>DH127</f>
        <v>16</v>
      </c>
      <c r="DI129" s="1125"/>
      <c r="DJ129" s="1125"/>
      <c r="DK129" s="1127">
        <f>DK127-DJ127</f>
        <v>5</v>
      </c>
      <c r="DL129" s="1125"/>
      <c r="DM129" s="1127">
        <f>DM127</f>
        <v>16</v>
      </c>
      <c r="DN129" s="1125"/>
      <c r="DO129" s="1125"/>
      <c r="DP129" s="1127">
        <f>DP127-DO127</f>
        <v>5</v>
      </c>
      <c r="DQ129" s="1125"/>
      <c r="DR129" s="1127">
        <f>DR127</f>
        <v>10</v>
      </c>
      <c r="DS129" s="1125"/>
      <c r="DT129" s="1125"/>
      <c r="DU129" s="1127">
        <f>DU127-DT127</f>
        <v>6</v>
      </c>
      <c r="DV129" s="1125"/>
      <c r="DW129" s="1127">
        <f>DW127</f>
        <v>6</v>
      </c>
      <c r="DX129" s="1125"/>
      <c r="DY129" s="1125"/>
      <c r="DZ129" s="1125"/>
      <c r="EA129" s="1125"/>
      <c r="EB129" s="1125"/>
      <c r="EC129" s="1125"/>
      <c r="ED129" s="1125"/>
      <c r="EE129" s="1125"/>
      <c r="EF129" s="1125"/>
      <c r="EG129" s="1125"/>
      <c r="EH129" s="1125"/>
      <c r="EI129" s="1125"/>
      <c r="EJ129" s="1125"/>
      <c r="EK129" s="1125"/>
      <c r="EL129" s="1125"/>
      <c r="EM129" s="1125"/>
      <c r="EN129" s="1125"/>
      <c r="EO129" s="1125"/>
      <c r="EP129" s="1125"/>
      <c r="EQ129" s="1125"/>
      <c r="ER129" s="1125"/>
      <c r="ES129" s="1125"/>
      <c r="ET129" s="1125"/>
      <c r="EU129" s="1125"/>
      <c r="EV129" s="1125"/>
      <c r="EW129" s="1125"/>
      <c r="EX129" s="1125"/>
      <c r="EY129" s="1125"/>
      <c r="EZ129" s="1125"/>
      <c r="FA129" s="1125"/>
      <c r="FB129" s="1125"/>
      <c r="FC129" s="1125"/>
      <c r="FD129" s="1125"/>
      <c r="FE129" s="1125"/>
      <c r="FF129" s="1125"/>
      <c r="FG129" s="1125"/>
      <c r="FH129" s="1125"/>
      <c r="FI129" s="1125"/>
      <c r="FJ129" s="1125"/>
      <c r="FK129" s="1125"/>
      <c r="FL129" s="1125"/>
      <c r="FM129" s="1125"/>
      <c r="FN129" s="1125"/>
      <c r="FO129" s="1125"/>
      <c r="FP129" s="1125"/>
      <c r="FQ129" s="1125"/>
      <c r="FR129" s="1125"/>
      <c r="FS129" s="1125"/>
      <c r="FT129" s="1125"/>
      <c r="FU129" s="1125"/>
      <c r="FV129" s="1125"/>
      <c r="FW129" s="1125"/>
      <c r="FX129" s="1125"/>
      <c r="FY129" s="1125"/>
      <c r="FZ129" s="1125"/>
      <c r="GA129" s="1125"/>
      <c r="GB129" s="1128"/>
    </row>
    <row r="130" spans="3:184" s="1009" customFormat="1">
      <c r="C130" s="1157"/>
      <c r="D130" s="1130" t="s">
        <v>2262</v>
      </c>
      <c r="E130" s="1131" t="s">
        <v>2265</v>
      </c>
      <c r="F130" s="1131"/>
      <c r="G130" s="1134"/>
      <c r="H130" s="1134"/>
      <c r="I130" s="1134"/>
      <c r="J130" s="1134">
        <f t="shared" si="38"/>
        <v>350.90000000000003</v>
      </c>
      <c r="K130" s="1669"/>
      <c r="L130" s="1134"/>
      <c r="M130" s="1134"/>
      <c r="N130" s="1134"/>
      <c r="O130" s="1134"/>
      <c r="P130" s="1134"/>
      <c r="Q130" s="1147">
        <f>Q127</f>
        <v>7.3999999999999986</v>
      </c>
      <c r="R130" s="1134"/>
      <c r="S130" s="1134"/>
      <c r="T130" s="1134"/>
      <c r="U130" s="1147">
        <f>U127-T127</f>
        <v>3</v>
      </c>
      <c r="V130" s="1134"/>
      <c r="W130" s="1134"/>
      <c r="X130" s="1134"/>
      <c r="Y130" s="1147">
        <f>Y127-X127</f>
        <v>2.5</v>
      </c>
      <c r="Z130" s="1134"/>
      <c r="AA130" s="1134"/>
      <c r="AB130" s="1147">
        <f>AB127</f>
        <v>19.399999999999999</v>
      </c>
      <c r="AC130" s="1134"/>
      <c r="AD130" s="1134"/>
      <c r="AE130" s="1147">
        <f>AE127</f>
        <v>7.4</v>
      </c>
      <c r="AF130" s="1134"/>
      <c r="AG130" s="1134"/>
      <c r="AH130" s="1147">
        <f>AH127</f>
        <v>14.4</v>
      </c>
      <c r="AI130" s="1134"/>
      <c r="AJ130" s="1134"/>
      <c r="AK130" s="1134"/>
      <c r="AL130" s="1134"/>
      <c r="AM130" s="1134"/>
      <c r="AN130" s="1134"/>
      <c r="AO130" s="1134"/>
      <c r="AP130" s="1134"/>
      <c r="AQ130" s="1147">
        <f>AQ127</f>
        <v>24.400000000000002</v>
      </c>
      <c r="AR130" s="1134"/>
      <c r="AS130" s="1134"/>
      <c r="AT130" s="1147">
        <f>AT127</f>
        <v>6.3999999999999986</v>
      </c>
      <c r="AU130" s="1134"/>
      <c r="AV130" s="1134"/>
      <c r="AW130" s="1134"/>
      <c r="AX130" s="1134"/>
      <c r="AY130" s="1134"/>
      <c r="AZ130" s="1134"/>
      <c r="BA130" s="1134"/>
      <c r="BB130" s="1134"/>
      <c r="BC130" s="1134"/>
      <c r="BD130" s="1134"/>
      <c r="BE130" s="1134"/>
      <c r="BF130" s="1134"/>
      <c r="BG130" s="1134"/>
      <c r="BH130" s="1134"/>
      <c r="BI130" s="1134"/>
      <c r="BJ130" s="1134"/>
      <c r="BK130" s="1134"/>
      <c r="BL130" s="1134"/>
      <c r="BM130" s="1147">
        <f>BM127</f>
        <v>8.4</v>
      </c>
      <c r="BN130" s="1134"/>
      <c r="BO130" s="1134"/>
      <c r="BP130" s="1134"/>
      <c r="BQ130" s="1134"/>
      <c r="BR130" s="1134"/>
      <c r="BS130" s="1134"/>
      <c r="BT130" s="1134"/>
      <c r="BU130" s="1134"/>
      <c r="BV130" s="1134"/>
      <c r="BW130" s="1134"/>
      <c r="BX130" s="1134"/>
      <c r="BY130" s="1134"/>
      <c r="BZ130" s="1134"/>
      <c r="CA130" s="1134"/>
      <c r="CB130" s="1147">
        <f>CB127</f>
        <v>22.4</v>
      </c>
      <c r="CC130" s="1147">
        <f>CC127</f>
        <v>7.3999999999999986</v>
      </c>
      <c r="CD130" s="1134"/>
      <c r="CE130" s="1134"/>
      <c r="CF130" s="1134"/>
      <c r="CG130" s="1134"/>
      <c r="CH130" s="1134"/>
      <c r="CI130" s="1134"/>
      <c r="CJ130" s="1134"/>
      <c r="CK130" s="1134"/>
      <c r="CL130" s="1134"/>
      <c r="CM130" s="1147">
        <f>CM127</f>
        <v>48.400000000000006</v>
      </c>
      <c r="CN130" s="1134"/>
      <c r="CO130" s="1147">
        <f>CO127-CP127</f>
        <v>33</v>
      </c>
      <c r="CP130" s="1134"/>
      <c r="CQ130" s="1134"/>
      <c r="CR130" s="1134"/>
      <c r="CS130" s="1134"/>
      <c r="CT130" s="1134"/>
      <c r="CU130" s="1134"/>
      <c r="CV130" s="1134"/>
      <c r="CW130" s="1147">
        <f>CW127-DB127</f>
        <v>33</v>
      </c>
      <c r="CX130" s="1134"/>
      <c r="CY130" s="1134"/>
      <c r="CZ130" s="1134"/>
      <c r="DA130" s="1134"/>
      <c r="DB130" s="1134"/>
      <c r="DC130" s="1134"/>
      <c r="DD130" s="1147">
        <f>DD127</f>
        <v>44.400000000000006</v>
      </c>
      <c r="DE130" s="1134"/>
      <c r="DF130" s="1134"/>
      <c r="DG130" s="1134"/>
      <c r="DH130" s="1134"/>
      <c r="DI130" s="1134"/>
      <c r="DJ130" s="1147">
        <f>DJ127</f>
        <v>24</v>
      </c>
      <c r="DK130" s="1134"/>
      <c r="DL130" s="1134"/>
      <c r="DM130" s="1134"/>
      <c r="DN130" s="1134"/>
      <c r="DO130" s="1147">
        <f>DO127</f>
        <v>24</v>
      </c>
      <c r="DP130" s="1134"/>
      <c r="DQ130" s="1134"/>
      <c r="DR130" s="1134"/>
      <c r="DS130" s="1134"/>
      <c r="DT130" s="1147">
        <f>DT127</f>
        <v>21</v>
      </c>
      <c r="DU130" s="1134"/>
      <c r="DV130" s="1134"/>
      <c r="DW130" s="1134"/>
      <c r="DX130" s="1134"/>
      <c r="DY130" s="1134"/>
      <c r="DZ130" s="1134"/>
      <c r="EA130" s="1134"/>
      <c r="EB130" s="1134"/>
      <c r="EC130" s="1134"/>
      <c r="ED130" s="1134"/>
      <c r="EE130" s="1134"/>
      <c r="EF130" s="1134"/>
      <c r="EG130" s="1134"/>
      <c r="EH130" s="1134"/>
      <c r="EI130" s="1134"/>
      <c r="EJ130" s="1134"/>
      <c r="EK130" s="1134"/>
      <c r="EL130" s="1134"/>
      <c r="EM130" s="1134"/>
      <c r="EN130" s="1134"/>
      <c r="EO130" s="1134"/>
      <c r="EP130" s="1134"/>
      <c r="EQ130" s="1134"/>
      <c r="ER130" s="1134"/>
      <c r="ES130" s="1134"/>
      <c r="ET130" s="1134"/>
      <c r="EU130" s="1134"/>
      <c r="EV130" s="1134"/>
      <c r="EW130" s="1134"/>
      <c r="EX130" s="1134"/>
      <c r="EY130" s="1134"/>
      <c r="EZ130" s="1134"/>
      <c r="FA130" s="1134"/>
      <c r="FB130" s="1134"/>
      <c r="FC130" s="1134"/>
      <c r="FD130" s="1134"/>
      <c r="FE130" s="1134"/>
      <c r="FF130" s="1134"/>
      <c r="FG130" s="1134"/>
      <c r="FH130" s="1134"/>
      <c r="FI130" s="1134"/>
      <c r="FJ130" s="1134"/>
      <c r="FK130" s="1134"/>
      <c r="FL130" s="1134"/>
      <c r="FM130" s="1134"/>
      <c r="FN130" s="1134"/>
      <c r="FO130" s="1134"/>
      <c r="FP130" s="1134"/>
      <c r="FQ130" s="1134"/>
      <c r="FR130" s="1134"/>
      <c r="FS130" s="1134"/>
      <c r="FT130" s="1134"/>
      <c r="FU130" s="1134"/>
      <c r="FV130" s="1134"/>
      <c r="FW130" s="1134"/>
      <c r="FX130" s="1134"/>
      <c r="FY130" s="1134"/>
      <c r="FZ130" s="1134"/>
      <c r="GA130" s="1134"/>
      <c r="GB130" s="1158"/>
    </row>
    <row r="131" spans="3:184" s="1581" customFormat="1">
      <c r="C131" s="1579"/>
      <c r="D131" s="1137" t="s">
        <v>2266</v>
      </c>
      <c r="E131" s="1138" t="s">
        <v>2267</v>
      </c>
      <c r="F131" s="1138"/>
      <c r="G131" s="1139"/>
      <c r="H131" s="1139"/>
      <c r="I131" s="1139"/>
      <c r="J131" s="1139">
        <f t="shared" si="38"/>
        <v>72.100000000000009</v>
      </c>
      <c r="K131" s="1670"/>
      <c r="L131" s="1139"/>
      <c r="M131" s="1139"/>
      <c r="N131" s="1139"/>
      <c r="O131" s="1139"/>
      <c r="P131" s="1139"/>
      <c r="Q131" s="1139"/>
      <c r="R131" s="1139"/>
      <c r="S131" s="1139"/>
      <c r="T131" s="1136">
        <f>T127</f>
        <v>19.899999999999999</v>
      </c>
      <c r="U131" s="1139"/>
      <c r="V131" s="1139"/>
      <c r="W131" s="1139"/>
      <c r="X131" s="1136">
        <f>X127</f>
        <v>19.399999999999999</v>
      </c>
      <c r="Y131" s="1139"/>
      <c r="Z131" s="1139"/>
      <c r="AA131" s="1139"/>
      <c r="AB131" s="1139"/>
      <c r="AC131" s="1139"/>
      <c r="AD131" s="1139"/>
      <c r="AE131" s="1139"/>
      <c r="AF131" s="1139"/>
      <c r="AG131" s="1139"/>
      <c r="AH131" s="1139"/>
      <c r="AI131" s="1139"/>
      <c r="AJ131" s="1139"/>
      <c r="AK131" s="1139"/>
      <c r="AL131" s="1139"/>
      <c r="AM131" s="1139"/>
      <c r="AN131" s="1139"/>
      <c r="AO131" s="1139"/>
      <c r="AP131" s="1139"/>
      <c r="AQ131" s="1139"/>
      <c r="AR131" s="1139"/>
      <c r="AS131" s="1139"/>
      <c r="AT131" s="1139"/>
      <c r="AU131" s="1139"/>
      <c r="AV131" s="1139"/>
      <c r="AW131" s="1139"/>
      <c r="AX131" s="1139"/>
      <c r="AY131" s="1139"/>
      <c r="AZ131" s="1139"/>
      <c r="BA131" s="1139"/>
      <c r="BB131" s="1139"/>
      <c r="BC131" s="1139"/>
      <c r="BD131" s="1139"/>
      <c r="BE131" s="1139"/>
      <c r="BF131" s="1139"/>
      <c r="BG131" s="1139"/>
      <c r="BH131" s="1139"/>
      <c r="BI131" s="1139"/>
      <c r="BJ131" s="1139"/>
      <c r="BK131" s="1139"/>
      <c r="BL131" s="1139"/>
      <c r="BM131" s="1139"/>
      <c r="BN131" s="1139"/>
      <c r="BO131" s="1139"/>
      <c r="BP131" s="1139"/>
      <c r="BQ131" s="1139"/>
      <c r="BR131" s="1139"/>
      <c r="BS131" s="1139"/>
      <c r="BT131" s="1139"/>
      <c r="BU131" s="1139"/>
      <c r="BV131" s="1139"/>
      <c r="BW131" s="1139"/>
      <c r="BX131" s="1139"/>
      <c r="BY131" s="1139"/>
      <c r="BZ131" s="1139"/>
      <c r="CA131" s="1139"/>
      <c r="CB131" s="1139"/>
      <c r="CC131" s="1139"/>
      <c r="CD131" s="1139"/>
      <c r="CE131" s="1139"/>
      <c r="CF131" s="1139"/>
      <c r="CG131" s="1139"/>
      <c r="CH131" s="1139"/>
      <c r="CI131" s="1139"/>
      <c r="CJ131" s="1139"/>
      <c r="CK131" s="1139"/>
      <c r="CL131" s="1139"/>
      <c r="CM131" s="1139"/>
      <c r="CN131" s="1139"/>
      <c r="CO131" s="1139"/>
      <c r="CP131" s="1136">
        <f>CP127</f>
        <v>16.400000000000002</v>
      </c>
      <c r="CQ131" s="1139"/>
      <c r="CR131" s="1139"/>
      <c r="CS131" s="1139"/>
      <c r="CT131" s="1139"/>
      <c r="CU131" s="1139"/>
      <c r="CV131" s="1139"/>
      <c r="CW131" s="1139"/>
      <c r="CX131" s="1139"/>
      <c r="CY131" s="1139"/>
      <c r="CZ131" s="1139"/>
      <c r="DA131" s="1139"/>
      <c r="DB131" s="1136">
        <f>DB127</f>
        <v>16.400000000000002</v>
      </c>
      <c r="DC131" s="1139"/>
      <c r="DD131" s="1139"/>
      <c r="DE131" s="1139"/>
      <c r="DF131" s="1139"/>
      <c r="DG131" s="1139"/>
      <c r="DH131" s="1139"/>
      <c r="DI131" s="1139"/>
      <c r="DJ131" s="1139"/>
      <c r="DK131" s="1139"/>
      <c r="DL131" s="1139"/>
      <c r="DM131" s="1139"/>
      <c r="DN131" s="1139"/>
      <c r="DO131" s="1139"/>
      <c r="DP131" s="1139"/>
      <c r="DQ131" s="1139"/>
      <c r="DR131" s="1139"/>
      <c r="DS131" s="1139"/>
      <c r="DT131" s="1139"/>
      <c r="DU131" s="1139"/>
      <c r="DV131" s="1139"/>
      <c r="DW131" s="1139"/>
      <c r="DX131" s="1139"/>
      <c r="DY131" s="1139"/>
      <c r="DZ131" s="1139"/>
      <c r="EA131" s="1139"/>
      <c r="EB131" s="1139"/>
      <c r="EC131" s="1139"/>
      <c r="ED131" s="1139"/>
      <c r="EE131" s="1139"/>
      <c r="EF131" s="1139"/>
      <c r="EG131" s="1139"/>
      <c r="EH131" s="1139"/>
      <c r="EI131" s="1139"/>
      <c r="EJ131" s="1139"/>
      <c r="EK131" s="1139"/>
      <c r="EL131" s="1139"/>
      <c r="EM131" s="1139"/>
      <c r="EN131" s="1139"/>
      <c r="EO131" s="1139"/>
      <c r="EP131" s="1139"/>
      <c r="EQ131" s="1139"/>
      <c r="ER131" s="1139"/>
      <c r="ES131" s="1139"/>
      <c r="ET131" s="1139"/>
      <c r="EU131" s="1139"/>
      <c r="EV131" s="1139"/>
      <c r="EW131" s="1139"/>
      <c r="EX131" s="1139"/>
      <c r="EY131" s="1139"/>
      <c r="EZ131" s="1139"/>
      <c r="FA131" s="1139"/>
      <c r="FB131" s="1139"/>
      <c r="FC131" s="1139"/>
      <c r="FD131" s="1139"/>
      <c r="FE131" s="1139"/>
      <c r="FF131" s="1139"/>
      <c r="FG131" s="1139"/>
      <c r="FH131" s="1139"/>
      <c r="FI131" s="1139"/>
      <c r="FJ131" s="1139"/>
      <c r="FK131" s="1139"/>
      <c r="FL131" s="1139"/>
      <c r="FM131" s="1139"/>
      <c r="FN131" s="1139"/>
      <c r="FO131" s="1139"/>
      <c r="FP131" s="1139"/>
      <c r="FQ131" s="1139"/>
      <c r="FR131" s="1139"/>
      <c r="FS131" s="1139"/>
      <c r="FT131" s="1139"/>
      <c r="FU131" s="1139"/>
      <c r="FV131" s="1139"/>
      <c r="FW131" s="1139"/>
      <c r="FX131" s="1139"/>
      <c r="FY131" s="1139"/>
      <c r="FZ131" s="1139"/>
      <c r="GA131" s="1139"/>
      <c r="GB131" s="1580"/>
    </row>
    <row r="132" spans="3:184">
      <c r="C132" s="1115"/>
      <c r="D132" s="1117"/>
      <c r="E132" s="1117" t="s">
        <v>1611</v>
      </c>
      <c r="F132" s="1117"/>
      <c r="G132" s="1118"/>
      <c r="H132" s="1118"/>
      <c r="I132" s="1118"/>
      <c r="J132" s="1119">
        <f t="shared" si="38"/>
        <v>5137.2999999999984</v>
      </c>
      <c r="K132" s="1120"/>
      <c r="L132" s="1120">
        <f t="shared" ref="L132:EH132" si="63">SUM(L128:L131)</f>
        <v>1</v>
      </c>
      <c r="M132" s="1120">
        <f t="shared" si="63"/>
        <v>1</v>
      </c>
      <c r="N132" s="1120">
        <f t="shared" si="63"/>
        <v>10.4</v>
      </c>
      <c r="O132" s="1120">
        <f t="shared" si="63"/>
        <v>21.4</v>
      </c>
      <c r="P132" s="1120">
        <f t="shared" si="63"/>
        <v>4</v>
      </c>
      <c r="Q132" s="1120">
        <f t="shared" si="63"/>
        <v>7.3999999999999986</v>
      </c>
      <c r="R132" s="1120">
        <f t="shared" si="63"/>
        <v>6.6999999999999993</v>
      </c>
      <c r="S132" s="1120">
        <f t="shared" si="63"/>
        <v>7.3000000000000007</v>
      </c>
      <c r="T132" s="1120">
        <f t="shared" si="63"/>
        <v>19.899999999999999</v>
      </c>
      <c r="U132" s="1120">
        <f t="shared" si="63"/>
        <v>3</v>
      </c>
      <c r="V132" s="1120">
        <f t="shared" si="63"/>
        <v>17.500000000000007</v>
      </c>
      <c r="W132" s="1120">
        <f t="shared" si="63"/>
        <v>2</v>
      </c>
      <c r="X132" s="1120">
        <f t="shared" si="63"/>
        <v>19.399999999999999</v>
      </c>
      <c r="Y132" s="1120">
        <f t="shared" si="63"/>
        <v>2.5</v>
      </c>
      <c r="Z132" s="1120">
        <f t="shared" si="63"/>
        <v>18.000000000000007</v>
      </c>
      <c r="AA132" s="1120">
        <f t="shared" si="63"/>
        <v>2.5</v>
      </c>
      <c r="AB132" s="1120">
        <f t="shared" si="63"/>
        <v>19.399999999999999</v>
      </c>
      <c r="AC132" s="1120">
        <f t="shared" si="63"/>
        <v>12.000000000000004</v>
      </c>
      <c r="AD132" s="1120">
        <f t="shared" si="63"/>
        <v>12.000000000000004</v>
      </c>
      <c r="AE132" s="1120">
        <f t="shared" si="63"/>
        <v>7.4</v>
      </c>
      <c r="AF132" s="1120">
        <f t="shared" si="63"/>
        <v>6</v>
      </c>
      <c r="AG132" s="1120">
        <f t="shared" si="63"/>
        <v>17</v>
      </c>
      <c r="AH132" s="1120">
        <f t="shared" si="63"/>
        <v>14.4</v>
      </c>
      <c r="AI132" s="1120">
        <f t="shared" si="63"/>
        <v>7.9999999999999982</v>
      </c>
      <c r="AJ132" s="1120">
        <f t="shared" si="63"/>
        <v>20.5</v>
      </c>
      <c r="AK132" s="1120">
        <f t="shared" ref="AK132:AM132" si="64">SUM(AK128:AK131)</f>
        <v>35.400000000000006</v>
      </c>
      <c r="AL132" s="1120">
        <f t="shared" si="64"/>
        <v>33</v>
      </c>
      <c r="AM132" s="1120">
        <f t="shared" si="64"/>
        <v>26.400000000000002</v>
      </c>
      <c r="AN132" s="1120">
        <f t="shared" ref="AN132:BP132" si="65">SUM(AN128:AN131)</f>
        <v>2</v>
      </c>
      <c r="AO132" s="1120">
        <f t="shared" si="65"/>
        <v>2</v>
      </c>
      <c r="AP132" s="1120">
        <f t="shared" si="65"/>
        <v>29.400000000000002</v>
      </c>
      <c r="AQ132" s="1120">
        <f t="shared" si="65"/>
        <v>24.400000000000002</v>
      </c>
      <c r="AR132" s="1120">
        <f t="shared" si="65"/>
        <v>2</v>
      </c>
      <c r="AS132" s="1120">
        <f t="shared" si="65"/>
        <v>50</v>
      </c>
      <c r="AT132" s="1120">
        <f t="shared" si="65"/>
        <v>6.3999999999999986</v>
      </c>
      <c r="AU132" s="1120">
        <f t="shared" si="65"/>
        <v>13</v>
      </c>
      <c r="AV132" s="1120">
        <f t="shared" si="65"/>
        <v>48.000000000000007</v>
      </c>
      <c r="AW132" s="1120">
        <f t="shared" si="65"/>
        <v>11.4</v>
      </c>
      <c r="AX132" s="1120">
        <f t="shared" si="65"/>
        <v>11.4</v>
      </c>
      <c r="AY132" s="1120">
        <f t="shared" si="65"/>
        <v>33.4</v>
      </c>
      <c r="AZ132" s="1120">
        <f t="shared" si="65"/>
        <v>35.000000000000007</v>
      </c>
      <c r="BA132" s="1120">
        <f t="shared" si="65"/>
        <v>6.1000000000000005</v>
      </c>
      <c r="BB132" s="1120">
        <f t="shared" si="65"/>
        <v>30.099999999999998</v>
      </c>
      <c r="BC132" s="1120">
        <f t="shared" ref="BC132" si="66">SUM(BC128:BC131)</f>
        <v>40.000000000000014</v>
      </c>
      <c r="BD132" s="1120">
        <f t="shared" si="65"/>
        <v>30.6</v>
      </c>
      <c r="BE132" s="1120">
        <f t="shared" si="65"/>
        <v>47.400000000000006</v>
      </c>
      <c r="BF132" s="1120">
        <f t="shared" si="65"/>
        <v>44</v>
      </c>
      <c r="BG132" s="1120">
        <f t="shared" si="65"/>
        <v>34.400000000000006</v>
      </c>
      <c r="BH132" s="1120">
        <f t="shared" si="65"/>
        <v>44</v>
      </c>
      <c r="BI132" s="1120">
        <f t="shared" si="65"/>
        <v>35.400000000000006</v>
      </c>
      <c r="BJ132" s="1120">
        <f t="shared" si="65"/>
        <v>50</v>
      </c>
      <c r="BK132" s="1120">
        <f t="shared" si="65"/>
        <v>18.399999999999999</v>
      </c>
      <c r="BL132" s="1120">
        <f t="shared" si="65"/>
        <v>47.000000000000007</v>
      </c>
      <c r="BM132" s="1120">
        <f t="shared" si="65"/>
        <v>8.4</v>
      </c>
      <c r="BN132" s="1120">
        <f t="shared" si="65"/>
        <v>20</v>
      </c>
      <c r="BO132" s="1120">
        <f t="shared" si="65"/>
        <v>14</v>
      </c>
      <c r="BP132" s="1120">
        <f t="shared" si="65"/>
        <v>15.399999999999999</v>
      </c>
      <c r="BQ132" s="1120">
        <f t="shared" ref="BQ132:EA132" si="67">SUM(BQ128:BQ131)</f>
        <v>20</v>
      </c>
      <c r="BR132" s="1120">
        <f t="shared" si="67"/>
        <v>12.4</v>
      </c>
      <c r="BS132" s="1120">
        <f t="shared" si="67"/>
        <v>17</v>
      </c>
      <c r="BT132" s="1120">
        <f t="shared" si="67"/>
        <v>35.400000000000006</v>
      </c>
      <c r="BU132" s="1120">
        <f t="shared" si="67"/>
        <v>33</v>
      </c>
      <c r="BV132" s="1120">
        <f t="shared" si="67"/>
        <v>14.000000000000007</v>
      </c>
      <c r="BW132" s="1120">
        <f t="shared" si="67"/>
        <v>22.4</v>
      </c>
      <c r="BX132" s="1120">
        <f t="shared" si="67"/>
        <v>29.400000000000002</v>
      </c>
      <c r="BY132" s="1120">
        <f t="shared" si="67"/>
        <v>2</v>
      </c>
      <c r="BZ132" s="1120">
        <f t="shared" si="67"/>
        <v>15.000000000000007</v>
      </c>
      <c r="CA132" s="1120">
        <f t="shared" si="67"/>
        <v>48</v>
      </c>
      <c r="CB132" s="1120">
        <f t="shared" si="67"/>
        <v>22.4</v>
      </c>
      <c r="CC132" s="1120">
        <f t="shared" si="67"/>
        <v>7.3999999999999986</v>
      </c>
      <c r="CD132" s="1120">
        <f t="shared" si="67"/>
        <v>13</v>
      </c>
      <c r="CE132" s="1120">
        <f t="shared" si="67"/>
        <v>47.000000000000007</v>
      </c>
      <c r="CF132" s="1120">
        <f t="shared" si="67"/>
        <v>7.4</v>
      </c>
      <c r="CG132" s="1120">
        <f t="shared" ref="CG132:CI132" si="68">SUM(CG128:CG131)</f>
        <v>10.4</v>
      </c>
      <c r="CH132" s="1120">
        <f t="shared" si="68"/>
        <v>16.400000000000002</v>
      </c>
      <c r="CI132" s="1120">
        <f t="shared" si="68"/>
        <v>35</v>
      </c>
      <c r="CJ132" s="1120">
        <f t="shared" ref="CJ132:CO132" si="69">SUM(CJ128:CJ131)</f>
        <v>0</v>
      </c>
      <c r="CK132" s="1120">
        <f t="shared" si="69"/>
        <v>11</v>
      </c>
      <c r="CL132" s="1120">
        <f t="shared" si="69"/>
        <v>39</v>
      </c>
      <c r="CM132" s="1120">
        <f t="shared" si="69"/>
        <v>48.400000000000006</v>
      </c>
      <c r="CN132" s="1120">
        <f t="shared" si="69"/>
        <v>2.0000000000000036</v>
      </c>
      <c r="CO132" s="1120">
        <f t="shared" si="69"/>
        <v>33</v>
      </c>
      <c r="CP132" s="1120">
        <f t="shared" ref="CP132:DA132" si="70">SUM(CP128:CP131)</f>
        <v>16.400000000000002</v>
      </c>
      <c r="CQ132" s="1120">
        <f t="shared" si="70"/>
        <v>5.8999999999999986</v>
      </c>
      <c r="CR132" s="1120">
        <f t="shared" si="70"/>
        <v>7.4</v>
      </c>
      <c r="CS132" s="1120">
        <f t="shared" si="70"/>
        <v>10.4</v>
      </c>
      <c r="CT132" s="1120">
        <f t="shared" si="70"/>
        <v>13.1</v>
      </c>
      <c r="CU132" s="1120">
        <f t="shared" si="70"/>
        <v>15.400000000000002</v>
      </c>
      <c r="CV132" s="1120">
        <f t="shared" si="70"/>
        <v>39</v>
      </c>
      <c r="CW132" s="1120">
        <f t="shared" si="70"/>
        <v>33</v>
      </c>
      <c r="CX132" s="1120">
        <f t="shared" si="70"/>
        <v>2</v>
      </c>
      <c r="CY132" s="1120">
        <f t="shared" si="70"/>
        <v>11</v>
      </c>
      <c r="CZ132" s="1120">
        <f t="shared" si="70"/>
        <v>41</v>
      </c>
      <c r="DA132" s="1120">
        <f t="shared" si="70"/>
        <v>2</v>
      </c>
      <c r="DB132" s="1120">
        <f t="shared" ref="DB132:DM132" si="71">SUM(DB128:DB131)</f>
        <v>16.400000000000002</v>
      </c>
      <c r="DC132" s="1120">
        <f t="shared" si="71"/>
        <v>6.3999999999999986</v>
      </c>
      <c r="DD132" s="1120">
        <f t="shared" si="71"/>
        <v>44.400000000000006</v>
      </c>
      <c r="DE132" s="1120">
        <f t="shared" si="71"/>
        <v>7.4</v>
      </c>
      <c r="DF132" s="1120">
        <f t="shared" si="71"/>
        <v>12.3</v>
      </c>
      <c r="DG132" s="1120">
        <f t="shared" si="71"/>
        <v>6</v>
      </c>
      <c r="DH132" s="1120">
        <f t="shared" si="71"/>
        <v>16</v>
      </c>
      <c r="DI132" s="1120">
        <f t="shared" si="71"/>
        <v>5</v>
      </c>
      <c r="DJ132" s="1120">
        <f t="shared" si="71"/>
        <v>24</v>
      </c>
      <c r="DK132" s="1120">
        <f t="shared" si="71"/>
        <v>5</v>
      </c>
      <c r="DL132" s="1120">
        <f t="shared" si="71"/>
        <v>5</v>
      </c>
      <c r="DM132" s="1120">
        <f t="shared" si="71"/>
        <v>16</v>
      </c>
      <c r="DN132" s="1120">
        <f t="shared" ref="DN132:DX132" si="72">SUM(DN128:DN131)</f>
        <v>5</v>
      </c>
      <c r="DO132" s="1120">
        <f t="shared" si="72"/>
        <v>24</v>
      </c>
      <c r="DP132" s="1120">
        <f t="shared" si="72"/>
        <v>5</v>
      </c>
      <c r="DQ132" s="1120">
        <f t="shared" si="72"/>
        <v>5</v>
      </c>
      <c r="DR132" s="1120">
        <f t="shared" si="72"/>
        <v>10</v>
      </c>
      <c r="DS132" s="1120">
        <f t="shared" si="72"/>
        <v>7</v>
      </c>
      <c r="DT132" s="1120">
        <f t="shared" si="72"/>
        <v>21</v>
      </c>
      <c r="DU132" s="1120">
        <f t="shared" si="72"/>
        <v>6</v>
      </c>
      <c r="DV132" s="1120">
        <f t="shared" si="72"/>
        <v>7</v>
      </c>
      <c r="DW132" s="1120">
        <f t="shared" si="72"/>
        <v>6</v>
      </c>
      <c r="DX132" s="1120">
        <f t="shared" si="72"/>
        <v>1</v>
      </c>
      <c r="DY132" s="1120">
        <f t="shared" ref="DY132" si="73">SUM(DY128:DY131)</f>
        <v>5.0999999999999996</v>
      </c>
      <c r="DZ132" s="1120">
        <f t="shared" ref="DZ132" si="74">SUM(DZ128:DZ131)</f>
        <v>5.0999999999999996</v>
      </c>
      <c r="EA132" s="1120">
        <f t="shared" si="67"/>
        <v>5.0999999999999996</v>
      </c>
      <c r="EB132" s="1120">
        <f t="shared" ref="EB132:EF132" si="75">SUM(EB128:EB131)</f>
        <v>5.0999999999999996</v>
      </c>
      <c r="EC132" s="1120">
        <f t="shared" si="75"/>
        <v>5.0999999999999996</v>
      </c>
      <c r="ED132" s="1120">
        <f t="shared" ref="ED132" si="76">SUM(ED128:ED131)</f>
        <v>5.0999999999999996</v>
      </c>
      <c r="EE132" s="1120">
        <f t="shared" si="75"/>
        <v>5.0999999999999996</v>
      </c>
      <c r="EF132" s="1120">
        <f t="shared" si="75"/>
        <v>5.0999999999999996</v>
      </c>
      <c r="EG132" s="1120">
        <f t="shared" si="63"/>
        <v>123</v>
      </c>
      <c r="EH132" s="1120">
        <f t="shared" si="63"/>
        <v>93.8</v>
      </c>
      <c r="EI132" s="1120">
        <f t="shared" ref="EI132:EK132" si="77">SUM(EI128:EI131)</f>
        <v>17.3</v>
      </c>
      <c r="EJ132" s="1120">
        <f t="shared" ref="EJ132" si="78">SUM(EJ128:EJ131)</f>
        <v>16.399999999999999</v>
      </c>
      <c r="EK132" s="1120">
        <f t="shared" si="77"/>
        <v>0</v>
      </c>
      <c r="EL132" s="1120">
        <f t="shared" ref="EL132:EM132" si="79">SUM(EL128:EL131)</f>
        <v>0</v>
      </c>
      <c r="EM132" s="1120">
        <f t="shared" si="79"/>
        <v>0</v>
      </c>
      <c r="EN132" s="1120">
        <f t="shared" ref="EN132:FI132" si="80">SUM(EN128:EN131)</f>
        <v>0</v>
      </c>
      <c r="EO132" s="1120">
        <f t="shared" si="80"/>
        <v>19.2</v>
      </c>
      <c r="EP132" s="1120">
        <f t="shared" ref="EP132:EV132" si="81">SUM(EP128:EP131)</f>
        <v>20.2</v>
      </c>
      <c r="EQ132" s="1120">
        <f t="shared" si="81"/>
        <v>50.2</v>
      </c>
      <c r="ER132" s="1120">
        <f t="shared" si="81"/>
        <v>72.2</v>
      </c>
      <c r="ES132" s="1120"/>
      <c r="ET132" s="1120">
        <f t="shared" si="81"/>
        <v>62.2</v>
      </c>
      <c r="EU132" s="1120">
        <f t="shared" si="81"/>
        <v>102.1</v>
      </c>
      <c r="EV132" s="1120">
        <f t="shared" si="81"/>
        <v>107.80000000000001</v>
      </c>
      <c r="EW132" s="1120">
        <f>SUM(EW128:EW131)</f>
        <v>69.2</v>
      </c>
      <c r="EX132" s="1120">
        <f>SUM(EX128:EX131)</f>
        <v>72.2</v>
      </c>
      <c r="EY132" s="1120">
        <f>SUM(EY128:EY131)</f>
        <v>111.2</v>
      </c>
      <c r="EZ132" s="1120">
        <f t="shared" ref="EZ132:FC132" si="82">SUM(EZ128:EZ131)</f>
        <v>0</v>
      </c>
      <c r="FA132" s="1120">
        <f t="shared" si="82"/>
        <v>20.2</v>
      </c>
      <c r="FB132" s="1120">
        <f t="shared" si="82"/>
        <v>101.2</v>
      </c>
      <c r="FC132" s="1120">
        <f t="shared" si="82"/>
        <v>45.2</v>
      </c>
      <c r="FD132" s="1120">
        <f t="shared" si="80"/>
        <v>115.3</v>
      </c>
      <c r="FE132" s="1120">
        <f t="shared" si="80"/>
        <v>21.8</v>
      </c>
      <c r="FF132" s="1120">
        <f t="shared" si="80"/>
        <v>109.7</v>
      </c>
      <c r="FG132" s="1120">
        <f t="shared" si="80"/>
        <v>140.69999999999999</v>
      </c>
      <c r="FH132" s="1120">
        <f t="shared" si="80"/>
        <v>125.7</v>
      </c>
      <c r="FI132" s="1120">
        <f t="shared" si="80"/>
        <v>111.7</v>
      </c>
      <c r="FJ132" s="1120">
        <f>SUM(FJ128:FJ131)</f>
        <v>121.7</v>
      </c>
      <c r="FK132" s="1120">
        <f>SUM(FK128:FK131)</f>
        <v>111.7</v>
      </c>
      <c r="FL132" s="1120">
        <f>SUM(FL128:FL131)</f>
        <v>100.7</v>
      </c>
      <c r="FM132" s="1120">
        <f t="shared" ref="FM132" si="83">SUM(FM128:FM131)</f>
        <v>127.7</v>
      </c>
      <c r="FN132" s="1120">
        <f t="shared" ref="FN132:FU132" si="84">SUM(FN128:FN131)</f>
        <v>238.3</v>
      </c>
      <c r="FO132" s="1120">
        <f t="shared" si="84"/>
        <v>32.200000000000003</v>
      </c>
      <c r="FP132" s="1120">
        <f t="shared" si="84"/>
        <v>121.2</v>
      </c>
      <c r="FQ132" s="1120">
        <f t="shared" si="84"/>
        <v>40.200000000000003</v>
      </c>
      <c r="FR132" s="1120">
        <f t="shared" si="84"/>
        <v>29.2</v>
      </c>
      <c r="FS132" s="1120">
        <f t="shared" si="84"/>
        <v>76.2</v>
      </c>
      <c r="FT132" s="1120">
        <f t="shared" si="84"/>
        <v>17.2</v>
      </c>
      <c r="FU132" s="1120">
        <f t="shared" si="84"/>
        <v>82.1</v>
      </c>
      <c r="FV132" s="1120">
        <f t="shared" ref="FV132" si="85">SUM(FV128:FV131)</f>
        <v>8.3000000000000007</v>
      </c>
      <c r="FW132" s="1120">
        <f t="shared" ref="FW132" si="86">SUM(FW128:FW131)</f>
        <v>21.1</v>
      </c>
      <c r="FX132" s="1120">
        <f t="shared" ref="FX132" si="87">SUM(FX128:FX131)</f>
        <v>80.2</v>
      </c>
      <c r="FY132" s="1120">
        <f t="shared" ref="FY132" si="88">SUM(FY128:FY131)</f>
        <v>20.2</v>
      </c>
      <c r="FZ132" s="1120">
        <f t="shared" ref="FZ132:GA132" si="89">SUM(FZ128:FZ131)</f>
        <v>32.200000000000003</v>
      </c>
      <c r="GA132" s="1120">
        <f t="shared" si="89"/>
        <v>0</v>
      </c>
      <c r="GB132" s="1121"/>
    </row>
    <row r="133" spans="3:184">
      <c r="C133" s="1115"/>
      <c r="D133" s="1117"/>
      <c r="E133" s="1117"/>
      <c r="F133" s="1117"/>
      <c r="G133" s="1118"/>
      <c r="H133" s="1118"/>
      <c r="I133" s="1118"/>
      <c r="J133" s="1119">
        <f>J128+J129*2+J130*3+J131*4</f>
        <v>6878.6999999999971</v>
      </c>
      <c r="K133" s="1419"/>
      <c r="L133" s="1132">
        <f>L128+L129*2+L130*3+L131*4</f>
        <v>2</v>
      </c>
      <c r="M133" s="1132">
        <f t="shared" ref="M133:EH133" si="90">M128+M129*2+M130*3+M131*4</f>
        <v>1</v>
      </c>
      <c r="N133" s="1132">
        <f t="shared" si="90"/>
        <v>10.4</v>
      </c>
      <c r="O133" s="1132">
        <f t="shared" si="90"/>
        <v>42.8</v>
      </c>
      <c r="P133" s="1132">
        <f t="shared" si="90"/>
        <v>4</v>
      </c>
      <c r="Q133" s="1132">
        <f t="shared" si="90"/>
        <v>22.199999999999996</v>
      </c>
      <c r="R133" s="1132">
        <f t="shared" si="90"/>
        <v>13.399999999999999</v>
      </c>
      <c r="S133" s="1132">
        <f t="shared" si="90"/>
        <v>7.3000000000000007</v>
      </c>
      <c r="T133" s="1132">
        <f t="shared" si="90"/>
        <v>79.599999999999994</v>
      </c>
      <c r="U133" s="1132">
        <f t="shared" si="90"/>
        <v>9</v>
      </c>
      <c r="V133" s="1132">
        <f t="shared" si="90"/>
        <v>35.000000000000014</v>
      </c>
      <c r="W133" s="1132">
        <f t="shared" si="90"/>
        <v>2</v>
      </c>
      <c r="X133" s="1132">
        <f t="shared" si="90"/>
        <v>77.599999999999994</v>
      </c>
      <c r="Y133" s="1132">
        <f t="shared" si="90"/>
        <v>7.5</v>
      </c>
      <c r="Z133" s="1132">
        <f t="shared" si="90"/>
        <v>36.000000000000014</v>
      </c>
      <c r="AA133" s="1132">
        <f t="shared" si="90"/>
        <v>2.5</v>
      </c>
      <c r="AB133" s="1132">
        <f t="shared" si="90"/>
        <v>58.199999999999996</v>
      </c>
      <c r="AC133" s="1132">
        <f t="shared" si="90"/>
        <v>24.000000000000007</v>
      </c>
      <c r="AD133" s="1132">
        <f t="shared" si="90"/>
        <v>12.000000000000004</v>
      </c>
      <c r="AE133" s="1132">
        <f t="shared" si="90"/>
        <v>22.200000000000003</v>
      </c>
      <c r="AF133" s="1132">
        <f t="shared" si="90"/>
        <v>12</v>
      </c>
      <c r="AG133" s="1132">
        <f t="shared" si="90"/>
        <v>17</v>
      </c>
      <c r="AH133" s="1132">
        <f t="shared" si="90"/>
        <v>43.2</v>
      </c>
      <c r="AI133" s="1132">
        <f t="shared" si="90"/>
        <v>15.999999999999996</v>
      </c>
      <c r="AJ133" s="1132">
        <f t="shared" si="90"/>
        <v>20.5</v>
      </c>
      <c r="AK133" s="1132">
        <f t="shared" ref="AK133:AM133" si="91">AK128+AK129*2+AK130*3+AK131*4</f>
        <v>70.800000000000011</v>
      </c>
      <c r="AL133" s="1132">
        <f t="shared" si="91"/>
        <v>33</v>
      </c>
      <c r="AM133" s="1132">
        <f t="shared" si="91"/>
        <v>52.800000000000004</v>
      </c>
      <c r="AN133" s="1132">
        <f t="shared" ref="AN133:BP133" si="92">AN128+AN129*2+AN130*3+AN131*4</f>
        <v>2</v>
      </c>
      <c r="AO133" s="1132">
        <f t="shared" si="92"/>
        <v>2</v>
      </c>
      <c r="AP133" s="1132">
        <f t="shared" si="92"/>
        <v>58.800000000000004</v>
      </c>
      <c r="AQ133" s="1132">
        <f t="shared" si="92"/>
        <v>73.2</v>
      </c>
      <c r="AR133" s="1132">
        <f t="shared" si="92"/>
        <v>2</v>
      </c>
      <c r="AS133" s="1132">
        <f t="shared" si="92"/>
        <v>50</v>
      </c>
      <c r="AT133" s="1132">
        <f t="shared" si="92"/>
        <v>19.199999999999996</v>
      </c>
      <c r="AU133" s="1132">
        <f t="shared" si="92"/>
        <v>26</v>
      </c>
      <c r="AV133" s="1132">
        <f t="shared" si="92"/>
        <v>48.000000000000007</v>
      </c>
      <c r="AW133" s="1132">
        <f t="shared" si="92"/>
        <v>11.4</v>
      </c>
      <c r="AX133" s="1132">
        <f t="shared" si="92"/>
        <v>11.4</v>
      </c>
      <c r="AY133" s="1132">
        <f t="shared" si="92"/>
        <v>66.8</v>
      </c>
      <c r="AZ133" s="1132">
        <f t="shared" si="92"/>
        <v>35.000000000000007</v>
      </c>
      <c r="BA133" s="1132">
        <f t="shared" si="92"/>
        <v>12.200000000000001</v>
      </c>
      <c r="BB133" s="1132">
        <f t="shared" si="92"/>
        <v>60.199999999999996</v>
      </c>
      <c r="BC133" s="1132">
        <f t="shared" ref="BC133" si="93">BC128+BC129*2+BC130*3+BC131*4</f>
        <v>40.000000000000014</v>
      </c>
      <c r="BD133" s="1132">
        <f t="shared" si="92"/>
        <v>30.6</v>
      </c>
      <c r="BE133" s="1132">
        <f t="shared" si="92"/>
        <v>94.800000000000011</v>
      </c>
      <c r="BF133" s="1132">
        <f t="shared" si="92"/>
        <v>44</v>
      </c>
      <c r="BG133" s="1132">
        <f t="shared" si="92"/>
        <v>68.800000000000011</v>
      </c>
      <c r="BH133" s="1132">
        <f t="shared" si="92"/>
        <v>44</v>
      </c>
      <c r="BI133" s="1132">
        <f t="shared" si="92"/>
        <v>70.800000000000011</v>
      </c>
      <c r="BJ133" s="1132">
        <f t="shared" si="92"/>
        <v>50</v>
      </c>
      <c r="BK133" s="1132">
        <f t="shared" si="92"/>
        <v>36.799999999999997</v>
      </c>
      <c r="BL133" s="1132">
        <f t="shared" si="92"/>
        <v>47.000000000000007</v>
      </c>
      <c r="BM133" s="1132">
        <f t="shared" si="92"/>
        <v>25.200000000000003</v>
      </c>
      <c r="BN133" s="1132">
        <f t="shared" si="92"/>
        <v>40</v>
      </c>
      <c r="BO133" s="1132">
        <f t="shared" si="92"/>
        <v>14</v>
      </c>
      <c r="BP133" s="1132">
        <f t="shared" si="92"/>
        <v>30.799999999999997</v>
      </c>
      <c r="BQ133" s="1132">
        <f t="shared" ref="BQ133:EA133" si="94">BQ128+BQ129*2+BQ130*3+BQ131*4</f>
        <v>20</v>
      </c>
      <c r="BR133" s="1132">
        <f t="shared" si="94"/>
        <v>24.8</v>
      </c>
      <c r="BS133" s="1132">
        <f t="shared" si="94"/>
        <v>17</v>
      </c>
      <c r="BT133" s="1132">
        <f t="shared" si="94"/>
        <v>70.800000000000011</v>
      </c>
      <c r="BU133" s="1132">
        <f t="shared" si="94"/>
        <v>33</v>
      </c>
      <c r="BV133" s="1132">
        <f t="shared" si="94"/>
        <v>14.000000000000007</v>
      </c>
      <c r="BW133" s="1132">
        <f t="shared" si="94"/>
        <v>44.8</v>
      </c>
      <c r="BX133" s="1132">
        <f t="shared" si="94"/>
        <v>58.800000000000004</v>
      </c>
      <c r="BY133" s="1132">
        <f t="shared" si="94"/>
        <v>2</v>
      </c>
      <c r="BZ133" s="1132">
        <f t="shared" si="94"/>
        <v>30.000000000000014</v>
      </c>
      <c r="CA133" s="1132">
        <f t="shared" si="94"/>
        <v>48</v>
      </c>
      <c r="CB133" s="1132">
        <f t="shared" si="94"/>
        <v>67.199999999999989</v>
      </c>
      <c r="CC133" s="1132">
        <f t="shared" si="94"/>
        <v>22.199999999999996</v>
      </c>
      <c r="CD133" s="1132">
        <f t="shared" si="94"/>
        <v>26</v>
      </c>
      <c r="CE133" s="1132">
        <f t="shared" si="94"/>
        <v>47.000000000000007</v>
      </c>
      <c r="CF133" s="1132">
        <f t="shared" si="94"/>
        <v>7.4</v>
      </c>
      <c r="CG133" s="1132">
        <f t="shared" ref="CG133:CI133" si="95">CG128+CG129*2+CG130*3+CG131*4</f>
        <v>10.4</v>
      </c>
      <c r="CH133" s="1132">
        <f t="shared" si="95"/>
        <v>32.800000000000004</v>
      </c>
      <c r="CI133" s="1132">
        <f t="shared" si="95"/>
        <v>35</v>
      </c>
      <c r="CJ133" s="1132">
        <f t="shared" ref="CJ133:CO133" si="96">CJ128+CJ129*2+CJ130*3+CJ131*4</f>
        <v>0</v>
      </c>
      <c r="CK133" s="1132">
        <f t="shared" si="96"/>
        <v>11</v>
      </c>
      <c r="CL133" s="1132">
        <f t="shared" si="96"/>
        <v>78</v>
      </c>
      <c r="CM133" s="1132">
        <f t="shared" si="96"/>
        <v>145.20000000000002</v>
      </c>
      <c r="CN133" s="1132">
        <f t="shared" si="96"/>
        <v>2.0000000000000036</v>
      </c>
      <c r="CO133" s="1132">
        <f t="shared" si="96"/>
        <v>99</v>
      </c>
      <c r="CP133" s="1132">
        <f t="shared" ref="CP133:DA133" si="97">CP128+CP129*2+CP130*3+CP131*4</f>
        <v>65.600000000000009</v>
      </c>
      <c r="CQ133" s="1132">
        <f t="shared" si="97"/>
        <v>5.8999999999999986</v>
      </c>
      <c r="CR133" s="1132">
        <f t="shared" si="97"/>
        <v>7.4</v>
      </c>
      <c r="CS133" s="1132">
        <f t="shared" si="97"/>
        <v>10.4</v>
      </c>
      <c r="CT133" s="1132">
        <f t="shared" si="97"/>
        <v>13.1</v>
      </c>
      <c r="CU133" s="1132">
        <f t="shared" si="97"/>
        <v>30.800000000000004</v>
      </c>
      <c r="CV133" s="1132">
        <f t="shared" si="97"/>
        <v>39</v>
      </c>
      <c r="CW133" s="1132">
        <f t="shared" si="97"/>
        <v>99</v>
      </c>
      <c r="CX133" s="1132">
        <f t="shared" si="97"/>
        <v>2</v>
      </c>
      <c r="CY133" s="1132">
        <f t="shared" si="97"/>
        <v>11</v>
      </c>
      <c r="CZ133" s="1132">
        <f t="shared" si="97"/>
        <v>82</v>
      </c>
      <c r="DA133" s="1132">
        <f t="shared" si="97"/>
        <v>2</v>
      </c>
      <c r="DB133" s="1132">
        <f t="shared" ref="DB133:DM133" si="98">DB128+DB129*2+DB130*3+DB131*4</f>
        <v>65.600000000000009</v>
      </c>
      <c r="DC133" s="1132">
        <f t="shared" si="98"/>
        <v>6.3999999999999986</v>
      </c>
      <c r="DD133" s="1132">
        <f t="shared" si="98"/>
        <v>133.20000000000002</v>
      </c>
      <c r="DE133" s="1132">
        <f t="shared" si="98"/>
        <v>7.4</v>
      </c>
      <c r="DF133" s="1132">
        <f t="shared" si="98"/>
        <v>24.6</v>
      </c>
      <c r="DG133" s="1132">
        <f t="shared" si="98"/>
        <v>6</v>
      </c>
      <c r="DH133" s="1132">
        <f t="shared" si="98"/>
        <v>32</v>
      </c>
      <c r="DI133" s="1132">
        <f t="shared" si="98"/>
        <v>5</v>
      </c>
      <c r="DJ133" s="1132">
        <f t="shared" si="98"/>
        <v>72</v>
      </c>
      <c r="DK133" s="1132">
        <f t="shared" si="98"/>
        <v>10</v>
      </c>
      <c r="DL133" s="1132">
        <f t="shared" si="98"/>
        <v>5</v>
      </c>
      <c r="DM133" s="1132">
        <f t="shared" si="98"/>
        <v>32</v>
      </c>
      <c r="DN133" s="1132">
        <f t="shared" ref="DN133:DX133" si="99">DN128+DN129*2+DN130*3+DN131*4</f>
        <v>5</v>
      </c>
      <c r="DO133" s="1132">
        <f t="shared" si="99"/>
        <v>72</v>
      </c>
      <c r="DP133" s="1132">
        <f t="shared" si="99"/>
        <v>10</v>
      </c>
      <c r="DQ133" s="1132">
        <f t="shared" si="99"/>
        <v>5</v>
      </c>
      <c r="DR133" s="1132">
        <f t="shared" si="99"/>
        <v>20</v>
      </c>
      <c r="DS133" s="1132">
        <f t="shared" si="99"/>
        <v>7</v>
      </c>
      <c r="DT133" s="1132">
        <f t="shared" si="99"/>
        <v>63</v>
      </c>
      <c r="DU133" s="1132">
        <f t="shared" si="99"/>
        <v>12</v>
      </c>
      <c r="DV133" s="1132">
        <f t="shared" si="99"/>
        <v>7</v>
      </c>
      <c r="DW133" s="1132">
        <f t="shared" si="99"/>
        <v>12</v>
      </c>
      <c r="DX133" s="1132">
        <f t="shared" si="99"/>
        <v>1</v>
      </c>
      <c r="DY133" s="1132">
        <f t="shared" ref="DY133" si="100">DY128+DY129*2+DY130*3+DY131*4</f>
        <v>5.0999999999999996</v>
      </c>
      <c r="DZ133" s="1132">
        <f t="shared" ref="DZ133" si="101">DZ128+DZ129*2+DZ130*3+DZ131*4</f>
        <v>5.0999999999999996</v>
      </c>
      <c r="EA133" s="1132">
        <f t="shared" si="94"/>
        <v>5.0999999999999996</v>
      </c>
      <c r="EB133" s="1132">
        <f t="shared" ref="EB133:EF133" si="102">EB128+EB129*2+EB130*3+EB131*4</f>
        <v>5.0999999999999996</v>
      </c>
      <c r="EC133" s="1132">
        <f t="shared" si="102"/>
        <v>5.0999999999999996</v>
      </c>
      <c r="ED133" s="1132">
        <f t="shared" ref="ED133" si="103">ED128+ED129*2+ED130*3+ED131*4</f>
        <v>5.0999999999999996</v>
      </c>
      <c r="EE133" s="1132">
        <f t="shared" si="102"/>
        <v>5.0999999999999996</v>
      </c>
      <c r="EF133" s="1132">
        <f t="shared" si="102"/>
        <v>5.0999999999999996</v>
      </c>
      <c r="EG133" s="1419">
        <f t="shared" si="90"/>
        <v>123</v>
      </c>
      <c r="EH133" s="1132">
        <f t="shared" si="90"/>
        <v>93.8</v>
      </c>
      <c r="EI133" s="1132">
        <f t="shared" ref="EI133:EK133" si="104">EI128+EI129*2+EI130*3+EI131*4</f>
        <v>17.3</v>
      </c>
      <c r="EJ133" s="1132">
        <f t="shared" ref="EJ133" si="105">EJ128+EJ129*2+EJ130*3+EJ131*4</f>
        <v>16.399999999999999</v>
      </c>
      <c r="EK133" s="1132">
        <f t="shared" si="104"/>
        <v>0</v>
      </c>
      <c r="EL133" s="1132">
        <f t="shared" ref="EL133:EM133" si="106">EL128+EL129*2+EL130*3+EL131*4</f>
        <v>0</v>
      </c>
      <c r="EM133" s="1132">
        <f t="shared" si="106"/>
        <v>0</v>
      </c>
      <c r="EN133" s="1419">
        <f t="shared" ref="EN133:FI133" si="107">EN128+EN129*2+EN130*3+EN131*4</f>
        <v>0</v>
      </c>
      <c r="EO133" s="1132">
        <f t="shared" si="107"/>
        <v>19.2</v>
      </c>
      <c r="EP133" s="1132">
        <f t="shared" ref="EP133:EV133" si="108">EP128+EP129*2+EP130*3+EP131*4</f>
        <v>20.2</v>
      </c>
      <c r="EQ133" s="1132">
        <f t="shared" si="108"/>
        <v>50.2</v>
      </c>
      <c r="ER133" s="1132">
        <f t="shared" si="108"/>
        <v>72.2</v>
      </c>
      <c r="ES133" s="1132"/>
      <c r="ET133" s="1132">
        <f t="shared" si="108"/>
        <v>62.2</v>
      </c>
      <c r="EU133" s="1132">
        <f t="shared" si="108"/>
        <v>102.1</v>
      </c>
      <c r="EV133" s="1132">
        <f t="shared" si="108"/>
        <v>107.80000000000001</v>
      </c>
      <c r="EW133" s="1132">
        <f>EW128+EW129*2+EW130*3+EW131*4</f>
        <v>69.2</v>
      </c>
      <c r="EX133" s="1132">
        <f>EX128+EX129*2+EX130*3+EX131*4</f>
        <v>72.2</v>
      </c>
      <c r="EY133" s="1132">
        <f>EY128+EY129*2+EY130*3+EY131*4</f>
        <v>111.2</v>
      </c>
      <c r="EZ133" s="1132">
        <f t="shared" ref="EZ133:FC133" si="109">EZ128+EZ129*2+EZ130*3+EZ131*4</f>
        <v>0</v>
      </c>
      <c r="FA133" s="1132">
        <f t="shared" si="109"/>
        <v>20.2</v>
      </c>
      <c r="FB133" s="1132">
        <f t="shared" si="109"/>
        <v>101.2</v>
      </c>
      <c r="FC133" s="1132">
        <f t="shared" si="109"/>
        <v>45.2</v>
      </c>
      <c r="FD133" s="1132">
        <f t="shared" si="107"/>
        <v>115.3</v>
      </c>
      <c r="FE133" s="1132">
        <f t="shared" si="107"/>
        <v>21.8</v>
      </c>
      <c r="FF133" s="1132">
        <f t="shared" si="107"/>
        <v>109.7</v>
      </c>
      <c r="FG133" s="1132">
        <f t="shared" si="107"/>
        <v>140.69999999999999</v>
      </c>
      <c r="FH133" s="1132">
        <f t="shared" si="107"/>
        <v>125.7</v>
      </c>
      <c r="FI133" s="1132">
        <f t="shared" si="107"/>
        <v>111.7</v>
      </c>
      <c r="FJ133" s="1132">
        <f>FJ128+FJ129*2+FJ130*3+FJ131*4</f>
        <v>121.7</v>
      </c>
      <c r="FK133" s="1132">
        <f>FK128+FK129*2+FK130*3+FK131*4</f>
        <v>111.7</v>
      </c>
      <c r="FL133" s="1132">
        <f>FL128+FL129*2+FL130*3+FL131*4</f>
        <v>100.7</v>
      </c>
      <c r="FM133" s="1132">
        <f t="shared" ref="FM133" si="110">FM128+FM129*2+FM130*3+FM131*4</f>
        <v>127.7</v>
      </c>
      <c r="FN133" s="1132">
        <f t="shared" ref="FN133:FU133" si="111">FN128+FN129*2+FN130*3+FN131*4</f>
        <v>238.3</v>
      </c>
      <c r="FO133" s="1132">
        <f t="shared" si="111"/>
        <v>32.200000000000003</v>
      </c>
      <c r="FP133" s="1132">
        <f t="shared" si="111"/>
        <v>121.2</v>
      </c>
      <c r="FQ133" s="1132">
        <f t="shared" si="111"/>
        <v>40.200000000000003</v>
      </c>
      <c r="FR133" s="1132">
        <f t="shared" si="111"/>
        <v>29.2</v>
      </c>
      <c r="FS133" s="1132">
        <f t="shared" si="111"/>
        <v>76.2</v>
      </c>
      <c r="FT133" s="1132">
        <f t="shared" si="111"/>
        <v>17.2</v>
      </c>
      <c r="FU133" s="1132">
        <f t="shared" si="111"/>
        <v>82.1</v>
      </c>
      <c r="FV133" s="1132">
        <f t="shared" ref="FV133:FY133" si="112">FV128+FV129*2+FV130*3+FV131*4</f>
        <v>8.3000000000000007</v>
      </c>
      <c r="FW133" s="1132">
        <f t="shared" si="112"/>
        <v>21.1</v>
      </c>
      <c r="FX133" s="1132">
        <f t="shared" si="112"/>
        <v>80.2</v>
      </c>
      <c r="FY133" s="1132">
        <f t="shared" si="112"/>
        <v>20.2</v>
      </c>
      <c r="FZ133" s="1132">
        <f t="shared" ref="FZ133:GA133" si="113">FZ128+FZ129*2+FZ130*3+FZ131*4</f>
        <v>32.200000000000003</v>
      </c>
      <c r="GA133" s="1132">
        <f t="shared" si="113"/>
        <v>0</v>
      </c>
      <c r="GB133" s="1121"/>
    </row>
    <row r="134" spans="3:184">
      <c r="C134" s="1115"/>
      <c r="D134" s="1117"/>
      <c r="E134" s="1117"/>
      <c r="F134" s="1117"/>
      <c r="G134" s="1118"/>
      <c r="H134" s="1118"/>
      <c r="I134" s="1118"/>
      <c r="J134" s="1118"/>
      <c r="K134" s="1140"/>
      <c r="L134" s="1140">
        <f t="shared" ref="L134:EH134" si="114">L127-L133</f>
        <v>-1</v>
      </c>
      <c r="M134" s="1140">
        <f t="shared" si="114"/>
        <v>1</v>
      </c>
      <c r="N134" s="1140">
        <f t="shared" si="114"/>
        <v>0</v>
      </c>
      <c r="O134" s="1140">
        <f t="shared" si="114"/>
        <v>-21.4</v>
      </c>
      <c r="P134" s="1140">
        <f t="shared" si="114"/>
        <v>21.4</v>
      </c>
      <c r="Q134" s="1140">
        <f t="shared" si="114"/>
        <v>-14.799999999999997</v>
      </c>
      <c r="R134" s="1140">
        <f t="shared" si="114"/>
        <v>0.69999999999999929</v>
      </c>
      <c r="S134" s="1140">
        <f t="shared" si="114"/>
        <v>14.099999999999998</v>
      </c>
      <c r="T134" s="1140">
        <f t="shared" si="114"/>
        <v>-59.699999999999996</v>
      </c>
      <c r="U134" s="1140">
        <f t="shared" si="114"/>
        <v>13.899999999999999</v>
      </c>
      <c r="V134" s="1140">
        <f t="shared" si="114"/>
        <v>5.3999999999999915</v>
      </c>
      <c r="W134" s="1140">
        <f t="shared" si="114"/>
        <v>40.400000000000006</v>
      </c>
      <c r="X134" s="1140">
        <f t="shared" si="114"/>
        <v>-58.199999999999996</v>
      </c>
      <c r="Y134" s="1140">
        <f t="shared" si="114"/>
        <v>14.399999999999999</v>
      </c>
      <c r="Z134" s="1140">
        <f t="shared" si="114"/>
        <v>3.8999999999999915</v>
      </c>
      <c r="AA134" s="1140">
        <f t="shared" si="114"/>
        <v>39.900000000000006</v>
      </c>
      <c r="AB134" s="1140">
        <f t="shared" si="114"/>
        <v>-38.799999999999997</v>
      </c>
      <c r="AC134" s="1140">
        <f t="shared" si="114"/>
        <v>7.399999999999995</v>
      </c>
      <c r="AD134" s="1140">
        <f t="shared" si="114"/>
        <v>31.400000000000002</v>
      </c>
      <c r="AE134" s="1140">
        <f t="shared" si="114"/>
        <v>-14.800000000000002</v>
      </c>
      <c r="AF134" s="1140">
        <f t="shared" si="114"/>
        <v>1.4000000000000004</v>
      </c>
      <c r="AG134" s="1140">
        <f t="shared" si="114"/>
        <v>13.399999999999999</v>
      </c>
      <c r="AH134" s="1140">
        <f t="shared" si="114"/>
        <v>-28.800000000000004</v>
      </c>
      <c r="AI134" s="1140">
        <f t="shared" si="114"/>
        <v>6.4000000000000021</v>
      </c>
      <c r="AJ134" s="1140">
        <f t="shared" si="114"/>
        <v>22.4</v>
      </c>
      <c r="AK134" s="1140">
        <f t="shared" ref="AK134:AM134" si="115">AK127-AK133</f>
        <v>-35.400000000000006</v>
      </c>
      <c r="AL134" s="1140">
        <f t="shared" si="115"/>
        <v>35.400000000000006</v>
      </c>
      <c r="AM134" s="1140">
        <f t="shared" si="115"/>
        <v>-26.400000000000002</v>
      </c>
      <c r="AN134" s="1140">
        <f t="shared" ref="AN134:BP134" si="116">AN127-AN133</f>
        <v>26.400000000000002</v>
      </c>
      <c r="AO134" s="1140">
        <f t="shared" si="116"/>
        <v>29.400000000000002</v>
      </c>
      <c r="AP134" s="1140">
        <f t="shared" si="116"/>
        <v>-29.400000000000002</v>
      </c>
      <c r="AQ134" s="1140">
        <f t="shared" si="116"/>
        <v>-48.8</v>
      </c>
      <c r="AR134" s="1140">
        <f t="shared" si="116"/>
        <v>24.400000000000002</v>
      </c>
      <c r="AS134" s="1140">
        <f t="shared" si="116"/>
        <v>24.400000000000006</v>
      </c>
      <c r="AT134" s="1140">
        <f t="shared" si="116"/>
        <v>-12.799999999999997</v>
      </c>
      <c r="AU134" s="1140">
        <f t="shared" si="116"/>
        <v>-6.6000000000000014</v>
      </c>
      <c r="AV134" s="1140">
        <f t="shared" si="116"/>
        <v>19.399999999999999</v>
      </c>
      <c r="AW134" s="1140">
        <f t="shared" si="116"/>
        <v>0</v>
      </c>
      <c r="AX134" s="1140">
        <f t="shared" si="116"/>
        <v>0</v>
      </c>
      <c r="AY134" s="1140">
        <f t="shared" si="116"/>
        <v>-33.4</v>
      </c>
      <c r="AZ134" s="1140">
        <f t="shared" si="116"/>
        <v>33.4</v>
      </c>
      <c r="BA134" s="1140">
        <f t="shared" si="116"/>
        <v>-6.1000000000000005</v>
      </c>
      <c r="BB134" s="1140">
        <f t="shared" si="116"/>
        <v>-30.099999999999998</v>
      </c>
      <c r="BC134" s="1140">
        <f t="shared" ref="BC134" si="117">BC127-BC133</f>
        <v>30.099999999999994</v>
      </c>
      <c r="BD134" s="1140">
        <f t="shared" si="116"/>
        <v>6.1000000000000014</v>
      </c>
      <c r="BE134" s="1140">
        <f t="shared" si="116"/>
        <v>-47.400000000000006</v>
      </c>
      <c r="BF134" s="1140">
        <f t="shared" si="116"/>
        <v>47.400000000000006</v>
      </c>
      <c r="BG134" s="1140">
        <f t="shared" si="116"/>
        <v>-34.400000000000006</v>
      </c>
      <c r="BH134" s="1140">
        <f t="shared" si="116"/>
        <v>34.400000000000006</v>
      </c>
      <c r="BI134" s="1140">
        <f t="shared" si="116"/>
        <v>-35.400000000000006</v>
      </c>
      <c r="BJ134" s="1140">
        <f t="shared" si="116"/>
        <v>35.400000000000006</v>
      </c>
      <c r="BK134" s="1140">
        <f t="shared" si="116"/>
        <v>-18.399999999999999</v>
      </c>
      <c r="BL134" s="1140">
        <f t="shared" si="116"/>
        <v>18.399999999999999</v>
      </c>
      <c r="BM134" s="1140">
        <f t="shared" si="116"/>
        <v>-16.800000000000004</v>
      </c>
      <c r="BN134" s="1140">
        <f t="shared" si="116"/>
        <v>-11.600000000000001</v>
      </c>
      <c r="BO134" s="1140">
        <f t="shared" si="116"/>
        <v>28.4</v>
      </c>
      <c r="BP134" s="1140">
        <f t="shared" si="116"/>
        <v>-15.399999999999999</v>
      </c>
      <c r="BQ134" s="1140">
        <f t="shared" ref="BQ134:EA134" si="118">BQ127-BQ133</f>
        <v>15.399999999999999</v>
      </c>
      <c r="BR134" s="1140">
        <f t="shared" si="118"/>
        <v>-12.4</v>
      </c>
      <c r="BS134" s="1140">
        <f t="shared" si="118"/>
        <v>12.399999999999999</v>
      </c>
      <c r="BT134" s="1140">
        <f t="shared" si="118"/>
        <v>-35.400000000000006</v>
      </c>
      <c r="BU134" s="1140">
        <f t="shared" si="118"/>
        <v>35.400000000000006</v>
      </c>
      <c r="BV134" s="1140">
        <f t="shared" si="118"/>
        <v>22.4</v>
      </c>
      <c r="BW134" s="1140">
        <f t="shared" si="118"/>
        <v>-22.4</v>
      </c>
      <c r="BX134" s="1140">
        <f t="shared" si="118"/>
        <v>-29.400000000000002</v>
      </c>
      <c r="BY134" s="1140">
        <f t="shared" si="118"/>
        <v>29.400000000000002</v>
      </c>
      <c r="BZ134" s="1140">
        <f t="shared" si="118"/>
        <v>7.3999999999999915</v>
      </c>
      <c r="CA134" s="1140">
        <f t="shared" si="118"/>
        <v>37.400000000000006</v>
      </c>
      <c r="CB134" s="1140">
        <f t="shared" si="118"/>
        <v>-44.79999999999999</v>
      </c>
      <c r="CC134" s="1140">
        <f t="shared" si="118"/>
        <v>-14.799999999999997</v>
      </c>
      <c r="CD134" s="1140">
        <f t="shared" si="118"/>
        <v>-5.6000000000000014</v>
      </c>
      <c r="CE134" s="1140">
        <f t="shared" si="118"/>
        <v>20.399999999999999</v>
      </c>
      <c r="CF134" s="1140">
        <f t="shared" si="118"/>
        <v>0</v>
      </c>
      <c r="CG134" s="1140">
        <f t="shared" ref="CG134:CI134" si="119">CG127-CG133</f>
        <v>0</v>
      </c>
      <c r="CH134" s="1140">
        <f t="shared" si="119"/>
        <v>-16.400000000000002</v>
      </c>
      <c r="CI134" s="1140">
        <f t="shared" si="119"/>
        <v>16.400000000000006</v>
      </c>
      <c r="CJ134" s="1140">
        <f t="shared" ref="CJ134:CO134" si="120">CJ127-CJ133</f>
        <v>49.400000000000006</v>
      </c>
      <c r="CK134" s="1140">
        <f t="shared" si="120"/>
        <v>87.4</v>
      </c>
      <c r="CL134" s="1140">
        <f t="shared" si="120"/>
        <v>9.4000000000000057</v>
      </c>
      <c r="CM134" s="1140">
        <f t="shared" si="120"/>
        <v>-96.800000000000011</v>
      </c>
      <c r="CN134" s="1140">
        <f t="shared" si="120"/>
        <v>49.400000000000006</v>
      </c>
      <c r="CO134" s="1140">
        <f t="shared" si="120"/>
        <v>-49.599999999999994</v>
      </c>
      <c r="CP134" s="1140">
        <f t="shared" ref="CP134:DA134" si="121">CP127-CP133</f>
        <v>-49.2</v>
      </c>
      <c r="CQ134" s="1140">
        <f t="shared" si="121"/>
        <v>0</v>
      </c>
      <c r="CR134" s="1140">
        <f t="shared" si="121"/>
        <v>0</v>
      </c>
      <c r="CS134" s="1140">
        <f t="shared" si="121"/>
        <v>0</v>
      </c>
      <c r="CT134" s="1140">
        <f t="shared" si="121"/>
        <v>0</v>
      </c>
      <c r="CU134" s="1140">
        <f t="shared" si="121"/>
        <v>-15.400000000000002</v>
      </c>
      <c r="CV134" s="1140">
        <f t="shared" si="121"/>
        <v>15.400000000000006</v>
      </c>
      <c r="CW134" s="1140">
        <f t="shared" si="121"/>
        <v>-49.599999999999994</v>
      </c>
      <c r="CX134" s="1140">
        <f t="shared" si="121"/>
        <v>49.400000000000006</v>
      </c>
      <c r="CY134" s="1140">
        <f t="shared" si="121"/>
        <v>85.4</v>
      </c>
      <c r="CZ134" s="1140">
        <f t="shared" si="121"/>
        <v>3.4000000000000057</v>
      </c>
      <c r="DA134" s="1140">
        <f t="shared" si="121"/>
        <v>49.400000000000006</v>
      </c>
      <c r="DB134" s="1140">
        <f t="shared" ref="DB134:DM134" si="122">DB127-DB133</f>
        <v>-49.2</v>
      </c>
      <c r="DC134" s="1140">
        <f t="shared" si="122"/>
        <v>0</v>
      </c>
      <c r="DD134" s="1140">
        <f t="shared" si="122"/>
        <v>-88.800000000000011</v>
      </c>
      <c r="DE134" s="1140">
        <f t="shared" si="122"/>
        <v>0</v>
      </c>
      <c r="DF134" s="1140">
        <f t="shared" si="122"/>
        <v>-12.3</v>
      </c>
      <c r="DG134" s="1140">
        <f t="shared" si="122"/>
        <v>12.3</v>
      </c>
      <c r="DH134" s="1140">
        <f t="shared" si="122"/>
        <v>-16</v>
      </c>
      <c r="DI134" s="1140">
        <f t="shared" si="122"/>
        <v>16</v>
      </c>
      <c r="DJ134" s="1140">
        <f t="shared" si="122"/>
        <v>-48</v>
      </c>
      <c r="DK134" s="1140">
        <f t="shared" si="122"/>
        <v>19</v>
      </c>
      <c r="DL134" s="1140">
        <f t="shared" si="122"/>
        <v>29</v>
      </c>
      <c r="DM134" s="1140">
        <f t="shared" si="122"/>
        <v>-16</v>
      </c>
      <c r="DN134" s="1140">
        <f t="shared" ref="DN134:DX134" si="123">DN127-DN133</f>
        <v>16</v>
      </c>
      <c r="DO134" s="1140">
        <f t="shared" si="123"/>
        <v>-48</v>
      </c>
      <c r="DP134" s="1140">
        <f t="shared" si="123"/>
        <v>19</v>
      </c>
      <c r="DQ134" s="1140">
        <f t="shared" si="123"/>
        <v>29</v>
      </c>
      <c r="DR134" s="1140">
        <f t="shared" si="123"/>
        <v>-10</v>
      </c>
      <c r="DS134" s="1140">
        <f t="shared" si="123"/>
        <v>10</v>
      </c>
      <c r="DT134" s="1140">
        <f t="shared" si="123"/>
        <v>-42</v>
      </c>
      <c r="DU134" s="1140">
        <f t="shared" si="123"/>
        <v>15</v>
      </c>
      <c r="DV134" s="1140">
        <f t="shared" si="123"/>
        <v>27</v>
      </c>
      <c r="DW134" s="1140">
        <f t="shared" si="123"/>
        <v>-6</v>
      </c>
      <c r="DX134" s="1140">
        <f t="shared" si="123"/>
        <v>6</v>
      </c>
      <c r="DY134" s="1140">
        <f t="shared" ref="DY134" si="124">DY127-DY133</f>
        <v>0</v>
      </c>
      <c r="DZ134" s="1140">
        <f t="shared" ref="DZ134" si="125">DZ127-DZ133</f>
        <v>0</v>
      </c>
      <c r="EA134" s="1140">
        <f t="shared" si="118"/>
        <v>0</v>
      </c>
      <c r="EB134" s="1140">
        <f t="shared" ref="EB134:EF134" si="126">EB127-EB133</f>
        <v>0</v>
      </c>
      <c r="EC134" s="1140">
        <f t="shared" si="126"/>
        <v>0</v>
      </c>
      <c r="ED134" s="1140">
        <f t="shared" ref="ED134" si="127">ED127-ED133</f>
        <v>0</v>
      </c>
      <c r="EE134" s="1140">
        <f t="shared" si="126"/>
        <v>0</v>
      </c>
      <c r="EF134" s="1140">
        <f t="shared" si="126"/>
        <v>0</v>
      </c>
      <c r="EG134" s="1140">
        <f t="shared" si="114"/>
        <v>0</v>
      </c>
      <c r="EH134" s="1140">
        <f t="shared" si="114"/>
        <v>0</v>
      </c>
      <c r="EI134" s="1140">
        <f t="shared" ref="EI134:EK134" si="128">EI127-EI133</f>
        <v>0</v>
      </c>
      <c r="EJ134" s="1140">
        <f t="shared" ref="EJ134" si="129">EJ127-EJ133</f>
        <v>0</v>
      </c>
      <c r="EK134" s="1140">
        <f t="shared" si="128"/>
        <v>0</v>
      </c>
      <c r="EL134" s="1140">
        <f t="shared" ref="EL134:EM134" si="130">EL127-EL133</f>
        <v>0</v>
      </c>
      <c r="EM134" s="1140">
        <f t="shared" si="130"/>
        <v>0</v>
      </c>
      <c r="EN134" s="1140">
        <f t="shared" ref="EN134:FI134" si="131">EN127-EN133</f>
        <v>0</v>
      </c>
      <c r="EO134" s="1140">
        <f t="shared" si="131"/>
        <v>0</v>
      </c>
      <c r="EP134" s="1140">
        <f t="shared" ref="EP134:EV134" si="132">EP127-EP133</f>
        <v>0</v>
      </c>
      <c r="EQ134" s="1140">
        <f t="shared" si="132"/>
        <v>0</v>
      </c>
      <c r="ER134" s="1140">
        <f t="shared" si="132"/>
        <v>0</v>
      </c>
      <c r="ES134" s="1140"/>
      <c r="ET134" s="1140">
        <f t="shared" si="132"/>
        <v>0</v>
      </c>
      <c r="EU134" s="1140">
        <f t="shared" si="132"/>
        <v>0</v>
      </c>
      <c r="EV134" s="1140">
        <f t="shared" si="132"/>
        <v>0</v>
      </c>
      <c r="EW134" s="1140">
        <f>EW127-EW133</f>
        <v>0</v>
      </c>
      <c r="EX134" s="1140">
        <f>EX127-EX133</f>
        <v>0</v>
      </c>
      <c r="EY134" s="1140">
        <f>EY127-EY133</f>
        <v>0</v>
      </c>
      <c r="EZ134" s="1140">
        <f t="shared" ref="EZ134:FC134" si="133">EZ127-EZ133</f>
        <v>0</v>
      </c>
      <c r="FA134" s="1140">
        <f t="shared" si="133"/>
        <v>0</v>
      </c>
      <c r="FB134" s="1140">
        <f t="shared" si="133"/>
        <v>0</v>
      </c>
      <c r="FC134" s="1140">
        <f t="shared" si="133"/>
        <v>0</v>
      </c>
      <c r="FD134" s="1140">
        <f t="shared" si="131"/>
        <v>0</v>
      </c>
      <c r="FE134" s="1140">
        <f t="shared" si="131"/>
        <v>0</v>
      </c>
      <c r="FF134" s="1140">
        <f t="shared" si="131"/>
        <v>0</v>
      </c>
      <c r="FG134" s="1140">
        <f t="shared" si="131"/>
        <v>0</v>
      </c>
      <c r="FH134" s="1140">
        <f t="shared" si="131"/>
        <v>0</v>
      </c>
      <c r="FI134" s="1140">
        <f t="shared" si="131"/>
        <v>0</v>
      </c>
      <c r="FJ134" s="1140">
        <f>FJ127-FJ133</f>
        <v>0</v>
      </c>
      <c r="FK134" s="1140">
        <f>FK127-FK133</f>
        <v>0</v>
      </c>
      <c r="FL134" s="1140">
        <f>FL127-FL133</f>
        <v>0</v>
      </c>
      <c r="FM134" s="1140">
        <f t="shared" ref="FM134" si="134">FM127-FM133</f>
        <v>0</v>
      </c>
      <c r="FN134" s="1140">
        <f t="shared" ref="FN134:FU134" si="135">FN127-FN133</f>
        <v>0</v>
      </c>
      <c r="FO134" s="1140">
        <f t="shared" si="135"/>
        <v>0</v>
      </c>
      <c r="FP134" s="1140">
        <f t="shared" si="135"/>
        <v>0</v>
      </c>
      <c r="FQ134" s="1140">
        <f t="shared" si="135"/>
        <v>0</v>
      </c>
      <c r="FR134" s="1140">
        <f t="shared" si="135"/>
        <v>0</v>
      </c>
      <c r="FS134" s="1140">
        <f t="shared" si="135"/>
        <v>0</v>
      </c>
      <c r="FT134" s="1140">
        <f t="shared" si="135"/>
        <v>0</v>
      </c>
      <c r="FU134" s="1140">
        <f t="shared" si="135"/>
        <v>0</v>
      </c>
      <c r="FV134" s="1140">
        <f t="shared" ref="FV134" si="136">FV127-FV133</f>
        <v>0</v>
      </c>
      <c r="FW134" s="1140">
        <f t="shared" ref="FW134" si="137">FW127-FW133</f>
        <v>0</v>
      </c>
      <c r="FX134" s="1140">
        <f t="shared" ref="FX134" si="138">FX127-FX133</f>
        <v>0</v>
      </c>
      <c r="FY134" s="1140">
        <f t="shared" ref="FY134" si="139">FY127-FY133</f>
        <v>0</v>
      </c>
      <c r="FZ134" s="1140">
        <f t="shared" ref="FZ134:GA134" si="140">FZ127-FZ133</f>
        <v>0</v>
      </c>
      <c r="GA134" s="1140">
        <f t="shared" si="140"/>
        <v>0</v>
      </c>
      <c r="GB134" s="1121"/>
    </row>
    <row r="135" spans="3:184" s="1114" customFormat="1" hidden="1">
      <c r="C135" s="1141"/>
      <c r="D135" s="1142" t="s">
        <v>2268</v>
      </c>
      <c r="E135" s="1143"/>
      <c r="F135" s="1143"/>
      <c r="G135" s="1144"/>
      <c r="H135" s="1144"/>
      <c r="I135" s="1144"/>
      <c r="J135" s="1144"/>
      <c r="K135" s="1144"/>
      <c r="L135" s="1144"/>
      <c r="M135" s="1144"/>
      <c r="N135" s="1144"/>
      <c r="O135" s="1144"/>
      <c r="P135" s="1144"/>
      <c r="Q135" s="1144"/>
      <c r="R135" s="1144"/>
      <c r="S135" s="1144"/>
      <c r="T135" s="1135"/>
      <c r="U135" s="1144"/>
      <c r="V135" s="1144"/>
      <c r="W135" s="1144"/>
      <c r="X135" s="1144"/>
      <c r="Y135" s="1144"/>
      <c r="Z135" s="1144"/>
      <c r="AA135" s="1144"/>
      <c r="AB135" s="1144"/>
      <c r="AC135" s="1144"/>
      <c r="AD135" s="1144"/>
      <c r="AE135" s="1144"/>
      <c r="AF135" s="1144"/>
      <c r="AG135" s="1144"/>
      <c r="AH135" s="1144"/>
      <c r="AI135" s="1144"/>
      <c r="AJ135" s="1144"/>
      <c r="AK135" s="1144"/>
      <c r="AL135" s="1144"/>
      <c r="AM135" s="1144"/>
      <c r="AN135" s="1144"/>
      <c r="AO135" s="1144"/>
      <c r="AP135" s="1144"/>
      <c r="AQ135" s="1144"/>
      <c r="AR135" s="1144"/>
      <c r="AS135" s="1144"/>
      <c r="AT135" s="1144"/>
      <c r="AU135" s="1144"/>
      <c r="AV135" s="1144"/>
      <c r="AW135" s="1144"/>
      <c r="AX135" s="1144"/>
      <c r="AY135" s="1144"/>
      <c r="AZ135" s="1144"/>
      <c r="BA135" s="1144"/>
      <c r="BB135" s="1144"/>
      <c r="BC135" s="1144"/>
      <c r="BD135" s="1144"/>
      <c r="BE135" s="1144"/>
      <c r="BF135" s="1144"/>
      <c r="BG135" s="1144"/>
      <c r="BH135" s="1144"/>
      <c r="BI135" s="1144"/>
      <c r="BJ135" s="1144"/>
      <c r="BK135" s="1144"/>
      <c r="BL135" s="1144"/>
      <c r="BM135" s="1144"/>
      <c r="BN135" s="1144"/>
      <c r="BO135" s="1144"/>
      <c r="BP135" s="1144"/>
      <c r="BQ135" s="1144"/>
      <c r="BR135" s="1144"/>
      <c r="BS135" s="1144"/>
      <c r="BT135" s="1144"/>
      <c r="BU135" s="1144"/>
      <c r="BV135" s="1144"/>
      <c r="BW135" s="1144"/>
      <c r="BX135" s="1144"/>
      <c r="BY135" s="1144"/>
      <c r="BZ135" s="1144"/>
      <c r="CA135" s="1144"/>
      <c r="CB135" s="1144"/>
      <c r="CC135" s="1144"/>
      <c r="CD135" s="1144"/>
      <c r="CE135" s="1144"/>
      <c r="CF135" s="1144"/>
      <c r="CG135" s="1144"/>
      <c r="CH135" s="1144"/>
      <c r="CI135" s="1144"/>
      <c r="CJ135" s="1144"/>
      <c r="CK135" s="1144"/>
      <c r="CL135" s="1144"/>
      <c r="CM135" s="1144"/>
      <c r="CN135" s="1144"/>
      <c r="CO135" s="1144"/>
      <c r="CP135" s="1144"/>
      <c r="CQ135" s="1144"/>
      <c r="CR135" s="1144"/>
      <c r="CS135" s="1144"/>
      <c r="CT135" s="1144"/>
      <c r="CU135" s="1144"/>
      <c r="CV135" s="1144"/>
      <c r="CW135" s="1144"/>
      <c r="CX135" s="1144"/>
      <c r="CY135" s="1144"/>
      <c r="CZ135" s="1144"/>
      <c r="DA135" s="1144"/>
      <c r="DB135" s="1144"/>
      <c r="DC135" s="1144"/>
      <c r="DD135" s="1144"/>
      <c r="DE135" s="1144"/>
      <c r="DF135" s="1144"/>
      <c r="DG135" s="1144"/>
      <c r="DH135" s="1144"/>
      <c r="DI135" s="1144"/>
      <c r="DJ135" s="1144"/>
      <c r="DK135" s="1144"/>
      <c r="DL135" s="1144"/>
      <c r="DM135" s="1144"/>
      <c r="DN135" s="1144"/>
      <c r="DO135" s="1144"/>
      <c r="DP135" s="1144"/>
      <c r="DQ135" s="1144"/>
      <c r="DR135" s="1144"/>
      <c r="DS135" s="1144"/>
      <c r="DT135" s="1144"/>
      <c r="DU135" s="1144"/>
      <c r="DV135" s="1144"/>
      <c r="DW135" s="1144"/>
      <c r="DX135" s="1144"/>
      <c r="DY135" s="1144"/>
      <c r="DZ135" s="1144"/>
      <c r="EA135" s="1144"/>
      <c r="EB135" s="1144"/>
      <c r="EC135" s="1144"/>
      <c r="ED135" s="1144"/>
      <c r="EE135" s="1144"/>
      <c r="EF135" s="1144"/>
      <c r="EG135" s="1144"/>
      <c r="EH135" s="1144"/>
      <c r="EI135" s="1144"/>
      <c r="EJ135" s="1144"/>
      <c r="EK135" s="1144"/>
      <c r="EL135" s="1144"/>
      <c r="EM135" s="1144"/>
      <c r="EN135" s="1144"/>
      <c r="EO135" s="1144"/>
      <c r="EP135" s="1144"/>
      <c r="EQ135" s="1144"/>
      <c r="ER135" s="1144"/>
      <c r="ES135" s="1144"/>
      <c r="ET135" s="1144"/>
      <c r="EU135" s="1144"/>
      <c r="EV135" s="1144"/>
      <c r="EW135" s="1144"/>
      <c r="EX135" s="1144"/>
      <c r="EY135" s="1144"/>
      <c r="EZ135" s="1144"/>
      <c r="FA135" s="1144"/>
      <c r="FB135" s="1144"/>
      <c r="FC135" s="1144"/>
      <c r="FD135" s="1144"/>
      <c r="FE135" s="1144"/>
      <c r="FF135" s="1144"/>
      <c r="FG135" s="1144"/>
      <c r="FH135" s="1144"/>
      <c r="FI135" s="1144"/>
      <c r="FJ135" s="1144"/>
      <c r="FK135" s="1144"/>
      <c r="FL135" s="1144"/>
      <c r="FM135" s="1144"/>
      <c r="FN135" s="1144"/>
      <c r="FO135" s="1144"/>
      <c r="FP135" s="1144"/>
      <c r="FQ135" s="1144"/>
      <c r="FR135" s="1144"/>
      <c r="FS135" s="1144"/>
      <c r="FT135" s="1144"/>
      <c r="FU135" s="1144"/>
      <c r="FV135" s="1144"/>
      <c r="FW135" s="1144"/>
      <c r="FX135" s="1144"/>
      <c r="FY135" s="1144"/>
      <c r="FZ135" s="1144"/>
      <c r="GA135" s="1144"/>
      <c r="GB135" s="1145"/>
    </row>
    <row r="136" spans="3:184" hidden="1">
      <c r="C136" s="1115"/>
      <c r="D136" s="1116" t="s">
        <v>2269</v>
      </c>
      <c r="E136" s="1117" t="s">
        <v>2263</v>
      </c>
      <c r="F136" s="1117"/>
      <c r="G136" s="1118"/>
      <c r="H136" s="1118"/>
      <c r="I136" s="1118"/>
      <c r="J136" s="1119">
        <f>SUM(K136:GA136)</f>
        <v>0</v>
      </c>
      <c r="K136" s="1419"/>
      <c r="L136" s="1120">
        <f>L82</f>
        <v>0</v>
      </c>
      <c r="M136" s="1120">
        <f>M82</f>
        <v>0</v>
      </c>
      <c r="N136" s="1120">
        <f>N82</f>
        <v>0</v>
      </c>
      <c r="O136" s="1120">
        <f>O82</f>
        <v>0</v>
      </c>
      <c r="P136" s="1120">
        <f>P82</f>
        <v>0</v>
      </c>
      <c r="Q136" s="1120"/>
      <c r="R136" s="1120">
        <f>R82</f>
        <v>0</v>
      </c>
      <c r="S136" s="1120">
        <f>S82</f>
        <v>0</v>
      </c>
      <c r="T136" s="1146"/>
      <c r="U136" s="1120">
        <f t="shared" ref="U136:AZ136" si="141">U82</f>
        <v>0</v>
      </c>
      <c r="V136" s="1120">
        <f t="shared" si="141"/>
        <v>0</v>
      </c>
      <c r="W136" s="1120">
        <f t="shared" si="141"/>
        <v>0</v>
      </c>
      <c r="X136" s="1120">
        <f t="shared" si="141"/>
        <v>0</v>
      </c>
      <c r="Y136" s="1120">
        <f t="shared" si="141"/>
        <v>0</v>
      </c>
      <c r="Z136" s="1120">
        <f t="shared" si="141"/>
        <v>0</v>
      </c>
      <c r="AA136" s="1120">
        <f t="shared" si="141"/>
        <v>0</v>
      </c>
      <c r="AB136" s="1147">
        <f t="shared" si="141"/>
        <v>0</v>
      </c>
      <c r="AC136" s="1120">
        <f t="shared" si="141"/>
        <v>0</v>
      </c>
      <c r="AD136" s="1120">
        <f t="shared" si="141"/>
        <v>0</v>
      </c>
      <c r="AE136" s="1120">
        <f t="shared" si="141"/>
        <v>0</v>
      </c>
      <c r="AF136" s="1120">
        <f t="shared" si="141"/>
        <v>0</v>
      </c>
      <c r="AG136" s="1120">
        <f t="shared" si="141"/>
        <v>0</v>
      </c>
      <c r="AH136" s="1120">
        <f t="shared" si="141"/>
        <v>0</v>
      </c>
      <c r="AI136" s="1120">
        <f t="shared" si="141"/>
        <v>0</v>
      </c>
      <c r="AJ136" s="1120">
        <f t="shared" si="141"/>
        <v>0</v>
      </c>
      <c r="AK136" s="1120">
        <f t="shared" si="141"/>
        <v>0</v>
      </c>
      <c r="AL136" s="1120">
        <f t="shared" si="141"/>
        <v>0</v>
      </c>
      <c r="AM136" s="1120">
        <f t="shared" si="141"/>
        <v>0</v>
      </c>
      <c r="AN136" s="1120">
        <f t="shared" si="141"/>
        <v>0</v>
      </c>
      <c r="AO136" s="1120">
        <f t="shared" si="141"/>
        <v>0</v>
      </c>
      <c r="AP136" s="1120">
        <f t="shared" si="141"/>
        <v>0</v>
      </c>
      <c r="AQ136" s="1120">
        <f t="shared" si="141"/>
        <v>0</v>
      </c>
      <c r="AR136" s="1120">
        <f t="shared" si="141"/>
        <v>0</v>
      </c>
      <c r="AS136" s="1120">
        <f t="shared" si="141"/>
        <v>0</v>
      </c>
      <c r="AT136" s="1120">
        <f t="shared" si="141"/>
        <v>0</v>
      </c>
      <c r="AU136" s="1120">
        <f t="shared" si="141"/>
        <v>0</v>
      </c>
      <c r="AV136" s="1120">
        <f t="shared" si="141"/>
        <v>0</v>
      </c>
      <c r="AW136" s="1120" t="str">
        <f t="shared" si="141"/>
        <v xml:space="preserve"> </v>
      </c>
      <c r="AX136" s="1120">
        <f t="shared" si="141"/>
        <v>0</v>
      </c>
      <c r="AY136" s="1120">
        <f t="shared" si="141"/>
        <v>0</v>
      </c>
      <c r="AZ136" s="1120">
        <f t="shared" si="141"/>
        <v>0</v>
      </c>
      <c r="BA136" s="1120">
        <f t="shared" ref="BA136:CF136" si="142">BA82</f>
        <v>0</v>
      </c>
      <c r="BB136" s="1120">
        <f t="shared" si="142"/>
        <v>0</v>
      </c>
      <c r="BC136" s="1120">
        <f t="shared" si="142"/>
        <v>0</v>
      </c>
      <c r="BD136" s="1120">
        <f t="shared" si="142"/>
        <v>0</v>
      </c>
      <c r="BE136" s="1120">
        <f t="shared" si="142"/>
        <v>0</v>
      </c>
      <c r="BF136" s="1120">
        <f t="shared" si="142"/>
        <v>0</v>
      </c>
      <c r="BG136" s="1120">
        <f t="shared" si="142"/>
        <v>0</v>
      </c>
      <c r="BH136" s="1120">
        <f t="shared" si="142"/>
        <v>0</v>
      </c>
      <c r="BI136" s="1120">
        <f t="shared" si="142"/>
        <v>0</v>
      </c>
      <c r="BJ136" s="1120">
        <f t="shared" si="142"/>
        <v>0</v>
      </c>
      <c r="BK136" s="1120">
        <f t="shared" si="142"/>
        <v>0</v>
      </c>
      <c r="BL136" s="1120">
        <f t="shared" si="142"/>
        <v>0</v>
      </c>
      <c r="BM136" s="1120">
        <f t="shared" si="142"/>
        <v>0</v>
      </c>
      <c r="BN136" s="1120">
        <f t="shared" si="142"/>
        <v>0</v>
      </c>
      <c r="BO136" s="1120">
        <f t="shared" si="142"/>
        <v>0</v>
      </c>
      <c r="BP136" s="1120">
        <f t="shared" si="142"/>
        <v>0</v>
      </c>
      <c r="BQ136" s="1120">
        <f t="shared" si="142"/>
        <v>0</v>
      </c>
      <c r="BR136" s="1120">
        <f t="shared" si="142"/>
        <v>0</v>
      </c>
      <c r="BS136" s="1120">
        <f t="shared" si="142"/>
        <v>0</v>
      </c>
      <c r="BT136" s="1120">
        <f t="shared" si="142"/>
        <v>0</v>
      </c>
      <c r="BU136" s="1120">
        <f t="shared" si="142"/>
        <v>0</v>
      </c>
      <c r="BV136" s="1120">
        <f t="shared" si="142"/>
        <v>0</v>
      </c>
      <c r="BW136" s="1120">
        <f t="shared" si="142"/>
        <v>0</v>
      </c>
      <c r="BX136" s="1120">
        <f t="shared" si="142"/>
        <v>0</v>
      </c>
      <c r="BY136" s="1120">
        <f t="shared" si="142"/>
        <v>0</v>
      </c>
      <c r="BZ136" s="1120">
        <f t="shared" si="142"/>
        <v>0</v>
      </c>
      <c r="CA136" s="1120">
        <f t="shared" si="142"/>
        <v>0</v>
      </c>
      <c r="CB136" s="1120">
        <f t="shared" si="142"/>
        <v>0</v>
      </c>
      <c r="CC136" s="1120">
        <f t="shared" si="142"/>
        <v>0</v>
      </c>
      <c r="CD136" s="1120">
        <f t="shared" si="142"/>
        <v>0</v>
      </c>
      <c r="CE136" s="1120">
        <f t="shared" si="142"/>
        <v>0</v>
      </c>
      <c r="CF136" s="1120">
        <f t="shared" si="142"/>
        <v>0</v>
      </c>
      <c r="CG136" s="1120">
        <f t="shared" ref="CG136:CI136" si="143">CG82</f>
        <v>0</v>
      </c>
      <c r="CH136" s="1120">
        <f t="shared" si="143"/>
        <v>0</v>
      </c>
      <c r="CI136" s="1120">
        <f t="shared" si="143"/>
        <v>0</v>
      </c>
      <c r="CJ136" s="1120">
        <f t="shared" ref="CJ136:CO136" si="144">CJ82</f>
        <v>0</v>
      </c>
      <c r="CK136" s="1120">
        <f t="shared" si="144"/>
        <v>0</v>
      </c>
      <c r="CL136" s="1120">
        <f t="shared" si="144"/>
        <v>0</v>
      </c>
      <c r="CM136" s="1120">
        <f t="shared" si="144"/>
        <v>0</v>
      </c>
      <c r="CN136" s="1120">
        <f t="shared" si="144"/>
        <v>0</v>
      </c>
      <c r="CO136" s="1120">
        <f t="shared" si="144"/>
        <v>0</v>
      </c>
      <c r="CP136" s="1120">
        <f t="shared" ref="CP136:DA136" si="145">CP82</f>
        <v>0</v>
      </c>
      <c r="CQ136" s="1120">
        <f t="shared" si="145"/>
        <v>0</v>
      </c>
      <c r="CR136" s="1120">
        <f t="shared" si="145"/>
        <v>0</v>
      </c>
      <c r="CS136" s="1120">
        <f t="shared" si="145"/>
        <v>0</v>
      </c>
      <c r="CT136" s="1120">
        <f t="shared" si="145"/>
        <v>0</v>
      </c>
      <c r="CU136" s="1120">
        <f t="shared" si="145"/>
        <v>0</v>
      </c>
      <c r="CV136" s="1120">
        <f t="shared" si="145"/>
        <v>0</v>
      </c>
      <c r="CW136" s="1120">
        <f t="shared" si="145"/>
        <v>0</v>
      </c>
      <c r="CX136" s="1120">
        <f t="shared" si="145"/>
        <v>0</v>
      </c>
      <c r="CY136" s="1120">
        <f t="shared" si="145"/>
        <v>0</v>
      </c>
      <c r="CZ136" s="1120">
        <f t="shared" si="145"/>
        <v>0</v>
      </c>
      <c r="DA136" s="1120">
        <f t="shared" si="145"/>
        <v>0</v>
      </c>
      <c r="DB136" s="1120">
        <f t="shared" ref="DB136:DM136" si="146">DB82</f>
        <v>0</v>
      </c>
      <c r="DC136" s="1120">
        <f t="shared" si="146"/>
        <v>0</v>
      </c>
      <c r="DD136" s="1120">
        <f t="shared" si="146"/>
        <v>0</v>
      </c>
      <c r="DE136" s="1120">
        <f t="shared" si="146"/>
        <v>0</v>
      </c>
      <c r="DF136" s="1120">
        <f t="shared" si="146"/>
        <v>0</v>
      </c>
      <c r="DG136" s="1120">
        <f t="shared" si="146"/>
        <v>0</v>
      </c>
      <c r="DH136" s="1120">
        <f t="shared" si="146"/>
        <v>0</v>
      </c>
      <c r="DI136" s="1120">
        <f t="shared" si="146"/>
        <v>0</v>
      </c>
      <c r="DJ136" s="1120">
        <f t="shared" si="146"/>
        <v>0</v>
      </c>
      <c r="DK136" s="1120">
        <f t="shared" si="146"/>
        <v>0</v>
      </c>
      <c r="DL136" s="1120">
        <f t="shared" si="146"/>
        <v>0</v>
      </c>
      <c r="DM136" s="1120">
        <f t="shared" si="146"/>
        <v>0</v>
      </c>
      <c r="DN136" s="1120">
        <f t="shared" ref="DN136:DX136" si="147">DN82</f>
        <v>0</v>
      </c>
      <c r="DO136" s="1120">
        <f t="shared" si="147"/>
        <v>0</v>
      </c>
      <c r="DP136" s="1120">
        <f t="shared" si="147"/>
        <v>0</v>
      </c>
      <c r="DQ136" s="1120">
        <f t="shared" si="147"/>
        <v>0</v>
      </c>
      <c r="DR136" s="1120">
        <f t="shared" si="147"/>
        <v>0</v>
      </c>
      <c r="DS136" s="1120">
        <f t="shared" si="147"/>
        <v>0</v>
      </c>
      <c r="DT136" s="1120">
        <f t="shared" si="147"/>
        <v>0</v>
      </c>
      <c r="DU136" s="1120">
        <f t="shared" si="147"/>
        <v>0</v>
      </c>
      <c r="DV136" s="1120">
        <f t="shared" si="147"/>
        <v>0</v>
      </c>
      <c r="DW136" s="1120">
        <f t="shared" si="147"/>
        <v>0</v>
      </c>
      <c r="DX136" s="1120">
        <f t="shared" si="147"/>
        <v>0</v>
      </c>
      <c r="DY136" s="1120">
        <f t="shared" ref="DY136" si="148">DY82</f>
        <v>0</v>
      </c>
      <c r="DZ136" s="1120">
        <f t="shared" ref="DZ136" si="149">DZ82</f>
        <v>0</v>
      </c>
      <c r="EA136" s="1120">
        <f t="shared" ref="EA136:GA136" si="150">EA82</f>
        <v>0</v>
      </c>
      <c r="EB136" s="1120">
        <f t="shared" si="150"/>
        <v>0</v>
      </c>
      <c r="EC136" s="1120">
        <f t="shared" si="150"/>
        <v>0</v>
      </c>
      <c r="ED136" s="1120">
        <f t="shared" ref="ED136" si="151">ED82</f>
        <v>0</v>
      </c>
      <c r="EE136" s="1120">
        <f t="shared" ref="EE136:EF136" si="152">EE82</f>
        <v>0</v>
      </c>
      <c r="EF136" s="1120">
        <f t="shared" si="152"/>
        <v>0</v>
      </c>
      <c r="EG136" s="1120">
        <f t="shared" si="150"/>
        <v>0</v>
      </c>
      <c r="EH136" s="1120">
        <f t="shared" si="150"/>
        <v>0</v>
      </c>
      <c r="EI136" s="1120">
        <f t="shared" si="150"/>
        <v>0</v>
      </c>
      <c r="EJ136" s="1120">
        <f t="shared" si="150"/>
        <v>0</v>
      </c>
      <c r="EK136" s="1120">
        <f t="shared" si="150"/>
        <v>0</v>
      </c>
      <c r="EL136" s="1120">
        <f t="shared" ref="EL136:EM136" si="153">EL82</f>
        <v>0</v>
      </c>
      <c r="EM136" s="1120">
        <f t="shared" si="153"/>
        <v>0</v>
      </c>
      <c r="EN136" s="1120">
        <f t="shared" si="150"/>
        <v>0</v>
      </c>
      <c r="EO136" s="1120">
        <f t="shared" si="150"/>
        <v>0</v>
      </c>
      <c r="EP136" s="1120">
        <f t="shared" ref="EP136:FC136" si="154">EP82</f>
        <v>0</v>
      </c>
      <c r="EQ136" s="1120">
        <f t="shared" si="154"/>
        <v>0</v>
      </c>
      <c r="ER136" s="1120">
        <f t="shared" si="154"/>
        <v>0</v>
      </c>
      <c r="ES136" s="1120"/>
      <c r="ET136" s="1120">
        <f t="shared" si="154"/>
        <v>0</v>
      </c>
      <c r="EU136" s="1120">
        <f t="shared" si="154"/>
        <v>0</v>
      </c>
      <c r="EV136" s="1120">
        <f t="shared" si="154"/>
        <v>0</v>
      </c>
      <c r="EW136" s="1120">
        <f t="shared" si="154"/>
        <v>0</v>
      </c>
      <c r="EX136" s="1120">
        <f t="shared" si="154"/>
        <v>0</v>
      </c>
      <c r="EY136" s="1120">
        <f t="shared" si="154"/>
        <v>0</v>
      </c>
      <c r="EZ136" s="1120">
        <f t="shared" si="154"/>
        <v>0</v>
      </c>
      <c r="FA136" s="1120">
        <f t="shared" si="154"/>
        <v>0</v>
      </c>
      <c r="FB136" s="1120">
        <f t="shared" si="154"/>
        <v>0</v>
      </c>
      <c r="FC136" s="1120">
        <f t="shared" si="154"/>
        <v>0</v>
      </c>
      <c r="FD136" s="1120">
        <f t="shared" si="150"/>
        <v>0</v>
      </c>
      <c r="FE136" s="1120">
        <f t="shared" si="150"/>
        <v>0</v>
      </c>
      <c r="FF136" s="1120">
        <f t="shared" si="150"/>
        <v>0</v>
      </c>
      <c r="FG136" s="1120">
        <f t="shared" si="150"/>
        <v>0</v>
      </c>
      <c r="FH136" s="1120">
        <f t="shared" si="150"/>
        <v>0</v>
      </c>
      <c r="FI136" s="1120">
        <f t="shared" si="150"/>
        <v>0</v>
      </c>
      <c r="FJ136" s="1120">
        <f t="shared" si="150"/>
        <v>0</v>
      </c>
      <c r="FK136" s="1120">
        <f t="shared" si="150"/>
        <v>0</v>
      </c>
      <c r="FL136" s="1120">
        <f t="shared" si="150"/>
        <v>0</v>
      </c>
      <c r="FM136" s="1120">
        <f t="shared" ref="FM136:FN136" si="155">FM82</f>
        <v>0</v>
      </c>
      <c r="FN136" s="1120">
        <f t="shared" si="155"/>
        <v>0</v>
      </c>
      <c r="FO136" s="1120">
        <f t="shared" ref="FO136:FP136" si="156">FO82</f>
        <v>0</v>
      </c>
      <c r="FP136" s="1120">
        <f t="shared" si="156"/>
        <v>0</v>
      </c>
      <c r="FQ136" s="1120">
        <f t="shared" ref="FQ136:FT136" si="157">FQ82</f>
        <v>0</v>
      </c>
      <c r="FR136" s="1120">
        <f t="shared" si="157"/>
        <v>0</v>
      </c>
      <c r="FS136" s="1120">
        <f t="shared" si="157"/>
        <v>0</v>
      </c>
      <c r="FT136" s="1120">
        <f t="shared" si="157"/>
        <v>0</v>
      </c>
      <c r="FU136" s="1120">
        <f t="shared" ref="FU136:FX136" si="158">FU82</f>
        <v>0</v>
      </c>
      <c r="FV136" s="1120">
        <f t="shared" si="158"/>
        <v>0</v>
      </c>
      <c r="FW136" s="1120">
        <f t="shared" si="158"/>
        <v>0</v>
      </c>
      <c r="FX136" s="1120">
        <f t="shared" si="158"/>
        <v>0</v>
      </c>
      <c r="FY136" s="1120">
        <f t="shared" ref="FY136:FZ136" si="159">FY82</f>
        <v>0</v>
      </c>
      <c r="FZ136" s="1120">
        <f t="shared" si="159"/>
        <v>0</v>
      </c>
      <c r="GA136" s="1120">
        <f t="shared" si="150"/>
        <v>0</v>
      </c>
      <c r="GB136" s="1121"/>
    </row>
    <row r="137" spans="3:184" hidden="1">
      <c r="C137" s="1122"/>
      <c r="D137" s="1123" t="s">
        <v>2269</v>
      </c>
      <c r="E137" s="1124" t="s">
        <v>2264</v>
      </c>
      <c r="F137" s="1117"/>
      <c r="G137" s="1118"/>
      <c r="H137" s="1118"/>
      <c r="I137" s="1118"/>
      <c r="J137" s="1119">
        <f>SUM(K137:GA137)</f>
        <v>0</v>
      </c>
      <c r="K137" s="1419"/>
      <c r="L137" s="1133"/>
      <c r="M137" s="1133"/>
      <c r="N137" s="1133"/>
      <c r="O137" s="1133"/>
      <c r="P137" s="1133"/>
      <c r="Q137" s="1133"/>
      <c r="R137" s="1133"/>
      <c r="S137" s="1133"/>
      <c r="T137" s="1135"/>
      <c r="U137" s="1133"/>
      <c r="V137" s="1133"/>
      <c r="W137" s="1133"/>
      <c r="X137" s="1133"/>
      <c r="Y137" s="1133"/>
      <c r="Z137" s="1133"/>
      <c r="AA137" s="1133"/>
      <c r="AB137" s="1134"/>
      <c r="AC137" s="1133"/>
      <c r="AD137" s="1133"/>
      <c r="AE137" s="1133"/>
      <c r="AF137" s="1133"/>
      <c r="AG137" s="1133"/>
      <c r="AH137" s="1133"/>
      <c r="AI137" s="1133"/>
      <c r="AJ137" s="1133"/>
      <c r="AK137" s="1133"/>
      <c r="AL137" s="1133"/>
      <c r="AM137" s="1133"/>
      <c r="AN137" s="1133"/>
      <c r="AO137" s="1133"/>
      <c r="AP137" s="1133"/>
      <c r="AQ137" s="1133"/>
      <c r="AR137" s="1133"/>
      <c r="AS137" s="1133"/>
      <c r="AT137" s="1133"/>
      <c r="AU137" s="1133"/>
      <c r="AV137" s="1133"/>
      <c r="AW137" s="1133"/>
      <c r="AX137" s="1133"/>
      <c r="AY137" s="1133"/>
      <c r="AZ137" s="1133"/>
      <c r="BA137" s="1133"/>
      <c r="BB137" s="1133"/>
      <c r="BC137" s="1133"/>
      <c r="BD137" s="1133"/>
      <c r="BE137" s="1133"/>
      <c r="BF137" s="1133"/>
      <c r="BG137" s="1133"/>
      <c r="BH137" s="1133"/>
      <c r="BI137" s="1133"/>
      <c r="BJ137" s="1133"/>
      <c r="BK137" s="1133"/>
      <c r="BL137" s="1133"/>
      <c r="BM137" s="1133"/>
      <c r="BN137" s="1133"/>
      <c r="BO137" s="1133"/>
      <c r="BP137" s="1133"/>
      <c r="BQ137" s="1133"/>
      <c r="BR137" s="1133"/>
      <c r="BS137" s="1133"/>
      <c r="BT137" s="1133"/>
      <c r="BU137" s="1133"/>
      <c r="BV137" s="1133"/>
      <c r="BW137" s="1133"/>
      <c r="BX137" s="1133"/>
      <c r="BY137" s="1133"/>
      <c r="BZ137" s="1133"/>
      <c r="CA137" s="1133"/>
      <c r="CB137" s="1133"/>
      <c r="CC137" s="1133"/>
      <c r="CD137" s="1133"/>
      <c r="CE137" s="1133"/>
      <c r="CF137" s="1133"/>
      <c r="CG137" s="1133"/>
      <c r="CH137" s="1133"/>
      <c r="CI137" s="1133"/>
      <c r="CJ137" s="1133"/>
      <c r="CK137" s="1133"/>
      <c r="CL137" s="1133"/>
      <c r="CM137" s="1133"/>
      <c r="CN137" s="1133"/>
      <c r="CO137" s="1133"/>
      <c r="CP137" s="1133"/>
      <c r="CQ137" s="1133"/>
      <c r="CR137" s="1133"/>
      <c r="CS137" s="1133"/>
      <c r="CT137" s="1133"/>
      <c r="CU137" s="1133"/>
      <c r="CV137" s="1133"/>
      <c r="CW137" s="1133"/>
      <c r="CX137" s="1133"/>
      <c r="CY137" s="1133"/>
      <c r="CZ137" s="1133"/>
      <c r="DA137" s="1133"/>
      <c r="DB137" s="1133"/>
      <c r="DC137" s="1133"/>
      <c r="DD137" s="1133"/>
      <c r="DE137" s="1133"/>
      <c r="DF137" s="1133"/>
      <c r="DG137" s="1133"/>
      <c r="DH137" s="1133"/>
      <c r="DI137" s="1133"/>
      <c r="DJ137" s="1133"/>
      <c r="DK137" s="1133"/>
      <c r="DL137" s="1133"/>
      <c r="DM137" s="1133"/>
      <c r="DN137" s="1133"/>
      <c r="DO137" s="1133"/>
      <c r="DP137" s="1133"/>
      <c r="DQ137" s="1133"/>
      <c r="DR137" s="1133"/>
      <c r="DS137" s="1133"/>
      <c r="DT137" s="1133"/>
      <c r="DU137" s="1133"/>
      <c r="DV137" s="1133"/>
      <c r="DW137" s="1133"/>
      <c r="DX137" s="1133"/>
      <c r="DY137" s="1133"/>
      <c r="DZ137" s="1133"/>
      <c r="EA137" s="1133"/>
      <c r="EB137" s="1133"/>
      <c r="EC137" s="1133"/>
      <c r="ED137" s="1133"/>
      <c r="EE137" s="1133"/>
      <c r="EF137" s="1133"/>
      <c r="EG137" s="1133"/>
      <c r="EH137" s="1133"/>
      <c r="EI137" s="1133"/>
      <c r="EJ137" s="1133"/>
      <c r="EK137" s="1133"/>
      <c r="EL137" s="1133"/>
      <c r="EM137" s="1133"/>
      <c r="EN137" s="1133"/>
      <c r="EO137" s="1133"/>
      <c r="EP137" s="1133"/>
      <c r="EQ137" s="1133"/>
      <c r="ER137" s="1133"/>
      <c r="ES137" s="1133"/>
      <c r="ET137" s="1133"/>
      <c r="EU137" s="1133"/>
      <c r="EV137" s="1133"/>
      <c r="EW137" s="1133"/>
      <c r="EX137" s="1133"/>
      <c r="EY137" s="1133"/>
      <c r="EZ137" s="1133"/>
      <c r="FA137" s="1133"/>
      <c r="FB137" s="1133"/>
      <c r="FC137" s="1133"/>
      <c r="FD137" s="1133"/>
      <c r="FE137" s="1133"/>
      <c r="FF137" s="1133"/>
      <c r="FG137" s="1133"/>
      <c r="FH137" s="1133"/>
      <c r="FI137" s="1133"/>
      <c r="FJ137" s="1133"/>
      <c r="FK137" s="1133"/>
      <c r="FL137" s="1133"/>
      <c r="FM137" s="1133"/>
      <c r="FN137" s="1133"/>
      <c r="FO137" s="1133"/>
      <c r="FP137" s="1133"/>
      <c r="FQ137" s="1133"/>
      <c r="FR137" s="1133"/>
      <c r="FS137" s="1133"/>
      <c r="FT137" s="1133"/>
      <c r="FU137" s="1133"/>
      <c r="FV137" s="1133"/>
      <c r="FW137" s="1133"/>
      <c r="FX137" s="1133"/>
      <c r="FY137" s="1133"/>
      <c r="FZ137" s="1133"/>
      <c r="GA137" s="1133"/>
      <c r="GB137" s="1121"/>
    </row>
    <row r="138" spans="3:184" hidden="1">
      <c r="C138" s="1115"/>
      <c r="D138" s="1130" t="s">
        <v>2269</v>
      </c>
      <c r="E138" s="1131" t="s">
        <v>2265</v>
      </c>
      <c r="F138" s="1117"/>
      <c r="G138" s="1118"/>
      <c r="H138" s="1118"/>
      <c r="I138" s="1118"/>
      <c r="J138" s="1119">
        <f>SUM(K138:GA138)</f>
        <v>0</v>
      </c>
      <c r="K138" s="1419"/>
      <c r="L138" s="1133"/>
      <c r="M138" s="1133"/>
      <c r="N138" s="1133"/>
      <c r="O138" s="1133"/>
      <c r="P138" s="1133"/>
      <c r="Q138" s="1133"/>
      <c r="R138" s="1133"/>
      <c r="S138" s="1133"/>
      <c r="T138" s="1135"/>
      <c r="U138" s="1133"/>
      <c r="V138" s="1133"/>
      <c r="W138" s="1133"/>
      <c r="X138" s="1133"/>
      <c r="Y138" s="1133"/>
      <c r="Z138" s="1133"/>
      <c r="AA138" s="1133"/>
      <c r="AB138" s="1134"/>
      <c r="AC138" s="1133"/>
      <c r="AD138" s="1133"/>
      <c r="AE138" s="1133"/>
      <c r="AF138" s="1133"/>
      <c r="AG138" s="1133"/>
      <c r="AH138" s="1133"/>
      <c r="AI138" s="1133"/>
      <c r="AJ138" s="1133"/>
      <c r="AK138" s="1133"/>
      <c r="AL138" s="1133"/>
      <c r="AM138" s="1133"/>
      <c r="AN138" s="1133"/>
      <c r="AO138" s="1133"/>
      <c r="AP138" s="1133"/>
      <c r="AQ138" s="1133"/>
      <c r="AR138" s="1133"/>
      <c r="AS138" s="1133"/>
      <c r="AT138" s="1133"/>
      <c r="AU138" s="1133"/>
      <c r="AV138" s="1133"/>
      <c r="AW138" s="1133"/>
      <c r="AX138" s="1133"/>
      <c r="AY138" s="1133"/>
      <c r="AZ138" s="1133"/>
      <c r="BA138" s="1133"/>
      <c r="BB138" s="1133"/>
      <c r="BC138" s="1133"/>
      <c r="BD138" s="1133"/>
      <c r="BE138" s="1133"/>
      <c r="BF138" s="1133"/>
      <c r="BG138" s="1133"/>
      <c r="BH138" s="1133"/>
      <c r="BI138" s="1133"/>
      <c r="BJ138" s="1133"/>
      <c r="BK138" s="1133"/>
      <c r="BL138" s="1133"/>
      <c r="BM138" s="1133"/>
      <c r="BN138" s="1133"/>
      <c r="BO138" s="1133"/>
      <c r="BP138" s="1133"/>
      <c r="BQ138" s="1133"/>
      <c r="BR138" s="1133"/>
      <c r="BS138" s="1133"/>
      <c r="BT138" s="1133"/>
      <c r="BU138" s="1133"/>
      <c r="BV138" s="1133"/>
      <c r="BW138" s="1133"/>
      <c r="BX138" s="1133"/>
      <c r="BY138" s="1133"/>
      <c r="BZ138" s="1133"/>
      <c r="CA138" s="1133"/>
      <c r="CB138" s="1133"/>
      <c r="CC138" s="1133"/>
      <c r="CD138" s="1133"/>
      <c r="CE138" s="1133"/>
      <c r="CF138" s="1133"/>
      <c r="CG138" s="1133"/>
      <c r="CH138" s="1133"/>
      <c r="CI138" s="1133"/>
      <c r="CJ138" s="1133"/>
      <c r="CK138" s="1133"/>
      <c r="CL138" s="1133"/>
      <c r="CM138" s="1133"/>
      <c r="CN138" s="1133"/>
      <c r="CO138" s="1133"/>
      <c r="CP138" s="1133"/>
      <c r="CQ138" s="1133"/>
      <c r="CR138" s="1133"/>
      <c r="CS138" s="1133"/>
      <c r="CT138" s="1133"/>
      <c r="CU138" s="1133"/>
      <c r="CV138" s="1133"/>
      <c r="CW138" s="1133"/>
      <c r="CX138" s="1133"/>
      <c r="CY138" s="1133"/>
      <c r="CZ138" s="1133"/>
      <c r="DA138" s="1133"/>
      <c r="DB138" s="1133"/>
      <c r="DC138" s="1133"/>
      <c r="DD138" s="1133"/>
      <c r="DE138" s="1133"/>
      <c r="DF138" s="1133"/>
      <c r="DG138" s="1133"/>
      <c r="DH138" s="1133"/>
      <c r="DI138" s="1133"/>
      <c r="DJ138" s="1133"/>
      <c r="DK138" s="1133"/>
      <c r="DL138" s="1133"/>
      <c r="DM138" s="1133"/>
      <c r="DN138" s="1133"/>
      <c r="DO138" s="1133"/>
      <c r="DP138" s="1133"/>
      <c r="DQ138" s="1133"/>
      <c r="DR138" s="1133"/>
      <c r="DS138" s="1133"/>
      <c r="DT138" s="1133"/>
      <c r="DU138" s="1133"/>
      <c r="DV138" s="1133"/>
      <c r="DW138" s="1133"/>
      <c r="DX138" s="1133"/>
      <c r="DY138" s="1133"/>
      <c r="DZ138" s="1133"/>
      <c r="EA138" s="1133"/>
      <c r="EB138" s="1133"/>
      <c r="EC138" s="1133"/>
      <c r="ED138" s="1133"/>
      <c r="EE138" s="1133"/>
      <c r="EF138" s="1133"/>
      <c r="EG138" s="1133"/>
      <c r="EH138" s="1133"/>
      <c r="EI138" s="1133"/>
      <c r="EJ138" s="1133"/>
      <c r="EK138" s="1133"/>
      <c r="EL138" s="1133"/>
      <c r="EM138" s="1133"/>
      <c r="EN138" s="1133"/>
      <c r="EO138" s="1133"/>
      <c r="EP138" s="1133"/>
      <c r="EQ138" s="1133"/>
      <c r="ER138" s="1133"/>
      <c r="ES138" s="1133"/>
      <c r="ET138" s="1133"/>
      <c r="EU138" s="1133"/>
      <c r="EV138" s="1133"/>
      <c r="EW138" s="1133"/>
      <c r="EX138" s="1133"/>
      <c r="EY138" s="1133"/>
      <c r="EZ138" s="1133"/>
      <c r="FA138" s="1133"/>
      <c r="FB138" s="1133"/>
      <c r="FC138" s="1133"/>
      <c r="FD138" s="1133"/>
      <c r="FE138" s="1133"/>
      <c r="FF138" s="1133"/>
      <c r="FG138" s="1133"/>
      <c r="FH138" s="1133"/>
      <c r="FI138" s="1133"/>
      <c r="FJ138" s="1133"/>
      <c r="FK138" s="1133"/>
      <c r="FL138" s="1133"/>
      <c r="FM138" s="1133"/>
      <c r="FN138" s="1133"/>
      <c r="FO138" s="1133"/>
      <c r="FP138" s="1133"/>
      <c r="FQ138" s="1133"/>
      <c r="FR138" s="1133"/>
      <c r="FS138" s="1133"/>
      <c r="FT138" s="1133"/>
      <c r="FU138" s="1133"/>
      <c r="FV138" s="1133"/>
      <c r="FW138" s="1133"/>
      <c r="FX138" s="1133"/>
      <c r="FY138" s="1133"/>
      <c r="FZ138" s="1133"/>
      <c r="GA138" s="1133"/>
      <c r="GB138" s="1121"/>
    </row>
    <row r="139" spans="3:184" hidden="1">
      <c r="C139" s="1115"/>
      <c r="D139" s="1137" t="s">
        <v>2269</v>
      </c>
      <c r="E139" s="1138" t="s">
        <v>2267</v>
      </c>
      <c r="F139" s="1117"/>
      <c r="G139" s="1118"/>
      <c r="H139" s="1118"/>
      <c r="I139" s="1118"/>
      <c r="J139" s="1119">
        <f>SUM(K139:GA139)</f>
        <v>0</v>
      </c>
      <c r="K139" s="1419"/>
      <c r="L139" s="1133"/>
      <c r="M139" s="1133"/>
      <c r="N139" s="1133"/>
      <c r="O139" s="1133"/>
      <c r="P139" s="1133"/>
      <c r="Q139" s="1133"/>
      <c r="R139" s="1133"/>
      <c r="S139" s="1133"/>
      <c r="T139" s="1135"/>
      <c r="U139" s="1133"/>
      <c r="V139" s="1133"/>
      <c r="W139" s="1133"/>
      <c r="X139" s="1133"/>
      <c r="Y139" s="1133"/>
      <c r="Z139" s="1133"/>
      <c r="AA139" s="1133"/>
      <c r="AB139" s="1134"/>
      <c r="AC139" s="1133"/>
      <c r="AD139" s="1133"/>
      <c r="AE139" s="1133"/>
      <c r="AF139" s="1133"/>
      <c r="AG139" s="1133"/>
      <c r="AH139" s="1133"/>
      <c r="AI139" s="1133"/>
      <c r="AJ139" s="1133"/>
      <c r="AK139" s="1133"/>
      <c r="AL139" s="1133"/>
      <c r="AM139" s="1133"/>
      <c r="AN139" s="1133"/>
      <c r="AO139" s="1133"/>
      <c r="AP139" s="1133"/>
      <c r="AQ139" s="1133"/>
      <c r="AR139" s="1133"/>
      <c r="AS139" s="1133"/>
      <c r="AT139" s="1133"/>
      <c r="AU139" s="1133"/>
      <c r="AV139" s="1133"/>
      <c r="AW139" s="1133"/>
      <c r="AX139" s="1133"/>
      <c r="AY139" s="1133"/>
      <c r="AZ139" s="1133"/>
      <c r="BA139" s="1133"/>
      <c r="BB139" s="1133"/>
      <c r="BC139" s="1133"/>
      <c r="BD139" s="1133"/>
      <c r="BE139" s="1133"/>
      <c r="BF139" s="1133"/>
      <c r="BG139" s="1133"/>
      <c r="BH139" s="1133"/>
      <c r="BI139" s="1133"/>
      <c r="BJ139" s="1133"/>
      <c r="BK139" s="1133"/>
      <c r="BL139" s="1133"/>
      <c r="BM139" s="1133"/>
      <c r="BN139" s="1133"/>
      <c r="BO139" s="1133"/>
      <c r="BP139" s="1133"/>
      <c r="BQ139" s="1133"/>
      <c r="BR139" s="1133"/>
      <c r="BS139" s="1133"/>
      <c r="BT139" s="1133"/>
      <c r="BU139" s="1133"/>
      <c r="BV139" s="1133"/>
      <c r="BW139" s="1133"/>
      <c r="BX139" s="1133"/>
      <c r="BY139" s="1133"/>
      <c r="BZ139" s="1133"/>
      <c r="CA139" s="1133"/>
      <c r="CB139" s="1133"/>
      <c r="CC139" s="1133"/>
      <c r="CD139" s="1133"/>
      <c r="CE139" s="1133"/>
      <c r="CF139" s="1133"/>
      <c r="CG139" s="1133"/>
      <c r="CH139" s="1133"/>
      <c r="CI139" s="1133"/>
      <c r="CJ139" s="1133"/>
      <c r="CK139" s="1133"/>
      <c r="CL139" s="1133"/>
      <c r="CM139" s="1133"/>
      <c r="CN139" s="1133"/>
      <c r="CO139" s="1133"/>
      <c r="CP139" s="1133"/>
      <c r="CQ139" s="1133"/>
      <c r="CR139" s="1133"/>
      <c r="CS139" s="1133"/>
      <c r="CT139" s="1133"/>
      <c r="CU139" s="1133"/>
      <c r="CV139" s="1133"/>
      <c r="CW139" s="1133"/>
      <c r="CX139" s="1133"/>
      <c r="CY139" s="1133"/>
      <c r="CZ139" s="1133"/>
      <c r="DA139" s="1133"/>
      <c r="DB139" s="1133"/>
      <c r="DC139" s="1133"/>
      <c r="DD139" s="1133"/>
      <c r="DE139" s="1133"/>
      <c r="DF139" s="1133"/>
      <c r="DG139" s="1133"/>
      <c r="DH139" s="1133"/>
      <c r="DI139" s="1133"/>
      <c r="DJ139" s="1133"/>
      <c r="DK139" s="1133"/>
      <c r="DL139" s="1133"/>
      <c r="DM139" s="1133"/>
      <c r="DN139" s="1133"/>
      <c r="DO139" s="1133"/>
      <c r="DP139" s="1133"/>
      <c r="DQ139" s="1133"/>
      <c r="DR139" s="1133"/>
      <c r="DS139" s="1133"/>
      <c r="DT139" s="1133"/>
      <c r="DU139" s="1133"/>
      <c r="DV139" s="1133"/>
      <c r="DW139" s="1133"/>
      <c r="DX139" s="1133"/>
      <c r="DY139" s="1133"/>
      <c r="DZ139" s="1133"/>
      <c r="EA139" s="1133"/>
      <c r="EB139" s="1133"/>
      <c r="EC139" s="1133"/>
      <c r="ED139" s="1133"/>
      <c r="EE139" s="1133"/>
      <c r="EF139" s="1133"/>
      <c r="EG139" s="1133"/>
      <c r="EH139" s="1133"/>
      <c r="EI139" s="1133"/>
      <c r="EJ139" s="1133"/>
      <c r="EK139" s="1133"/>
      <c r="EL139" s="1133"/>
      <c r="EM139" s="1133"/>
      <c r="EN139" s="1133"/>
      <c r="EO139" s="1133"/>
      <c r="EP139" s="1133"/>
      <c r="EQ139" s="1133"/>
      <c r="ER139" s="1133"/>
      <c r="ES139" s="1133"/>
      <c r="ET139" s="1133"/>
      <c r="EU139" s="1133"/>
      <c r="EV139" s="1133"/>
      <c r="EW139" s="1133"/>
      <c r="EX139" s="1133"/>
      <c r="EY139" s="1133"/>
      <c r="EZ139" s="1133"/>
      <c r="FA139" s="1133"/>
      <c r="FB139" s="1133"/>
      <c r="FC139" s="1133"/>
      <c r="FD139" s="1133"/>
      <c r="FE139" s="1133"/>
      <c r="FF139" s="1133"/>
      <c r="FG139" s="1133"/>
      <c r="FH139" s="1133"/>
      <c r="FI139" s="1133"/>
      <c r="FJ139" s="1133"/>
      <c r="FK139" s="1133"/>
      <c r="FL139" s="1133"/>
      <c r="FM139" s="1133"/>
      <c r="FN139" s="1133"/>
      <c r="FO139" s="1133"/>
      <c r="FP139" s="1133"/>
      <c r="FQ139" s="1133"/>
      <c r="FR139" s="1133"/>
      <c r="FS139" s="1133"/>
      <c r="FT139" s="1133"/>
      <c r="FU139" s="1133"/>
      <c r="FV139" s="1133"/>
      <c r="FW139" s="1133"/>
      <c r="FX139" s="1133"/>
      <c r="FY139" s="1133"/>
      <c r="FZ139" s="1133"/>
      <c r="GA139" s="1133"/>
      <c r="GB139" s="1121"/>
    </row>
    <row r="140" spans="3:184" hidden="1">
      <c r="C140" s="1115"/>
      <c r="D140" s="1117"/>
      <c r="E140" s="1117" t="s">
        <v>1611</v>
      </c>
      <c r="F140" s="1117"/>
      <c r="G140" s="1118"/>
      <c r="H140" s="1118"/>
      <c r="I140" s="1118"/>
      <c r="J140" s="1119">
        <f>SUM(K140:GA140)</f>
        <v>0</v>
      </c>
      <c r="K140" s="1419"/>
      <c r="L140" s="1120">
        <f t="shared" ref="L140:EH140" si="160">SUM(L136:L139)</f>
        <v>0</v>
      </c>
      <c r="M140" s="1120">
        <f t="shared" si="160"/>
        <v>0</v>
      </c>
      <c r="N140" s="1120">
        <f t="shared" si="160"/>
        <v>0</v>
      </c>
      <c r="O140" s="1120">
        <f>SUM(O136:O139)</f>
        <v>0</v>
      </c>
      <c r="P140" s="1120">
        <f t="shared" si="160"/>
        <v>0</v>
      </c>
      <c r="Q140" s="1120"/>
      <c r="R140" s="1120">
        <f t="shared" si="160"/>
        <v>0</v>
      </c>
      <c r="S140" s="1120">
        <f t="shared" si="160"/>
        <v>0</v>
      </c>
      <c r="T140" s="1146"/>
      <c r="U140" s="1120">
        <f t="shared" si="160"/>
        <v>0</v>
      </c>
      <c r="V140" s="1120">
        <f t="shared" si="160"/>
        <v>0</v>
      </c>
      <c r="W140" s="1120">
        <f t="shared" si="160"/>
        <v>0</v>
      </c>
      <c r="X140" s="1120">
        <f t="shared" si="160"/>
        <v>0</v>
      </c>
      <c r="Y140" s="1120">
        <f t="shared" si="160"/>
        <v>0</v>
      </c>
      <c r="Z140" s="1120">
        <f>SUM(Z136:Z139)</f>
        <v>0</v>
      </c>
      <c r="AA140" s="1120">
        <f>SUM(AA136:AA139)</f>
        <v>0</v>
      </c>
      <c r="AB140" s="1147">
        <f>SUM(AB136:AB139)</f>
        <v>0</v>
      </c>
      <c r="AC140" s="1120">
        <f>SUM(AC136:AC139)</f>
        <v>0</v>
      </c>
      <c r="AD140" s="1120">
        <f>SUM(AD136:AD139)</f>
        <v>0</v>
      </c>
      <c r="AE140" s="1120">
        <f t="shared" si="160"/>
        <v>0</v>
      </c>
      <c r="AF140" s="1120">
        <f t="shared" si="160"/>
        <v>0</v>
      </c>
      <c r="AG140" s="1120">
        <f t="shared" si="160"/>
        <v>0</v>
      </c>
      <c r="AH140" s="1120">
        <f t="shared" si="160"/>
        <v>0</v>
      </c>
      <c r="AI140" s="1120">
        <f t="shared" si="160"/>
        <v>0</v>
      </c>
      <c r="AJ140" s="1120">
        <f t="shared" si="160"/>
        <v>0</v>
      </c>
      <c r="AK140" s="1120">
        <f t="shared" ref="AK140:BP140" si="161">SUM(AK136:AK139)</f>
        <v>0</v>
      </c>
      <c r="AL140" s="1120">
        <f t="shared" si="161"/>
        <v>0</v>
      </c>
      <c r="AM140" s="1120">
        <f t="shared" si="161"/>
        <v>0</v>
      </c>
      <c r="AN140" s="1120">
        <f t="shared" si="161"/>
        <v>0</v>
      </c>
      <c r="AO140" s="1120">
        <f t="shared" si="161"/>
        <v>0</v>
      </c>
      <c r="AP140" s="1120">
        <f t="shared" si="161"/>
        <v>0</v>
      </c>
      <c r="AQ140" s="1120">
        <f t="shared" si="161"/>
        <v>0</v>
      </c>
      <c r="AR140" s="1120">
        <f t="shared" si="161"/>
        <v>0</v>
      </c>
      <c r="AS140" s="1120">
        <f t="shared" si="161"/>
        <v>0</v>
      </c>
      <c r="AT140" s="1120">
        <f t="shared" si="161"/>
        <v>0</v>
      </c>
      <c r="AU140" s="1120">
        <f t="shared" si="161"/>
        <v>0</v>
      </c>
      <c r="AV140" s="1120">
        <f t="shared" si="161"/>
        <v>0</v>
      </c>
      <c r="AW140" s="1120">
        <f t="shared" si="161"/>
        <v>0</v>
      </c>
      <c r="AX140" s="1120">
        <f t="shared" si="161"/>
        <v>0</v>
      </c>
      <c r="AY140" s="1120">
        <f t="shared" si="161"/>
        <v>0</v>
      </c>
      <c r="AZ140" s="1120">
        <f t="shared" si="161"/>
        <v>0</v>
      </c>
      <c r="BA140" s="1120">
        <f t="shared" si="161"/>
        <v>0</v>
      </c>
      <c r="BB140" s="1120">
        <f t="shared" si="161"/>
        <v>0</v>
      </c>
      <c r="BC140" s="1120">
        <f t="shared" ref="BC140" si="162">SUM(BC136:BC139)</f>
        <v>0</v>
      </c>
      <c r="BD140" s="1120">
        <f t="shared" si="161"/>
        <v>0</v>
      </c>
      <c r="BE140" s="1120">
        <f t="shared" si="161"/>
        <v>0</v>
      </c>
      <c r="BF140" s="1120">
        <f t="shared" si="161"/>
        <v>0</v>
      </c>
      <c r="BG140" s="1120">
        <f t="shared" si="161"/>
        <v>0</v>
      </c>
      <c r="BH140" s="1120">
        <f t="shared" si="161"/>
        <v>0</v>
      </c>
      <c r="BI140" s="1120">
        <f t="shared" si="161"/>
        <v>0</v>
      </c>
      <c r="BJ140" s="1120">
        <f t="shared" si="161"/>
        <v>0</v>
      </c>
      <c r="BK140" s="1120">
        <f t="shared" si="161"/>
        <v>0</v>
      </c>
      <c r="BL140" s="1120">
        <f t="shared" si="161"/>
        <v>0</v>
      </c>
      <c r="BM140" s="1120">
        <f t="shared" si="161"/>
        <v>0</v>
      </c>
      <c r="BN140" s="1120">
        <f t="shared" si="161"/>
        <v>0</v>
      </c>
      <c r="BO140" s="1120">
        <f t="shared" si="161"/>
        <v>0</v>
      </c>
      <c r="BP140" s="1120">
        <f t="shared" si="161"/>
        <v>0</v>
      </c>
      <c r="BQ140" s="1120">
        <f t="shared" ref="BQ140:EA140" si="163">SUM(BQ136:BQ139)</f>
        <v>0</v>
      </c>
      <c r="BR140" s="1120">
        <f t="shared" si="163"/>
        <v>0</v>
      </c>
      <c r="BS140" s="1120">
        <f t="shared" si="163"/>
        <v>0</v>
      </c>
      <c r="BT140" s="1120">
        <f t="shared" si="163"/>
        <v>0</v>
      </c>
      <c r="BU140" s="1120">
        <f t="shared" si="163"/>
        <v>0</v>
      </c>
      <c r="BV140" s="1120">
        <f t="shared" si="163"/>
        <v>0</v>
      </c>
      <c r="BW140" s="1120">
        <f t="shared" si="163"/>
        <v>0</v>
      </c>
      <c r="BX140" s="1120">
        <f t="shared" si="163"/>
        <v>0</v>
      </c>
      <c r="BY140" s="1120">
        <f t="shared" si="163"/>
        <v>0</v>
      </c>
      <c r="BZ140" s="1120">
        <f t="shared" si="163"/>
        <v>0</v>
      </c>
      <c r="CA140" s="1120">
        <f t="shared" si="163"/>
        <v>0</v>
      </c>
      <c r="CB140" s="1120">
        <f t="shared" si="163"/>
        <v>0</v>
      </c>
      <c r="CC140" s="1120">
        <f t="shared" si="163"/>
        <v>0</v>
      </c>
      <c r="CD140" s="1120">
        <f t="shared" si="163"/>
        <v>0</v>
      </c>
      <c r="CE140" s="1120">
        <f t="shared" si="163"/>
        <v>0</v>
      </c>
      <c r="CF140" s="1120">
        <f t="shared" si="163"/>
        <v>0</v>
      </c>
      <c r="CG140" s="1120">
        <f t="shared" ref="CG140:CI140" si="164">SUM(CG136:CG139)</f>
        <v>0</v>
      </c>
      <c r="CH140" s="1120">
        <f t="shared" si="164"/>
        <v>0</v>
      </c>
      <c r="CI140" s="1120">
        <f t="shared" si="164"/>
        <v>0</v>
      </c>
      <c r="CJ140" s="1120">
        <f t="shared" ref="CJ140:CO140" si="165">SUM(CJ136:CJ139)</f>
        <v>0</v>
      </c>
      <c r="CK140" s="1120">
        <f t="shared" si="165"/>
        <v>0</v>
      </c>
      <c r="CL140" s="1120">
        <f t="shared" si="165"/>
        <v>0</v>
      </c>
      <c r="CM140" s="1120">
        <f t="shared" si="165"/>
        <v>0</v>
      </c>
      <c r="CN140" s="1120">
        <f t="shared" si="165"/>
        <v>0</v>
      </c>
      <c r="CO140" s="1120">
        <f t="shared" si="165"/>
        <v>0</v>
      </c>
      <c r="CP140" s="1120">
        <f t="shared" ref="CP140:DA140" si="166">SUM(CP136:CP139)</f>
        <v>0</v>
      </c>
      <c r="CQ140" s="1120">
        <f t="shared" si="166"/>
        <v>0</v>
      </c>
      <c r="CR140" s="1120">
        <f t="shared" si="166"/>
        <v>0</v>
      </c>
      <c r="CS140" s="1120">
        <f t="shared" si="166"/>
        <v>0</v>
      </c>
      <c r="CT140" s="1120">
        <f t="shared" si="166"/>
        <v>0</v>
      </c>
      <c r="CU140" s="1120">
        <f t="shared" si="166"/>
        <v>0</v>
      </c>
      <c r="CV140" s="1120">
        <f t="shared" si="166"/>
        <v>0</v>
      </c>
      <c r="CW140" s="1120">
        <f t="shared" si="166"/>
        <v>0</v>
      </c>
      <c r="CX140" s="1120">
        <f t="shared" si="166"/>
        <v>0</v>
      </c>
      <c r="CY140" s="1120">
        <f t="shared" si="166"/>
        <v>0</v>
      </c>
      <c r="CZ140" s="1120">
        <f t="shared" si="166"/>
        <v>0</v>
      </c>
      <c r="DA140" s="1120">
        <f t="shared" si="166"/>
        <v>0</v>
      </c>
      <c r="DB140" s="1120">
        <f t="shared" ref="DB140:DM140" si="167">SUM(DB136:DB139)</f>
        <v>0</v>
      </c>
      <c r="DC140" s="1120">
        <f t="shared" si="167"/>
        <v>0</v>
      </c>
      <c r="DD140" s="1120">
        <f t="shared" si="167"/>
        <v>0</v>
      </c>
      <c r="DE140" s="1120">
        <f t="shared" si="167"/>
        <v>0</v>
      </c>
      <c r="DF140" s="1120">
        <f t="shared" si="167"/>
        <v>0</v>
      </c>
      <c r="DG140" s="1120">
        <f t="shared" si="167"/>
        <v>0</v>
      </c>
      <c r="DH140" s="1120">
        <f t="shared" si="167"/>
        <v>0</v>
      </c>
      <c r="DI140" s="1120">
        <f t="shared" si="167"/>
        <v>0</v>
      </c>
      <c r="DJ140" s="1120">
        <f t="shared" si="167"/>
        <v>0</v>
      </c>
      <c r="DK140" s="1120">
        <f t="shared" si="167"/>
        <v>0</v>
      </c>
      <c r="DL140" s="1120">
        <f t="shared" si="167"/>
        <v>0</v>
      </c>
      <c r="DM140" s="1120">
        <f t="shared" si="167"/>
        <v>0</v>
      </c>
      <c r="DN140" s="1120">
        <f t="shared" ref="DN140:DX140" si="168">SUM(DN136:DN139)</f>
        <v>0</v>
      </c>
      <c r="DO140" s="1120">
        <f t="shared" si="168"/>
        <v>0</v>
      </c>
      <c r="DP140" s="1120">
        <f t="shared" si="168"/>
        <v>0</v>
      </c>
      <c r="DQ140" s="1120">
        <f t="shared" si="168"/>
        <v>0</v>
      </c>
      <c r="DR140" s="1120">
        <f t="shared" si="168"/>
        <v>0</v>
      </c>
      <c r="DS140" s="1120">
        <f t="shared" si="168"/>
        <v>0</v>
      </c>
      <c r="DT140" s="1120">
        <f t="shared" si="168"/>
        <v>0</v>
      </c>
      <c r="DU140" s="1120">
        <f t="shared" si="168"/>
        <v>0</v>
      </c>
      <c r="DV140" s="1120">
        <f t="shared" si="168"/>
        <v>0</v>
      </c>
      <c r="DW140" s="1120">
        <f t="shared" si="168"/>
        <v>0</v>
      </c>
      <c r="DX140" s="1120">
        <f t="shared" si="168"/>
        <v>0</v>
      </c>
      <c r="DY140" s="1120">
        <f t="shared" ref="DY140" si="169">SUM(DY136:DY139)</f>
        <v>0</v>
      </c>
      <c r="DZ140" s="1120">
        <f t="shared" ref="DZ140" si="170">SUM(DZ136:DZ139)</f>
        <v>0</v>
      </c>
      <c r="EA140" s="1120">
        <f t="shared" si="163"/>
        <v>0</v>
      </c>
      <c r="EB140" s="1120">
        <f t="shared" ref="EB140:EF140" si="171">SUM(EB136:EB139)</f>
        <v>0</v>
      </c>
      <c r="EC140" s="1120">
        <f t="shared" si="171"/>
        <v>0</v>
      </c>
      <c r="ED140" s="1120">
        <f t="shared" ref="ED140" si="172">SUM(ED136:ED139)</f>
        <v>0</v>
      </c>
      <c r="EE140" s="1120">
        <f t="shared" si="171"/>
        <v>0</v>
      </c>
      <c r="EF140" s="1120">
        <f t="shared" si="171"/>
        <v>0</v>
      </c>
      <c r="EG140" s="1120">
        <f t="shared" si="160"/>
        <v>0</v>
      </c>
      <c r="EH140" s="1120">
        <f t="shared" si="160"/>
        <v>0</v>
      </c>
      <c r="EI140" s="1120">
        <f t="shared" ref="EI140:EK140" si="173">SUM(EI136:EI139)</f>
        <v>0</v>
      </c>
      <c r="EJ140" s="1120">
        <f t="shared" ref="EJ140" si="174">SUM(EJ136:EJ139)</f>
        <v>0</v>
      </c>
      <c r="EK140" s="1120">
        <f t="shared" si="173"/>
        <v>0</v>
      </c>
      <c r="EL140" s="1120">
        <f t="shared" ref="EL140:EM140" si="175">SUM(EL136:EL139)</f>
        <v>0</v>
      </c>
      <c r="EM140" s="1120">
        <f t="shared" si="175"/>
        <v>0</v>
      </c>
      <c r="EN140" s="1120">
        <f t="shared" ref="EN140:FI140" si="176">SUM(EN136:EN139)</f>
        <v>0</v>
      </c>
      <c r="EO140" s="1120">
        <f t="shared" si="176"/>
        <v>0</v>
      </c>
      <c r="EP140" s="1120">
        <f t="shared" ref="EP140:EV140" si="177">SUM(EP136:EP139)</f>
        <v>0</v>
      </c>
      <c r="EQ140" s="1120">
        <f t="shared" si="177"/>
        <v>0</v>
      </c>
      <c r="ER140" s="1120">
        <f t="shared" si="177"/>
        <v>0</v>
      </c>
      <c r="ES140" s="1120"/>
      <c r="ET140" s="1120">
        <f t="shared" si="177"/>
        <v>0</v>
      </c>
      <c r="EU140" s="1120">
        <f t="shared" si="177"/>
        <v>0</v>
      </c>
      <c r="EV140" s="1120">
        <f t="shared" si="177"/>
        <v>0</v>
      </c>
      <c r="EW140" s="1120">
        <f>SUM(EW136:EW139)</f>
        <v>0</v>
      </c>
      <c r="EX140" s="1120">
        <f>SUM(EX136:EX139)</f>
        <v>0</v>
      </c>
      <c r="EY140" s="1120">
        <f>SUM(EY136:EY139)</f>
        <v>0</v>
      </c>
      <c r="EZ140" s="1120">
        <f t="shared" ref="EZ140:FC140" si="178">SUM(EZ136:EZ139)</f>
        <v>0</v>
      </c>
      <c r="FA140" s="1120">
        <f t="shared" si="178"/>
        <v>0</v>
      </c>
      <c r="FB140" s="1120">
        <f t="shared" si="178"/>
        <v>0</v>
      </c>
      <c r="FC140" s="1120">
        <f t="shared" si="178"/>
        <v>0</v>
      </c>
      <c r="FD140" s="1120">
        <f t="shared" si="176"/>
        <v>0</v>
      </c>
      <c r="FE140" s="1120">
        <f t="shared" si="176"/>
        <v>0</v>
      </c>
      <c r="FF140" s="1120">
        <f t="shared" si="176"/>
        <v>0</v>
      </c>
      <c r="FG140" s="1120">
        <f t="shared" si="176"/>
        <v>0</v>
      </c>
      <c r="FH140" s="1120">
        <f t="shared" si="176"/>
        <v>0</v>
      </c>
      <c r="FI140" s="1120">
        <f t="shared" si="176"/>
        <v>0</v>
      </c>
      <c r="FJ140" s="1120">
        <f>SUM(FJ136:FJ139)</f>
        <v>0</v>
      </c>
      <c r="FK140" s="1120">
        <f>SUM(FK136:FK139)</f>
        <v>0</v>
      </c>
      <c r="FL140" s="1120">
        <f>SUM(FL136:FL139)</f>
        <v>0</v>
      </c>
      <c r="FM140" s="1120">
        <f t="shared" ref="FM140" si="179">SUM(FM136:FM139)</f>
        <v>0</v>
      </c>
      <c r="FN140" s="1120">
        <f t="shared" ref="FN140:FU140" si="180">SUM(FN136:FN139)</f>
        <v>0</v>
      </c>
      <c r="FO140" s="1120">
        <f t="shared" si="180"/>
        <v>0</v>
      </c>
      <c r="FP140" s="1120">
        <f t="shared" si="180"/>
        <v>0</v>
      </c>
      <c r="FQ140" s="1120">
        <f t="shared" si="180"/>
        <v>0</v>
      </c>
      <c r="FR140" s="1120">
        <f t="shared" si="180"/>
        <v>0</v>
      </c>
      <c r="FS140" s="1120">
        <f t="shared" si="180"/>
        <v>0</v>
      </c>
      <c r="FT140" s="1120">
        <f t="shared" si="180"/>
        <v>0</v>
      </c>
      <c r="FU140" s="1120">
        <f t="shared" si="180"/>
        <v>0</v>
      </c>
      <c r="FV140" s="1120">
        <f t="shared" ref="FV140" si="181">SUM(FV136:FV139)</f>
        <v>0</v>
      </c>
      <c r="FW140" s="1120">
        <f t="shared" ref="FW140" si="182">SUM(FW136:FW139)</f>
        <v>0</v>
      </c>
      <c r="FX140" s="1120">
        <f t="shared" ref="FX140" si="183">SUM(FX136:FX139)</f>
        <v>0</v>
      </c>
      <c r="FY140" s="1120">
        <f t="shared" ref="FY140" si="184">SUM(FY136:FY139)</f>
        <v>0</v>
      </c>
      <c r="FZ140" s="1120">
        <f t="shared" ref="FZ140:GA140" si="185">SUM(FZ136:FZ139)</f>
        <v>0</v>
      </c>
      <c r="GA140" s="1120">
        <f t="shared" si="185"/>
        <v>0</v>
      </c>
      <c r="GB140" s="1121"/>
    </row>
    <row r="141" spans="3:184" hidden="1">
      <c r="C141" s="1115"/>
      <c r="D141" s="1117"/>
      <c r="E141" s="1117"/>
      <c r="F141" s="1117"/>
      <c r="G141" s="1118"/>
      <c r="H141" s="1118"/>
      <c r="I141" s="1118"/>
      <c r="J141" s="1119">
        <f>J136+J137*2+J138*3+J139*4</f>
        <v>0</v>
      </c>
      <c r="K141" s="1419"/>
      <c r="L141" s="1136"/>
      <c r="M141" s="1136"/>
      <c r="N141" s="1120"/>
      <c r="O141" s="1120"/>
      <c r="P141" s="1120"/>
      <c r="Q141" s="1120"/>
      <c r="R141" s="1120"/>
      <c r="S141" s="1120"/>
      <c r="T141" s="1146"/>
      <c r="U141" s="1120"/>
      <c r="V141" s="1120"/>
      <c r="W141" s="1120"/>
      <c r="X141" s="1120"/>
      <c r="Y141" s="1120"/>
      <c r="Z141" s="1120"/>
      <c r="AA141" s="1120"/>
      <c r="AB141" s="1147"/>
      <c r="AC141" s="1120"/>
      <c r="AD141" s="1148"/>
      <c r="AE141" s="1120"/>
      <c r="AF141" s="1120"/>
      <c r="AG141" s="1120"/>
      <c r="AH141" s="1120"/>
      <c r="AI141" s="1120"/>
      <c r="AJ141" s="1120"/>
      <c r="AK141" s="1120"/>
      <c r="AL141" s="1120"/>
      <c r="AM141" s="1120"/>
      <c r="AN141" s="1120"/>
      <c r="AO141" s="1120"/>
      <c r="AP141" s="1120"/>
      <c r="AQ141" s="1120"/>
      <c r="AR141" s="1120"/>
      <c r="AS141" s="1120"/>
      <c r="AT141" s="1120"/>
      <c r="AU141" s="1120"/>
      <c r="AV141" s="1120"/>
      <c r="AW141" s="1120"/>
      <c r="AX141" s="1120"/>
      <c r="AY141" s="1120"/>
      <c r="AZ141" s="1120"/>
      <c r="BA141" s="1120"/>
      <c r="BB141" s="1120"/>
      <c r="BC141" s="1120"/>
      <c r="BD141" s="1120"/>
      <c r="BE141" s="1120"/>
      <c r="BF141" s="1120"/>
      <c r="BG141" s="1120"/>
      <c r="BH141" s="1120"/>
      <c r="BI141" s="1120"/>
      <c r="BJ141" s="1120"/>
      <c r="BK141" s="1120"/>
      <c r="BL141" s="1120"/>
      <c r="BM141" s="1120"/>
      <c r="BN141" s="1120"/>
      <c r="BO141" s="1120"/>
      <c r="BP141" s="1120"/>
      <c r="BQ141" s="1120"/>
      <c r="BR141" s="1120"/>
      <c r="BS141" s="1120"/>
      <c r="BT141" s="1120"/>
      <c r="BU141" s="1120"/>
      <c r="BV141" s="1120"/>
      <c r="BW141" s="1120"/>
      <c r="BX141" s="1120"/>
      <c r="BY141" s="1120"/>
      <c r="BZ141" s="1120"/>
      <c r="CA141" s="1120"/>
      <c r="CB141" s="1120"/>
      <c r="CC141" s="1120"/>
      <c r="CD141" s="1120"/>
      <c r="CE141" s="1120"/>
      <c r="CF141" s="1120"/>
      <c r="CG141" s="1120"/>
      <c r="CH141" s="1120"/>
      <c r="CI141" s="1120"/>
      <c r="CJ141" s="1120"/>
      <c r="CK141" s="1120"/>
      <c r="CL141" s="1120"/>
      <c r="CM141" s="1120"/>
      <c r="CN141" s="1120"/>
      <c r="CO141" s="1120"/>
      <c r="CP141" s="1120"/>
      <c r="CQ141" s="1120"/>
      <c r="CR141" s="1120"/>
      <c r="CS141" s="1120"/>
      <c r="CT141" s="1120"/>
      <c r="CU141" s="1120"/>
      <c r="CV141" s="1120"/>
      <c r="CW141" s="1120"/>
      <c r="CX141" s="1120"/>
      <c r="CY141" s="1120"/>
      <c r="CZ141" s="1120"/>
      <c r="DA141" s="1120"/>
      <c r="DB141" s="1120"/>
      <c r="DC141" s="1120"/>
      <c r="DD141" s="1120"/>
      <c r="DE141" s="1120"/>
      <c r="DF141" s="1120"/>
      <c r="DG141" s="1120"/>
      <c r="DH141" s="1120"/>
      <c r="DI141" s="1120"/>
      <c r="DJ141" s="1120"/>
      <c r="DK141" s="1120"/>
      <c r="DL141" s="1120"/>
      <c r="DM141" s="1120"/>
      <c r="DN141" s="1120"/>
      <c r="DO141" s="1120"/>
      <c r="DP141" s="1120"/>
      <c r="DQ141" s="1120"/>
      <c r="DR141" s="1120"/>
      <c r="DS141" s="1120"/>
      <c r="DT141" s="1120"/>
      <c r="DU141" s="1120"/>
      <c r="DV141" s="1120"/>
      <c r="DW141" s="1120"/>
      <c r="DX141" s="1120"/>
      <c r="DY141" s="1120"/>
      <c r="DZ141" s="1120"/>
      <c r="EA141" s="1120"/>
      <c r="EB141" s="1120"/>
      <c r="EC141" s="1120"/>
      <c r="ED141" s="1120"/>
      <c r="EE141" s="1120"/>
      <c r="EF141" s="1120"/>
      <c r="EG141" s="1120"/>
      <c r="EH141" s="1120"/>
      <c r="EI141" s="1120"/>
      <c r="EJ141" s="1120"/>
      <c r="EK141" s="1120"/>
      <c r="EL141" s="1120"/>
      <c r="EM141" s="1120"/>
      <c r="EN141" s="1120"/>
      <c r="EO141" s="1120"/>
      <c r="EP141" s="1120"/>
      <c r="EQ141" s="1120"/>
      <c r="ER141" s="1120"/>
      <c r="ES141" s="1120"/>
      <c r="ET141" s="1120"/>
      <c r="EU141" s="1120"/>
      <c r="EV141" s="1120"/>
      <c r="EW141" s="1120"/>
      <c r="EX141" s="1120"/>
      <c r="EY141" s="1120"/>
      <c r="EZ141" s="1120"/>
      <c r="FA141" s="1120"/>
      <c r="FB141" s="1120"/>
      <c r="FC141" s="1120"/>
      <c r="FD141" s="1120"/>
      <c r="FE141" s="1120"/>
      <c r="FF141" s="1120"/>
      <c r="FG141" s="1120"/>
      <c r="FH141" s="1120"/>
      <c r="FI141" s="1120"/>
      <c r="FJ141" s="1120"/>
      <c r="FK141" s="1120"/>
      <c r="FL141" s="1120"/>
      <c r="FM141" s="1120"/>
      <c r="FN141" s="1120"/>
      <c r="FO141" s="1120"/>
      <c r="FP141" s="1120"/>
      <c r="FQ141" s="1120"/>
      <c r="FR141" s="1120"/>
      <c r="FS141" s="1120"/>
      <c r="FT141" s="1120"/>
      <c r="FU141" s="1120"/>
      <c r="FV141" s="1120"/>
      <c r="FW141" s="1120"/>
      <c r="FX141" s="1120"/>
      <c r="FY141" s="1120"/>
      <c r="FZ141" s="1120"/>
      <c r="GA141" s="1120"/>
      <c r="GB141" s="1121"/>
    </row>
    <row r="142" spans="3:184" hidden="1">
      <c r="C142" s="1115"/>
      <c r="D142" s="1117"/>
      <c r="E142" s="1117"/>
      <c r="F142" s="1117"/>
      <c r="G142" s="1118"/>
      <c r="H142" s="1118"/>
      <c r="I142" s="1118"/>
      <c r="J142" s="1119"/>
      <c r="K142" s="1419"/>
      <c r="L142" s="1133"/>
      <c r="M142" s="1133"/>
      <c r="N142" s="1133"/>
      <c r="O142" s="1133"/>
      <c r="P142" s="1133"/>
      <c r="Q142" s="1133"/>
      <c r="R142" s="1133"/>
      <c r="S142" s="1133"/>
      <c r="T142" s="1135"/>
      <c r="U142" s="1133"/>
      <c r="V142" s="1133"/>
      <c r="W142" s="1133"/>
      <c r="X142" s="1133"/>
      <c r="Y142" s="1133"/>
      <c r="Z142" s="1133"/>
      <c r="AA142" s="1133"/>
      <c r="AB142" s="1134"/>
      <c r="AC142" s="1133"/>
      <c r="AD142" s="1133"/>
      <c r="AE142" s="1133"/>
      <c r="AF142" s="1133"/>
      <c r="AG142" s="1133"/>
      <c r="AH142" s="1133"/>
      <c r="AI142" s="1133"/>
      <c r="AJ142" s="1133"/>
      <c r="AK142" s="1133"/>
      <c r="AL142" s="1133"/>
      <c r="AM142" s="1133"/>
      <c r="AN142" s="1133"/>
      <c r="AO142" s="1133"/>
      <c r="AP142" s="1133"/>
      <c r="AQ142" s="1133"/>
      <c r="AR142" s="1133"/>
      <c r="AS142" s="1133"/>
      <c r="AT142" s="1133"/>
      <c r="AU142" s="1133"/>
      <c r="AV142" s="1133"/>
      <c r="AW142" s="1133"/>
      <c r="AX142" s="1133"/>
      <c r="AY142" s="1133"/>
      <c r="AZ142" s="1133"/>
      <c r="BA142" s="1133"/>
      <c r="BB142" s="1133"/>
      <c r="BC142" s="1133"/>
      <c r="BD142" s="1133"/>
      <c r="BE142" s="1133"/>
      <c r="BF142" s="1133"/>
      <c r="BG142" s="1133"/>
      <c r="BH142" s="1133"/>
      <c r="BI142" s="1133"/>
      <c r="BJ142" s="1133"/>
      <c r="BK142" s="1133"/>
      <c r="BL142" s="1133"/>
      <c r="BM142" s="1133"/>
      <c r="BN142" s="1133"/>
      <c r="BO142" s="1133"/>
      <c r="BP142" s="1133"/>
      <c r="BQ142" s="1133"/>
      <c r="BR142" s="1133"/>
      <c r="BS142" s="1133"/>
      <c r="BT142" s="1133"/>
      <c r="BU142" s="1133"/>
      <c r="BV142" s="1133"/>
      <c r="BW142" s="1133"/>
      <c r="BX142" s="1133"/>
      <c r="BY142" s="1133"/>
      <c r="BZ142" s="1133"/>
      <c r="CA142" s="1133"/>
      <c r="CB142" s="1133"/>
      <c r="CC142" s="1133"/>
      <c r="CD142" s="1133"/>
      <c r="CE142" s="1133"/>
      <c r="CF142" s="1133"/>
      <c r="CG142" s="1133"/>
      <c r="CH142" s="1133"/>
      <c r="CI142" s="1133"/>
      <c r="CJ142" s="1133"/>
      <c r="CK142" s="1133"/>
      <c r="CL142" s="1133"/>
      <c r="CM142" s="1133"/>
      <c r="CN142" s="1133"/>
      <c r="CO142" s="1133"/>
      <c r="CP142" s="1133"/>
      <c r="CQ142" s="1133"/>
      <c r="CR142" s="1133"/>
      <c r="CS142" s="1133"/>
      <c r="CT142" s="1133"/>
      <c r="CU142" s="1133"/>
      <c r="CV142" s="1133"/>
      <c r="CW142" s="1133"/>
      <c r="CX142" s="1133"/>
      <c r="CY142" s="1133"/>
      <c r="CZ142" s="1133"/>
      <c r="DA142" s="1133"/>
      <c r="DB142" s="1133"/>
      <c r="DC142" s="1133"/>
      <c r="DD142" s="1133"/>
      <c r="DE142" s="1133"/>
      <c r="DF142" s="1133"/>
      <c r="DG142" s="1133"/>
      <c r="DH142" s="1133"/>
      <c r="DI142" s="1133"/>
      <c r="DJ142" s="1133"/>
      <c r="DK142" s="1133"/>
      <c r="DL142" s="1133"/>
      <c r="DM142" s="1133"/>
      <c r="DN142" s="1133"/>
      <c r="DO142" s="1133"/>
      <c r="DP142" s="1133"/>
      <c r="DQ142" s="1133"/>
      <c r="DR142" s="1133"/>
      <c r="DS142" s="1133"/>
      <c r="DT142" s="1133"/>
      <c r="DU142" s="1133"/>
      <c r="DV142" s="1133"/>
      <c r="DW142" s="1133"/>
      <c r="DX142" s="1133"/>
      <c r="DY142" s="1133"/>
      <c r="DZ142" s="1133"/>
      <c r="EA142" s="1133"/>
      <c r="EB142" s="1133"/>
      <c r="EC142" s="1133"/>
      <c r="ED142" s="1133"/>
      <c r="EE142" s="1133"/>
      <c r="EF142" s="1133"/>
      <c r="EG142" s="1133"/>
      <c r="EH142" s="1133"/>
      <c r="EI142" s="1133"/>
      <c r="EJ142" s="1133"/>
      <c r="EK142" s="1133"/>
      <c r="EL142" s="1133"/>
      <c r="EM142" s="1133"/>
      <c r="EN142" s="1133"/>
      <c r="EO142" s="1133"/>
      <c r="EP142" s="1133"/>
      <c r="EQ142" s="1133"/>
      <c r="ER142" s="1133"/>
      <c r="ES142" s="1133"/>
      <c r="ET142" s="1133"/>
      <c r="EU142" s="1133"/>
      <c r="EV142" s="1133"/>
      <c r="EW142" s="1133"/>
      <c r="EX142" s="1133"/>
      <c r="EY142" s="1133"/>
      <c r="EZ142" s="1133"/>
      <c r="FA142" s="1133"/>
      <c r="FB142" s="1133"/>
      <c r="FC142" s="1133"/>
      <c r="FD142" s="1133"/>
      <c r="FE142" s="1133"/>
      <c r="FF142" s="1133"/>
      <c r="FG142" s="1133"/>
      <c r="FH142" s="1133"/>
      <c r="FI142" s="1133"/>
      <c r="FJ142" s="1133"/>
      <c r="FK142" s="1133"/>
      <c r="FL142" s="1133"/>
      <c r="FM142" s="1133"/>
      <c r="FN142" s="1133"/>
      <c r="FO142" s="1133"/>
      <c r="FP142" s="1133"/>
      <c r="FQ142" s="1133"/>
      <c r="FR142" s="1133"/>
      <c r="FS142" s="1133"/>
      <c r="FT142" s="1133"/>
      <c r="FU142" s="1133"/>
      <c r="FV142" s="1133"/>
      <c r="FW142" s="1133"/>
      <c r="FX142" s="1133"/>
      <c r="FY142" s="1133"/>
      <c r="FZ142" s="1133"/>
      <c r="GA142" s="1133"/>
      <c r="GB142" s="1121"/>
    </row>
    <row r="143" spans="3:184" s="1114" customFormat="1" hidden="1">
      <c r="C143" s="1141"/>
      <c r="D143" s="1142" t="s">
        <v>2270</v>
      </c>
      <c r="E143" s="1143"/>
      <c r="F143" s="1143"/>
      <c r="G143" s="1144"/>
      <c r="H143" s="1144"/>
      <c r="I143" s="1144"/>
      <c r="J143" s="1144"/>
      <c r="K143" s="1144"/>
      <c r="L143" s="1144"/>
      <c r="M143" s="1144"/>
      <c r="N143" s="1144"/>
      <c r="O143" s="1144"/>
      <c r="P143" s="1144"/>
      <c r="Q143" s="1144"/>
      <c r="R143" s="1144"/>
      <c r="S143" s="1144"/>
      <c r="T143" s="1135"/>
      <c r="U143" s="1144"/>
      <c r="V143" s="1144"/>
      <c r="W143" s="1144"/>
      <c r="X143" s="1144"/>
      <c r="Y143" s="1144"/>
      <c r="Z143" s="1144"/>
      <c r="AA143" s="1144"/>
      <c r="AB143" s="1144"/>
      <c r="AC143" s="1144"/>
      <c r="AD143" s="1144"/>
      <c r="AE143" s="1144"/>
      <c r="AF143" s="1144"/>
      <c r="AG143" s="1144"/>
      <c r="AH143" s="1144"/>
      <c r="AI143" s="1144"/>
      <c r="AJ143" s="1144"/>
      <c r="AK143" s="1144"/>
      <c r="AL143" s="1144"/>
      <c r="AM143" s="1144"/>
      <c r="AN143" s="1144"/>
      <c r="AO143" s="1144"/>
      <c r="AP143" s="1144"/>
      <c r="AQ143" s="1144"/>
      <c r="AR143" s="1144"/>
      <c r="AS143" s="1144"/>
      <c r="AT143" s="1144"/>
      <c r="AU143" s="1144"/>
      <c r="AV143" s="1144"/>
      <c r="AW143" s="1144"/>
      <c r="AX143" s="1144"/>
      <c r="AY143" s="1144"/>
      <c r="AZ143" s="1144"/>
      <c r="BA143" s="1144"/>
      <c r="BB143" s="1144"/>
      <c r="BC143" s="1144"/>
      <c r="BD143" s="1144"/>
      <c r="BE143" s="1144"/>
      <c r="BF143" s="1144"/>
      <c r="BG143" s="1144"/>
      <c r="BH143" s="1144"/>
      <c r="BI143" s="1144"/>
      <c r="BJ143" s="1144"/>
      <c r="BK143" s="1144"/>
      <c r="BL143" s="1144"/>
      <c r="BM143" s="1144"/>
      <c r="BN143" s="1144"/>
      <c r="BO143" s="1144"/>
      <c r="BP143" s="1144"/>
      <c r="BQ143" s="1144"/>
      <c r="BR143" s="1144"/>
      <c r="BS143" s="1144"/>
      <c r="BT143" s="1144"/>
      <c r="BU143" s="1144"/>
      <c r="BV143" s="1144"/>
      <c r="BW143" s="1144"/>
      <c r="BX143" s="1144"/>
      <c r="BY143" s="1144"/>
      <c r="BZ143" s="1144"/>
      <c r="CA143" s="1144"/>
      <c r="CB143" s="1144"/>
      <c r="CC143" s="1144"/>
      <c r="CD143" s="1144"/>
      <c r="CE143" s="1144"/>
      <c r="CF143" s="1144"/>
      <c r="CG143" s="1144"/>
      <c r="CH143" s="1144"/>
      <c r="CI143" s="1144"/>
      <c r="CJ143" s="1144"/>
      <c r="CK143" s="1144"/>
      <c r="CL143" s="1144"/>
      <c r="CM143" s="1144"/>
      <c r="CN143" s="1144"/>
      <c r="CO143" s="1144"/>
      <c r="CP143" s="1144"/>
      <c r="CQ143" s="1144"/>
      <c r="CR143" s="1144"/>
      <c r="CS143" s="1144"/>
      <c r="CT143" s="1144"/>
      <c r="CU143" s="1144"/>
      <c r="CV143" s="1144"/>
      <c r="CW143" s="1144"/>
      <c r="CX143" s="1144"/>
      <c r="CY143" s="1144"/>
      <c r="CZ143" s="1144"/>
      <c r="DA143" s="1144"/>
      <c r="DB143" s="1144"/>
      <c r="DC143" s="1144"/>
      <c r="DD143" s="1144"/>
      <c r="DE143" s="1144"/>
      <c r="DF143" s="1144"/>
      <c r="DG143" s="1144"/>
      <c r="DH143" s="1144"/>
      <c r="DI143" s="1144"/>
      <c r="DJ143" s="1144"/>
      <c r="DK143" s="1144"/>
      <c r="DL143" s="1144"/>
      <c r="DM143" s="1144"/>
      <c r="DN143" s="1144"/>
      <c r="DO143" s="1144"/>
      <c r="DP143" s="1144"/>
      <c r="DQ143" s="1144"/>
      <c r="DR143" s="1144"/>
      <c r="DS143" s="1144"/>
      <c r="DT143" s="1144"/>
      <c r="DU143" s="1144"/>
      <c r="DV143" s="1144"/>
      <c r="DW143" s="1144"/>
      <c r="DX143" s="1144"/>
      <c r="DY143" s="1144"/>
      <c r="DZ143" s="1144"/>
      <c r="EA143" s="1144"/>
      <c r="EB143" s="1144"/>
      <c r="EC143" s="1144"/>
      <c r="ED143" s="1144"/>
      <c r="EE143" s="1144"/>
      <c r="EF143" s="1144"/>
      <c r="EG143" s="1144"/>
      <c r="EH143" s="1144"/>
      <c r="EI143" s="1144"/>
      <c r="EJ143" s="1144"/>
      <c r="EK143" s="1144"/>
      <c r="EL143" s="1144"/>
      <c r="EM143" s="1144"/>
      <c r="EN143" s="1144"/>
      <c r="EO143" s="1144"/>
      <c r="EP143" s="1144"/>
      <c r="EQ143" s="1144"/>
      <c r="ER143" s="1144"/>
      <c r="ES143" s="1144"/>
      <c r="ET143" s="1144"/>
      <c r="EU143" s="1144"/>
      <c r="EV143" s="1144"/>
      <c r="EW143" s="1144"/>
      <c r="EX143" s="1144"/>
      <c r="EY143" s="1144"/>
      <c r="EZ143" s="1144"/>
      <c r="FA143" s="1144"/>
      <c r="FB143" s="1144"/>
      <c r="FC143" s="1144"/>
      <c r="FD143" s="1144"/>
      <c r="FE143" s="1144"/>
      <c r="FF143" s="1144"/>
      <c r="FG143" s="1144"/>
      <c r="FH143" s="1144"/>
      <c r="FI143" s="1144"/>
      <c r="FJ143" s="1144"/>
      <c r="FK143" s="1144"/>
      <c r="FL143" s="1144"/>
      <c r="FM143" s="1144"/>
      <c r="FN143" s="1144"/>
      <c r="FO143" s="1144"/>
      <c r="FP143" s="1144"/>
      <c r="FQ143" s="1144"/>
      <c r="FR143" s="1144"/>
      <c r="FS143" s="1144"/>
      <c r="FT143" s="1144"/>
      <c r="FU143" s="1144"/>
      <c r="FV143" s="1144"/>
      <c r="FW143" s="1144"/>
      <c r="FX143" s="1144"/>
      <c r="FY143" s="1144"/>
      <c r="FZ143" s="1144"/>
      <c r="GA143" s="1144"/>
      <c r="GB143" s="1145"/>
    </row>
    <row r="144" spans="3:184" ht="16.5" hidden="1">
      <c r="C144" s="1115"/>
      <c r="D144" s="1116" t="s">
        <v>2270</v>
      </c>
      <c r="E144" s="1117" t="s">
        <v>2263</v>
      </c>
      <c r="F144" s="1117"/>
      <c r="G144" s="1118"/>
      <c r="H144" s="1118"/>
      <c r="I144" s="1118"/>
      <c r="J144" s="1149">
        <f>SUM(K144:GA144)</f>
        <v>0</v>
      </c>
      <c r="K144" s="1419"/>
      <c r="L144" s="1150">
        <f>L84</f>
        <v>0</v>
      </c>
      <c r="M144" s="1150">
        <f>M84</f>
        <v>0</v>
      </c>
      <c r="N144" s="1150">
        <f>N84</f>
        <v>0</v>
      </c>
      <c r="O144" s="1150">
        <f>O84</f>
        <v>0</v>
      </c>
      <c r="P144" s="1150">
        <f>P84</f>
        <v>0</v>
      </c>
      <c r="Q144" s="1150"/>
      <c r="R144" s="1150">
        <f>R84</f>
        <v>0</v>
      </c>
      <c r="S144" s="1151">
        <f>S84</f>
        <v>0</v>
      </c>
      <c r="T144" s="1152"/>
      <c r="U144" s="1150">
        <f t="shared" ref="U144:AZ144" si="186">U84</f>
        <v>0</v>
      </c>
      <c r="V144" s="1150">
        <f t="shared" si="186"/>
        <v>0</v>
      </c>
      <c r="W144" s="1150">
        <f t="shared" si="186"/>
        <v>0</v>
      </c>
      <c r="X144" s="1150">
        <f t="shared" si="186"/>
        <v>0</v>
      </c>
      <c r="Y144" s="1150">
        <f t="shared" si="186"/>
        <v>0</v>
      </c>
      <c r="Z144" s="1150">
        <f t="shared" si="186"/>
        <v>0</v>
      </c>
      <c r="AA144" s="1150">
        <f t="shared" si="186"/>
        <v>0</v>
      </c>
      <c r="AB144" s="1153">
        <f t="shared" si="186"/>
        <v>0</v>
      </c>
      <c r="AC144" s="1150">
        <f t="shared" si="186"/>
        <v>0</v>
      </c>
      <c r="AD144" s="1150">
        <f t="shared" si="186"/>
        <v>0</v>
      </c>
      <c r="AE144" s="1151">
        <f t="shared" si="186"/>
        <v>0</v>
      </c>
      <c r="AF144" s="1150">
        <f t="shared" si="186"/>
        <v>0</v>
      </c>
      <c r="AG144" s="1150">
        <f t="shared" si="186"/>
        <v>0</v>
      </c>
      <c r="AH144" s="1150">
        <f t="shared" si="186"/>
        <v>0</v>
      </c>
      <c r="AI144" s="1150">
        <f t="shared" si="186"/>
        <v>0</v>
      </c>
      <c r="AJ144" s="1150">
        <f t="shared" si="186"/>
        <v>0</v>
      </c>
      <c r="AK144" s="1150">
        <f t="shared" si="186"/>
        <v>0</v>
      </c>
      <c r="AL144" s="1150">
        <f t="shared" si="186"/>
        <v>0</v>
      </c>
      <c r="AM144" s="1150">
        <f t="shared" si="186"/>
        <v>0</v>
      </c>
      <c r="AN144" s="1150">
        <f t="shared" si="186"/>
        <v>0</v>
      </c>
      <c r="AO144" s="1150">
        <f t="shared" si="186"/>
        <v>0</v>
      </c>
      <c r="AP144" s="1150">
        <f t="shared" si="186"/>
        <v>0</v>
      </c>
      <c r="AQ144" s="1150">
        <f t="shared" si="186"/>
        <v>0</v>
      </c>
      <c r="AR144" s="1150">
        <f t="shared" si="186"/>
        <v>0</v>
      </c>
      <c r="AS144" s="1150">
        <f t="shared" si="186"/>
        <v>0</v>
      </c>
      <c r="AT144" s="1150">
        <f t="shared" si="186"/>
        <v>0</v>
      </c>
      <c r="AU144" s="1150">
        <f t="shared" si="186"/>
        <v>0</v>
      </c>
      <c r="AV144" s="1150">
        <f t="shared" si="186"/>
        <v>0</v>
      </c>
      <c r="AW144" s="1150">
        <f t="shared" si="186"/>
        <v>0</v>
      </c>
      <c r="AX144" s="1150">
        <f t="shared" si="186"/>
        <v>0</v>
      </c>
      <c r="AY144" s="1150">
        <f t="shared" si="186"/>
        <v>0</v>
      </c>
      <c r="AZ144" s="1150">
        <f t="shared" si="186"/>
        <v>0</v>
      </c>
      <c r="BA144" s="1150">
        <f t="shared" ref="BA144:CF144" si="187">BA84</f>
        <v>0</v>
      </c>
      <c r="BB144" s="1150">
        <f t="shared" si="187"/>
        <v>0</v>
      </c>
      <c r="BC144" s="1150">
        <f t="shared" si="187"/>
        <v>0</v>
      </c>
      <c r="BD144" s="1150">
        <f t="shared" si="187"/>
        <v>0</v>
      </c>
      <c r="BE144" s="1150">
        <f t="shared" si="187"/>
        <v>0</v>
      </c>
      <c r="BF144" s="1150">
        <f t="shared" si="187"/>
        <v>0</v>
      </c>
      <c r="BG144" s="1150">
        <f t="shared" si="187"/>
        <v>0</v>
      </c>
      <c r="BH144" s="1150">
        <f t="shared" si="187"/>
        <v>0</v>
      </c>
      <c r="BI144" s="1150">
        <f t="shared" si="187"/>
        <v>0</v>
      </c>
      <c r="BJ144" s="1150">
        <f t="shared" si="187"/>
        <v>0</v>
      </c>
      <c r="BK144" s="1150">
        <f t="shared" si="187"/>
        <v>0</v>
      </c>
      <c r="BL144" s="1150">
        <f t="shared" si="187"/>
        <v>0</v>
      </c>
      <c r="BM144" s="1150">
        <f t="shared" si="187"/>
        <v>0</v>
      </c>
      <c r="BN144" s="1150">
        <f t="shared" si="187"/>
        <v>0</v>
      </c>
      <c r="BO144" s="1150">
        <f t="shared" si="187"/>
        <v>0</v>
      </c>
      <c r="BP144" s="1150">
        <f t="shared" si="187"/>
        <v>0</v>
      </c>
      <c r="BQ144" s="1150">
        <f t="shared" si="187"/>
        <v>0</v>
      </c>
      <c r="BR144" s="1150">
        <f t="shared" si="187"/>
        <v>0</v>
      </c>
      <c r="BS144" s="1150">
        <f t="shared" si="187"/>
        <v>0</v>
      </c>
      <c r="BT144" s="1150">
        <f t="shared" si="187"/>
        <v>0</v>
      </c>
      <c r="BU144" s="1150">
        <f t="shared" si="187"/>
        <v>0</v>
      </c>
      <c r="BV144" s="1150">
        <f t="shared" si="187"/>
        <v>0</v>
      </c>
      <c r="BW144" s="1150">
        <f t="shared" si="187"/>
        <v>0</v>
      </c>
      <c r="BX144" s="1150">
        <f t="shared" si="187"/>
        <v>0</v>
      </c>
      <c r="BY144" s="1150">
        <f t="shared" si="187"/>
        <v>0</v>
      </c>
      <c r="BZ144" s="1150">
        <f t="shared" si="187"/>
        <v>0</v>
      </c>
      <c r="CA144" s="1150">
        <f t="shared" si="187"/>
        <v>0</v>
      </c>
      <c r="CB144" s="1150">
        <f t="shared" si="187"/>
        <v>0</v>
      </c>
      <c r="CC144" s="1150">
        <f t="shared" si="187"/>
        <v>0</v>
      </c>
      <c r="CD144" s="1150">
        <f t="shared" si="187"/>
        <v>0</v>
      </c>
      <c r="CE144" s="1150">
        <f t="shared" si="187"/>
        <v>0</v>
      </c>
      <c r="CF144" s="1150">
        <f t="shared" si="187"/>
        <v>0</v>
      </c>
      <c r="CG144" s="1150">
        <f t="shared" ref="CG144:CI144" si="188">CG84</f>
        <v>0</v>
      </c>
      <c r="CH144" s="1150">
        <f t="shared" si="188"/>
        <v>0</v>
      </c>
      <c r="CI144" s="1150">
        <f t="shared" si="188"/>
        <v>0</v>
      </c>
      <c r="CJ144" s="1150">
        <f t="shared" ref="CJ144:CO144" si="189">CJ84</f>
        <v>0</v>
      </c>
      <c r="CK144" s="1150">
        <f t="shared" si="189"/>
        <v>0</v>
      </c>
      <c r="CL144" s="1150">
        <f t="shared" si="189"/>
        <v>0</v>
      </c>
      <c r="CM144" s="1150">
        <f t="shared" si="189"/>
        <v>0</v>
      </c>
      <c r="CN144" s="1150">
        <f t="shared" si="189"/>
        <v>0</v>
      </c>
      <c r="CO144" s="1150">
        <f t="shared" si="189"/>
        <v>0</v>
      </c>
      <c r="CP144" s="1150">
        <f t="shared" ref="CP144:DA144" si="190">CP84</f>
        <v>0</v>
      </c>
      <c r="CQ144" s="1150">
        <f t="shared" si="190"/>
        <v>0</v>
      </c>
      <c r="CR144" s="1150">
        <f t="shared" si="190"/>
        <v>0</v>
      </c>
      <c r="CS144" s="1150">
        <f t="shared" si="190"/>
        <v>0</v>
      </c>
      <c r="CT144" s="1150">
        <f t="shared" si="190"/>
        <v>0</v>
      </c>
      <c r="CU144" s="1150">
        <f t="shared" si="190"/>
        <v>0</v>
      </c>
      <c r="CV144" s="1150">
        <f t="shared" si="190"/>
        <v>0</v>
      </c>
      <c r="CW144" s="1150">
        <f t="shared" si="190"/>
        <v>0</v>
      </c>
      <c r="CX144" s="1150">
        <f t="shared" si="190"/>
        <v>0</v>
      </c>
      <c r="CY144" s="1150">
        <f t="shared" si="190"/>
        <v>0</v>
      </c>
      <c r="CZ144" s="1150">
        <f t="shared" si="190"/>
        <v>0</v>
      </c>
      <c r="DA144" s="1150">
        <f t="shared" si="190"/>
        <v>0</v>
      </c>
      <c r="DB144" s="1150">
        <f t="shared" ref="DB144:DM144" si="191">DB84</f>
        <v>0</v>
      </c>
      <c r="DC144" s="1150">
        <f t="shared" si="191"/>
        <v>0</v>
      </c>
      <c r="DD144" s="1150">
        <f t="shared" si="191"/>
        <v>0</v>
      </c>
      <c r="DE144" s="1150">
        <f t="shared" si="191"/>
        <v>0</v>
      </c>
      <c r="DF144" s="1150">
        <f t="shared" si="191"/>
        <v>0</v>
      </c>
      <c r="DG144" s="1150">
        <f t="shared" si="191"/>
        <v>0</v>
      </c>
      <c r="DH144" s="1150">
        <f t="shared" si="191"/>
        <v>0</v>
      </c>
      <c r="DI144" s="1150">
        <f t="shared" si="191"/>
        <v>0</v>
      </c>
      <c r="DJ144" s="1150">
        <f t="shared" si="191"/>
        <v>0</v>
      </c>
      <c r="DK144" s="1150">
        <f t="shared" si="191"/>
        <v>0</v>
      </c>
      <c r="DL144" s="1150">
        <f t="shared" si="191"/>
        <v>0</v>
      </c>
      <c r="DM144" s="1150">
        <f t="shared" si="191"/>
        <v>0</v>
      </c>
      <c r="DN144" s="1150">
        <f t="shared" ref="DN144:DX144" si="192">DN84</f>
        <v>0</v>
      </c>
      <c r="DO144" s="1150">
        <f t="shared" si="192"/>
        <v>0</v>
      </c>
      <c r="DP144" s="1150">
        <f t="shared" si="192"/>
        <v>0</v>
      </c>
      <c r="DQ144" s="1150">
        <f t="shared" si="192"/>
        <v>0</v>
      </c>
      <c r="DR144" s="1150">
        <f t="shared" si="192"/>
        <v>0</v>
      </c>
      <c r="DS144" s="1150">
        <f t="shared" si="192"/>
        <v>0</v>
      </c>
      <c r="DT144" s="1150">
        <f t="shared" si="192"/>
        <v>0</v>
      </c>
      <c r="DU144" s="1150">
        <f t="shared" si="192"/>
        <v>0</v>
      </c>
      <c r="DV144" s="1150">
        <f t="shared" si="192"/>
        <v>0</v>
      </c>
      <c r="DW144" s="1150">
        <f t="shared" si="192"/>
        <v>0</v>
      </c>
      <c r="DX144" s="1150">
        <f t="shared" si="192"/>
        <v>0</v>
      </c>
      <c r="DY144" s="1150">
        <f t="shared" ref="DY144" si="193">DY84</f>
        <v>0</v>
      </c>
      <c r="DZ144" s="1150">
        <f t="shared" ref="DZ144" si="194">DZ84</f>
        <v>0</v>
      </c>
      <c r="EA144" s="1150">
        <f t="shared" ref="EA144:GA144" si="195">EA84</f>
        <v>0</v>
      </c>
      <c r="EB144" s="1150">
        <f t="shared" si="195"/>
        <v>0</v>
      </c>
      <c r="EC144" s="1150">
        <f t="shared" si="195"/>
        <v>0</v>
      </c>
      <c r="ED144" s="1150">
        <f t="shared" ref="ED144" si="196">ED84</f>
        <v>0</v>
      </c>
      <c r="EE144" s="1150">
        <f t="shared" ref="EE144:EF144" si="197">EE84</f>
        <v>0</v>
      </c>
      <c r="EF144" s="1150">
        <f t="shared" si="197"/>
        <v>0</v>
      </c>
      <c r="EG144" s="1151">
        <f t="shared" si="195"/>
        <v>0</v>
      </c>
      <c r="EH144" s="1150">
        <f t="shared" si="195"/>
        <v>0</v>
      </c>
      <c r="EI144" s="1150">
        <f t="shared" si="195"/>
        <v>0</v>
      </c>
      <c r="EJ144" s="1150">
        <f t="shared" si="195"/>
        <v>0</v>
      </c>
      <c r="EK144" s="1150">
        <f t="shared" si="195"/>
        <v>0</v>
      </c>
      <c r="EL144" s="1150">
        <f t="shared" ref="EL144:EM144" si="198">EL84</f>
        <v>0</v>
      </c>
      <c r="EM144" s="1150">
        <f t="shared" si="198"/>
        <v>0</v>
      </c>
      <c r="EN144" s="1151">
        <f t="shared" si="195"/>
        <v>0</v>
      </c>
      <c r="EO144" s="1150">
        <f t="shared" si="195"/>
        <v>0</v>
      </c>
      <c r="EP144" s="1151">
        <f t="shared" ref="EP144:FC144" si="199">EP84</f>
        <v>0</v>
      </c>
      <c r="EQ144" s="1150">
        <f t="shared" si="199"/>
        <v>0</v>
      </c>
      <c r="ER144" s="1150">
        <f t="shared" si="199"/>
        <v>0</v>
      </c>
      <c r="ES144" s="1150"/>
      <c r="ET144" s="1150">
        <f t="shared" si="199"/>
        <v>0</v>
      </c>
      <c r="EU144" s="1150">
        <f t="shared" si="199"/>
        <v>0</v>
      </c>
      <c r="EV144" s="1150">
        <f t="shared" si="199"/>
        <v>0</v>
      </c>
      <c r="EW144" s="1150">
        <f t="shared" si="199"/>
        <v>0</v>
      </c>
      <c r="EX144" s="1150">
        <f t="shared" si="199"/>
        <v>0</v>
      </c>
      <c r="EY144" s="1150">
        <f t="shared" si="199"/>
        <v>0</v>
      </c>
      <c r="EZ144" s="1150">
        <f t="shared" si="199"/>
        <v>0</v>
      </c>
      <c r="FA144" s="1150">
        <f t="shared" si="199"/>
        <v>0</v>
      </c>
      <c r="FB144" s="1150">
        <f t="shared" si="199"/>
        <v>0</v>
      </c>
      <c r="FC144" s="1150">
        <f t="shared" si="199"/>
        <v>0</v>
      </c>
      <c r="FD144" s="1151">
        <f t="shared" si="195"/>
        <v>0</v>
      </c>
      <c r="FE144" s="1150">
        <f t="shared" si="195"/>
        <v>0</v>
      </c>
      <c r="FF144" s="1150">
        <f t="shared" si="195"/>
        <v>0</v>
      </c>
      <c r="FG144" s="1150">
        <f t="shared" si="195"/>
        <v>0</v>
      </c>
      <c r="FH144" s="1150">
        <f t="shared" si="195"/>
        <v>0</v>
      </c>
      <c r="FI144" s="1150">
        <f t="shared" si="195"/>
        <v>0</v>
      </c>
      <c r="FJ144" s="1150">
        <f t="shared" si="195"/>
        <v>0</v>
      </c>
      <c r="FK144" s="1150">
        <f t="shared" si="195"/>
        <v>0</v>
      </c>
      <c r="FL144" s="1150">
        <f t="shared" si="195"/>
        <v>0</v>
      </c>
      <c r="FM144" s="1150">
        <f t="shared" ref="FM144:FN144" si="200">FM84</f>
        <v>0</v>
      </c>
      <c r="FN144" s="1150">
        <f t="shared" si="200"/>
        <v>0</v>
      </c>
      <c r="FO144" s="1150">
        <f t="shared" ref="FO144:FP144" si="201">FO84</f>
        <v>0</v>
      </c>
      <c r="FP144" s="1150">
        <f t="shared" si="201"/>
        <v>0</v>
      </c>
      <c r="FQ144" s="1150">
        <f t="shared" ref="FQ144:FT144" si="202">FQ84</f>
        <v>0</v>
      </c>
      <c r="FR144" s="1150">
        <f t="shared" si="202"/>
        <v>0</v>
      </c>
      <c r="FS144" s="1150">
        <f t="shared" si="202"/>
        <v>0</v>
      </c>
      <c r="FT144" s="1150">
        <f t="shared" si="202"/>
        <v>0</v>
      </c>
      <c r="FU144" s="1150">
        <f t="shared" ref="FU144:FX144" si="203">FU84</f>
        <v>0</v>
      </c>
      <c r="FV144" s="1150">
        <f t="shared" si="203"/>
        <v>0</v>
      </c>
      <c r="FW144" s="1150">
        <f t="shared" si="203"/>
        <v>0</v>
      </c>
      <c r="FX144" s="1150">
        <f t="shared" si="203"/>
        <v>0</v>
      </c>
      <c r="FY144" s="1150">
        <f t="shared" ref="FY144:FZ144" si="204">FY84</f>
        <v>0</v>
      </c>
      <c r="FZ144" s="1150">
        <f t="shared" si="204"/>
        <v>0</v>
      </c>
      <c r="GA144" s="1150">
        <f t="shared" si="195"/>
        <v>0</v>
      </c>
      <c r="GB144" s="1121"/>
    </row>
    <row r="145" spans="3:184" ht="16.5" hidden="1">
      <c r="C145" s="1115"/>
      <c r="D145" s="1123" t="s">
        <v>2270</v>
      </c>
      <c r="E145" s="1124" t="s">
        <v>2264</v>
      </c>
      <c r="F145" s="1117"/>
      <c r="G145" s="1118"/>
      <c r="H145" s="1118"/>
      <c r="I145" s="1118"/>
      <c r="J145" s="1149">
        <f>SUM(K145:GA145)</f>
        <v>0</v>
      </c>
      <c r="K145" s="1419"/>
      <c r="L145" s="1150"/>
      <c r="M145" s="1150"/>
      <c r="N145" s="1150"/>
      <c r="O145" s="1150"/>
      <c r="P145" s="1150"/>
      <c r="Q145" s="1150"/>
      <c r="R145" s="1150"/>
      <c r="S145" s="1151"/>
      <c r="T145" s="1152"/>
      <c r="U145" s="1150"/>
      <c r="V145" s="1150"/>
      <c r="W145" s="1150"/>
      <c r="X145" s="1150"/>
      <c r="Y145" s="1150"/>
      <c r="Z145" s="1150"/>
      <c r="AA145" s="1150"/>
      <c r="AB145" s="1153"/>
      <c r="AC145" s="1150"/>
      <c r="AD145" s="1150"/>
      <c r="AE145" s="1151"/>
      <c r="AF145" s="1150"/>
      <c r="AG145" s="1150"/>
      <c r="AH145" s="1150"/>
      <c r="AI145" s="1150"/>
      <c r="AJ145" s="1150"/>
      <c r="AK145" s="1150"/>
      <c r="AL145" s="1150"/>
      <c r="AM145" s="1150"/>
      <c r="AN145" s="1150"/>
      <c r="AO145" s="1150"/>
      <c r="AP145" s="1150"/>
      <c r="AQ145" s="1150"/>
      <c r="AR145" s="1150"/>
      <c r="AS145" s="1150"/>
      <c r="AT145" s="1150"/>
      <c r="AU145" s="1150"/>
      <c r="AV145" s="1150"/>
      <c r="AW145" s="1150"/>
      <c r="AX145" s="1150"/>
      <c r="AY145" s="1150"/>
      <c r="AZ145" s="1150"/>
      <c r="BA145" s="1150"/>
      <c r="BB145" s="1150"/>
      <c r="BC145" s="1150"/>
      <c r="BD145" s="1150"/>
      <c r="BE145" s="1150"/>
      <c r="BF145" s="1150"/>
      <c r="BG145" s="1150"/>
      <c r="BH145" s="1150"/>
      <c r="BI145" s="1150"/>
      <c r="BJ145" s="1150"/>
      <c r="BK145" s="1150"/>
      <c r="BL145" s="1150"/>
      <c r="BM145" s="1150"/>
      <c r="BN145" s="1150"/>
      <c r="BO145" s="1150"/>
      <c r="BP145" s="1150"/>
      <c r="BQ145" s="1150"/>
      <c r="BR145" s="1150"/>
      <c r="BS145" s="1150"/>
      <c r="BT145" s="1150"/>
      <c r="BU145" s="1150"/>
      <c r="BV145" s="1150"/>
      <c r="BW145" s="1150"/>
      <c r="BX145" s="1150"/>
      <c r="BY145" s="1150"/>
      <c r="BZ145" s="1150"/>
      <c r="CA145" s="1150"/>
      <c r="CB145" s="1150"/>
      <c r="CC145" s="1150"/>
      <c r="CD145" s="1150"/>
      <c r="CE145" s="1150"/>
      <c r="CF145" s="1150"/>
      <c r="CG145" s="1150"/>
      <c r="CH145" s="1150"/>
      <c r="CI145" s="1150"/>
      <c r="CJ145" s="1150"/>
      <c r="CK145" s="1150"/>
      <c r="CL145" s="1150"/>
      <c r="CM145" s="1150"/>
      <c r="CN145" s="1150"/>
      <c r="CO145" s="1150"/>
      <c r="CP145" s="1150"/>
      <c r="CQ145" s="1150"/>
      <c r="CR145" s="1150"/>
      <c r="CS145" s="1150"/>
      <c r="CT145" s="1150"/>
      <c r="CU145" s="1150"/>
      <c r="CV145" s="1150"/>
      <c r="CW145" s="1150"/>
      <c r="CX145" s="1150"/>
      <c r="CY145" s="1150"/>
      <c r="CZ145" s="1150"/>
      <c r="DA145" s="1150"/>
      <c r="DB145" s="1150"/>
      <c r="DC145" s="1150"/>
      <c r="DD145" s="1150"/>
      <c r="DE145" s="1150"/>
      <c r="DF145" s="1150"/>
      <c r="DG145" s="1150"/>
      <c r="DH145" s="1150"/>
      <c r="DI145" s="1150"/>
      <c r="DJ145" s="1150"/>
      <c r="DK145" s="1150"/>
      <c r="DL145" s="1150"/>
      <c r="DM145" s="1150"/>
      <c r="DN145" s="1150"/>
      <c r="DO145" s="1150"/>
      <c r="DP145" s="1150"/>
      <c r="DQ145" s="1150"/>
      <c r="DR145" s="1150"/>
      <c r="DS145" s="1150"/>
      <c r="DT145" s="1150"/>
      <c r="DU145" s="1150"/>
      <c r="DV145" s="1150"/>
      <c r="DW145" s="1150"/>
      <c r="DX145" s="1150"/>
      <c r="DY145" s="1150"/>
      <c r="DZ145" s="1150"/>
      <c r="EA145" s="1150"/>
      <c r="EB145" s="1150"/>
      <c r="EC145" s="1150"/>
      <c r="ED145" s="1150"/>
      <c r="EE145" s="1150"/>
      <c r="EF145" s="1150"/>
      <c r="EG145" s="1151"/>
      <c r="EH145" s="1150"/>
      <c r="EI145" s="1150"/>
      <c r="EJ145" s="1150"/>
      <c r="EK145" s="1150"/>
      <c r="EL145" s="1150"/>
      <c r="EM145" s="1150"/>
      <c r="EN145" s="1151"/>
      <c r="EO145" s="1150"/>
      <c r="EP145" s="1151"/>
      <c r="EQ145" s="1150"/>
      <c r="ER145" s="1150"/>
      <c r="ES145" s="1150"/>
      <c r="ET145" s="1150"/>
      <c r="EU145" s="1150"/>
      <c r="EV145" s="1150"/>
      <c r="EW145" s="1150"/>
      <c r="EX145" s="1150"/>
      <c r="EY145" s="1150"/>
      <c r="EZ145" s="1150"/>
      <c r="FA145" s="1150"/>
      <c r="FB145" s="1150"/>
      <c r="FC145" s="1150"/>
      <c r="FD145" s="1151"/>
      <c r="FE145" s="1150"/>
      <c r="FF145" s="1150"/>
      <c r="FG145" s="1150"/>
      <c r="FH145" s="1150"/>
      <c r="FI145" s="1150"/>
      <c r="FJ145" s="1150"/>
      <c r="FK145" s="1150"/>
      <c r="FL145" s="1150"/>
      <c r="FM145" s="1150"/>
      <c r="FN145" s="1150"/>
      <c r="FO145" s="1150"/>
      <c r="FP145" s="1150"/>
      <c r="FQ145" s="1150"/>
      <c r="FR145" s="1150"/>
      <c r="FS145" s="1150"/>
      <c r="FT145" s="1150"/>
      <c r="FU145" s="1150"/>
      <c r="FV145" s="1150"/>
      <c r="FW145" s="1150"/>
      <c r="FX145" s="1150"/>
      <c r="FY145" s="1150"/>
      <c r="FZ145" s="1150"/>
      <c r="GA145" s="1150"/>
      <c r="GB145" s="1121"/>
    </row>
    <row r="146" spans="3:184" ht="16.5" hidden="1">
      <c r="C146" s="1115"/>
      <c r="D146" s="1130" t="s">
        <v>2270</v>
      </c>
      <c r="E146" s="1131" t="s">
        <v>2265</v>
      </c>
      <c r="F146" s="1117"/>
      <c r="G146" s="1118"/>
      <c r="H146" s="1118"/>
      <c r="I146" s="1118"/>
      <c r="J146" s="1149">
        <f>SUM(K146:GA146)</f>
        <v>0</v>
      </c>
      <c r="K146" s="1419"/>
      <c r="L146" s="1150"/>
      <c r="M146" s="1150"/>
      <c r="N146" s="1150"/>
      <c r="O146" s="1150"/>
      <c r="P146" s="1150"/>
      <c r="Q146" s="1150"/>
      <c r="R146" s="1150"/>
      <c r="S146" s="1151"/>
      <c r="T146" s="1152"/>
      <c r="U146" s="1150"/>
      <c r="V146" s="1150"/>
      <c r="W146" s="1150"/>
      <c r="X146" s="1150"/>
      <c r="Y146" s="1150"/>
      <c r="Z146" s="1150"/>
      <c r="AA146" s="1150"/>
      <c r="AB146" s="1153"/>
      <c r="AC146" s="1150"/>
      <c r="AD146" s="1150"/>
      <c r="AE146" s="1151"/>
      <c r="AF146" s="1150"/>
      <c r="AG146" s="1150"/>
      <c r="AH146" s="1150"/>
      <c r="AI146" s="1150"/>
      <c r="AJ146" s="1150"/>
      <c r="AK146" s="1150"/>
      <c r="AL146" s="1150"/>
      <c r="AM146" s="1150"/>
      <c r="AN146" s="1150"/>
      <c r="AO146" s="1150"/>
      <c r="AP146" s="1150"/>
      <c r="AQ146" s="1150"/>
      <c r="AR146" s="1150"/>
      <c r="AS146" s="1150"/>
      <c r="AT146" s="1150"/>
      <c r="AU146" s="1150"/>
      <c r="AV146" s="1150"/>
      <c r="AW146" s="1150"/>
      <c r="AX146" s="1150"/>
      <c r="AY146" s="1150"/>
      <c r="AZ146" s="1150"/>
      <c r="BA146" s="1150"/>
      <c r="BB146" s="1150"/>
      <c r="BC146" s="1150"/>
      <c r="BD146" s="1150"/>
      <c r="BE146" s="1150"/>
      <c r="BF146" s="1150"/>
      <c r="BG146" s="1150"/>
      <c r="BH146" s="1150"/>
      <c r="BI146" s="1150"/>
      <c r="BJ146" s="1150"/>
      <c r="BK146" s="1150"/>
      <c r="BL146" s="1150"/>
      <c r="BM146" s="1150"/>
      <c r="BN146" s="1150"/>
      <c r="BO146" s="1150"/>
      <c r="BP146" s="1150"/>
      <c r="BQ146" s="1150"/>
      <c r="BR146" s="1150"/>
      <c r="BS146" s="1150"/>
      <c r="BT146" s="1150"/>
      <c r="BU146" s="1150"/>
      <c r="BV146" s="1150"/>
      <c r="BW146" s="1150"/>
      <c r="BX146" s="1150"/>
      <c r="BY146" s="1150"/>
      <c r="BZ146" s="1150"/>
      <c r="CA146" s="1150"/>
      <c r="CB146" s="1150"/>
      <c r="CC146" s="1150"/>
      <c r="CD146" s="1150"/>
      <c r="CE146" s="1150"/>
      <c r="CF146" s="1150"/>
      <c r="CG146" s="1150"/>
      <c r="CH146" s="1150"/>
      <c r="CI146" s="1150"/>
      <c r="CJ146" s="1150"/>
      <c r="CK146" s="1150"/>
      <c r="CL146" s="1150"/>
      <c r="CM146" s="1150"/>
      <c r="CN146" s="1150"/>
      <c r="CO146" s="1150"/>
      <c r="CP146" s="1150"/>
      <c r="CQ146" s="1150"/>
      <c r="CR146" s="1150"/>
      <c r="CS146" s="1150"/>
      <c r="CT146" s="1150"/>
      <c r="CU146" s="1150"/>
      <c r="CV146" s="1150"/>
      <c r="CW146" s="1150"/>
      <c r="CX146" s="1150"/>
      <c r="CY146" s="1150"/>
      <c r="CZ146" s="1150"/>
      <c r="DA146" s="1150"/>
      <c r="DB146" s="1150"/>
      <c r="DC146" s="1150"/>
      <c r="DD146" s="1150"/>
      <c r="DE146" s="1150"/>
      <c r="DF146" s="1150"/>
      <c r="DG146" s="1150"/>
      <c r="DH146" s="1150"/>
      <c r="DI146" s="1150"/>
      <c r="DJ146" s="1150"/>
      <c r="DK146" s="1150"/>
      <c r="DL146" s="1150"/>
      <c r="DM146" s="1150"/>
      <c r="DN146" s="1150"/>
      <c r="DO146" s="1150"/>
      <c r="DP146" s="1150"/>
      <c r="DQ146" s="1150"/>
      <c r="DR146" s="1150"/>
      <c r="DS146" s="1150"/>
      <c r="DT146" s="1150"/>
      <c r="DU146" s="1150"/>
      <c r="DV146" s="1150"/>
      <c r="DW146" s="1150"/>
      <c r="DX146" s="1150"/>
      <c r="DY146" s="1150"/>
      <c r="DZ146" s="1150"/>
      <c r="EA146" s="1150"/>
      <c r="EB146" s="1150"/>
      <c r="EC146" s="1150"/>
      <c r="ED146" s="1150"/>
      <c r="EE146" s="1150"/>
      <c r="EF146" s="1150"/>
      <c r="EG146" s="1151"/>
      <c r="EH146" s="1150"/>
      <c r="EI146" s="1150"/>
      <c r="EJ146" s="1150"/>
      <c r="EK146" s="1150"/>
      <c r="EL146" s="1150"/>
      <c r="EM146" s="1150"/>
      <c r="EN146" s="1151"/>
      <c r="EO146" s="1150"/>
      <c r="EP146" s="1151"/>
      <c r="EQ146" s="1150"/>
      <c r="ER146" s="1150"/>
      <c r="ES146" s="1150"/>
      <c r="ET146" s="1150"/>
      <c r="EU146" s="1150"/>
      <c r="EV146" s="1150"/>
      <c r="EW146" s="1150"/>
      <c r="EX146" s="1150"/>
      <c r="EY146" s="1150"/>
      <c r="EZ146" s="1150"/>
      <c r="FA146" s="1150"/>
      <c r="FB146" s="1150"/>
      <c r="FC146" s="1150"/>
      <c r="FD146" s="1151"/>
      <c r="FE146" s="1150"/>
      <c r="FF146" s="1150"/>
      <c r="FG146" s="1150"/>
      <c r="FH146" s="1150"/>
      <c r="FI146" s="1150"/>
      <c r="FJ146" s="1150"/>
      <c r="FK146" s="1150"/>
      <c r="FL146" s="1150"/>
      <c r="FM146" s="1150"/>
      <c r="FN146" s="1150"/>
      <c r="FO146" s="1150"/>
      <c r="FP146" s="1150"/>
      <c r="FQ146" s="1150"/>
      <c r="FR146" s="1150"/>
      <c r="FS146" s="1150"/>
      <c r="FT146" s="1150"/>
      <c r="FU146" s="1150"/>
      <c r="FV146" s="1150"/>
      <c r="FW146" s="1150"/>
      <c r="FX146" s="1150"/>
      <c r="FY146" s="1150"/>
      <c r="FZ146" s="1150"/>
      <c r="GA146" s="1150"/>
      <c r="GB146" s="1121"/>
    </row>
    <row r="147" spans="3:184" ht="16.5" hidden="1">
      <c r="C147" s="1115"/>
      <c r="D147" s="1137" t="s">
        <v>2270</v>
      </c>
      <c r="E147" s="1138" t="s">
        <v>2267</v>
      </c>
      <c r="F147" s="1117"/>
      <c r="G147" s="1118"/>
      <c r="H147" s="1118"/>
      <c r="I147" s="1118"/>
      <c r="J147" s="1149">
        <f>SUM(K147:GA147)</f>
        <v>0</v>
      </c>
      <c r="K147" s="1419"/>
      <c r="L147" s="1150"/>
      <c r="M147" s="1150"/>
      <c r="N147" s="1150"/>
      <c r="O147" s="1150"/>
      <c r="P147" s="1150"/>
      <c r="Q147" s="1150"/>
      <c r="R147" s="1150"/>
      <c r="S147" s="1151"/>
      <c r="T147" s="1152"/>
      <c r="U147" s="1150"/>
      <c r="V147" s="1150"/>
      <c r="W147" s="1150"/>
      <c r="X147" s="1150"/>
      <c r="Y147" s="1150"/>
      <c r="Z147" s="1150"/>
      <c r="AA147" s="1150"/>
      <c r="AB147" s="1153"/>
      <c r="AC147" s="1150"/>
      <c r="AD147" s="1150"/>
      <c r="AE147" s="1151"/>
      <c r="AF147" s="1150"/>
      <c r="AG147" s="1150"/>
      <c r="AH147" s="1150"/>
      <c r="AI147" s="1150"/>
      <c r="AJ147" s="1150"/>
      <c r="AK147" s="1150"/>
      <c r="AL147" s="1150"/>
      <c r="AM147" s="1150"/>
      <c r="AN147" s="1150"/>
      <c r="AO147" s="1150"/>
      <c r="AP147" s="1150"/>
      <c r="AQ147" s="1150"/>
      <c r="AR147" s="1150"/>
      <c r="AS147" s="1150"/>
      <c r="AT147" s="1150"/>
      <c r="AU147" s="1150"/>
      <c r="AV147" s="1150"/>
      <c r="AW147" s="1150"/>
      <c r="AX147" s="1150"/>
      <c r="AY147" s="1150"/>
      <c r="AZ147" s="1150"/>
      <c r="BA147" s="1150"/>
      <c r="BB147" s="1150"/>
      <c r="BC147" s="1150"/>
      <c r="BD147" s="1150"/>
      <c r="BE147" s="1150"/>
      <c r="BF147" s="1150"/>
      <c r="BG147" s="1150"/>
      <c r="BH147" s="1150"/>
      <c r="BI147" s="1150"/>
      <c r="BJ147" s="1150"/>
      <c r="BK147" s="1150"/>
      <c r="BL147" s="1150"/>
      <c r="BM147" s="1150"/>
      <c r="BN147" s="1150"/>
      <c r="BO147" s="1150"/>
      <c r="BP147" s="1150"/>
      <c r="BQ147" s="1150"/>
      <c r="BR147" s="1150"/>
      <c r="BS147" s="1150"/>
      <c r="BT147" s="1150"/>
      <c r="BU147" s="1150"/>
      <c r="BV147" s="1150"/>
      <c r="BW147" s="1150"/>
      <c r="BX147" s="1150"/>
      <c r="BY147" s="1150"/>
      <c r="BZ147" s="1150"/>
      <c r="CA147" s="1150"/>
      <c r="CB147" s="1150"/>
      <c r="CC147" s="1150"/>
      <c r="CD147" s="1150"/>
      <c r="CE147" s="1150"/>
      <c r="CF147" s="1150"/>
      <c r="CG147" s="1150"/>
      <c r="CH147" s="1150"/>
      <c r="CI147" s="1150"/>
      <c r="CJ147" s="1150"/>
      <c r="CK147" s="1150"/>
      <c r="CL147" s="1150"/>
      <c r="CM147" s="1150"/>
      <c r="CN147" s="1150"/>
      <c r="CO147" s="1150"/>
      <c r="CP147" s="1150"/>
      <c r="CQ147" s="1150"/>
      <c r="CR147" s="1150"/>
      <c r="CS147" s="1150"/>
      <c r="CT147" s="1150"/>
      <c r="CU147" s="1150"/>
      <c r="CV147" s="1150"/>
      <c r="CW147" s="1150"/>
      <c r="CX147" s="1150"/>
      <c r="CY147" s="1150"/>
      <c r="CZ147" s="1150"/>
      <c r="DA147" s="1150"/>
      <c r="DB147" s="1150"/>
      <c r="DC147" s="1150"/>
      <c r="DD147" s="1150"/>
      <c r="DE147" s="1150"/>
      <c r="DF147" s="1150"/>
      <c r="DG147" s="1150"/>
      <c r="DH147" s="1150"/>
      <c r="DI147" s="1150"/>
      <c r="DJ147" s="1150"/>
      <c r="DK147" s="1150"/>
      <c r="DL147" s="1150"/>
      <c r="DM147" s="1150"/>
      <c r="DN147" s="1150"/>
      <c r="DO147" s="1150"/>
      <c r="DP147" s="1150"/>
      <c r="DQ147" s="1150"/>
      <c r="DR147" s="1150"/>
      <c r="DS147" s="1150"/>
      <c r="DT147" s="1150"/>
      <c r="DU147" s="1150"/>
      <c r="DV147" s="1150"/>
      <c r="DW147" s="1150"/>
      <c r="DX147" s="1150"/>
      <c r="DY147" s="1150"/>
      <c r="DZ147" s="1150"/>
      <c r="EA147" s="1150"/>
      <c r="EB147" s="1150"/>
      <c r="EC147" s="1150"/>
      <c r="ED147" s="1150"/>
      <c r="EE147" s="1150"/>
      <c r="EF147" s="1150"/>
      <c r="EG147" s="1151"/>
      <c r="EH147" s="1150"/>
      <c r="EI147" s="1150"/>
      <c r="EJ147" s="1150"/>
      <c r="EK147" s="1150"/>
      <c r="EL147" s="1150"/>
      <c r="EM147" s="1150"/>
      <c r="EN147" s="1151"/>
      <c r="EO147" s="1150"/>
      <c r="EP147" s="1151"/>
      <c r="EQ147" s="1150"/>
      <c r="ER147" s="1150"/>
      <c r="ES147" s="1150"/>
      <c r="ET147" s="1150"/>
      <c r="EU147" s="1150"/>
      <c r="EV147" s="1150"/>
      <c r="EW147" s="1150"/>
      <c r="EX147" s="1150"/>
      <c r="EY147" s="1150"/>
      <c r="EZ147" s="1150"/>
      <c r="FA147" s="1150"/>
      <c r="FB147" s="1150"/>
      <c r="FC147" s="1150"/>
      <c r="FD147" s="1151"/>
      <c r="FE147" s="1150"/>
      <c r="FF147" s="1150"/>
      <c r="FG147" s="1150"/>
      <c r="FH147" s="1150"/>
      <c r="FI147" s="1150"/>
      <c r="FJ147" s="1150"/>
      <c r="FK147" s="1150"/>
      <c r="FL147" s="1150"/>
      <c r="FM147" s="1150"/>
      <c r="FN147" s="1150"/>
      <c r="FO147" s="1150"/>
      <c r="FP147" s="1150"/>
      <c r="FQ147" s="1150"/>
      <c r="FR147" s="1150"/>
      <c r="FS147" s="1150"/>
      <c r="FT147" s="1150"/>
      <c r="FU147" s="1150"/>
      <c r="FV147" s="1150"/>
      <c r="FW147" s="1150"/>
      <c r="FX147" s="1150"/>
      <c r="FY147" s="1150"/>
      <c r="FZ147" s="1150"/>
      <c r="GA147" s="1150"/>
      <c r="GB147" s="1121"/>
    </row>
    <row r="148" spans="3:184" ht="16.5" hidden="1">
      <c r="C148" s="1115"/>
      <c r="D148" s="1116"/>
      <c r="E148" s="1117" t="s">
        <v>1611</v>
      </c>
      <c r="F148" s="1117"/>
      <c r="G148" s="1118"/>
      <c r="H148" s="1118"/>
      <c r="I148" s="1118"/>
      <c r="J148" s="1149">
        <f>SUM(K148:GA148)</f>
        <v>0</v>
      </c>
      <c r="K148" s="1419"/>
      <c r="L148" s="1150">
        <f>SUM(L144:L147)</f>
        <v>0</v>
      </c>
      <c r="M148" s="1150">
        <f t="shared" ref="M148:FI148" si="205">SUM(M144:M147)</f>
        <v>0</v>
      </c>
      <c r="N148" s="1150">
        <f t="shared" si="205"/>
        <v>0</v>
      </c>
      <c r="O148" s="1150">
        <f>SUM(O144:O147)</f>
        <v>0</v>
      </c>
      <c r="P148" s="1150">
        <f t="shared" si="205"/>
        <v>0</v>
      </c>
      <c r="Q148" s="1150"/>
      <c r="R148" s="1150">
        <f t="shared" si="205"/>
        <v>0</v>
      </c>
      <c r="S148" s="1151">
        <f t="shared" si="205"/>
        <v>0</v>
      </c>
      <c r="T148" s="1152"/>
      <c r="U148" s="1150">
        <f t="shared" si="205"/>
        <v>0</v>
      </c>
      <c r="V148" s="1150">
        <f t="shared" si="205"/>
        <v>0</v>
      </c>
      <c r="W148" s="1150">
        <f t="shared" si="205"/>
        <v>0</v>
      </c>
      <c r="X148" s="1150">
        <f t="shared" si="205"/>
        <v>0</v>
      </c>
      <c r="Y148" s="1150">
        <f t="shared" si="205"/>
        <v>0</v>
      </c>
      <c r="Z148" s="1150">
        <f>SUM(Z144:Z147)</f>
        <v>0</v>
      </c>
      <c r="AA148" s="1150">
        <f>SUM(AA144:AA147)</f>
        <v>0</v>
      </c>
      <c r="AB148" s="1153">
        <f>SUM(AB144:AB147)</f>
        <v>0</v>
      </c>
      <c r="AC148" s="1150">
        <f>SUM(AC144:AC147)</f>
        <v>0</v>
      </c>
      <c r="AD148" s="1150">
        <f>SUM(AD144:AD147)</f>
        <v>0</v>
      </c>
      <c r="AE148" s="1151">
        <f t="shared" si="205"/>
        <v>0</v>
      </c>
      <c r="AF148" s="1150">
        <f t="shared" si="205"/>
        <v>0</v>
      </c>
      <c r="AG148" s="1150">
        <f t="shared" si="205"/>
        <v>0</v>
      </c>
      <c r="AH148" s="1150">
        <f t="shared" si="205"/>
        <v>0</v>
      </c>
      <c r="AI148" s="1150">
        <f t="shared" si="205"/>
        <v>0</v>
      </c>
      <c r="AJ148" s="1150">
        <f t="shared" si="205"/>
        <v>0</v>
      </c>
      <c r="AK148" s="1150">
        <f t="shared" ref="AK148:BP148" si="206">SUM(AK144:AK147)</f>
        <v>0</v>
      </c>
      <c r="AL148" s="1150">
        <f t="shared" si="206"/>
        <v>0</v>
      </c>
      <c r="AM148" s="1150">
        <f t="shared" si="206"/>
        <v>0</v>
      </c>
      <c r="AN148" s="1150">
        <f t="shared" si="206"/>
        <v>0</v>
      </c>
      <c r="AO148" s="1150">
        <f t="shared" si="206"/>
        <v>0</v>
      </c>
      <c r="AP148" s="1150">
        <f t="shared" si="206"/>
        <v>0</v>
      </c>
      <c r="AQ148" s="1150">
        <f t="shared" si="206"/>
        <v>0</v>
      </c>
      <c r="AR148" s="1150">
        <f t="shared" si="206"/>
        <v>0</v>
      </c>
      <c r="AS148" s="1150">
        <f t="shared" si="206"/>
        <v>0</v>
      </c>
      <c r="AT148" s="1150">
        <f t="shared" si="206"/>
        <v>0</v>
      </c>
      <c r="AU148" s="1150">
        <f t="shared" si="206"/>
        <v>0</v>
      </c>
      <c r="AV148" s="1150">
        <f t="shared" si="206"/>
        <v>0</v>
      </c>
      <c r="AW148" s="1150">
        <f t="shared" si="206"/>
        <v>0</v>
      </c>
      <c r="AX148" s="1150">
        <f t="shared" si="206"/>
        <v>0</v>
      </c>
      <c r="AY148" s="1150">
        <f t="shared" si="206"/>
        <v>0</v>
      </c>
      <c r="AZ148" s="1150">
        <f t="shared" si="206"/>
        <v>0</v>
      </c>
      <c r="BA148" s="1150">
        <f t="shared" si="206"/>
        <v>0</v>
      </c>
      <c r="BB148" s="1150">
        <f t="shared" si="206"/>
        <v>0</v>
      </c>
      <c r="BC148" s="1150">
        <f t="shared" ref="BC148" si="207">SUM(BC144:BC147)</f>
        <v>0</v>
      </c>
      <c r="BD148" s="1150">
        <f t="shared" si="206"/>
        <v>0</v>
      </c>
      <c r="BE148" s="1150">
        <f t="shared" si="206"/>
        <v>0</v>
      </c>
      <c r="BF148" s="1150">
        <f t="shared" si="206"/>
        <v>0</v>
      </c>
      <c r="BG148" s="1150">
        <f t="shared" si="206"/>
        <v>0</v>
      </c>
      <c r="BH148" s="1150">
        <f t="shared" si="206"/>
        <v>0</v>
      </c>
      <c r="BI148" s="1150">
        <f t="shared" si="206"/>
        <v>0</v>
      </c>
      <c r="BJ148" s="1150">
        <f t="shared" si="206"/>
        <v>0</v>
      </c>
      <c r="BK148" s="1150">
        <f t="shared" si="206"/>
        <v>0</v>
      </c>
      <c r="BL148" s="1150">
        <f t="shared" si="206"/>
        <v>0</v>
      </c>
      <c r="BM148" s="1150">
        <f t="shared" si="206"/>
        <v>0</v>
      </c>
      <c r="BN148" s="1150">
        <f t="shared" si="206"/>
        <v>0</v>
      </c>
      <c r="BO148" s="1150">
        <f t="shared" si="206"/>
        <v>0</v>
      </c>
      <c r="BP148" s="1150">
        <f t="shared" si="206"/>
        <v>0</v>
      </c>
      <c r="BQ148" s="1150">
        <f t="shared" ref="BQ148:EA148" si="208">SUM(BQ144:BQ147)</f>
        <v>0</v>
      </c>
      <c r="BR148" s="1150">
        <f t="shared" si="208"/>
        <v>0</v>
      </c>
      <c r="BS148" s="1150">
        <f t="shared" si="208"/>
        <v>0</v>
      </c>
      <c r="BT148" s="1150">
        <f t="shared" si="208"/>
        <v>0</v>
      </c>
      <c r="BU148" s="1150">
        <f t="shared" si="208"/>
        <v>0</v>
      </c>
      <c r="BV148" s="1150">
        <f t="shared" si="208"/>
        <v>0</v>
      </c>
      <c r="BW148" s="1150">
        <f t="shared" si="208"/>
        <v>0</v>
      </c>
      <c r="BX148" s="1150">
        <f t="shared" si="208"/>
        <v>0</v>
      </c>
      <c r="BY148" s="1150">
        <f t="shared" si="208"/>
        <v>0</v>
      </c>
      <c r="BZ148" s="1150">
        <f t="shared" si="208"/>
        <v>0</v>
      </c>
      <c r="CA148" s="1150">
        <f t="shared" si="208"/>
        <v>0</v>
      </c>
      <c r="CB148" s="1150">
        <f t="shared" si="208"/>
        <v>0</v>
      </c>
      <c r="CC148" s="1150">
        <f t="shared" si="208"/>
        <v>0</v>
      </c>
      <c r="CD148" s="1150">
        <f t="shared" si="208"/>
        <v>0</v>
      </c>
      <c r="CE148" s="1150">
        <f t="shared" si="208"/>
        <v>0</v>
      </c>
      <c r="CF148" s="1150">
        <f t="shared" si="208"/>
        <v>0</v>
      </c>
      <c r="CG148" s="1150">
        <f t="shared" ref="CG148:CI148" si="209">SUM(CG144:CG147)</f>
        <v>0</v>
      </c>
      <c r="CH148" s="1150">
        <f t="shared" si="209"/>
        <v>0</v>
      </c>
      <c r="CI148" s="1150">
        <f t="shared" si="209"/>
        <v>0</v>
      </c>
      <c r="CJ148" s="1150">
        <f t="shared" ref="CJ148:CO148" si="210">SUM(CJ144:CJ147)</f>
        <v>0</v>
      </c>
      <c r="CK148" s="1150">
        <f t="shared" si="210"/>
        <v>0</v>
      </c>
      <c r="CL148" s="1150">
        <f t="shared" si="210"/>
        <v>0</v>
      </c>
      <c r="CM148" s="1150">
        <f t="shared" si="210"/>
        <v>0</v>
      </c>
      <c r="CN148" s="1150">
        <f t="shared" si="210"/>
        <v>0</v>
      </c>
      <c r="CO148" s="1150">
        <f t="shared" si="210"/>
        <v>0</v>
      </c>
      <c r="CP148" s="1150">
        <f t="shared" ref="CP148:DA148" si="211">SUM(CP144:CP147)</f>
        <v>0</v>
      </c>
      <c r="CQ148" s="1150">
        <f t="shared" si="211"/>
        <v>0</v>
      </c>
      <c r="CR148" s="1150">
        <f t="shared" si="211"/>
        <v>0</v>
      </c>
      <c r="CS148" s="1150">
        <f t="shared" si="211"/>
        <v>0</v>
      </c>
      <c r="CT148" s="1150">
        <f t="shared" si="211"/>
        <v>0</v>
      </c>
      <c r="CU148" s="1150">
        <f t="shared" si="211"/>
        <v>0</v>
      </c>
      <c r="CV148" s="1150">
        <f t="shared" si="211"/>
        <v>0</v>
      </c>
      <c r="CW148" s="1150">
        <f t="shared" si="211"/>
        <v>0</v>
      </c>
      <c r="CX148" s="1150">
        <f t="shared" si="211"/>
        <v>0</v>
      </c>
      <c r="CY148" s="1150">
        <f t="shared" si="211"/>
        <v>0</v>
      </c>
      <c r="CZ148" s="1150">
        <f t="shared" si="211"/>
        <v>0</v>
      </c>
      <c r="DA148" s="1150">
        <f t="shared" si="211"/>
        <v>0</v>
      </c>
      <c r="DB148" s="1150">
        <f t="shared" ref="DB148:DM148" si="212">SUM(DB144:DB147)</f>
        <v>0</v>
      </c>
      <c r="DC148" s="1150">
        <f t="shared" si="212"/>
        <v>0</v>
      </c>
      <c r="DD148" s="1150">
        <f t="shared" si="212"/>
        <v>0</v>
      </c>
      <c r="DE148" s="1150">
        <f t="shared" si="212"/>
        <v>0</v>
      </c>
      <c r="DF148" s="1150">
        <f t="shared" si="212"/>
        <v>0</v>
      </c>
      <c r="DG148" s="1150">
        <f t="shared" si="212"/>
        <v>0</v>
      </c>
      <c r="DH148" s="1150">
        <f t="shared" si="212"/>
        <v>0</v>
      </c>
      <c r="DI148" s="1150">
        <f t="shared" si="212"/>
        <v>0</v>
      </c>
      <c r="DJ148" s="1150">
        <f t="shared" si="212"/>
        <v>0</v>
      </c>
      <c r="DK148" s="1150">
        <f t="shared" si="212"/>
        <v>0</v>
      </c>
      <c r="DL148" s="1150">
        <f t="shared" si="212"/>
        <v>0</v>
      </c>
      <c r="DM148" s="1150">
        <f t="shared" si="212"/>
        <v>0</v>
      </c>
      <c r="DN148" s="1150">
        <f t="shared" ref="DN148:DX148" si="213">SUM(DN144:DN147)</f>
        <v>0</v>
      </c>
      <c r="DO148" s="1150">
        <f t="shared" si="213"/>
        <v>0</v>
      </c>
      <c r="DP148" s="1150">
        <f t="shared" si="213"/>
        <v>0</v>
      </c>
      <c r="DQ148" s="1150">
        <f t="shared" si="213"/>
        <v>0</v>
      </c>
      <c r="DR148" s="1150">
        <f t="shared" si="213"/>
        <v>0</v>
      </c>
      <c r="DS148" s="1150">
        <f t="shared" si="213"/>
        <v>0</v>
      </c>
      <c r="DT148" s="1150">
        <f t="shared" si="213"/>
        <v>0</v>
      </c>
      <c r="DU148" s="1150">
        <f t="shared" si="213"/>
        <v>0</v>
      </c>
      <c r="DV148" s="1150">
        <f t="shared" si="213"/>
        <v>0</v>
      </c>
      <c r="DW148" s="1150">
        <f t="shared" si="213"/>
        <v>0</v>
      </c>
      <c r="DX148" s="1150">
        <f t="shared" si="213"/>
        <v>0</v>
      </c>
      <c r="DY148" s="1150">
        <f t="shared" ref="DY148" si="214">SUM(DY144:DY147)</f>
        <v>0</v>
      </c>
      <c r="DZ148" s="1150">
        <f t="shared" ref="DZ148" si="215">SUM(DZ144:DZ147)</f>
        <v>0</v>
      </c>
      <c r="EA148" s="1150">
        <f t="shared" si="208"/>
        <v>0</v>
      </c>
      <c r="EB148" s="1150">
        <f t="shared" ref="EB148:EF148" si="216">SUM(EB144:EB147)</f>
        <v>0</v>
      </c>
      <c r="EC148" s="1150">
        <f t="shared" si="216"/>
        <v>0</v>
      </c>
      <c r="ED148" s="1150">
        <f t="shared" ref="ED148" si="217">SUM(ED144:ED147)</f>
        <v>0</v>
      </c>
      <c r="EE148" s="1150">
        <f t="shared" si="216"/>
        <v>0</v>
      </c>
      <c r="EF148" s="1150">
        <f t="shared" si="216"/>
        <v>0</v>
      </c>
      <c r="EG148" s="1151">
        <f t="shared" si="205"/>
        <v>0</v>
      </c>
      <c r="EH148" s="1150">
        <f t="shared" si="205"/>
        <v>0</v>
      </c>
      <c r="EI148" s="1150">
        <f t="shared" ref="EI148:EK148" si="218">SUM(EI144:EI147)</f>
        <v>0</v>
      </c>
      <c r="EJ148" s="1150">
        <f t="shared" ref="EJ148" si="219">SUM(EJ144:EJ147)</f>
        <v>0</v>
      </c>
      <c r="EK148" s="1150">
        <f t="shared" si="218"/>
        <v>0</v>
      </c>
      <c r="EL148" s="1150">
        <f t="shared" ref="EL148:EM148" si="220">SUM(EL144:EL147)</f>
        <v>0</v>
      </c>
      <c r="EM148" s="1150">
        <f t="shared" si="220"/>
        <v>0</v>
      </c>
      <c r="EN148" s="1151">
        <f t="shared" si="205"/>
        <v>0</v>
      </c>
      <c r="EO148" s="1150">
        <f t="shared" si="205"/>
        <v>0</v>
      </c>
      <c r="EP148" s="1151">
        <f t="shared" ref="EP148:EV148" si="221">SUM(EP144:EP147)</f>
        <v>0</v>
      </c>
      <c r="EQ148" s="1150">
        <f t="shared" si="221"/>
        <v>0</v>
      </c>
      <c r="ER148" s="1150">
        <f t="shared" si="221"/>
        <v>0</v>
      </c>
      <c r="ES148" s="1150"/>
      <c r="ET148" s="1150">
        <f t="shared" si="221"/>
        <v>0</v>
      </c>
      <c r="EU148" s="1150">
        <f t="shared" si="221"/>
        <v>0</v>
      </c>
      <c r="EV148" s="1150">
        <f t="shared" si="221"/>
        <v>0</v>
      </c>
      <c r="EW148" s="1150">
        <f>SUM(EW144:EW147)</f>
        <v>0</v>
      </c>
      <c r="EX148" s="1150">
        <f>SUM(EX144:EX147)</f>
        <v>0</v>
      </c>
      <c r="EY148" s="1150">
        <f>SUM(EY144:EY147)</f>
        <v>0</v>
      </c>
      <c r="EZ148" s="1150">
        <f t="shared" ref="EZ148:FC148" si="222">SUM(EZ144:EZ147)</f>
        <v>0</v>
      </c>
      <c r="FA148" s="1150">
        <f t="shared" si="222"/>
        <v>0</v>
      </c>
      <c r="FB148" s="1150">
        <f t="shared" si="222"/>
        <v>0</v>
      </c>
      <c r="FC148" s="1150">
        <f t="shared" si="222"/>
        <v>0</v>
      </c>
      <c r="FD148" s="1151">
        <f t="shared" si="205"/>
        <v>0</v>
      </c>
      <c r="FE148" s="1150">
        <f t="shared" si="205"/>
        <v>0</v>
      </c>
      <c r="FF148" s="1150">
        <f t="shared" si="205"/>
        <v>0</v>
      </c>
      <c r="FG148" s="1150">
        <f t="shared" si="205"/>
        <v>0</v>
      </c>
      <c r="FH148" s="1150">
        <f t="shared" si="205"/>
        <v>0</v>
      </c>
      <c r="FI148" s="1150">
        <f t="shared" si="205"/>
        <v>0</v>
      </c>
      <c r="FJ148" s="1150">
        <f>SUM(FJ144:FJ147)</f>
        <v>0</v>
      </c>
      <c r="FK148" s="1150">
        <f>SUM(FK144:FK147)</f>
        <v>0</v>
      </c>
      <c r="FL148" s="1150">
        <f>SUM(FL144:FL147)</f>
        <v>0</v>
      </c>
      <c r="FM148" s="1150">
        <f t="shared" ref="FM148" si="223">SUM(FM144:FM147)</f>
        <v>0</v>
      </c>
      <c r="FN148" s="1150">
        <f t="shared" ref="FN148:FU148" si="224">SUM(FN144:FN147)</f>
        <v>0</v>
      </c>
      <c r="FO148" s="1150">
        <f t="shared" si="224"/>
        <v>0</v>
      </c>
      <c r="FP148" s="1150">
        <f t="shared" si="224"/>
        <v>0</v>
      </c>
      <c r="FQ148" s="1150">
        <f t="shared" si="224"/>
        <v>0</v>
      </c>
      <c r="FR148" s="1150">
        <f t="shared" si="224"/>
        <v>0</v>
      </c>
      <c r="FS148" s="1150">
        <f t="shared" si="224"/>
        <v>0</v>
      </c>
      <c r="FT148" s="1150">
        <f t="shared" si="224"/>
        <v>0</v>
      </c>
      <c r="FU148" s="1150">
        <f t="shared" si="224"/>
        <v>0</v>
      </c>
      <c r="FV148" s="1150">
        <f t="shared" ref="FV148" si="225">SUM(FV144:FV147)</f>
        <v>0</v>
      </c>
      <c r="FW148" s="1150">
        <f t="shared" ref="FW148" si="226">SUM(FW144:FW147)</f>
        <v>0</v>
      </c>
      <c r="FX148" s="1150">
        <f t="shared" ref="FX148" si="227">SUM(FX144:FX147)</f>
        <v>0</v>
      </c>
      <c r="FY148" s="1150">
        <f t="shared" ref="FY148" si="228">SUM(FY144:FY147)</f>
        <v>0</v>
      </c>
      <c r="FZ148" s="1150">
        <f t="shared" ref="FZ148:GA148" si="229">SUM(FZ144:FZ147)</f>
        <v>0</v>
      </c>
      <c r="GA148" s="1150">
        <f t="shared" si="229"/>
        <v>0</v>
      </c>
      <c r="GB148" s="1121"/>
    </row>
    <row r="149" spans="3:184" hidden="1">
      <c r="C149" s="1115"/>
      <c r="D149" s="1116"/>
      <c r="E149" s="1117"/>
      <c r="F149" s="1117"/>
      <c r="G149" s="1118"/>
      <c r="H149" s="1118"/>
      <c r="I149" s="1118"/>
      <c r="J149" s="1149">
        <f>J144+J145*2+J146*3+J147*4</f>
        <v>0</v>
      </c>
      <c r="K149" s="1419"/>
      <c r="L149" s="1133"/>
      <c r="M149" s="1133"/>
      <c r="N149" s="1133"/>
      <c r="O149" s="1133"/>
      <c r="P149" s="1133"/>
      <c r="Q149" s="1133"/>
      <c r="R149" s="1133"/>
      <c r="S149" s="1133"/>
      <c r="T149" s="1135"/>
      <c r="U149" s="1133"/>
      <c r="V149" s="1133"/>
      <c r="W149" s="1133"/>
      <c r="X149" s="1133"/>
      <c r="Y149" s="1133"/>
      <c r="Z149" s="1133"/>
      <c r="AA149" s="1133"/>
      <c r="AB149" s="1134"/>
      <c r="AC149" s="1133"/>
      <c r="AD149" s="1133"/>
      <c r="AE149" s="1133"/>
      <c r="AF149" s="1133"/>
      <c r="AG149" s="1133"/>
      <c r="AH149" s="1133"/>
      <c r="AI149" s="1133"/>
      <c r="AJ149" s="1133"/>
      <c r="AK149" s="1133"/>
      <c r="AL149" s="1133"/>
      <c r="AM149" s="1133"/>
      <c r="AN149" s="1133"/>
      <c r="AO149" s="1133"/>
      <c r="AP149" s="1133"/>
      <c r="AQ149" s="1133"/>
      <c r="AR149" s="1133"/>
      <c r="AS149" s="1133"/>
      <c r="AT149" s="1133"/>
      <c r="AU149" s="1133"/>
      <c r="AV149" s="1133"/>
      <c r="AW149" s="1133"/>
      <c r="AX149" s="1133"/>
      <c r="AY149" s="1133"/>
      <c r="AZ149" s="1133"/>
      <c r="BA149" s="1133"/>
      <c r="BB149" s="1133"/>
      <c r="BC149" s="1133"/>
      <c r="BD149" s="1133"/>
      <c r="BE149" s="1133"/>
      <c r="BF149" s="1133"/>
      <c r="BG149" s="1133"/>
      <c r="BH149" s="1133"/>
      <c r="BI149" s="1133"/>
      <c r="BJ149" s="1133"/>
      <c r="BK149" s="1133"/>
      <c r="BL149" s="1133"/>
      <c r="BM149" s="1133"/>
      <c r="BN149" s="1133"/>
      <c r="BO149" s="1133"/>
      <c r="BP149" s="1133"/>
      <c r="BQ149" s="1133"/>
      <c r="BR149" s="1133"/>
      <c r="BS149" s="1133"/>
      <c r="BT149" s="1133"/>
      <c r="BU149" s="1133"/>
      <c r="BV149" s="1133"/>
      <c r="BW149" s="1133"/>
      <c r="BX149" s="1133"/>
      <c r="BY149" s="1133"/>
      <c r="BZ149" s="1133"/>
      <c r="CA149" s="1133"/>
      <c r="CB149" s="1133"/>
      <c r="CC149" s="1133"/>
      <c r="CD149" s="1133"/>
      <c r="CE149" s="1133"/>
      <c r="CF149" s="1133"/>
      <c r="CG149" s="1133"/>
      <c r="CH149" s="1133"/>
      <c r="CI149" s="1133"/>
      <c r="CJ149" s="1133"/>
      <c r="CK149" s="1133"/>
      <c r="CL149" s="1133"/>
      <c r="CM149" s="1133"/>
      <c r="CN149" s="1133"/>
      <c r="CO149" s="1133"/>
      <c r="CP149" s="1133"/>
      <c r="CQ149" s="1133"/>
      <c r="CR149" s="1133"/>
      <c r="CS149" s="1133"/>
      <c r="CT149" s="1133"/>
      <c r="CU149" s="1133"/>
      <c r="CV149" s="1133"/>
      <c r="CW149" s="1133"/>
      <c r="CX149" s="1133"/>
      <c r="CY149" s="1133"/>
      <c r="CZ149" s="1133"/>
      <c r="DA149" s="1133"/>
      <c r="DB149" s="1133"/>
      <c r="DC149" s="1133"/>
      <c r="DD149" s="1133"/>
      <c r="DE149" s="1133"/>
      <c r="DF149" s="1133"/>
      <c r="DG149" s="1133"/>
      <c r="DH149" s="1133"/>
      <c r="DI149" s="1133"/>
      <c r="DJ149" s="1133"/>
      <c r="DK149" s="1133"/>
      <c r="DL149" s="1133"/>
      <c r="DM149" s="1133"/>
      <c r="DN149" s="1133"/>
      <c r="DO149" s="1133"/>
      <c r="DP149" s="1133"/>
      <c r="DQ149" s="1133"/>
      <c r="DR149" s="1133"/>
      <c r="DS149" s="1133"/>
      <c r="DT149" s="1133"/>
      <c r="DU149" s="1133"/>
      <c r="DV149" s="1133"/>
      <c r="DW149" s="1133"/>
      <c r="DX149" s="1133"/>
      <c r="DY149" s="1133"/>
      <c r="DZ149" s="1133"/>
      <c r="EA149" s="1133"/>
      <c r="EB149" s="1133"/>
      <c r="EC149" s="1133"/>
      <c r="ED149" s="1133"/>
      <c r="EE149" s="1133"/>
      <c r="EF149" s="1133"/>
      <c r="EG149" s="1133"/>
      <c r="EH149" s="1133"/>
      <c r="EI149" s="1133"/>
      <c r="EJ149" s="1133"/>
      <c r="EK149" s="1133"/>
      <c r="EL149" s="1133"/>
      <c r="EM149" s="1133"/>
      <c r="EN149" s="1133"/>
      <c r="EO149" s="1133"/>
      <c r="EP149" s="1133"/>
      <c r="EQ149" s="1133"/>
      <c r="ER149" s="1133"/>
      <c r="ES149" s="1133"/>
      <c r="ET149" s="1133"/>
      <c r="EU149" s="1133"/>
      <c r="EV149" s="1133"/>
      <c r="EW149" s="1133"/>
      <c r="EX149" s="1133"/>
      <c r="EY149" s="1133"/>
      <c r="EZ149" s="1133"/>
      <c r="FA149" s="1133"/>
      <c r="FB149" s="1133"/>
      <c r="FC149" s="1133"/>
      <c r="FD149" s="1133"/>
      <c r="FE149" s="1133"/>
      <c r="FF149" s="1133"/>
      <c r="FG149" s="1133"/>
      <c r="FH149" s="1133"/>
      <c r="FI149" s="1133"/>
      <c r="FJ149" s="1133"/>
      <c r="FK149" s="1133"/>
      <c r="FL149" s="1133"/>
      <c r="FM149" s="1133"/>
      <c r="FN149" s="1133"/>
      <c r="FO149" s="1133"/>
      <c r="FP149" s="1133"/>
      <c r="FQ149" s="1133"/>
      <c r="FR149" s="1133"/>
      <c r="FS149" s="1133"/>
      <c r="FT149" s="1133"/>
      <c r="FU149" s="1133"/>
      <c r="FV149" s="1133"/>
      <c r="FW149" s="1133"/>
      <c r="FX149" s="1133"/>
      <c r="FY149" s="1133"/>
      <c r="FZ149" s="1133"/>
      <c r="GA149" s="1133"/>
      <c r="GB149" s="1121"/>
    </row>
    <row r="150" spans="3:184" s="1114" customFormat="1" hidden="1">
      <c r="C150" s="1141"/>
      <c r="D150" s="1142" t="s">
        <v>1936</v>
      </c>
      <c r="E150" s="1143"/>
      <c r="F150" s="1143"/>
      <c r="G150" s="1144"/>
      <c r="H150" s="1144"/>
      <c r="I150" s="1144"/>
      <c r="J150" s="1154"/>
      <c r="K150" s="1155"/>
      <c r="L150" s="1155">
        <f t="shared" ref="L150:AQ150" si="230">L92</f>
        <v>2</v>
      </c>
      <c r="M150" s="1155">
        <f t="shared" si="230"/>
        <v>6.5</v>
      </c>
      <c r="N150" s="1155">
        <f t="shared" si="230"/>
        <v>1.5</v>
      </c>
      <c r="O150" s="1155">
        <f t="shared" si="230"/>
        <v>1.5</v>
      </c>
      <c r="P150" s="1155">
        <f t="shared" si="230"/>
        <v>1.5</v>
      </c>
      <c r="Q150" s="1155">
        <f t="shared" si="230"/>
        <v>8.8000000000000007</v>
      </c>
      <c r="R150" s="1155">
        <f t="shared" si="230"/>
        <v>8.8000000000000007</v>
      </c>
      <c r="S150" s="1155">
        <f t="shared" si="230"/>
        <v>8.8000000000000007</v>
      </c>
      <c r="T150" s="1155">
        <f t="shared" si="230"/>
        <v>8.8000000000000007</v>
      </c>
      <c r="U150" s="1155">
        <f t="shared" si="230"/>
        <v>8.8000000000000007</v>
      </c>
      <c r="V150" s="1155">
        <f t="shared" si="230"/>
        <v>8.8000000000000007</v>
      </c>
      <c r="W150" s="1155">
        <f t="shared" si="230"/>
        <v>8.8000000000000007</v>
      </c>
      <c r="X150" s="1155">
        <f t="shared" si="230"/>
        <v>8.8000000000000007</v>
      </c>
      <c r="Y150" s="1155">
        <f t="shared" si="230"/>
        <v>8.8000000000000007</v>
      </c>
      <c r="Z150" s="1155">
        <f t="shared" si="230"/>
        <v>8.8000000000000007</v>
      </c>
      <c r="AA150" s="1155">
        <f t="shared" si="230"/>
        <v>8.8000000000000007</v>
      </c>
      <c r="AB150" s="1155">
        <f t="shared" si="230"/>
        <v>8.8000000000000007</v>
      </c>
      <c r="AC150" s="1155">
        <f t="shared" si="230"/>
        <v>8.8000000000000007</v>
      </c>
      <c r="AD150" s="1155">
        <f t="shared" si="230"/>
        <v>8.8000000000000007</v>
      </c>
      <c r="AE150" s="1155">
        <f t="shared" si="230"/>
        <v>1.5</v>
      </c>
      <c r="AF150" s="1155">
        <f t="shared" si="230"/>
        <v>1.5</v>
      </c>
      <c r="AG150" s="1155">
        <f t="shared" si="230"/>
        <v>1.5</v>
      </c>
      <c r="AH150" s="1155">
        <f t="shared" si="230"/>
        <v>1.5</v>
      </c>
      <c r="AI150" s="1155">
        <f t="shared" si="230"/>
        <v>1.5</v>
      </c>
      <c r="AJ150" s="1155">
        <f t="shared" si="230"/>
        <v>1.5</v>
      </c>
      <c r="AK150" s="1155">
        <f t="shared" si="230"/>
        <v>8.8000000000000007</v>
      </c>
      <c r="AL150" s="1155">
        <f t="shared" si="230"/>
        <v>8.8000000000000007</v>
      </c>
      <c r="AM150" s="1155">
        <f t="shared" si="230"/>
        <v>8.8000000000000007</v>
      </c>
      <c r="AN150" s="1155">
        <f t="shared" si="230"/>
        <v>8.8000000000000007</v>
      </c>
      <c r="AO150" s="1155">
        <f t="shared" si="230"/>
        <v>8.8000000000000007</v>
      </c>
      <c r="AP150" s="1155">
        <f t="shared" si="230"/>
        <v>8.8000000000000007</v>
      </c>
      <c r="AQ150" s="1155">
        <f t="shared" si="230"/>
        <v>8.8000000000000007</v>
      </c>
      <c r="AR150" s="1155">
        <f t="shared" ref="AR150:BW150" si="231">AR92</f>
        <v>8.8000000000000007</v>
      </c>
      <c r="AS150" s="1155">
        <f t="shared" si="231"/>
        <v>8.8000000000000007</v>
      </c>
      <c r="AT150" s="1155">
        <f t="shared" si="231"/>
        <v>8.8000000000000007</v>
      </c>
      <c r="AU150" s="1155">
        <f t="shared" si="231"/>
        <v>8.8000000000000007</v>
      </c>
      <c r="AV150" s="1155">
        <f t="shared" si="231"/>
        <v>8.8000000000000007</v>
      </c>
      <c r="AW150" s="1155">
        <f t="shared" si="231"/>
        <v>1.5</v>
      </c>
      <c r="AX150" s="1155">
        <f t="shared" si="231"/>
        <v>1.5</v>
      </c>
      <c r="AY150" s="1155">
        <f t="shared" si="231"/>
        <v>1.5</v>
      </c>
      <c r="AZ150" s="1155">
        <f t="shared" si="231"/>
        <v>1.5</v>
      </c>
      <c r="BA150" s="1155">
        <f t="shared" si="231"/>
        <v>6.8</v>
      </c>
      <c r="BB150" s="1155">
        <f t="shared" si="231"/>
        <v>6.8</v>
      </c>
      <c r="BC150" s="1155">
        <f t="shared" si="231"/>
        <v>6.8</v>
      </c>
      <c r="BD150" s="1155">
        <f t="shared" si="231"/>
        <v>1.5</v>
      </c>
      <c r="BE150" s="1155">
        <f t="shared" si="231"/>
        <v>8.8000000000000007</v>
      </c>
      <c r="BF150" s="1155">
        <f t="shared" si="231"/>
        <v>8.8000000000000007</v>
      </c>
      <c r="BG150" s="1155">
        <f t="shared" si="231"/>
        <v>8.8000000000000007</v>
      </c>
      <c r="BH150" s="1155">
        <f t="shared" si="231"/>
        <v>8.8000000000000007</v>
      </c>
      <c r="BI150" s="1155">
        <f t="shared" si="231"/>
        <v>8.8000000000000007</v>
      </c>
      <c r="BJ150" s="1155">
        <f t="shared" si="231"/>
        <v>8.8000000000000007</v>
      </c>
      <c r="BK150" s="1155">
        <f t="shared" si="231"/>
        <v>8.8000000000000007</v>
      </c>
      <c r="BL150" s="1155">
        <f t="shared" si="231"/>
        <v>8.8000000000000007</v>
      </c>
      <c r="BM150" s="1155">
        <f t="shared" si="231"/>
        <v>1.5</v>
      </c>
      <c r="BN150" s="1155">
        <f t="shared" si="231"/>
        <v>1.5</v>
      </c>
      <c r="BO150" s="1155">
        <f t="shared" si="231"/>
        <v>1.5</v>
      </c>
      <c r="BP150" s="1155">
        <f t="shared" si="231"/>
        <v>1.5</v>
      </c>
      <c r="BQ150" s="1155">
        <f t="shared" si="231"/>
        <v>1.5</v>
      </c>
      <c r="BR150" s="1155">
        <f t="shared" si="231"/>
        <v>1.5</v>
      </c>
      <c r="BS150" s="1155">
        <f t="shared" si="231"/>
        <v>1.5</v>
      </c>
      <c r="BT150" s="1155">
        <f t="shared" si="231"/>
        <v>8.8000000000000007</v>
      </c>
      <c r="BU150" s="1155">
        <f t="shared" si="231"/>
        <v>8.8000000000000007</v>
      </c>
      <c r="BV150" s="1155">
        <f t="shared" si="231"/>
        <v>8.8000000000000007</v>
      </c>
      <c r="BW150" s="1155">
        <f t="shared" si="231"/>
        <v>8.8000000000000007</v>
      </c>
      <c r="BX150" s="1155">
        <f t="shared" ref="BX150:GA150" si="232">BX92</f>
        <v>8.8000000000000007</v>
      </c>
      <c r="BY150" s="1155">
        <f t="shared" si="232"/>
        <v>8.8000000000000007</v>
      </c>
      <c r="BZ150" s="1155">
        <f t="shared" si="232"/>
        <v>8.8000000000000007</v>
      </c>
      <c r="CA150" s="1155">
        <f t="shared" si="232"/>
        <v>8.8000000000000007</v>
      </c>
      <c r="CB150" s="1155">
        <f t="shared" si="232"/>
        <v>8.8000000000000007</v>
      </c>
      <c r="CC150" s="1155">
        <f t="shared" si="232"/>
        <v>8.8000000000000007</v>
      </c>
      <c r="CD150" s="1155">
        <f t="shared" si="232"/>
        <v>8.8000000000000007</v>
      </c>
      <c r="CE150" s="1155">
        <f t="shared" si="232"/>
        <v>8.8000000000000007</v>
      </c>
      <c r="CF150" s="1155">
        <f t="shared" si="232"/>
        <v>1.5</v>
      </c>
      <c r="CG150" s="1155">
        <f t="shared" ref="CG150:CI150" si="233">CG92</f>
        <v>1.5</v>
      </c>
      <c r="CH150" s="1155">
        <f t="shared" si="233"/>
        <v>16.8</v>
      </c>
      <c r="CI150" s="1155">
        <f t="shared" si="233"/>
        <v>16.8</v>
      </c>
      <c r="CJ150" s="1155">
        <f t="shared" ref="CJ150:CO150" si="234">CJ92</f>
        <v>16.8</v>
      </c>
      <c r="CK150" s="1155">
        <f t="shared" si="234"/>
        <v>17.8</v>
      </c>
      <c r="CL150" s="1155">
        <f t="shared" si="234"/>
        <v>17.8</v>
      </c>
      <c r="CM150" s="1155">
        <f t="shared" si="234"/>
        <v>17.8</v>
      </c>
      <c r="CN150" s="1155">
        <f t="shared" si="234"/>
        <v>17.8</v>
      </c>
      <c r="CO150" s="1155">
        <f t="shared" si="234"/>
        <v>17.8</v>
      </c>
      <c r="CP150" s="1155">
        <f t="shared" ref="CP150:DA150" si="235">CP92</f>
        <v>17.8</v>
      </c>
      <c r="CQ150" s="1155">
        <f t="shared" si="235"/>
        <v>17.8</v>
      </c>
      <c r="CR150" s="1155">
        <f t="shared" si="235"/>
        <v>1.5</v>
      </c>
      <c r="CS150" s="1155">
        <f t="shared" si="235"/>
        <v>1.5</v>
      </c>
      <c r="CT150" s="1155">
        <f t="shared" si="235"/>
        <v>1</v>
      </c>
      <c r="CU150" s="1155">
        <f t="shared" si="235"/>
        <v>16.8</v>
      </c>
      <c r="CV150" s="1155">
        <f t="shared" si="235"/>
        <v>16.8</v>
      </c>
      <c r="CW150" s="1155">
        <f t="shared" si="235"/>
        <v>17.8</v>
      </c>
      <c r="CX150" s="1155">
        <f t="shared" si="235"/>
        <v>17.8</v>
      </c>
      <c r="CY150" s="1155">
        <f t="shared" si="235"/>
        <v>17.8</v>
      </c>
      <c r="CZ150" s="1155">
        <f t="shared" si="235"/>
        <v>17.8</v>
      </c>
      <c r="DA150" s="1155">
        <f t="shared" si="235"/>
        <v>16.8</v>
      </c>
      <c r="DB150" s="1155">
        <f t="shared" ref="DB150:DM150" si="236">DB92</f>
        <v>17.8</v>
      </c>
      <c r="DC150" s="1155">
        <f t="shared" si="236"/>
        <v>17.8</v>
      </c>
      <c r="DD150" s="1155">
        <f t="shared" si="236"/>
        <v>17.8</v>
      </c>
      <c r="DE150" s="1155">
        <f t="shared" si="236"/>
        <v>1.5</v>
      </c>
      <c r="DF150" s="1155">
        <f t="shared" si="236"/>
        <v>1.5</v>
      </c>
      <c r="DG150" s="1155">
        <f t="shared" si="236"/>
        <v>1.5</v>
      </c>
      <c r="DH150" s="1155">
        <f t="shared" si="236"/>
        <v>1.5</v>
      </c>
      <c r="DI150" s="1155">
        <f t="shared" si="236"/>
        <v>1.5</v>
      </c>
      <c r="DJ150" s="1155">
        <f t="shared" si="236"/>
        <v>1.5</v>
      </c>
      <c r="DK150" s="1155">
        <f t="shared" si="236"/>
        <v>1.5</v>
      </c>
      <c r="DL150" s="1155">
        <f t="shared" si="236"/>
        <v>1.5</v>
      </c>
      <c r="DM150" s="1155">
        <f t="shared" si="236"/>
        <v>1.5</v>
      </c>
      <c r="DN150" s="1155">
        <f t="shared" ref="DN150:DX150" si="237">DN92</f>
        <v>1.5</v>
      </c>
      <c r="DO150" s="1155">
        <f t="shared" si="237"/>
        <v>1.5</v>
      </c>
      <c r="DP150" s="1155">
        <f t="shared" si="237"/>
        <v>1.5</v>
      </c>
      <c r="DQ150" s="1155">
        <f t="shared" si="237"/>
        <v>1.5</v>
      </c>
      <c r="DR150" s="1155">
        <f t="shared" si="237"/>
        <v>1.5</v>
      </c>
      <c r="DS150" s="1155">
        <f t="shared" si="237"/>
        <v>1.5</v>
      </c>
      <c r="DT150" s="1155">
        <f t="shared" si="237"/>
        <v>1.5</v>
      </c>
      <c r="DU150" s="1155">
        <f t="shared" si="237"/>
        <v>1.5</v>
      </c>
      <c r="DV150" s="1155">
        <f t="shared" si="237"/>
        <v>1.5</v>
      </c>
      <c r="DW150" s="1155">
        <f t="shared" si="237"/>
        <v>126</v>
      </c>
      <c r="DX150" s="1155">
        <f t="shared" si="237"/>
        <v>106</v>
      </c>
      <c r="DY150" s="1155">
        <f t="shared" ref="DY150" si="238">DY92</f>
        <v>3.6</v>
      </c>
      <c r="DZ150" s="1155">
        <f t="shared" ref="DZ150" si="239">DZ92</f>
        <v>3.6</v>
      </c>
      <c r="EA150" s="1155">
        <f t="shared" si="232"/>
        <v>3.6</v>
      </c>
      <c r="EB150" s="1155">
        <f t="shared" si="232"/>
        <v>3.6</v>
      </c>
      <c r="EC150" s="1155">
        <f t="shared" si="232"/>
        <v>3.6</v>
      </c>
      <c r="ED150" s="1155">
        <f t="shared" ref="ED150" si="240">ED92</f>
        <v>3.6</v>
      </c>
      <c r="EE150" s="1155">
        <f t="shared" ref="EE150:EF150" si="241">EE92</f>
        <v>3.6</v>
      </c>
      <c r="EF150" s="1155">
        <f t="shared" si="241"/>
        <v>3.6</v>
      </c>
      <c r="EG150" s="1155">
        <f t="shared" si="232"/>
        <v>30.5</v>
      </c>
      <c r="EH150" s="1155">
        <f t="shared" si="232"/>
        <v>27.000000000000004</v>
      </c>
      <c r="EI150" s="1155">
        <f t="shared" si="232"/>
        <v>27.000000000000004</v>
      </c>
      <c r="EJ150" s="1155">
        <f t="shared" si="232"/>
        <v>29.400000000000002</v>
      </c>
      <c r="EK150" s="1155">
        <f t="shared" si="232"/>
        <v>27.000000000000004</v>
      </c>
      <c r="EL150" s="1155">
        <f t="shared" ref="EL150:EM150" si="242">EL92</f>
        <v>27.000000000000004</v>
      </c>
      <c r="EM150" s="1155">
        <f t="shared" si="242"/>
        <v>27.000000000000004</v>
      </c>
      <c r="EN150" s="1155">
        <f t="shared" si="232"/>
        <v>0</v>
      </c>
      <c r="EO150" s="1155">
        <f t="shared" si="232"/>
        <v>0</v>
      </c>
      <c r="EP150" s="1155">
        <f t="shared" ref="EP150:FC150" si="243">EP92</f>
        <v>0</v>
      </c>
      <c r="EQ150" s="1155">
        <f t="shared" si="243"/>
        <v>0</v>
      </c>
      <c r="ER150" s="1155">
        <f t="shared" si="243"/>
        <v>0</v>
      </c>
      <c r="ES150" s="1155"/>
      <c r="ET150" s="1155">
        <f t="shared" si="243"/>
        <v>0</v>
      </c>
      <c r="EU150" s="1155">
        <f t="shared" si="243"/>
        <v>0</v>
      </c>
      <c r="EV150" s="1155">
        <f t="shared" si="243"/>
        <v>0</v>
      </c>
      <c r="EW150" s="1155">
        <f t="shared" si="243"/>
        <v>0</v>
      </c>
      <c r="EX150" s="1155">
        <f t="shared" si="243"/>
        <v>0</v>
      </c>
      <c r="EY150" s="1155">
        <f t="shared" si="243"/>
        <v>0</v>
      </c>
      <c r="EZ150" s="1155">
        <f t="shared" si="243"/>
        <v>0</v>
      </c>
      <c r="FA150" s="1155">
        <f t="shared" si="243"/>
        <v>0</v>
      </c>
      <c r="FB150" s="1155">
        <f t="shared" si="243"/>
        <v>0</v>
      </c>
      <c r="FC150" s="1155">
        <f t="shared" si="243"/>
        <v>0</v>
      </c>
      <c r="FD150" s="1155">
        <f t="shared" si="232"/>
        <v>0</v>
      </c>
      <c r="FE150" s="1155">
        <f t="shared" si="232"/>
        <v>0</v>
      </c>
      <c r="FF150" s="1155">
        <f t="shared" si="232"/>
        <v>0</v>
      </c>
      <c r="FG150" s="1155">
        <f t="shared" si="232"/>
        <v>0</v>
      </c>
      <c r="FH150" s="1155">
        <f t="shared" si="232"/>
        <v>0</v>
      </c>
      <c r="FI150" s="1155">
        <f t="shared" si="232"/>
        <v>0</v>
      </c>
      <c r="FJ150" s="1155">
        <f t="shared" si="232"/>
        <v>0</v>
      </c>
      <c r="FK150" s="1155">
        <f t="shared" si="232"/>
        <v>0</v>
      </c>
      <c r="FL150" s="1155">
        <f t="shared" si="232"/>
        <v>0</v>
      </c>
      <c r="FM150" s="1155">
        <f t="shared" ref="FM150:FN150" si="244">FM92</f>
        <v>0</v>
      </c>
      <c r="FN150" s="1155">
        <f t="shared" si="244"/>
        <v>0</v>
      </c>
      <c r="FO150" s="1155">
        <f t="shared" ref="FO150:FP150" si="245">FO92</f>
        <v>0</v>
      </c>
      <c r="FP150" s="1155">
        <f t="shared" si="245"/>
        <v>0</v>
      </c>
      <c r="FQ150" s="1155">
        <f t="shared" ref="FQ150:FT150" si="246">FQ92</f>
        <v>0</v>
      </c>
      <c r="FR150" s="1155">
        <f t="shared" si="246"/>
        <v>0</v>
      </c>
      <c r="FS150" s="1155">
        <f t="shared" si="246"/>
        <v>0</v>
      </c>
      <c r="FT150" s="1155">
        <f t="shared" si="246"/>
        <v>0</v>
      </c>
      <c r="FU150" s="1155">
        <f t="shared" ref="FU150:FX150" si="247">FU92</f>
        <v>0</v>
      </c>
      <c r="FV150" s="1155">
        <f t="shared" si="247"/>
        <v>0</v>
      </c>
      <c r="FW150" s="1155">
        <f t="shared" si="247"/>
        <v>0</v>
      </c>
      <c r="FX150" s="1155">
        <f t="shared" si="247"/>
        <v>0</v>
      </c>
      <c r="FY150" s="1155">
        <f t="shared" ref="FY150:FZ150" si="248">FY92</f>
        <v>0</v>
      </c>
      <c r="FZ150" s="1155">
        <f t="shared" si="248"/>
        <v>0</v>
      </c>
      <c r="GA150" s="1155">
        <f t="shared" si="232"/>
        <v>12</v>
      </c>
      <c r="GB150" s="1145"/>
    </row>
    <row r="151" spans="3:184" hidden="1">
      <c r="C151" s="1115"/>
      <c r="D151" s="1116" t="s">
        <v>1936</v>
      </c>
      <c r="E151" s="1117" t="s">
        <v>2263</v>
      </c>
      <c r="F151" s="1117"/>
      <c r="G151" s="1118"/>
      <c r="H151" s="1118"/>
      <c r="I151" s="1118"/>
      <c r="J151" s="1149">
        <f>SUM(K151:GA151)</f>
        <v>1316.899999999999</v>
      </c>
      <c r="K151" s="1156"/>
      <c r="L151" s="1156">
        <f>L150</f>
        <v>2</v>
      </c>
      <c r="M151" s="1156">
        <f t="shared" ref="M151:EH151" si="249">M150</f>
        <v>6.5</v>
      </c>
      <c r="N151" s="1156">
        <f t="shared" si="249"/>
        <v>1.5</v>
      </c>
      <c r="O151" s="1156">
        <f t="shared" si="249"/>
        <v>1.5</v>
      </c>
      <c r="P151" s="1156">
        <f t="shared" si="249"/>
        <v>1.5</v>
      </c>
      <c r="Q151" s="1156">
        <f t="shared" si="249"/>
        <v>8.8000000000000007</v>
      </c>
      <c r="R151" s="1156">
        <f t="shared" si="249"/>
        <v>8.8000000000000007</v>
      </c>
      <c r="S151" s="1156">
        <f t="shared" si="249"/>
        <v>8.8000000000000007</v>
      </c>
      <c r="T151" s="1156">
        <f t="shared" si="249"/>
        <v>8.8000000000000007</v>
      </c>
      <c r="U151" s="1156">
        <f t="shared" si="249"/>
        <v>8.8000000000000007</v>
      </c>
      <c r="V151" s="1156">
        <f t="shared" si="249"/>
        <v>8.8000000000000007</v>
      </c>
      <c r="W151" s="1156">
        <f t="shared" si="249"/>
        <v>8.8000000000000007</v>
      </c>
      <c r="X151" s="1156">
        <f t="shared" si="249"/>
        <v>8.8000000000000007</v>
      </c>
      <c r="Y151" s="1156">
        <f t="shared" si="249"/>
        <v>8.8000000000000007</v>
      </c>
      <c r="Z151" s="1156">
        <f t="shared" si="249"/>
        <v>8.8000000000000007</v>
      </c>
      <c r="AA151" s="1156">
        <f t="shared" si="249"/>
        <v>8.8000000000000007</v>
      </c>
      <c r="AB151" s="1156">
        <f t="shared" si="249"/>
        <v>8.8000000000000007</v>
      </c>
      <c r="AC151" s="1156">
        <f t="shared" si="249"/>
        <v>8.8000000000000007</v>
      </c>
      <c r="AD151" s="1156">
        <f t="shared" si="249"/>
        <v>8.8000000000000007</v>
      </c>
      <c r="AE151" s="1156">
        <f t="shared" si="249"/>
        <v>1.5</v>
      </c>
      <c r="AF151" s="1156">
        <f t="shared" si="249"/>
        <v>1.5</v>
      </c>
      <c r="AG151" s="1156">
        <f t="shared" si="249"/>
        <v>1.5</v>
      </c>
      <c r="AH151" s="1156">
        <f t="shared" si="249"/>
        <v>1.5</v>
      </c>
      <c r="AI151" s="1156">
        <f t="shared" si="249"/>
        <v>1.5</v>
      </c>
      <c r="AJ151" s="1156">
        <f t="shared" si="249"/>
        <v>1.5</v>
      </c>
      <c r="AK151" s="1156">
        <f t="shared" ref="AK151:BP151" si="250">AK150</f>
        <v>8.8000000000000007</v>
      </c>
      <c r="AL151" s="1156">
        <f t="shared" si="250"/>
        <v>8.8000000000000007</v>
      </c>
      <c r="AM151" s="1156">
        <f t="shared" si="250"/>
        <v>8.8000000000000007</v>
      </c>
      <c r="AN151" s="1156">
        <f t="shared" si="250"/>
        <v>8.8000000000000007</v>
      </c>
      <c r="AO151" s="1156">
        <f t="shared" si="250"/>
        <v>8.8000000000000007</v>
      </c>
      <c r="AP151" s="1156">
        <f t="shared" si="250"/>
        <v>8.8000000000000007</v>
      </c>
      <c r="AQ151" s="1156">
        <f t="shared" si="250"/>
        <v>8.8000000000000007</v>
      </c>
      <c r="AR151" s="1156">
        <f t="shared" si="250"/>
        <v>8.8000000000000007</v>
      </c>
      <c r="AS151" s="1156">
        <f t="shared" si="250"/>
        <v>8.8000000000000007</v>
      </c>
      <c r="AT151" s="1156">
        <f t="shared" si="250"/>
        <v>8.8000000000000007</v>
      </c>
      <c r="AU151" s="1156">
        <f t="shared" si="250"/>
        <v>8.8000000000000007</v>
      </c>
      <c r="AV151" s="1156">
        <f t="shared" si="250"/>
        <v>8.8000000000000007</v>
      </c>
      <c r="AW151" s="1156">
        <f t="shared" si="250"/>
        <v>1.5</v>
      </c>
      <c r="AX151" s="1156">
        <f t="shared" si="250"/>
        <v>1.5</v>
      </c>
      <c r="AY151" s="1156">
        <f t="shared" si="250"/>
        <v>1.5</v>
      </c>
      <c r="AZ151" s="1156">
        <f t="shared" si="250"/>
        <v>1.5</v>
      </c>
      <c r="BA151" s="1156">
        <f t="shared" si="250"/>
        <v>6.8</v>
      </c>
      <c r="BB151" s="1156">
        <f t="shared" si="250"/>
        <v>6.8</v>
      </c>
      <c r="BC151" s="1156">
        <f t="shared" ref="BC151" si="251">BC150</f>
        <v>6.8</v>
      </c>
      <c r="BD151" s="1156">
        <f t="shared" si="250"/>
        <v>1.5</v>
      </c>
      <c r="BE151" s="1156">
        <f t="shared" si="250"/>
        <v>8.8000000000000007</v>
      </c>
      <c r="BF151" s="1156">
        <f t="shared" si="250"/>
        <v>8.8000000000000007</v>
      </c>
      <c r="BG151" s="1156">
        <f t="shared" si="250"/>
        <v>8.8000000000000007</v>
      </c>
      <c r="BH151" s="1156">
        <f t="shared" si="250"/>
        <v>8.8000000000000007</v>
      </c>
      <c r="BI151" s="1156">
        <f t="shared" si="250"/>
        <v>8.8000000000000007</v>
      </c>
      <c r="BJ151" s="1156">
        <f t="shared" si="250"/>
        <v>8.8000000000000007</v>
      </c>
      <c r="BK151" s="1156">
        <f t="shared" si="250"/>
        <v>8.8000000000000007</v>
      </c>
      <c r="BL151" s="1156">
        <f t="shared" si="250"/>
        <v>8.8000000000000007</v>
      </c>
      <c r="BM151" s="1156">
        <f t="shared" si="250"/>
        <v>1.5</v>
      </c>
      <c r="BN151" s="1156">
        <f t="shared" si="250"/>
        <v>1.5</v>
      </c>
      <c r="BO151" s="1156">
        <f t="shared" si="250"/>
        <v>1.5</v>
      </c>
      <c r="BP151" s="1156">
        <f t="shared" si="250"/>
        <v>1.5</v>
      </c>
      <c r="BQ151" s="1156">
        <f t="shared" ref="BQ151:EA151" si="252">BQ150</f>
        <v>1.5</v>
      </c>
      <c r="BR151" s="1156">
        <f t="shared" si="252"/>
        <v>1.5</v>
      </c>
      <c r="BS151" s="1156">
        <f t="shared" si="252"/>
        <v>1.5</v>
      </c>
      <c r="BT151" s="1156">
        <f t="shared" si="252"/>
        <v>8.8000000000000007</v>
      </c>
      <c r="BU151" s="1156">
        <f t="shared" si="252"/>
        <v>8.8000000000000007</v>
      </c>
      <c r="BV151" s="1156">
        <f t="shared" si="252"/>
        <v>8.8000000000000007</v>
      </c>
      <c r="BW151" s="1156">
        <f t="shared" si="252"/>
        <v>8.8000000000000007</v>
      </c>
      <c r="BX151" s="1156">
        <f t="shared" si="252"/>
        <v>8.8000000000000007</v>
      </c>
      <c r="BY151" s="1156">
        <f t="shared" si="252"/>
        <v>8.8000000000000007</v>
      </c>
      <c r="BZ151" s="1156">
        <f t="shared" si="252"/>
        <v>8.8000000000000007</v>
      </c>
      <c r="CA151" s="1156">
        <f t="shared" si="252"/>
        <v>8.8000000000000007</v>
      </c>
      <c r="CB151" s="1156">
        <f t="shared" si="252"/>
        <v>8.8000000000000007</v>
      </c>
      <c r="CC151" s="1156">
        <f t="shared" si="252"/>
        <v>8.8000000000000007</v>
      </c>
      <c r="CD151" s="1156">
        <f t="shared" si="252"/>
        <v>8.8000000000000007</v>
      </c>
      <c r="CE151" s="1156">
        <f t="shared" si="252"/>
        <v>8.8000000000000007</v>
      </c>
      <c r="CF151" s="1156">
        <f t="shared" si="252"/>
        <v>1.5</v>
      </c>
      <c r="CG151" s="1156">
        <f t="shared" ref="CG151:CI151" si="253">CG150</f>
        <v>1.5</v>
      </c>
      <c r="CH151" s="1156">
        <f t="shared" si="253"/>
        <v>16.8</v>
      </c>
      <c r="CI151" s="1156">
        <f t="shared" si="253"/>
        <v>16.8</v>
      </c>
      <c r="CJ151" s="1156">
        <f t="shared" ref="CJ151:CO151" si="254">CJ150</f>
        <v>16.8</v>
      </c>
      <c r="CK151" s="1156">
        <f t="shared" si="254"/>
        <v>17.8</v>
      </c>
      <c r="CL151" s="1156">
        <f t="shared" si="254"/>
        <v>17.8</v>
      </c>
      <c r="CM151" s="1156">
        <f t="shared" si="254"/>
        <v>17.8</v>
      </c>
      <c r="CN151" s="1156">
        <f t="shared" si="254"/>
        <v>17.8</v>
      </c>
      <c r="CO151" s="1156">
        <f t="shared" si="254"/>
        <v>17.8</v>
      </c>
      <c r="CP151" s="1156">
        <f t="shared" ref="CP151:DA151" si="255">CP150</f>
        <v>17.8</v>
      </c>
      <c r="CQ151" s="1156">
        <f t="shared" si="255"/>
        <v>17.8</v>
      </c>
      <c r="CR151" s="1156">
        <f t="shared" si="255"/>
        <v>1.5</v>
      </c>
      <c r="CS151" s="1156">
        <f t="shared" si="255"/>
        <v>1.5</v>
      </c>
      <c r="CT151" s="1156">
        <f t="shared" si="255"/>
        <v>1</v>
      </c>
      <c r="CU151" s="1156">
        <f t="shared" si="255"/>
        <v>16.8</v>
      </c>
      <c r="CV151" s="1156">
        <f t="shared" si="255"/>
        <v>16.8</v>
      </c>
      <c r="CW151" s="1156">
        <f t="shared" si="255"/>
        <v>17.8</v>
      </c>
      <c r="CX151" s="1156">
        <f t="shared" si="255"/>
        <v>17.8</v>
      </c>
      <c r="CY151" s="1156">
        <f t="shared" si="255"/>
        <v>17.8</v>
      </c>
      <c r="CZ151" s="1156">
        <f t="shared" si="255"/>
        <v>17.8</v>
      </c>
      <c r="DA151" s="1156">
        <f t="shared" si="255"/>
        <v>16.8</v>
      </c>
      <c r="DB151" s="1156">
        <f t="shared" ref="DB151:DM151" si="256">DB150</f>
        <v>17.8</v>
      </c>
      <c r="DC151" s="1156">
        <f t="shared" si="256"/>
        <v>17.8</v>
      </c>
      <c r="DD151" s="1156">
        <f t="shared" si="256"/>
        <v>17.8</v>
      </c>
      <c r="DE151" s="1156">
        <f t="shared" si="256"/>
        <v>1.5</v>
      </c>
      <c r="DF151" s="1156">
        <f t="shared" si="256"/>
        <v>1.5</v>
      </c>
      <c r="DG151" s="1156">
        <f t="shared" si="256"/>
        <v>1.5</v>
      </c>
      <c r="DH151" s="1156">
        <f t="shared" si="256"/>
        <v>1.5</v>
      </c>
      <c r="DI151" s="1156">
        <f t="shared" si="256"/>
        <v>1.5</v>
      </c>
      <c r="DJ151" s="1156">
        <f t="shared" si="256"/>
        <v>1.5</v>
      </c>
      <c r="DK151" s="1156">
        <f t="shared" si="256"/>
        <v>1.5</v>
      </c>
      <c r="DL151" s="1156">
        <f t="shared" si="256"/>
        <v>1.5</v>
      </c>
      <c r="DM151" s="1156">
        <f t="shared" si="256"/>
        <v>1.5</v>
      </c>
      <c r="DN151" s="1156">
        <f t="shared" ref="DN151:DX151" si="257">DN150</f>
        <v>1.5</v>
      </c>
      <c r="DO151" s="1156">
        <f t="shared" si="257"/>
        <v>1.5</v>
      </c>
      <c r="DP151" s="1156">
        <f t="shared" si="257"/>
        <v>1.5</v>
      </c>
      <c r="DQ151" s="1156">
        <f t="shared" si="257"/>
        <v>1.5</v>
      </c>
      <c r="DR151" s="1156">
        <f t="shared" si="257"/>
        <v>1.5</v>
      </c>
      <c r="DS151" s="1156">
        <f t="shared" si="257"/>
        <v>1.5</v>
      </c>
      <c r="DT151" s="1156">
        <f t="shared" si="257"/>
        <v>1.5</v>
      </c>
      <c r="DU151" s="1156">
        <f t="shared" si="257"/>
        <v>1.5</v>
      </c>
      <c r="DV151" s="1156">
        <f t="shared" si="257"/>
        <v>1.5</v>
      </c>
      <c r="DW151" s="1156">
        <f t="shared" si="257"/>
        <v>126</v>
      </c>
      <c r="DX151" s="1156">
        <f t="shared" si="257"/>
        <v>106</v>
      </c>
      <c r="DY151" s="1156">
        <f t="shared" ref="DY151" si="258">DY150</f>
        <v>3.6</v>
      </c>
      <c r="DZ151" s="1156">
        <f t="shared" ref="DZ151" si="259">DZ150</f>
        <v>3.6</v>
      </c>
      <c r="EA151" s="1156">
        <f t="shared" si="252"/>
        <v>3.6</v>
      </c>
      <c r="EB151" s="1156">
        <f t="shared" ref="EB151:EF151" si="260">EB150</f>
        <v>3.6</v>
      </c>
      <c r="EC151" s="1156">
        <f t="shared" si="260"/>
        <v>3.6</v>
      </c>
      <c r="ED151" s="1156">
        <f t="shared" ref="ED151" si="261">ED150</f>
        <v>3.6</v>
      </c>
      <c r="EE151" s="1156">
        <f t="shared" si="260"/>
        <v>3.6</v>
      </c>
      <c r="EF151" s="1156">
        <f t="shared" si="260"/>
        <v>3.6</v>
      </c>
      <c r="EG151" s="1156">
        <f t="shared" si="249"/>
        <v>30.5</v>
      </c>
      <c r="EH151" s="1156">
        <f t="shared" si="249"/>
        <v>27.000000000000004</v>
      </c>
      <c r="EI151" s="1156">
        <f t="shared" ref="EI151:EK151" si="262">EI150</f>
        <v>27.000000000000004</v>
      </c>
      <c r="EJ151" s="1156">
        <f t="shared" ref="EJ151" si="263">EJ150</f>
        <v>29.400000000000002</v>
      </c>
      <c r="EK151" s="1156">
        <f t="shared" si="262"/>
        <v>27.000000000000004</v>
      </c>
      <c r="EL151" s="1156">
        <f t="shared" ref="EL151:EM151" si="264">EL150</f>
        <v>27.000000000000004</v>
      </c>
      <c r="EM151" s="1156">
        <f t="shared" si="264"/>
        <v>27.000000000000004</v>
      </c>
      <c r="EN151" s="1156">
        <f t="shared" ref="EN151:FJ151" si="265">EN150</f>
        <v>0</v>
      </c>
      <c r="EO151" s="1156">
        <f t="shared" si="265"/>
        <v>0</v>
      </c>
      <c r="EP151" s="1156">
        <f t="shared" ref="EP151:FC151" si="266">EP150</f>
        <v>0</v>
      </c>
      <c r="EQ151" s="1156">
        <f t="shared" si="266"/>
        <v>0</v>
      </c>
      <c r="ER151" s="1156">
        <f t="shared" si="266"/>
        <v>0</v>
      </c>
      <c r="ES151" s="1156"/>
      <c r="ET151" s="1156">
        <f t="shared" si="266"/>
        <v>0</v>
      </c>
      <c r="EU151" s="1156">
        <f t="shared" si="266"/>
        <v>0</v>
      </c>
      <c r="EV151" s="1156">
        <f t="shared" si="266"/>
        <v>0</v>
      </c>
      <c r="EW151" s="1156">
        <f t="shared" si="266"/>
        <v>0</v>
      </c>
      <c r="EX151" s="1156">
        <f t="shared" si="266"/>
        <v>0</v>
      </c>
      <c r="EY151" s="1156">
        <f t="shared" si="266"/>
        <v>0</v>
      </c>
      <c r="EZ151" s="1156">
        <f t="shared" si="266"/>
        <v>0</v>
      </c>
      <c r="FA151" s="1156">
        <f t="shared" si="266"/>
        <v>0</v>
      </c>
      <c r="FB151" s="1156">
        <f t="shared" si="266"/>
        <v>0</v>
      </c>
      <c r="FC151" s="1156">
        <f t="shared" si="266"/>
        <v>0</v>
      </c>
      <c r="FD151" s="1156">
        <f t="shared" si="265"/>
        <v>0</v>
      </c>
      <c r="FE151" s="1156">
        <f t="shared" si="265"/>
        <v>0</v>
      </c>
      <c r="FF151" s="1156">
        <f t="shared" si="265"/>
        <v>0</v>
      </c>
      <c r="FG151" s="1156">
        <f t="shared" si="265"/>
        <v>0</v>
      </c>
      <c r="FH151" s="1156">
        <f t="shared" si="265"/>
        <v>0</v>
      </c>
      <c r="FI151" s="1156">
        <f t="shared" si="265"/>
        <v>0</v>
      </c>
      <c r="FJ151" s="1156">
        <f t="shared" si="265"/>
        <v>0</v>
      </c>
      <c r="FK151" s="1156">
        <f t="shared" ref="FK151:GA151" si="267">FK150</f>
        <v>0</v>
      </c>
      <c r="FL151" s="1156">
        <f t="shared" si="267"/>
        <v>0</v>
      </c>
      <c r="FM151" s="1156">
        <f t="shared" si="267"/>
        <v>0</v>
      </c>
      <c r="FN151" s="1156">
        <f t="shared" si="267"/>
        <v>0</v>
      </c>
      <c r="FO151" s="1156">
        <f t="shared" ref="FO151:FP151" si="268">FO150</f>
        <v>0</v>
      </c>
      <c r="FP151" s="1156">
        <f t="shared" si="268"/>
        <v>0</v>
      </c>
      <c r="FQ151" s="1156">
        <f t="shared" ref="FQ151:FT151" si="269">FQ150</f>
        <v>0</v>
      </c>
      <c r="FR151" s="1156">
        <f t="shared" si="269"/>
        <v>0</v>
      </c>
      <c r="FS151" s="1156">
        <f t="shared" si="269"/>
        <v>0</v>
      </c>
      <c r="FT151" s="1156">
        <f t="shared" si="269"/>
        <v>0</v>
      </c>
      <c r="FU151" s="1156">
        <f t="shared" ref="FU151:FX151" si="270">FU150</f>
        <v>0</v>
      </c>
      <c r="FV151" s="1156">
        <f t="shared" si="270"/>
        <v>0</v>
      </c>
      <c r="FW151" s="1156">
        <f t="shared" si="270"/>
        <v>0</v>
      </c>
      <c r="FX151" s="1156">
        <f t="shared" si="270"/>
        <v>0</v>
      </c>
      <c r="FY151" s="1156">
        <f t="shared" ref="FY151:FZ151" si="271">FY150</f>
        <v>0</v>
      </c>
      <c r="FZ151" s="1156">
        <f t="shared" si="271"/>
        <v>0</v>
      </c>
      <c r="GA151" s="1156">
        <f t="shared" si="267"/>
        <v>12</v>
      </c>
      <c r="GB151" s="1121"/>
    </row>
    <row r="152" spans="3:184" s="1129" customFormat="1" hidden="1">
      <c r="C152" s="1122"/>
      <c r="D152" s="1123" t="s">
        <v>1936</v>
      </c>
      <c r="E152" s="1124" t="s">
        <v>2264</v>
      </c>
      <c r="F152" s="1124"/>
      <c r="G152" s="1125"/>
      <c r="H152" s="1125"/>
      <c r="I152" s="1125"/>
      <c r="J152" s="1149">
        <f>SUM(K152:GA152)</f>
        <v>0</v>
      </c>
      <c r="K152" s="1668"/>
      <c r="L152" s="1125"/>
      <c r="M152" s="1125"/>
      <c r="N152" s="1125"/>
      <c r="O152" s="1125"/>
      <c r="P152" s="1125"/>
      <c r="Q152" s="1125"/>
      <c r="R152" s="1125"/>
      <c r="S152" s="1125"/>
      <c r="T152" s="1125"/>
      <c r="U152" s="1125"/>
      <c r="V152" s="1125"/>
      <c r="W152" s="1125"/>
      <c r="X152" s="1125"/>
      <c r="Y152" s="1125"/>
      <c r="Z152" s="1125"/>
      <c r="AA152" s="1125"/>
      <c r="AB152" s="1125"/>
      <c r="AC152" s="1125"/>
      <c r="AD152" s="1125"/>
      <c r="AE152" s="1125"/>
      <c r="AF152" s="1125"/>
      <c r="AG152" s="1125"/>
      <c r="AH152" s="1125"/>
      <c r="AI152" s="1125"/>
      <c r="AJ152" s="1125"/>
      <c r="AK152" s="1125"/>
      <c r="AL152" s="1125"/>
      <c r="AM152" s="1125"/>
      <c r="AN152" s="1125"/>
      <c r="AO152" s="1125"/>
      <c r="AP152" s="1125"/>
      <c r="AQ152" s="1125"/>
      <c r="AR152" s="1125"/>
      <c r="AS152" s="1125"/>
      <c r="AT152" s="1125"/>
      <c r="AU152" s="1125"/>
      <c r="AV152" s="1125"/>
      <c r="AW152" s="1125"/>
      <c r="AX152" s="1125"/>
      <c r="AY152" s="1125"/>
      <c r="AZ152" s="1125"/>
      <c r="BA152" s="1125"/>
      <c r="BB152" s="1125"/>
      <c r="BC152" s="1125"/>
      <c r="BD152" s="1125"/>
      <c r="BE152" s="1125"/>
      <c r="BF152" s="1125"/>
      <c r="BG152" s="1125"/>
      <c r="BH152" s="1125"/>
      <c r="BI152" s="1125"/>
      <c r="BJ152" s="1125"/>
      <c r="BK152" s="1125"/>
      <c r="BL152" s="1125"/>
      <c r="BM152" s="1125"/>
      <c r="BN152" s="1125"/>
      <c r="BO152" s="1125"/>
      <c r="BP152" s="1125"/>
      <c r="BQ152" s="1125"/>
      <c r="BR152" s="1125"/>
      <c r="BS152" s="1125"/>
      <c r="BT152" s="1125"/>
      <c r="BU152" s="1125"/>
      <c r="BV152" s="1125"/>
      <c r="BW152" s="1125"/>
      <c r="BX152" s="1125"/>
      <c r="BY152" s="1125"/>
      <c r="BZ152" s="1125"/>
      <c r="CA152" s="1125"/>
      <c r="CB152" s="1125"/>
      <c r="CC152" s="1125"/>
      <c r="CD152" s="1125"/>
      <c r="CE152" s="1125"/>
      <c r="CF152" s="1125"/>
      <c r="CG152" s="1125"/>
      <c r="CH152" s="1125"/>
      <c r="CI152" s="1125"/>
      <c r="CJ152" s="1125"/>
      <c r="CK152" s="1125"/>
      <c r="CL152" s="1125"/>
      <c r="CM152" s="1125"/>
      <c r="CN152" s="1125"/>
      <c r="CO152" s="1125"/>
      <c r="CP152" s="1125"/>
      <c r="CQ152" s="1125"/>
      <c r="CR152" s="1125"/>
      <c r="CS152" s="1125"/>
      <c r="CT152" s="1125"/>
      <c r="CU152" s="1125"/>
      <c r="CV152" s="1125"/>
      <c r="CW152" s="1125"/>
      <c r="CX152" s="1125"/>
      <c r="CY152" s="1125"/>
      <c r="CZ152" s="1125"/>
      <c r="DA152" s="1125"/>
      <c r="DB152" s="1125"/>
      <c r="DC152" s="1125"/>
      <c r="DD152" s="1125"/>
      <c r="DE152" s="1125"/>
      <c r="DF152" s="1125"/>
      <c r="DG152" s="1125"/>
      <c r="DH152" s="1125"/>
      <c r="DI152" s="1125"/>
      <c r="DJ152" s="1125"/>
      <c r="DK152" s="1125"/>
      <c r="DL152" s="1125"/>
      <c r="DM152" s="1125"/>
      <c r="DN152" s="1125"/>
      <c r="DO152" s="1125"/>
      <c r="DP152" s="1125"/>
      <c r="DQ152" s="1125"/>
      <c r="DR152" s="1125"/>
      <c r="DS152" s="1125"/>
      <c r="DT152" s="1125"/>
      <c r="DU152" s="1125"/>
      <c r="DV152" s="1125"/>
      <c r="DW152" s="1125"/>
      <c r="DX152" s="1125"/>
      <c r="DY152" s="1125"/>
      <c r="DZ152" s="1125"/>
      <c r="EA152" s="1125"/>
      <c r="EB152" s="1125"/>
      <c r="EC152" s="1125"/>
      <c r="ED152" s="1125"/>
      <c r="EE152" s="1125"/>
      <c r="EF152" s="1125"/>
      <c r="EG152" s="1125"/>
      <c r="EH152" s="1125"/>
      <c r="EI152" s="1125"/>
      <c r="EJ152" s="1125"/>
      <c r="EK152" s="1125"/>
      <c r="EL152" s="1125"/>
      <c r="EM152" s="1125"/>
      <c r="EN152" s="1125"/>
      <c r="EO152" s="1125"/>
      <c r="EP152" s="1125"/>
      <c r="EQ152" s="1125"/>
      <c r="ER152" s="1125"/>
      <c r="ES152" s="1125"/>
      <c r="ET152" s="1125"/>
      <c r="EU152" s="1125"/>
      <c r="EV152" s="1125"/>
      <c r="EW152" s="1125"/>
      <c r="EX152" s="1125"/>
      <c r="EY152" s="1125"/>
      <c r="EZ152" s="1125"/>
      <c r="FA152" s="1125"/>
      <c r="FB152" s="1125"/>
      <c r="FC152" s="1125"/>
      <c r="FD152" s="1125"/>
      <c r="FE152" s="1125"/>
      <c r="FF152" s="1125"/>
      <c r="FG152" s="1125"/>
      <c r="FH152" s="1125"/>
      <c r="FI152" s="1125"/>
      <c r="FJ152" s="1125"/>
      <c r="FK152" s="1125"/>
      <c r="FL152" s="1125"/>
      <c r="FM152" s="1125"/>
      <c r="FN152" s="1125"/>
      <c r="FO152" s="1125"/>
      <c r="FP152" s="1125"/>
      <c r="FQ152" s="1125"/>
      <c r="FR152" s="1125"/>
      <c r="FS152" s="1125"/>
      <c r="FT152" s="1125"/>
      <c r="FU152" s="1125"/>
      <c r="FV152" s="1125"/>
      <c r="FW152" s="1125"/>
      <c r="FX152" s="1125"/>
      <c r="FY152" s="1125"/>
      <c r="FZ152" s="1125"/>
      <c r="GA152" s="1125"/>
      <c r="GB152" s="1128"/>
    </row>
    <row r="153" spans="3:184" s="1009" customFormat="1" hidden="1">
      <c r="C153" s="1157"/>
      <c r="D153" s="1130" t="s">
        <v>1936</v>
      </c>
      <c r="E153" s="1131" t="s">
        <v>2265</v>
      </c>
      <c r="F153" s="1131"/>
      <c r="G153" s="1134"/>
      <c r="H153" s="1134"/>
      <c r="I153" s="1134"/>
      <c r="J153" s="1149">
        <f>SUM(K153:GA153)</f>
        <v>0</v>
      </c>
      <c r="K153" s="1669"/>
      <c r="L153" s="1134"/>
      <c r="M153" s="1134"/>
      <c r="N153" s="1134"/>
      <c r="O153" s="1134"/>
      <c r="P153" s="1134"/>
      <c r="Q153" s="1134"/>
      <c r="R153" s="1134"/>
      <c r="S153" s="1134"/>
      <c r="T153" s="1134"/>
      <c r="U153" s="1134"/>
      <c r="V153" s="1134"/>
      <c r="W153" s="1134"/>
      <c r="X153" s="1134"/>
      <c r="Y153" s="1134"/>
      <c r="Z153" s="1134"/>
      <c r="AA153" s="1134"/>
      <c r="AB153" s="1134"/>
      <c r="AC153" s="1134"/>
      <c r="AD153" s="1134"/>
      <c r="AE153" s="1134"/>
      <c r="AF153" s="1134"/>
      <c r="AG153" s="1134"/>
      <c r="AH153" s="1134"/>
      <c r="AI153" s="1134"/>
      <c r="AJ153" s="1134"/>
      <c r="AK153" s="1134"/>
      <c r="AL153" s="1134"/>
      <c r="AM153" s="1134"/>
      <c r="AN153" s="1134"/>
      <c r="AO153" s="1134"/>
      <c r="AP153" s="1134"/>
      <c r="AQ153" s="1134"/>
      <c r="AR153" s="1134"/>
      <c r="AS153" s="1134"/>
      <c r="AT153" s="1134"/>
      <c r="AU153" s="1134"/>
      <c r="AV153" s="1134"/>
      <c r="AW153" s="1134"/>
      <c r="AX153" s="1134"/>
      <c r="AY153" s="1134"/>
      <c r="AZ153" s="1134"/>
      <c r="BA153" s="1134"/>
      <c r="BB153" s="1134"/>
      <c r="BC153" s="1134"/>
      <c r="BD153" s="1134"/>
      <c r="BE153" s="1134"/>
      <c r="BF153" s="1134"/>
      <c r="BG153" s="1134"/>
      <c r="BH153" s="1134"/>
      <c r="BI153" s="1134"/>
      <c r="BJ153" s="1134"/>
      <c r="BK153" s="1134"/>
      <c r="BL153" s="1134"/>
      <c r="BM153" s="1134"/>
      <c r="BN153" s="1134"/>
      <c r="BO153" s="1134"/>
      <c r="BP153" s="1134"/>
      <c r="BQ153" s="1134"/>
      <c r="BR153" s="1134"/>
      <c r="BS153" s="1134"/>
      <c r="BT153" s="1134"/>
      <c r="BU153" s="1134"/>
      <c r="BV153" s="1134"/>
      <c r="BW153" s="1134"/>
      <c r="BX153" s="1134"/>
      <c r="BY153" s="1134"/>
      <c r="BZ153" s="1134"/>
      <c r="CA153" s="1134"/>
      <c r="CB153" s="1134"/>
      <c r="CC153" s="1134"/>
      <c r="CD153" s="1134"/>
      <c r="CE153" s="1134"/>
      <c r="CF153" s="1134"/>
      <c r="CG153" s="1134"/>
      <c r="CH153" s="1134"/>
      <c r="CI153" s="1134"/>
      <c r="CJ153" s="1134"/>
      <c r="CK153" s="1134"/>
      <c r="CL153" s="1134"/>
      <c r="CM153" s="1134"/>
      <c r="CN153" s="1134"/>
      <c r="CO153" s="1134"/>
      <c r="CP153" s="1134"/>
      <c r="CQ153" s="1134"/>
      <c r="CR153" s="1134"/>
      <c r="CS153" s="1134"/>
      <c r="CT153" s="1134"/>
      <c r="CU153" s="1134"/>
      <c r="CV153" s="1134"/>
      <c r="CW153" s="1134"/>
      <c r="CX153" s="1134"/>
      <c r="CY153" s="1134"/>
      <c r="CZ153" s="1134"/>
      <c r="DA153" s="1134"/>
      <c r="DB153" s="1134"/>
      <c r="DC153" s="1134"/>
      <c r="DD153" s="1134"/>
      <c r="DE153" s="1134"/>
      <c r="DF153" s="1134"/>
      <c r="DG153" s="1134"/>
      <c r="DH153" s="1134"/>
      <c r="DI153" s="1134"/>
      <c r="DJ153" s="1134"/>
      <c r="DK153" s="1134"/>
      <c r="DL153" s="1134"/>
      <c r="DM153" s="1134"/>
      <c r="DN153" s="1134"/>
      <c r="DO153" s="1134"/>
      <c r="DP153" s="1134"/>
      <c r="DQ153" s="1134"/>
      <c r="DR153" s="1134"/>
      <c r="DS153" s="1134"/>
      <c r="DT153" s="1134"/>
      <c r="DU153" s="1134"/>
      <c r="DV153" s="1134"/>
      <c r="DW153" s="1134"/>
      <c r="DX153" s="1134"/>
      <c r="DY153" s="1134"/>
      <c r="DZ153" s="1134"/>
      <c r="EA153" s="1134"/>
      <c r="EB153" s="1134"/>
      <c r="EC153" s="1134"/>
      <c r="ED153" s="1134"/>
      <c r="EE153" s="1134"/>
      <c r="EF153" s="1134"/>
      <c r="EG153" s="1134"/>
      <c r="EH153" s="1134"/>
      <c r="EI153" s="1134"/>
      <c r="EJ153" s="1134"/>
      <c r="EK153" s="1134"/>
      <c r="EL153" s="1134"/>
      <c r="EM153" s="1134"/>
      <c r="EN153" s="1134"/>
      <c r="EO153" s="1134"/>
      <c r="EP153" s="1134"/>
      <c r="EQ153" s="1134"/>
      <c r="ER153" s="1134"/>
      <c r="ES153" s="1134"/>
      <c r="ET153" s="1134"/>
      <c r="EU153" s="1134"/>
      <c r="EV153" s="1134"/>
      <c r="EW153" s="1134"/>
      <c r="EX153" s="1134"/>
      <c r="EY153" s="1134"/>
      <c r="EZ153" s="1134"/>
      <c r="FA153" s="1134"/>
      <c r="FB153" s="1134"/>
      <c r="FC153" s="1134"/>
      <c r="FD153" s="1134"/>
      <c r="FE153" s="1134"/>
      <c r="FF153" s="1134"/>
      <c r="FG153" s="1134"/>
      <c r="FH153" s="1134"/>
      <c r="FI153" s="1134"/>
      <c r="FJ153" s="1134"/>
      <c r="FK153" s="1134"/>
      <c r="FL153" s="1134"/>
      <c r="FM153" s="1134"/>
      <c r="FN153" s="1134"/>
      <c r="FO153" s="1134"/>
      <c r="FP153" s="1134"/>
      <c r="FQ153" s="1134"/>
      <c r="FR153" s="1134"/>
      <c r="FS153" s="1134"/>
      <c r="FT153" s="1134"/>
      <c r="FU153" s="1134"/>
      <c r="FV153" s="1134"/>
      <c r="FW153" s="1134"/>
      <c r="FX153" s="1134"/>
      <c r="FY153" s="1134"/>
      <c r="FZ153" s="1134"/>
      <c r="GA153" s="1134"/>
      <c r="GB153" s="1158"/>
    </row>
    <row r="154" spans="3:184" ht="15" hidden="1" customHeight="1">
      <c r="C154" s="1115"/>
      <c r="D154" s="1116"/>
      <c r="E154" s="1117" t="s">
        <v>1611</v>
      </c>
      <c r="F154" s="1117"/>
      <c r="G154" s="1118"/>
      <c r="H154" s="1118"/>
      <c r="I154" s="1118"/>
      <c r="J154" s="1149">
        <f>SUM(K154:GA154)</f>
        <v>1316.899999999999</v>
      </c>
      <c r="K154" s="1120"/>
      <c r="L154" s="1120">
        <f t="shared" ref="L154:EH154" si="272">SUM(L151:L153)</f>
        <v>2</v>
      </c>
      <c r="M154" s="1120">
        <f t="shared" si="272"/>
        <v>6.5</v>
      </c>
      <c r="N154" s="1120">
        <f t="shared" si="272"/>
        <v>1.5</v>
      </c>
      <c r="O154" s="1120">
        <f t="shared" si="272"/>
        <v>1.5</v>
      </c>
      <c r="P154" s="1120">
        <f t="shared" si="272"/>
        <v>1.5</v>
      </c>
      <c r="Q154" s="1120">
        <f t="shared" si="272"/>
        <v>8.8000000000000007</v>
      </c>
      <c r="R154" s="1120">
        <f t="shared" si="272"/>
        <v>8.8000000000000007</v>
      </c>
      <c r="S154" s="1120">
        <f t="shared" si="272"/>
        <v>8.8000000000000007</v>
      </c>
      <c r="T154" s="1120">
        <f t="shared" si="272"/>
        <v>8.8000000000000007</v>
      </c>
      <c r="U154" s="1120">
        <f t="shared" si="272"/>
        <v>8.8000000000000007</v>
      </c>
      <c r="V154" s="1120">
        <f t="shared" si="272"/>
        <v>8.8000000000000007</v>
      </c>
      <c r="W154" s="1120">
        <f t="shared" si="272"/>
        <v>8.8000000000000007</v>
      </c>
      <c r="X154" s="1120">
        <f t="shared" si="272"/>
        <v>8.8000000000000007</v>
      </c>
      <c r="Y154" s="1120">
        <f t="shared" si="272"/>
        <v>8.8000000000000007</v>
      </c>
      <c r="Z154" s="1120">
        <f t="shared" si="272"/>
        <v>8.8000000000000007</v>
      </c>
      <c r="AA154" s="1120">
        <f t="shared" si="272"/>
        <v>8.8000000000000007</v>
      </c>
      <c r="AB154" s="1120">
        <f t="shared" si="272"/>
        <v>8.8000000000000007</v>
      </c>
      <c r="AC154" s="1120">
        <f t="shared" si="272"/>
        <v>8.8000000000000007</v>
      </c>
      <c r="AD154" s="1120">
        <f t="shared" si="272"/>
        <v>8.8000000000000007</v>
      </c>
      <c r="AE154" s="1120">
        <f t="shared" si="272"/>
        <v>1.5</v>
      </c>
      <c r="AF154" s="1120">
        <f t="shared" si="272"/>
        <v>1.5</v>
      </c>
      <c r="AG154" s="1120">
        <f t="shared" si="272"/>
        <v>1.5</v>
      </c>
      <c r="AH154" s="1120">
        <f t="shared" si="272"/>
        <v>1.5</v>
      </c>
      <c r="AI154" s="1120">
        <f t="shared" si="272"/>
        <v>1.5</v>
      </c>
      <c r="AJ154" s="1120">
        <f t="shared" si="272"/>
        <v>1.5</v>
      </c>
      <c r="AK154" s="1120">
        <f t="shared" ref="AK154:BP154" si="273">SUM(AK151:AK153)</f>
        <v>8.8000000000000007</v>
      </c>
      <c r="AL154" s="1120">
        <f t="shared" si="273"/>
        <v>8.8000000000000007</v>
      </c>
      <c r="AM154" s="1120">
        <f t="shared" si="273"/>
        <v>8.8000000000000007</v>
      </c>
      <c r="AN154" s="1120">
        <f t="shared" si="273"/>
        <v>8.8000000000000007</v>
      </c>
      <c r="AO154" s="1120">
        <f t="shared" si="273"/>
        <v>8.8000000000000007</v>
      </c>
      <c r="AP154" s="1120">
        <f t="shared" si="273"/>
        <v>8.8000000000000007</v>
      </c>
      <c r="AQ154" s="1120">
        <f t="shared" si="273"/>
        <v>8.8000000000000007</v>
      </c>
      <c r="AR154" s="1120">
        <f t="shared" si="273"/>
        <v>8.8000000000000007</v>
      </c>
      <c r="AS154" s="1120">
        <f t="shared" si="273"/>
        <v>8.8000000000000007</v>
      </c>
      <c r="AT154" s="1120">
        <f t="shared" si="273"/>
        <v>8.8000000000000007</v>
      </c>
      <c r="AU154" s="1120">
        <f t="shared" si="273"/>
        <v>8.8000000000000007</v>
      </c>
      <c r="AV154" s="1120">
        <f t="shared" si="273"/>
        <v>8.8000000000000007</v>
      </c>
      <c r="AW154" s="1120">
        <f t="shared" si="273"/>
        <v>1.5</v>
      </c>
      <c r="AX154" s="1120">
        <f t="shared" si="273"/>
        <v>1.5</v>
      </c>
      <c r="AY154" s="1120">
        <f t="shared" si="273"/>
        <v>1.5</v>
      </c>
      <c r="AZ154" s="1120">
        <f t="shared" si="273"/>
        <v>1.5</v>
      </c>
      <c r="BA154" s="1120">
        <f t="shared" si="273"/>
        <v>6.8</v>
      </c>
      <c r="BB154" s="1120">
        <f t="shared" si="273"/>
        <v>6.8</v>
      </c>
      <c r="BC154" s="1120">
        <f t="shared" ref="BC154" si="274">SUM(BC151:BC153)</f>
        <v>6.8</v>
      </c>
      <c r="BD154" s="1120">
        <f t="shared" si="273"/>
        <v>1.5</v>
      </c>
      <c r="BE154" s="1120">
        <f t="shared" si="273"/>
        <v>8.8000000000000007</v>
      </c>
      <c r="BF154" s="1120">
        <f t="shared" si="273"/>
        <v>8.8000000000000007</v>
      </c>
      <c r="BG154" s="1120">
        <f t="shared" si="273"/>
        <v>8.8000000000000007</v>
      </c>
      <c r="BH154" s="1120">
        <f t="shared" si="273"/>
        <v>8.8000000000000007</v>
      </c>
      <c r="BI154" s="1120">
        <f t="shared" si="273"/>
        <v>8.8000000000000007</v>
      </c>
      <c r="BJ154" s="1120">
        <f t="shared" si="273"/>
        <v>8.8000000000000007</v>
      </c>
      <c r="BK154" s="1120">
        <f t="shared" si="273"/>
        <v>8.8000000000000007</v>
      </c>
      <c r="BL154" s="1120">
        <f t="shared" si="273"/>
        <v>8.8000000000000007</v>
      </c>
      <c r="BM154" s="1120">
        <f t="shared" si="273"/>
        <v>1.5</v>
      </c>
      <c r="BN154" s="1120">
        <f t="shared" si="273"/>
        <v>1.5</v>
      </c>
      <c r="BO154" s="1120">
        <f t="shared" si="273"/>
        <v>1.5</v>
      </c>
      <c r="BP154" s="1120">
        <f t="shared" si="273"/>
        <v>1.5</v>
      </c>
      <c r="BQ154" s="1120">
        <f t="shared" ref="BQ154:EA154" si="275">SUM(BQ151:BQ153)</f>
        <v>1.5</v>
      </c>
      <c r="BR154" s="1120">
        <f t="shared" si="275"/>
        <v>1.5</v>
      </c>
      <c r="BS154" s="1120">
        <f t="shared" si="275"/>
        <v>1.5</v>
      </c>
      <c r="BT154" s="1120">
        <f t="shared" si="275"/>
        <v>8.8000000000000007</v>
      </c>
      <c r="BU154" s="1120">
        <f t="shared" si="275"/>
        <v>8.8000000000000007</v>
      </c>
      <c r="BV154" s="1120">
        <f t="shared" si="275"/>
        <v>8.8000000000000007</v>
      </c>
      <c r="BW154" s="1120">
        <f t="shared" si="275"/>
        <v>8.8000000000000007</v>
      </c>
      <c r="BX154" s="1120">
        <f t="shared" si="275"/>
        <v>8.8000000000000007</v>
      </c>
      <c r="BY154" s="1120">
        <f t="shared" si="275"/>
        <v>8.8000000000000007</v>
      </c>
      <c r="BZ154" s="1120">
        <f t="shared" si="275"/>
        <v>8.8000000000000007</v>
      </c>
      <c r="CA154" s="1120">
        <f t="shared" si="275"/>
        <v>8.8000000000000007</v>
      </c>
      <c r="CB154" s="1120">
        <f t="shared" si="275"/>
        <v>8.8000000000000007</v>
      </c>
      <c r="CC154" s="1120">
        <f t="shared" si="275"/>
        <v>8.8000000000000007</v>
      </c>
      <c r="CD154" s="1120">
        <f t="shared" si="275"/>
        <v>8.8000000000000007</v>
      </c>
      <c r="CE154" s="1120">
        <f t="shared" si="275"/>
        <v>8.8000000000000007</v>
      </c>
      <c r="CF154" s="1120">
        <f t="shared" si="275"/>
        <v>1.5</v>
      </c>
      <c r="CG154" s="1120">
        <f t="shared" ref="CG154:CI154" si="276">SUM(CG151:CG153)</f>
        <v>1.5</v>
      </c>
      <c r="CH154" s="1120">
        <f t="shared" si="276"/>
        <v>16.8</v>
      </c>
      <c r="CI154" s="1120">
        <f t="shared" si="276"/>
        <v>16.8</v>
      </c>
      <c r="CJ154" s="1120">
        <f t="shared" ref="CJ154:CO154" si="277">SUM(CJ151:CJ153)</f>
        <v>16.8</v>
      </c>
      <c r="CK154" s="1120">
        <f t="shared" si="277"/>
        <v>17.8</v>
      </c>
      <c r="CL154" s="1120">
        <f t="shared" si="277"/>
        <v>17.8</v>
      </c>
      <c r="CM154" s="1120">
        <f t="shared" si="277"/>
        <v>17.8</v>
      </c>
      <c r="CN154" s="1120">
        <f t="shared" si="277"/>
        <v>17.8</v>
      </c>
      <c r="CO154" s="1120">
        <f t="shared" si="277"/>
        <v>17.8</v>
      </c>
      <c r="CP154" s="1120">
        <f t="shared" ref="CP154:DA154" si="278">SUM(CP151:CP153)</f>
        <v>17.8</v>
      </c>
      <c r="CQ154" s="1120">
        <f t="shared" si="278"/>
        <v>17.8</v>
      </c>
      <c r="CR154" s="1120">
        <f t="shared" si="278"/>
        <v>1.5</v>
      </c>
      <c r="CS154" s="1120">
        <f t="shared" si="278"/>
        <v>1.5</v>
      </c>
      <c r="CT154" s="1120">
        <f t="shared" si="278"/>
        <v>1</v>
      </c>
      <c r="CU154" s="1120">
        <f t="shared" si="278"/>
        <v>16.8</v>
      </c>
      <c r="CV154" s="1120">
        <f t="shared" si="278"/>
        <v>16.8</v>
      </c>
      <c r="CW154" s="1120">
        <f t="shared" si="278"/>
        <v>17.8</v>
      </c>
      <c r="CX154" s="1120">
        <f t="shared" si="278"/>
        <v>17.8</v>
      </c>
      <c r="CY154" s="1120">
        <f t="shared" si="278"/>
        <v>17.8</v>
      </c>
      <c r="CZ154" s="1120">
        <f t="shared" si="278"/>
        <v>17.8</v>
      </c>
      <c r="DA154" s="1120">
        <f t="shared" si="278"/>
        <v>16.8</v>
      </c>
      <c r="DB154" s="1120">
        <f t="shared" ref="DB154:DM154" si="279">SUM(DB151:DB153)</f>
        <v>17.8</v>
      </c>
      <c r="DC154" s="1120">
        <f t="shared" si="279"/>
        <v>17.8</v>
      </c>
      <c r="DD154" s="1120">
        <f t="shared" si="279"/>
        <v>17.8</v>
      </c>
      <c r="DE154" s="1120">
        <f t="shared" si="279"/>
        <v>1.5</v>
      </c>
      <c r="DF154" s="1120">
        <f t="shared" si="279"/>
        <v>1.5</v>
      </c>
      <c r="DG154" s="1120">
        <f t="shared" si="279"/>
        <v>1.5</v>
      </c>
      <c r="DH154" s="1120">
        <f t="shared" si="279"/>
        <v>1.5</v>
      </c>
      <c r="DI154" s="1120">
        <f t="shared" si="279"/>
        <v>1.5</v>
      </c>
      <c r="DJ154" s="1120">
        <f t="shared" si="279"/>
        <v>1.5</v>
      </c>
      <c r="DK154" s="1120">
        <f t="shared" si="279"/>
        <v>1.5</v>
      </c>
      <c r="DL154" s="1120">
        <f t="shared" si="279"/>
        <v>1.5</v>
      </c>
      <c r="DM154" s="1120">
        <f t="shared" si="279"/>
        <v>1.5</v>
      </c>
      <c r="DN154" s="1120">
        <f t="shared" ref="DN154:DX154" si="280">SUM(DN151:DN153)</f>
        <v>1.5</v>
      </c>
      <c r="DO154" s="1120">
        <f t="shared" si="280"/>
        <v>1.5</v>
      </c>
      <c r="DP154" s="1120">
        <f t="shared" si="280"/>
        <v>1.5</v>
      </c>
      <c r="DQ154" s="1120">
        <f t="shared" si="280"/>
        <v>1.5</v>
      </c>
      <c r="DR154" s="1120">
        <f t="shared" si="280"/>
        <v>1.5</v>
      </c>
      <c r="DS154" s="1120">
        <f t="shared" si="280"/>
        <v>1.5</v>
      </c>
      <c r="DT154" s="1120">
        <f t="shared" si="280"/>
        <v>1.5</v>
      </c>
      <c r="DU154" s="1120">
        <f t="shared" si="280"/>
        <v>1.5</v>
      </c>
      <c r="DV154" s="1120">
        <f t="shared" si="280"/>
        <v>1.5</v>
      </c>
      <c r="DW154" s="1120">
        <f t="shared" si="280"/>
        <v>126</v>
      </c>
      <c r="DX154" s="1120">
        <f t="shared" si="280"/>
        <v>106</v>
      </c>
      <c r="DY154" s="1120">
        <f t="shared" ref="DY154" si="281">SUM(DY151:DY153)</f>
        <v>3.6</v>
      </c>
      <c r="DZ154" s="1120">
        <f t="shared" ref="DZ154" si="282">SUM(DZ151:DZ153)</f>
        <v>3.6</v>
      </c>
      <c r="EA154" s="1120">
        <f t="shared" si="275"/>
        <v>3.6</v>
      </c>
      <c r="EB154" s="1120">
        <f t="shared" ref="EB154:EF154" si="283">SUM(EB151:EB153)</f>
        <v>3.6</v>
      </c>
      <c r="EC154" s="1120">
        <f t="shared" si="283"/>
        <v>3.6</v>
      </c>
      <c r="ED154" s="1120">
        <f t="shared" ref="ED154" si="284">SUM(ED151:ED153)</f>
        <v>3.6</v>
      </c>
      <c r="EE154" s="1120">
        <f t="shared" si="283"/>
        <v>3.6</v>
      </c>
      <c r="EF154" s="1120">
        <f t="shared" si="283"/>
        <v>3.6</v>
      </c>
      <c r="EG154" s="1120">
        <f t="shared" si="272"/>
        <v>30.5</v>
      </c>
      <c r="EH154" s="1120">
        <f t="shared" si="272"/>
        <v>27.000000000000004</v>
      </c>
      <c r="EI154" s="1120">
        <f t="shared" ref="EI154:EK154" si="285">SUM(EI151:EI153)</f>
        <v>27.000000000000004</v>
      </c>
      <c r="EJ154" s="1120">
        <f t="shared" ref="EJ154" si="286">SUM(EJ151:EJ153)</f>
        <v>29.400000000000002</v>
      </c>
      <c r="EK154" s="1120">
        <f t="shared" si="285"/>
        <v>27.000000000000004</v>
      </c>
      <c r="EL154" s="1120">
        <f t="shared" ref="EL154:EM154" si="287">SUM(EL151:EL153)</f>
        <v>27.000000000000004</v>
      </c>
      <c r="EM154" s="1120">
        <f t="shared" si="287"/>
        <v>27.000000000000004</v>
      </c>
      <c r="EN154" s="1120">
        <f t="shared" ref="EN154:FJ154" si="288">SUM(EN151:EN153)</f>
        <v>0</v>
      </c>
      <c r="EO154" s="1120">
        <f t="shared" si="288"/>
        <v>0</v>
      </c>
      <c r="EP154" s="1120">
        <f t="shared" ref="EP154:FC154" si="289">SUM(EP151:EP153)</f>
        <v>0</v>
      </c>
      <c r="EQ154" s="1120">
        <f t="shared" si="289"/>
        <v>0</v>
      </c>
      <c r="ER154" s="1120">
        <f t="shared" si="289"/>
        <v>0</v>
      </c>
      <c r="ES154" s="1120"/>
      <c r="ET154" s="1120">
        <f t="shared" si="289"/>
        <v>0</v>
      </c>
      <c r="EU154" s="1120">
        <f t="shared" si="289"/>
        <v>0</v>
      </c>
      <c r="EV154" s="1120">
        <f t="shared" si="289"/>
        <v>0</v>
      </c>
      <c r="EW154" s="1120">
        <f t="shared" si="289"/>
        <v>0</v>
      </c>
      <c r="EX154" s="1120">
        <f t="shared" si="289"/>
        <v>0</v>
      </c>
      <c r="EY154" s="1120">
        <f t="shared" si="289"/>
        <v>0</v>
      </c>
      <c r="EZ154" s="1120">
        <f t="shared" si="289"/>
        <v>0</v>
      </c>
      <c r="FA154" s="1120">
        <f t="shared" si="289"/>
        <v>0</v>
      </c>
      <c r="FB154" s="1120">
        <f t="shared" si="289"/>
        <v>0</v>
      </c>
      <c r="FC154" s="1120">
        <f t="shared" si="289"/>
        <v>0</v>
      </c>
      <c r="FD154" s="1120">
        <f t="shared" si="288"/>
        <v>0</v>
      </c>
      <c r="FE154" s="1120">
        <f t="shared" si="288"/>
        <v>0</v>
      </c>
      <c r="FF154" s="1120">
        <f t="shared" si="288"/>
        <v>0</v>
      </c>
      <c r="FG154" s="1120">
        <f t="shared" si="288"/>
        <v>0</v>
      </c>
      <c r="FH154" s="1120">
        <f t="shared" si="288"/>
        <v>0</v>
      </c>
      <c r="FI154" s="1120">
        <f t="shared" si="288"/>
        <v>0</v>
      </c>
      <c r="FJ154" s="1120">
        <f t="shared" si="288"/>
        <v>0</v>
      </c>
      <c r="FK154" s="1120">
        <f t="shared" ref="FK154:GA154" si="290">SUM(FK151:FK153)</f>
        <v>0</v>
      </c>
      <c r="FL154" s="1120">
        <f t="shared" si="290"/>
        <v>0</v>
      </c>
      <c r="FM154" s="1120">
        <f t="shared" si="290"/>
        <v>0</v>
      </c>
      <c r="FN154" s="1120">
        <f t="shared" si="290"/>
        <v>0</v>
      </c>
      <c r="FO154" s="1120">
        <f t="shared" ref="FO154:FP154" si="291">SUM(FO151:FO153)</f>
        <v>0</v>
      </c>
      <c r="FP154" s="1120">
        <f t="shared" si="291"/>
        <v>0</v>
      </c>
      <c r="FQ154" s="1120">
        <f t="shared" ref="FQ154:FT154" si="292">SUM(FQ151:FQ153)</f>
        <v>0</v>
      </c>
      <c r="FR154" s="1120">
        <f t="shared" si="292"/>
        <v>0</v>
      </c>
      <c r="FS154" s="1120">
        <f t="shared" si="292"/>
        <v>0</v>
      </c>
      <c r="FT154" s="1120">
        <f t="shared" si="292"/>
        <v>0</v>
      </c>
      <c r="FU154" s="1120">
        <f t="shared" ref="FU154:FX154" si="293">SUM(FU151:FU153)</f>
        <v>0</v>
      </c>
      <c r="FV154" s="1120">
        <f t="shared" si="293"/>
        <v>0</v>
      </c>
      <c r="FW154" s="1120">
        <f t="shared" si="293"/>
        <v>0</v>
      </c>
      <c r="FX154" s="1120">
        <f t="shared" si="293"/>
        <v>0</v>
      </c>
      <c r="FY154" s="1120">
        <f t="shared" ref="FY154:FZ154" si="294">SUM(FY151:FY153)</f>
        <v>0</v>
      </c>
      <c r="FZ154" s="1120">
        <f t="shared" si="294"/>
        <v>0</v>
      </c>
      <c r="GA154" s="1120">
        <f t="shared" si="290"/>
        <v>12</v>
      </c>
      <c r="GB154" s="1121"/>
    </row>
    <row r="155" spans="3:184" hidden="1">
      <c r="C155" s="1115"/>
      <c r="D155" s="1116"/>
      <c r="E155" s="1117"/>
      <c r="F155" s="1117"/>
      <c r="G155" s="1118"/>
      <c r="H155" s="1118"/>
      <c r="I155" s="1118"/>
      <c r="J155" s="1149">
        <f>J151+J152*2+J153*3</f>
        <v>1316.899999999999</v>
      </c>
      <c r="K155" s="1419"/>
      <c r="L155" s="1133"/>
      <c r="M155" s="1133"/>
      <c r="N155" s="1133"/>
      <c r="O155" s="1133"/>
      <c r="P155" s="1133"/>
      <c r="Q155" s="1133"/>
      <c r="R155" s="1133"/>
      <c r="S155" s="1133"/>
      <c r="T155" s="1135"/>
      <c r="U155" s="1133"/>
      <c r="V155" s="1133"/>
      <c r="W155" s="1133"/>
      <c r="X155" s="1133"/>
      <c r="Y155" s="1133"/>
      <c r="Z155" s="1133"/>
      <c r="AA155" s="1133"/>
      <c r="AB155" s="1134"/>
      <c r="AC155" s="1133"/>
      <c r="AD155" s="1133"/>
      <c r="AE155" s="1133"/>
      <c r="AF155" s="1133"/>
      <c r="AG155" s="1133"/>
      <c r="AH155" s="1133"/>
      <c r="AI155" s="1133"/>
      <c r="AJ155" s="1133"/>
      <c r="AK155" s="1133"/>
      <c r="AL155" s="1133"/>
      <c r="AM155" s="1133"/>
      <c r="AN155" s="1133"/>
      <c r="AO155" s="1133"/>
      <c r="AP155" s="1133"/>
      <c r="AQ155" s="1133"/>
      <c r="AR155" s="1133"/>
      <c r="AS155" s="1133"/>
      <c r="AT155" s="1133"/>
      <c r="AU155" s="1133"/>
      <c r="AV155" s="1133"/>
      <c r="AW155" s="1133"/>
      <c r="AX155" s="1133"/>
      <c r="AY155" s="1133"/>
      <c r="AZ155" s="1133"/>
      <c r="BA155" s="1133"/>
      <c r="BB155" s="1133"/>
      <c r="BC155" s="1133"/>
      <c r="BD155" s="1133"/>
      <c r="BE155" s="1133"/>
      <c r="BF155" s="1133"/>
      <c r="BG155" s="1133"/>
      <c r="BH155" s="1133"/>
      <c r="BI155" s="1133"/>
      <c r="BJ155" s="1133"/>
      <c r="BK155" s="1133"/>
      <c r="BL155" s="1133"/>
      <c r="BM155" s="1133"/>
      <c r="BN155" s="1133"/>
      <c r="BO155" s="1133"/>
      <c r="BP155" s="1133"/>
      <c r="BQ155" s="1133"/>
      <c r="BR155" s="1133"/>
      <c r="BS155" s="1133"/>
      <c r="BT155" s="1133"/>
      <c r="BU155" s="1133"/>
      <c r="BV155" s="1133"/>
      <c r="BW155" s="1133"/>
      <c r="BX155" s="1133"/>
      <c r="BY155" s="1133"/>
      <c r="BZ155" s="1133"/>
      <c r="CA155" s="1133"/>
      <c r="CB155" s="1133"/>
      <c r="CC155" s="1133"/>
      <c r="CD155" s="1133"/>
      <c r="CE155" s="1133"/>
      <c r="CF155" s="1133"/>
      <c r="CG155" s="1133"/>
      <c r="CH155" s="1133"/>
      <c r="CI155" s="1133"/>
      <c r="CJ155" s="1133"/>
      <c r="CK155" s="1133"/>
      <c r="CL155" s="1133"/>
      <c r="CM155" s="1133"/>
      <c r="CN155" s="1133"/>
      <c r="CO155" s="1133"/>
      <c r="CP155" s="1133"/>
      <c r="CQ155" s="1133"/>
      <c r="CR155" s="1133"/>
      <c r="CS155" s="1133"/>
      <c r="CT155" s="1133"/>
      <c r="CU155" s="1133"/>
      <c r="CV155" s="1133"/>
      <c r="CW155" s="1133"/>
      <c r="CX155" s="1133"/>
      <c r="CY155" s="1133"/>
      <c r="CZ155" s="1133"/>
      <c r="DA155" s="1133"/>
      <c r="DB155" s="1133"/>
      <c r="DC155" s="1133"/>
      <c r="DD155" s="1133"/>
      <c r="DE155" s="1133"/>
      <c r="DF155" s="1133"/>
      <c r="DG155" s="1133"/>
      <c r="DH155" s="1133"/>
      <c r="DI155" s="1133"/>
      <c r="DJ155" s="1133"/>
      <c r="DK155" s="1133"/>
      <c r="DL155" s="1133"/>
      <c r="DM155" s="1133"/>
      <c r="DN155" s="1133"/>
      <c r="DO155" s="1133"/>
      <c r="DP155" s="1133"/>
      <c r="DQ155" s="1133"/>
      <c r="DR155" s="1133"/>
      <c r="DS155" s="1133"/>
      <c r="DT155" s="1133"/>
      <c r="DU155" s="1133"/>
      <c r="DV155" s="1133"/>
      <c r="DW155" s="1133"/>
      <c r="DX155" s="1133"/>
      <c r="DY155" s="1133"/>
      <c r="DZ155" s="1133"/>
      <c r="EA155" s="1133"/>
      <c r="EB155" s="1133"/>
      <c r="EC155" s="1133"/>
      <c r="ED155" s="1133"/>
      <c r="EE155" s="1133"/>
      <c r="EF155" s="1133"/>
      <c r="EG155" s="1133"/>
      <c r="EH155" s="1133"/>
      <c r="EI155" s="1133"/>
      <c r="EJ155" s="1133"/>
      <c r="EK155" s="1133"/>
      <c r="EL155" s="1133"/>
      <c r="EM155" s="1133"/>
      <c r="EN155" s="1133"/>
      <c r="EO155" s="1133"/>
      <c r="EP155" s="1133"/>
      <c r="EQ155" s="1133"/>
      <c r="ER155" s="1133"/>
      <c r="ES155" s="1133"/>
      <c r="ET155" s="1133"/>
      <c r="EU155" s="1133"/>
      <c r="EV155" s="1133"/>
      <c r="EW155" s="1133"/>
      <c r="EX155" s="1133"/>
      <c r="EY155" s="1133"/>
      <c r="EZ155" s="1133"/>
      <c r="FA155" s="1133"/>
      <c r="FB155" s="1133"/>
      <c r="FC155" s="1133"/>
      <c r="FD155" s="1133"/>
      <c r="FE155" s="1133"/>
      <c r="FF155" s="1133"/>
      <c r="FG155" s="1133"/>
      <c r="FH155" s="1133"/>
      <c r="FI155" s="1133"/>
      <c r="FJ155" s="1133"/>
      <c r="FK155" s="1133"/>
      <c r="FL155" s="1133"/>
      <c r="FM155" s="1133"/>
      <c r="FN155" s="1133"/>
      <c r="FO155" s="1133"/>
      <c r="FP155" s="1133"/>
      <c r="FQ155" s="1133"/>
      <c r="FR155" s="1133"/>
      <c r="FS155" s="1133"/>
      <c r="FT155" s="1133"/>
      <c r="FU155" s="1133"/>
      <c r="FV155" s="1133"/>
      <c r="FW155" s="1133"/>
      <c r="FX155" s="1133"/>
      <c r="FY155" s="1133"/>
      <c r="FZ155" s="1133"/>
      <c r="GA155" s="1133"/>
      <c r="GB155" s="1121"/>
    </row>
    <row r="156" spans="3:184" s="1114" customFormat="1">
      <c r="C156" s="1141"/>
      <c r="D156" s="1142" t="s">
        <v>2271</v>
      </c>
      <c r="E156" s="1143"/>
      <c r="F156" s="1143"/>
      <c r="G156" s="1144"/>
      <c r="H156" s="1144"/>
      <c r="I156" s="1144"/>
      <c r="J156" s="1582">
        <f t="shared" ref="J156:J161" si="295">SUM(K156:GA156)</f>
        <v>5327.1999999999953</v>
      </c>
      <c r="K156" s="1159"/>
      <c r="L156" s="1159">
        <f>L89</f>
        <v>3</v>
      </c>
      <c r="M156" s="1159">
        <f>M89</f>
        <v>8.5</v>
      </c>
      <c r="N156" s="1159">
        <f t="shared" ref="N156:AP156" si="296">N89</f>
        <v>11.9</v>
      </c>
      <c r="O156" s="1159">
        <f t="shared" si="296"/>
        <v>22.9</v>
      </c>
      <c r="P156" s="1159">
        <f t="shared" si="296"/>
        <v>26.9</v>
      </c>
      <c r="Q156" s="1159">
        <f t="shared" si="296"/>
        <v>16.2</v>
      </c>
      <c r="R156" s="1159">
        <f t="shared" si="296"/>
        <v>22.9</v>
      </c>
      <c r="S156" s="1159">
        <f t="shared" si="296"/>
        <v>30.2</v>
      </c>
      <c r="T156" s="1159">
        <f t="shared" si="296"/>
        <v>28.7</v>
      </c>
      <c r="U156" s="1159">
        <f t="shared" si="296"/>
        <v>31.7</v>
      </c>
      <c r="V156" s="1159">
        <f t="shared" si="296"/>
        <v>49.2</v>
      </c>
      <c r="W156" s="1159">
        <f t="shared" si="296"/>
        <v>51.2</v>
      </c>
      <c r="X156" s="1159">
        <f t="shared" si="296"/>
        <v>28.2</v>
      </c>
      <c r="Y156" s="1159">
        <f t="shared" si="296"/>
        <v>30.7</v>
      </c>
      <c r="Z156" s="1159">
        <f t="shared" si="296"/>
        <v>48.7</v>
      </c>
      <c r="AA156" s="1159">
        <f t="shared" si="296"/>
        <v>51.2</v>
      </c>
      <c r="AB156" s="1159">
        <f t="shared" si="296"/>
        <v>28.2</v>
      </c>
      <c r="AC156" s="1159">
        <f t="shared" si="296"/>
        <v>40.200000000000003</v>
      </c>
      <c r="AD156" s="1159">
        <f t="shared" si="296"/>
        <v>52.2</v>
      </c>
      <c r="AE156" s="1159">
        <f t="shared" si="296"/>
        <v>8.9</v>
      </c>
      <c r="AF156" s="1159">
        <f t="shared" si="296"/>
        <v>14.9</v>
      </c>
      <c r="AG156" s="1159">
        <f t="shared" si="296"/>
        <v>31.9</v>
      </c>
      <c r="AH156" s="1159">
        <f t="shared" si="296"/>
        <v>15.9</v>
      </c>
      <c r="AI156" s="1159">
        <f t="shared" si="296"/>
        <v>23.9</v>
      </c>
      <c r="AJ156" s="1159">
        <f t="shared" si="296"/>
        <v>44.4</v>
      </c>
      <c r="AK156" s="1159">
        <f t="shared" si="296"/>
        <v>44.2</v>
      </c>
      <c r="AL156" s="1159">
        <f t="shared" si="296"/>
        <v>77.2</v>
      </c>
      <c r="AM156" s="1159">
        <f t="shared" si="296"/>
        <v>35.200000000000003</v>
      </c>
      <c r="AN156" s="1159">
        <f t="shared" si="296"/>
        <v>37.200000000000003</v>
      </c>
      <c r="AO156" s="1159">
        <f t="shared" si="296"/>
        <v>40.200000000000003</v>
      </c>
      <c r="AP156" s="1159">
        <f t="shared" si="296"/>
        <v>38.200000000000003</v>
      </c>
      <c r="AQ156" s="1159">
        <f t="shared" ref="AQ156:BV156" si="297">AQ89</f>
        <v>33.200000000000003</v>
      </c>
      <c r="AR156" s="1159">
        <f t="shared" si="297"/>
        <v>35.200000000000003</v>
      </c>
      <c r="AS156" s="1159">
        <f t="shared" si="297"/>
        <v>83.2</v>
      </c>
      <c r="AT156" s="1159">
        <f t="shared" si="297"/>
        <v>15.2</v>
      </c>
      <c r="AU156" s="1159">
        <f t="shared" si="297"/>
        <v>28.2</v>
      </c>
      <c r="AV156" s="1159">
        <f t="shared" si="297"/>
        <v>76.2</v>
      </c>
      <c r="AW156" s="1159">
        <f t="shared" si="297"/>
        <v>12.9</v>
      </c>
      <c r="AX156" s="1159">
        <f t="shared" si="297"/>
        <v>12.9</v>
      </c>
      <c r="AY156" s="1159">
        <f t="shared" si="297"/>
        <v>34.9</v>
      </c>
      <c r="AZ156" s="1159">
        <f t="shared" si="297"/>
        <v>69.900000000000006</v>
      </c>
      <c r="BA156" s="1159">
        <f t="shared" si="297"/>
        <v>12.9</v>
      </c>
      <c r="BB156" s="1159">
        <f t="shared" si="297"/>
        <v>36.9</v>
      </c>
      <c r="BC156" s="1159">
        <f t="shared" si="297"/>
        <v>76.900000000000006</v>
      </c>
      <c r="BD156" s="1159">
        <f t="shared" si="297"/>
        <v>38.200000000000003</v>
      </c>
      <c r="BE156" s="1159">
        <f t="shared" si="297"/>
        <v>56.2</v>
      </c>
      <c r="BF156" s="1159">
        <f t="shared" si="297"/>
        <v>100.2</v>
      </c>
      <c r="BG156" s="1159">
        <f t="shared" si="297"/>
        <v>43.2</v>
      </c>
      <c r="BH156" s="1159">
        <f t="shared" si="297"/>
        <v>87.2</v>
      </c>
      <c r="BI156" s="1159">
        <f t="shared" si="297"/>
        <v>44.2</v>
      </c>
      <c r="BJ156" s="1159">
        <f t="shared" si="297"/>
        <v>94.2</v>
      </c>
      <c r="BK156" s="1159">
        <f t="shared" si="297"/>
        <v>27.2</v>
      </c>
      <c r="BL156" s="1159">
        <f t="shared" si="297"/>
        <v>74.2</v>
      </c>
      <c r="BM156" s="1159">
        <f t="shared" si="297"/>
        <v>9.9</v>
      </c>
      <c r="BN156" s="1159">
        <f t="shared" si="297"/>
        <v>29.9</v>
      </c>
      <c r="BO156" s="1159">
        <f t="shared" si="297"/>
        <v>43.9</v>
      </c>
      <c r="BP156" s="1159">
        <f t="shared" si="297"/>
        <v>16.899999999999999</v>
      </c>
      <c r="BQ156" s="1159">
        <f t="shared" si="297"/>
        <v>36.9</v>
      </c>
      <c r="BR156" s="1159">
        <f t="shared" si="297"/>
        <v>13.9</v>
      </c>
      <c r="BS156" s="1159">
        <f t="shared" si="297"/>
        <v>30.9</v>
      </c>
      <c r="BT156" s="1159">
        <f t="shared" si="297"/>
        <v>44.2</v>
      </c>
      <c r="BU156" s="1159">
        <f t="shared" si="297"/>
        <v>77.2</v>
      </c>
      <c r="BV156" s="1159">
        <f t="shared" si="297"/>
        <v>45.2</v>
      </c>
      <c r="BW156" s="1159">
        <f t="shared" ref="BW156:GA156" si="298">BW89</f>
        <v>31.2</v>
      </c>
      <c r="BX156" s="1159">
        <f t="shared" si="298"/>
        <v>38.200000000000003</v>
      </c>
      <c r="BY156" s="1159">
        <f t="shared" si="298"/>
        <v>40.200000000000003</v>
      </c>
      <c r="BZ156" s="1159">
        <f t="shared" si="298"/>
        <v>46.2</v>
      </c>
      <c r="CA156" s="1159">
        <f t="shared" si="298"/>
        <v>94.2</v>
      </c>
      <c r="CB156" s="1159">
        <f t="shared" si="298"/>
        <v>31.2</v>
      </c>
      <c r="CC156" s="1159">
        <f t="shared" si="298"/>
        <v>16.2</v>
      </c>
      <c r="CD156" s="1159">
        <f t="shared" si="298"/>
        <v>29.2</v>
      </c>
      <c r="CE156" s="1159">
        <f t="shared" si="298"/>
        <v>76.2</v>
      </c>
      <c r="CF156" s="1159">
        <f t="shared" si="298"/>
        <v>8.9</v>
      </c>
      <c r="CG156" s="1159">
        <f t="shared" ref="CG156:CI156" si="299">CG89</f>
        <v>11.9</v>
      </c>
      <c r="CH156" s="1159">
        <f t="shared" si="299"/>
        <v>33.200000000000003</v>
      </c>
      <c r="CI156" s="1159">
        <f t="shared" si="299"/>
        <v>68.2</v>
      </c>
      <c r="CJ156" s="1159">
        <f t="shared" ref="CJ156:CO156" si="300">CJ89</f>
        <v>66.2</v>
      </c>
      <c r="CK156" s="1159">
        <f t="shared" si="300"/>
        <v>116.2</v>
      </c>
      <c r="CL156" s="1159">
        <f t="shared" si="300"/>
        <v>105.2</v>
      </c>
      <c r="CM156" s="1159">
        <f t="shared" si="300"/>
        <v>66.2</v>
      </c>
      <c r="CN156" s="1159">
        <f t="shared" si="300"/>
        <v>69.2</v>
      </c>
      <c r="CO156" s="1159">
        <f t="shared" si="300"/>
        <v>67.2</v>
      </c>
      <c r="CP156" s="1159">
        <f t="shared" ref="CP156:DA156" si="301">CP89</f>
        <v>34.200000000000003</v>
      </c>
      <c r="CQ156" s="1159">
        <f t="shared" si="301"/>
        <v>23.7</v>
      </c>
      <c r="CR156" s="1159">
        <f t="shared" si="301"/>
        <v>8.9</v>
      </c>
      <c r="CS156" s="1159">
        <f t="shared" si="301"/>
        <v>11.9</v>
      </c>
      <c r="CT156" s="1159">
        <f t="shared" si="301"/>
        <v>14.1</v>
      </c>
      <c r="CU156" s="1159">
        <f t="shared" si="301"/>
        <v>32.200000000000003</v>
      </c>
      <c r="CV156" s="1159">
        <f t="shared" si="301"/>
        <v>71.2</v>
      </c>
      <c r="CW156" s="1159">
        <f t="shared" si="301"/>
        <v>67.2</v>
      </c>
      <c r="CX156" s="1159">
        <f t="shared" si="301"/>
        <v>69.2</v>
      </c>
      <c r="CY156" s="1159">
        <f t="shared" si="301"/>
        <v>114.2</v>
      </c>
      <c r="CZ156" s="1159">
        <f t="shared" si="301"/>
        <v>103.2</v>
      </c>
      <c r="DA156" s="1159">
        <f t="shared" si="301"/>
        <v>68.2</v>
      </c>
      <c r="DB156" s="1159">
        <f t="shared" ref="DB156:DM156" si="302">DB89</f>
        <v>34.200000000000003</v>
      </c>
      <c r="DC156" s="1159">
        <f t="shared" si="302"/>
        <v>24.2</v>
      </c>
      <c r="DD156" s="1159">
        <f t="shared" si="302"/>
        <v>62.2</v>
      </c>
      <c r="DE156" s="1159">
        <f t="shared" si="302"/>
        <v>8.9</v>
      </c>
      <c r="DF156" s="1159">
        <f t="shared" si="302"/>
        <v>13.8</v>
      </c>
      <c r="DG156" s="1159">
        <f t="shared" si="302"/>
        <v>19.8</v>
      </c>
      <c r="DH156" s="1159">
        <f t="shared" si="302"/>
        <v>17.5</v>
      </c>
      <c r="DI156" s="1159">
        <f t="shared" si="302"/>
        <v>22.5</v>
      </c>
      <c r="DJ156" s="1159">
        <f t="shared" si="302"/>
        <v>25.5</v>
      </c>
      <c r="DK156" s="1159">
        <f t="shared" si="302"/>
        <v>30.5</v>
      </c>
      <c r="DL156" s="1159">
        <f t="shared" si="302"/>
        <v>35.5</v>
      </c>
      <c r="DM156" s="1159">
        <f t="shared" si="302"/>
        <v>17.5</v>
      </c>
      <c r="DN156" s="1159">
        <f t="shared" ref="DN156:DX156" si="303">DN89</f>
        <v>22.5</v>
      </c>
      <c r="DO156" s="1159">
        <f t="shared" si="303"/>
        <v>25.5</v>
      </c>
      <c r="DP156" s="1159">
        <f t="shared" si="303"/>
        <v>30.5</v>
      </c>
      <c r="DQ156" s="1159">
        <f t="shared" si="303"/>
        <v>35.5</v>
      </c>
      <c r="DR156" s="1159">
        <f t="shared" si="303"/>
        <v>11.5</v>
      </c>
      <c r="DS156" s="1159">
        <f t="shared" si="303"/>
        <v>18.5</v>
      </c>
      <c r="DT156" s="1159">
        <f t="shared" si="303"/>
        <v>22.5</v>
      </c>
      <c r="DU156" s="1159">
        <f t="shared" si="303"/>
        <v>28.5</v>
      </c>
      <c r="DV156" s="1159">
        <f t="shared" si="303"/>
        <v>35.5</v>
      </c>
      <c r="DW156" s="1159">
        <f t="shared" si="303"/>
        <v>132</v>
      </c>
      <c r="DX156" s="1159">
        <f t="shared" si="303"/>
        <v>113</v>
      </c>
      <c r="DY156" s="1159">
        <f t="shared" ref="DY156" si="304">DY89</f>
        <v>8.6999999999999993</v>
      </c>
      <c r="DZ156" s="1159">
        <f t="shared" ref="DZ156" si="305">DZ89</f>
        <v>8.6999999999999993</v>
      </c>
      <c r="EA156" s="1159">
        <f t="shared" si="298"/>
        <v>8.6999999999999993</v>
      </c>
      <c r="EB156" s="1159">
        <f t="shared" si="298"/>
        <v>8.6999999999999993</v>
      </c>
      <c r="EC156" s="1159">
        <f t="shared" si="298"/>
        <v>8.6999999999999993</v>
      </c>
      <c r="ED156" s="1159">
        <f t="shared" ref="ED156" si="306">ED89</f>
        <v>8.6999999999999993</v>
      </c>
      <c r="EE156" s="1159">
        <f t="shared" ref="EE156:EF156" si="307">EE89</f>
        <v>8.6999999999999993</v>
      </c>
      <c r="EF156" s="1159">
        <f t="shared" si="307"/>
        <v>8.6999999999999993</v>
      </c>
      <c r="EG156" s="1159">
        <f t="shared" si="298"/>
        <v>20.399999999999999</v>
      </c>
      <c r="EH156" s="1159">
        <f t="shared" si="298"/>
        <v>208.39999999999998</v>
      </c>
      <c r="EI156" s="1159">
        <f t="shared" si="298"/>
        <v>20.799999999999997</v>
      </c>
      <c r="EJ156" s="1159">
        <f t="shared" si="298"/>
        <v>53.599999999999994</v>
      </c>
      <c r="EK156" s="1159">
        <f t="shared" si="298"/>
        <v>22.799999999999997</v>
      </c>
      <c r="EL156" s="1159">
        <f t="shared" ref="EL156:EM156" si="308">EL89</f>
        <v>22.799999999999997</v>
      </c>
      <c r="EM156" s="1159">
        <f t="shared" si="308"/>
        <v>38.800000000000004</v>
      </c>
      <c r="EN156" s="1159">
        <f t="shared" si="298"/>
        <v>0</v>
      </c>
      <c r="EO156" s="1159">
        <f t="shared" si="298"/>
        <v>0</v>
      </c>
      <c r="EP156" s="1159">
        <f t="shared" ref="EP156:FC156" si="309">EP89</f>
        <v>0</v>
      </c>
      <c r="EQ156" s="1159">
        <f t="shared" si="309"/>
        <v>0</v>
      </c>
      <c r="ER156" s="1159">
        <f t="shared" si="309"/>
        <v>0</v>
      </c>
      <c r="ES156" s="1159"/>
      <c r="ET156" s="1159">
        <f t="shared" si="309"/>
        <v>0</v>
      </c>
      <c r="EU156" s="1159">
        <f t="shared" si="309"/>
        <v>0</v>
      </c>
      <c r="EV156" s="1159">
        <f t="shared" si="309"/>
        <v>0</v>
      </c>
      <c r="EW156" s="1159">
        <f t="shared" si="309"/>
        <v>0</v>
      </c>
      <c r="EX156" s="1159">
        <f t="shared" si="309"/>
        <v>0</v>
      </c>
      <c r="EY156" s="1159">
        <f t="shared" si="309"/>
        <v>0</v>
      </c>
      <c r="EZ156" s="1159">
        <f t="shared" si="309"/>
        <v>0</v>
      </c>
      <c r="FA156" s="1159">
        <f t="shared" si="309"/>
        <v>0</v>
      </c>
      <c r="FB156" s="1159">
        <f t="shared" si="309"/>
        <v>0</v>
      </c>
      <c r="FC156" s="1159">
        <f t="shared" si="309"/>
        <v>0</v>
      </c>
      <c r="FD156" s="1159">
        <f t="shared" si="298"/>
        <v>0</v>
      </c>
      <c r="FE156" s="1159">
        <f t="shared" si="298"/>
        <v>0</v>
      </c>
      <c r="FF156" s="1159">
        <f t="shared" si="298"/>
        <v>0</v>
      </c>
      <c r="FG156" s="1159">
        <f t="shared" si="298"/>
        <v>0</v>
      </c>
      <c r="FH156" s="1159">
        <f t="shared" si="298"/>
        <v>0</v>
      </c>
      <c r="FI156" s="1159">
        <f t="shared" si="298"/>
        <v>0</v>
      </c>
      <c r="FJ156" s="1159">
        <f t="shared" si="298"/>
        <v>0</v>
      </c>
      <c r="FK156" s="1159">
        <f t="shared" si="298"/>
        <v>0</v>
      </c>
      <c r="FL156" s="1159">
        <f t="shared" si="298"/>
        <v>0</v>
      </c>
      <c r="FM156" s="1159">
        <f t="shared" ref="FM156:FN156" si="310">FM89</f>
        <v>0</v>
      </c>
      <c r="FN156" s="1159">
        <f t="shared" si="310"/>
        <v>0</v>
      </c>
      <c r="FO156" s="1159">
        <f t="shared" ref="FO156:FP156" si="311">FO89</f>
        <v>0</v>
      </c>
      <c r="FP156" s="1159">
        <f t="shared" si="311"/>
        <v>0</v>
      </c>
      <c r="FQ156" s="1159">
        <f t="shared" ref="FQ156:FT156" si="312">FQ89</f>
        <v>0</v>
      </c>
      <c r="FR156" s="1159">
        <f t="shared" si="312"/>
        <v>0</v>
      </c>
      <c r="FS156" s="1159">
        <f t="shared" si="312"/>
        <v>0</v>
      </c>
      <c r="FT156" s="1159">
        <f t="shared" si="312"/>
        <v>0</v>
      </c>
      <c r="FU156" s="1159">
        <f t="shared" ref="FU156:FX156" si="313">FU89</f>
        <v>0</v>
      </c>
      <c r="FV156" s="1159">
        <f t="shared" si="313"/>
        <v>0</v>
      </c>
      <c r="FW156" s="1159">
        <f t="shared" si="313"/>
        <v>0</v>
      </c>
      <c r="FX156" s="1159">
        <f t="shared" si="313"/>
        <v>0</v>
      </c>
      <c r="FY156" s="1159">
        <f t="shared" ref="FY156:FZ156" si="314">FY89</f>
        <v>0</v>
      </c>
      <c r="FZ156" s="1159">
        <f t="shared" si="314"/>
        <v>0</v>
      </c>
      <c r="GA156" s="1159">
        <f t="shared" si="298"/>
        <v>12</v>
      </c>
      <c r="GB156" s="1145"/>
    </row>
    <row r="157" spans="3:184">
      <c r="C157" s="1115"/>
      <c r="D157" s="1116" t="s">
        <v>2271</v>
      </c>
      <c r="E157" s="1117" t="s">
        <v>2263</v>
      </c>
      <c r="F157" s="1117"/>
      <c r="G157" s="1118"/>
      <c r="H157" s="1118"/>
      <c r="I157" s="1118"/>
      <c r="J157" s="1149">
        <f t="shared" si="295"/>
        <v>2357.2000000000025</v>
      </c>
      <c r="K157" s="1140"/>
      <c r="L157" s="1120">
        <f>L156-L158-L159-L160</f>
        <v>2</v>
      </c>
      <c r="M157" s="1120">
        <f>M156-L158</f>
        <v>7.5</v>
      </c>
      <c r="N157" s="1120">
        <f t="shared" ref="N157:BX157" si="315">N156-N158-N159-N160</f>
        <v>11.9</v>
      </c>
      <c r="O157" s="1120">
        <f t="shared" si="315"/>
        <v>1.8999999999999986</v>
      </c>
      <c r="P157" s="1120">
        <f>P156-O158</f>
        <v>5.8999999999999986</v>
      </c>
      <c r="Q157" s="1120">
        <f t="shared" si="315"/>
        <v>9.1999999999999993</v>
      </c>
      <c r="R157" s="1120">
        <f>R156-R158-Q159</f>
        <v>8.8999999999999986</v>
      </c>
      <c r="S157" s="1120">
        <f>S156-R158-Q159</f>
        <v>16.2</v>
      </c>
      <c r="T157" s="1120">
        <f t="shared" si="315"/>
        <v>8.6999999999999993</v>
      </c>
      <c r="U157" s="1120">
        <f>U156-U159-T160</f>
        <v>8.6999999999999993</v>
      </c>
      <c r="V157" s="1120">
        <f>V156-V158-U159-T160</f>
        <v>8.2000000000000028</v>
      </c>
      <c r="W157" s="1120">
        <f>W156-V158-U159-T160</f>
        <v>10.200000000000003</v>
      </c>
      <c r="X157" s="1120">
        <f t="shared" si="315"/>
        <v>9.1999999999999993</v>
      </c>
      <c r="Y157" s="1120">
        <f>Y156-X160-Y159</f>
        <v>8.6999999999999993</v>
      </c>
      <c r="Z157" s="1120">
        <f>Z156-Z158-Y159-X160</f>
        <v>8.7000000000000028</v>
      </c>
      <c r="AA157" s="1120">
        <f>AA156-Z158-Y159-X160</f>
        <v>11.200000000000003</v>
      </c>
      <c r="AB157" s="1120">
        <f t="shared" si="315"/>
        <v>9.1999999999999993</v>
      </c>
      <c r="AC157" s="1120">
        <f>AC156-AB159-AC158</f>
        <v>9.2000000000000028</v>
      </c>
      <c r="AD157" s="1120">
        <f>AD156-AD158-AD159-AD160-AC158-AB159</f>
        <v>21.200000000000003</v>
      </c>
      <c r="AE157" s="1120">
        <f t="shared" si="315"/>
        <v>1.9000000000000004</v>
      </c>
      <c r="AF157" s="1120">
        <f>AF156-AF158-AF159-AF160-AE159</f>
        <v>1.9000000000000004</v>
      </c>
      <c r="AG157" s="1120">
        <f>AG156-AG158-AG159-AG160-AF158-AE159</f>
        <v>18.899999999999999</v>
      </c>
      <c r="AH157" s="1120">
        <f t="shared" si="315"/>
        <v>1.9000000000000004</v>
      </c>
      <c r="AI157" s="1120">
        <f>AI156-AI158-AI159-AI160-AH159</f>
        <v>1.8999999999999986</v>
      </c>
      <c r="AJ157" s="1120">
        <f>AJ156-AJ158-AJ159-AJ160-AI158-AH159</f>
        <v>22.4</v>
      </c>
      <c r="AK157" s="1120">
        <f t="shared" si="315"/>
        <v>9.2000000000000028</v>
      </c>
      <c r="AL157" s="1120">
        <f>AL156-AL158-AL159-AL160-AK158</f>
        <v>42.2</v>
      </c>
      <c r="AM157" s="1120">
        <f t="shared" si="315"/>
        <v>9.2000000000000028</v>
      </c>
      <c r="AN157" s="1120">
        <f>AN156-AN158-AN159-AN160-AM158</f>
        <v>11.200000000000003</v>
      </c>
      <c r="AO157" s="1120">
        <f>AO156-AO158-AO159-AO160-AP158</f>
        <v>11.200000000000003</v>
      </c>
      <c r="AP157" s="1120">
        <f t="shared" si="315"/>
        <v>9.2000000000000028</v>
      </c>
      <c r="AQ157" s="1120">
        <f t="shared" si="315"/>
        <v>9.2000000000000028</v>
      </c>
      <c r="AR157" s="1120">
        <f>AR156-AR158-AR159-AR160-AQ159</f>
        <v>11.200000000000003</v>
      </c>
      <c r="AS157" s="1120">
        <f>AS156-AS158-AS159-AS160-AQ159</f>
        <v>59.2</v>
      </c>
      <c r="AT157" s="1120">
        <f t="shared" si="315"/>
        <v>9.1999999999999993</v>
      </c>
      <c r="AU157" s="1120">
        <f>AU156-AU158-AU159-AU160-AT159</f>
        <v>9.1999999999999993</v>
      </c>
      <c r="AV157" s="1120">
        <f>AV156-AV158-AV159-AV160-AU158-AT159</f>
        <v>57.2</v>
      </c>
      <c r="AW157" s="1120">
        <f t="shared" si="315"/>
        <v>12.9</v>
      </c>
      <c r="AX157" s="1120">
        <f t="shared" si="315"/>
        <v>12.9</v>
      </c>
      <c r="AY157" s="1120">
        <f t="shared" si="315"/>
        <v>1.8999999999999986</v>
      </c>
      <c r="AZ157" s="1120">
        <f>AZ156-AZ158-AZ159-AZ160-AY158</f>
        <v>36.900000000000006</v>
      </c>
      <c r="BA157" s="1120">
        <f t="shared" si="315"/>
        <v>6.9</v>
      </c>
      <c r="BB157" s="1120">
        <f t="shared" si="315"/>
        <v>6.8999999999999986</v>
      </c>
      <c r="BC157" s="1120">
        <f>BC156-BC158-BC159-BC160-BB158</f>
        <v>46.900000000000006</v>
      </c>
      <c r="BD157" s="1120">
        <f>BD156-BD158-BD159-BD160-BA158</f>
        <v>32.200000000000003</v>
      </c>
      <c r="BE157" s="1120">
        <f t="shared" si="315"/>
        <v>9.2000000000000028</v>
      </c>
      <c r="BF157" s="1120">
        <f>BF156-BF158-BF159-BF160-BE158</f>
        <v>53.2</v>
      </c>
      <c r="BG157" s="1120">
        <f t="shared" si="315"/>
        <v>9.2000000000000028</v>
      </c>
      <c r="BH157" s="1120">
        <f>BH156-BH158-BH159-BH160-BG158</f>
        <v>53.2</v>
      </c>
      <c r="BI157" s="1120">
        <f t="shared" si="315"/>
        <v>9.2000000000000028</v>
      </c>
      <c r="BJ157" s="1120">
        <f>BJ156-BJ158-BJ159-BJ160-BI158</f>
        <v>59.2</v>
      </c>
      <c r="BK157" s="1120">
        <f t="shared" si="315"/>
        <v>9.1999999999999993</v>
      </c>
      <c r="BL157" s="1120">
        <f>BL156-BL158-BL159-BL160-BK158</f>
        <v>56.2</v>
      </c>
      <c r="BM157" s="1120">
        <f t="shared" si="315"/>
        <v>1.9000000000000004</v>
      </c>
      <c r="BN157" s="1120">
        <f>BN156-BN158-BN159-BN160-BM159</f>
        <v>1.8999999999999986</v>
      </c>
      <c r="BO157" s="1120">
        <f>BO156-BO158-BO159-BO160-BN158-BM159</f>
        <v>15.899999999999999</v>
      </c>
      <c r="BP157" s="1120">
        <f t="shared" si="315"/>
        <v>1.8999999999999986</v>
      </c>
      <c r="BQ157" s="1120">
        <f>BQ156-BQ158-BQ159-BQ160-BP158</f>
        <v>21.9</v>
      </c>
      <c r="BR157" s="1120">
        <f t="shared" si="315"/>
        <v>1.9000000000000004</v>
      </c>
      <c r="BS157" s="1120">
        <f>BS156-BS158-BS159-BS160-BR158</f>
        <v>18.899999999999999</v>
      </c>
      <c r="BT157" s="1120">
        <f t="shared" si="315"/>
        <v>9.2000000000000028</v>
      </c>
      <c r="BU157" s="1120">
        <f>BU156-BU158-BU159-BU160-BT158</f>
        <v>42.2</v>
      </c>
      <c r="BV157" s="1120">
        <f>BV156-BV158-BV159-BV160-BW158</f>
        <v>23.200000000000003</v>
      </c>
      <c r="BW157" s="1120">
        <f t="shared" si="315"/>
        <v>9.1999999999999993</v>
      </c>
      <c r="BX157" s="1120">
        <f t="shared" si="315"/>
        <v>9.2000000000000028</v>
      </c>
      <c r="BY157" s="1120">
        <f>BY156-BY158-BY159-BY160-BX158</f>
        <v>11.200000000000003</v>
      </c>
      <c r="BZ157" s="1120">
        <f>BZ156-BZ158-BZ159-BZ160-CB159</f>
        <v>9.2000000000000028</v>
      </c>
      <c r="CA157" s="1120">
        <f>CA156-CA158-CA159-CA160-BZ158-CB159</f>
        <v>57.2</v>
      </c>
      <c r="CB157" s="1120">
        <f t="shared" ref="CB157:EJ157" si="316">CB156-CB158-CB159-CB160</f>
        <v>9.1999999999999993</v>
      </c>
      <c r="CC157" s="1120">
        <f t="shared" si="316"/>
        <v>9.1999999999999993</v>
      </c>
      <c r="CD157" s="1120">
        <f>CD156-CD158-CD159-CD160-CC159</f>
        <v>9.1999999999999993</v>
      </c>
      <c r="CE157" s="1120">
        <f>CE156-CE158-CE159-CE160-CD158-CC159</f>
        <v>56.2</v>
      </c>
      <c r="CF157" s="1120">
        <f t="shared" si="316"/>
        <v>8.9</v>
      </c>
      <c r="CG157" s="1120">
        <f t="shared" si="316"/>
        <v>11.9</v>
      </c>
      <c r="CH157" s="1120">
        <f t="shared" si="316"/>
        <v>17.200000000000003</v>
      </c>
      <c r="CI157" s="1120">
        <f>CI156-CI158-CI159-CI160-CH158</f>
        <v>52.2</v>
      </c>
      <c r="CJ157" s="1120">
        <f>CJ156-CJ158-CJ159-CJ160-CO159-CP160</f>
        <v>17.200000000000003</v>
      </c>
      <c r="CK157" s="1120">
        <f>CK156-CK158-CK159-CK160-CL158-CM159</f>
        <v>29.200000000000003</v>
      </c>
      <c r="CL157" s="1120">
        <f>CL156-CL158-CL159-CL160-CM159</f>
        <v>18.200000000000003</v>
      </c>
      <c r="CM157" s="1120">
        <f t="shared" si="316"/>
        <v>18.200000000000003</v>
      </c>
      <c r="CN157" s="1120">
        <f>CN156-CN158-CN159-CN160-CO159-CP160</f>
        <v>20.200000000000003</v>
      </c>
      <c r="CO157" s="1120">
        <f>CO156-CO158-CO159-CO160-CP160</f>
        <v>18.200000000000003</v>
      </c>
      <c r="CP157" s="1120">
        <f t="shared" si="316"/>
        <v>18.200000000000003</v>
      </c>
      <c r="CQ157" s="1120">
        <f t="shared" si="316"/>
        <v>23.7</v>
      </c>
      <c r="CR157" s="1120">
        <f t="shared" si="316"/>
        <v>8.9</v>
      </c>
      <c r="CS157" s="1120">
        <f t="shared" si="316"/>
        <v>11.9</v>
      </c>
      <c r="CT157" s="1120">
        <f t="shared" si="316"/>
        <v>14.1</v>
      </c>
      <c r="CU157" s="1120">
        <f t="shared" si="316"/>
        <v>17.200000000000003</v>
      </c>
      <c r="CV157" s="1120">
        <f>CV156-CV158-CV159-CV160-CU158</f>
        <v>56.2</v>
      </c>
      <c r="CW157" s="1120">
        <f>CW156-CW158-CW159-CW160-DB160</f>
        <v>18.200000000000003</v>
      </c>
      <c r="CX157" s="1120">
        <f>CX156-CX158-CX159-CX160-CW159-DB160</f>
        <v>20.200000000000003</v>
      </c>
      <c r="CY157" s="1120">
        <f>CY156-CY158-CY159-CY160-CZ158-DD159</f>
        <v>29.200000000000003</v>
      </c>
      <c r="CZ157" s="1120">
        <f>CZ156-CZ158-CZ159-CZ160-DD159</f>
        <v>18.200000000000003</v>
      </c>
      <c r="DA157" s="1120">
        <f>DA156-DA158-DA159-DA160-CW159-DB160</f>
        <v>19.200000000000003</v>
      </c>
      <c r="DB157" s="1120">
        <f t="shared" si="316"/>
        <v>18.200000000000003</v>
      </c>
      <c r="DC157" s="1120">
        <f t="shared" si="316"/>
        <v>24.2</v>
      </c>
      <c r="DD157" s="1120">
        <f t="shared" si="316"/>
        <v>18.200000000000003</v>
      </c>
      <c r="DE157" s="1120">
        <f t="shared" si="316"/>
        <v>8.9</v>
      </c>
      <c r="DF157" s="1120">
        <f t="shared" si="316"/>
        <v>1.8000000000000007</v>
      </c>
      <c r="DG157" s="1120">
        <f>DG156-DG158-DG159-DG160-DF158</f>
        <v>7.8000000000000007</v>
      </c>
      <c r="DH157" s="1120">
        <f t="shared" si="316"/>
        <v>1.5</v>
      </c>
      <c r="DI157" s="1120">
        <f>DI156-DI158-DI159-DI160-DH158</f>
        <v>6.5</v>
      </c>
      <c r="DJ157" s="1120">
        <f t="shared" si="316"/>
        <v>1.5</v>
      </c>
      <c r="DK157" s="1120">
        <f>DK156-DK158-DK159-DK160-DJ159</f>
        <v>1.5</v>
      </c>
      <c r="DL157" s="1120">
        <f>DL156-DL158-DL159-DL160-DK158-DJ159</f>
        <v>6.5</v>
      </c>
      <c r="DM157" s="1120">
        <f t="shared" si="316"/>
        <v>1.5</v>
      </c>
      <c r="DN157" s="1120">
        <f>DN156-DN158-DN159-DN160-DM158</f>
        <v>6.5</v>
      </c>
      <c r="DO157" s="1120">
        <f t="shared" si="316"/>
        <v>1.5</v>
      </c>
      <c r="DP157" s="1120">
        <f>DP156-DP158-DP159-DP160-DO159</f>
        <v>1.5</v>
      </c>
      <c r="DQ157" s="1120">
        <f>DQ156-DQ158-DQ159-DQ160-DP158-DO159</f>
        <v>6.5</v>
      </c>
      <c r="DR157" s="1120">
        <f t="shared" si="316"/>
        <v>1.5</v>
      </c>
      <c r="DS157" s="1120">
        <f>DS156-DS158-DS159-DS160-DR158</f>
        <v>8.5</v>
      </c>
      <c r="DT157" s="1120">
        <f t="shared" si="316"/>
        <v>1.5</v>
      </c>
      <c r="DU157" s="1120">
        <f>DU156-DU158-DU159-DU160-DT159</f>
        <v>1.5</v>
      </c>
      <c r="DV157" s="1120">
        <f>DV156-DV158-DV159-DV160-DT159-DU158</f>
        <v>8.5</v>
      </c>
      <c r="DW157" s="1120">
        <v>43</v>
      </c>
      <c r="DX157" s="1120">
        <v>35</v>
      </c>
      <c r="DY157" s="1120">
        <f t="shared" si="316"/>
        <v>8.6999999999999993</v>
      </c>
      <c r="DZ157" s="1120">
        <f t="shared" si="316"/>
        <v>8.6999999999999993</v>
      </c>
      <c r="EA157" s="1120">
        <f t="shared" si="316"/>
        <v>8.6999999999999993</v>
      </c>
      <c r="EB157" s="1120">
        <f t="shared" si="316"/>
        <v>8.6999999999999993</v>
      </c>
      <c r="EC157" s="1120">
        <f t="shared" si="316"/>
        <v>8.6999999999999993</v>
      </c>
      <c r="ED157" s="1120">
        <f t="shared" si="316"/>
        <v>8.6999999999999993</v>
      </c>
      <c r="EE157" s="1120">
        <f t="shared" si="316"/>
        <v>8.6999999999999993</v>
      </c>
      <c r="EF157" s="1120">
        <f t="shared" si="316"/>
        <v>8.6999999999999993</v>
      </c>
      <c r="EG157" s="1120">
        <f t="shared" si="316"/>
        <v>20.399999999999999</v>
      </c>
      <c r="EH157" s="1120">
        <f t="shared" si="316"/>
        <v>208.39999999999998</v>
      </c>
      <c r="EI157" s="1120">
        <f t="shared" si="316"/>
        <v>20.799999999999997</v>
      </c>
      <c r="EJ157" s="1120">
        <f t="shared" si="316"/>
        <v>53.599999999999994</v>
      </c>
      <c r="EK157" s="1120">
        <f t="shared" ref="EK157:GA157" si="317">EK156-EK158-EK159-EK160</f>
        <v>22.799999999999997</v>
      </c>
      <c r="EL157" s="1120">
        <f t="shared" si="317"/>
        <v>22.799999999999997</v>
      </c>
      <c r="EM157" s="1120">
        <f t="shared" si="317"/>
        <v>38.800000000000004</v>
      </c>
      <c r="EN157" s="1120">
        <f t="shared" si="317"/>
        <v>0</v>
      </c>
      <c r="EO157" s="1120">
        <f t="shared" si="317"/>
        <v>0</v>
      </c>
      <c r="EP157" s="1120">
        <f t="shared" si="317"/>
        <v>0</v>
      </c>
      <c r="EQ157" s="1120">
        <f t="shared" si="317"/>
        <v>0</v>
      </c>
      <c r="ER157" s="1120">
        <f t="shared" si="317"/>
        <v>0</v>
      </c>
      <c r="ES157" s="1120">
        <f t="shared" si="317"/>
        <v>0</v>
      </c>
      <c r="ET157" s="1120">
        <f t="shared" si="317"/>
        <v>0</v>
      </c>
      <c r="EU157" s="1120">
        <f t="shared" si="317"/>
        <v>0</v>
      </c>
      <c r="EV157" s="1120">
        <f t="shared" si="317"/>
        <v>0</v>
      </c>
      <c r="EW157" s="1120">
        <f t="shared" si="317"/>
        <v>0</v>
      </c>
      <c r="EX157" s="1120">
        <f t="shared" si="317"/>
        <v>0</v>
      </c>
      <c r="EY157" s="1120">
        <f t="shared" si="317"/>
        <v>0</v>
      </c>
      <c r="EZ157" s="1120">
        <f t="shared" si="317"/>
        <v>0</v>
      </c>
      <c r="FA157" s="1120">
        <f t="shared" si="317"/>
        <v>0</v>
      </c>
      <c r="FB157" s="1120">
        <f t="shared" si="317"/>
        <v>0</v>
      </c>
      <c r="FC157" s="1120">
        <f t="shared" si="317"/>
        <v>0</v>
      </c>
      <c r="FD157" s="1120">
        <f t="shared" si="317"/>
        <v>0</v>
      </c>
      <c r="FE157" s="1120">
        <f t="shared" si="317"/>
        <v>0</v>
      </c>
      <c r="FF157" s="1120">
        <f t="shared" si="317"/>
        <v>0</v>
      </c>
      <c r="FG157" s="1120">
        <f t="shared" si="317"/>
        <v>0</v>
      </c>
      <c r="FH157" s="1120">
        <f t="shared" si="317"/>
        <v>0</v>
      </c>
      <c r="FI157" s="1120">
        <f t="shared" si="317"/>
        <v>0</v>
      </c>
      <c r="FJ157" s="1120">
        <f t="shared" si="317"/>
        <v>0</v>
      </c>
      <c r="FK157" s="1120">
        <f t="shared" si="317"/>
        <v>0</v>
      </c>
      <c r="FL157" s="1120">
        <f t="shared" si="317"/>
        <v>0</v>
      </c>
      <c r="FM157" s="1120">
        <f t="shared" si="317"/>
        <v>0</v>
      </c>
      <c r="FN157" s="1120">
        <f t="shared" si="317"/>
        <v>0</v>
      </c>
      <c r="FO157" s="1120">
        <f t="shared" si="317"/>
        <v>0</v>
      </c>
      <c r="FP157" s="1120">
        <f t="shared" si="317"/>
        <v>0</v>
      </c>
      <c r="FQ157" s="1120">
        <f t="shared" si="317"/>
        <v>0</v>
      </c>
      <c r="FR157" s="1120">
        <f t="shared" si="317"/>
        <v>0</v>
      </c>
      <c r="FS157" s="1120">
        <f t="shared" si="317"/>
        <v>0</v>
      </c>
      <c r="FT157" s="1120">
        <f t="shared" si="317"/>
        <v>0</v>
      </c>
      <c r="FU157" s="1120">
        <f t="shared" si="317"/>
        <v>0</v>
      </c>
      <c r="FV157" s="1120">
        <f t="shared" si="317"/>
        <v>0</v>
      </c>
      <c r="FW157" s="1120">
        <f t="shared" si="317"/>
        <v>0</v>
      </c>
      <c r="FX157" s="1120">
        <f t="shared" si="317"/>
        <v>0</v>
      </c>
      <c r="FY157" s="1120">
        <f t="shared" si="317"/>
        <v>0</v>
      </c>
      <c r="FZ157" s="1120">
        <f t="shared" ref="FZ157" si="318">FZ156-FZ158-FZ159-FZ160</f>
        <v>0</v>
      </c>
      <c r="GA157" s="1120">
        <f t="shared" si="317"/>
        <v>12</v>
      </c>
      <c r="GB157" s="1121"/>
    </row>
    <row r="158" spans="3:184" s="1129" customFormat="1">
      <c r="C158" s="1122"/>
      <c r="D158" s="1123" t="s">
        <v>2271</v>
      </c>
      <c r="E158" s="1124" t="s">
        <v>2264</v>
      </c>
      <c r="F158" s="1124"/>
      <c r="G158" s="1125"/>
      <c r="H158" s="1125"/>
      <c r="I158" s="1125"/>
      <c r="J158" s="1160">
        <f t="shared" si="295"/>
        <v>822.5</v>
      </c>
      <c r="K158" s="1668"/>
      <c r="L158" s="1127">
        <v>1</v>
      </c>
      <c r="M158" s="1127"/>
      <c r="N158" s="1125"/>
      <c r="O158" s="1127">
        <v>21</v>
      </c>
      <c r="P158" s="1125"/>
      <c r="Q158" s="1127"/>
      <c r="R158" s="1125">
        <v>7</v>
      </c>
      <c r="S158" s="1127"/>
      <c r="T158" s="1125"/>
      <c r="U158" s="1127"/>
      <c r="V158" s="1127">
        <v>18</v>
      </c>
      <c r="W158" s="1125"/>
      <c r="X158" s="1127"/>
      <c r="Y158" s="1125"/>
      <c r="Z158" s="1125">
        <v>18</v>
      </c>
      <c r="AA158" s="1127"/>
      <c r="AB158" s="1125"/>
      <c r="AC158" s="1127">
        <v>12</v>
      </c>
      <c r="AD158" s="1125"/>
      <c r="AE158" s="1127"/>
      <c r="AF158" s="1125">
        <v>6</v>
      </c>
      <c r="AG158" s="1125"/>
      <c r="AH158" s="1125"/>
      <c r="AI158" s="1125">
        <v>8</v>
      </c>
      <c r="AJ158" s="1127"/>
      <c r="AK158" s="1125">
        <v>35</v>
      </c>
      <c r="AL158" s="1125"/>
      <c r="AM158" s="1125">
        <v>26</v>
      </c>
      <c r="AN158" s="1125"/>
      <c r="AO158" s="1125"/>
      <c r="AP158" s="1125">
        <v>29</v>
      </c>
      <c r="AQ158" s="1125"/>
      <c r="AR158" s="1125"/>
      <c r="AS158" s="1125"/>
      <c r="AT158" s="1125"/>
      <c r="AU158" s="1125">
        <v>13</v>
      </c>
      <c r="AV158" s="1125"/>
      <c r="AW158" s="1125"/>
      <c r="AX158" s="1125"/>
      <c r="AY158" s="1125">
        <v>33</v>
      </c>
      <c r="AZ158" s="1125"/>
      <c r="BA158" s="1125">
        <v>6</v>
      </c>
      <c r="BB158" s="1125">
        <v>30</v>
      </c>
      <c r="BC158" s="1125"/>
      <c r="BD158" s="1125"/>
      <c r="BE158" s="1127">
        <v>47</v>
      </c>
      <c r="BF158" s="1125"/>
      <c r="BG158" s="1125">
        <v>34</v>
      </c>
      <c r="BH158" s="1125"/>
      <c r="BI158" s="1125">
        <v>35</v>
      </c>
      <c r="BJ158" s="1127"/>
      <c r="BK158" s="1127">
        <v>18</v>
      </c>
      <c r="BL158" s="1127"/>
      <c r="BM158" s="1127"/>
      <c r="BN158" s="1127">
        <v>20</v>
      </c>
      <c r="BO158" s="1127"/>
      <c r="BP158" s="1127">
        <v>15</v>
      </c>
      <c r="BQ158" s="1127"/>
      <c r="BR158" s="1127">
        <v>12</v>
      </c>
      <c r="BS158" s="1127"/>
      <c r="BT158" s="1127">
        <v>35</v>
      </c>
      <c r="BU158" s="1127"/>
      <c r="BV158" s="1127"/>
      <c r="BW158" s="1127">
        <v>22</v>
      </c>
      <c r="BX158" s="1127">
        <v>29</v>
      </c>
      <c r="BY158" s="1127"/>
      <c r="BZ158" s="1127">
        <v>15</v>
      </c>
      <c r="CA158" s="1127"/>
      <c r="CB158" s="1127"/>
      <c r="CC158" s="1127"/>
      <c r="CD158" s="1127">
        <v>13</v>
      </c>
      <c r="CE158" s="1127"/>
      <c r="CF158" s="1127"/>
      <c r="CG158" s="1127"/>
      <c r="CH158" s="1127">
        <v>16</v>
      </c>
      <c r="CI158" s="1127"/>
      <c r="CJ158" s="1127"/>
      <c r="CK158" s="1127"/>
      <c r="CL158" s="1127">
        <v>39</v>
      </c>
      <c r="CM158" s="1127"/>
      <c r="CN158" s="1127"/>
      <c r="CO158" s="1127"/>
      <c r="CP158" s="1127"/>
      <c r="CQ158" s="1127"/>
      <c r="CR158" s="1127"/>
      <c r="CS158" s="1127"/>
      <c r="CT158" s="1127"/>
      <c r="CU158" s="1127">
        <v>15</v>
      </c>
      <c r="CV158" s="1127"/>
      <c r="CW158" s="1127"/>
      <c r="CX158" s="1127"/>
      <c r="CY158" s="1127"/>
      <c r="CZ158" s="1127">
        <v>41</v>
      </c>
      <c r="DA158" s="1127"/>
      <c r="DB158" s="1127"/>
      <c r="DC158" s="1127"/>
      <c r="DD158" s="1127"/>
      <c r="DE158" s="1127"/>
      <c r="DF158" s="1127">
        <v>12</v>
      </c>
      <c r="DG158" s="1127"/>
      <c r="DH158" s="1127">
        <v>16</v>
      </c>
      <c r="DI158" s="1127"/>
      <c r="DJ158" s="1127"/>
      <c r="DK158" s="1127">
        <v>5</v>
      </c>
      <c r="DL158" s="1127"/>
      <c r="DM158" s="1127">
        <v>16</v>
      </c>
      <c r="DN158" s="1127"/>
      <c r="DO158" s="1127"/>
      <c r="DP158" s="1127">
        <v>5</v>
      </c>
      <c r="DQ158" s="1127"/>
      <c r="DR158" s="1127">
        <v>10</v>
      </c>
      <c r="DS158" s="1127"/>
      <c r="DT158" s="1127"/>
      <c r="DU158" s="1127">
        <v>6</v>
      </c>
      <c r="DV158" s="1127"/>
      <c r="DW158" s="1127">
        <v>44.5</v>
      </c>
      <c r="DX158" s="1127">
        <v>39</v>
      </c>
      <c r="DY158" s="1127"/>
      <c r="DZ158" s="1127"/>
      <c r="EA158" s="1127"/>
      <c r="EB158" s="1127"/>
      <c r="EC158" s="1127"/>
      <c r="ED158" s="1127"/>
      <c r="EE158" s="1127"/>
      <c r="EF158" s="1127"/>
      <c r="EG158" s="1125"/>
      <c r="EH158" s="1125"/>
      <c r="EI158" s="1125"/>
      <c r="EJ158" s="1125"/>
      <c r="EK158" s="1125"/>
      <c r="EL158" s="1125"/>
      <c r="EM158" s="1125"/>
      <c r="EN158" s="1125"/>
      <c r="EO158" s="1125"/>
      <c r="EP158" s="1125"/>
      <c r="EQ158" s="1125"/>
      <c r="ER158" s="1125"/>
      <c r="ES158" s="1125"/>
      <c r="ET158" s="1125"/>
      <c r="EU158" s="1125"/>
      <c r="EV158" s="1125"/>
      <c r="EW158" s="1125"/>
      <c r="EX158" s="1125"/>
      <c r="EY158" s="1125"/>
      <c r="EZ158" s="1125"/>
      <c r="FA158" s="1125"/>
      <c r="FB158" s="1125"/>
      <c r="FC158" s="1125"/>
      <c r="FD158" s="1125"/>
      <c r="FE158" s="1125"/>
      <c r="FF158" s="1125"/>
      <c r="FG158" s="1125"/>
      <c r="FH158" s="1125"/>
      <c r="FI158" s="1125"/>
      <c r="FJ158" s="1125"/>
      <c r="FK158" s="1125"/>
      <c r="FL158" s="1125"/>
      <c r="FM158" s="1125"/>
      <c r="FN158" s="1125"/>
      <c r="FO158" s="1125"/>
      <c r="FP158" s="1125"/>
      <c r="FQ158" s="1125"/>
      <c r="FR158" s="1125"/>
      <c r="FS158" s="1125"/>
      <c r="FT158" s="1125"/>
      <c r="FU158" s="1125"/>
      <c r="FV158" s="1125"/>
      <c r="FW158" s="1125"/>
      <c r="FX158" s="1125"/>
      <c r="FY158" s="1125"/>
      <c r="FZ158" s="1125"/>
      <c r="GA158" s="1125"/>
      <c r="GB158" s="1128"/>
    </row>
    <row r="159" spans="3:184" s="1009" customFormat="1">
      <c r="C159" s="1157"/>
      <c r="D159" s="1130" t="s">
        <v>2271</v>
      </c>
      <c r="E159" s="1131" t="s">
        <v>2265</v>
      </c>
      <c r="F159" s="1131"/>
      <c r="G159" s="1134"/>
      <c r="H159" s="1134"/>
      <c r="I159" s="1134"/>
      <c r="J159" s="1583">
        <f t="shared" si="295"/>
        <v>347</v>
      </c>
      <c r="K159" s="1669"/>
      <c r="L159" s="1134"/>
      <c r="M159" s="1134"/>
      <c r="N159" s="1134"/>
      <c r="O159" s="1134"/>
      <c r="P159" s="1134"/>
      <c r="Q159" s="1134">
        <v>7</v>
      </c>
      <c r="R159" s="1134"/>
      <c r="S159" s="1134"/>
      <c r="T159" s="1134"/>
      <c r="U159" s="1134">
        <v>3</v>
      </c>
      <c r="V159" s="1134"/>
      <c r="W159" s="1134"/>
      <c r="X159" s="1134"/>
      <c r="Y159" s="1134">
        <v>3</v>
      </c>
      <c r="Z159" s="1134"/>
      <c r="AA159" s="1134"/>
      <c r="AB159" s="1134">
        <v>19</v>
      </c>
      <c r="AC159" s="1134"/>
      <c r="AD159" s="1134"/>
      <c r="AE159" s="1134">
        <v>7</v>
      </c>
      <c r="AF159" s="1134"/>
      <c r="AG159" s="1134"/>
      <c r="AH159" s="1134">
        <v>14</v>
      </c>
      <c r="AI159" s="1134"/>
      <c r="AJ159" s="1134"/>
      <c r="AK159" s="1134"/>
      <c r="AL159" s="1134"/>
      <c r="AM159" s="1134"/>
      <c r="AN159" s="1134"/>
      <c r="AO159" s="1134"/>
      <c r="AP159" s="1134"/>
      <c r="AQ159" s="1134">
        <v>24</v>
      </c>
      <c r="AR159" s="1134"/>
      <c r="AS159" s="1134"/>
      <c r="AT159" s="1134">
        <v>6</v>
      </c>
      <c r="AU159" s="1134"/>
      <c r="AV159" s="1134"/>
      <c r="AW159" s="1134"/>
      <c r="AX159" s="1134"/>
      <c r="AY159" s="1134"/>
      <c r="AZ159" s="1134"/>
      <c r="BA159" s="1134"/>
      <c r="BB159" s="1134"/>
      <c r="BC159" s="1134"/>
      <c r="BD159" s="1134"/>
      <c r="BE159" s="1134"/>
      <c r="BF159" s="1134"/>
      <c r="BG159" s="1134"/>
      <c r="BH159" s="1134"/>
      <c r="BI159" s="1134"/>
      <c r="BJ159" s="1134"/>
      <c r="BK159" s="1134"/>
      <c r="BL159" s="1134"/>
      <c r="BM159" s="1134">
        <v>8</v>
      </c>
      <c r="BN159" s="1134"/>
      <c r="BO159" s="1134"/>
      <c r="BP159" s="1134"/>
      <c r="BQ159" s="1134"/>
      <c r="BR159" s="1134"/>
      <c r="BS159" s="1134"/>
      <c r="BT159" s="1134"/>
      <c r="BU159" s="1134"/>
      <c r="BV159" s="1134"/>
      <c r="BW159" s="1134"/>
      <c r="BX159" s="1134"/>
      <c r="BY159" s="1134"/>
      <c r="BZ159" s="1134"/>
      <c r="CA159" s="1134"/>
      <c r="CB159" s="1134">
        <v>22</v>
      </c>
      <c r="CC159" s="1134">
        <v>7</v>
      </c>
      <c r="CD159" s="1134"/>
      <c r="CE159" s="1134"/>
      <c r="CF159" s="1134"/>
      <c r="CG159" s="1134"/>
      <c r="CH159" s="1134"/>
      <c r="CI159" s="1134"/>
      <c r="CJ159" s="1134"/>
      <c r="CK159" s="1134"/>
      <c r="CL159" s="1134"/>
      <c r="CM159" s="1134">
        <v>48</v>
      </c>
      <c r="CN159" s="1134"/>
      <c r="CO159" s="1134">
        <v>33</v>
      </c>
      <c r="CP159" s="1134"/>
      <c r="CQ159" s="1134"/>
      <c r="CR159" s="1134"/>
      <c r="CS159" s="1134"/>
      <c r="CT159" s="1134"/>
      <c r="CU159" s="1134"/>
      <c r="CV159" s="1134"/>
      <c r="CW159" s="1134">
        <v>33</v>
      </c>
      <c r="CX159" s="1134"/>
      <c r="CY159" s="1134"/>
      <c r="CZ159" s="1134"/>
      <c r="DA159" s="1134"/>
      <c r="DB159" s="1134"/>
      <c r="DC159" s="1134"/>
      <c r="DD159" s="1134">
        <v>44</v>
      </c>
      <c r="DE159" s="1134"/>
      <c r="DF159" s="1134"/>
      <c r="DG159" s="1134"/>
      <c r="DH159" s="1134"/>
      <c r="DI159" s="1134"/>
      <c r="DJ159" s="1134">
        <v>24</v>
      </c>
      <c r="DK159" s="1134"/>
      <c r="DL159" s="1134"/>
      <c r="DM159" s="1134"/>
      <c r="DN159" s="1134"/>
      <c r="DO159" s="1134">
        <v>24</v>
      </c>
      <c r="DP159" s="1134"/>
      <c r="DQ159" s="1134"/>
      <c r="DR159" s="1134"/>
      <c r="DS159" s="1134"/>
      <c r="DT159" s="1134">
        <v>21</v>
      </c>
      <c r="DU159" s="1134"/>
      <c r="DV159" s="1134"/>
      <c r="DW159" s="1134"/>
      <c r="DX159" s="1134"/>
      <c r="DY159" s="1134"/>
      <c r="DZ159" s="1134"/>
      <c r="EA159" s="1134"/>
      <c r="EB159" s="1134"/>
      <c r="EC159" s="1134"/>
      <c r="ED159" s="1134"/>
      <c r="EE159" s="1134"/>
      <c r="EF159" s="1134"/>
      <c r="EG159" s="1134"/>
      <c r="EH159" s="1134"/>
      <c r="EI159" s="1134"/>
      <c r="EJ159" s="1134"/>
      <c r="EK159" s="1134"/>
      <c r="EL159" s="1134"/>
      <c r="EM159" s="1134"/>
      <c r="EN159" s="1134"/>
      <c r="EO159" s="1134"/>
      <c r="EP159" s="1134"/>
      <c r="EQ159" s="1134"/>
      <c r="ER159" s="1134"/>
      <c r="ES159" s="1134"/>
      <c r="ET159" s="1134"/>
      <c r="EU159" s="1134"/>
      <c r="EV159" s="1134"/>
      <c r="EW159" s="1134"/>
      <c r="EX159" s="1134"/>
      <c r="EY159" s="1134"/>
      <c r="EZ159" s="1134"/>
      <c r="FA159" s="1134"/>
      <c r="FB159" s="1134"/>
      <c r="FC159" s="1134"/>
      <c r="FD159" s="1134"/>
      <c r="FE159" s="1134"/>
      <c r="FF159" s="1134"/>
      <c r="FG159" s="1134"/>
      <c r="FH159" s="1134"/>
      <c r="FI159" s="1134"/>
      <c r="FJ159" s="1134"/>
      <c r="FK159" s="1134"/>
      <c r="FL159" s="1134"/>
      <c r="FM159" s="1134"/>
      <c r="FN159" s="1134"/>
      <c r="FO159" s="1134"/>
      <c r="FP159" s="1134"/>
      <c r="FQ159" s="1134"/>
      <c r="FR159" s="1134"/>
      <c r="FS159" s="1134"/>
      <c r="FT159" s="1134"/>
      <c r="FU159" s="1134"/>
      <c r="FV159" s="1134"/>
      <c r="FW159" s="1134"/>
      <c r="FX159" s="1134"/>
      <c r="FY159" s="1134"/>
      <c r="FZ159" s="1134"/>
      <c r="GA159" s="1134"/>
      <c r="GB159" s="1158"/>
    </row>
    <row r="160" spans="3:184" s="1581" customFormat="1">
      <c r="C160" s="1579"/>
      <c r="D160" s="1137" t="s">
        <v>2271</v>
      </c>
      <c r="E160" s="1138" t="s">
        <v>2267</v>
      </c>
      <c r="F160" s="1138"/>
      <c r="G160" s="1139"/>
      <c r="H160" s="1139"/>
      <c r="I160" s="1139"/>
      <c r="J160" s="1584">
        <f t="shared" si="295"/>
        <v>71</v>
      </c>
      <c r="K160" s="1670"/>
      <c r="L160" s="1139"/>
      <c r="M160" s="1139"/>
      <c r="N160" s="1139"/>
      <c r="O160" s="1139"/>
      <c r="P160" s="1139"/>
      <c r="Q160" s="1139"/>
      <c r="R160" s="1139"/>
      <c r="S160" s="1139"/>
      <c r="T160" s="1139">
        <v>20</v>
      </c>
      <c r="U160" s="1139"/>
      <c r="V160" s="1139"/>
      <c r="W160" s="1139"/>
      <c r="X160" s="1139">
        <v>19</v>
      </c>
      <c r="Y160" s="1139"/>
      <c r="Z160" s="1139"/>
      <c r="AA160" s="1139"/>
      <c r="AB160" s="1139"/>
      <c r="AC160" s="1139"/>
      <c r="AD160" s="1139"/>
      <c r="AE160" s="1139"/>
      <c r="AF160" s="1139"/>
      <c r="AG160" s="1139"/>
      <c r="AH160" s="1139"/>
      <c r="AI160" s="1139"/>
      <c r="AJ160" s="1139"/>
      <c r="AK160" s="1139"/>
      <c r="AL160" s="1139"/>
      <c r="AM160" s="1139"/>
      <c r="AN160" s="1139"/>
      <c r="AO160" s="1139"/>
      <c r="AP160" s="1139"/>
      <c r="AQ160" s="1139"/>
      <c r="AR160" s="1139"/>
      <c r="AS160" s="1139"/>
      <c r="AT160" s="1139"/>
      <c r="AU160" s="1139"/>
      <c r="AV160" s="1139"/>
      <c r="AW160" s="1139"/>
      <c r="AX160" s="1139"/>
      <c r="AY160" s="1139"/>
      <c r="AZ160" s="1139"/>
      <c r="BA160" s="1139"/>
      <c r="BB160" s="1139"/>
      <c r="BC160" s="1139"/>
      <c r="BD160" s="1139"/>
      <c r="BE160" s="1139"/>
      <c r="BF160" s="1139"/>
      <c r="BG160" s="1139"/>
      <c r="BH160" s="1139"/>
      <c r="BI160" s="1139"/>
      <c r="BJ160" s="1139"/>
      <c r="BK160" s="1139"/>
      <c r="BL160" s="1139"/>
      <c r="BM160" s="1139"/>
      <c r="BN160" s="1139"/>
      <c r="BO160" s="1139"/>
      <c r="BP160" s="1139"/>
      <c r="BQ160" s="1139"/>
      <c r="BR160" s="1139"/>
      <c r="BS160" s="1139"/>
      <c r="BT160" s="1139"/>
      <c r="BU160" s="1139"/>
      <c r="BV160" s="1139"/>
      <c r="BW160" s="1139"/>
      <c r="BX160" s="1139"/>
      <c r="BY160" s="1139"/>
      <c r="BZ160" s="1139"/>
      <c r="CA160" s="1139"/>
      <c r="CB160" s="1139"/>
      <c r="CC160" s="1139"/>
      <c r="CD160" s="1139"/>
      <c r="CE160" s="1139"/>
      <c r="CF160" s="1139"/>
      <c r="CG160" s="1139"/>
      <c r="CH160" s="1139"/>
      <c r="CI160" s="1139"/>
      <c r="CJ160" s="1139"/>
      <c r="CK160" s="1139"/>
      <c r="CL160" s="1139"/>
      <c r="CM160" s="1139"/>
      <c r="CN160" s="1139"/>
      <c r="CO160" s="1139"/>
      <c r="CP160" s="1139">
        <v>16</v>
      </c>
      <c r="CQ160" s="1139"/>
      <c r="CR160" s="1139"/>
      <c r="CS160" s="1139"/>
      <c r="CT160" s="1139"/>
      <c r="CU160" s="1139"/>
      <c r="CV160" s="1139"/>
      <c r="CW160" s="1139"/>
      <c r="CX160" s="1139"/>
      <c r="CY160" s="1139"/>
      <c r="CZ160" s="1139"/>
      <c r="DA160" s="1139"/>
      <c r="DB160" s="1139">
        <v>16</v>
      </c>
      <c r="DC160" s="1139"/>
      <c r="DD160" s="1139"/>
      <c r="DE160" s="1139"/>
      <c r="DF160" s="1139"/>
      <c r="DG160" s="1139"/>
      <c r="DH160" s="1139"/>
      <c r="DI160" s="1139"/>
      <c r="DJ160" s="1139"/>
      <c r="DK160" s="1139"/>
      <c r="DL160" s="1139"/>
      <c r="DM160" s="1139"/>
      <c r="DN160" s="1139"/>
      <c r="DO160" s="1139"/>
      <c r="DP160" s="1139"/>
      <c r="DQ160" s="1139"/>
      <c r="DR160" s="1139"/>
      <c r="DS160" s="1139"/>
      <c r="DT160" s="1139"/>
      <c r="DU160" s="1139"/>
      <c r="DV160" s="1139"/>
      <c r="DW160" s="1139"/>
      <c r="DX160" s="1139"/>
      <c r="DY160" s="1139"/>
      <c r="DZ160" s="1139"/>
      <c r="EA160" s="1139"/>
      <c r="EB160" s="1139"/>
      <c r="EC160" s="1139"/>
      <c r="ED160" s="1139"/>
      <c r="EE160" s="1139"/>
      <c r="EF160" s="1139"/>
      <c r="EG160" s="1139"/>
      <c r="EH160" s="1139"/>
      <c r="EI160" s="1139"/>
      <c r="EJ160" s="1139"/>
      <c r="EK160" s="1139"/>
      <c r="EL160" s="1139"/>
      <c r="EM160" s="1139"/>
      <c r="EN160" s="1139"/>
      <c r="EO160" s="1139"/>
      <c r="EP160" s="1139"/>
      <c r="EQ160" s="1139"/>
      <c r="ER160" s="1139"/>
      <c r="ES160" s="1139"/>
      <c r="ET160" s="1139"/>
      <c r="EU160" s="1139"/>
      <c r="EV160" s="1139"/>
      <c r="EW160" s="1139"/>
      <c r="EX160" s="1139"/>
      <c r="EY160" s="1139"/>
      <c r="EZ160" s="1139"/>
      <c r="FA160" s="1139"/>
      <c r="FB160" s="1139"/>
      <c r="FC160" s="1139"/>
      <c r="FD160" s="1139"/>
      <c r="FE160" s="1139"/>
      <c r="FF160" s="1139"/>
      <c r="FG160" s="1139"/>
      <c r="FH160" s="1139"/>
      <c r="FI160" s="1139"/>
      <c r="FJ160" s="1139"/>
      <c r="FK160" s="1139"/>
      <c r="FL160" s="1139"/>
      <c r="FM160" s="1139"/>
      <c r="FN160" s="1139"/>
      <c r="FO160" s="1139"/>
      <c r="FP160" s="1139"/>
      <c r="FQ160" s="1139"/>
      <c r="FR160" s="1139"/>
      <c r="FS160" s="1139"/>
      <c r="FT160" s="1139"/>
      <c r="FU160" s="1139"/>
      <c r="FV160" s="1139"/>
      <c r="FW160" s="1139"/>
      <c r="FX160" s="1139"/>
      <c r="FY160" s="1139"/>
      <c r="FZ160" s="1139"/>
      <c r="GA160" s="1139"/>
      <c r="GB160" s="1580"/>
    </row>
    <row r="161" spans="3:184">
      <c r="C161" s="1115"/>
      <c r="D161" s="1117"/>
      <c r="E161" s="1117" t="s">
        <v>1611</v>
      </c>
      <c r="F161" s="1117"/>
      <c r="G161" s="1118"/>
      <c r="H161" s="1118"/>
      <c r="I161" s="1118"/>
      <c r="J161" s="1149">
        <f t="shared" si="295"/>
        <v>3597.6999999999985</v>
      </c>
      <c r="K161" s="1148"/>
      <c r="L161" s="1148">
        <f>L157+L158+L159+L160</f>
        <v>3</v>
      </c>
      <c r="M161" s="1148">
        <f t="shared" ref="M161:N161" si="319">M157+M158+M159+M160</f>
        <v>7.5</v>
      </c>
      <c r="N161" s="1148">
        <f t="shared" si="319"/>
        <v>11.9</v>
      </c>
      <c r="O161" s="1148">
        <f>O157+O158+O159+O160</f>
        <v>22.9</v>
      </c>
      <c r="P161" s="1148">
        <f t="shared" ref="P161:EH161" si="320">P157+P158+P159+P160</f>
        <v>5.8999999999999986</v>
      </c>
      <c r="Q161" s="1148">
        <f t="shared" si="320"/>
        <v>16.2</v>
      </c>
      <c r="R161" s="1148">
        <f t="shared" si="320"/>
        <v>15.899999999999999</v>
      </c>
      <c r="S161" s="1148">
        <f t="shared" si="320"/>
        <v>16.2</v>
      </c>
      <c r="T161" s="1148">
        <f t="shared" si="320"/>
        <v>28.7</v>
      </c>
      <c r="U161" s="1148">
        <f t="shared" si="320"/>
        <v>11.7</v>
      </c>
      <c r="V161" s="1148">
        <f t="shared" si="320"/>
        <v>26.200000000000003</v>
      </c>
      <c r="W161" s="1148">
        <f t="shared" si="320"/>
        <v>10.200000000000003</v>
      </c>
      <c r="X161" s="1148">
        <f t="shared" si="320"/>
        <v>28.2</v>
      </c>
      <c r="Y161" s="1148">
        <f t="shared" si="320"/>
        <v>11.7</v>
      </c>
      <c r="Z161" s="1148">
        <f t="shared" si="320"/>
        <v>26.700000000000003</v>
      </c>
      <c r="AA161" s="1148">
        <f t="shared" si="320"/>
        <v>11.200000000000003</v>
      </c>
      <c r="AB161" s="1148">
        <f t="shared" si="320"/>
        <v>28.2</v>
      </c>
      <c r="AC161" s="1148">
        <f t="shared" si="320"/>
        <v>21.200000000000003</v>
      </c>
      <c r="AD161" s="1148">
        <f t="shared" si="320"/>
        <v>21.200000000000003</v>
      </c>
      <c r="AE161" s="1148">
        <f t="shared" si="320"/>
        <v>8.9</v>
      </c>
      <c r="AF161" s="1148">
        <f t="shared" si="320"/>
        <v>7.9</v>
      </c>
      <c r="AG161" s="1148">
        <f t="shared" si="320"/>
        <v>18.899999999999999</v>
      </c>
      <c r="AH161" s="1148">
        <f t="shared" si="320"/>
        <v>15.9</v>
      </c>
      <c r="AI161" s="1148">
        <f t="shared" si="320"/>
        <v>9.8999999999999986</v>
      </c>
      <c r="AJ161" s="1148">
        <f t="shared" si="320"/>
        <v>22.4</v>
      </c>
      <c r="AK161" s="1148">
        <f t="shared" ref="AK161:BP161" si="321">AK157+AK158+AK159+AK160</f>
        <v>44.2</v>
      </c>
      <c r="AL161" s="1148">
        <f t="shared" si="321"/>
        <v>42.2</v>
      </c>
      <c r="AM161" s="1148">
        <f t="shared" si="321"/>
        <v>35.200000000000003</v>
      </c>
      <c r="AN161" s="1148">
        <f t="shared" si="321"/>
        <v>11.200000000000003</v>
      </c>
      <c r="AO161" s="1148">
        <f t="shared" ref="AO161:BC161" si="322">AO157+AO158+AO159+AO160</f>
        <v>11.200000000000003</v>
      </c>
      <c r="AP161" s="1148">
        <f t="shared" si="322"/>
        <v>38.200000000000003</v>
      </c>
      <c r="AQ161" s="1148">
        <f t="shared" si="322"/>
        <v>33.200000000000003</v>
      </c>
      <c r="AR161" s="1148">
        <f t="shared" si="322"/>
        <v>11.200000000000003</v>
      </c>
      <c r="AS161" s="1148">
        <f t="shared" si="322"/>
        <v>59.2</v>
      </c>
      <c r="AT161" s="1148">
        <f t="shared" si="322"/>
        <v>15.2</v>
      </c>
      <c r="AU161" s="1148">
        <f t="shared" si="322"/>
        <v>22.2</v>
      </c>
      <c r="AV161" s="1148">
        <f t="shared" si="322"/>
        <v>57.2</v>
      </c>
      <c r="AW161" s="1148">
        <f t="shared" si="322"/>
        <v>12.9</v>
      </c>
      <c r="AX161" s="1148">
        <f t="shared" si="322"/>
        <v>12.9</v>
      </c>
      <c r="AY161" s="1148">
        <f t="shared" si="322"/>
        <v>34.9</v>
      </c>
      <c r="AZ161" s="1148">
        <f t="shared" si="322"/>
        <v>36.900000000000006</v>
      </c>
      <c r="BA161" s="1148">
        <f t="shared" si="322"/>
        <v>12.9</v>
      </c>
      <c r="BB161" s="1148">
        <f t="shared" si="322"/>
        <v>36.9</v>
      </c>
      <c r="BC161" s="1148">
        <f t="shared" si="322"/>
        <v>46.900000000000006</v>
      </c>
      <c r="BD161" s="1148">
        <f t="shared" si="321"/>
        <v>32.200000000000003</v>
      </c>
      <c r="BE161" s="1148">
        <f t="shared" si="321"/>
        <v>56.2</v>
      </c>
      <c r="BF161" s="1148">
        <f t="shared" si="321"/>
        <v>53.2</v>
      </c>
      <c r="BG161" s="1148">
        <f t="shared" si="321"/>
        <v>43.2</v>
      </c>
      <c r="BH161" s="1148">
        <f t="shared" si="321"/>
        <v>53.2</v>
      </c>
      <c r="BI161" s="1148">
        <f t="shared" si="321"/>
        <v>44.2</v>
      </c>
      <c r="BJ161" s="1148">
        <f t="shared" si="321"/>
        <v>59.2</v>
      </c>
      <c r="BK161" s="1148">
        <f t="shared" si="321"/>
        <v>27.2</v>
      </c>
      <c r="BL161" s="1148">
        <f t="shared" si="321"/>
        <v>56.2</v>
      </c>
      <c r="BM161" s="1148">
        <f t="shared" si="321"/>
        <v>9.9</v>
      </c>
      <c r="BN161" s="1148">
        <f t="shared" si="321"/>
        <v>21.9</v>
      </c>
      <c r="BO161" s="1148">
        <f t="shared" si="321"/>
        <v>15.899999999999999</v>
      </c>
      <c r="BP161" s="1148">
        <f t="shared" si="321"/>
        <v>16.899999999999999</v>
      </c>
      <c r="BQ161" s="1148">
        <f t="shared" ref="BQ161:EA161" si="323">BQ157+BQ158+BQ159+BQ160</f>
        <v>21.9</v>
      </c>
      <c r="BR161" s="1148">
        <f t="shared" si="323"/>
        <v>13.9</v>
      </c>
      <c r="BS161" s="1148">
        <f t="shared" si="323"/>
        <v>18.899999999999999</v>
      </c>
      <c r="BT161" s="1148">
        <f t="shared" si="323"/>
        <v>44.2</v>
      </c>
      <c r="BU161" s="1148">
        <f t="shared" si="323"/>
        <v>42.2</v>
      </c>
      <c r="BV161" s="1148">
        <f t="shared" si="323"/>
        <v>23.200000000000003</v>
      </c>
      <c r="BW161" s="1148">
        <f t="shared" si="323"/>
        <v>31.2</v>
      </c>
      <c r="BX161" s="1148">
        <f t="shared" si="323"/>
        <v>38.200000000000003</v>
      </c>
      <c r="BY161" s="1148">
        <f t="shared" si="323"/>
        <v>11.200000000000003</v>
      </c>
      <c r="BZ161" s="1148">
        <f t="shared" si="323"/>
        <v>24.200000000000003</v>
      </c>
      <c r="CA161" s="1148">
        <f t="shared" si="323"/>
        <v>57.2</v>
      </c>
      <c r="CB161" s="1148">
        <f t="shared" si="323"/>
        <v>31.2</v>
      </c>
      <c r="CC161" s="1148">
        <f t="shared" si="323"/>
        <v>16.2</v>
      </c>
      <c r="CD161" s="1148">
        <f t="shared" si="323"/>
        <v>22.2</v>
      </c>
      <c r="CE161" s="1148">
        <f t="shared" si="323"/>
        <v>56.2</v>
      </c>
      <c r="CF161" s="1148">
        <f t="shared" si="323"/>
        <v>8.9</v>
      </c>
      <c r="CG161" s="1148">
        <f t="shared" ref="CG161:CI161" si="324">CG157+CG158+CG159+CG160</f>
        <v>11.9</v>
      </c>
      <c r="CH161" s="1148">
        <f t="shared" si="324"/>
        <v>33.200000000000003</v>
      </c>
      <c r="CI161" s="1148">
        <f t="shared" si="324"/>
        <v>52.2</v>
      </c>
      <c r="CJ161" s="1148">
        <f t="shared" ref="CJ161:CO161" si="325">CJ157+CJ158+CJ159+CJ160</f>
        <v>17.200000000000003</v>
      </c>
      <c r="CK161" s="1148">
        <f t="shared" si="325"/>
        <v>29.200000000000003</v>
      </c>
      <c r="CL161" s="1148">
        <f t="shared" si="325"/>
        <v>57.2</v>
      </c>
      <c r="CM161" s="1148">
        <f t="shared" si="325"/>
        <v>66.2</v>
      </c>
      <c r="CN161" s="1148">
        <f t="shared" si="325"/>
        <v>20.200000000000003</v>
      </c>
      <c r="CO161" s="1148">
        <f t="shared" si="325"/>
        <v>51.2</v>
      </c>
      <c r="CP161" s="1148">
        <f t="shared" ref="CP161:DA161" si="326">CP157+CP158+CP159+CP160</f>
        <v>34.200000000000003</v>
      </c>
      <c r="CQ161" s="1148">
        <f t="shared" si="326"/>
        <v>23.7</v>
      </c>
      <c r="CR161" s="1148">
        <f t="shared" si="326"/>
        <v>8.9</v>
      </c>
      <c r="CS161" s="1148">
        <f t="shared" si="326"/>
        <v>11.9</v>
      </c>
      <c r="CT161" s="1148">
        <f t="shared" si="326"/>
        <v>14.1</v>
      </c>
      <c r="CU161" s="1148">
        <f t="shared" si="326"/>
        <v>32.200000000000003</v>
      </c>
      <c r="CV161" s="1148">
        <f t="shared" si="326"/>
        <v>56.2</v>
      </c>
      <c r="CW161" s="1148">
        <f t="shared" si="326"/>
        <v>51.2</v>
      </c>
      <c r="CX161" s="1148">
        <f t="shared" si="326"/>
        <v>20.200000000000003</v>
      </c>
      <c r="CY161" s="1148">
        <f t="shared" si="326"/>
        <v>29.200000000000003</v>
      </c>
      <c r="CZ161" s="1148">
        <f t="shared" si="326"/>
        <v>59.2</v>
      </c>
      <c r="DA161" s="1148">
        <f t="shared" si="326"/>
        <v>19.200000000000003</v>
      </c>
      <c r="DB161" s="1148">
        <f t="shared" ref="DB161:DM161" si="327">DB157+DB158+DB159+DB160</f>
        <v>34.200000000000003</v>
      </c>
      <c r="DC161" s="1148">
        <f t="shared" si="327"/>
        <v>24.2</v>
      </c>
      <c r="DD161" s="1148">
        <f t="shared" si="327"/>
        <v>62.2</v>
      </c>
      <c r="DE161" s="1148">
        <f t="shared" si="327"/>
        <v>8.9</v>
      </c>
      <c r="DF161" s="1148">
        <f t="shared" si="327"/>
        <v>13.8</v>
      </c>
      <c r="DG161" s="1148">
        <f t="shared" si="327"/>
        <v>7.8000000000000007</v>
      </c>
      <c r="DH161" s="1148">
        <f t="shared" si="327"/>
        <v>17.5</v>
      </c>
      <c r="DI161" s="1148">
        <f t="shared" si="327"/>
        <v>6.5</v>
      </c>
      <c r="DJ161" s="1148">
        <f t="shared" si="327"/>
        <v>25.5</v>
      </c>
      <c r="DK161" s="1148">
        <f t="shared" si="327"/>
        <v>6.5</v>
      </c>
      <c r="DL161" s="1148">
        <f t="shared" si="327"/>
        <v>6.5</v>
      </c>
      <c r="DM161" s="1148">
        <f t="shared" si="327"/>
        <v>17.5</v>
      </c>
      <c r="DN161" s="1148">
        <f t="shared" ref="DN161:DX161" si="328">DN157+DN158+DN159+DN160</f>
        <v>6.5</v>
      </c>
      <c r="DO161" s="1148">
        <f t="shared" si="328"/>
        <v>25.5</v>
      </c>
      <c r="DP161" s="1148">
        <f t="shared" si="328"/>
        <v>6.5</v>
      </c>
      <c r="DQ161" s="1148">
        <f t="shared" si="328"/>
        <v>6.5</v>
      </c>
      <c r="DR161" s="1148">
        <f t="shared" si="328"/>
        <v>11.5</v>
      </c>
      <c r="DS161" s="1148">
        <f t="shared" si="328"/>
        <v>8.5</v>
      </c>
      <c r="DT161" s="1148">
        <f t="shared" si="328"/>
        <v>22.5</v>
      </c>
      <c r="DU161" s="1148">
        <f t="shared" si="328"/>
        <v>7.5</v>
      </c>
      <c r="DV161" s="1148">
        <f t="shared" si="328"/>
        <v>8.5</v>
      </c>
      <c r="DW161" s="1148">
        <f t="shared" si="328"/>
        <v>87.5</v>
      </c>
      <c r="DX161" s="1148">
        <f t="shared" si="328"/>
        <v>74</v>
      </c>
      <c r="DY161" s="1148">
        <f t="shared" ref="DY161" si="329">DY157+DY158+DY159+DY160</f>
        <v>8.6999999999999993</v>
      </c>
      <c r="DZ161" s="1148">
        <f t="shared" ref="DZ161" si="330">DZ157+DZ158+DZ159+DZ160</f>
        <v>8.6999999999999993</v>
      </c>
      <c r="EA161" s="1148">
        <f t="shared" si="323"/>
        <v>8.6999999999999993</v>
      </c>
      <c r="EB161" s="1148">
        <f t="shared" ref="EB161:EF161" si="331">EB157+EB158+EB159+EB160</f>
        <v>8.6999999999999993</v>
      </c>
      <c r="EC161" s="1148">
        <f t="shared" si="331"/>
        <v>8.6999999999999993</v>
      </c>
      <c r="ED161" s="1148">
        <f t="shared" ref="ED161" si="332">ED157+ED158+ED159+ED160</f>
        <v>8.6999999999999993</v>
      </c>
      <c r="EE161" s="1148">
        <f t="shared" si="331"/>
        <v>8.6999999999999993</v>
      </c>
      <c r="EF161" s="1148">
        <f t="shared" si="331"/>
        <v>8.6999999999999993</v>
      </c>
      <c r="EG161" s="1148">
        <f t="shared" si="320"/>
        <v>20.399999999999999</v>
      </c>
      <c r="EH161" s="1148">
        <f t="shared" si="320"/>
        <v>208.39999999999998</v>
      </c>
      <c r="EI161" s="1148">
        <f t="shared" ref="EI161:EK161" si="333">EI157+EI158+EI159+EI160</f>
        <v>20.799999999999997</v>
      </c>
      <c r="EJ161" s="1148">
        <f t="shared" ref="EJ161" si="334">EJ157+EJ158+EJ159+EJ160</f>
        <v>53.599999999999994</v>
      </c>
      <c r="EK161" s="1148">
        <f t="shared" si="333"/>
        <v>22.799999999999997</v>
      </c>
      <c r="EL161" s="1148">
        <f t="shared" ref="EL161:EM161" si="335">EL157+EL158+EL159+EL160</f>
        <v>22.799999999999997</v>
      </c>
      <c r="EM161" s="1148">
        <f t="shared" si="335"/>
        <v>38.800000000000004</v>
      </c>
      <c r="EN161" s="1148">
        <f t="shared" ref="EN161:FI161" si="336">EN157+EN158+EN159+EN160</f>
        <v>0</v>
      </c>
      <c r="EO161" s="1148">
        <f t="shared" si="336"/>
        <v>0</v>
      </c>
      <c r="EP161" s="1148">
        <f t="shared" ref="EP161:EV161" si="337">EP157+EP158+EP159+EP160</f>
        <v>0</v>
      </c>
      <c r="EQ161" s="1148">
        <f t="shared" si="337"/>
        <v>0</v>
      </c>
      <c r="ER161" s="1148">
        <f t="shared" si="337"/>
        <v>0</v>
      </c>
      <c r="ES161" s="1148"/>
      <c r="ET161" s="1148">
        <f t="shared" si="337"/>
        <v>0</v>
      </c>
      <c r="EU161" s="1148">
        <f t="shared" si="337"/>
        <v>0</v>
      </c>
      <c r="EV161" s="1148">
        <f t="shared" si="337"/>
        <v>0</v>
      </c>
      <c r="EW161" s="1148">
        <f>EW157+EW158+EW159+EW160</f>
        <v>0</v>
      </c>
      <c r="EX161" s="1148">
        <f>EX157+EX158+EX159+EX160</f>
        <v>0</v>
      </c>
      <c r="EY161" s="1148">
        <f>EY157+EY158+EY159+EY160</f>
        <v>0</v>
      </c>
      <c r="EZ161" s="1148">
        <f t="shared" ref="EZ161:FC161" si="338">EZ157+EZ158+EZ159+EZ160</f>
        <v>0</v>
      </c>
      <c r="FA161" s="1148">
        <f t="shared" si="338"/>
        <v>0</v>
      </c>
      <c r="FB161" s="1148">
        <f t="shared" si="338"/>
        <v>0</v>
      </c>
      <c r="FC161" s="1148">
        <f t="shared" si="338"/>
        <v>0</v>
      </c>
      <c r="FD161" s="1148">
        <f t="shared" si="336"/>
        <v>0</v>
      </c>
      <c r="FE161" s="1148">
        <f t="shared" si="336"/>
        <v>0</v>
      </c>
      <c r="FF161" s="1148">
        <f t="shared" si="336"/>
        <v>0</v>
      </c>
      <c r="FG161" s="1148">
        <f t="shared" si="336"/>
        <v>0</v>
      </c>
      <c r="FH161" s="1148">
        <f t="shared" si="336"/>
        <v>0</v>
      </c>
      <c r="FI161" s="1148">
        <f t="shared" si="336"/>
        <v>0</v>
      </c>
      <c r="FJ161" s="1148">
        <f>FJ157+FJ158+FJ159+FJ160</f>
        <v>0</v>
      </c>
      <c r="FK161" s="1148">
        <f>FK157+FK158+FK159+FK160</f>
        <v>0</v>
      </c>
      <c r="FL161" s="1148">
        <f>FL157+FL158+FL159+FL160</f>
        <v>0</v>
      </c>
      <c r="FM161" s="1148">
        <f t="shared" ref="FM161" si="339">FM157+FM158+FM159+FM160</f>
        <v>0</v>
      </c>
      <c r="FN161" s="1148">
        <f t="shared" ref="FN161:FU161" si="340">FN157+FN158+FN159+FN160</f>
        <v>0</v>
      </c>
      <c r="FO161" s="1148">
        <f t="shared" si="340"/>
        <v>0</v>
      </c>
      <c r="FP161" s="1148">
        <f t="shared" si="340"/>
        <v>0</v>
      </c>
      <c r="FQ161" s="1148">
        <f t="shared" si="340"/>
        <v>0</v>
      </c>
      <c r="FR161" s="1148">
        <f t="shared" si="340"/>
        <v>0</v>
      </c>
      <c r="FS161" s="1148">
        <f t="shared" si="340"/>
        <v>0</v>
      </c>
      <c r="FT161" s="1148">
        <f t="shared" si="340"/>
        <v>0</v>
      </c>
      <c r="FU161" s="1148">
        <f t="shared" si="340"/>
        <v>0</v>
      </c>
      <c r="FV161" s="1148">
        <f t="shared" ref="FV161" si="341">FV157+FV158+FV159+FV160</f>
        <v>0</v>
      </c>
      <c r="FW161" s="1148">
        <f t="shared" ref="FW161" si="342">FW157+FW158+FW159+FW160</f>
        <v>0</v>
      </c>
      <c r="FX161" s="1148">
        <f t="shared" ref="FX161" si="343">FX157+FX158+FX159+FX160</f>
        <v>0</v>
      </c>
      <c r="FY161" s="1148">
        <f t="shared" ref="FY161" si="344">FY157+FY158+FY159+FY160</f>
        <v>0</v>
      </c>
      <c r="FZ161" s="1148">
        <f t="shared" ref="FZ161:GA161" si="345">FZ157+FZ158+FZ159+FZ160</f>
        <v>0</v>
      </c>
      <c r="GA161" s="1148">
        <f t="shared" si="345"/>
        <v>12</v>
      </c>
      <c r="GB161" s="1121"/>
    </row>
    <row r="162" spans="3:184">
      <c r="C162" s="1115"/>
      <c r="D162" s="1117"/>
      <c r="E162" s="1117"/>
      <c r="F162" s="1117"/>
      <c r="G162" s="1118"/>
      <c r="H162" s="1118"/>
      <c r="I162" s="1118"/>
      <c r="J162" s="1149">
        <f>J157+J158*2+J159*3+J160*4</f>
        <v>5327.2000000000025</v>
      </c>
      <c r="K162" s="1161"/>
      <c r="L162" s="1161">
        <f t="shared" ref="L162:EH162" si="346">L157+L158*2+L159*3+L160*4</f>
        <v>4</v>
      </c>
      <c r="M162" s="1161">
        <f t="shared" si="346"/>
        <v>7.5</v>
      </c>
      <c r="N162" s="1161">
        <f t="shared" si="346"/>
        <v>11.9</v>
      </c>
      <c r="O162" s="1161">
        <f t="shared" si="346"/>
        <v>43.9</v>
      </c>
      <c r="P162" s="1161">
        <f t="shared" si="346"/>
        <v>5.8999999999999986</v>
      </c>
      <c r="Q162" s="1161">
        <f t="shared" si="346"/>
        <v>30.2</v>
      </c>
      <c r="R162" s="1161">
        <f t="shared" si="346"/>
        <v>22.9</v>
      </c>
      <c r="S162" s="1161">
        <f t="shared" si="346"/>
        <v>16.2</v>
      </c>
      <c r="T162" s="1161">
        <f t="shared" si="346"/>
        <v>88.7</v>
      </c>
      <c r="U162" s="1161">
        <f t="shared" si="346"/>
        <v>17.7</v>
      </c>
      <c r="V162" s="1161">
        <f t="shared" si="346"/>
        <v>44.2</v>
      </c>
      <c r="W162" s="1161">
        <f t="shared" si="346"/>
        <v>10.200000000000003</v>
      </c>
      <c r="X162" s="1161">
        <f t="shared" si="346"/>
        <v>85.2</v>
      </c>
      <c r="Y162" s="1161">
        <f t="shared" si="346"/>
        <v>17.7</v>
      </c>
      <c r="Z162" s="1161">
        <f t="shared" si="346"/>
        <v>44.7</v>
      </c>
      <c r="AA162" s="1161">
        <f t="shared" si="346"/>
        <v>11.200000000000003</v>
      </c>
      <c r="AB162" s="1161">
        <f t="shared" si="346"/>
        <v>66.2</v>
      </c>
      <c r="AC162" s="1161">
        <f t="shared" si="346"/>
        <v>33.200000000000003</v>
      </c>
      <c r="AD162" s="1161">
        <f t="shared" si="346"/>
        <v>21.200000000000003</v>
      </c>
      <c r="AE162" s="1161">
        <f t="shared" si="346"/>
        <v>22.9</v>
      </c>
      <c r="AF162" s="1161">
        <f t="shared" si="346"/>
        <v>13.9</v>
      </c>
      <c r="AG162" s="1161">
        <f t="shared" si="346"/>
        <v>18.899999999999999</v>
      </c>
      <c r="AH162" s="1161">
        <f t="shared" si="346"/>
        <v>43.9</v>
      </c>
      <c r="AI162" s="1161">
        <f t="shared" si="346"/>
        <v>17.899999999999999</v>
      </c>
      <c r="AJ162" s="1161">
        <f t="shared" si="346"/>
        <v>22.4</v>
      </c>
      <c r="AK162" s="1161">
        <f t="shared" ref="AK162:BP162" si="347">AK157+AK158*2+AK159*3+AK160*4</f>
        <v>79.2</v>
      </c>
      <c r="AL162" s="1161">
        <f t="shared" si="347"/>
        <v>42.2</v>
      </c>
      <c r="AM162" s="1161">
        <f t="shared" si="347"/>
        <v>61.2</v>
      </c>
      <c r="AN162" s="1161">
        <f t="shared" si="347"/>
        <v>11.200000000000003</v>
      </c>
      <c r="AO162" s="1161">
        <f t="shared" ref="AO162:BC162" si="348">AO157+AO158*2+AO159*3+AO160*4</f>
        <v>11.200000000000003</v>
      </c>
      <c r="AP162" s="1161">
        <f t="shared" si="348"/>
        <v>67.2</v>
      </c>
      <c r="AQ162" s="1161">
        <f t="shared" si="348"/>
        <v>81.2</v>
      </c>
      <c r="AR162" s="1161">
        <f t="shared" si="348"/>
        <v>11.200000000000003</v>
      </c>
      <c r="AS162" s="1161">
        <f t="shared" si="348"/>
        <v>59.2</v>
      </c>
      <c r="AT162" s="1161">
        <f t="shared" si="348"/>
        <v>27.2</v>
      </c>
      <c r="AU162" s="1161">
        <f t="shared" si="348"/>
        <v>35.200000000000003</v>
      </c>
      <c r="AV162" s="1161">
        <f t="shared" si="348"/>
        <v>57.2</v>
      </c>
      <c r="AW162" s="1161">
        <f t="shared" si="348"/>
        <v>12.9</v>
      </c>
      <c r="AX162" s="1161">
        <f t="shared" si="348"/>
        <v>12.9</v>
      </c>
      <c r="AY162" s="1161">
        <f t="shared" si="348"/>
        <v>67.900000000000006</v>
      </c>
      <c r="AZ162" s="1161">
        <f t="shared" si="348"/>
        <v>36.900000000000006</v>
      </c>
      <c r="BA162" s="1161">
        <f t="shared" si="348"/>
        <v>18.899999999999999</v>
      </c>
      <c r="BB162" s="1161">
        <f t="shared" si="348"/>
        <v>66.900000000000006</v>
      </c>
      <c r="BC162" s="1161">
        <f t="shared" si="348"/>
        <v>46.900000000000006</v>
      </c>
      <c r="BD162" s="1161">
        <f t="shared" si="347"/>
        <v>32.200000000000003</v>
      </c>
      <c r="BE162" s="1161">
        <f t="shared" si="347"/>
        <v>103.2</v>
      </c>
      <c r="BF162" s="1161">
        <f t="shared" si="347"/>
        <v>53.2</v>
      </c>
      <c r="BG162" s="1161">
        <f t="shared" si="347"/>
        <v>77.2</v>
      </c>
      <c r="BH162" s="1161">
        <f t="shared" si="347"/>
        <v>53.2</v>
      </c>
      <c r="BI162" s="1161">
        <f t="shared" si="347"/>
        <v>79.2</v>
      </c>
      <c r="BJ162" s="1161">
        <f t="shared" si="347"/>
        <v>59.2</v>
      </c>
      <c r="BK162" s="1161">
        <f t="shared" si="347"/>
        <v>45.2</v>
      </c>
      <c r="BL162" s="1161">
        <f t="shared" si="347"/>
        <v>56.2</v>
      </c>
      <c r="BM162" s="1161">
        <f t="shared" si="347"/>
        <v>25.9</v>
      </c>
      <c r="BN162" s="1161">
        <f t="shared" si="347"/>
        <v>41.9</v>
      </c>
      <c r="BO162" s="1161">
        <f t="shared" si="347"/>
        <v>15.899999999999999</v>
      </c>
      <c r="BP162" s="1161">
        <f t="shared" si="347"/>
        <v>31.9</v>
      </c>
      <c r="BQ162" s="1161">
        <f t="shared" ref="BQ162:EA162" si="349">BQ157+BQ158*2+BQ159*3+BQ160*4</f>
        <v>21.9</v>
      </c>
      <c r="BR162" s="1161">
        <f t="shared" si="349"/>
        <v>25.9</v>
      </c>
      <c r="BS162" s="1161">
        <f t="shared" si="349"/>
        <v>18.899999999999999</v>
      </c>
      <c r="BT162" s="1161">
        <f t="shared" si="349"/>
        <v>79.2</v>
      </c>
      <c r="BU162" s="1161">
        <f t="shared" si="349"/>
        <v>42.2</v>
      </c>
      <c r="BV162" s="1161">
        <f t="shared" si="349"/>
        <v>23.200000000000003</v>
      </c>
      <c r="BW162" s="1161">
        <f t="shared" si="349"/>
        <v>53.2</v>
      </c>
      <c r="BX162" s="1161">
        <f t="shared" si="349"/>
        <v>67.2</v>
      </c>
      <c r="BY162" s="1161">
        <f t="shared" si="349"/>
        <v>11.200000000000003</v>
      </c>
      <c r="BZ162" s="1161">
        <f t="shared" si="349"/>
        <v>39.200000000000003</v>
      </c>
      <c r="CA162" s="1161">
        <f t="shared" si="349"/>
        <v>57.2</v>
      </c>
      <c r="CB162" s="1161">
        <f t="shared" si="349"/>
        <v>75.2</v>
      </c>
      <c r="CC162" s="1161">
        <f t="shared" si="349"/>
        <v>30.2</v>
      </c>
      <c r="CD162" s="1161">
        <f t="shared" si="349"/>
        <v>35.200000000000003</v>
      </c>
      <c r="CE162" s="1161">
        <f t="shared" si="349"/>
        <v>56.2</v>
      </c>
      <c r="CF162" s="1161">
        <f t="shared" si="349"/>
        <v>8.9</v>
      </c>
      <c r="CG162" s="1161">
        <f t="shared" ref="CG162:CI162" si="350">CG157+CG158*2+CG159*3+CG160*4</f>
        <v>11.9</v>
      </c>
      <c r="CH162" s="1161">
        <f t="shared" si="350"/>
        <v>49.2</v>
      </c>
      <c r="CI162" s="1161">
        <f t="shared" si="350"/>
        <v>52.2</v>
      </c>
      <c r="CJ162" s="1161">
        <f t="shared" ref="CJ162:CO162" si="351">CJ157+CJ158*2+CJ159*3+CJ160*4</f>
        <v>17.200000000000003</v>
      </c>
      <c r="CK162" s="1161">
        <f t="shared" si="351"/>
        <v>29.200000000000003</v>
      </c>
      <c r="CL162" s="1161">
        <f t="shared" si="351"/>
        <v>96.2</v>
      </c>
      <c r="CM162" s="1161">
        <f t="shared" si="351"/>
        <v>162.19999999999999</v>
      </c>
      <c r="CN162" s="1161">
        <f t="shared" si="351"/>
        <v>20.200000000000003</v>
      </c>
      <c r="CO162" s="1161">
        <f t="shared" si="351"/>
        <v>117.2</v>
      </c>
      <c r="CP162" s="1161">
        <f t="shared" ref="CP162:DA162" si="352">CP157+CP158*2+CP159*3+CP160*4</f>
        <v>82.2</v>
      </c>
      <c r="CQ162" s="1161">
        <f t="shared" si="352"/>
        <v>23.7</v>
      </c>
      <c r="CR162" s="1161">
        <f t="shared" si="352"/>
        <v>8.9</v>
      </c>
      <c r="CS162" s="1161">
        <f t="shared" si="352"/>
        <v>11.9</v>
      </c>
      <c r="CT162" s="1161">
        <f t="shared" si="352"/>
        <v>14.1</v>
      </c>
      <c r="CU162" s="1161">
        <f t="shared" si="352"/>
        <v>47.2</v>
      </c>
      <c r="CV162" s="1161">
        <f t="shared" si="352"/>
        <v>56.2</v>
      </c>
      <c r="CW162" s="1161">
        <f t="shared" si="352"/>
        <v>117.2</v>
      </c>
      <c r="CX162" s="1161">
        <f t="shared" si="352"/>
        <v>20.200000000000003</v>
      </c>
      <c r="CY162" s="1161">
        <f t="shared" si="352"/>
        <v>29.200000000000003</v>
      </c>
      <c r="CZ162" s="1161">
        <f t="shared" si="352"/>
        <v>100.2</v>
      </c>
      <c r="DA162" s="1161">
        <f t="shared" si="352"/>
        <v>19.200000000000003</v>
      </c>
      <c r="DB162" s="1161">
        <f t="shared" ref="DB162:DM162" si="353">DB157+DB158*2+DB159*3+DB160*4</f>
        <v>82.2</v>
      </c>
      <c r="DC162" s="1161">
        <f t="shared" si="353"/>
        <v>24.2</v>
      </c>
      <c r="DD162" s="1161">
        <f t="shared" si="353"/>
        <v>150.19999999999999</v>
      </c>
      <c r="DE162" s="1161">
        <f t="shared" si="353"/>
        <v>8.9</v>
      </c>
      <c r="DF162" s="1161">
        <f t="shared" si="353"/>
        <v>25.8</v>
      </c>
      <c r="DG162" s="1161">
        <f t="shared" si="353"/>
        <v>7.8000000000000007</v>
      </c>
      <c r="DH162" s="1161">
        <f t="shared" si="353"/>
        <v>33.5</v>
      </c>
      <c r="DI162" s="1161">
        <f t="shared" si="353"/>
        <v>6.5</v>
      </c>
      <c r="DJ162" s="1161">
        <f t="shared" si="353"/>
        <v>73.5</v>
      </c>
      <c r="DK162" s="1161">
        <f t="shared" si="353"/>
        <v>11.5</v>
      </c>
      <c r="DL162" s="1161">
        <f t="shared" si="353"/>
        <v>6.5</v>
      </c>
      <c r="DM162" s="1161">
        <f t="shared" si="353"/>
        <v>33.5</v>
      </c>
      <c r="DN162" s="1161">
        <f t="shared" ref="DN162:DX162" si="354">DN157+DN158*2+DN159*3+DN160*4</f>
        <v>6.5</v>
      </c>
      <c r="DO162" s="1161">
        <f t="shared" si="354"/>
        <v>73.5</v>
      </c>
      <c r="DP162" s="1161">
        <f t="shared" si="354"/>
        <v>11.5</v>
      </c>
      <c r="DQ162" s="1161">
        <f t="shared" si="354"/>
        <v>6.5</v>
      </c>
      <c r="DR162" s="1161">
        <f t="shared" si="354"/>
        <v>21.5</v>
      </c>
      <c r="DS162" s="1161">
        <f t="shared" si="354"/>
        <v>8.5</v>
      </c>
      <c r="DT162" s="1161">
        <f t="shared" si="354"/>
        <v>64.5</v>
      </c>
      <c r="DU162" s="1161">
        <f t="shared" si="354"/>
        <v>13.5</v>
      </c>
      <c r="DV162" s="1161">
        <f t="shared" si="354"/>
        <v>8.5</v>
      </c>
      <c r="DW162" s="1161">
        <f t="shared" si="354"/>
        <v>132</v>
      </c>
      <c r="DX162" s="1161">
        <f t="shared" si="354"/>
        <v>113</v>
      </c>
      <c r="DY162" s="1161">
        <f t="shared" ref="DY162" si="355">DY157+DY158*2+DY159*3+DY160*4</f>
        <v>8.6999999999999993</v>
      </c>
      <c r="DZ162" s="1161">
        <f t="shared" ref="DZ162" si="356">DZ157+DZ158*2+DZ159*3+DZ160*4</f>
        <v>8.6999999999999993</v>
      </c>
      <c r="EA162" s="1161">
        <f t="shared" si="349"/>
        <v>8.6999999999999993</v>
      </c>
      <c r="EB162" s="1161">
        <f t="shared" ref="EB162:EF162" si="357">EB157+EB158*2+EB159*3+EB160*4</f>
        <v>8.6999999999999993</v>
      </c>
      <c r="EC162" s="1161">
        <f t="shared" si="357"/>
        <v>8.6999999999999993</v>
      </c>
      <c r="ED162" s="1161">
        <f t="shared" ref="ED162" si="358">ED157+ED158*2+ED159*3+ED160*4</f>
        <v>8.6999999999999993</v>
      </c>
      <c r="EE162" s="1161">
        <f t="shared" si="357"/>
        <v>8.6999999999999993</v>
      </c>
      <c r="EF162" s="1161">
        <f t="shared" si="357"/>
        <v>8.6999999999999993</v>
      </c>
      <c r="EG162" s="1161">
        <f t="shared" si="346"/>
        <v>20.399999999999999</v>
      </c>
      <c r="EH162" s="1161">
        <f t="shared" si="346"/>
        <v>208.39999999999998</v>
      </c>
      <c r="EI162" s="1161">
        <f t="shared" ref="EI162:EK162" si="359">EI157+EI158*2+EI159*3+EI160*4</f>
        <v>20.799999999999997</v>
      </c>
      <c r="EJ162" s="1161">
        <f t="shared" ref="EJ162" si="360">EJ157+EJ158*2+EJ159*3+EJ160*4</f>
        <v>53.599999999999994</v>
      </c>
      <c r="EK162" s="1161">
        <f t="shared" si="359"/>
        <v>22.799999999999997</v>
      </c>
      <c r="EL162" s="1161">
        <f t="shared" ref="EL162:EM162" si="361">EL157+EL158*2+EL159*3+EL160*4</f>
        <v>22.799999999999997</v>
      </c>
      <c r="EM162" s="1161">
        <f t="shared" si="361"/>
        <v>38.800000000000004</v>
      </c>
      <c r="EN162" s="1161">
        <f t="shared" ref="EN162:FJ162" si="362">EN157+EN158*2+EN159*3+EN160*4</f>
        <v>0</v>
      </c>
      <c r="EO162" s="1161">
        <f t="shared" si="362"/>
        <v>0</v>
      </c>
      <c r="EP162" s="1161">
        <f t="shared" ref="EP162:FC162" si="363">EP157+EP158*2+EP159*3+EP160*4</f>
        <v>0</v>
      </c>
      <c r="EQ162" s="1161">
        <f t="shared" si="363"/>
        <v>0</v>
      </c>
      <c r="ER162" s="1161">
        <f t="shared" si="363"/>
        <v>0</v>
      </c>
      <c r="ES162" s="1161"/>
      <c r="ET162" s="1161">
        <f t="shared" si="363"/>
        <v>0</v>
      </c>
      <c r="EU162" s="1161">
        <f t="shared" si="363"/>
        <v>0</v>
      </c>
      <c r="EV162" s="1161">
        <f t="shared" si="363"/>
        <v>0</v>
      </c>
      <c r="EW162" s="1161">
        <f t="shared" si="363"/>
        <v>0</v>
      </c>
      <c r="EX162" s="1161">
        <f t="shared" si="363"/>
        <v>0</v>
      </c>
      <c r="EY162" s="1161">
        <f t="shared" si="363"/>
        <v>0</v>
      </c>
      <c r="EZ162" s="1161">
        <f t="shared" si="363"/>
        <v>0</v>
      </c>
      <c r="FA162" s="1161">
        <f t="shared" si="363"/>
        <v>0</v>
      </c>
      <c r="FB162" s="1161">
        <f t="shared" si="363"/>
        <v>0</v>
      </c>
      <c r="FC162" s="1161">
        <f t="shared" si="363"/>
        <v>0</v>
      </c>
      <c r="FD162" s="1161">
        <f t="shared" si="362"/>
        <v>0</v>
      </c>
      <c r="FE162" s="1161">
        <f t="shared" si="362"/>
        <v>0</v>
      </c>
      <c r="FF162" s="1161">
        <f t="shared" si="362"/>
        <v>0</v>
      </c>
      <c r="FG162" s="1161">
        <f t="shared" si="362"/>
        <v>0</v>
      </c>
      <c r="FH162" s="1161">
        <f t="shared" si="362"/>
        <v>0</v>
      </c>
      <c r="FI162" s="1161">
        <f t="shared" si="362"/>
        <v>0</v>
      </c>
      <c r="FJ162" s="1161">
        <f t="shared" si="362"/>
        <v>0</v>
      </c>
      <c r="FK162" s="1161">
        <f t="shared" ref="FK162:GA162" si="364">FK157+FK158*2+FK159*3+FK160*4</f>
        <v>0</v>
      </c>
      <c r="FL162" s="1161">
        <f t="shared" si="364"/>
        <v>0</v>
      </c>
      <c r="FM162" s="1161">
        <f t="shared" si="364"/>
        <v>0</v>
      </c>
      <c r="FN162" s="1161">
        <f t="shared" si="364"/>
        <v>0</v>
      </c>
      <c r="FO162" s="1161">
        <f t="shared" ref="FO162:FP162" si="365">FO157+FO158*2+FO159*3+FO160*4</f>
        <v>0</v>
      </c>
      <c r="FP162" s="1161">
        <f t="shared" si="365"/>
        <v>0</v>
      </c>
      <c r="FQ162" s="1161">
        <f t="shared" ref="FQ162:FT162" si="366">FQ157+FQ158*2+FQ159*3+FQ160*4</f>
        <v>0</v>
      </c>
      <c r="FR162" s="1161">
        <f t="shared" si="366"/>
        <v>0</v>
      </c>
      <c r="FS162" s="1161">
        <f t="shared" si="366"/>
        <v>0</v>
      </c>
      <c r="FT162" s="1161">
        <f t="shared" si="366"/>
        <v>0</v>
      </c>
      <c r="FU162" s="1161">
        <f t="shared" ref="FU162:FX162" si="367">FU157+FU158*2+FU159*3+FU160*4</f>
        <v>0</v>
      </c>
      <c r="FV162" s="1161">
        <f t="shared" si="367"/>
        <v>0</v>
      </c>
      <c r="FW162" s="1161">
        <f t="shared" si="367"/>
        <v>0</v>
      </c>
      <c r="FX162" s="1161">
        <f t="shared" si="367"/>
        <v>0</v>
      </c>
      <c r="FY162" s="1161">
        <f t="shared" ref="FY162:FZ162" si="368">FY157+FY158*2+FY159*3+FY160*4</f>
        <v>0</v>
      </c>
      <c r="FZ162" s="1161">
        <f t="shared" si="368"/>
        <v>0</v>
      </c>
      <c r="GA162" s="1161">
        <f t="shared" si="364"/>
        <v>12</v>
      </c>
      <c r="GB162" s="1121"/>
    </row>
    <row r="163" spans="3:184">
      <c r="C163" s="1162"/>
      <c r="D163" s="1163"/>
      <c r="E163" s="1163"/>
      <c r="F163" s="1163"/>
      <c r="G163" s="1164"/>
      <c r="H163" s="1164"/>
      <c r="I163" s="1164"/>
      <c r="J163" s="1165"/>
      <c r="K163" s="1166"/>
      <c r="L163" s="1166">
        <f t="shared" ref="L163:EH163" si="369">L156-L162</f>
        <v>-1</v>
      </c>
      <c r="M163" s="1166">
        <f t="shared" si="369"/>
        <v>1</v>
      </c>
      <c r="N163" s="1166">
        <f t="shared" si="369"/>
        <v>0</v>
      </c>
      <c r="O163" s="1166">
        <f t="shared" si="369"/>
        <v>-21</v>
      </c>
      <c r="P163" s="1166">
        <f t="shared" si="369"/>
        <v>21</v>
      </c>
      <c r="Q163" s="1166">
        <f t="shared" si="369"/>
        <v>-14</v>
      </c>
      <c r="R163" s="1166">
        <f t="shared" si="369"/>
        <v>0</v>
      </c>
      <c r="S163" s="1166">
        <f t="shared" si="369"/>
        <v>14</v>
      </c>
      <c r="T163" s="1166">
        <f t="shared" si="369"/>
        <v>-60</v>
      </c>
      <c r="U163" s="1166">
        <f t="shared" si="369"/>
        <v>14</v>
      </c>
      <c r="V163" s="1166">
        <f t="shared" si="369"/>
        <v>5</v>
      </c>
      <c r="W163" s="1166">
        <f t="shared" si="369"/>
        <v>41</v>
      </c>
      <c r="X163" s="1166">
        <f t="shared" si="369"/>
        <v>-57</v>
      </c>
      <c r="Y163" s="1166">
        <f t="shared" si="369"/>
        <v>13</v>
      </c>
      <c r="Z163" s="1166">
        <f t="shared" si="369"/>
        <v>4</v>
      </c>
      <c r="AA163" s="1166">
        <f t="shared" si="369"/>
        <v>40</v>
      </c>
      <c r="AB163" s="1166">
        <f t="shared" si="369"/>
        <v>-38</v>
      </c>
      <c r="AC163" s="1166">
        <f t="shared" si="369"/>
        <v>7</v>
      </c>
      <c r="AD163" s="1166">
        <f t="shared" si="369"/>
        <v>31</v>
      </c>
      <c r="AE163" s="1166">
        <f t="shared" si="369"/>
        <v>-13.999999999999998</v>
      </c>
      <c r="AF163" s="1166">
        <f t="shared" si="369"/>
        <v>1</v>
      </c>
      <c r="AG163" s="1166">
        <f t="shared" si="369"/>
        <v>13</v>
      </c>
      <c r="AH163" s="1166">
        <f t="shared" si="369"/>
        <v>-28</v>
      </c>
      <c r="AI163" s="1166">
        <f t="shared" si="369"/>
        <v>6</v>
      </c>
      <c r="AJ163" s="1166">
        <f t="shared" si="369"/>
        <v>22</v>
      </c>
      <c r="AK163" s="1166">
        <f t="shared" ref="AK163:BP163" si="370">AK156-AK162</f>
        <v>-35</v>
      </c>
      <c r="AL163" s="1166">
        <f t="shared" si="370"/>
        <v>35</v>
      </c>
      <c r="AM163" s="1166">
        <f t="shared" si="370"/>
        <v>-26</v>
      </c>
      <c r="AN163" s="1166">
        <f t="shared" si="370"/>
        <v>26</v>
      </c>
      <c r="AO163" s="1166">
        <f t="shared" ref="AO163:BC163" si="371">AO156-AO162</f>
        <v>29</v>
      </c>
      <c r="AP163" s="1166">
        <f t="shared" si="371"/>
        <v>-29</v>
      </c>
      <c r="AQ163" s="1166">
        <f t="shared" si="371"/>
        <v>-48</v>
      </c>
      <c r="AR163" s="1166">
        <f t="shared" si="371"/>
        <v>24</v>
      </c>
      <c r="AS163" s="1166">
        <f t="shared" si="371"/>
        <v>24</v>
      </c>
      <c r="AT163" s="1166">
        <f t="shared" si="371"/>
        <v>-12</v>
      </c>
      <c r="AU163" s="1166">
        <f t="shared" si="371"/>
        <v>-7.0000000000000036</v>
      </c>
      <c r="AV163" s="1166">
        <f t="shared" si="371"/>
        <v>19</v>
      </c>
      <c r="AW163" s="1166">
        <f t="shared" si="371"/>
        <v>0</v>
      </c>
      <c r="AX163" s="1166">
        <f t="shared" si="371"/>
        <v>0</v>
      </c>
      <c r="AY163" s="1166">
        <f t="shared" si="371"/>
        <v>-33.000000000000007</v>
      </c>
      <c r="AZ163" s="1166">
        <f t="shared" si="371"/>
        <v>33</v>
      </c>
      <c r="BA163" s="1166">
        <f t="shared" si="371"/>
        <v>-5.9999999999999982</v>
      </c>
      <c r="BB163" s="1166">
        <f t="shared" si="371"/>
        <v>-30.000000000000007</v>
      </c>
      <c r="BC163" s="1166">
        <f t="shared" si="371"/>
        <v>30</v>
      </c>
      <c r="BD163" s="1166">
        <f t="shared" si="370"/>
        <v>6</v>
      </c>
      <c r="BE163" s="1166">
        <f t="shared" si="370"/>
        <v>-47</v>
      </c>
      <c r="BF163" s="1166">
        <f t="shared" si="370"/>
        <v>47</v>
      </c>
      <c r="BG163" s="1166">
        <f t="shared" si="370"/>
        <v>-34</v>
      </c>
      <c r="BH163" s="1166">
        <f t="shared" si="370"/>
        <v>34</v>
      </c>
      <c r="BI163" s="1166">
        <f t="shared" si="370"/>
        <v>-35</v>
      </c>
      <c r="BJ163" s="1166">
        <f t="shared" si="370"/>
        <v>35</v>
      </c>
      <c r="BK163" s="1166">
        <f t="shared" si="370"/>
        <v>-18.000000000000004</v>
      </c>
      <c r="BL163" s="1166">
        <f t="shared" si="370"/>
        <v>18</v>
      </c>
      <c r="BM163" s="1166">
        <f t="shared" si="370"/>
        <v>-15.999999999999998</v>
      </c>
      <c r="BN163" s="1166">
        <f t="shared" si="370"/>
        <v>-12</v>
      </c>
      <c r="BO163" s="1166">
        <f t="shared" si="370"/>
        <v>28</v>
      </c>
      <c r="BP163" s="1166">
        <f t="shared" si="370"/>
        <v>-15</v>
      </c>
      <c r="BQ163" s="1166">
        <f t="shared" ref="BQ163:EA163" si="372">BQ156-BQ162</f>
        <v>15</v>
      </c>
      <c r="BR163" s="1166">
        <f t="shared" si="372"/>
        <v>-11.999999999999998</v>
      </c>
      <c r="BS163" s="1166">
        <f t="shared" si="372"/>
        <v>12</v>
      </c>
      <c r="BT163" s="1166">
        <f t="shared" si="372"/>
        <v>-35</v>
      </c>
      <c r="BU163" s="1166">
        <f t="shared" si="372"/>
        <v>35</v>
      </c>
      <c r="BV163" s="1166">
        <f t="shared" si="372"/>
        <v>22</v>
      </c>
      <c r="BW163" s="1166">
        <f t="shared" si="372"/>
        <v>-22.000000000000004</v>
      </c>
      <c r="BX163" s="1166">
        <f t="shared" si="372"/>
        <v>-29</v>
      </c>
      <c r="BY163" s="1166">
        <f t="shared" si="372"/>
        <v>29</v>
      </c>
      <c r="BZ163" s="1166">
        <f t="shared" si="372"/>
        <v>7</v>
      </c>
      <c r="CA163" s="1166">
        <f t="shared" si="372"/>
        <v>37</v>
      </c>
      <c r="CB163" s="1166">
        <f t="shared" si="372"/>
        <v>-44</v>
      </c>
      <c r="CC163" s="1166">
        <f t="shared" si="372"/>
        <v>-14</v>
      </c>
      <c r="CD163" s="1166">
        <f t="shared" si="372"/>
        <v>-6.0000000000000036</v>
      </c>
      <c r="CE163" s="1166">
        <f t="shared" si="372"/>
        <v>20</v>
      </c>
      <c r="CF163" s="1166">
        <f t="shared" si="372"/>
        <v>0</v>
      </c>
      <c r="CG163" s="1166">
        <f t="shared" ref="CG163:CI163" si="373">CG156-CG162</f>
        <v>0</v>
      </c>
      <c r="CH163" s="1166">
        <f t="shared" si="373"/>
        <v>-16</v>
      </c>
      <c r="CI163" s="1166">
        <f t="shared" si="373"/>
        <v>16</v>
      </c>
      <c r="CJ163" s="1166">
        <f t="shared" ref="CJ163:CO163" si="374">CJ156-CJ162</f>
        <v>49</v>
      </c>
      <c r="CK163" s="1166">
        <f t="shared" si="374"/>
        <v>87</v>
      </c>
      <c r="CL163" s="1166">
        <f t="shared" si="374"/>
        <v>9</v>
      </c>
      <c r="CM163" s="1166">
        <f t="shared" si="374"/>
        <v>-95.999999999999986</v>
      </c>
      <c r="CN163" s="1166">
        <f t="shared" si="374"/>
        <v>49</v>
      </c>
      <c r="CO163" s="1166">
        <f t="shared" si="374"/>
        <v>-50</v>
      </c>
      <c r="CP163" s="1166">
        <f t="shared" ref="CP163:DA163" si="375">CP156-CP162</f>
        <v>-48</v>
      </c>
      <c r="CQ163" s="1166">
        <f t="shared" si="375"/>
        <v>0</v>
      </c>
      <c r="CR163" s="1166">
        <f t="shared" si="375"/>
        <v>0</v>
      </c>
      <c r="CS163" s="1166">
        <f t="shared" si="375"/>
        <v>0</v>
      </c>
      <c r="CT163" s="1166">
        <f t="shared" si="375"/>
        <v>0</v>
      </c>
      <c r="CU163" s="1166">
        <f t="shared" si="375"/>
        <v>-15</v>
      </c>
      <c r="CV163" s="1166">
        <f t="shared" si="375"/>
        <v>15</v>
      </c>
      <c r="CW163" s="1166">
        <f t="shared" si="375"/>
        <v>-50</v>
      </c>
      <c r="CX163" s="1166">
        <f t="shared" si="375"/>
        <v>49</v>
      </c>
      <c r="CY163" s="1166">
        <f t="shared" si="375"/>
        <v>85</v>
      </c>
      <c r="CZ163" s="1166">
        <f t="shared" si="375"/>
        <v>3</v>
      </c>
      <c r="DA163" s="1166">
        <f t="shared" si="375"/>
        <v>49</v>
      </c>
      <c r="DB163" s="1166">
        <f t="shared" ref="DB163:DM163" si="376">DB156-DB162</f>
        <v>-48</v>
      </c>
      <c r="DC163" s="1166">
        <f t="shared" si="376"/>
        <v>0</v>
      </c>
      <c r="DD163" s="1166">
        <f t="shared" si="376"/>
        <v>-87.999999999999986</v>
      </c>
      <c r="DE163" s="1166">
        <f t="shared" si="376"/>
        <v>0</v>
      </c>
      <c r="DF163" s="1166">
        <f t="shared" si="376"/>
        <v>-12</v>
      </c>
      <c r="DG163" s="1166">
        <f t="shared" si="376"/>
        <v>12</v>
      </c>
      <c r="DH163" s="1166">
        <f t="shared" si="376"/>
        <v>-16</v>
      </c>
      <c r="DI163" s="1166">
        <f t="shared" si="376"/>
        <v>16</v>
      </c>
      <c r="DJ163" s="1166">
        <f t="shared" si="376"/>
        <v>-48</v>
      </c>
      <c r="DK163" s="1166">
        <f t="shared" si="376"/>
        <v>19</v>
      </c>
      <c r="DL163" s="1166">
        <f t="shared" si="376"/>
        <v>29</v>
      </c>
      <c r="DM163" s="1166">
        <f t="shared" si="376"/>
        <v>-16</v>
      </c>
      <c r="DN163" s="1166">
        <f t="shared" ref="DN163:DX163" si="377">DN156-DN162</f>
        <v>16</v>
      </c>
      <c r="DO163" s="1166">
        <f t="shared" si="377"/>
        <v>-48</v>
      </c>
      <c r="DP163" s="1166">
        <f t="shared" si="377"/>
        <v>19</v>
      </c>
      <c r="DQ163" s="1166">
        <f t="shared" si="377"/>
        <v>29</v>
      </c>
      <c r="DR163" s="1166">
        <f t="shared" si="377"/>
        <v>-10</v>
      </c>
      <c r="DS163" s="1166">
        <f t="shared" si="377"/>
        <v>10</v>
      </c>
      <c r="DT163" s="1166">
        <f t="shared" si="377"/>
        <v>-42</v>
      </c>
      <c r="DU163" s="1166">
        <f t="shared" si="377"/>
        <v>15</v>
      </c>
      <c r="DV163" s="1166">
        <f t="shared" si="377"/>
        <v>27</v>
      </c>
      <c r="DW163" s="1166">
        <f t="shared" si="377"/>
        <v>0</v>
      </c>
      <c r="DX163" s="1166">
        <f t="shared" si="377"/>
        <v>0</v>
      </c>
      <c r="DY163" s="1166">
        <f t="shared" ref="DY163" si="378">DY156-DY162</f>
        <v>0</v>
      </c>
      <c r="DZ163" s="1166">
        <f t="shared" ref="DZ163" si="379">DZ156-DZ162</f>
        <v>0</v>
      </c>
      <c r="EA163" s="1166">
        <f t="shared" si="372"/>
        <v>0</v>
      </c>
      <c r="EB163" s="1166">
        <f t="shared" ref="EB163:EF163" si="380">EB156-EB162</f>
        <v>0</v>
      </c>
      <c r="EC163" s="1166">
        <f t="shared" si="380"/>
        <v>0</v>
      </c>
      <c r="ED163" s="1166">
        <f t="shared" ref="ED163" si="381">ED156-ED162</f>
        <v>0</v>
      </c>
      <c r="EE163" s="1166">
        <f t="shared" si="380"/>
        <v>0</v>
      </c>
      <c r="EF163" s="1166">
        <f t="shared" si="380"/>
        <v>0</v>
      </c>
      <c r="EG163" s="1166">
        <f t="shared" si="369"/>
        <v>0</v>
      </c>
      <c r="EH163" s="1166">
        <f t="shared" si="369"/>
        <v>0</v>
      </c>
      <c r="EI163" s="1166">
        <f t="shared" ref="EI163:EK163" si="382">EI156-EI162</f>
        <v>0</v>
      </c>
      <c r="EJ163" s="1166">
        <f t="shared" ref="EJ163" si="383">EJ156-EJ162</f>
        <v>0</v>
      </c>
      <c r="EK163" s="1166">
        <f t="shared" si="382"/>
        <v>0</v>
      </c>
      <c r="EL163" s="1166">
        <f t="shared" ref="EL163:EM163" si="384">EL156-EL162</f>
        <v>0</v>
      </c>
      <c r="EM163" s="1166">
        <f t="shared" si="384"/>
        <v>0</v>
      </c>
      <c r="EN163" s="1166">
        <f t="shared" ref="EN163:FI163" si="385">EN156-EN162</f>
        <v>0</v>
      </c>
      <c r="EO163" s="1166">
        <f t="shared" si="385"/>
        <v>0</v>
      </c>
      <c r="EP163" s="1166">
        <f t="shared" ref="EP163:EV163" si="386">EP156-EP162</f>
        <v>0</v>
      </c>
      <c r="EQ163" s="1166">
        <f t="shared" si="386"/>
        <v>0</v>
      </c>
      <c r="ER163" s="1166">
        <f t="shared" si="386"/>
        <v>0</v>
      </c>
      <c r="ES163" s="1166"/>
      <c r="ET163" s="1166">
        <f t="shared" si="386"/>
        <v>0</v>
      </c>
      <c r="EU163" s="1166">
        <f t="shared" si="386"/>
        <v>0</v>
      </c>
      <c r="EV163" s="1166">
        <f t="shared" si="386"/>
        <v>0</v>
      </c>
      <c r="EW163" s="1166">
        <f>EW156-EW162</f>
        <v>0</v>
      </c>
      <c r="EX163" s="1166">
        <f>EX156-EX162</f>
        <v>0</v>
      </c>
      <c r="EY163" s="1166">
        <f>EY156-EY162</f>
        <v>0</v>
      </c>
      <c r="EZ163" s="1166">
        <f t="shared" ref="EZ163:FC163" si="387">EZ156-EZ162</f>
        <v>0</v>
      </c>
      <c r="FA163" s="1166">
        <f t="shared" si="387"/>
        <v>0</v>
      </c>
      <c r="FB163" s="1166">
        <f t="shared" si="387"/>
        <v>0</v>
      </c>
      <c r="FC163" s="1166">
        <f t="shared" si="387"/>
        <v>0</v>
      </c>
      <c r="FD163" s="1166">
        <f t="shared" si="385"/>
        <v>0</v>
      </c>
      <c r="FE163" s="1166">
        <f t="shared" si="385"/>
        <v>0</v>
      </c>
      <c r="FF163" s="1166">
        <f t="shared" si="385"/>
        <v>0</v>
      </c>
      <c r="FG163" s="1166">
        <f t="shared" si="385"/>
        <v>0</v>
      </c>
      <c r="FH163" s="1166">
        <f t="shared" si="385"/>
        <v>0</v>
      </c>
      <c r="FI163" s="1166">
        <f t="shared" si="385"/>
        <v>0</v>
      </c>
      <c r="FJ163" s="1166">
        <f>FJ156-FJ162</f>
        <v>0</v>
      </c>
      <c r="FK163" s="1166">
        <f>FK156-FK162</f>
        <v>0</v>
      </c>
      <c r="FL163" s="1166">
        <f>FL156-FL162</f>
        <v>0</v>
      </c>
      <c r="FM163" s="1166">
        <f t="shared" ref="FM163" si="388">FM156-FM162</f>
        <v>0</v>
      </c>
      <c r="FN163" s="1166">
        <f t="shared" ref="FN163:FU163" si="389">FN156-FN162</f>
        <v>0</v>
      </c>
      <c r="FO163" s="1166">
        <f t="shared" si="389"/>
        <v>0</v>
      </c>
      <c r="FP163" s="1166">
        <f t="shared" si="389"/>
        <v>0</v>
      </c>
      <c r="FQ163" s="1166">
        <f t="shared" si="389"/>
        <v>0</v>
      </c>
      <c r="FR163" s="1166">
        <f t="shared" si="389"/>
        <v>0</v>
      </c>
      <c r="FS163" s="1166">
        <f t="shared" si="389"/>
        <v>0</v>
      </c>
      <c r="FT163" s="1166">
        <f t="shared" si="389"/>
        <v>0</v>
      </c>
      <c r="FU163" s="1166">
        <f t="shared" si="389"/>
        <v>0</v>
      </c>
      <c r="FV163" s="1166">
        <f t="shared" ref="FV163" si="390">FV156-FV162</f>
        <v>0</v>
      </c>
      <c r="FW163" s="1166">
        <f t="shared" ref="FW163" si="391">FW156-FW162</f>
        <v>0</v>
      </c>
      <c r="FX163" s="1166">
        <f t="shared" ref="FX163" si="392">FX156-FX162</f>
        <v>0</v>
      </c>
      <c r="FY163" s="1166">
        <f t="shared" ref="FY163" si="393">FY156-FY162</f>
        <v>0</v>
      </c>
      <c r="FZ163" s="1166">
        <f t="shared" ref="FZ163:GA163" si="394">FZ156-FZ162</f>
        <v>0</v>
      </c>
      <c r="GA163" s="1166">
        <f t="shared" si="394"/>
        <v>0</v>
      </c>
      <c r="GB163" s="1167"/>
    </row>
    <row r="164" spans="3:184">
      <c r="L164" s="1168"/>
      <c r="N164" s="1169"/>
      <c r="O164" s="1168"/>
      <c r="AB164" s="1170" t="e">
        <f>SUM(AB162,#REF!,#REF!)</f>
        <v>#REF!</v>
      </c>
      <c r="AG164" s="1168" t="e">
        <f>SUM(AG162,AH162,#REF!,#REF!)</f>
        <v>#REF!</v>
      </c>
      <c r="AH164" s="1168" t="e">
        <f>SUM(AH162,AJ162,#REF!,#REF!)</f>
        <v>#REF!</v>
      </c>
      <c r="AI164" s="1168" t="e">
        <f>SUM(AI162,EG162,#REF!,#REF!)</f>
        <v>#REF!</v>
      </c>
      <c r="AJ164" s="1168" t="e">
        <f>SUM(AJ162,#REF!,#REF!,#REF!)</f>
        <v>#REF!</v>
      </c>
      <c r="AK164" s="1168"/>
      <c r="AL164" s="1168"/>
      <c r="AM164" s="1168"/>
      <c r="AN164" s="1168"/>
      <c r="AO164" s="1168"/>
      <c r="AP164" s="1168"/>
      <c r="AQ164" s="1168"/>
      <c r="AR164" s="1168"/>
      <c r="AS164" s="1168"/>
      <c r="AT164" s="1168"/>
      <c r="AU164" s="1168"/>
      <c r="AV164" s="1168"/>
      <c r="AW164" s="1168"/>
      <c r="AX164" s="1168"/>
      <c r="AY164" s="1168"/>
      <c r="AZ164" s="1168"/>
      <c r="BA164" s="1168"/>
      <c r="BB164" s="1168"/>
      <c r="BC164" s="1168"/>
      <c r="BD164" s="1168"/>
      <c r="BE164" s="1168"/>
      <c r="BF164" s="1168"/>
      <c r="BG164" s="1168"/>
      <c r="BH164" s="1168"/>
      <c r="BI164" s="1168"/>
      <c r="BJ164" s="1168"/>
      <c r="BK164" s="1168"/>
      <c r="BL164" s="1168"/>
      <c r="BM164" s="1168"/>
      <c r="BN164" s="1168"/>
      <c r="BO164" s="1168"/>
      <c r="BP164" s="1168"/>
      <c r="BQ164" s="1168"/>
      <c r="BR164" s="1168"/>
      <c r="BS164" s="1168"/>
      <c r="BT164" s="1168"/>
      <c r="BU164" s="1168"/>
      <c r="BV164" s="1168"/>
      <c r="BW164" s="1168"/>
      <c r="BX164" s="1168"/>
      <c r="BY164" s="1168"/>
      <c r="BZ164" s="1168"/>
      <c r="CA164" s="1168"/>
      <c r="CB164" s="1168"/>
      <c r="CC164" s="1168"/>
      <c r="CD164" s="1168"/>
      <c r="CE164" s="1168"/>
      <c r="CF164" s="1168"/>
      <c r="CG164" s="1168"/>
      <c r="CH164" s="1168"/>
      <c r="CI164" s="1168"/>
      <c r="CJ164" s="1168"/>
      <c r="CK164" s="1168"/>
      <c r="CL164" s="1168"/>
      <c r="CM164" s="1168"/>
      <c r="CN164" s="1168"/>
      <c r="CO164" s="1168"/>
      <c r="CP164" s="1168"/>
      <c r="CQ164" s="1168"/>
      <c r="CR164" s="1168"/>
      <c r="CS164" s="1168"/>
      <c r="CT164" s="1168"/>
      <c r="CU164" s="1168"/>
      <c r="CV164" s="1168"/>
      <c r="CW164" s="1168"/>
      <c r="CX164" s="1168"/>
      <c r="CY164" s="1168"/>
      <c r="CZ164" s="1168"/>
      <c r="DA164" s="1168"/>
      <c r="DB164" s="1168"/>
      <c r="DC164" s="1168"/>
      <c r="DD164" s="1168"/>
      <c r="DE164" s="1168"/>
      <c r="DF164" s="1168"/>
      <c r="DG164" s="1168"/>
      <c r="DH164" s="1168"/>
      <c r="DI164" s="1168"/>
      <c r="DJ164" s="1168"/>
      <c r="DK164" s="1168"/>
      <c r="DL164" s="1168"/>
      <c r="DM164" s="1168"/>
      <c r="DN164" s="1168"/>
      <c r="DO164" s="1168"/>
      <c r="DP164" s="1168"/>
      <c r="DQ164" s="1168"/>
      <c r="DR164" s="1168"/>
      <c r="DS164" s="1168"/>
      <c r="DT164" s="1168"/>
      <c r="DU164" s="1168"/>
      <c r="DV164" s="1168"/>
      <c r="DW164" s="1168"/>
      <c r="DX164" s="1168"/>
      <c r="DY164" s="1168"/>
      <c r="DZ164" s="1168"/>
      <c r="EA164" s="1168"/>
      <c r="EB164" s="1168"/>
      <c r="EC164" s="1168"/>
      <c r="ED164" s="1168"/>
      <c r="EE164" s="1168"/>
      <c r="EF164" s="1168"/>
      <c r="EG164" s="1168"/>
      <c r="EH164" s="1168"/>
      <c r="EI164" s="1168"/>
      <c r="EJ164" s="1168"/>
      <c r="EK164" s="1168"/>
      <c r="EL164" s="1168"/>
      <c r="EM164" s="1168"/>
    </row>
    <row r="166" spans="3:184">
      <c r="D166" s="1004" t="s">
        <v>1762</v>
      </c>
      <c r="E166" s="1171" t="s">
        <v>2272</v>
      </c>
      <c r="J166" s="1172">
        <f>SUM(K166:GA166)</f>
        <v>24</v>
      </c>
      <c r="K166" s="1671"/>
      <c r="L166" s="1168">
        <f t="shared" ref="L166:P166" si="395">L104-(L115*4+L24*4+L25*4-(L24*4+L25*4))+L108</f>
        <v>0</v>
      </c>
      <c r="M166" s="1168">
        <f t="shared" si="395"/>
        <v>0</v>
      </c>
      <c r="N166" s="1168">
        <f t="shared" si="395"/>
        <v>0</v>
      </c>
      <c r="O166" s="1168">
        <f t="shared" si="395"/>
        <v>0</v>
      </c>
      <c r="P166" s="1168">
        <f t="shared" si="395"/>
        <v>0</v>
      </c>
      <c r="Q166" s="1168"/>
      <c r="R166" s="1168">
        <f>R104-(R115*4+R24*4+R25*4-(R24*4+R25*4))+R108</f>
        <v>0</v>
      </c>
      <c r="S166" s="1168">
        <f>S104-(S115*4+S24*4+S25*4-(S24*4+S25*4))+S108</f>
        <v>0</v>
      </c>
      <c r="T166" s="1173"/>
      <c r="U166" s="1168">
        <f t="shared" ref="U166:EH166" si="396">U104-(U115*4+U24*4+U25*4-(U24*4+U25*4))+U108</f>
        <v>0</v>
      </c>
      <c r="V166" s="1168">
        <f t="shared" si="396"/>
        <v>0</v>
      </c>
      <c r="W166" s="1168">
        <f t="shared" si="396"/>
        <v>0</v>
      </c>
      <c r="X166" s="1168">
        <f t="shared" si="396"/>
        <v>0</v>
      </c>
      <c r="Y166" s="1168">
        <f t="shared" si="396"/>
        <v>0</v>
      </c>
      <c r="Z166" s="1168">
        <f t="shared" si="396"/>
        <v>0</v>
      </c>
      <c r="AA166" s="1168">
        <f t="shared" si="396"/>
        <v>0</v>
      </c>
      <c r="AB166" s="1170">
        <f t="shared" si="396"/>
        <v>0</v>
      </c>
      <c r="AC166" s="1168">
        <f t="shared" si="396"/>
        <v>0</v>
      </c>
      <c r="AD166" s="1168">
        <f t="shared" si="396"/>
        <v>0</v>
      </c>
      <c r="AE166" s="1168">
        <f t="shared" si="396"/>
        <v>0</v>
      </c>
      <c r="AF166" s="1168">
        <f t="shared" si="396"/>
        <v>0</v>
      </c>
      <c r="AG166" s="1168">
        <f t="shared" si="396"/>
        <v>0</v>
      </c>
      <c r="AH166" s="1168">
        <f t="shared" si="396"/>
        <v>0</v>
      </c>
      <c r="AI166" s="1168">
        <f t="shared" si="396"/>
        <v>0</v>
      </c>
      <c r="AJ166" s="1168">
        <f t="shared" si="396"/>
        <v>0</v>
      </c>
      <c r="AK166" s="1168"/>
      <c r="AL166" s="1168"/>
      <c r="AM166" s="1168"/>
      <c r="AN166" s="1168"/>
      <c r="AO166" s="1168"/>
      <c r="AP166" s="1168"/>
      <c r="AQ166" s="1168"/>
      <c r="AR166" s="1168"/>
      <c r="AS166" s="1168"/>
      <c r="AT166" s="1168"/>
      <c r="AU166" s="1168"/>
      <c r="AV166" s="1168"/>
      <c r="AW166" s="1168"/>
      <c r="AX166" s="1168"/>
      <c r="AY166" s="1168"/>
      <c r="AZ166" s="1168"/>
      <c r="BA166" s="1168"/>
      <c r="BB166" s="1168"/>
      <c r="BC166" s="1168"/>
      <c r="BD166" s="1168"/>
      <c r="BE166" s="1168"/>
      <c r="BF166" s="1168"/>
      <c r="BG166" s="1168"/>
      <c r="BH166" s="1168"/>
      <c r="BI166" s="1168"/>
      <c r="BJ166" s="1168"/>
      <c r="BK166" s="1168"/>
      <c r="BL166" s="1168"/>
      <c r="BM166" s="1168"/>
      <c r="BN166" s="1168"/>
      <c r="BO166" s="1168"/>
      <c r="BP166" s="1168"/>
      <c r="BQ166" s="1168"/>
      <c r="BR166" s="1168"/>
      <c r="BS166" s="1168"/>
      <c r="BT166" s="1168"/>
      <c r="BU166" s="1168"/>
      <c r="BV166" s="1168"/>
      <c r="BW166" s="1168"/>
      <c r="BX166" s="1168"/>
      <c r="BY166" s="1168"/>
      <c r="BZ166" s="1168"/>
      <c r="CA166" s="1168"/>
      <c r="CB166" s="1168"/>
      <c r="CC166" s="1168"/>
      <c r="CD166" s="1168"/>
      <c r="CE166" s="1168"/>
      <c r="CF166" s="1168"/>
      <c r="CG166" s="1168"/>
      <c r="CH166" s="1168"/>
      <c r="CI166" s="1168"/>
      <c r="CJ166" s="1168"/>
      <c r="CK166" s="1168"/>
      <c r="CL166" s="1168"/>
      <c r="CM166" s="1168"/>
      <c r="CN166" s="1168"/>
      <c r="CO166" s="1168"/>
      <c r="CP166" s="1168"/>
      <c r="CQ166" s="1168"/>
      <c r="CR166" s="1168"/>
      <c r="CS166" s="1168"/>
      <c r="CT166" s="1168"/>
      <c r="CU166" s="1168"/>
      <c r="CV166" s="1168"/>
      <c r="CW166" s="1168"/>
      <c r="CX166" s="1168"/>
      <c r="CY166" s="1168"/>
      <c r="CZ166" s="1168"/>
      <c r="DA166" s="1168"/>
      <c r="DB166" s="1168"/>
      <c r="DC166" s="1168"/>
      <c r="DD166" s="1168"/>
      <c r="DE166" s="1168"/>
      <c r="DF166" s="1168"/>
      <c r="DG166" s="1168"/>
      <c r="DH166" s="1168"/>
      <c r="DI166" s="1168"/>
      <c r="DJ166" s="1168"/>
      <c r="DK166" s="1168"/>
      <c r="DL166" s="1168"/>
      <c r="DM166" s="1168"/>
      <c r="DN166" s="1168"/>
      <c r="DO166" s="1168"/>
      <c r="DP166" s="1168"/>
      <c r="DQ166" s="1168"/>
      <c r="DR166" s="1168"/>
      <c r="DS166" s="1168"/>
      <c r="DT166" s="1168"/>
      <c r="DU166" s="1168"/>
      <c r="DV166" s="1168"/>
      <c r="DW166" s="1168"/>
      <c r="DX166" s="1168"/>
      <c r="DY166" s="1168"/>
      <c r="DZ166" s="1168"/>
      <c r="EA166" s="1168"/>
      <c r="EB166" s="1168"/>
      <c r="EC166" s="1168"/>
      <c r="ED166" s="1168"/>
      <c r="EE166" s="1168"/>
      <c r="EF166" s="1168"/>
      <c r="EG166" s="1168">
        <f t="shared" si="396"/>
        <v>0</v>
      </c>
      <c r="EH166" s="1168">
        <f t="shared" si="396"/>
        <v>4</v>
      </c>
      <c r="EI166" s="1168">
        <f t="shared" ref="EI166:EK166" si="397">EI104-(EI115*4+EI24*4+EI25*4-(EI24*4+EI25*4))+EI108</f>
        <v>4</v>
      </c>
      <c r="EJ166" s="1168">
        <f t="shared" ref="EJ166" si="398">EJ104-(EJ115*4+EJ24*4+EJ25*4-(EJ24*4+EJ25*4))+EJ108</f>
        <v>4</v>
      </c>
      <c r="EK166" s="1168">
        <f t="shared" si="397"/>
        <v>4</v>
      </c>
      <c r="EL166" s="1168">
        <f t="shared" ref="EL166:EM166" si="399">EL104-(EL115*4+EL24*4+EL25*4-(EL24*4+EL25*4))+EL108</f>
        <v>4</v>
      </c>
      <c r="EM166" s="1168">
        <f t="shared" si="399"/>
        <v>4</v>
      </c>
      <c r="EN166" s="1168">
        <f t="shared" ref="EN166:FJ166" si="400">EN104-(EN115*4+EN24*4+EN25*4-(EN24*4+EN25*4))+EN108</f>
        <v>0</v>
      </c>
      <c r="EO166" s="1168">
        <f t="shared" si="400"/>
        <v>0</v>
      </c>
      <c r="EP166" s="1168">
        <f t="shared" ref="EP166:FC166" si="401">EP104-(EP115*4+EP24*4+EP25*4-(EP24*4+EP25*4))+EP108</f>
        <v>0</v>
      </c>
      <c r="EQ166" s="1168">
        <f t="shared" si="401"/>
        <v>0</v>
      </c>
      <c r="ER166" s="1168">
        <f t="shared" si="401"/>
        <v>0</v>
      </c>
      <c r="ES166" s="1168"/>
      <c r="ET166" s="1168">
        <f t="shared" si="401"/>
        <v>0</v>
      </c>
      <c r="EU166" s="1168">
        <f t="shared" si="401"/>
        <v>0</v>
      </c>
      <c r="EV166" s="1168">
        <f t="shared" si="401"/>
        <v>0</v>
      </c>
      <c r="EW166" s="1168">
        <f t="shared" si="401"/>
        <v>0</v>
      </c>
      <c r="EX166" s="1168">
        <f t="shared" si="401"/>
        <v>0</v>
      </c>
      <c r="EY166" s="1168">
        <f t="shared" si="401"/>
        <v>0</v>
      </c>
      <c r="EZ166" s="1168">
        <f t="shared" si="401"/>
        <v>0</v>
      </c>
      <c r="FA166" s="1168">
        <f t="shared" si="401"/>
        <v>0</v>
      </c>
      <c r="FB166" s="1168">
        <f t="shared" si="401"/>
        <v>0</v>
      </c>
      <c r="FC166" s="1168">
        <f t="shared" si="401"/>
        <v>0</v>
      </c>
      <c r="FD166" s="1168">
        <f t="shared" si="400"/>
        <v>0</v>
      </c>
      <c r="FE166" s="1168">
        <f t="shared" si="400"/>
        <v>0</v>
      </c>
      <c r="FF166" s="1168">
        <f t="shared" si="400"/>
        <v>0</v>
      </c>
      <c r="FG166" s="1168">
        <f t="shared" si="400"/>
        <v>0</v>
      </c>
      <c r="FH166" s="1168">
        <f t="shared" si="400"/>
        <v>0</v>
      </c>
      <c r="FI166" s="1168">
        <f t="shared" si="400"/>
        <v>0</v>
      </c>
      <c r="FJ166" s="1168">
        <f t="shared" si="400"/>
        <v>0</v>
      </c>
      <c r="FK166" s="1168">
        <f t="shared" ref="FK166:GA166" si="402">FK104-(FK115*4+FK24*4+FK25*4-(FK24*4+FK25*4))+FK108</f>
        <v>0</v>
      </c>
      <c r="FL166" s="1168">
        <f t="shared" si="402"/>
        <v>0</v>
      </c>
      <c r="FM166" s="1168">
        <f t="shared" si="402"/>
        <v>0</v>
      </c>
      <c r="FN166" s="1168">
        <f t="shared" si="402"/>
        <v>0</v>
      </c>
      <c r="FO166" s="1168">
        <f t="shared" ref="FO166:FP166" si="403">FO104-(FO115*4+FO24*4+FO25*4-(FO24*4+FO25*4))+FO108</f>
        <v>0</v>
      </c>
      <c r="FP166" s="1168">
        <f t="shared" si="403"/>
        <v>0</v>
      </c>
      <c r="FQ166" s="1168">
        <f t="shared" ref="FQ166:FT166" si="404">FQ104-(FQ115*4+FQ24*4+FQ25*4-(FQ24*4+FQ25*4))+FQ108</f>
        <v>0</v>
      </c>
      <c r="FR166" s="1168">
        <f t="shared" si="404"/>
        <v>0</v>
      </c>
      <c r="FS166" s="1168">
        <f t="shared" si="404"/>
        <v>0</v>
      </c>
      <c r="FT166" s="1168">
        <f t="shared" si="404"/>
        <v>0</v>
      </c>
      <c r="FU166" s="1168">
        <f t="shared" ref="FU166:FX166" si="405">FU104-(FU115*4+FU24*4+FU25*4-(FU24*4+FU25*4))+FU108</f>
        <v>0</v>
      </c>
      <c r="FV166" s="1168">
        <f t="shared" si="405"/>
        <v>0</v>
      </c>
      <c r="FW166" s="1168">
        <f t="shared" si="405"/>
        <v>0</v>
      </c>
      <c r="FX166" s="1168">
        <f t="shared" si="405"/>
        <v>0</v>
      </c>
      <c r="FY166" s="1168">
        <f t="shared" ref="FY166:FZ166" si="406">FY104-(FY115*4+FY24*4+FY25*4-(FY24*4+FY25*4))+FY108</f>
        <v>0</v>
      </c>
      <c r="FZ166" s="1168">
        <f t="shared" si="406"/>
        <v>0</v>
      </c>
      <c r="GA166" s="1168">
        <f t="shared" si="402"/>
        <v>0</v>
      </c>
    </row>
    <row r="167" spans="3:184">
      <c r="E167" s="1004" t="s">
        <v>2273</v>
      </c>
      <c r="N167" s="1009"/>
    </row>
    <row r="168" spans="3:184">
      <c r="E168" s="1004" t="s">
        <v>2274</v>
      </c>
      <c r="N168" s="1009"/>
    </row>
    <row r="169" spans="3:184">
      <c r="N169" s="1009"/>
    </row>
    <row r="170" spans="3:184">
      <c r="N170" s="1009"/>
    </row>
    <row r="171" spans="3:184" ht="16.5">
      <c r="D171" s="1174" t="s">
        <v>1973</v>
      </c>
      <c r="E171" s="1174" t="s">
        <v>2275</v>
      </c>
      <c r="J171" s="1172">
        <f>SUM(K171:GA171)</f>
        <v>0</v>
      </c>
      <c r="K171" s="1175"/>
      <c r="L171" s="1175"/>
      <c r="M171" s="1175"/>
      <c r="N171" s="1176"/>
      <c r="O171" s="1175"/>
      <c r="P171" s="1175"/>
      <c r="Q171" s="1175"/>
      <c r="R171" s="1175"/>
      <c r="S171" s="1175"/>
      <c r="T171" s="1177"/>
      <c r="U171" s="1175"/>
      <c r="V171" s="1175"/>
      <c r="W171" s="1175"/>
      <c r="X171" s="1175"/>
      <c r="Y171" s="1175"/>
      <c r="Z171" s="1175"/>
      <c r="AA171" s="1175"/>
      <c r="AB171" s="1176"/>
      <c r="AC171" s="1175"/>
      <c r="AD171" s="1175"/>
      <c r="AE171" s="1175"/>
      <c r="AF171" s="1175"/>
      <c r="AG171" s="1175"/>
      <c r="AH171" s="1175"/>
      <c r="AI171" s="1175"/>
      <c r="AJ171" s="1175"/>
      <c r="AK171" s="1175"/>
      <c r="AL171" s="1175"/>
      <c r="AM171" s="1175"/>
      <c r="AN171" s="1175"/>
      <c r="AO171" s="1175"/>
      <c r="AP171" s="1175"/>
      <c r="AQ171" s="1175"/>
      <c r="AR171" s="1175"/>
      <c r="AS171" s="1175"/>
      <c r="AT171" s="1175"/>
      <c r="AU171" s="1175"/>
      <c r="AV171" s="1175"/>
      <c r="AW171" s="1175"/>
      <c r="AX171" s="1175"/>
      <c r="AY171" s="1175"/>
      <c r="AZ171" s="1175"/>
      <c r="BA171" s="1175"/>
      <c r="BB171" s="1175"/>
      <c r="BC171" s="1175"/>
      <c r="BD171" s="1175"/>
      <c r="BE171" s="1175"/>
      <c r="BF171" s="1175"/>
      <c r="BG171" s="1175"/>
      <c r="BH171" s="1175"/>
      <c r="BI171" s="1175"/>
      <c r="BJ171" s="1175"/>
      <c r="BK171" s="1175"/>
      <c r="BL171" s="1175"/>
      <c r="BM171" s="1175"/>
      <c r="BN171" s="1175"/>
      <c r="BO171" s="1175"/>
      <c r="BP171" s="1175"/>
      <c r="BQ171" s="1175"/>
      <c r="BR171" s="1175"/>
      <c r="BS171" s="1175"/>
      <c r="BT171" s="1175"/>
      <c r="BU171" s="1175"/>
      <c r="BV171" s="1175"/>
      <c r="BW171" s="1175"/>
      <c r="BX171" s="1175"/>
      <c r="BY171" s="1175"/>
      <c r="BZ171" s="1175"/>
      <c r="CA171" s="1175"/>
      <c r="CB171" s="1175"/>
      <c r="CC171" s="1175"/>
      <c r="CD171" s="1175"/>
      <c r="CE171" s="1175"/>
      <c r="CF171" s="1175"/>
      <c r="CG171" s="1175"/>
      <c r="CH171" s="1175"/>
      <c r="CI171" s="1175"/>
      <c r="CJ171" s="1175"/>
      <c r="CK171" s="1175"/>
      <c r="CL171" s="1175"/>
      <c r="CM171" s="1175"/>
      <c r="CN171" s="1175"/>
      <c r="CO171" s="1175"/>
      <c r="CP171" s="1175"/>
      <c r="CQ171" s="1175"/>
      <c r="CR171" s="1175"/>
      <c r="CS171" s="1175"/>
      <c r="CT171" s="1175"/>
      <c r="CU171" s="1175"/>
      <c r="CV171" s="1175"/>
      <c r="CW171" s="1175"/>
      <c r="CX171" s="1175"/>
      <c r="CY171" s="1175"/>
      <c r="CZ171" s="1175"/>
      <c r="DA171" s="1175"/>
      <c r="DB171" s="1175"/>
      <c r="DC171" s="1175"/>
      <c r="DD171" s="1175"/>
      <c r="DE171" s="1175"/>
      <c r="DF171" s="1175"/>
      <c r="DG171" s="1175"/>
      <c r="DH171" s="1175"/>
      <c r="DI171" s="1175"/>
      <c r="DJ171" s="1175"/>
      <c r="DK171" s="1175"/>
      <c r="DL171" s="1175"/>
      <c r="DM171" s="1175"/>
      <c r="DN171" s="1175"/>
      <c r="DO171" s="1175"/>
      <c r="DP171" s="1175"/>
      <c r="DQ171" s="1175"/>
      <c r="DR171" s="1175"/>
      <c r="DS171" s="1175"/>
      <c r="DT171" s="1175"/>
      <c r="DU171" s="1175"/>
      <c r="DV171" s="1175"/>
      <c r="DW171" s="1175"/>
      <c r="DX171" s="1175"/>
      <c r="DY171" s="1175"/>
      <c r="DZ171" s="1175"/>
      <c r="EA171" s="1175"/>
      <c r="EB171" s="1175"/>
      <c r="EC171" s="1175"/>
      <c r="ED171" s="1175"/>
      <c r="EE171" s="1175"/>
      <c r="EF171" s="1175"/>
      <c r="EG171" s="1175"/>
      <c r="EH171" s="1175"/>
      <c r="EI171" s="1175"/>
      <c r="EJ171" s="1175"/>
      <c r="EK171" s="1175"/>
      <c r="EL171" s="1175"/>
      <c r="EM171" s="1175"/>
      <c r="EN171" s="1175"/>
      <c r="EO171" s="1175"/>
      <c r="EP171" s="1175"/>
      <c r="EQ171" s="1175"/>
      <c r="ER171" s="1175"/>
      <c r="ES171" s="1175"/>
      <c r="ET171" s="1175"/>
      <c r="EU171" s="1175"/>
      <c r="EV171" s="1175"/>
      <c r="EW171" s="1175"/>
      <c r="EX171" s="1175"/>
      <c r="EY171" s="1175"/>
      <c r="EZ171" s="1175"/>
      <c r="FA171" s="1175"/>
      <c r="FB171" s="1175"/>
      <c r="FC171" s="1175"/>
      <c r="FD171" s="1175"/>
      <c r="FE171" s="1175"/>
      <c r="FF171" s="1175"/>
      <c r="FG171" s="1175"/>
      <c r="FH171" s="1175"/>
      <c r="FI171" s="1175"/>
      <c r="FJ171" s="1175"/>
      <c r="FK171" s="1175"/>
      <c r="FL171" s="1175"/>
      <c r="FM171" s="1175"/>
      <c r="FN171" s="1175"/>
      <c r="FO171" s="1175"/>
      <c r="FP171" s="1175"/>
      <c r="FQ171" s="1175"/>
      <c r="FR171" s="1175"/>
      <c r="FS171" s="1175"/>
      <c r="FT171" s="1175"/>
      <c r="FU171" s="1175"/>
      <c r="FV171" s="1175"/>
      <c r="FW171" s="1175"/>
      <c r="FX171" s="1175"/>
      <c r="FY171" s="1175"/>
      <c r="FZ171" s="1175"/>
      <c r="GA171" s="1175"/>
    </row>
    <row r="174" spans="3:184" ht="16.5">
      <c r="D174" s="1174" t="s">
        <v>1973</v>
      </c>
      <c r="E174" s="1174" t="s">
        <v>2276</v>
      </c>
      <c r="J174" s="1172">
        <f>SUM(K174:GA174)</f>
        <v>0</v>
      </c>
      <c r="K174" s="1175">
        <f t="shared" ref="K174:EH174" si="407">K115</f>
        <v>0</v>
      </c>
      <c r="L174" s="1175">
        <f t="shared" si="407"/>
        <v>0</v>
      </c>
      <c r="M174" s="1175">
        <f t="shared" si="407"/>
        <v>0</v>
      </c>
      <c r="N174" s="1175">
        <f t="shared" si="407"/>
        <v>0</v>
      </c>
      <c r="O174" s="1175">
        <f t="shared" si="407"/>
        <v>0</v>
      </c>
      <c r="P174" s="1175">
        <f t="shared" si="407"/>
        <v>0</v>
      </c>
      <c r="Q174" s="1175"/>
      <c r="R174" s="1175">
        <f t="shared" si="407"/>
        <v>0</v>
      </c>
      <c r="S174" s="1175">
        <f t="shared" si="407"/>
        <v>0</v>
      </c>
      <c r="T174" s="1177"/>
      <c r="U174" s="1175">
        <f t="shared" si="407"/>
        <v>0</v>
      </c>
      <c r="V174" s="1175">
        <f t="shared" si="407"/>
        <v>0</v>
      </c>
      <c r="W174" s="1175">
        <f t="shared" si="407"/>
        <v>0</v>
      </c>
      <c r="X174" s="1175">
        <f t="shared" si="407"/>
        <v>0</v>
      </c>
      <c r="Y174" s="1175">
        <f t="shared" si="407"/>
        <v>0</v>
      </c>
      <c r="Z174" s="1175">
        <f>Z115</f>
        <v>0</v>
      </c>
      <c r="AA174" s="1175">
        <f>AA115</f>
        <v>0</v>
      </c>
      <c r="AB174" s="1176">
        <f>AB115</f>
        <v>0</v>
      </c>
      <c r="AC174" s="1175">
        <f>AC115</f>
        <v>0</v>
      </c>
      <c r="AD174" s="1175">
        <f>AD115</f>
        <v>0</v>
      </c>
      <c r="AE174" s="1175">
        <f t="shared" si="407"/>
        <v>0</v>
      </c>
      <c r="AF174" s="1175">
        <f t="shared" si="407"/>
        <v>0</v>
      </c>
      <c r="AG174" s="1175">
        <f t="shared" si="407"/>
        <v>0</v>
      </c>
      <c r="AH174" s="1175">
        <f t="shared" si="407"/>
        <v>0</v>
      </c>
      <c r="AI174" s="1175">
        <f t="shared" si="407"/>
        <v>0</v>
      </c>
      <c r="AJ174" s="1175">
        <f t="shared" si="407"/>
        <v>0</v>
      </c>
      <c r="AK174" s="1175"/>
      <c r="AL174" s="1175"/>
      <c r="AM174" s="1175"/>
      <c r="AN174" s="1175"/>
      <c r="AO174" s="1175"/>
      <c r="AP174" s="1175"/>
      <c r="AQ174" s="1175"/>
      <c r="AR174" s="1175"/>
      <c r="AS174" s="1175"/>
      <c r="AT174" s="1175"/>
      <c r="AU174" s="1175"/>
      <c r="AV174" s="1175"/>
      <c r="AW174" s="1175"/>
      <c r="AX174" s="1175"/>
      <c r="AY174" s="1175"/>
      <c r="AZ174" s="1175"/>
      <c r="BA174" s="1175"/>
      <c r="BB174" s="1175"/>
      <c r="BC174" s="1175"/>
      <c r="BD174" s="1175"/>
      <c r="BE174" s="1175"/>
      <c r="BF174" s="1175"/>
      <c r="BG174" s="1175"/>
      <c r="BH174" s="1175"/>
      <c r="BI174" s="1175"/>
      <c r="BJ174" s="1175"/>
      <c r="BK174" s="1175"/>
      <c r="BL174" s="1175"/>
      <c r="BM174" s="1175"/>
      <c r="BN174" s="1175"/>
      <c r="BO174" s="1175"/>
      <c r="BP174" s="1175"/>
      <c r="BQ174" s="1175"/>
      <c r="BR174" s="1175"/>
      <c r="BS174" s="1175"/>
      <c r="BT174" s="1175"/>
      <c r="BU174" s="1175"/>
      <c r="BV174" s="1175"/>
      <c r="BW174" s="1175"/>
      <c r="BX174" s="1175"/>
      <c r="BY174" s="1175"/>
      <c r="BZ174" s="1175"/>
      <c r="CA174" s="1175"/>
      <c r="CB174" s="1175"/>
      <c r="CC174" s="1175"/>
      <c r="CD174" s="1175"/>
      <c r="CE174" s="1175"/>
      <c r="CF174" s="1175"/>
      <c r="CG174" s="1175"/>
      <c r="CH174" s="1175"/>
      <c r="CI174" s="1175"/>
      <c r="CJ174" s="1175"/>
      <c r="CK174" s="1175"/>
      <c r="CL174" s="1175"/>
      <c r="CM174" s="1175"/>
      <c r="CN174" s="1175"/>
      <c r="CO174" s="1175"/>
      <c r="CP174" s="1175"/>
      <c r="CQ174" s="1175"/>
      <c r="CR174" s="1175"/>
      <c r="CS174" s="1175"/>
      <c r="CT174" s="1175"/>
      <c r="CU174" s="1175"/>
      <c r="CV174" s="1175"/>
      <c r="CW174" s="1175"/>
      <c r="CX174" s="1175"/>
      <c r="CY174" s="1175"/>
      <c r="CZ174" s="1175"/>
      <c r="DA174" s="1175"/>
      <c r="DB174" s="1175"/>
      <c r="DC174" s="1175"/>
      <c r="DD174" s="1175"/>
      <c r="DE174" s="1175"/>
      <c r="DF174" s="1175"/>
      <c r="DG174" s="1175"/>
      <c r="DH174" s="1175"/>
      <c r="DI174" s="1175"/>
      <c r="DJ174" s="1175"/>
      <c r="DK174" s="1175"/>
      <c r="DL174" s="1175"/>
      <c r="DM174" s="1175"/>
      <c r="DN174" s="1175"/>
      <c r="DO174" s="1175"/>
      <c r="DP174" s="1175"/>
      <c r="DQ174" s="1175"/>
      <c r="DR174" s="1175"/>
      <c r="DS174" s="1175"/>
      <c r="DT174" s="1175"/>
      <c r="DU174" s="1175"/>
      <c r="DV174" s="1175"/>
      <c r="DW174" s="1175"/>
      <c r="DX174" s="1175"/>
      <c r="DY174" s="1175"/>
      <c r="DZ174" s="1175"/>
      <c r="EA174" s="1175"/>
      <c r="EB174" s="1175"/>
      <c r="EC174" s="1175"/>
      <c r="ED174" s="1175"/>
      <c r="EE174" s="1175"/>
      <c r="EF174" s="1175"/>
      <c r="EG174" s="1175">
        <f t="shared" si="407"/>
        <v>0</v>
      </c>
      <c r="EH174" s="1175">
        <f t="shared" si="407"/>
        <v>0</v>
      </c>
      <c r="EI174" s="1175">
        <f t="shared" ref="EI174:EK174" si="408">EI115</f>
        <v>0</v>
      </c>
      <c r="EJ174" s="1175">
        <f t="shared" ref="EJ174" si="409">EJ115</f>
        <v>0</v>
      </c>
      <c r="EK174" s="1175">
        <f t="shared" si="408"/>
        <v>0</v>
      </c>
      <c r="EL174" s="1175">
        <f t="shared" ref="EL174:EM174" si="410">EL115</f>
        <v>0</v>
      </c>
      <c r="EM174" s="1175">
        <f t="shared" si="410"/>
        <v>0</v>
      </c>
      <c r="EN174" s="1175">
        <f t="shared" ref="EN174:FI174" si="411">EN115</f>
        <v>0</v>
      </c>
      <c r="EO174" s="1175">
        <f t="shared" si="411"/>
        <v>0</v>
      </c>
      <c r="EP174" s="1175">
        <f t="shared" ref="EP174:EV174" si="412">EP115</f>
        <v>0</v>
      </c>
      <c r="EQ174" s="1175">
        <f t="shared" si="412"/>
        <v>0</v>
      </c>
      <c r="ER174" s="1175">
        <f t="shared" si="412"/>
        <v>0</v>
      </c>
      <c r="ES174" s="1175"/>
      <c r="ET174" s="1175">
        <f t="shared" si="412"/>
        <v>0</v>
      </c>
      <c r="EU174" s="1175">
        <f t="shared" si="412"/>
        <v>0</v>
      </c>
      <c r="EV174" s="1175">
        <f t="shared" si="412"/>
        <v>0</v>
      </c>
      <c r="EW174" s="1175">
        <f>EW115</f>
        <v>0</v>
      </c>
      <c r="EX174" s="1175">
        <f>EX115</f>
        <v>0</v>
      </c>
      <c r="EY174" s="1175">
        <f>EY115</f>
        <v>0</v>
      </c>
      <c r="EZ174" s="1175">
        <f t="shared" ref="EZ174:FC174" si="413">EZ115</f>
        <v>0</v>
      </c>
      <c r="FA174" s="1175">
        <f t="shared" si="413"/>
        <v>0</v>
      </c>
      <c r="FB174" s="1175">
        <f t="shared" si="413"/>
        <v>0</v>
      </c>
      <c r="FC174" s="1175">
        <f t="shared" si="413"/>
        <v>0</v>
      </c>
      <c r="FD174" s="1175">
        <f t="shared" si="411"/>
        <v>0</v>
      </c>
      <c r="FE174" s="1175">
        <f t="shared" si="411"/>
        <v>0</v>
      </c>
      <c r="FF174" s="1175">
        <f t="shared" si="411"/>
        <v>0</v>
      </c>
      <c r="FG174" s="1175">
        <f t="shared" si="411"/>
        <v>0</v>
      </c>
      <c r="FH174" s="1175">
        <f t="shared" si="411"/>
        <v>0</v>
      </c>
      <c r="FI174" s="1175">
        <f t="shared" si="411"/>
        <v>0</v>
      </c>
      <c r="FJ174" s="1175">
        <f>FJ115</f>
        <v>0</v>
      </c>
      <c r="FK174" s="1175">
        <f>FK115</f>
        <v>0</v>
      </c>
      <c r="FL174" s="1175">
        <f>FL115</f>
        <v>0</v>
      </c>
      <c r="FM174" s="1175">
        <f t="shared" ref="FM174" si="414">FM115</f>
        <v>0</v>
      </c>
      <c r="FN174" s="1175">
        <f t="shared" ref="FN174:FU174" si="415">FN115</f>
        <v>0</v>
      </c>
      <c r="FO174" s="1175">
        <f t="shared" si="415"/>
        <v>0</v>
      </c>
      <c r="FP174" s="1175">
        <f t="shared" si="415"/>
        <v>0</v>
      </c>
      <c r="FQ174" s="1175">
        <f t="shared" si="415"/>
        <v>0</v>
      </c>
      <c r="FR174" s="1175">
        <f t="shared" si="415"/>
        <v>0</v>
      </c>
      <c r="FS174" s="1175">
        <f t="shared" si="415"/>
        <v>0</v>
      </c>
      <c r="FT174" s="1175">
        <f t="shared" si="415"/>
        <v>0</v>
      </c>
      <c r="FU174" s="1175">
        <f t="shared" si="415"/>
        <v>0</v>
      </c>
      <c r="FV174" s="1175">
        <f t="shared" ref="FV174:FY174" si="416">FV115</f>
        <v>0</v>
      </c>
      <c r="FW174" s="1175">
        <f t="shared" si="416"/>
        <v>0</v>
      </c>
      <c r="FX174" s="1175">
        <f t="shared" si="416"/>
        <v>0</v>
      </c>
      <c r="FY174" s="1175">
        <f t="shared" si="416"/>
        <v>0</v>
      </c>
      <c r="FZ174" s="1175">
        <f t="shared" ref="FZ174:GA174" si="417">FZ115</f>
        <v>0</v>
      </c>
      <c r="GA174" s="1175">
        <f t="shared" si="417"/>
        <v>0</v>
      </c>
    </row>
    <row r="177" spans="4:184" ht="16.5">
      <c r="D177" s="1174" t="s">
        <v>1973</v>
      </c>
      <c r="E177" s="1174" t="s">
        <v>2277</v>
      </c>
      <c r="J177" s="1172">
        <f>SUM(K177:GA177)</f>
        <v>0</v>
      </c>
      <c r="K177" s="1175"/>
      <c r="L177" s="1175"/>
      <c r="M177" s="1175"/>
      <c r="N177" s="1176"/>
      <c r="O177" s="1175"/>
      <c r="P177" s="1175"/>
      <c r="Q177" s="1175"/>
      <c r="R177" s="1175"/>
      <c r="S177" s="1175"/>
      <c r="T177" s="1177"/>
      <c r="U177" s="1175"/>
      <c r="V177" s="1175"/>
      <c r="W177" s="1175"/>
      <c r="X177" s="1175"/>
      <c r="Y177" s="1175"/>
      <c r="Z177" s="1175"/>
      <c r="AA177" s="1175"/>
      <c r="AB177" s="1176"/>
      <c r="AC177" s="1175"/>
      <c r="AD177" s="1175"/>
      <c r="AE177" s="1175"/>
      <c r="AF177" s="1175"/>
      <c r="AG177" s="1175"/>
      <c r="AH177" s="1175"/>
      <c r="AI177" s="1175"/>
      <c r="AJ177" s="1175"/>
      <c r="AK177" s="1175"/>
      <c r="AL177" s="1175"/>
      <c r="AM177" s="1175"/>
      <c r="AN177" s="1175"/>
      <c r="AO177" s="1175"/>
      <c r="AP177" s="1175"/>
      <c r="AQ177" s="1175"/>
      <c r="AR177" s="1175"/>
      <c r="AS177" s="1175"/>
      <c r="AT177" s="1175"/>
      <c r="AU177" s="1175"/>
      <c r="AV177" s="1175"/>
      <c r="AW177" s="1175"/>
      <c r="AX177" s="1175"/>
      <c r="AY177" s="1175"/>
      <c r="AZ177" s="1175"/>
      <c r="BA177" s="1175"/>
      <c r="BB177" s="1175"/>
      <c r="BC177" s="1175"/>
      <c r="BD177" s="1175"/>
      <c r="BE177" s="1175"/>
      <c r="BF177" s="1175"/>
      <c r="BG177" s="1175"/>
      <c r="BH177" s="1175"/>
      <c r="BI177" s="1175"/>
      <c r="BJ177" s="1175"/>
      <c r="BK177" s="1175"/>
      <c r="BL177" s="1175"/>
      <c r="BM177" s="1175"/>
      <c r="BN177" s="1175"/>
      <c r="BO177" s="1175"/>
      <c r="BP177" s="1175"/>
      <c r="BQ177" s="1175"/>
      <c r="BR177" s="1175"/>
      <c r="BS177" s="1175"/>
      <c r="BT177" s="1175"/>
      <c r="BU177" s="1175"/>
      <c r="BV177" s="1175"/>
      <c r="BW177" s="1175"/>
      <c r="BX177" s="1175"/>
      <c r="BY177" s="1175"/>
      <c r="BZ177" s="1175"/>
      <c r="CA177" s="1175"/>
      <c r="CB177" s="1175"/>
      <c r="CC177" s="1175"/>
      <c r="CD177" s="1175"/>
      <c r="CE177" s="1175"/>
      <c r="CF177" s="1175"/>
      <c r="CG177" s="1175"/>
      <c r="CH177" s="1175"/>
      <c r="CI177" s="1175"/>
      <c r="CJ177" s="1175"/>
      <c r="CK177" s="1175"/>
      <c r="CL177" s="1175"/>
      <c r="CM177" s="1175"/>
      <c r="CN177" s="1175"/>
      <c r="CO177" s="1175"/>
      <c r="CP177" s="1175"/>
      <c r="CQ177" s="1175"/>
      <c r="CR177" s="1175"/>
      <c r="CS177" s="1175"/>
      <c r="CT177" s="1175"/>
      <c r="CU177" s="1175"/>
      <c r="CV177" s="1175"/>
      <c r="CW177" s="1175"/>
      <c r="CX177" s="1175"/>
      <c r="CY177" s="1175"/>
      <c r="CZ177" s="1175"/>
      <c r="DA177" s="1175"/>
      <c r="DB177" s="1175"/>
      <c r="DC177" s="1175"/>
      <c r="DD177" s="1175"/>
      <c r="DE177" s="1175"/>
      <c r="DF177" s="1175"/>
      <c r="DG177" s="1175"/>
      <c r="DH177" s="1175"/>
      <c r="DI177" s="1175"/>
      <c r="DJ177" s="1175"/>
      <c r="DK177" s="1175"/>
      <c r="DL177" s="1175"/>
      <c r="DM177" s="1175"/>
      <c r="DN177" s="1175"/>
      <c r="DO177" s="1175"/>
      <c r="DP177" s="1175"/>
      <c r="DQ177" s="1175"/>
      <c r="DR177" s="1175"/>
      <c r="DS177" s="1175"/>
      <c r="DT177" s="1175"/>
      <c r="DU177" s="1175"/>
      <c r="DV177" s="1175"/>
      <c r="DW177" s="1175"/>
      <c r="DX177" s="1175"/>
      <c r="DY177" s="1175"/>
      <c r="DZ177" s="1175"/>
      <c r="EA177" s="1175"/>
      <c r="EB177" s="1175"/>
      <c r="EC177" s="1175"/>
      <c r="ED177" s="1175"/>
      <c r="EE177" s="1175"/>
      <c r="EF177" s="1175"/>
      <c r="EG177" s="1175"/>
      <c r="EH177" s="1175"/>
      <c r="EI177" s="1175"/>
      <c r="EJ177" s="1175"/>
      <c r="EK177" s="1175"/>
      <c r="EL177" s="1175"/>
      <c r="EM177" s="1175"/>
      <c r="EN177" s="1175"/>
      <c r="EO177" s="1175"/>
      <c r="EP177" s="1175"/>
      <c r="EQ177" s="1175"/>
      <c r="ER177" s="1175"/>
      <c r="ES177" s="1175"/>
      <c r="ET177" s="1175"/>
      <c r="EU177" s="1175"/>
      <c r="EV177" s="1175"/>
      <c r="EW177" s="1175"/>
      <c r="EX177" s="1175"/>
      <c r="EY177" s="1175"/>
      <c r="EZ177" s="1175"/>
      <c r="FA177" s="1175"/>
      <c r="FB177" s="1175"/>
      <c r="FC177" s="1175"/>
      <c r="FD177" s="1175"/>
      <c r="FE177" s="1175"/>
      <c r="FF177" s="1175"/>
      <c r="FG177" s="1175"/>
      <c r="FH177" s="1175"/>
      <c r="FI177" s="1175"/>
      <c r="FJ177" s="1175"/>
      <c r="FK177" s="1175"/>
      <c r="FL177" s="1175"/>
      <c r="FM177" s="1175"/>
      <c r="FN177" s="1175"/>
      <c r="FO177" s="1175"/>
      <c r="FP177" s="1175"/>
      <c r="FQ177" s="1175"/>
      <c r="FR177" s="1175"/>
      <c r="FS177" s="1175"/>
      <c r="FT177" s="1175"/>
      <c r="FU177" s="1175"/>
      <c r="FV177" s="1175"/>
      <c r="FW177" s="1175"/>
      <c r="FX177" s="1175"/>
      <c r="FY177" s="1175"/>
      <c r="FZ177" s="1175"/>
      <c r="GA177" s="1175"/>
    </row>
    <row r="180" spans="4:184" ht="16.5">
      <c r="D180" s="1174" t="s">
        <v>1973</v>
      </c>
      <c r="E180" s="1174" t="s">
        <v>1977</v>
      </c>
      <c r="J180" s="1172">
        <f>SUM(K180:GA180)</f>
        <v>0</v>
      </c>
      <c r="K180" s="1175"/>
      <c r="L180" s="1175"/>
      <c r="M180" s="1175"/>
      <c r="N180" s="1176"/>
      <c r="O180" s="1175"/>
      <c r="P180" s="1175"/>
      <c r="Q180" s="1175"/>
      <c r="R180" s="1175"/>
      <c r="S180" s="1175"/>
      <c r="T180" s="1177"/>
      <c r="U180" s="1175"/>
      <c r="V180" s="1175"/>
      <c r="W180" s="1175"/>
      <c r="X180" s="1175"/>
      <c r="Y180" s="1175"/>
      <c r="Z180" s="1175"/>
      <c r="AA180" s="1175"/>
      <c r="AB180" s="1176"/>
      <c r="AC180" s="1175"/>
      <c r="AD180" s="1175"/>
      <c r="AE180" s="1175"/>
      <c r="AF180" s="1175"/>
      <c r="AG180" s="1175"/>
      <c r="AH180" s="1175"/>
      <c r="AI180" s="1175"/>
      <c r="AJ180" s="1175"/>
      <c r="AK180" s="1175"/>
      <c r="AL180" s="1175"/>
      <c r="AM180" s="1175"/>
      <c r="AN180" s="1175"/>
      <c r="AO180" s="1175"/>
      <c r="AP180" s="1175"/>
      <c r="AQ180" s="1175"/>
      <c r="AR180" s="1175"/>
      <c r="AS180" s="1175"/>
      <c r="AT180" s="1175"/>
      <c r="AU180" s="1175"/>
      <c r="AV180" s="1175"/>
      <c r="AW180" s="1175"/>
      <c r="AX180" s="1175"/>
      <c r="AY180" s="1175"/>
      <c r="AZ180" s="1175"/>
      <c r="BA180" s="1175"/>
      <c r="BB180" s="1175"/>
      <c r="BC180" s="1175"/>
      <c r="BD180" s="1175"/>
      <c r="BE180" s="1175"/>
      <c r="BF180" s="1175"/>
      <c r="BG180" s="1175"/>
      <c r="BH180" s="1175"/>
      <c r="BI180" s="1175"/>
      <c r="BJ180" s="1175"/>
      <c r="BK180" s="1175"/>
      <c r="BL180" s="1175"/>
      <c r="BM180" s="1175"/>
      <c r="BN180" s="1175"/>
      <c r="BO180" s="1175"/>
      <c r="BP180" s="1175"/>
      <c r="BQ180" s="1175"/>
      <c r="BR180" s="1175"/>
      <c r="BS180" s="1175"/>
      <c r="BT180" s="1175"/>
      <c r="BU180" s="1175"/>
      <c r="BV180" s="1175"/>
      <c r="BW180" s="1175"/>
      <c r="BX180" s="1175"/>
      <c r="BY180" s="1175"/>
      <c r="BZ180" s="1175"/>
      <c r="CA180" s="1175"/>
      <c r="CB180" s="1175"/>
      <c r="CC180" s="1175"/>
      <c r="CD180" s="1175"/>
      <c r="CE180" s="1175"/>
      <c r="CF180" s="1175"/>
      <c r="CG180" s="1175"/>
      <c r="CH180" s="1175"/>
      <c r="CI180" s="1175"/>
      <c r="CJ180" s="1175"/>
      <c r="CK180" s="1175"/>
      <c r="CL180" s="1175"/>
      <c r="CM180" s="1175"/>
      <c r="CN180" s="1175"/>
      <c r="CO180" s="1175"/>
      <c r="CP180" s="1175"/>
      <c r="CQ180" s="1175"/>
      <c r="CR180" s="1175"/>
      <c r="CS180" s="1175"/>
      <c r="CT180" s="1175"/>
      <c r="CU180" s="1175"/>
      <c r="CV180" s="1175"/>
      <c r="CW180" s="1175"/>
      <c r="CX180" s="1175"/>
      <c r="CY180" s="1175"/>
      <c r="CZ180" s="1175"/>
      <c r="DA180" s="1175"/>
      <c r="DB180" s="1175"/>
      <c r="DC180" s="1175"/>
      <c r="DD180" s="1175"/>
      <c r="DE180" s="1175"/>
      <c r="DF180" s="1175"/>
      <c r="DG180" s="1175"/>
      <c r="DH180" s="1175"/>
      <c r="DI180" s="1175"/>
      <c r="DJ180" s="1175"/>
      <c r="DK180" s="1175"/>
      <c r="DL180" s="1175"/>
      <c r="DM180" s="1175"/>
      <c r="DN180" s="1175"/>
      <c r="DO180" s="1175"/>
      <c r="DP180" s="1175"/>
      <c r="DQ180" s="1175"/>
      <c r="DR180" s="1175"/>
      <c r="DS180" s="1175"/>
      <c r="DT180" s="1175"/>
      <c r="DU180" s="1175"/>
      <c r="DV180" s="1175"/>
      <c r="DW180" s="1175"/>
      <c r="DX180" s="1175"/>
      <c r="DY180" s="1175"/>
      <c r="DZ180" s="1175"/>
      <c r="EA180" s="1175"/>
      <c r="EB180" s="1175"/>
      <c r="EC180" s="1175"/>
      <c r="ED180" s="1175"/>
      <c r="EE180" s="1175"/>
      <c r="EF180" s="1175"/>
      <c r="EG180" s="1175"/>
      <c r="EH180" s="1175"/>
      <c r="EI180" s="1175"/>
      <c r="EJ180" s="1175"/>
      <c r="EK180" s="1175"/>
      <c r="EL180" s="1175"/>
      <c r="EM180" s="1175"/>
      <c r="EN180" s="1175"/>
      <c r="EO180" s="1175"/>
      <c r="EP180" s="1175"/>
      <c r="EQ180" s="1175"/>
      <c r="ER180" s="1175"/>
      <c r="ES180" s="1175"/>
      <c r="ET180" s="1175"/>
      <c r="EU180" s="1175"/>
      <c r="EV180" s="1175"/>
      <c r="EW180" s="1175"/>
      <c r="EX180" s="1175"/>
      <c r="EY180" s="1175"/>
      <c r="EZ180" s="1175"/>
      <c r="FA180" s="1175"/>
      <c r="FB180" s="1175"/>
      <c r="FC180" s="1175"/>
      <c r="FD180" s="1175"/>
      <c r="FE180" s="1175"/>
      <c r="FF180" s="1175"/>
      <c r="FG180" s="1175"/>
      <c r="FH180" s="1175"/>
      <c r="FI180" s="1175"/>
      <c r="FJ180" s="1175"/>
      <c r="FK180" s="1175"/>
      <c r="FL180" s="1175"/>
      <c r="FM180" s="1175"/>
      <c r="FN180" s="1175"/>
      <c r="FO180" s="1175"/>
      <c r="FP180" s="1175"/>
      <c r="FQ180" s="1175"/>
      <c r="FR180" s="1175"/>
      <c r="FS180" s="1175"/>
      <c r="FT180" s="1175"/>
      <c r="FU180" s="1175"/>
      <c r="FV180" s="1175"/>
      <c r="FW180" s="1175"/>
      <c r="FX180" s="1175"/>
      <c r="FY180" s="1175"/>
      <c r="FZ180" s="1175"/>
      <c r="GA180" s="1175"/>
    </row>
    <row r="183" spans="4:184" ht="16.5">
      <c r="D183" s="1174" t="s">
        <v>1997</v>
      </c>
      <c r="E183" s="1174" t="s">
        <v>1757</v>
      </c>
      <c r="G183" s="1004" t="s">
        <v>8</v>
      </c>
      <c r="J183" s="1172">
        <f>SUM(K183:GA183)</f>
        <v>0</v>
      </c>
    </row>
    <row r="184" spans="4:184" ht="16.5">
      <c r="D184" s="1178"/>
      <c r="E184" s="1178"/>
      <c r="G184" s="1004"/>
      <c r="J184" s="1172"/>
    </row>
    <row r="185" spans="4:184" s="1180" customFormat="1" ht="16.5">
      <c r="D185" s="1179"/>
      <c r="E185" s="1179"/>
      <c r="F185" s="1179"/>
      <c r="G185" s="1179"/>
      <c r="L185" s="1181"/>
      <c r="M185" s="1181"/>
      <c r="N185" s="1181"/>
      <c r="O185" s="1181"/>
      <c r="P185" s="1181"/>
      <c r="Q185" s="1181"/>
      <c r="R185" s="1181"/>
      <c r="S185" s="1181"/>
      <c r="T185" s="1182"/>
      <c r="U185" s="1181"/>
      <c r="V185" s="1181"/>
      <c r="W185" s="1181"/>
      <c r="X185" s="1181"/>
      <c r="Y185" s="1181"/>
      <c r="Z185" s="1181"/>
      <c r="AA185" s="1181"/>
      <c r="AB185" s="1183"/>
      <c r="AC185" s="1181"/>
      <c r="AD185" s="1181"/>
      <c r="AE185" s="1181"/>
      <c r="AF185" s="1181"/>
      <c r="AG185" s="1181"/>
      <c r="AH185" s="1181"/>
      <c r="AI185" s="1181"/>
      <c r="AJ185" s="1181"/>
      <c r="AK185" s="1181"/>
      <c r="AL185" s="1181"/>
      <c r="AM185" s="1181"/>
      <c r="AN185" s="1181"/>
      <c r="AO185" s="1181"/>
      <c r="AP185" s="1181"/>
      <c r="AQ185" s="1181"/>
      <c r="AR185" s="1181"/>
      <c r="AS185" s="1181"/>
      <c r="AT185" s="1181"/>
      <c r="AU185" s="1181"/>
      <c r="AV185" s="1181"/>
      <c r="AW185" s="1181"/>
      <c r="AX185" s="1181"/>
      <c r="AY185" s="1181"/>
      <c r="AZ185" s="1181"/>
      <c r="BA185" s="1181"/>
      <c r="BB185" s="1181"/>
      <c r="BC185" s="1181"/>
      <c r="BD185" s="1181"/>
      <c r="BE185" s="1181"/>
      <c r="BF185" s="1181"/>
      <c r="BG185" s="1181"/>
      <c r="BH185" s="1181"/>
      <c r="BI185" s="1181"/>
      <c r="BJ185" s="1181"/>
      <c r="BK185" s="1181"/>
      <c r="BL185" s="1181"/>
      <c r="BM185" s="1181"/>
      <c r="BN185" s="1181"/>
      <c r="BO185" s="1181"/>
      <c r="BP185" s="1181"/>
      <c r="BQ185" s="1181"/>
      <c r="BR185" s="1181"/>
      <c r="BS185" s="1181"/>
      <c r="BT185" s="1181"/>
      <c r="BU185" s="1181"/>
      <c r="BV185" s="1181"/>
      <c r="BW185" s="1181"/>
      <c r="BX185" s="1181"/>
      <c r="BY185" s="1181"/>
      <c r="BZ185" s="1181"/>
      <c r="CA185" s="1181"/>
      <c r="CB185" s="1181"/>
      <c r="CC185" s="1181"/>
      <c r="CD185" s="1181"/>
      <c r="CE185" s="1181"/>
      <c r="CF185" s="1181"/>
      <c r="CG185" s="1181"/>
      <c r="CH185" s="1181"/>
      <c r="CI185" s="1181"/>
      <c r="CJ185" s="1181"/>
      <c r="CK185" s="1181"/>
      <c r="CL185" s="1181"/>
      <c r="CM185" s="1181"/>
      <c r="CN185" s="1181"/>
      <c r="CO185" s="1181"/>
      <c r="CP185" s="1181"/>
      <c r="CQ185" s="1181"/>
      <c r="CR185" s="1181"/>
      <c r="CS185" s="1181"/>
      <c r="CT185" s="1181"/>
      <c r="CU185" s="1181"/>
      <c r="CV185" s="1181"/>
      <c r="CW185" s="1181"/>
      <c r="CX185" s="1181"/>
      <c r="CY185" s="1181"/>
      <c r="CZ185" s="1181"/>
      <c r="DA185" s="1181"/>
      <c r="DB185" s="1181"/>
      <c r="DC185" s="1181"/>
      <c r="DD185" s="1181"/>
      <c r="DE185" s="1181"/>
      <c r="DF185" s="1181"/>
      <c r="DG185" s="1181"/>
      <c r="DH185" s="1181"/>
      <c r="DI185" s="1181"/>
      <c r="DJ185" s="1181"/>
      <c r="DK185" s="1181"/>
      <c r="DL185" s="1181"/>
      <c r="DM185" s="1181"/>
      <c r="DN185" s="1181"/>
      <c r="DO185" s="1181"/>
      <c r="DP185" s="1181"/>
      <c r="DQ185" s="1181"/>
      <c r="DR185" s="1181"/>
      <c r="DS185" s="1181"/>
      <c r="DT185" s="1181"/>
      <c r="DU185" s="1181"/>
      <c r="DV185" s="1181"/>
      <c r="DW185" s="1181"/>
      <c r="DX185" s="1181"/>
      <c r="DY185" s="1181"/>
      <c r="DZ185" s="1181"/>
      <c r="EA185" s="1181"/>
      <c r="EB185" s="1181"/>
      <c r="EC185" s="1181"/>
      <c r="ED185" s="1181"/>
      <c r="EE185" s="1181"/>
      <c r="EF185" s="1181"/>
      <c r="EG185" s="1181"/>
      <c r="EH185" s="1181"/>
      <c r="EI185" s="1181"/>
      <c r="EJ185" s="1181"/>
      <c r="EK185" s="1181"/>
      <c r="EL185" s="1181"/>
      <c r="EM185" s="1181"/>
      <c r="EN185" s="1181"/>
      <c r="EO185" s="1181"/>
      <c r="EP185" s="1181"/>
      <c r="EQ185" s="1181"/>
      <c r="ER185" s="1181"/>
      <c r="ES185" s="1181"/>
      <c r="ET185" s="1181"/>
      <c r="EU185" s="1181"/>
      <c r="EV185" s="1181"/>
      <c r="EW185" s="1181"/>
      <c r="EX185" s="1181"/>
      <c r="EY185" s="1181"/>
      <c r="EZ185" s="1181"/>
      <c r="FA185" s="1181"/>
      <c r="FB185" s="1181"/>
      <c r="FC185" s="1181"/>
      <c r="FD185" s="1181"/>
      <c r="FE185" s="1181"/>
      <c r="FF185" s="1181"/>
      <c r="FG185" s="1181"/>
      <c r="FH185" s="1181"/>
      <c r="FI185" s="1181"/>
      <c r="FJ185" s="1181"/>
      <c r="FK185" s="1181"/>
      <c r="FL185" s="1181"/>
      <c r="FM185" s="1181"/>
      <c r="FN185" s="1181"/>
      <c r="FO185" s="1181"/>
      <c r="FP185" s="1181"/>
      <c r="FQ185" s="1181"/>
      <c r="FR185" s="1181"/>
      <c r="FS185" s="1181"/>
      <c r="FT185" s="1181"/>
      <c r="FU185" s="1181"/>
      <c r="FV185" s="1181"/>
      <c r="FW185" s="1181"/>
      <c r="FX185" s="1181"/>
      <c r="FY185" s="1181"/>
      <c r="FZ185" s="1181"/>
      <c r="GA185" s="1181"/>
      <c r="GB185" s="1181"/>
    </row>
    <row r="186" spans="4:184" s="1180" customFormat="1" ht="16.5">
      <c r="D186" s="1179" t="s">
        <v>1999</v>
      </c>
      <c r="E186" s="1179" t="s">
        <v>2000</v>
      </c>
      <c r="F186" s="1179" t="s">
        <v>1759</v>
      </c>
      <c r="G186" s="1179" t="s">
        <v>8</v>
      </c>
      <c r="J186" s="1172">
        <f>SUM(K186:GA186)</f>
        <v>0</v>
      </c>
      <c r="L186" s="1181"/>
      <c r="M186" s="1181"/>
      <c r="N186" s="1181"/>
      <c r="O186" s="1181"/>
      <c r="P186" s="1181"/>
      <c r="Q186" s="1181"/>
      <c r="R186" s="1181"/>
      <c r="S186" s="1181"/>
      <c r="T186" s="1182"/>
      <c r="U186" s="1181"/>
      <c r="V186" s="1181"/>
      <c r="W186" s="1181"/>
      <c r="X186" s="1181"/>
      <c r="Y186" s="1181"/>
      <c r="Z186" s="1181"/>
      <c r="AA186" s="1181"/>
      <c r="AB186" s="1183"/>
      <c r="AC186" s="1181"/>
      <c r="AD186" s="1181"/>
      <c r="AE186" s="1181"/>
      <c r="AF186" s="1181"/>
      <c r="AG186" s="1181"/>
      <c r="AH186" s="1181"/>
      <c r="AI186" s="1181"/>
      <c r="AJ186" s="1181"/>
      <c r="AK186" s="1181"/>
      <c r="AL186" s="1181"/>
      <c r="AM186" s="1181"/>
      <c r="AN186" s="1181"/>
      <c r="AO186" s="1181"/>
      <c r="AP186" s="1181"/>
      <c r="AQ186" s="1181"/>
      <c r="AR186" s="1181"/>
      <c r="AS186" s="1181"/>
      <c r="AT186" s="1181"/>
      <c r="AU186" s="1181"/>
      <c r="AV186" s="1181"/>
      <c r="AW186" s="1181"/>
      <c r="AX186" s="1181"/>
      <c r="AY186" s="1181"/>
      <c r="AZ186" s="1181"/>
      <c r="BA186" s="1181"/>
      <c r="BB186" s="1181"/>
      <c r="BC186" s="1181"/>
      <c r="BD186" s="1181"/>
      <c r="BE186" s="1181"/>
      <c r="BF186" s="1181"/>
      <c r="BG186" s="1181"/>
      <c r="BH186" s="1181"/>
      <c r="BI186" s="1181"/>
      <c r="BJ186" s="1181"/>
      <c r="BK186" s="1181"/>
      <c r="BL186" s="1181"/>
      <c r="BM186" s="1181"/>
      <c r="BN186" s="1181"/>
      <c r="BO186" s="1181"/>
      <c r="BP186" s="1181"/>
      <c r="BQ186" s="1181"/>
      <c r="BR186" s="1181"/>
      <c r="BS186" s="1181"/>
      <c r="BT186" s="1181"/>
      <c r="BU186" s="1181"/>
      <c r="BV186" s="1181"/>
      <c r="BW186" s="1181"/>
      <c r="BX186" s="1181"/>
      <c r="BY186" s="1181"/>
      <c r="BZ186" s="1181"/>
      <c r="CA186" s="1181"/>
      <c r="CB186" s="1181"/>
      <c r="CC186" s="1181"/>
      <c r="CD186" s="1181"/>
      <c r="CE186" s="1181"/>
      <c r="CF186" s="1181"/>
      <c r="CG186" s="1181"/>
      <c r="CH186" s="1181"/>
      <c r="CI186" s="1181"/>
      <c r="CJ186" s="1181"/>
      <c r="CK186" s="1181"/>
      <c r="CL186" s="1181"/>
      <c r="CM186" s="1181"/>
      <c r="CN186" s="1181"/>
      <c r="CO186" s="1181"/>
      <c r="CP186" s="1181"/>
      <c r="CQ186" s="1181"/>
      <c r="CR186" s="1181"/>
      <c r="CS186" s="1181"/>
      <c r="CT186" s="1181"/>
      <c r="CU186" s="1181"/>
      <c r="CV186" s="1181"/>
      <c r="CW186" s="1181"/>
      <c r="CX186" s="1181"/>
      <c r="CY186" s="1181"/>
      <c r="CZ186" s="1181"/>
      <c r="DA186" s="1181"/>
      <c r="DB186" s="1181"/>
      <c r="DC186" s="1181"/>
      <c r="DD186" s="1181"/>
      <c r="DE186" s="1181"/>
      <c r="DF186" s="1181"/>
      <c r="DG186" s="1181"/>
      <c r="DH186" s="1181"/>
      <c r="DI186" s="1181"/>
      <c r="DJ186" s="1181"/>
      <c r="DK186" s="1181"/>
      <c r="DL186" s="1181"/>
      <c r="DM186" s="1181"/>
      <c r="DN186" s="1181"/>
      <c r="DO186" s="1181"/>
      <c r="DP186" s="1181"/>
      <c r="DQ186" s="1181"/>
      <c r="DR186" s="1181"/>
      <c r="DS186" s="1181"/>
      <c r="DT186" s="1181"/>
      <c r="DU186" s="1181"/>
      <c r="DV186" s="1181"/>
      <c r="DW186" s="1181"/>
      <c r="DX186" s="1181"/>
      <c r="DY186" s="1181"/>
      <c r="DZ186" s="1181"/>
      <c r="EA186" s="1181"/>
      <c r="EB186" s="1181"/>
      <c r="EC186" s="1181"/>
      <c r="ED186" s="1181"/>
      <c r="EE186" s="1181"/>
      <c r="EF186" s="1181"/>
      <c r="EG186" s="1181"/>
      <c r="EH186" s="1181"/>
      <c r="EI186" s="1181"/>
      <c r="EJ186" s="1181"/>
      <c r="EK186" s="1181"/>
      <c r="EL186" s="1181"/>
      <c r="EM186" s="1181"/>
      <c r="EN186" s="1181"/>
      <c r="EO186" s="1181"/>
      <c r="EP186" s="1181"/>
      <c r="EQ186" s="1181"/>
      <c r="ER186" s="1181"/>
      <c r="ES186" s="1181"/>
      <c r="ET186" s="1181"/>
      <c r="EU186" s="1181"/>
      <c r="EV186" s="1181"/>
      <c r="EW186" s="1181"/>
      <c r="EX186" s="1181"/>
      <c r="EY186" s="1181"/>
      <c r="EZ186" s="1181"/>
      <c r="FA186" s="1181"/>
      <c r="FB186" s="1181"/>
      <c r="FC186" s="1181"/>
      <c r="FD186" s="1181"/>
      <c r="FE186" s="1181"/>
      <c r="FF186" s="1181"/>
      <c r="FG186" s="1181"/>
      <c r="FH186" s="1181"/>
      <c r="FI186" s="1181"/>
      <c r="FJ186" s="1181"/>
      <c r="FK186" s="1181"/>
      <c r="FL186" s="1181"/>
      <c r="FM186" s="1181"/>
      <c r="FN186" s="1181"/>
      <c r="FO186" s="1181"/>
      <c r="FP186" s="1181"/>
      <c r="FQ186" s="1181"/>
      <c r="FR186" s="1181"/>
      <c r="FS186" s="1181"/>
      <c r="FT186" s="1181"/>
      <c r="FU186" s="1181"/>
      <c r="FV186" s="1181"/>
      <c r="FW186" s="1181"/>
      <c r="FX186" s="1181"/>
      <c r="FY186" s="1181"/>
      <c r="FZ186" s="1181"/>
      <c r="GA186" s="1181"/>
      <c r="GB186" s="1181"/>
    </row>
    <row r="187" spans="4:184" s="1180" customFormat="1" ht="16.5">
      <c r="D187" s="1179"/>
      <c r="E187" s="1179"/>
      <c r="F187" s="1179"/>
      <c r="G187" s="1179"/>
      <c r="L187" s="1181"/>
      <c r="M187" s="1181"/>
      <c r="N187" s="1181"/>
      <c r="O187" s="1181"/>
      <c r="P187" s="1181"/>
      <c r="Q187" s="1181"/>
      <c r="R187" s="1181"/>
      <c r="S187" s="1181"/>
      <c r="T187" s="1182"/>
      <c r="U187" s="1181"/>
      <c r="V187" s="1181"/>
      <c r="W187" s="1181"/>
      <c r="X187" s="1181"/>
      <c r="Y187" s="1181"/>
      <c r="Z187" s="1181"/>
      <c r="AA187" s="1181"/>
      <c r="AB187" s="1183"/>
      <c r="AC187" s="1181"/>
      <c r="AD187" s="1181"/>
      <c r="AE187" s="1181"/>
      <c r="AF187" s="1181"/>
      <c r="AG187" s="1181"/>
      <c r="AH187" s="1181"/>
      <c r="AI187" s="1181"/>
      <c r="AJ187" s="1181"/>
      <c r="AK187" s="1181"/>
      <c r="AL187" s="1181"/>
      <c r="AM187" s="1181"/>
      <c r="AN187" s="1181"/>
      <c r="AO187" s="1181"/>
      <c r="AP187" s="1181"/>
      <c r="AQ187" s="1181"/>
      <c r="AR187" s="1181"/>
      <c r="AS187" s="1181"/>
      <c r="AT187" s="1181"/>
      <c r="AU187" s="1181"/>
      <c r="AV187" s="1181"/>
      <c r="AW187" s="1181"/>
      <c r="AX187" s="1181"/>
      <c r="AY187" s="1181"/>
      <c r="AZ187" s="1181"/>
      <c r="BA187" s="1181"/>
      <c r="BB187" s="1181"/>
      <c r="BC187" s="1181"/>
      <c r="BD187" s="1181"/>
      <c r="BE187" s="1181"/>
      <c r="BF187" s="1181"/>
      <c r="BG187" s="1181"/>
      <c r="BH187" s="1181"/>
      <c r="BI187" s="1181"/>
      <c r="BJ187" s="1181"/>
      <c r="BK187" s="1181"/>
      <c r="BL187" s="1181"/>
      <c r="BM187" s="1181"/>
      <c r="BN187" s="1181"/>
      <c r="BO187" s="1181"/>
      <c r="BP187" s="1181"/>
      <c r="BQ187" s="1181"/>
      <c r="BR187" s="1181"/>
      <c r="BS187" s="1181"/>
      <c r="BT187" s="1181"/>
      <c r="BU187" s="1181"/>
      <c r="BV187" s="1181"/>
      <c r="BW187" s="1181"/>
      <c r="BX187" s="1181"/>
      <c r="BY187" s="1181"/>
      <c r="BZ187" s="1181"/>
      <c r="CA187" s="1181"/>
      <c r="CB187" s="1181"/>
      <c r="CC187" s="1181"/>
      <c r="CD187" s="1181"/>
      <c r="CE187" s="1181"/>
      <c r="CF187" s="1181"/>
      <c r="CG187" s="1181"/>
      <c r="CH187" s="1181"/>
      <c r="CI187" s="1181"/>
      <c r="CJ187" s="1181"/>
      <c r="CK187" s="1181"/>
      <c r="CL187" s="1181"/>
      <c r="CM187" s="1181"/>
      <c r="CN187" s="1181"/>
      <c r="CO187" s="1181"/>
      <c r="CP187" s="1181"/>
      <c r="CQ187" s="1181"/>
      <c r="CR187" s="1181"/>
      <c r="CS187" s="1181"/>
      <c r="CT187" s="1181"/>
      <c r="CU187" s="1181"/>
      <c r="CV187" s="1181"/>
      <c r="CW187" s="1181"/>
      <c r="CX187" s="1181"/>
      <c r="CY187" s="1181"/>
      <c r="CZ187" s="1181"/>
      <c r="DA187" s="1181"/>
      <c r="DB187" s="1181"/>
      <c r="DC187" s="1181"/>
      <c r="DD187" s="1181"/>
      <c r="DE187" s="1181"/>
      <c r="DF187" s="1181"/>
      <c r="DG187" s="1181"/>
      <c r="DH187" s="1181"/>
      <c r="DI187" s="1181"/>
      <c r="DJ187" s="1181"/>
      <c r="DK187" s="1181"/>
      <c r="DL187" s="1181"/>
      <c r="DM187" s="1181"/>
      <c r="DN187" s="1181"/>
      <c r="DO187" s="1181"/>
      <c r="DP187" s="1181"/>
      <c r="DQ187" s="1181"/>
      <c r="DR187" s="1181"/>
      <c r="DS187" s="1181"/>
      <c r="DT187" s="1181"/>
      <c r="DU187" s="1181"/>
      <c r="DV187" s="1181"/>
      <c r="DW187" s="1181"/>
      <c r="DX187" s="1181"/>
      <c r="DY187" s="1181"/>
      <c r="DZ187" s="1181"/>
      <c r="EA187" s="1181"/>
      <c r="EB187" s="1181"/>
      <c r="EC187" s="1181"/>
      <c r="ED187" s="1181"/>
      <c r="EE187" s="1181"/>
      <c r="EF187" s="1181"/>
      <c r="EG187" s="1181"/>
      <c r="EH187" s="1181"/>
      <c r="EI187" s="1181"/>
      <c r="EJ187" s="1181"/>
      <c r="EK187" s="1181"/>
      <c r="EL187" s="1181"/>
      <c r="EM187" s="1181"/>
      <c r="EN187" s="1181"/>
      <c r="EO187" s="1181"/>
      <c r="EP187" s="1181"/>
      <c r="EQ187" s="1181"/>
      <c r="ER187" s="1181"/>
      <c r="ES187" s="1181"/>
      <c r="ET187" s="1181"/>
      <c r="EU187" s="1181"/>
      <c r="EV187" s="1181"/>
      <c r="EW187" s="1181"/>
      <c r="EX187" s="1181"/>
      <c r="EY187" s="1181"/>
      <c r="EZ187" s="1181"/>
      <c r="FA187" s="1181"/>
      <c r="FB187" s="1181"/>
      <c r="FC187" s="1181"/>
      <c r="FD187" s="1181"/>
      <c r="FE187" s="1181"/>
      <c r="FF187" s="1181"/>
      <c r="FG187" s="1181"/>
      <c r="FH187" s="1181"/>
      <c r="FI187" s="1181"/>
      <c r="FJ187" s="1181"/>
      <c r="FK187" s="1181"/>
      <c r="FL187" s="1181"/>
      <c r="FM187" s="1181"/>
      <c r="FN187" s="1181"/>
      <c r="FO187" s="1181"/>
      <c r="FP187" s="1181"/>
      <c r="FQ187" s="1181"/>
      <c r="FR187" s="1181"/>
      <c r="FS187" s="1181"/>
      <c r="FT187" s="1181"/>
      <c r="FU187" s="1181"/>
      <c r="FV187" s="1181"/>
      <c r="FW187" s="1181"/>
      <c r="FX187" s="1181"/>
      <c r="FY187" s="1181"/>
      <c r="FZ187" s="1181"/>
      <c r="GA187" s="1181"/>
      <c r="GB187" s="1181"/>
    </row>
    <row r="188" spans="4:184" s="1180" customFormat="1" ht="16.5">
      <c r="D188" s="1179"/>
      <c r="E188" s="1179"/>
      <c r="F188" s="1179"/>
      <c r="G188" s="1179"/>
      <c r="L188" s="1181"/>
      <c r="M188" s="1181"/>
      <c r="N188" s="1181"/>
      <c r="O188" s="1181"/>
      <c r="P188" s="1181"/>
      <c r="Q188" s="1181"/>
      <c r="R188" s="1181"/>
      <c r="S188" s="1181"/>
      <c r="T188" s="1182"/>
      <c r="U188" s="1181"/>
      <c r="V188" s="1181"/>
      <c r="W188" s="1181"/>
      <c r="X188" s="1181"/>
      <c r="Y188" s="1181"/>
      <c r="Z188" s="1181"/>
      <c r="AA188" s="1181"/>
      <c r="AB188" s="1183"/>
      <c r="AC188" s="1181"/>
      <c r="AD188" s="1181"/>
      <c r="AE188" s="1181"/>
      <c r="AF188" s="1181"/>
      <c r="AG188" s="1181"/>
      <c r="AH188" s="1181"/>
      <c r="AI188" s="1181"/>
      <c r="AJ188" s="1181"/>
      <c r="AK188" s="1181"/>
      <c r="AL188" s="1181"/>
      <c r="AM188" s="1181"/>
      <c r="AN188" s="1181"/>
      <c r="AO188" s="1181"/>
      <c r="AP188" s="1181"/>
      <c r="AQ188" s="1181"/>
      <c r="AR188" s="1181"/>
      <c r="AS188" s="1181"/>
      <c r="AT188" s="1181"/>
      <c r="AU188" s="1181"/>
      <c r="AV188" s="1181"/>
      <c r="AW188" s="1181"/>
      <c r="AX188" s="1181"/>
      <c r="AY188" s="1181"/>
      <c r="AZ188" s="1181"/>
      <c r="BA188" s="1181"/>
      <c r="BB188" s="1181"/>
      <c r="BC188" s="1181"/>
      <c r="BD188" s="1181"/>
      <c r="BE188" s="1181"/>
      <c r="BF188" s="1181"/>
      <c r="BG188" s="1181"/>
      <c r="BH188" s="1181"/>
      <c r="BI188" s="1181"/>
      <c r="BJ188" s="1181"/>
      <c r="BK188" s="1181"/>
      <c r="BL188" s="1181"/>
      <c r="BM188" s="1181"/>
      <c r="BN188" s="1181"/>
      <c r="BO188" s="1181"/>
      <c r="BP188" s="1181"/>
      <c r="BQ188" s="1181"/>
      <c r="BR188" s="1181"/>
      <c r="BS188" s="1181"/>
      <c r="BT188" s="1181"/>
      <c r="BU188" s="1181"/>
      <c r="BV188" s="1181"/>
      <c r="BW188" s="1181"/>
      <c r="BX188" s="1181"/>
      <c r="BY188" s="1181"/>
      <c r="BZ188" s="1181"/>
      <c r="CA188" s="1181"/>
      <c r="CB188" s="1181"/>
      <c r="CC188" s="1181"/>
      <c r="CD188" s="1181"/>
      <c r="CE188" s="1181"/>
      <c r="CF188" s="1181"/>
      <c r="CG188" s="1181"/>
      <c r="CH188" s="1181"/>
      <c r="CI188" s="1181"/>
      <c r="CJ188" s="1181"/>
      <c r="CK188" s="1181"/>
      <c r="CL188" s="1181"/>
      <c r="CM188" s="1181"/>
      <c r="CN188" s="1181"/>
      <c r="CO188" s="1181"/>
      <c r="CP188" s="1181"/>
      <c r="CQ188" s="1181"/>
      <c r="CR188" s="1181"/>
      <c r="CS188" s="1181"/>
      <c r="CT188" s="1181"/>
      <c r="CU188" s="1181"/>
      <c r="CV188" s="1181"/>
      <c r="CW188" s="1181"/>
      <c r="CX188" s="1181"/>
      <c r="CY188" s="1181"/>
      <c r="CZ188" s="1181"/>
      <c r="DA188" s="1181"/>
      <c r="DB188" s="1181"/>
      <c r="DC188" s="1181"/>
      <c r="DD188" s="1181"/>
      <c r="DE188" s="1181"/>
      <c r="DF188" s="1181"/>
      <c r="DG188" s="1181"/>
      <c r="DH188" s="1181"/>
      <c r="DI188" s="1181"/>
      <c r="DJ188" s="1181"/>
      <c r="DK188" s="1181"/>
      <c r="DL188" s="1181"/>
      <c r="DM188" s="1181"/>
      <c r="DN188" s="1181"/>
      <c r="DO188" s="1181"/>
      <c r="DP188" s="1181"/>
      <c r="DQ188" s="1181"/>
      <c r="DR188" s="1181"/>
      <c r="DS188" s="1181"/>
      <c r="DT188" s="1181"/>
      <c r="DU188" s="1181"/>
      <c r="DV188" s="1181"/>
      <c r="DW188" s="1181"/>
      <c r="DX188" s="1181"/>
      <c r="DY188" s="1181"/>
      <c r="DZ188" s="1181"/>
      <c r="EA188" s="1181"/>
      <c r="EB188" s="1181"/>
      <c r="EC188" s="1181"/>
      <c r="ED188" s="1181"/>
      <c r="EE188" s="1181"/>
      <c r="EF188" s="1181"/>
      <c r="EG188" s="1181"/>
      <c r="EH188" s="1181"/>
      <c r="EI188" s="1181"/>
      <c r="EJ188" s="1181"/>
      <c r="EK188" s="1181"/>
      <c r="EL188" s="1181"/>
      <c r="EM188" s="1181"/>
      <c r="EN188" s="1181"/>
      <c r="EO188" s="1181"/>
      <c r="EP188" s="1181"/>
      <c r="EQ188" s="1181"/>
      <c r="ER188" s="1181"/>
      <c r="ES188" s="1181"/>
      <c r="ET188" s="1181"/>
      <c r="EU188" s="1181"/>
      <c r="EV188" s="1181"/>
      <c r="EW188" s="1181"/>
      <c r="EX188" s="1181"/>
      <c r="EY188" s="1181"/>
      <c r="EZ188" s="1181"/>
      <c r="FA188" s="1181"/>
      <c r="FB188" s="1181"/>
      <c r="FC188" s="1181"/>
      <c r="FD188" s="1181"/>
      <c r="FE188" s="1181"/>
      <c r="FF188" s="1181"/>
      <c r="FG188" s="1181"/>
      <c r="FH188" s="1181"/>
      <c r="FI188" s="1181"/>
      <c r="FJ188" s="1181"/>
      <c r="FK188" s="1181"/>
      <c r="FL188" s="1181"/>
      <c r="FM188" s="1181"/>
      <c r="FN188" s="1181"/>
      <c r="FO188" s="1181"/>
      <c r="FP188" s="1181"/>
      <c r="FQ188" s="1181"/>
      <c r="FR188" s="1181"/>
      <c r="FS188" s="1181"/>
      <c r="FT188" s="1181"/>
      <c r="FU188" s="1181"/>
      <c r="FV188" s="1181"/>
      <c r="FW188" s="1181"/>
      <c r="FX188" s="1181"/>
      <c r="FY188" s="1181"/>
      <c r="FZ188" s="1181"/>
      <c r="GA188" s="1181"/>
      <c r="GB188" s="1181"/>
    </row>
    <row r="189" spans="4:184" s="1180" customFormat="1" ht="16.5">
      <c r="D189" s="1179" t="s">
        <v>1999</v>
      </c>
      <c r="E189" s="1179" t="s">
        <v>2003</v>
      </c>
      <c r="F189" s="1179" t="s">
        <v>2278</v>
      </c>
      <c r="G189" s="1179" t="s">
        <v>8</v>
      </c>
      <c r="J189" s="1172">
        <f>SUM(K189:GA189)</f>
        <v>0</v>
      </c>
      <c r="L189" s="1181"/>
      <c r="M189" s="1181"/>
      <c r="N189" s="1181"/>
      <c r="O189" s="1181"/>
      <c r="P189" s="1181"/>
      <c r="Q189" s="1181"/>
      <c r="R189" s="1181"/>
      <c r="S189" s="1181"/>
      <c r="T189" s="1182"/>
      <c r="U189" s="1181"/>
      <c r="V189" s="1181"/>
      <c r="W189" s="1181"/>
      <c r="X189" s="1181"/>
      <c r="Y189" s="1181"/>
      <c r="Z189" s="1181"/>
      <c r="AA189" s="1181"/>
      <c r="AB189" s="1183"/>
      <c r="AC189" s="1181"/>
      <c r="AD189" s="1181"/>
      <c r="AE189" s="1181"/>
      <c r="AF189" s="1181"/>
      <c r="AG189" s="1181"/>
      <c r="AH189" s="1181"/>
      <c r="AI189" s="1181"/>
      <c r="AJ189" s="1181"/>
      <c r="AK189" s="1181"/>
      <c r="AL189" s="1181"/>
      <c r="AM189" s="1181"/>
      <c r="AN189" s="1181"/>
      <c r="AO189" s="1181"/>
      <c r="AP189" s="1181"/>
      <c r="AQ189" s="1181"/>
      <c r="AR189" s="1181"/>
      <c r="AS189" s="1181"/>
      <c r="AT189" s="1181"/>
      <c r="AU189" s="1181"/>
      <c r="AV189" s="1181"/>
      <c r="AW189" s="1181"/>
      <c r="AX189" s="1181"/>
      <c r="AY189" s="1181"/>
      <c r="AZ189" s="1181"/>
      <c r="BA189" s="1181"/>
      <c r="BB189" s="1181"/>
      <c r="BC189" s="1181"/>
      <c r="BD189" s="1181"/>
      <c r="BE189" s="1181"/>
      <c r="BF189" s="1181"/>
      <c r="BG189" s="1181"/>
      <c r="BH189" s="1181"/>
      <c r="BI189" s="1181"/>
      <c r="BJ189" s="1181"/>
      <c r="BK189" s="1181"/>
      <c r="BL189" s="1181"/>
      <c r="BM189" s="1181"/>
      <c r="BN189" s="1181"/>
      <c r="BO189" s="1181"/>
      <c r="BP189" s="1181"/>
      <c r="BQ189" s="1181"/>
      <c r="BR189" s="1181"/>
      <c r="BS189" s="1181"/>
      <c r="BT189" s="1181"/>
      <c r="BU189" s="1181"/>
      <c r="BV189" s="1181"/>
      <c r="BW189" s="1181"/>
      <c r="BX189" s="1181"/>
      <c r="BY189" s="1181"/>
      <c r="BZ189" s="1181"/>
      <c r="CA189" s="1181"/>
      <c r="CB189" s="1181"/>
      <c r="CC189" s="1181"/>
      <c r="CD189" s="1181"/>
      <c r="CE189" s="1181"/>
      <c r="CF189" s="1181"/>
      <c r="CG189" s="1181"/>
      <c r="CH189" s="1181"/>
      <c r="CI189" s="1181"/>
      <c r="CJ189" s="1181"/>
      <c r="CK189" s="1181"/>
      <c r="CL189" s="1181"/>
      <c r="CM189" s="1181"/>
      <c r="CN189" s="1181"/>
      <c r="CO189" s="1181"/>
      <c r="CP189" s="1181"/>
      <c r="CQ189" s="1181"/>
      <c r="CR189" s="1181"/>
      <c r="CS189" s="1181"/>
      <c r="CT189" s="1181"/>
      <c r="CU189" s="1181"/>
      <c r="CV189" s="1181"/>
      <c r="CW189" s="1181"/>
      <c r="CX189" s="1181"/>
      <c r="CY189" s="1181"/>
      <c r="CZ189" s="1181"/>
      <c r="DA189" s="1181"/>
      <c r="DB189" s="1181"/>
      <c r="DC189" s="1181"/>
      <c r="DD189" s="1181"/>
      <c r="DE189" s="1181"/>
      <c r="DF189" s="1181"/>
      <c r="DG189" s="1181"/>
      <c r="DH189" s="1181"/>
      <c r="DI189" s="1181"/>
      <c r="DJ189" s="1181"/>
      <c r="DK189" s="1181"/>
      <c r="DL189" s="1181"/>
      <c r="DM189" s="1181"/>
      <c r="DN189" s="1181"/>
      <c r="DO189" s="1181"/>
      <c r="DP189" s="1181"/>
      <c r="DQ189" s="1181"/>
      <c r="DR189" s="1181"/>
      <c r="DS189" s="1181"/>
      <c r="DT189" s="1181"/>
      <c r="DU189" s="1181"/>
      <c r="DV189" s="1181"/>
      <c r="DW189" s="1181"/>
      <c r="DX189" s="1181"/>
      <c r="DY189" s="1181"/>
      <c r="DZ189" s="1181"/>
      <c r="EA189" s="1181"/>
      <c r="EB189" s="1181"/>
      <c r="EC189" s="1181"/>
      <c r="ED189" s="1181"/>
      <c r="EE189" s="1181"/>
      <c r="EF189" s="1181"/>
      <c r="EG189" s="1181"/>
      <c r="EH189" s="1181"/>
      <c r="EI189" s="1181"/>
      <c r="EJ189" s="1181"/>
      <c r="EK189" s="1181"/>
      <c r="EL189" s="1181"/>
      <c r="EM189" s="1181"/>
      <c r="EN189" s="1181"/>
      <c r="EO189" s="1181"/>
      <c r="EP189" s="1181"/>
      <c r="EQ189" s="1181"/>
      <c r="ER189" s="1181"/>
      <c r="ES189" s="1181"/>
      <c r="ET189" s="1181"/>
      <c r="EU189" s="1181"/>
      <c r="EV189" s="1181"/>
      <c r="EW189" s="1181"/>
      <c r="EX189" s="1181"/>
      <c r="EY189" s="1181"/>
      <c r="EZ189" s="1181"/>
      <c r="FA189" s="1181"/>
      <c r="FB189" s="1181"/>
      <c r="FC189" s="1181"/>
      <c r="FD189" s="1181"/>
      <c r="FE189" s="1181"/>
      <c r="FF189" s="1181"/>
      <c r="FG189" s="1181"/>
      <c r="FH189" s="1181"/>
      <c r="FI189" s="1181"/>
      <c r="FJ189" s="1181"/>
      <c r="FK189" s="1181"/>
      <c r="FL189" s="1181"/>
      <c r="FM189" s="1181"/>
      <c r="FN189" s="1181"/>
      <c r="FO189" s="1181"/>
      <c r="FP189" s="1181"/>
      <c r="FQ189" s="1181"/>
      <c r="FR189" s="1181"/>
      <c r="FS189" s="1181"/>
      <c r="FT189" s="1181"/>
      <c r="FU189" s="1181"/>
      <c r="FV189" s="1181"/>
      <c r="FW189" s="1181"/>
      <c r="FX189" s="1181"/>
      <c r="FY189" s="1181"/>
      <c r="FZ189" s="1181"/>
      <c r="GA189" s="1181"/>
      <c r="GB189" s="1181"/>
    </row>
    <row r="190" spans="4:184" s="1180" customFormat="1" ht="16.5">
      <c r="D190" s="1179"/>
      <c r="E190" s="1179"/>
      <c r="F190" s="1179"/>
      <c r="L190" s="1181"/>
      <c r="M190" s="1181"/>
      <c r="N190" s="1181"/>
      <c r="O190" s="1181"/>
      <c r="P190" s="1181"/>
      <c r="Q190" s="1181"/>
      <c r="R190" s="1181"/>
      <c r="S190" s="1181"/>
      <c r="T190" s="1182"/>
      <c r="U190" s="1181"/>
      <c r="V190" s="1181"/>
      <c r="W190" s="1181"/>
      <c r="X190" s="1181"/>
      <c r="Y190" s="1181"/>
      <c r="Z190" s="1181"/>
      <c r="AA190" s="1181"/>
      <c r="AB190" s="1183"/>
      <c r="AC190" s="1181"/>
      <c r="AD190" s="1181"/>
      <c r="AE190" s="1181"/>
      <c r="AF190" s="1181"/>
      <c r="AG190" s="1181"/>
      <c r="AH190" s="1181"/>
      <c r="AI190" s="1181"/>
      <c r="AJ190" s="1181"/>
      <c r="AK190" s="1181"/>
      <c r="AL190" s="1181"/>
      <c r="AM190" s="1181"/>
      <c r="AN190" s="1181"/>
      <c r="AO190" s="1181"/>
      <c r="AP190" s="1181"/>
      <c r="AQ190" s="1181"/>
      <c r="AR190" s="1181"/>
      <c r="AS190" s="1181"/>
      <c r="AT190" s="1181"/>
      <c r="AU190" s="1181"/>
      <c r="AV190" s="1181"/>
      <c r="AW190" s="1181"/>
      <c r="AX190" s="1181"/>
      <c r="AY190" s="1181"/>
      <c r="AZ190" s="1181"/>
      <c r="BA190" s="1181"/>
      <c r="BB190" s="1181"/>
      <c r="BC190" s="1181"/>
      <c r="BD190" s="1181"/>
      <c r="BE190" s="1181"/>
      <c r="BF190" s="1181"/>
      <c r="BG190" s="1181"/>
      <c r="BH190" s="1181"/>
      <c r="BI190" s="1181"/>
      <c r="BJ190" s="1181"/>
      <c r="BK190" s="1181"/>
      <c r="BL190" s="1181"/>
      <c r="BM190" s="1181"/>
      <c r="BN190" s="1181"/>
      <c r="BO190" s="1181"/>
      <c r="BP190" s="1181"/>
      <c r="BQ190" s="1181"/>
      <c r="BR190" s="1181"/>
      <c r="BS190" s="1181"/>
      <c r="BT190" s="1181"/>
      <c r="BU190" s="1181"/>
      <c r="BV190" s="1181"/>
      <c r="BW190" s="1181"/>
      <c r="BX190" s="1181"/>
      <c r="BY190" s="1181"/>
      <c r="BZ190" s="1181"/>
      <c r="CA190" s="1181"/>
      <c r="CB190" s="1181"/>
      <c r="CC190" s="1181"/>
      <c r="CD190" s="1181"/>
      <c r="CE190" s="1181"/>
      <c r="CF190" s="1181"/>
      <c r="CG190" s="1181"/>
      <c r="CH190" s="1181"/>
      <c r="CI190" s="1181"/>
      <c r="CJ190" s="1181"/>
      <c r="CK190" s="1181"/>
      <c r="CL190" s="1181"/>
      <c r="CM190" s="1181"/>
      <c r="CN190" s="1181"/>
      <c r="CO190" s="1181"/>
      <c r="CP190" s="1181"/>
      <c r="CQ190" s="1181"/>
      <c r="CR190" s="1181"/>
      <c r="CS190" s="1181"/>
      <c r="CT190" s="1181"/>
      <c r="CU190" s="1181"/>
      <c r="CV190" s="1181"/>
      <c r="CW190" s="1181"/>
      <c r="CX190" s="1181"/>
      <c r="CY190" s="1181"/>
      <c r="CZ190" s="1181"/>
      <c r="DA190" s="1181"/>
      <c r="DB190" s="1181"/>
      <c r="DC190" s="1181"/>
      <c r="DD190" s="1181"/>
      <c r="DE190" s="1181"/>
      <c r="DF190" s="1181"/>
      <c r="DG190" s="1181"/>
      <c r="DH190" s="1181"/>
      <c r="DI190" s="1181"/>
      <c r="DJ190" s="1181"/>
      <c r="DK190" s="1181"/>
      <c r="DL190" s="1181"/>
      <c r="DM190" s="1181"/>
      <c r="DN190" s="1181"/>
      <c r="DO190" s="1181"/>
      <c r="DP190" s="1181"/>
      <c r="DQ190" s="1181"/>
      <c r="DR190" s="1181"/>
      <c r="DS190" s="1181"/>
      <c r="DT190" s="1181"/>
      <c r="DU190" s="1181"/>
      <c r="DV190" s="1181"/>
      <c r="DW190" s="1181"/>
      <c r="DX190" s="1181"/>
      <c r="DY190" s="1181"/>
      <c r="DZ190" s="1181"/>
      <c r="EA190" s="1181"/>
      <c r="EB190" s="1181"/>
      <c r="EC190" s="1181"/>
      <c r="ED190" s="1181"/>
      <c r="EE190" s="1181"/>
      <c r="EF190" s="1181"/>
      <c r="EG190" s="1181"/>
      <c r="EH190" s="1181"/>
      <c r="EI190" s="1181"/>
      <c r="EJ190" s="1181"/>
      <c r="EK190" s="1181"/>
      <c r="EL190" s="1181"/>
      <c r="EM190" s="1181"/>
      <c r="EN190" s="1181"/>
      <c r="EO190" s="1181"/>
      <c r="EP190" s="1181"/>
      <c r="EQ190" s="1181"/>
      <c r="ER190" s="1181"/>
      <c r="ES190" s="1181"/>
      <c r="ET190" s="1181"/>
      <c r="EU190" s="1181"/>
      <c r="EV190" s="1181"/>
      <c r="EW190" s="1181"/>
      <c r="EX190" s="1181"/>
      <c r="EY190" s="1181"/>
      <c r="EZ190" s="1181"/>
      <c r="FA190" s="1181"/>
      <c r="FB190" s="1181"/>
      <c r="FC190" s="1181"/>
      <c r="FD190" s="1181"/>
      <c r="FE190" s="1181"/>
      <c r="FF190" s="1181"/>
      <c r="FG190" s="1181"/>
      <c r="FH190" s="1181"/>
      <c r="FI190" s="1181"/>
      <c r="FJ190" s="1181"/>
      <c r="FK190" s="1181"/>
      <c r="FL190" s="1181"/>
      <c r="FM190" s="1181"/>
      <c r="FN190" s="1181"/>
      <c r="FO190" s="1181"/>
      <c r="FP190" s="1181"/>
      <c r="FQ190" s="1181"/>
      <c r="FR190" s="1181"/>
      <c r="FS190" s="1181"/>
      <c r="FT190" s="1181"/>
      <c r="FU190" s="1181"/>
      <c r="FV190" s="1181"/>
      <c r="FW190" s="1181"/>
      <c r="FX190" s="1181"/>
      <c r="FY190" s="1181"/>
      <c r="FZ190" s="1181"/>
      <c r="GA190" s="1181"/>
      <c r="GB190" s="1181"/>
    </row>
    <row r="191" spans="4:184" s="1180" customFormat="1" ht="16.5">
      <c r="D191" s="1179"/>
      <c r="E191" s="1179"/>
      <c r="F191" s="1179"/>
      <c r="L191" s="1181"/>
      <c r="M191" s="1181"/>
      <c r="N191" s="1181"/>
      <c r="O191" s="1181"/>
      <c r="P191" s="1181"/>
      <c r="Q191" s="1181"/>
      <c r="R191" s="1181"/>
      <c r="S191" s="1181"/>
      <c r="T191" s="1182"/>
      <c r="U191" s="1181"/>
      <c r="V191" s="1181"/>
      <c r="W191" s="1181"/>
      <c r="X191" s="1181"/>
      <c r="Y191" s="1181"/>
      <c r="Z191" s="1181"/>
      <c r="AA191" s="1181"/>
      <c r="AB191" s="1183"/>
      <c r="AC191" s="1181"/>
      <c r="AD191" s="1181"/>
      <c r="AE191" s="1181"/>
      <c r="AF191" s="1181"/>
      <c r="AG191" s="1181"/>
      <c r="AH191" s="1181"/>
      <c r="AI191" s="1181"/>
      <c r="AJ191" s="1181"/>
      <c r="AK191" s="1181"/>
      <c r="AL191" s="1181"/>
      <c r="AM191" s="1181"/>
      <c r="AN191" s="1181"/>
      <c r="AO191" s="1181"/>
      <c r="AP191" s="1181"/>
      <c r="AQ191" s="1181"/>
      <c r="AR191" s="1181"/>
      <c r="AS191" s="1181"/>
      <c r="AT191" s="1181"/>
      <c r="AU191" s="1181"/>
      <c r="AV191" s="1181"/>
      <c r="AW191" s="1181"/>
      <c r="AX191" s="1181"/>
      <c r="AY191" s="1181"/>
      <c r="AZ191" s="1181"/>
      <c r="BA191" s="1181"/>
      <c r="BB191" s="1181"/>
      <c r="BC191" s="1181"/>
      <c r="BD191" s="1181"/>
      <c r="BE191" s="1181"/>
      <c r="BF191" s="1181"/>
      <c r="BG191" s="1181"/>
      <c r="BH191" s="1181"/>
      <c r="BI191" s="1181"/>
      <c r="BJ191" s="1181"/>
      <c r="BK191" s="1181"/>
      <c r="BL191" s="1181"/>
      <c r="BM191" s="1181"/>
      <c r="BN191" s="1181"/>
      <c r="BO191" s="1181"/>
      <c r="BP191" s="1181"/>
      <c r="BQ191" s="1181"/>
      <c r="BR191" s="1181"/>
      <c r="BS191" s="1181"/>
      <c r="BT191" s="1181"/>
      <c r="BU191" s="1181"/>
      <c r="BV191" s="1181"/>
      <c r="BW191" s="1181"/>
      <c r="BX191" s="1181"/>
      <c r="BY191" s="1181"/>
      <c r="BZ191" s="1181"/>
      <c r="CA191" s="1181"/>
      <c r="CB191" s="1181"/>
      <c r="CC191" s="1181"/>
      <c r="CD191" s="1181"/>
      <c r="CE191" s="1181"/>
      <c r="CF191" s="1181"/>
      <c r="CG191" s="1181"/>
      <c r="CH191" s="1181"/>
      <c r="CI191" s="1181"/>
      <c r="CJ191" s="1181"/>
      <c r="CK191" s="1181"/>
      <c r="CL191" s="1181"/>
      <c r="CM191" s="1181"/>
      <c r="CN191" s="1181"/>
      <c r="CO191" s="1181"/>
      <c r="CP191" s="1181"/>
      <c r="CQ191" s="1181"/>
      <c r="CR191" s="1181"/>
      <c r="CS191" s="1181"/>
      <c r="CT191" s="1181"/>
      <c r="CU191" s="1181"/>
      <c r="CV191" s="1181"/>
      <c r="CW191" s="1181"/>
      <c r="CX191" s="1181"/>
      <c r="CY191" s="1181"/>
      <c r="CZ191" s="1181"/>
      <c r="DA191" s="1181"/>
      <c r="DB191" s="1181"/>
      <c r="DC191" s="1181"/>
      <c r="DD191" s="1181"/>
      <c r="DE191" s="1181"/>
      <c r="DF191" s="1181"/>
      <c r="DG191" s="1181"/>
      <c r="DH191" s="1181"/>
      <c r="DI191" s="1181"/>
      <c r="DJ191" s="1181"/>
      <c r="DK191" s="1181"/>
      <c r="DL191" s="1181"/>
      <c r="DM191" s="1181"/>
      <c r="DN191" s="1181"/>
      <c r="DO191" s="1181"/>
      <c r="DP191" s="1181"/>
      <c r="DQ191" s="1181"/>
      <c r="DR191" s="1181"/>
      <c r="DS191" s="1181"/>
      <c r="DT191" s="1181"/>
      <c r="DU191" s="1181"/>
      <c r="DV191" s="1181"/>
      <c r="DW191" s="1181"/>
      <c r="DX191" s="1181"/>
      <c r="DY191" s="1181"/>
      <c r="DZ191" s="1181"/>
      <c r="EA191" s="1181"/>
      <c r="EB191" s="1181"/>
      <c r="EC191" s="1181"/>
      <c r="ED191" s="1181"/>
      <c r="EE191" s="1181"/>
      <c r="EF191" s="1181"/>
      <c r="EG191" s="1181"/>
      <c r="EH191" s="1181"/>
      <c r="EI191" s="1181"/>
      <c r="EJ191" s="1181"/>
      <c r="EK191" s="1181"/>
      <c r="EL191" s="1181"/>
      <c r="EM191" s="1181"/>
      <c r="EN191" s="1181"/>
      <c r="EO191" s="1181"/>
      <c r="EP191" s="1181"/>
      <c r="EQ191" s="1181"/>
      <c r="ER191" s="1181"/>
      <c r="ES191" s="1181"/>
      <c r="ET191" s="1181"/>
      <c r="EU191" s="1181"/>
      <c r="EV191" s="1181"/>
      <c r="EW191" s="1181"/>
      <c r="EX191" s="1181"/>
      <c r="EY191" s="1181"/>
      <c r="EZ191" s="1181"/>
      <c r="FA191" s="1181"/>
      <c r="FB191" s="1181"/>
      <c r="FC191" s="1181"/>
      <c r="FD191" s="1181"/>
      <c r="FE191" s="1181"/>
      <c r="FF191" s="1181"/>
      <c r="FG191" s="1181"/>
      <c r="FH191" s="1181"/>
      <c r="FI191" s="1181"/>
      <c r="FJ191" s="1181"/>
      <c r="FK191" s="1181"/>
      <c r="FL191" s="1181"/>
      <c r="FM191" s="1181"/>
      <c r="FN191" s="1181"/>
      <c r="FO191" s="1181"/>
      <c r="FP191" s="1181"/>
      <c r="FQ191" s="1181"/>
      <c r="FR191" s="1181"/>
      <c r="FS191" s="1181"/>
      <c r="FT191" s="1181"/>
      <c r="FU191" s="1181"/>
      <c r="FV191" s="1181"/>
      <c r="FW191" s="1181"/>
      <c r="FX191" s="1181"/>
      <c r="FY191" s="1181"/>
      <c r="FZ191" s="1181"/>
      <c r="GA191" s="1181"/>
      <c r="GB191" s="1181"/>
    </row>
    <row r="192" spans="4:184" s="1180" customFormat="1" ht="16.5">
      <c r="D192" s="1179"/>
      <c r="E192" s="1179"/>
      <c r="F192" s="1179"/>
      <c r="L192" s="1181"/>
      <c r="M192" s="1181"/>
      <c r="N192" s="1181"/>
      <c r="O192" s="1181"/>
      <c r="P192" s="1181"/>
      <c r="Q192" s="1181"/>
      <c r="R192" s="1181"/>
      <c r="S192" s="1181"/>
      <c r="T192" s="1182"/>
      <c r="U192" s="1181"/>
      <c r="V192" s="1181"/>
      <c r="W192" s="1181"/>
      <c r="X192" s="1181"/>
      <c r="Y192" s="1181"/>
      <c r="Z192" s="1181"/>
      <c r="AA192" s="1181"/>
      <c r="AB192" s="1183"/>
      <c r="AC192" s="1181"/>
      <c r="AD192" s="1181"/>
      <c r="AE192" s="1181"/>
      <c r="AF192" s="1181"/>
      <c r="AG192" s="1181"/>
      <c r="AH192" s="1181"/>
      <c r="AI192" s="1181"/>
      <c r="AJ192" s="1181"/>
      <c r="AK192" s="1181"/>
      <c r="AL192" s="1181"/>
      <c r="AM192" s="1181"/>
      <c r="AN192" s="1181"/>
      <c r="AO192" s="1181"/>
      <c r="AP192" s="1181"/>
      <c r="AQ192" s="1181"/>
      <c r="AR192" s="1181"/>
      <c r="AS192" s="1181"/>
      <c r="AT192" s="1181"/>
      <c r="AU192" s="1181"/>
      <c r="AV192" s="1181"/>
      <c r="AW192" s="1181"/>
      <c r="AX192" s="1181"/>
      <c r="AY192" s="1181"/>
      <c r="AZ192" s="1181"/>
      <c r="BA192" s="1181"/>
      <c r="BB192" s="1181"/>
      <c r="BC192" s="1181"/>
      <c r="BD192" s="1181"/>
      <c r="BE192" s="1181"/>
      <c r="BF192" s="1181"/>
      <c r="BG192" s="1181"/>
      <c r="BH192" s="1181"/>
      <c r="BI192" s="1181"/>
      <c r="BJ192" s="1181"/>
      <c r="BK192" s="1181"/>
      <c r="BL192" s="1181"/>
      <c r="BM192" s="1181"/>
      <c r="BN192" s="1181"/>
      <c r="BO192" s="1181"/>
      <c r="BP192" s="1181"/>
      <c r="BQ192" s="1181"/>
      <c r="BR192" s="1181"/>
      <c r="BS192" s="1181"/>
      <c r="BT192" s="1181"/>
      <c r="BU192" s="1181"/>
      <c r="BV192" s="1181"/>
      <c r="BW192" s="1181"/>
      <c r="BX192" s="1181"/>
      <c r="BY192" s="1181"/>
      <c r="BZ192" s="1181"/>
      <c r="CA192" s="1181"/>
      <c r="CB192" s="1181"/>
      <c r="CC192" s="1181"/>
      <c r="CD192" s="1181"/>
      <c r="CE192" s="1181"/>
      <c r="CF192" s="1181"/>
      <c r="CG192" s="1181"/>
      <c r="CH192" s="1181"/>
      <c r="CI192" s="1181"/>
      <c r="CJ192" s="1181"/>
      <c r="CK192" s="1181"/>
      <c r="CL192" s="1181"/>
      <c r="CM192" s="1181"/>
      <c r="CN192" s="1181"/>
      <c r="CO192" s="1181"/>
      <c r="CP192" s="1181"/>
      <c r="CQ192" s="1181"/>
      <c r="CR192" s="1181"/>
      <c r="CS192" s="1181"/>
      <c r="CT192" s="1181"/>
      <c r="CU192" s="1181"/>
      <c r="CV192" s="1181"/>
      <c r="CW192" s="1181"/>
      <c r="CX192" s="1181"/>
      <c r="CY192" s="1181"/>
      <c r="CZ192" s="1181"/>
      <c r="DA192" s="1181"/>
      <c r="DB192" s="1181"/>
      <c r="DC192" s="1181"/>
      <c r="DD192" s="1181"/>
      <c r="DE192" s="1181"/>
      <c r="DF192" s="1181"/>
      <c r="DG192" s="1181"/>
      <c r="DH192" s="1181"/>
      <c r="DI192" s="1181"/>
      <c r="DJ192" s="1181"/>
      <c r="DK192" s="1181"/>
      <c r="DL192" s="1181"/>
      <c r="DM192" s="1181"/>
      <c r="DN192" s="1181"/>
      <c r="DO192" s="1181"/>
      <c r="DP192" s="1181"/>
      <c r="DQ192" s="1181"/>
      <c r="DR192" s="1181"/>
      <c r="DS192" s="1181"/>
      <c r="DT192" s="1181"/>
      <c r="DU192" s="1181"/>
      <c r="DV192" s="1181"/>
      <c r="DW192" s="1181"/>
      <c r="DX192" s="1181"/>
      <c r="DY192" s="1181"/>
      <c r="DZ192" s="1181"/>
      <c r="EA192" s="1181"/>
      <c r="EB192" s="1181"/>
      <c r="EC192" s="1181"/>
      <c r="ED192" s="1181"/>
      <c r="EE192" s="1181"/>
      <c r="EF192" s="1181"/>
      <c r="EG192" s="1181"/>
      <c r="EH192" s="1181"/>
      <c r="EI192" s="1181"/>
      <c r="EJ192" s="1181"/>
      <c r="EK192" s="1181"/>
      <c r="EL192" s="1181"/>
      <c r="EM192" s="1181"/>
      <c r="EN192" s="1181"/>
      <c r="EO192" s="1181"/>
      <c r="EP192" s="1181"/>
      <c r="EQ192" s="1181"/>
      <c r="ER192" s="1181"/>
      <c r="ES192" s="1181"/>
      <c r="ET192" s="1181"/>
      <c r="EU192" s="1181"/>
      <c r="EV192" s="1181"/>
      <c r="EW192" s="1181"/>
      <c r="EX192" s="1181"/>
      <c r="EY192" s="1181"/>
      <c r="EZ192" s="1181"/>
      <c r="FA192" s="1181"/>
      <c r="FB192" s="1181"/>
      <c r="FC192" s="1181"/>
      <c r="FD192" s="1181"/>
      <c r="FE192" s="1181"/>
      <c r="FF192" s="1181"/>
      <c r="FG192" s="1181"/>
      <c r="FH192" s="1181"/>
      <c r="FI192" s="1181"/>
      <c r="FJ192" s="1181"/>
      <c r="FK192" s="1181"/>
      <c r="FL192" s="1181"/>
      <c r="FM192" s="1181"/>
      <c r="FN192" s="1181"/>
      <c r="FO192" s="1181"/>
      <c r="FP192" s="1181"/>
      <c r="FQ192" s="1181"/>
      <c r="FR192" s="1181"/>
      <c r="FS192" s="1181"/>
      <c r="FT192" s="1181"/>
      <c r="FU192" s="1181"/>
      <c r="FV192" s="1181"/>
      <c r="FW192" s="1181"/>
      <c r="FX192" s="1181"/>
      <c r="FY192" s="1181"/>
      <c r="FZ192" s="1181"/>
      <c r="GA192" s="1181"/>
      <c r="GB192" s="1181"/>
    </row>
  </sheetData>
  <mergeCells count="19">
    <mergeCell ref="FN2:FZ2"/>
    <mergeCell ref="GB3:GB5"/>
    <mergeCell ref="G3:G5"/>
    <mergeCell ref="H3:H5"/>
    <mergeCell ref="I3:I5"/>
    <mergeCell ref="J3:J5"/>
    <mergeCell ref="K3:CE3"/>
    <mergeCell ref="CF3:DX3"/>
    <mergeCell ref="DY3:EF3"/>
    <mergeCell ref="EG3:EJ3"/>
    <mergeCell ref="EN2:FE2"/>
    <mergeCell ref="FF2:FM2"/>
    <mergeCell ref="EK3:EM3"/>
    <mergeCell ref="B3:B5"/>
    <mergeCell ref="D3:F3"/>
    <mergeCell ref="C4:C5"/>
    <mergeCell ref="D4:D5"/>
    <mergeCell ref="E4:E5"/>
    <mergeCell ref="F4:F5"/>
  </mergeCells>
  <phoneticPr fontId="6" type="noConversion"/>
  <pageMargins left="0.35433070866141736" right="0.19685039370078741" top="0.59055118110236227" bottom="0.39370078740157483" header="0.19685039370078741" footer="0.19685039370078741"/>
  <pageSetup paperSize="9" scale="36" orientation="landscape" r:id="rId1"/>
  <headerFooter>
    <oddFooter>&amp;C&amp;P / &amp;N</oddFooter>
  </headerFooter>
  <colBreaks count="3" manualBreakCount="3">
    <brk id="25" max="125" man="1"/>
    <brk id="66" max="125" man="1"/>
    <brk id="143" max="125" man="1"/>
  </colBreaks>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4"/>
  <dimension ref="A1:P257"/>
  <sheetViews>
    <sheetView view="pageBreakPreview" zoomScale="85" zoomScaleNormal="115" zoomScaleSheetLayoutView="85" workbookViewId="0">
      <pane ySplit="42" topLeftCell="A134" activePane="bottomLeft" state="frozen"/>
      <selection pane="bottomLeft" activeCell="I100" sqref="I100"/>
    </sheetView>
  </sheetViews>
  <sheetFormatPr defaultRowHeight="16.5"/>
  <cols>
    <col min="1" max="1" width="9" style="401" customWidth="1"/>
    <col min="2" max="2" width="24.375" style="20" customWidth="1"/>
    <col min="3" max="3" width="24.5" style="20" customWidth="1"/>
    <col min="4" max="4" width="6.5" style="21" customWidth="1"/>
    <col min="5" max="8" width="10.625" style="21" customWidth="1"/>
    <col min="9" max="9" width="12.5" style="19" customWidth="1"/>
    <col min="10" max="10" width="19.25" style="374" customWidth="1"/>
    <col min="11" max="11" width="12" style="5" bestFit="1" customWidth="1"/>
    <col min="12" max="258" width="9" style="5"/>
    <col min="259" max="259" width="5.875" style="5" customWidth="1"/>
    <col min="260" max="260" width="27.125" style="5" customWidth="1"/>
    <col min="261" max="261" width="31.25" style="5" customWidth="1"/>
    <col min="262" max="262" width="6.5" style="5" customWidth="1"/>
    <col min="263" max="265" width="7.625" style="5" customWidth="1"/>
    <col min="266" max="266" width="45.25" style="5" customWidth="1"/>
    <col min="267" max="267" width="12" style="5" bestFit="1" customWidth="1"/>
    <col min="268" max="514" width="9" style="5"/>
    <col min="515" max="515" width="5.875" style="5" customWidth="1"/>
    <col min="516" max="516" width="27.125" style="5" customWidth="1"/>
    <col min="517" max="517" width="31.25" style="5" customWidth="1"/>
    <col min="518" max="518" width="6.5" style="5" customWidth="1"/>
    <col min="519" max="521" width="7.625" style="5" customWidth="1"/>
    <col min="522" max="522" width="45.25" style="5" customWidth="1"/>
    <col min="523" max="523" width="12" style="5" bestFit="1" customWidth="1"/>
    <col min="524" max="770" width="9" style="5"/>
    <col min="771" max="771" width="5.875" style="5" customWidth="1"/>
    <col min="772" max="772" width="27.125" style="5" customWidth="1"/>
    <col min="773" max="773" width="31.25" style="5" customWidth="1"/>
    <col min="774" max="774" width="6.5" style="5" customWidth="1"/>
    <col min="775" max="777" width="7.625" style="5" customWidth="1"/>
    <col min="778" max="778" width="45.25" style="5" customWidth="1"/>
    <col min="779" max="779" width="12" style="5" bestFit="1" customWidth="1"/>
    <col min="780" max="1026" width="9" style="5"/>
    <col min="1027" max="1027" width="5.875" style="5" customWidth="1"/>
    <col min="1028" max="1028" width="27.125" style="5" customWidth="1"/>
    <col min="1029" max="1029" width="31.25" style="5" customWidth="1"/>
    <col min="1030" max="1030" width="6.5" style="5" customWidth="1"/>
    <col min="1031" max="1033" width="7.625" style="5" customWidth="1"/>
    <col min="1034" max="1034" width="45.25" style="5" customWidth="1"/>
    <col min="1035" max="1035" width="12" style="5" bestFit="1" customWidth="1"/>
    <col min="1036" max="1282" width="9" style="5"/>
    <col min="1283" max="1283" width="5.875" style="5" customWidth="1"/>
    <col min="1284" max="1284" width="27.125" style="5" customWidth="1"/>
    <col min="1285" max="1285" width="31.25" style="5" customWidth="1"/>
    <col min="1286" max="1286" width="6.5" style="5" customWidth="1"/>
    <col min="1287" max="1289" width="7.625" style="5" customWidth="1"/>
    <col min="1290" max="1290" width="45.25" style="5" customWidth="1"/>
    <col min="1291" max="1291" width="12" style="5" bestFit="1" customWidth="1"/>
    <col min="1292" max="1538" width="9" style="5"/>
    <col min="1539" max="1539" width="5.875" style="5" customWidth="1"/>
    <col min="1540" max="1540" width="27.125" style="5" customWidth="1"/>
    <col min="1541" max="1541" width="31.25" style="5" customWidth="1"/>
    <col min="1542" max="1542" width="6.5" style="5" customWidth="1"/>
    <col min="1543" max="1545" width="7.625" style="5" customWidth="1"/>
    <col min="1546" max="1546" width="45.25" style="5" customWidth="1"/>
    <col min="1547" max="1547" width="12" style="5" bestFit="1" customWidth="1"/>
    <col min="1548" max="1794" width="9" style="5"/>
    <col min="1795" max="1795" width="5.875" style="5" customWidth="1"/>
    <col min="1796" max="1796" width="27.125" style="5" customWidth="1"/>
    <col min="1797" max="1797" width="31.25" style="5" customWidth="1"/>
    <col min="1798" max="1798" width="6.5" style="5" customWidth="1"/>
    <col min="1799" max="1801" width="7.625" style="5" customWidth="1"/>
    <col min="1802" max="1802" width="45.25" style="5" customWidth="1"/>
    <col min="1803" max="1803" width="12" style="5" bestFit="1" customWidth="1"/>
    <col min="1804" max="2050" width="9" style="5"/>
    <col min="2051" max="2051" width="5.875" style="5" customWidth="1"/>
    <col min="2052" max="2052" width="27.125" style="5" customWidth="1"/>
    <col min="2053" max="2053" width="31.25" style="5" customWidth="1"/>
    <col min="2054" max="2054" width="6.5" style="5" customWidth="1"/>
    <col min="2055" max="2057" width="7.625" style="5" customWidth="1"/>
    <col min="2058" max="2058" width="45.25" style="5" customWidth="1"/>
    <col min="2059" max="2059" width="12" style="5" bestFit="1" customWidth="1"/>
    <col min="2060" max="2306" width="9" style="5"/>
    <col min="2307" max="2307" width="5.875" style="5" customWidth="1"/>
    <col min="2308" max="2308" width="27.125" style="5" customWidth="1"/>
    <col min="2309" max="2309" width="31.25" style="5" customWidth="1"/>
    <col min="2310" max="2310" width="6.5" style="5" customWidth="1"/>
    <col min="2311" max="2313" width="7.625" style="5" customWidth="1"/>
    <col min="2314" max="2314" width="45.25" style="5" customWidth="1"/>
    <col min="2315" max="2315" width="12" style="5" bestFit="1" customWidth="1"/>
    <col min="2316" max="2562" width="9" style="5"/>
    <col min="2563" max="2563" width="5.875" style="5" customWidth="1"/>
    <col min="2564" max="2564" width="27.125" style="5" customWidth="1"/>
    <col min="2565" max="2565" width="31.25" style="5" customWidth="1"/>
    <col min="2566" max="2566" width="6.5" style="5" customWidth="1"/>
    <col min="2567" max="2569" width="7.625" style="5" customWidth="1"/>
    <col min="2570" max="2570" width="45.25" style="5" customWidth="1"/>
    <col min="2571" max="2571" width="12" style="5" bestFit="1" customWidth="1"/>
    <col min="2572" max="2818" width="9" style="5"/>
    <col min="2819" max="2819" width="5.875" style="5" customWidth="1"/>
    <col min="2820" max="2820" width="27.125" style="5" customWidth="1"/>
    <col min="2821" max="2821" width="31.25" style="5" customWidth="1"/>
    <col min="2822" max="2822" width="6.5" style="5" customWidth="1"/>
    <col min="2823" max="2825" width="7.625" style="5" customWidth="1"/>
    <col min="2826" max="2826" width="45.25" style="5" customWidth="1"/>
    <col min="2827" max="2827" width="12" style="5" bestFit="1" customWidth="1"/>
    <col min="2828" max="3074" width="9" style="5"/>
    <col min="3075" max="3075" width="5.875" style="5" customWidth="1"/>
    <col min="3076" max="3076" width="27.125" style="5" customWidth="1"/>
    <col min="3077" max="3077" width="31.25" style="5" customWidth="1"/>
    <col min="3078" max="3078" width="6.5" style="5" customWidth="1"/>
    <col min="3079" max="3081" width="7.625" style="5" customWidth="1"/>
    <col min="3082" max="3082" width="45.25" style="5" customWidth="1"/>
    <col min="3083" max="3083" width="12" style="5" bestFit="1" customWidth="1"/>
    <col min="3084" max="3330" width="9" style="5"/>
    <col min="3331" max="3331" width="5.875" style="5" customWidth="1"/>
    <col min="3332" max="3332" width="27.125" style="5" customWidth="1"/>
    <col min="3333" max="3333" width="31.25" style="5" customWidth="1"/>
    <col min="3334" max="3334" width="6.5" style="5" customWidth="1"/>
    <col min="3335" max="3337" width="7.625" style="5" customWidth="1"/>
    <col min="3338" max="3338" width="45.25" style="5" customWidth="1"/>
    <col min="3339" max="3339" width="12" style="5" bestFit="1" customWidth="1"/>
    <col min="3340" max="3586" width="9" style="5"/>
    <col min="3587" max="3587" width="5.875" style="5" customWidth="1"/>
    <col min="3588" max="3588" width="27.125" style="5" customWidth="1"/>
    <col min="3589" max="3589" width="31.25" style="5" customWidth="1"/>
    <col min="3590" max="3590" width="6.5" style="5" customWidth="1"/>
    <col min="3591" max="3593" width="7.625" style="5" customWidth="1"/>
    <col min="3594" max="3594" width="45.25" style="5" customWidth="1"/>
    <col min="3595" max="3595" width="12" style="5" bestFit="1" customWidth="1"/>
    <col min="3596" max="3842" width="9" style="5"/>
    <col min="3843" max="3843" width="5.875" style="5" customWidth="1"/>
    <col min="3844" max="3844" width="27.125" style="5" customWidth="1"/>
    <col min="3845" max="3845" width="31.25" style="5" customWidth="1"/>
    <col min="3846" max="3846" width="6.5" style="5" customWidth="1"/>
    <col min="3847" max="3849" width="7.625" style="5" customWidth="1"/>
    <col min="3850" max="3850" width="45.25" style="5" customWidth="1"/>
    <col min="3851" max="3851" width="12" style="5" bestFit="1" customWidth="1"/>
    <col min="3852" max="4098" width="9" style="5"/>
    <col min="4099" max="4099" width="5.875" style="5" customWidth="1"/>
    <col min="4100" max="4100" width="27.125" style="5" customWidth="1"/>
    <col min="4101" max="4101" width="31.25" style="5" customWidth="1"/>
    <col min="4102" max="4102" width="6.5" style="5" customWidth="1"/>
    <col min="4103" max="4105" width="7.625" style="5" customWidth="1"/>
    <col min="4106" max="4106" width="45.25" style="5" customWidth="1"/>
    <col min="4107" max="4107" width="12" style="5" bestFit="1" customWidth="1"/>
    <col min="4108" max="4354" width="9" style="5"/>
    <col min="4355" max="4355" width="5.875" style="5" customWidth="1"/>
    <col min="4356" max="4356" width="27.125" style="5" customWidth="1"/>
    <col min="4357" max="4357" width="31.25" style="5" customWidth="1"/>
    <col min="4358" max="4358" width="6.5" style="5" customWidth="1"/>
    <col min="4359" max="4361" width="7.625" style="5" customWidth="1"/>
    <col min="4362" max="4362" width="45.25" style="5" customWidth="1"/>
    <col min="4363" max="4363" width="12" style="5" bestFit="1" customWidth="1"/>
    <col min="4364" max="4610" width="9" style="5"/>
    <col min="4611" max="4611" width="5.875" style="5" customWidth="1"/>
    <col min="4612" max="4612" width="27.125" style="5" customWidth="1"/>
    <col min="4613" max="4613" width="31.25" style="5" customWidth="1"/>
    <col min="4614" max="4614" width="6.5" style="5" customWidth="1"/>
    <col min="4615" max="4617" width="7.625" style="5" customWidth="1"/>
    <col min="4618" max="4618" width="45.25" style="5" customWidth="1"/>
    <col min="4619" max="4619" width="12" style="5" bestFit="1" customWidth="1"/>
    <col min="4620" max="4866" width="9" style="5"/>
    <col min="4867" max="4867" width="5.875" style="5" customWidth="1"/>
    <col min="4868" max="4868" width="27.125" style="5" customWidth="1"/>
    <col min="4869" max="4869" width="31.25" style="5" customWidth="1"/>
    <col min="4870" max="4870" width="6.5" style="5" customWidth="1"/>
    <col min="4871" max="4873" width="7.625" style="5" customWidth="1"/>
    <col min="4874" max="4874" width="45.25" style="5" customWidth="1"/>
    <col min="4875" max="4875" width="12" style="5" bestFit="1" customWidth="1"/>
    <col min="4876" max="5122" width="9" style="5"/>
    <col min="5123" max="5123" width="5.875" style="5" customWidth="1"/>
    <col min="5124" max="5124" width="27.125" style="5" customWidth="1"/>
    <col min="5125" max="5125" width="31.25" style="5" customWidth="1"/>
    <col min="5126" max="5126" width="6.5" style="5" customWidth="1"/>
    <col min="5127" max="5129" width="7.625" style="5" customWidth="1"/>
    <col min="5130" max="5130" width="45.25" style="5" customWidth="1"/>
    <col min="5131" max="5131" width="12" style="5" bestFit="1" customWidth="1"/>
    <col min="5132" max="5378" width="9" style="5"/>
    <col min="5379" max="5379" width="5.875" style="5" customWidth="1"/>
    <col min="5380" max="5380" width="27.125" style="5" customWidth="1"/>
    <col min="5381" max="5381" width="31.25" style="5" customWidth="1"/>
    <col min="5382" max="5382" width="6.5" style="5" customWidth="1"/>
    <col min="5383" max="5385" width="7.625" style="5" customWidth="1"/>
    <col min="5386" max="5386" width="45.25" style="5" customWidth="1"/>
    <col min="5387" max="5387" width="12" style="5" bestFit="1" customWidth="1"/>
    <col min="5388" max="5634" width="9" style="5"/>
    <col min="5635" max="5635" width="5.875" style="5" customWidth="1"/>
    <col min="5636" max="5636" width="27.125" style="5" customWidth="1"/>
    <col min="5637" max="5637" width="31.25" style="5" customWidth="1"/>
    <col min="5638" max="5638" width="6.5" style="5" customWidth="1"/>
    <col min="5639" max="5641" width="7.625" style="5" customWidth="1"/>
    <col min="5642" max="5642" width="45.25" style="5" customWidth="1"/>
    <col min="5643" max="5643" width="12" style="5" bestFit="1" customWidth="1"/>
    <col min="5644" max="5890" width="9" style="5"/>
    <col min="5891" max="5891" width="5.875" style="5" customWidth="1"/>
    <col min="5892" max="5892" width="27.125" style="5" customWidth="1"/>
    <col min="5893" max="5893" width="31.25" style="5" customWidth="1"/>
    <col min="5894" max="5894" width="6.5" style="5" customWidth="1"/>
    <col min="5895" max="5897" width="7.625" style="5" customWidth="1"/>
    <col min="5898" max="5898" width="45.25" style="5" customWidth="1"/>
    <col min="5899" max="5899" width="12" style="5" bestFit="1" customWidth="1"/>
    <col min="5900" max="6146" width="9" style="5"/>
    <col min="6147" max="6147" width="5.875" style="5" customWidth="1"/>
    <col min="6148" max="6148" width="27.125" style="5" customWidth="1"/>
    <col min="6149" max="6149" width="31.25" style="5" customWidth="1"/>
    <col min="6150" max="6150" width="6.5" style="5" customWidth="1"/>
    <col min="6151" max="6153" width="7.625" style="5" customWidth="1"/>
    <col min="6154" max="6154" width="45.25" style="5" customWidth="1"/>
    <col min="6155" max="6155" width="12" style="5" bestFit="1" customWidth="1"/>
    <col min="6156" max="6402" width="9" style="5"/>
    <col min="6403" max="6403" width="5.875" style="5" customWidth="1"/>
    <col min="6404" max="6404" width="27.125" style="5" customWidth="1"/>
    <col min="6405" max="6405" width="31.25" style="5" customWidth="1"/>
    <col min="6406" max="6406" width="6.5" style="5" customWidth="1"/>
    <col min="6407" max="6409" width="7.625" style="5" customWidth="1"/>
    <col min="6410" max="6410" width="45.25" style="5" customWidth="1"/>
    <col min="6411" max="6411" width="12" style="5" bestFit="1" customWidth="1"/>
    <col min="6412" max="6658" width="9" style="5"/>
    <col min="6659" max="6659" width="5.875" style="5" customWidth="1"/>
    <col min="6660" max="6660" width="27.125" style="5" customWidth="1"/>
    <col min="6661" max="6661" width="31.25" style="5" customWidth="1"/>
    <col min="6662" max="6662" width="6.5" style="5" customWidth="1"/>
    <col min="6663" max="6665" width="7.625" style="5" customWidth="1"/>
    <col min="6666" max="6666" width="45.25" style="5" customWidth="1"/>
    <col min="6667" max="6667" width="12" style="5" bestFit="1" customWidth="1"/>
    <col min="6668" max="6914" width="9" style="5"/>
    <col min="6915" max="6915" width="5.875" style="5" customWidth="1"/>
    <col min="6916" max="6916" width="27.125" style="5" customWidth="1"/>
    <col min="6917" max="6917" width="31.25" style="5" customWidth="1"/>
    <col min="6918" max="6918" width="6.5" style="5" customWidth="1"/>
    <col min="6919" max="6921" width="7.625" style="5" customWidth="1"/>
    <col min="6922" max="6922" width="45.25" style="5" customWidth="1"/>
    <col min="6923" max="6923" width="12" style="5" bestFit="1" customWidth="1"/>
    <col min="6924" max="7170" width="9" style="5"/>
    <col min="7171" max="7171" width="5.875" style="5" customWidth="1"/>
    <col min="7172" max="7172" width="27.125" style="5" customWidth="1"/>
    <col min="7173" max="7173" width="31.25" style="5" customWidth="1"/>
    <col min="7174" max="7174" width="6.5" style="5" customWidth="1"/>
    <col min="7175" max="7177" width="7.625" style="5" customWidth="1"/>
    <col min="7178" max="7178" width="45.25" style="5" customWidth="1"/>
    <col min="7179" max="7179" width="12" style="5" bestFit="1" customWidth="1"/>
    <col min="7180" max="7426" width="9" style="5"/>
    <col min="7427" max="7427" width="5.875" style="5" customWidth="1"/>
    <col min="7428" max="7428" width="27.125" style="5" customWidth="1"/>
    <col min="7429" max="7429" width="31.25" style="5" customWidth="1"/>
    <col min="7430" max="7430" width="6.5" style="5" customWidth="1"/>
    <col min="7431" max="7433" width="7.625" style="5" customWidth="1"/>
    <col min="7434" max="7434" width="45.25" style="5" customWidth="1"/>
    <col min="7435" max="7435" width="12" style="5" bestFit="1" customWidth="1"/>
    <col min="7436" max="7682" width="9" style="5"/>
    <col min="7683" max="7683" width="5.875" style="5" customWidth="1"/>
    <col min="7684" max="7684" width="27.125" style="5" customWidth="1"/>
    <col min="7685" max="7685" width="31.25" style="5" customWidth="1"/>
    <col min="7686" max="7686" width="6.5" style="5" customWidth="1"/>
    <col min="7687" max="7689" width="7.625" style="5" customWidth="1"/>
    <col min="7690" max="7690" width="45.25" style="5" customWidth="1"/>
    <col min="7691" max="7691" width="12" style="5" bestFit="1" customWidth="1"/>
    <col min="7692" max="7938" width="9" style="5"/>
    <col min="7939" max="7939" width="5.875" style="5" customWidth="1"/>
    <col min="7940" max="7940" width="27.125" style="5" customWidth="1"/>
    <col min="7941" max="7941" width="31.25" style="5" customWidth="1"/>
    <col min="7942" max="7942" width="6.5" style="5" customWidth="1"/>
    <col min="7943" max="7945" width="7.625" style="5" customWidth="1"/>
    <col min="7946" max="7946" width="45.25" style="5" customWidth="1"/>
    <col min="7947" max="7947" width="12" style="5" bestFit="1" customWidth="1"/>
    <col min="7948" max="8194" width="9" style="5"/>
    <col min="8195" max="8195" width="5.875" style="5" customWidth="1"/>
    <col min="8196" max="8196" width="27.125" style="5" customWidth="1"/>
    <col min="8197" max="8197" width="31.25" style="5" customWidth="1"/>
    <col min="8198" max="8198" width="6.5" style="5" customWidth="1"/>
    <col min="8199" max="8201" width="7.625" style="5" customWidth="1"/>
    <col min="8202" max="8202" width="45.25" style="5" customWidth="1"/>
    <col min="8203" max="8203" width="12" style="5" bestFit="1" customWidth="1"/>
    <col min="8204" max="8450" width="9" style="5"/>
    <col min="8451" max="8451" width="5.875" style="5" customWidth="1"/>
    <col min="8452" max="8452" width="27.125" style="5" customWidth="1"/>
    <col min="8453" max="8453" width="31.25" style="5" customWidth="1"/>
    <col min="8454" max="8454" width="6.5" style="5" customWidth="1"/>
    <col min="8455" max="8457" width="7.625" style="5" customWidth="1"/>
    <col min="8458" max="8458" width="45.25" style="5" customWidth="1"/>
    <col min="8459" max="8459" width="12" style="5" bestFit="1" customWidth="1"/>
    <col min="8460" max="8706" width="9" style="5"/>
    <col min="8707" max="8707" width="5.875" style="5" customWidth="1"/>
    <col min="8708" max="8708" width="27.125" style="5" customWidth="1"/>
    <col min="8709" max="8709" width="31.25" style="5" customWidth="1"/>
    <col min="8710" max="8710" width="6.5" style="5" customWidth="1"/>
    <col min="8711" max="8713" width="7.625" style="5" customWidth="1"/>
    <col min="8714" max="8714" width="45.25" style="5" customWidth="1"/>
    <col min="8715" max="8715" width="12" style="5" bestFit="1" customWidth="1"/>
    <col min="8716" max="8962" width="9" style="5"/>
    <col min="8963" max="8963" width="5.875" style="5" customWidth="1"/>
    <col min="8964" max="8964" width="27.125" style="5" customWidth="1"/>
    <col min="8965" max="8965" width="31.25" style="5" customWidth="1"/>
    <col min="8966" max="8966" width="6.5" style="5" customWidth="1"/>
    <col min="8967" max="8969" width="7.625" style="5" customWidth="1"/>
    <col min="8970" max="8970" width="45.25" style="5" customWidth="1"/>
    <col min="8971" max="8971" width="12" style="5" bestFit="1" customWidth="1"/>
    <col min="8972" max="9218" width="9" style="5"/>
    <col min="9219" max="9219" width="5.875" style="5" customWidth="1"/>
    <col min="9220" max="9220" width="27.125" style="5" customWidth="1"/>
    <col min="9221" max="9221" width="31.25" style="5" customWidth="1"/>
    <col min="9222" max="9222" width="6.5" style="5" customWidth="1"/>
    <col min="9223" max="9225" width="7.625" style="5" customWidth="1"/>
    <col min="9226" max="9226" width="45.25" style="5" customWidth="1"/>
    <col min="9227" max="9227" width="12" style="5" bestFit="1" customWidth="1"/>
    <col min="9228" max="9474" width="9" style="5"/>
    <col min="9475" max="9475" width="5.875" style="5" customWidth="1"/>
    <col min="9476" max="9476" width="27.125" style="5" customWidth="1"/>
    <col min="9477" max="9477" width="31.25" style="5" customWidth="1"/>
    <col min="9478" max="9478" width="6.5" style="5" customWidth="1"/>
    <col min="9479" max="9481" width="7.625" style="5" customWidth="1"/>
    <col min="9482" max="9482" width="45.25" style="5" customWidth="1"/>
    <col min="9483" max="9483" width="12" style="5" bestFit="1" customWidth="1"/>
    <col min="9484" max="9730" width="9" style="5"/>
    <col min="9731" max="9731" width="5.875" style="5" customWidth="1"/>
    <col min="9732" max="9732" width="27.125" style="5" customWidth="1"/>
    <col min="9733" max="9733" width="31.25" style="5" customWidth="1"/>
    <col min="9734" max="9734" width="6.5" style="5" customWidth="1"/>
    <col min="9735" max="9737" width="7.625" style="5" customWidth="1"/>
    <col min="9738" max="9738" width="45.25" style="5" customWidth="1"/>
    <col min="9739" max="9739" width="12" style="5" bestFit="1" customWidth="1"/>
    <col min="9740" max="9986" width="9" style="5"/>
    <col min="9987" max="9987" width="5.875" style="5" customWidth="1"/>
    <col min="9988" max="9988" width="27.125" style="5" customWidth="1"/>
    <col min="9989" max="9989" width="31.25" style="5" customWidth="1"/>
    <col min="9990" max="9990" width="6.5" style="5" customWidth="1"/>
    <col min="9991" max="9993" width="7.625" style="5" customWidth="1"/>
    <col min="9994" max="9994" width="45.25" style="5" customWidth="1"/>
    <col min="9995" max="9995" width="12" style="5" bestFit="1" customWidth="1"/>
    <col min="9996" max="10242" width="9" style="5"/>
    <col min="10243" max="10243" width="5.875" style="5" customWidth="1"/>
    <col min="10244" max="10244" width="27.125" style="5" customWidth="1"/>
    <col min="10245" max="10245" width="31.25" style="5" customWidth="1"/>
    <col min="10246" max="10246" width="6.5" style="5" customWidth="1"/>
    <col min="10247" max="10249" width="7.625" style="5" customWidth="1"/>
    <col min="10250" max="10250" width="45.25" style="5" customWidth="1"/>
    <col min="10251" max="10251" width="12" style="5" bestFit="1" customWidth="1"/>
    <col min="10252" max="10498" width="9" style="5"/>
    <col min="10499" max="10499" width="5.875" style="5" customWidth="1"/>
    <col min="10500" max="10500" width="27.125" style="5" customWidth="1"/>
    <col min="10501" max="10501" width="31.25" style="5" customWidth="1"/>
    <col min="10502" max="10502" width="6.5" style="5" customWidth="1"/>
    <col min="10503" max="10505" width="7.625" style="5" customWidth="1"/>
    <col min="10506" max="10506" width="45.25" style="5" customWidth="1"/>
    <col min="10507" max="10507" width="12" style="5" bestFit="1" customWidth="1"/>
    <col min="10508" max="10754" width="9" style="5"/>
    <col min="10755" max="10755" width="5.875" style="5" customWidth="1"/>
    <col min="10756" max="10756" width="27.125" style="5" customWidth="1"/>
    <col min="10757" max="10757" width="31.25" style="5" customWidth="1"/>
    <col min="10758" max="10758" width="6.5" style="5" customWidth="1"/>
    <col min="10759" max="10761" width="7.625" style="5" customWidth="1"/>
    <col min="10762" max="10762" width="45.25" style="5" customWidth="1"/>
    <col min="10763" max="10763" width="12" style="5" bestFit="1" customWidth="1"/>
    <col min="10764" max="11010" width="9" style="5"/>
    <col min="11011" max="11011" width="5.875" style="5" customWidth="1"/>
    <col min="11012" max="11012" width="27.125" style="5" customWidth="1"/>
    <col min="11013" max="11013" width="31.25" style="5" customWidth="1"/>
    <col min="11014" max="11014" width="6.5" style="5" customWidth="1"/>
    <col min="11015" max="11017" width="7.625" style="5" customWidth="1"/>
    <col min="11018" max="11018" width="45.25" style="5" customWidth="1"/>
    <col min="11019" max="11019" width="12" style="5" bestFit="1" customWidth="1"/>
    <col min="11020" max="11266" width="9" style="5"/>
    <col min="11267" max="11267" width="5.875" style="5" customWidth="1"/>
    <col min="11268" max="11268" width="27.125" style="5" customWidth="1"/>
    <col min="11269" max="11269" width="31.25" style="5" customWidth="1"/>
    <col min="11270" max="11270" width="6.5" style="5" customWidth="1"/>
    <col min="11271" max="11273" width="7.625" style="5" customWidth="1"/>
    <col min="11274" max="11274" width="45.25" style="5" customWidth="1"/>
    <col min="11275" max="11275" width="12" style="5" bestFit="1" customWidth="1"/>
    <col min="11276" max="11522" width="9" style="5"/>
    <col min="11523" max="11523" width="5.875" style="5" customWidth="1"/>
    <col min="11524" max="11524" width="27.125" style="5" customWidth="1"/>
    <col min="11525" max="11525" width="31.25" style="5" customWidth="1"/>
    <col min="11526" max="11526" width="6.5" style="5" customWidth="1"/>
    <col min="11527" max="11529" width="7.625" style="5" customWidth="1"/>
    <col min="11530" max="11530" width="45.25" style="5" customWidth="1"/>
    <col min="11531" max="11531" width="12" style="5" bestFit="1" customWidth="1"/>
    <col min="11532" max="11778" width="9" style="5"/>
    <col min="11779" max="11779" width="5.875" style="5" customWidth="1"/>
    <col min="11780" max="11780" width="27.125" style="5" customWidth="1"/>
    <col min="11781" max="11781" width="31.25" style="5" customWidth="1"/>
    <col min="11782" max="11782" width="6.5" style="5" customWidth="1"/>
    <col min="11783" max="11785" width="7.625" style="5" customWidth="1"/>
    <col min="11786" max="11786" width="45.25" style="5" customWidth="1"/>
    <col min="11787" max="11787" width="12" style="5" bestFit="1" customWidth="1"/>
    <col min="11788" max="12034" width="9" style="5"/>
    <col min="12035" max="12035" width="5.875" style="5" customWidth="1"/>
    <col min="12036" max="12036" width="27.125" style="5" customWidth="1"/>
    <col min="12037" max="12037" width="31.25" style="5" customWidth="1"/>
    <col min="12038" max="12038" width="6.5" style="5" customWidth="1"/>
    <col min="12039" max="12041" width="7.625" style="5" customWidth="1"/>
    <col min="12042" max="12042" width="45.25" style="5" customWidth="1"/>
    <col min="12043" max="12043" width="12" style="5" bestFit="1" customWidth="1"/>
    <col min="12044" max="12290" width="9" style="5"/>
    <col min="12291" max="12291" width="5.875" style="5" customWidth="1"/>
    <col min="12292" max="12292" width="27.125" style="5" customWidth="1"/>
    <col min="12293" max="12293" width="31.25" style="5" customWidth="1"/>
    <col min="12294" max="12294" width="6.5" style="5" customWidth="1"/>
    <col min="12295" max="12297" width="7.625" style="5" customWidth="1"/>
    <col min="12298" max="12298" width="45.25" style="5" customWidth="1"/>
    <col min="12299" max="12299" width="12" style="5" bestFit="1" customWidth="1"/>
    <col min="12300" max="12546" width="9" style="5"/>
    <col min="12547" max="12547" width="5.875" style="5" customWidth="1"/>
    <col min="12548" max="12548" width="27.125" style="5" customWidth="1"/>
    <col min="12549" max="12549" width="31.25" style="5" customWidth="1"/>
    <col min="12550" max="12550" width="6.5" style="5" customWidth="1"/>
    <col min="12551" max="12553" width="7.625" style="5" customWidth="1"/>
    <col min="12554" max="12554" width="45.25" style="5" customWidth="1"/>
    <col min="12555" max="12555" width="12" style="5" bestFit="1" customWidth="1"/>
    <col min="12556" max="12802" width="9" style="5"/>
    <col min="12803" max="12803" width="5.875" style="5" customWidth="1"/>
    <col min="12804" max="12804" width="27.125" style="5" customWidth="1"/>
    <col min="12805" max="12805" width="31.25" style="5" customWidth="1"/>
    <col min="12806" max="12806" width="6.5" style="5" customWidth="1"/>
    <col min="12807" max="12809" width="7.625" style="5" customWidth="1"/>
    <col min="12810" max="12810" width="45.25" style="5" customWidth="1"/>
    <col min="12811" max="12811" width="12" style="5" bestFit="1" customWidth="1"/>
    <col min="12812" max="13058" width="9" style="5"/>
    <col min="13059" max="13059" width="5.875" style="5" customWidth="1"/>
    <col min="13060" max="13060" width="27.125" style="5" customWidth="1"/>
    <col min="13061" max="13061" width="31.25" style="5" customWidth="1"/>
    <col min="13062" max="13062" width="6.5" style="5" customWidth="1"/>
    <col min="13063" max="13065" width="7.625" style="5" customWidth="1"/>
    <col min="13066" max="13066" width="45.25" style="5" customWidth="1"/>
    <col min="13067" max="13067" width="12" style="5" bestFit="1" customWidth="1"/>
    <col min="13068" max="13314" width="9" style="5"/>
    <col min="13315" max="13315" width="5.875" style="5" customWidth="1"/>
    <col min="13316" max="13316" width="27.125" style="5" customWidth="1"/>
    <col min="13317" max="13317" width="31.25" style="5" customWidth="1"/>
    <col min="13318" max="13318" width="6.5" style="5" customWidth="1"/>
    <col min="13319" max="13321" width="7.625" style="5" customWidth="1"/>
    <col min="13322" max="13322" width="45.25" style="5" customWidth="1"/>
    <col min="13323" max="13323" width="12" style="5" bestFit="1" customWidth="1"/>
    <col min="13324" max="13570" width="9" style="5"/>
    <col min="13571" max="13571" width="5.875" style="5" customWidth="1"/>
    <col min="13572" max="13572" width="27.125" style="5" customWidth="1"/>
    <col min="13573" max="13573" width="31.25" style="5" customWidth="1"/>
    <col min="13574" max="13574" width="6.5" style="5" customWidth="1"/>
    <col min="13575" max="13577" width="7.625" style="5" customWidth="1"/>
    <col min="13578" max="13578" width="45.25" style="5" customWidth="1"/>
    <col min="13579" max="13579" width="12" style="5" bestFit="1" customWidth="1"/>
    <col min="13580" max="13826" width="9" style="5"/>
    <col min="13827" max="13827" width="5.875" style="5" customWidth="1"/>
    <col min="13828" max="13828" width="27.125" style="5" customWidth="1"/>
    <col min="13829" max="13829" width="31.25" style="5" customWidth="1"/>
    <col min="13830" max="13830" width="6.5" style="5" customWidth="1"/>
    <col min="13831" max="13833" width="7.625" style="5" customWidth="1"/>
    <col min="13834" max="13834" width="45.25" style="5" customWidth="1"/>
    <col min="13835" max="13835" width="12" style="5" bestFit="1" customWidth="1"/>
    <col min="13836" max="14082" width="9" style="5"/>
    <col min="14083" max="14083" width="5.875" style="5" customWidth="1"/>
    <col min="14084" max="14084" width="27.125" style="5" customWidth="1"/>
    <col min="14085" max="14085" width="31.25" style="5" customWidth="1"/>
    <col min="14086" max="14086" width="6.5" style="5" customWidth="1"/>
    <col min="14087" max="14089" width="7.625" style="5" customWidth="1"/>
    <col min="14090" max="14090" width="45.25" style="5" customWidth="1"/>
    <col min="14091" max="14091" width="12" style="5" bestFit="1" customWidth="1"/>
    <col min="14092" max="14338" width="9" style="5"/>
    <col min="14339" max="14339" width="5.875" style="5" customWidth="1"/>
    <col min="14340" max="14340" width="27.125" style="5" customWidth="1"/>
    <col min="14341" max="14341" width="31.25" style="5" customWidth="1"/>
    <col min="14342" max="14342" width="6.5" style="5" customWidth="1"/>
    <col min="14343" max="14345" width="7.625" style="5" customWidth="1"/>
    <col min="14346" max="14346" width="45.25" style="5" customWidth="1"/>
    <col min="14347" max="14347" width="12" style="5" bestFit="1" customWidth="1"/>
    <col min="14348" max="14594" width="9" style="5"/>
    <col min="14595" max="14595" width="5.875" style="5" customWidth="1"/>
    <col min="14596" max="14596" width="27.125" style="5" customWidth="1"/>
    <col min="14597" max="14597" width="31.25" style="5" customWidth="1"/>
    <col min="14598" max="14598" width="6.5" style="5" customWidth="1"/>
    <col min="14599" max="14601" width="7.625" style="5" customWidth="1"/>
    <col min="14602" max="14602" width="45.25" style="5" customWidth="1"/>
    <col min="14603" max="14603" width="12" style="5" bestFit="1" customWidth="1"/>
    <col min="14604" max="14850" width="9" style="5"/>
    <col min="14851" max="14851" width="5.875" style="5" customWidth="1"/>
    <col min="14852" max="14852" width="27.125" style="5" customWidth="1"/>
    <col min="14853" max="14853" width="31.25" style="5" customWidth="1"/>
    <col min="14854" max="14854" width="6.5" style="5" customWidth="1"/>
    <col min="14855" max="14857" width="7.625" style="5" customWidth="1"/>
    <col min="14858" max="14858" width="45.25" style="5" customWidth="1"/>
    <col min="14859" max="14859" width="12" style="5" bestFit="1" customWidth="1"/>
    <col min="14860" max="15106" width="9" style="5"/>
    <col min="15107" max="15107" width="5.875" style="5" customWidth="1"/>
    <col min="15108" max="15108" width="27.125" style="5" customWidth="1"/>
    <col min="15109" max="15109" width="31.25" style="5" customWidth="1"/>
    <col min="15110" max="15110" width="6.5" style="5" customWidth="1"/>
    <col min="15111" max="15113" width="7.625" style="5" customWidth="1"/>
    <col min="15114" max="15114" width="45.25" style="5" customWidth="1"/>
    <col min="15115" max="15115" width="12" style="5" bestFit="1" customWidth="1"/>
    <col min="15116" max="15362" width="9" style="5"/>
    <col min="15363" max="15363" width="5.875" style="5" customWidth="1"/>
    <col min="15364" max="15364" width="27.125" style="5" customWidth="1"/>
    <col min="15365" max="15365" width="31.25" style="5" customWidth="1"/>
    <col min="15366" max="15366" width="6.5" style="5" customWidth="1"/>
    <col min="15367" max="15369" width="7.625" style="5" customWidth="1"/>
    <col min="15370" max="15370" width="45.25" style="5" customWidth="1"/>
    <col min="15371" max="15371" width="12" style="5" bestFit="1" customWidth="1"/>
    <col min="15372" max="15618" width="9" style="5"/>
    <col min="15619" max="15619" width="5.875" style="5" customWidth="1"/>
    <col min="15620" max="15620" width="27.125" style="5" customWidth="1"/>
    <col min="15621" max="15621" width="31.25" style="5" customWidth="1"/>
    <col min="15622" max="15622" width="6.5" style="5" customWidth="1"/>
    <col min="15623" max="15625" width="7.625" style="5" customWidth="1"/>
    <col min="15626" max="15626" width="45.25" style="5" customWidth="1"/>
    <col min="15627" max="15627" width="12" style="5" bestFit="1" customWidth="1"/>
    <col min="15628" max="15874" width="9" style="5"/>
    <col min="15875" max="15875" width="5.875" style="5" customWidth="1"/>
    <col min="15876" max="15876" width="27.125" style="5" customWidth="1"/>
    <col min="15877" max="15877" width="31.25" style="5" customWidth="1"/>
    <col min="15878" max="15878" width="6.5" style="5" customWidth="1"/>
    <col min="15879" max="15881" width="7.625" style="5" customWidth="1"/>
    <col min="15882" max="15882" width="45.25" style="5" customWidth="1"/>
    <col min="15883" max="15883" width="12" style="5" bestFit="1" customWidth="1"/>
    <col min="15884" max="16130" width="9" style="5"/>
    <col min="16131" max="16131" width="5.875" style="5" customWidth="1"/>
    <col min="16132" max="16132" width="27.125" style="5" customWidth="1"/>
    <col min="16133" max="16133" width="31.25" style="5" customWidth="1"/>
    <col min="16134" max="16134" width="6.5" style="5" customWidth="1"/>
    <col min="16135" max="16137" width="7.625" style="5" customWidth="1"/>
    <col min="16138" max="16138" width="45.25" style="5" customWidth="1"/>
    <col min="16139" max="16139" width="12" style="5" bestFit="1" customWidth="1"/>
    <col min="16140" max="16384" width="9" style="5"/>
  </cols>
  <sheetData>
    <row r="1" spans="1:12" ht="9.9499999999999993" customHeight="1"/>
    <row r="2" spans="1:12" ht="26.25" customHeight="1">
      <c r="A2" s="347" t="s">
        <v>2609</v>
      </c>
      <c r="B2" s="347"/>
      <c r="C2" s="347"/>
      <c r="D2" s="347"/>
      <c r="E2" s="347"/>
      <c r="F2" s="347"/>
      <c r="G2" s="347"/>
      <c r="H2" s="347"/>
      <c r="I2" s="347"/>
      <c r="J2" s="375"/>
      <c r="K2" s="5" t="s">
        <v>2382</v>
      </c>
    </row>
    <row r="3" spans="1:12" ht="26.25" customHeight="1">
      <c r="A3" s="402"/>
      <c r="B3" s="402"/>
      <c r="C3" s="402"/>
      <c r="D3" s="402"/>
      <c r="E3" s="402"/>
      <c r="F3" s="402"/>
      <c r="G3" s="402"/>
      <c r="H3" s="402"/>
      <c r="I3" s="402"/>
      <c r="J3" s="403"/>
    </row>
    <row r="4" spans="1:12" s="22" customFormat="1" ht="25.5" customHeight="1">
      <c r="A4" s="357" t="str">
        <f>표지!A13</f>
        <v>공사명 : 동해안#1 변환소 전력통신설비 시설공사</v>
      </c>
      <c r="B4" s="357"/>
      <c r="C4" s="357"/>
      <c r="D4" s="357"/>
      <c r="E4" s="357"/>
      <c r="F4" s="357"/>
      <c r="G4" s="357"/>
      <c r="H4" s="357"/>
      <c r="I4" s="391"/>
      <c r="J4" s="376"/>
      <c r="K4" s="22" t="s">
        <v>3128</v>
      </c>
    </row>
    <row r="5" spans="1:12" s="10" customFormat="1" ht="33.6" hidden="1" customHeight="1">
      <c r="A5" s="1950" t="s">
        <v>204</v>
      </c>
      <c r="B5" s="1952" t="s">
        <v>951</v>
      </c>
      <c r="C5" s="1952" t="s">
        <v>205</v>
      </c>
      <c r="D5" s="1952" t="s">
        <v>202</v>
      </c>
      <c r="E5" s="908"/>
      <c r="F5" s="908"/>
      <c r="G5" s="1943"/>
      <c r="H5" s="1943"/>
      <c r="I5" s="1948" t="s">
        <v>1019</v>
      </c>
      <c r="J5" s="1946" t="s">
        <v>203</v>
      </c>
      <c r="K5" s="10" t="s">
        <v>2383</v>
      </c>
    </row>
    <row r="6" spans="1:12" s="10" customFormat="1" ht="24.95" hidden="1" customHeight="1">
      <c r="A6" s="1951"/>
      <c r="B6" s="1953"/>
      <c r="C6" s="1953"/>
      <c r="D6" s="1954"/>
      <c r="E6" s="909"/>
      <c r="F6" s="909"/>
      <c r="G6" s="746"/>
      <c r="H6" s="1430" t="s">
        <v>1472</v>
      </c>
      <c r="I6" s="1949"/>
      <c r="J6" s="1947"/>
    </row>
    <row r="7" spans="1:12" s="22" customFormat="1" ht="24.95" hidden="1" customHeight="1">
      <c r="A7" s="408" t="e">
        <f>'8-1.설비자재산출(전력통신)'!#REF!</f>
        <v>#REF!</v>
      </c>
      <c r="B7" s="579"/>
      <c r="C7" s="579"/>
      <c r="D7" s="739"/>
      <c r="E7" s="910"/>
      <c r="F7" s="910"/>
      <c r="G7" s="745"/>
      <c r="H7" s="1431"/>
      <c r="I7" s="743"/>
      <c r="J7" s="580"/>
      <c r="K7" s="22" t="e">
        <v>#REF!</v>
      </c>
    </row>
    <row r="8" spans="1:12" s="22" customFormat="1" ht="24.95" hidden="1" customHeight="1">
      <c r="A8" s="267" t="e">
        <f>#REF!</f>
        <v>#REF!</v>
      </c>
      <c r="B8" s="397" t="e">
        <f>#REF!</f>
        <v>#REF!</v>
      </c>
      <c r="C8" s="404" t="e">
        <f>#REF!</f>
        <v>#REF!</v>
      </c>
      <c r="D8" s="740" t="e">
        <f>#REF!</f>
        <v>#REF!</v>
      </c>
      <c r="E8" s="903"/>
      <c r="F8" s="903"/>
      <c r="G8" s="741" t="e">
        <f>'8-1.설비자재산출(전력통신)'!#REF!</f>
        <v>#REF!</v>
      </c>
      <c r="H8" s="739" t="e">
        <f t="shared" ref="H8:H39" si="0">SUM(G8:G8)</f>
        <v>#REF!</v>
      </c>
      <c r="I8" s="744" t="e">
        <f>#REF!</f>
        <v>#REF!</v>
      </c>
      <c r="J8" s="406"/>
      <c r="K8" s="22" t="e">
        <v>#REF!</v>
      </c>
    </row>
    <row r="9" spans="1:12" s="22" customFormat="1" ht="24.95" hidden="1" customHeight="1">
      <c r="A9" s="267" t="e">
        <f>#REF!</f>
        <v>#REF!</v>
      </c>
      <c r="B9" s="397" t="e">
        <f>#REF!</f>
        <v>#REF!</v>
      </c>
      <c r="C9" s="404" t="e">
        <f>#REF!</f>
        <v>#REF!</v>
      </c>
      <c r="D9" s="740" t="e">
        <f>#REF!</f>
        <v>#REF!</v>
      </c>
      <c r="E9" s="903"/>
      <c r="F9" s="903"/>
      <c r="G9" s="741"/>
      <c r="H9" s="739">
        <f t="shared" si="0"/>
        <v>0</v>
      </c>
      <c r="I9" s="744" t="e">
        <f>#REF!</f>
        <v>#REF!</v>
      </c>
      <c r="J9" s="406"/>
      <c r="K9" s="22" t="e">
        <v>#REF!</v>
      </c>
    </row>
    <row r="10" spans="1:12" s="22" customFormat="1" ht="24.95" hidden="1" customHeight="1">
      <c r="A10" s="267" t="e">
        <f>#REF!</f>
        <v>#REF!</v>
      </c>
      <c r="B10" s="397" t="e">
        <f>#REF!</f>
        <v>#REF!</v>
      </c>
      <c r="C10" s="404" t="e">
        <f>#REF!</f>
        <v>#REF!</v>
      </c>
      <c r="D10" s="740" t="e">
        <f>#REF!</f>
        <v>#REF!</v>
      </c>
      <c r="E10" s="903"/>
      <c r="F10" s="903"/>
      <c r="G10" s="741" t="e">
        <f>'8-1.설비자재산출(전력통신)'!#REF!/2</f>
        <v>#REF!</v>
      </c>
      <c r="H10" s="739" t="e">
        <f t="shared" si="0"/>
        <v>#REF!</v>
      </c>
      <c r="I10" s="744" t="e">
        <f>#REF!</f>
        <v>#REF!</v>
      </c>
      <c r="J10" s="406"/>
      <c r="K10" s="22" t="e">
        <v>#REF!</v>
      </c>
    </row>
    <row r="11" spans="1:12" s="22" customFormat="1" ht="24.95" hidden="1" customHeight="1">
      <c r="A11" s="267" t="e">
        <f>#REF!</f>
        <v>#REF!</v>
      </c>
      <c r="B11" s="397" t="e">
        <f>#REF!</f>
        <v>#REF!</v>
      </c>
      <c r="C11" s="404" t="e">
        <f>#REF!</f>
        <v>#REF!</v>
      </c>
      <c r="D11" s="740" t="e">
        <f>#REF!</f>
        <v>#REF!</v>
      </c>
      <c r="E11" s="903"/>
      <c r="F11" s="903"/>
      <c r="G11" s="741" t="e">
        <f>#REF!+#REF!++#REF!</f>
        <v>#REF!</v>
      </c>
      <c r="H11" s="739" t="e">
        <f t="shared" si="0"/>
        <v>#REF!</v>
      </c>
      <c r="I11" s="744" t="e">
        <f>#REF!</f>
        <v>#REF!</v>
      </c>
      <c r="J11" s="406"/>
      <c r="K11" s="22" t="e">
        <v>#REF!</v>
      </c>
    </row>
    <row r="12" spans="1:12" s="22" customFormat="1" ht="24.95" hidden="1" customHeight="1">
      <c r="A12" s="267" t="e">
        <f>#REF!</f>
        <v>#REF!</v>
      </c>
      <c r="B12" s="397" t="e">
        <f>#REF!</f>
        <v>#REF!</v>
      </c>
      <c r="C12" s="404" t="e">
        <f>#REF!</f>
        <v>#REF!</v>
      </c>
      <c r="D12" s="740" t="e">
        <f>#REF!</f>
        <v>#REF!</v>
      </c>
      <c r="E12" s="903"/>
      <c r="F12" s="903"/>
      <c r="G12" s="741" t="e">
        <f>#REF!+#REF!++#REF!</f>
        <v>#REF!</v>
      </c>
      <c r="H12" s="739" t="e">
        <f t="shared" si="0"/>
        <v>#REF!</v>
      </c>
      <c r="I12" s="744" t="e">
        <f>#REF!</f>
        <v>#REF!</v>
      </c>
      <c r="J12" s="406"/>
      <c r="K12" s="268" t="e">
        <v>#REF!</v>
      </c>
      <c r="L12" s="268" t="e">
        <f>#REF!</f>
        <v>#REF!</v>
      </c>
    </row>
    <row r="13" spans="1:12" s="22" customFormat="1" ht="24.95" hidden="1" customHeight="1">
      <c r="A13" s="267" t="e">
        <f>#REF!</f>
        <v>#REF!</v>
      </c>
      <c r="B13" s="397" t="e">
        <f>#REF!</f>
        <v>#REF!</v>
      </c>
      <c r="C13" s="404" t="e">
        <f>#REF!</f>
        <v>#REF!</v>
      </c>
      <c r="D13" s="740" t="e">
        <f>#REF!</f>
        <v>#REF!</v>
      </c>
      <c r="E13" s="903"/>
      <c r="F13" s="903"/>
      <c r="G13" s="741"/>
      <c r="H13" s="739">
        <f t="shared" si="0"/>
        <v>0</v>
      </c>
      <c r="I13" s="744" t="e">
        <f>#REF!</f>
        <v>#REF!</v>
      </c>
      <c r="J13" s="406"/>
      <c r="K13" s="268" t="e">
        <v>#REF!</v>
      </c>
    </row>
    <row r="14" spans="1:12" s="22" customFormat="1" ht="24.95" hidden="1" customHeight="1">
      <c r="A14" s="267" t="e">
        <f>#REF!</f>
        <v>#REF!</v>
      </c>
      <c r="B14" s="397" t="e">
        <f>#REF!</f>
        <v>#REF!</v>
      </c>
      <c r="C14" s="404" t="e">
        <f>#REF!</f>
        <v>#REF!</v>
      </c>
      <c r="D14" s="740" t="e">
        <f>#REF!</f>
        <v>#REF!</v>
      </c>
      <c r="E14" s="903"/>
      <c r="F14" s="903"/>
      <c r="G14" s="741"/>
      <c r="H14" s="739">
        <f t="shared" si="0"/>
        <v>0</v>
      </c>
      <c r="I14" s="744" t="e">
        <f>#REF!</f>
        <v>#REF!</v>
      </c>
      <c r="J14" s="406"/>
      <c r="K14" s="268" t="e">
        <v>#REF!</v>
      </c>
    </row>
    <row r="15" spans="1:12" s="22" customFormat="1" ht="24.95" hidden="1" customHeight="1">
      <c r="A15" s="267" t="e">
        <f>#REF!</f>
        <v>#REF!</v>
      </c>
      <c r="B15" s="397" t="e">
        <f>#REF!</f>
        <v>#REF!</v>
      </c>
      <c r="C15" s="404" t="e">
        <f>#REF!</f>
        <v>#REF!</v>
      </c>
      <c r="D15" s="740" t="e">
        <f>#REF!</f>
        <v>#REF!</v>
      </c>
      <c r="E15" s="903"/>
      <c r="F15" s="903"/>
      <c r="G15" s="741" t="e">
        <f>'8-1.설비자재산출(전력통신)'!#REF!</f>
        <v>#REF!</v>
      </c>
      <c r="H15" s="739" t="e">
        <f t="shared" si="0"/>
        <v>#REF!</v>
      </c>
      <c r="I15" s="744" t="e">
        <f>#REF!</f>
        <v>#REF!</v>
      </c>
      <c r="J15" s="406"/>
      <c r="K15" s="22" t="e">
        <v>#REF!</v>
      </c>
    </row>
    <row r="16" spans="1:12" s="22" customFormat="1" ht="24.95" hidden="1" customHeight="1">
      <c r="A16" s="267" t="e">
        <f>#REF!</f>
        <v>#REF!</v>
      </c>
      <c r="B16" s="397" t="e">
        <f>#REF!</f>
        <v>#REF!</v>
      </c>
      <c r="C16" s="404" t="e">
        <f>#REF!</f>
        <v>#REF!</v>
      </c>
      <c r="D16" s="740" t="e">
        <f>#REF!</f>
        <v>#REF!</v>
      </c>
      <c r="E16" s="903"/>
      <c r="F16" s="903"/>
      <c r="G16" s="741" t="e">
        <f>G15*24</f>
        <v>#REF!</v>
      </c>
      <c r="H16" s="739" t="e">
        <f t="shared" si="0"/>
        <v>#REF!</v>
      </c>
      <c r="I16" s="744" t="e">
        <f>#REF!</f>
        <v>#REF!</v>
      </c>
      <c r="J16" s="406"/>
      <c r="K16" s="22" t="e">
        <v>#REF!</v>
      </c>
    </row>
    <row r="17" spans="1:11" s="22" customFormat="1" ht="24.95" hidden="1" customHeight="1">
      <c r="A17" s="267" t="e">
        <f>#REF!</f>
        <v>#REF!</v>
      </c>
      <c r="B17" s="397" t="e">
        <f>#REF!</f>
        <v>#REF!</v>
      </c>
      <c r="C17" s="404" t="e">
        <f>#REF!</f>
        <v>#REF!</v>
      </c>
      <c r="D17" s="740" t="e">
        <f>#REF!</f>
        <v>#REF!</v>
      </c>
      <c r="E17" s="903"/>
      <c r="F17" s="903"/>
      <c r="G17" s="741" t="e">
        <f>#REF!+#REF!+#REF!</f>
        <v>#REF!</v>
      </c>
      <c r="H17" s="739" t="e">
        <f t="shared" si="0"/>
        <v>#REF!</v>
      </c>
      <c r="I17" s="744" t="e">
        <f>#REF!</f>
        <v>#REF!</v>
      </c>
      <c r="J17" s="406"/>
      <c r="K17" s="22" t="e">
        <v>#REF!</v>
      </c>
    </row>
    <row r="18" spans="1:11" s="22" customFormat="1" ht="24.95" hidden="1" customHeight="1">
      <c r="A18" s="267" t="e">
        <f>#REF!</f>
        <v>#REF!</v>
      </c>
      <c r="B18" s="397" t="e">
        <f>#REF!</f>
        <v>#REF!</v>
      </c>
      <c r="C18" s="404" t="e">
        <f>#REF!</f>
        <v>#REF!</v>
      </c>
      <c r="D18" s="740" t="e">
        <f>#REF!</f>
        <v>#REF!</v>
      </c>
      <c r="E18" s="903"/>
      <c r="F18" s="903"/>
      <c r="G18" s="741"/>
      <c r="H18" s="739">
        <f t="shared" si="0"/>
        <v>0</v>
      </c>
      <c r="I18" s="744" t="e">
        <f>#REF!</f>
        <v>#REF!</v>
      </c>
      <c r="J18" s="406"/>
      <c r="K18" s="22" t="e">
        <v>#REF!</v>
      </c>
    </row>
    <row r="19" spans="1:11" s="22" customFormat="1" ht="24.95" hidden="1" customHeight="1">
      <c r="A19" s="267" t="e">
        <f>#REF!</f>
        <v>#REF!</v>
      </c>
      <c r="B19" s="397" t="e">
        <f>#REF!</f>
        <v>#REF!</v>
      </c>
      <c r="C19" s="404" t="e">
        <f>#REF!</f>
        <v>#REF!</v>
      </c>
      <c r="D19" s="740" t="e">
        <f>#REF!</f>
        <v>#REF!</v>
      </c>
      <c r="E19" s="903"/>
      <c r="F19" s="903"/>
      <c r="G19" s="741" t="e">
        <f>SUM('8-1.설비자재산출(전력통신)'!#REF!)</f>
        <v>#REF!</v>
      </c>
      <c r="H19" s="739" t="e">
        <f t="shared" si="0"/>
        <v>#REF!</v>
      </c>
      <c r="I19" s="744" t="e">
        <f>#REF!</f>
        <v>#REF!</v>
      </c>
      <c r="J19" s="406"/>
      <c r="K19" s="22" t="e">
        <v>#REF!</v>
      </c>
    </row>
    <row r="20" spans="1:11" s="22" customFormat="1" ht="24.95" hidden="1" customHeight="1">
      <c r="A20" s="267" t="e">
        <f>#REF!</f>
        <v>#REF!</v>
      </c>
      <c r="B20" s="397" t="e">
        <f>#REF!</f>
        <v>#REF!</v>
      </c>
      <c r="C20" s="404" t="e">
        <f>#REF!</f>
        <v>#REF!</v>
      </c>
      <c r="D20" s="740" t="e">
        <f>#REF!</f>
        <v>#REF!</v>
      </c>
      <c r="E20" s="903"/>
      <c r="F20" s="903"/>
      <c r="G20" s="741" t="e">
        <f>'8-1.설비자재산출(전력통신)'!#REF!+'8-1.설비자재산출(전력통신)'!#REF!</f>
        <v>#REF!</v>
      </c>
      <c r="H20" s="739" t="e">
        <f t="shared" si="0"/>
        <v>#REF!</v>
      </c>
      <c r="I20" s="744" t="e">
        <f>#REF!</f>
        <v>#REF!</v>
      </c>
      <c r="J20" s="406"/>
      <c r="K20" s="22" t="e">
        <v>#REF!</v>
      </c>
    </row>
    <row r="21" spans="1:11" s="22" customFormat="1" ht="24.95" hidden="1" customHeight="1">
      <c r="A21" s="267" t="e">
        <f>#REF!</f>
        <v>#REF!</v>
      </c>
      <c r="B21" s="397" t="e">
        <f>#REF!</f>
        <v>#REF!</v>
      </c>
      <c r="C21" s="404" t="e">
        <f>#REF!</f>
        <v>#REF!</v>
      </c>
      <c r="D21" s="740" t="e">
        <f>#REF!</f>
        <v>#REF!</v>
      </c>
      <c r="E21" s="903"/>
      <c r="F21" s="903"/>
      <c r="G21" s="741" t="e">
        <f>'8-1.설비자재산출(전력통신)'!#REF!</f>
        <v>#REF!</v>
      </c>
      <c r="H21" s="739" t="e">
        <f t="shared" si="0"/>
        <v>#REF!</v>
      </c>
      <c r="I21" s="744" t="e">
        <f>#REF!</f>
        <v>#REF!</v>
      </c>
      <c r="J21" s="406"/>
      <c r="K21" s="22" t="e">
        <v>#REF!</v>
      </c>
    </row>
    <row r="22" spans="1:11" s="22" customFormat="1" ht="24.95" hidden="1" customHeight="1">
      <c r="A22" s="267" t="e">
        <f>#REF!</f>
        <v>#REF!</v>
      </c>
      <c r="B22" s="397" t="e">
        <f>#REF!</f>
        <v>#REF!</v>
      </c>
      <c r="C22" s="404" t="e">
        <f>#REF!</f>
        <v>#REF!</v>
      </c>
      <c r="D22" s="740" t="e">
        <f>#REF!</f>
        <v>#REF!</v>
      </c>
      <c r="E22" s="903"/>
      <c r="F22" s="903"/>
      <c r="G22" s="741" t="e">
        <f>'8-1.설비자재산출(전력통신)'!#REF!+'8-1.설비자재산출(전력통신)'!#REF!</f>
        <v>#REF!</v>
      </c>
      <c r="H22" s="739" t="e">
        <f t="shared" si="0"/>
        <v>#REF!</v>
      </c>
      <c r="I22" s="744" t="e">
        <f>#REF!</f>
        <v>#REF!</v>
      </c>
      <c r="J22" s="406"/>
      <c r="K22" s="22" t="e">
        <v>#REF!</v>
      </c>
    </row>
    <row r="23" spans="1:11" s="22" customFormat="1" ht="24.95" hidden="1" customHeight="1">
      <c r="A23" s="267" t="e">
        <f>#REF!</f>
        <v>#REF!</v>
      </c>
      <c r="B23" s="397" t="e">
        <f>#REF!</f>
        <v>#REF!</v>
      </c>
      <c r="C23" s="404" t="e">
        <f>#REF!</f>
        <v>#REF!</v>
      </c>
      <c r="D23" s="740" t="e">
        <f>#REF!</f>
        <v>#REF!</v>
      </c>
      <c r="E23" s="903"/>
      <c r="F23" s="903"/>
      <c r="G23" s="741" t="e">
        <f>'8-1.설비자재산출(전력통신)'!#REF!/4</f>
        <v>#REF!</v>
      </c>
      <c r="H23" s="739" t="e">
        <f t="shared" si="0"/>
        <v>#REF!</v>
      </c>
      <c r="I23" s="744" t="e">
        <f>#REF!</f>
        <v>#REF!</v>
      </c>
      <c r="J23" s="406"/>
      <c r="K23" s="22" t="e">
        <v>#REF!</v>
      </c>
    </row>
    <row r="24" spans="1:11" s="22" customFormat="1" ht="24.95" hidden="1" customHeight="1">
      <c r="A24" s="267" t="e">
        <f>#REF!</f>
        <v>#REF!</v>
      </c>
      <c r="B24" s="397" t="e">
        <f>#REF!</f>
        <v>#REF!</v>
      </c>
      <c r="C24" s="404" t="e">
        <f>#REF!</f>
        <v>#REF!</v>
      </c>
      <c r="D24" s="740" t="e">
        <f>#REF!</f>
        <v>#REF!</v>
      </c>
      <c r="E24" s="903"/>
      <c r="F24" s="903"/>
      <c r="G24" s="741" t="e">
        <f>'8-1.설비자재산출(전력통신)'!#REF!</f>
        <v>#REF!</v>
      </c>
      <c r="H24" s="739" t="e">
        <f t="shared" si="0"/>
        <v>#REF!</v>
      </c>
      <c r="I24" s="744" t="e">
        <f>#REF!</f>
        <v>#REF!</v>
      </c>
      <c r="J24" s="406"/>
      <c r="K24" s="22" t="e">
        <v>#REF!</v>
      </c>
    </row>
    <row r="25" spans="1:11" s="22" customFormat="1" ht="24.95" hidden="1" customHeight="1">
      <c r="A25" s="267" t="e">
        <f>#REF!</f>
        <v>#REF!</v>
      </c>
      <c r="B25" s="397" t="e">
        <f>#REF!</f>
        <v>#REF!</v>
      </c>
      <c r="C25" s="404" t="e">
        <f>#REF!</f>
        <v>#REF!</v>
      </c>
      <c r="D25" s="740" t="e">
        <f>#REF!</f>
        <v>#REF!</v>
      </c>
      <c r="E25" s="903"/>
      <c r="F25" s="903"/>
      <c r="G25" s="741" t="e">
        <f>G8</f>
        <v>#REF!</v>
      </c>
      <c r="H25" s="739" t="e">
        <f t="shared" si="0"/>
        <v>#REF!</v>
      </c>
      <c r="I25" s="744" t="e">
        <f>#REF!</f>
        <v>#REF!</v>
      </c>
      <c r="J25" s="406"/>
      <c r="K25" s="22" t="e">
        <v>#REF!</v>
      </c>
    </row>
    <row r="26" spans="1:11" s="22" customFormat="1" ht="24.95" hidden="1" customHeight="1">
      <c r="A26" s="267" t="e">
        <f>#REF!</f>
        <v>#REF!</v>
      </c>
      <c r="B26" s="397" t="e">
        <f>#REF!</f>
        <v>#REF!</v>
      </c>
      <c r="C26" s="404" t="e">
        <f>#REF!</f>
        <v>#REF!</v>
      </c>
      <c r="D26" s="740" t="e">
        <f>#REF!</f>
        <v>#REF!</v>
      </c>
      <c r="E26" s="903"/>
      <c r="F26" s="903"/>
      <c r="G26" s="741" t="e">
        <f>(#REF!+#REF!+#REF!)-(#REF!+#REF!+#REF!)</f>
        <v>#REF!</v>
      </c>
      <c r="H26" s="739" t="e">
        <f t="shared" si="0"/>
        <v>#REF!</v>
      </c>
      <c r="I26" s="744" t="e">
        <f>#REF!</f>
        <v>#REF!</v>
      </c>
      <c r="J26" s="406"/>
      <c r="K26" s="22" t="e">
        <v>#REF!</v>
      </c>
    </row>
    <row r="27" spans="1:11" s="22" customFormat="1" ht="24.95" hidden="1" customHeight="1">
      <c r="A27" s="267" t="e">
        <f>#REF!</f>
        <v>#REF!</v>
      </c>
      <c r="B27" s="397" t="e">
        <f>#REF!</f>
        <v>#REF!</v>
      </c>
      <c r="C27" s="404" t="e">
        <f>#REF!</f>
        <v>#REF!</v>
      </c>
      <c r="D27" s="740" t="e">
        <f>#REF!</f>
        <v>#REF!</v>
      </c>
      <c r="E27" s="903"/>
      <c r="F27" s="903"/>
      <c r="G27" s="741" t="e">
        <f>(#REF!+#REF!+#REF!+#REF!+#REF!+#REF!)-#REF!</f>
        <v>#REF!</v>
      </c>
      <c r="H27" s="739" t="e">
        <f t="shared" si="0"/>
        <v>#REF!</v>
      </c>
      <c r="I27" s="744" t="e">
        <f>#REF!</f>
        <v>#REF!</v>
      </c>
      <c r="J27" s="406"/>
      <c r="K27" s="22" t="e">
        <v>#REF!</v>
      </c>
    </row>
    <row r="28" spans="1:11" s="22" customFormat="1" ht="24.95" hidden="1" customHeight="1">
      <c r="A28" s="267" t="e">
        <f>#REF!</f>
        <v>#REF!</v>
      </c>
      <c r="B28" s="397" t="e">
        <f>#REF!</f>
        <v>#REF!</v>
      </c>
      <c r="C28" s="404" t="e">
        <f>#REF!</f>
        <v>#REF!</v>
      </c>
      <c r="D28" s="740" t="e">
        <f>#REF!</f>
        <v>#REF!</v>
      </c>
      <c r="E28" s="903"/>
      <c r="F28" s="903"/>
      <c r="G28" s="741" t="e">
        <f>(#REF!+#REF!+#REF!)</f>
        <v>#REF!</v>
      </c>
      <c r="H28" s="739" t="e">
        <f t="shared" si="0"/>
        <v>#REF!</v>
      </c>
      <c r="I28" s="744" t="e">
        <f>#REF!</f>
        <v>#REF!</v>
      </c>
      <c r="J28" s="406"/>
      <c r="K28" s="268" t="e">
        <v>#REF!</v>
      </c>
    </row>
    <row r="29" spans="1:11" s="22" customFormat="1" ht="24.95" hidden="1" customHeight="1">
      <c r="A29" s="267" t="e">
        <f>#REF!</f>
        <v>#REF!</v>
      </c>
      <c r="B29" s="397" t="e">
        <f>#REF!</f>
        <v>#REF!</v>
      </c>
      <c r="C29" s="404" t="e">
        <f>#REF!</f>
        <v>#REF!</v>
      </c>
      <c r="D29" s="740" t="e">
        <f>#REF!</f>
        <v>#REF!</v>
      </c>
      <c r="E29" s="903"/>
      <c r="F29" s="903"/>
      <c r="G29" s="741" t="e">
        <f>(#REF!+#REF!+#REF!)</f>
        <v>#REF!</v>
      </c>
      <c r="H29" s="739" t="e">
        <f t="shared" si="0"/>
        <v>#REF!</v>
      </c>
      <c r="I29" s="744" t="e">
        <f>#REF!</f>
        <v>#REF!</v>
      </c>
      <c r="J29" s="406"/>
      <c r="K29" s="22" t="e">
        <v>#REF!</v>
      </c>
    </row>
    <row r="30" spans="1:11" s="22" customFormat="1" ht="24.95" hidden="1" customHeight="1">
      <c r="A30" s="267" t="e">
        <f>#REF!</f>
        <v>#REF!</v>
      </c>
      <c r="B30" s="397" t="e">
        <f>#REF!</f>
        <v>#REF!</v>
      </c>
      <c r="C30" s="404" t="e">
        <f>#REF!</f>
        <v>#REF!</v>
      </c>
      <c r="D30" s="740" t="e">
        <f>#REF!</f>
        <v>#REF!</v>
      </c>
      <c r="E30" s="903"/>
      <c r="F30" s="903"/>
      <c r="G30" s="741" t="e">
        <f>(#REF!+#REF!+#REF!)</f>
        <v>#REF!</v>
      </c>
      <c r="H30" s="739" t="e">
        <f t="shared" si="0"/>
        <v>#REF!</v>
      </c>
      <c r="I30" s="744" t="e">
        <f>#REF!</f>
        <v>#REF!</v>
      </c>
      <c r="J30" s="406"/>
      <c r="K30" s="22" t="e">
        <v>#REF!</v>
      </c>
    </row>
    <row r="31" spans="1:11" s="22" customFormat="1" ht="24.95" hidden="1" customHeight="1">
      <c r="A31" s="267" t="e">
        <f>#REF!</f>
        <v>#REF!</v>
      </c>
      <c r="B31" s="397" t="e">
        <f>#REF!</f>
        <v>#REF!</v>
      </c>
      <c r="C31" s="404" t="e">
        <f>#REF!</f>
        <v>#REF!</v>
      </c>
      <c r="D31" s="740" t="e">
        <f>#REF!</f>
        <v>#REF!</v>
      </c>
      <c r="E31" s="903"/>
      <c r="F31" s="903"/>
      <c r="G31" s="741" t="e">
        <f>(#REF!+#REF!+#REF!)+(#REF!+#REF!+#REF!)</f>
        <v>#REF!</v>
      </c>
      <c r="H31" s="739" t="e">
        <f t="shared" si="0"/>
        <v>#REF!</v>
      </c>
      <c r="I31" s="744" t="e">
        <f>#REF!</f>
        <v>#REF!</v>
      </c>
      <c r="J31" s="406"/>
      <c r="K31" s="22" t="e">
        <v>#REF!</v>
      </c>
    </row>
    <row r="32" spans="1:11" s="22" customFormat="1" ht="24.95" hidden="1" customHeight="1">
      <c r="A32" s="267" t="e">
        <f>#REF!</f>
        <v>#REF!</v>
      </c>
      <c r="B32" s="399" t="e">
        <f>#REF!</f>
        <v>#REF!</v>
      </c>
      <c r="C32" s="396" t="e">
        <f>#REF!</f>
        <v>#REF!</v>
      </c>
      <c r="D32" s="740" t="e">
        <f>#REF!</f>
        <v>#REF!</v>
      </c>
      <c r="E32" s="903"/>
      <c r="F32" s="903"/>
      <c r="G32" s="741" t="e">
        <f>(#REF!+#REF!+#REF!)</f>
        <v>#REF!</v>
      </c>
      <c r="H32" s="739" t="e">
        <f t="shared" si="0"/>
        <v>#REF!</v>
      </c>
      <c r="I32" s="744" t="e">
        <f>#REF!</f>
        <v>#REF!</v>
      </c>
      <c r="J32" s="406"/>
      <c r="K32" s="22" t="e">
        <v>#REF!</v>
      </c>
    </row>
    <row r="33" spans="1:11" s="22" customFormat="1" ht="24.95" hidden="1" customHeight="1">
      <c r="A33" s="267" t="e">
        <f>#REF!</f>
        <v>#REF!</v>
      </c>
      <c r="B33" s="399" t="e">
        <f>#REF!</f>
        <v>#REF!</v>
      </c>
      <c r="C33" s="396" t="e">
        <f>#REF!</f>
        <v>#REF!</v>
      </c>
      <c r="D33" s="740" t="e">
        <f>#REF!</f>
        <v>#REF!</v>
      </c>
      <c r="E33" s="903"/>
      <c r="F33" s="903"/>
      <c r="G33" s="741"/>
      <c r="H33" s="739">
        <f t="shared" si="0"/>
        <v>0</v>
      </c>
      <c r="I33" s="744" t="e">
        <f>#REF!</f>
        <v>#REF!</v>
      </c>
      <c r="J33" s="406"/>
      <c r="K33" s="22" t="e">
        <v>#REF!</v>
      </c>
    </row>
    <row r="34" spans="1:11" s="22" customFormat="1" ht="24.95" hidden="1" customHeight="1">
      <c r="A34" s="267" t="e">
        <f>#REF!</f>
        <v>#REF!</v>
      </c>
      <c r="B34" s="399" t="e">
        <f>#REF!</f>
        <v>#REF!</v>
      </c>
      <c r="C34" s="396" t="e">
        <f>#REF!</f>
        <v>#REF!</v>
      </c>
      <c r="D34" s="740" t="e">
        <f>#REF!</f>
        <v>#REF!</v>
      </c>
      <c r="E34" s="903"/>
      <c r="F34" s="903"/>
      <c r="G34" s="742"/>
      <c r="H34" s="1432">
        <f t="shared" si="0"/>
        <v>0</v>
      </c>
      <c r="I34" s="744" t="e">
        <f>#REF!</f>
        <v>#REF!</v>
      </c>
      <c r="J34" s="406"/>
      <c r="K34" s="22" t="e">
        <v>#REF!</v>
      </c>
    </row>
    <row r="35" spans="1:11" s="22" customFormat="1" ht="24.95" hidden="1" customHeight="1">
      <c r="A35" s="267" t="e">
        <f>#REF!</f>
        <v>#REF!</v>
      </c>
      <c r="B35" s="399" t="e">
        <f>#REF!</f>
        <v>#REF!</v>
      </c>
      <c r="C35" s="396" t="e">
        <f>#REF!</f>
        <v>#REF!</v>
      </c>
      <c r="D35" s="740" t="e">
        <f>#REF!</f>
        <v>#REF!</v>
      </c>
      <c r="E35" s="903"/>
      <c r="F35" s="903"/>
      <c r="G35" s="741"/>
      <c r="H35" s="739">
        <f t="shared" si="0"/>
        <v>0</v>
      </c>
      <c r="I35" s="744" t="e">
        <f>#REF!</f>
        <v>#REF!</v>
      </c>
      <c r="J35" s="406"/>
      <c r="K35" s="22" t="e">
        <v>#REF!</v>
      </c>
    </row>
    <row r="36" spans="1:11" s="22" customFormat="1" ht="24.95" hidden="1" customHeight="1">
      <c r="A36" s="267" t="e">
        <f>#REF!</f>
        <v>#REF!</v>
      </c>
      <c r="B36" s="399" t="e">
        <f>#REF!</f>
        <v>#REF!</v>
      </c>
      <c r="C36" s="396" t="e">
        <f>#REF!</f>
        <v>#REF!</v>
      </c>
      <c r="D36" s="740" t="e">
        <f>#REF!</f>
        <v>#REF!</v>
      </c>
      <c r="E36" s="903"/>
      <c r="F36" s="903"/>
      <c r="G36" s="741"/>
      <c r="H36" s="739">
        <f t="shared" si="0"/>
        <v>0</v>
      </c>
      <c r="I36" s="744" t="e">
        <f>#REF!</f>
        <v>#REF!</v>
      </c>
      <c r="J36" s="406"/>
      <c r="K36" s="268" t="e">
        <v>#REF!</v>
      </c>
    </row>
    <row r="37" spans="1:11" s="22" customFormat="1" ht="24.95" hidden="1" customHeight="1">
      <c r="A37" s="267" t="e">
        <f>#REF!</f>
        <v>#REF!</v>
      </c>
      <c r="B37" s="399" t="e">
        <f>#REF!</f>
        <v>#REF!</v>
      </c>
      <c r="C37" s="396" t="e">
        <f>#REF!</f>
        <v>#REF!</v>
      </c>
      <c r="D37" s="740" t="e">
        <f>#REF!</f>
        <v>#REF!</v>
      </c>
      <c r="E37" s="903"/>
      <c r="F37" s="903"/>
      <c r="G37" s="741"/>
      <c r="H37" s="739">
        <f t="shared" si="0"/>
        <v>0</v>
      </c>
      <c r="I37" s="744" t="e">
        <f>#REF!</f>
        <v>#REF!</v>
      </c>
      <c r="J37" s="406"/>
      <c r="K37" s="22" t="e">
        <v>#REF!</v>
      </c>
    </row>
    <row r="38" spans="1:11" s="22" customFormat="1" ht="24.95" hidden="1" customHeight="1">
      <c r="A38" s="267" t="e">
        <f>#REF!</f>
        <v>#REF!</v>
      </c>
      <c r="B38" s="399" t="e">
        <f>#REF!</f>
        <v>#REF!</v>
      </c>
      <c r="C38" s="396" t="e">
        <f>#REF!</f>
        <v>#REF!</v>
      </c>
      <c r="D38" s="740" t="e">
        <f>#REF!</f>
        <v>#REF!</v>
      </c>
      <c r="E38" s="903"/>
      <c r="F38" s="903"/>
      <c r="G38" s="741"/>
      <c r="H38" s="739">
        <f t="shared" si="0"/>
        <v>0</v>
      </c>
      <c r="I38" s="744" t="e">
        <f>#REF!</f>
        <v>#REF!</v>
      </c>
      <c r="J38" s="406"/>
      <c r="K38" s="22" t="e">
        <v>#REF!</v>
      </c>
    </row>
    <row r="39" spans="1:11" s="22" customFormat="1" ht="24.95" hidden="1" customHeight="1">
      <c r="A39" s="267" t="e">
        <f>#REF!</f>
        <v>#REF!</v>
      </c>
      <c r="B39" s="399" t="e">
        <f>#REF!</f>
        <v>#REF!</v>
      </c>
      <c r="C39" s="396" t="e">
        <f>#REF!</f>
        <v>#REF!</v>
      </c>
      <c r="D39" s="740" t="e">
        <f>#REF!</f>
        <v>#REF!</v>
      </c>
      <c r="E39" s="903"/>
      <c r="F39" s="903"/>
      <c r="G39" s="741"/>
      <c r="H39" s="739">
        <f t="shared" si="0"/>
        <v>0</v>
      </c>
      <c r="I39" s="744" t="e">
        <f>#REF!</f>
        <v>#REF!</v>
      </c>
      <c r="J39" s="406"/>
      <c r="K39" s="22" t="e">
        <v>#REF!</v>
      </c>
    </row>
    <row r="40" spans="1:11" s="22" customFormat="1" ht="24.95" hidden="1" customHeight="1">
      <c r="A40" s="902"/>
      <c r="B40" s="912"/>
      <c r="C40" s="913"/>
      <c r="D40" s="914"/>
      <c r="E40" s="911"/>
      <c r="F40" s="911"/>
      <c r="G40" s="915"/>
      <c r="H40" s="1433"/>
      <c r="I40" s="916"/>
      <c r="J40" s="917"/>
    </row>
    <row r="41" spans="1:11" s="10" customFormat="1" ht="21.75" customHeight="1">
      <c r="A41" s="1945" t="s">
        <v>204</v>
      </c>
      <c r="B41" s="1945" t="s">
        <v>951</v>
      </c>
      <c r="C41" s="1945" t="s">
        <v>205</v>
      </c>
      <c r="D41" s="1945" t="s">
        <v>202</v>
      </c>
      <c r="E41" s="1945" t="s">
        <v>147</v>
      </c>
      <c r="F41" s="1945"/>
      <c r="G41" s="1945"/>
      <c r="H41" s="1945"/>
      <c r="I41" s="1944" t="s">
        <v>1019</v>
      </c>
      <c r="J41" s="1945" t="s">
        <v>203</v>
      </c>
      <c r="K41" s="10" t="s">
        <v>2383</v>
      </c>
    </row>
    <row r="42" spans="1:11" s="10" customFormat="1" ht="21.75" customHeight="1">
      <c r="A42" s="1945"/>
      <c r="B42" s="1945"/>
      <c r="C42" s="1945"/>
      <c r="D42" s="1945"/>
      <c r="E42" s="918" t="s">
        <v>2635</v>
      </c>
      <c r="F42" s="918" t="s">
        <v>2950</v>
      </c>
      <c r="G42" s="918" t="s">
        <v>2951</v>
      </c>
      <c r="H42" s="1369" t="s">
        <v>150</v>
      </c>
      <c r="I42" s="1945"/>
      <c r="J42" s="1945"/>
    </row>
    <row r="43" spans="1:11" s="22" customFormat="1" ht="24.95" customHeight="1">
      <c r="A43" s="803" t="str">
        <f>'8-4.일위대가표'!A4</f>
        <v>1. 송변전용 광전송장치</v>
      </c>
      <c r="B43" s="396"/>
      <c r="C43" s="396"/>
      <c r="D43" s="740"/>
      <c r="E43" s="267"/>
      <c r="F43" s="267"/>
      <c r="G43" s="267"/>
      <c r="H43" s="580"/>
      <c r="I43" s="744"/>
      <c r="J43" s="981"/>
      <c r="K43" s="22" t="s">
        <v>3126</v>
      </c>
    </row>
    <row r="44" spans="1:11" s="22" customFormat="1" ht="24.95" customHeight="1">
      <c r="A44" s="267" t="str">
        <f>'8-4.일위대가표'!A5</f>
        <v>품1-1.</v>
      </c>
      <c r="B44" s="396" t="str">
        <f>VLOOKUP(A44,'8-4.일위대가표'!$A$4:$N$723,2,FALSE)</f>
        <v>송변전용 광단말장치 설치</v>
      </c>
      <c r="C44" s="396" t="str">
        <f>VLOOKUP(A44,'8-4.일위대가표'!$A$4:$N$723,3,FALSE)</f>
        <v>HSR-10G</v>
      </c>
      <c r="D44" s="740" t="str">
        <f>VLOOKUP(A44,'8-4.일위대가표'!$A$4:$N$723,5,FALSE)</f>
        <v>대</v>
      </c>
      <c r="E44" s="316">
        <f>'8-1.설비자재산출(전력통신)'!J7</f>
        <v>1</v>
      </c>
      <c r="F44" s="316">
        <f>'8-1.설비자재산출(전력통신)'!K7</f>
        <v>1</v>
      </c>
      <c r="G44" s="316">
        <f>'8-1.설비자재산출(전력통신)'!L7</f>
        <v>1</v>
      </c>
      <c r="H44" s="1694">
        <f>SUM(E44:G44)</f>
        <v>3</v>
      </c>
      <c r="I44" s="744">
        <f>VLOOKUP(A44,'8-4.일위대가표'!$A$4:$N$723,13,FALSE)</f>
        <v>2835567</v>
      </c>
      <c r="J44" s="981"/>
      <c r="K44" s="22" t="s">
        <v>1088</v>
      </c>
    </row>
    <row r="45" spans="1:11" s="22" customFormat="1" ht="24.95" hidden="1" customHeight="1">
      <c r="A45" s="267" t="str">
        <f>'8-4.일위대가표'!A21</f>
        <v>품1-1-1.</v>
      </c>
      <c r="B45" s="396" t="str">
        <f>VLOOKUP(A45,'8-4.일위대가표'!$A$4:$N$723,2,FALSE)</f>
        <v>송변전용 광단말장치용 광전송유니트설치</v>
      </c>
      <c r="C45" s="396" t="str">
        <f>VLOOKUP(A45,'8-4.일위대가표'!$A$4:$N$723,3,FALSE)</f>
        <v>CTRU 2매 및 8파장 기준</v>
      </c>
      <c r="D45" s="740" t="str">
        <f>VLOOKUP(A45,'8-4.일위대가표'!$A$4:$N$723,5,FALSE)</f>
        <v>2유니트</v>
      </c>
      <c r="E45" s="316"/>
      <c r="F45" s="316"/>
      <c r="G45" s="316"/>
      <c r="H45" s="1694">
        <f t="shared" ref="H45:H76" si="1">SUM(E45:G45)</f>
        <v>0</v>
      </c>
      <c r="I45" s="744">
        <f>VLOOKUP(A45,'8-4.일위대가표'!$A$4:$N$723,13,FALSE)</f>
        <v>1310720</v>
      </c>
      <c r="J45" s="981"/>
      <c r="K45" s="22" t="s">
        <v>3291</v>
      </c>
    </row>
    <row r="46" spans="1:11" s="22" customFormat="1" ht="24.95" customHeight="1">
      <c r="A46" s="267" t="str">
        <f>'8-4.일위대가표'!A44</f>
        <v>품1-2.</v>
      </c>
      <c r="B46" s="396" t="str">
        <f>VLOOKUP(A46,'8-4.일위대가표'!$A$4:$N$723,2,FALSE)</f>
        <v>HSR-PtoP unit 설치</v>
      </c>
      <c r="C46" s="396" t="str">
        <f>VLOOKUP(A46,'8-4.일위대가표'!$A$4:$N$723,3,FALSE)</f>
        <v>신형)HSR-PTP</v>
      </c>
      <c r="D46" s="740" t="str">
        <f>VLOOKUP(A46,'8-4.일위대가표'!$A$4:$N$723,5,FALSE)</f>
        <v>대</v>
      </c>
      <c r="E46" s="316">
        <f>'8-1.설비자재산출(전력통신)'!J17+'8-1.설비자재산출(전력통신)'!J18+'8-1.설비자재산출(전력통신)'!J19</f>
        <v>1</v>
      </c>
      <c r="F46" s="316">
        <f>'8-1.설비자재산출(전력통신)'!K17+'8-1.설비자재산출(전력통신)'!K18+'8-1.설비자재산출(전력통신)'!K19</f>
        <v>0</v>
      </c>
      <c r="G46" s="316">
        <f>'8-1.설비자재산출(전력통신)'!L17+'8-1.설비자재산출(전력통신)'!L18+'8-1.설비자재산출(전력통신)'!L19</f>
        <v>1</v>
      </c>
      <c r="H46" s="1694">
        <f t="shared" si="1"/>
        <v>2</v>
      </c>
      <c r="I46" s="744">
        <f>VLOOKUP(A46,'8-4.일위대가표'!$A$4:$N$723,13,FALSE)</f>
        <v>1156346</v>
      </c>
      <c r="J46" s="981"/>
      <c r="K46" s="22" t="s">
        <v>3262</v>
      </c>
    </row>
    <row r="47" spans="1:11" s="22" customFormat="1" ht="24.95" customHeight="1">
      <c r="A47" s="267" t="str">
        <f>'8-4.일위대가표'!A68</f>
        <v>품1-3.</v>
      </c>
      <c r="B47" s="396" t="str">
        <f>VLOOKUP(A47,'8-4.일위대가표'!$A$4:$N$723,2,FALSE)</f>
        <v>송광치/IDF/단자/PITR 랙 설치</v>
      </c>
      <c r="C47" s="396" t="str">
        <f>VLOOKUP(A47,'8-4.일위대가표'!$A$4:$N$723,3,FALSE)</f>
        <v>19" Rack</v>
      </c>
      <c r="D47" s="740" t="str">
        <f>VLOOKUP(A47,'8-4.일위대가표'!$A$4:$N$723,5,FALSE)</f>
        <v>대</v>
      </c>
      <c r="E47" s="316">
        <f>'8-1.설비자재산출(전력통신)'!J20+'8-1.설비자재산출(전력통신)'!J45</f>
        <v>2</v>
      </c>
      <c r="F47" s="316">
        <f>'8-1.설비자재산출(전력통신)'!K20</f>
        <v>1</v>
      </c>
      <c r="G47" s="316">
        <f>'8-1.설비자재산출(전력통신)'!L20</f>
        <v>1</v>
      </c>
      <c r="H47" s="1694">
        <f t="shared" si="1"/>
        <v>4</v>
      </c>
      <c r="I47" s="744">
        <f>VLOOKUP(A47,'8-4.일위대가표'!$A$4:$N$723,13,FALSE)</f>
        <v>252964</v>
      </c>
      <c r="J47" s="981"/>
      <c r="K47" s="22" t="s">
        <v>1089</v>
      </c>
    </row>
    <row r="48" spans="1:11" s="22" customFormat="1" ht="24.95" hidden="1" customHeight="1">
      <c r="A48" s="267">
        <f>'8-4.일위대가표'!A74</f>
        <v>0</v>
      </c>
      <c r="B48" s="396" t="e">
        <f>VLOOKUP(A48,'8-4.일위대가표'!$A$4:$N$723,2,FALSE)</f>
        <v>#N/A</v>
      </c>
      <c r="C48" s="396" t="e">
        <f>VLOOKUP(A48,'8-4.일위대가표'!$A$4:$N$723,3,FALSE)</f>
        <v>#N/A</v>
      </c>
      <c r="D48" s="740" t="e">
        <f>VLOOKUP(A48,'8-4.일위대가표'!$A$4:$N$723,5,FALSE)</f>
        <v>#N/A</v>
      </c>
      <c r="E48" s="316"/>
      <c r="F48" s="316"/>
      <c r="G48" s="316"/>
      <c r="H48" s="1694">
        <f t="shared" si="1"/>
        <v>0</v>
      </c>
      <c r="I48" s="744" t="e">
        <f>VLOOKUP(A48,'8-4.일위대가표'!$A$4:$N$723,13,FALSE)</f>
        <v>#N/A</v>
      </c>
      <c r="J48" s="981"/>
      <c r="K48" s="22">
        <v>0</v>
      </c>
    </row>
    <row r="49" spans="1:11" s="22" customFormat="1" ht="24.95" hidden="1" customHeight="1">
      <c r="A49" s="267">
        <f>'8-4.일위대가표'!A76</f>
        <v>0</v>
      </c>
      <c r="B49" s="396" t="e">
        <f>VLOOKUP(A49,'8-4.일위대가표'!$A$4:$N$723,2,FALSE)</f>
        <v>#N/A</v>
      </c>
      <c r="C49" s="396" t="e">
        <f>VLOOKUP(A49,'8-4.일위대가표'!$A$4:$N$723,3,FALSE)</f>
        <v>#N/A</v>
      </c>
      <c r="D49" s="740" t="e">
        <f>VLOOKUP(A49,'8-4.일위대가표'!$A$4:$N$723,5,FALSE)</f>
        <v>#N/A</v>
      </c>
      <c r="E49" s="316"/>
      <c r="F49" s="316"/>
      <c r="G49" s="316"/>
      <c r="H49" s="1694">
        <f t="shared" si="1"/>
        <v>0</v>
      </c>
      <c r="I49" s="744" t="e">
        <f>VLOOKUP(A49,'8-4.일위대가표'!$A$4:$N$723,13,FALSE)</f>
        <v>#N/A</v>
      </c>
      <c r="J49" s="981"/>
      <c r="K49" s="22">
        <v>0</v>
      </c>
    </row>
    <row r="50" spans="1:11" s="22" customFormat="1" ht="24.95" customHeight="1">
      <c r="A50" s="267" t="str">
        <f>'8-4.일위대가표'!A79</f>
        <v>품1-4.</v>
      </c>
      <c r="B50" s="396" t="str">
        <f>VLOOKUP(A50,'8-4.일위대가표'!$A$4:$N$723,2,FALSE)</f>
        <v>L3 스위치 설치 및 시험</v>
      </c>
      <c r="C50" s="396" t="str">
        <f>VLOOKUP(A50,'8-4.일위대가표'!$A$4:$N$723,3,FALSE)</f>
        <v>본체 설치</v>
      </c>
      <c r="D50" s="740">
        <f>VLOOKUP(A50,'8-4.일위대가표'!$A$4:$N$723,5,FALSE)</f>
        <v>0</v>
      </c>
      <c r="E50" s="316">
        <f>'8-1.설비자재산출(전력통신)'!J24-1</f>
        <v>5</v>
      </c>
      <c r="F50" s="316">
        <f>'8-1.설비자재산출(전력통신)'!K24</f>
        <v>1</v>
      </c>
      <c r="G50" s="316"/>
      <c r="H50" s="1694">
        <f t="shared" si="1"/>
        <v>6</v>
      </c>
      <c r="I50" s="744">
        <f>VLOOKUP(A50,'8-4.일위대가표'!$A$4:$N$723,13,FALSE)</f>
        <v>458028</v>
      </c>
      <c r="J50" s="981"/>
      <c r="K50" s="22" t="s">
        <v>2979</v>
      </c>
    </row>
    <row r="51" spans="1:11" s="22" customFormat="1" ht="24.95" customHeight="1">
      <c r="A51" s="267" t="str">
        <f>'8-4.일위대가표'!A84</f>
        <v>품1-5.</v>
      </c>
      <c r="B51" s="396" t="str">
        <f>VLOOKUP(A51,'8-4.일위대가표'!$A$4:$N$723,2,FALSE)</f>
        <v>유니트 실장</v>
      </c>
      <c r="C51" s="396" t="str">
        <f>VLOOKUP(A51,'8-4.일위대가표'!$A$4:$N$723,3,FALSE)</f>
        <v>IDF,QDF,VDF,CTRU등</v>
      </c>
      <c r="D51" s="740" t="str">
        <f>VLOOKUP(A51,'8-4.일위대가표'!$A$4:$N$723,5,FALSE)</f>
        <v>개</v>
      </c>
      <c r="E51" s="316">
        <f>'8-1.설비자재산출(전력통신)'!J22+'8-1.설비자재산출(전력통신)'!J23+'8-1.설비자재산출(전력통신)'!J24</f>
        <v>8</v>
      </c>
      <c r="F51" s="316">
        <f>'8-1.설비자재산출(전력통신)'!K22+'8-1.설비자재산출(전력통신)'!K23+'8-1.설비자재산출(전력통신)'!K24</f>
        <v>2</v>
      </c>
      <c r="G51" s="316">
        <f>'8-1.설비자재산출(전력통신)'!L22+'8-1.설비자재산출(전력통신)'!L23+'8-1.설비자재산출(전력통신)'!L24</f>
        <v>1</v>
      </c>
      <c r="H51" s="1694">
        <f t="shared" si="1"/>
        <v>11</v>
      </c>
      <c r="I51" s="744">
        <f>VLOOKUP(A51,'8-4.일위대가표'!$A$4:$N$723,13,FALSE)</f>
        <v>5524</v>
      </c>
      <c r="J51" s="981"/>
      <c r="K51" s="22" t="s">
        <v>3266</v>
      </c>
    </row>
    <row r="52" spans="1:11" s="22" customFormat="1" ht="24.95" hidden="1" customHeight="1">
      <c r="A52" s="267" t="str">
        <f>'8-4.일위대가표'!A90</f>
        <v>품1-6.</v>
      </c>
      <c r="B52" s="396" t="str">
        <f>VLOOKUP(A52,'8-4.일위대가표'!$A$4:$N$723,2,FALSE)</f>
        <v>제어케이블 포설</v>
      </c>
      <c r="C52" s="396" t="str">
        <f>VLOOKUP(A52,'8-4.일위대가표'!$A$4:$N$723,3,FALSE)</f>
        <v>6SQ/2C 1열</v>
      </c>
      <c r="D52" s="740" t="str">
        <f>VLOOKUP(A52,'8-4.일위대가표'!$A$4:$N$723,5,FALSE)</f>
        <v>m</v>
      </c>
      <c r="E52" s="316"/>
      <c r="F52" s="316"/>
      <c r="G52" s="316"/>
      <c r="H52" s="1694">
        <f t="shared" si="1"/>
        <v>0</v>
      </c>
      <c r="I52" s="744">
        <f>VLOOKUP(A52,'8-4.일위대가표'!$A$4:$N$723,13,FALSE)</f>
        <v>8355</v>
      </c>
      <c r="J52" s="981"/>
      <c r="K52" s="22" t="s">
        <v>3268</v>
      </c>
    </row>
    <row r="53" spans="1:11" s="22" customFormat="1" ht="24.95" hidden="1" customHeight="1">
      <c r="A53" s="267" t="str">
        <f>'8-4.일위대가표'!A94</f>
        <v>품1-6-1.</v>
      </c>
      <c r="B53" s="396" t="str">
        <f>VLOOKUP(A53,'8-4.일위대가표'!$A$4:$N$723,2,FALSE)</f>
        <v>제어케이블 포설</v>
      </c>
      <c r="C53" s="396" t="str">
        <f>VLOOKUP(A53,'8-4.일위대가표'!$A$4:$N$723,3,FALSE)</f>
        <v>6SQ/2C 2열</v>
      </c>
      <c r="D53" s="740" t="str">
        <f>VLOOKUP(A53,'8-4.일위대가표'!$A$4:$N$723,5,FALSE)</f>
        <v>m</v>
      </c>
      <c r="E53" s="316"/>
      <c r="F53" s="316"/>
      <c r="G53" s="316"/>
      <c r="H53" s="1694">
        <f t="shared" si="1"/>
        <v>0</v>
      </c>
      <c r="I53" s="744">
        <f>VLOOKUP(A53,'8-4.일위대가표'!$A$4:$N$723,13,FALSE)</f>
        <v>15040</v>
      </c>
      <c r="J53" s="981"/>
      <c r="K53" s="22" t="s">
        <v>3293</v>
      </c>
    </row>
    <row r="54" spans="1:11" s="22" customFormat="1" ht="23.25" customHeight="1">
      <c r="A54" s="267" t="str">
        <f>'8-4.일위대가표'!A98</f>
        <v>품1-6-2.</v>
      </c>
      <c r="B54" s="396" t="str">
        <f>VLOOKUP(A54,'8-4.일위대가표'!$A$4:$N$723,2,FALSE)</f>
        <v>제어케이블 포설</v>
      </c>
      <c r="C54" s="396" t="str">
        <f>VLOOKUP(A54,'8-4.일위대가표'!$A$4:$N$723,3,FALSE)</f>
        <v>6SQ/2C 3열</v>
      </c>
      <c r="D54" s="740" t="str">
        <f>VLOOKUP(A54,'8-4.일위대가표'!$A$4:$N$723,5,FALSE)</f>
        <v>m</v>
      </c>
      <c r="E54" s="316">
        <f>('8-1.설비자재산출(전력통신)'!J33+'8-1.설비자재산출(전력통신)'!J34+'8-1.설비자재산출(전력통신)'!J35)/3</f>
        <v>26</v>
      </c>
      <c r="F54" s="316">
        <f>('8-1.설비자재산출(전력통신)'!K33+'8-1.설비자재산출(전력통신)'!K34+'8-1.설비자재산출(전력통신)'!K35)/3</f>
        <v>8</v>
      </c>
      <c r="G54" s="316">
        <f>('8-1.설비자재산출(전력통신)'!L33+'8-1.설비자재산출(전력통신)'!L34+'8-1.설비자재산출(전력통신)'!L35)/3</f>
        <v>18</v>
      </c>
      <c r="H54" s="1694">
        <f t="shared" si="1"/>
        <v>52</v>
      </c>
      <c r="I54" s="744">
        <f>VLOOKUP(A54,'8-4.일위대가표'!$A$4:$N$723,13,FALSE)</f>
        <v>21725</v>
      </c>
      <c r="J54" s="981"/>
      <c r="K54" s="22" t="s">
        <v>3295</v>
      </c>
    </row>
    <row r="55" spans="1:11" s="22" customFormat="1" ht="23.25" hidden="1" customHeight="1">
      <c r="A55" s="267">
        <f>'8-4.일위대가표'!A102</f>
        <v>0</v>
      </c>
      <c r="B55" s="396" t="e">
        <f>VLOOKUP(A55,'8-4.일위대가표'!$A$4:$N$723,2,FALSE)</f>
        <v>#N/A</v>
      </c>
      <c r="C55" s="396" t="e">
        <f>VLOOKUP(A55,'8-4.일위대가표'!$A$4:$N$723,3,FALSE)</f>
        <v>#N/A</v>
      </c>
      <c r="D55" s="740" t="e">
        <f>VLOOKUP(A55,'8-4.일위대가표'!$A$4:$N$723,5,FALSE)</f>
        <v>#N/A</v>
      </c>
      <c r="E55" s="316"/>
      <c r="F55" s="316"/>
      <c r="G55" s="316"/>
      <c r="H55" s="1694">
        <f t="shared" si="1"/>
        <v>0</v>
      </c>
      <c r="I55" s="744" t="e">
        <f>VLOOKUP(A55,'8-4.일위대가표'!$A$4:$N$723,13,FALSE)</f>
        <v>#N/A</v>
      </c>
      <c r="J55" s="981"/>
      <c r="K55" s="22">
        <v>0</v>
      </c>
    </row>
    <row r="56" spans="1:11" s="22" customFormat="1" ht="23.25" hidden="1" customHeight="1">
      <c r="A56" s="267">
        <f>'8-4.일위대가표'!A104</f>
        <v>0</v>
      </c>
      <c r="B56" s="396" t="e">
        <f>VLOOKUP(A56,'8-4.일위대가표'!$A$4:$N$723,2,FALSE)</f>
        <v>#N/A</v>
      </c>
      <c r="C56" s="396" t="e">
        <f>VLOOKUP(A56,'8-4.일위대가표'!$A$4:$N$723,3,FALSE)</f>
        <v>#N/A</v>
      </c>
      <c r="D56" s="740" t="e">
        <f>VLOOKUP(A56,'8-4.일위대가표'!$A$4:$N$723,5,FALSE)</f>
        <v>#N/A</v>
      </c>
      <c r="E56" s="316"/>
      <c r="F56" s="316"/>
      <c r="G56" s="316"/>
      <c r="H56" s="1694">
        <f t="shared" si="1"/>
        <v>0</v>
      </c>
      <c r="I56" s="744" t="e">
        <f>VLOOKUP(A56,'8-4.일위대가표'!$A$4:$N$723,13,FALSE)</f>
        <v>#N/A</v>
      </c>
      <c r="J56" s="981"/>
      <c r="K56" s="22">
        <v>0</v>
      </c>
    </row>
    <row r="57" spans="1:11" s="22" customFormat="1" ht="23.25" hidden="1" customHeight="1">
      <c r="A57" s="267">
        <f>'8-4.일위대가표'!A106</f>
        <v>0</v>
      </c>
      <c r="B57" s="396" t="e">
        <f>VLOOKUP(A57,'8-4.일위대가표'!$A$4:$N$723,2,FALSE)</f>
        <v>#N/A</v>
      </c>
      <c r="C57" s="396" t="e">
        <f>VLOOKUP(A57,'8-4.일위대가표'!$A$4:$N$723,3,FALSE)</f>
        <v>#N/A</v>
      </c>
      <c r="D57" s="740" t="e">
        <f>VLOOKUP(A57,'8-4.일위대가표'!$A$4:$N$723,5,FALSE)</f>
        <v>#N/A</v>
      </c>
      <c r="E57" s="316"/>
      <c r="F57" s="316"/>
      <c r="G57" s="316"/>
      <c r="H57" s="1694">
        <f t="shared" si="1"/>
        <v>0</v>
      </c>
      <c r="I57" s="744" t="e">
        <f>VLOOKUP(A57,'8-4.일위대가표'!$A$4:$N$723,13,FALSE)</f>
        <v>#N/A</v>
      </c>
      <c r="J57" s="981"/>
      <c r="K57" s="22">
        <v>0</v>
      </c>
    </row>
    <row r="58" spans="1:11" s="22" customFormat="1" ht="23.25" hidden="1" customHeight="1">
      <c r="A58" s="267">
        <f>'8-4.일위대가표'!A108</f>
        <v>0</v>
      </c>
      <c r="B58" s="396" t="e">
        <f>VLOOKUP(A58,'8-4.일위대가표'!$A$4:$N$723,2,FALSE)</f>
        <v>#N/A</v>
      </c>
      <c r="C58" s="396" t="e">
        <f>VLOOKUP(A58,'8-4.일위대가표'!$A$4:$N$723,3,FALSE)</f>
        <v>#N/A</v>
      </c>
      <c r="D58" s="740" t="e">
        <f>VLOOKUP(A58,'8-4.일위대가표'!$A$4:$N$723,5,FALSE)</f>
        <v>#N/A</v>
      </c>
      <c r="E58" s="316"/>
      <c r="F58" s="316"/>
      <c r="G58" s="316"/>
      <c r="H58" s="1694">
        <f t="shared" si="1"/>
        <v>0</v>
      </c>
      <c r="I58" s="744" t="e">
        <f>VLOOKUP(A58,'8-4.일위대가표'!$A$4:$N$723,13,FALSE)</f>
        <v>#N/A</v>
      </c>
      <c r="J58" s="981"/>
      <c r="K58" s="22">
        <v>0</v>
      </c>
    </row>
    <row r="59" spans="1:11" s="22" customFormat="1" ht="23.25" hidden="1" customHeight="1">
      <c r="A59" s="267">
        <f>'8-4.일위대가표'!A110</f>
        <v>0</v>
      </c>
      <c r="B59" s="396" t="e">
        <f>VLOOKUP(A59,'8-4.일위대가표'!$A$4:$N$723,2,FALSE)</f>
        <v>#N/A</v>
      </c>
      <c r="C59" s="396" t="e">
        <f>VLOOKUP(A59,'8-4.일위대가표'!$A$4:$N$723,3,FALSE)</f>
        <v>#N/A</v>
      </c>
      <c r="D59" s="740" t="e">
        <f>VLOOKUP(A59,'8-4.일위대가표'!$A$4:$N$723,5,FALSE)</f>
        <v>#N/A</v>
      </c>
      <c r="E59" s="316"/>
      <c r="F59" s="316"/>
      <c r="G59" s="316"/>
      <c r="H59" s="1694">
        <f t="shared" si="1"/>
        <v>0</v>
      </c>
      <c r="I59" s="744" t="e">
        <f>VLOOKUP(A59,'8-4.일위대가표'!$A$4:$N$723,13,FALSE)</f>
        <v>#N/A</v>
      </c>
      <c r="J59" s="981"/>
      <c r="K59" s="22">
        <v>0</v>
      </c>
    </row>
    <row r="60" spans="1:11" s="22" customFormat="1" ht="23.25" hidden="1" customHeight="1">
      <c r="A60" s="267">
        <f>'8-4.일위대가표'!A112</f>
        <v>0</v>
      </c>
      <c r="B60" s="396" t="e">
        <f>VLOOKUP(A60,'8-4.일위대가표'!$A$4:$N$723,2,FALSE)</f>
        <v>#N/A</v>
      </c>
      <c r="C60" s="396" t="e">
        <f>VLOOKUP(A60,'8-4.일위대가표'!$A$4:$N$723,3,FALSE)</f>
        <v>#N/A</v>
      </c>
      <c r="D60" s="740" t="e">
        <f>VLOOKUP(A60,'8-4.일위대가표'!$A$4:$N$723,5,FALSE)</f>
        <v>#N/A</v>
      </c>
      <c r="E60" s="316"/>
      <c r="F60" s="316"/>
      <c r="G60" s="316"/>
      <c r="H60" s="1694">
        <f t="shared" si="1"/>
        <v>0</v>
      </c>
      <c r="I60" s="744" t="e">
        <f>VLOOKUP(A60,'8-4.일위대가표'!$A$4:$N$723,13,FALSE)</f>
        <v>#N/A</v>
      </c>
      <c r="J60" s="981"/>
      <c r="K60" s="22">
        <v>0</v>
      </c>
    </row>
    <row r="61" spans="1:11" s="22" customFormat="1" ht="23.25" customHeight="1">
      <c r="A61" s="267" t="str">
        <f>'8-4.일위대가표'!A114</f>
        <v>품1-7.</v>
      </c>
      <c r="B61" s="396" t="str">
        <f>VLOOKUP(A61,'8-4.일위대가표'!$A$4:$N$723,2,FALSE)</f>
        <v>광점퍼코드 포설</v>
      </c>
      <c r="C61" s="396" t="str">
        <f>VLOOKUP(A61,'8-4.일위대가표'!$A$4:$N$723,3,FALSE)</f>
        <v>SC/PC(APC)↔SC/APC, 2열</v>
      </c>
      <c r="D61" s="740" t="str">
        <f>VLOOKUP(A61,'8-4.일위대가표'!$A$4:$N$723,5,FALSE)</f>
        <v>m</v>
      </c>
      <c r="E61" s="316">
        <f>'10-3-1. 송광단말케이블LIST(동해안)'!H8/2+'10-3-1. 송광단말케이블LIST(동해안)'!H19/2</f>
        <v>16</v>
      </c>
      <c r="F61" s="316">
        <f>'10-3-2. 송광단말케이블LIST(동강)'!H8/2+'10-3-2. 송광단말케이블LIST(동강)'!H19/2</f>
        <v>16</v>
      </c>
      <c r="G61" s="316">
        <f>'10-3-3. 송광단말케이블LIST(신태백)'!H8/2+'10-3-3. 송광단말케이블LIST(신태백)'!H19/2</f>
        <v>12</v>
      </c>
      <c r="H61" s="1694">
        <f t="shared" si="1"/>
        <v>44</v>
      </c>
      <c r="I61" s="744">
        <f>VLOOKUP(A61,'8-4.일위대가표'!$A$4:$N$723,13,FALSE)</f>
        <v>8851</v>
      </c>
      <c r="J61" s="981"/>
      <c r="K61" s="22" t="s">
        <v>2980</v>
      </c>
    </row>
    <row r="62" spans="1:11" s="22" customFormat="1" ht="24.95" hidden="1" customHeight="1">
      <c r="A62" s="267">
        <f>'8-4.일위대가표'!A117</f>
        <v>0</v>
      </c>
      <c r="B62" s="396" t="e">
        <f>VLOOKUP(A62,'8-4.일위대가표'!$A$4:$N$723,2,FALSE)</f>
        <v>#N/A</v>
      </c>
      <c r="C62" s="396" t="e">
        <f>VLOOKUP(A62,'8-4.일위대가표'!$A$4:$N$723,3,FALSE)</f>
        <v>#N/A</v>
      </c>
      <c r="D62" s="740" t="e">
        <f>VLOOKUP(A62,'8-4.일위대가표'!$A$4:$N$723,5,FALSE)</f>
        <v>#N/A</v>
      </c>
      <c r="E62" s="316"/>
      <c r="F62" s="316"/>
      <c r="G62" s="316"/>
      <c r="H62" s="1694">
        <f t="shared" si="1"/>
        <v>0</v>
      </c>
      <c r="I62" s="744" t="e">
        <f>VLOOKUP(A62,'8-4.일위대가표'!$A$4:$N$723,13,FALSE)</f>
        <v>#N/A</v>
      </c>
      <c r="J62" s="981"/>
      <c r="K62" s="22">
        <v>0</v>
      </c>
    </row>
    <row r="63" spans="1:11" s="22" customFormat="1" ht="24.95" hidden="1" customHeight="1">
      <c r="A63" s="267">
        <f>'8-4.일위대가표'!A120</f>
        <v>0</v>
      </c>
      <c r="B63" s="396" t="e">
        <f>VLOOKUP(A63,'8-4.일위대가표'!$A$4:$N$723,2,FALSE)</f>
        <v>#N/A</v>
      </c>
      <c r="C63" s="396" t="e">
        <f>VLOOKUP(A63,'8-4.일위대가표'!$A$4:$N$723,3,FALSE)</f>
        <v>#N/A</v>
      </c>
      <c r="D63" s="740" t="e">
        <f>VLOOKUP(A63,'8-4.일위대가표'!$A$4:$N$723,5,FALSE)</f>
        <v>#N/A</v>
      </c>
      <c r="E63" s="316"/>
      <c r="F63" s="316"/>
      <c r="G63" s="316"/>
      <c r="H63" s="1694">
        <f t="shared" si="1"/>
        <v>0</v>
      </c>
      <c r="I63" s="744" t="e">
        <f>VLOOKUP(A63,'8-4.일위대가표'!$A$4:$N$723,13,FALSE)</f>
        <v>#N/A</v>
      </c>
      <c r="J63" s="981"/>
      <c r="K63" s="22">
        <v>0</v>
      </c>
    </row>
    <row r="64" spans="1:11" s="22" customFormat="1" ht="24.95" hidden="1" customHeight="1">
      <c r="A64" s="267">
        <f>'8-4.일위대가표'!A123</f>
        <v>0</v>
      </c>
      <c r="B64" s="396" t="e">
        <f>VLOOKUP(A64,'8-4.일위대가표'!$A$4:$N$723,2,FALSE)</f>
        <v>#N/A</v>
      </c>
      <c r="C64" s="396" t="e">
        <f>VLOOKUP(A64,'8-4.일위대가표'!$A$4:$N$723,3,FALSE)</f>
        <v>#N/A</v>
      </c>
      <c r="D64" s="740" t="e">
        <f>VLOOKUP(A64,'8-4.일위대가표'!$A$4:$N$723,5,FALSE)</f>
        <v>#N/A</v>
      </c>
      <c r="E64" s="316"/>
      <c r="F64" s="316"/>
      <c r="G64" s="316"/>
      <c r="H64" s="1694">
        <f t="shared" si="1"/>
        <v>0</v>
      </c>
      <c r="I64" s="744" t="e">
        <f>VLOOKUP(A64,'8-4.일위대가표'!$A$4:$N$723,13,FALSE)</f>
        <v>#N/A</v>
      </c>
      <c r="J64" s="981"/>
      <c r="K64" s="22">
        <v>0</v>
      </c>
    </row>
    <row r="65" spans="1:16" s="22" customFormat="1" ht="24.95" hidden="1" customHeight="1">
      <c r="A65" s="267">
        <f>'8-4.일위대가표'!A125</f>
        <v>0</v>
      </c>
      <c r="B65" s="396" t="e">
        <f>VLOOKUP(A65,'8-4.일위대가표'!$A$4:$N$723,2,FALSE)</f>
        <v>#N/A</v>
      </c>
      <c r="C65" s="396" t="e">
        <f>VLOOKUP(A65,'8-4.일위대가표'!$A$4:$N$723,3,FALSE)</f>
        <v>#N/A</v>
      </c>
      <c r="D65" s="740" t="e">
        <f>VLOOKUP(A65,'8-4.일위대가표'!$A$4:$N$723,5,FALSE)</f>
        <v>#N/A</v>
      </c>
      <c r="E65" s="316"/>
      <c r="F65" s="316"/>
      <c r="G65" s="316"/>
      <c r="H65" s="1694">
        <f t="shared" si="1"/>
        <v>0</v>
      </c>
      <c r="I65" s="744" t="e">
        <f>VLOOKUP(A65,'8-4.일위대가표'!$A$4:$N$723,13,FALSE)</f>
        <v>#N/A</v>
      </c>
      <c r="J65" s="981"/>
      <c r="K65" s="22">
        <v>0</v>
      </c>
    </row>
    <row r="66" spans="1:16" s="22" customFormat="1" ht="24.95" hidden="1" customHeight="1">
      <c r="A66" s="267">
        <f>'8-4.일위대가표'!A127</f>
        <v>0</v>
      </c>
      <c r="B66" s="396" t="e">
        <f>VLOOKUP(A66,'8-4.일위대가표'!$A$4:$N$723,2,FALSE)</f>
        <v>#N/A</v>
      </c>
      <c r="C66" s="396" t="e">
        <f>VLOOKUP(A66,'8-4.일위대가표'!$A$4:$N$723,3,FALSE)</f>
        <v>#N/A</v>
      </c>
      <c r="D66" s="740" t="e">
        <f>VLOOKUP(A66,'8-4.일위대가표'!$A$4:$N$723,5,FALSE)</f>
        <v>#N/A</v>
      </c>
      <c r="E66" s="316"/>
      <c r="F66" s="316"/>
      <c r="G66" s="316"/>
      <c r="H66" s="1694">
        <f t="shared" si="1"/>
        <v>0</v>
      </c>
      <c r="I66" s="744" t="e">
        <f>VLOOKUP(A66,'8-4.일위대가표'!$A$4:$N$723,13,FALSE)</f>
        <v>#N/A</v>
      </c>
      <c r="J66" s="981"/>
      <c r="K66" s="22">
        <v>0</v>
      </c>
    </row>
    <row r="67" spans="1:16" s="22" customFormat="1" ht="24.95" hidden="1" customHeight="1">
      <c r="A67" s="267">
        <f>'8-4.일위대가표'!A128</f>
        <v>0</v>
      </c>
      <c r="B67" s="396" t="e">
        <f>VLOOKUP(A67,'8-4.일위대가표'!$A$4:$N$723,2,FALSE)</f>
        <v>#N/A</v>
      </c>
      <c r="C67" s="396" t="e">
        <f>VLOOKUP(A67,'8-4.일위대가표'!$A$4:$N$723,3,FALSE)</f>
        <v>#N/A</v>
      </c>
      <c r="D67" s="740" t="e">
        <f>VLOOKUP(A67,'8-4.일위대가표'!$A$4:$N$723,5,FALSE)</f>
        <v>#N/A</v>
      </c>
      <c r="E67" s="316"/>
      <c r="F67" s="316"/>
      <c r="G67" s="316"/>
      <c r="H67" s="1694">
        <f t="shared" si="1"/>
        <v>0</v>
      </c>
      <c r="I67" s="744" t="e">
        <f>VLOOKUP(A67,'8-4.일위대가표'!$A$4:$N$723,13,FALSE)</f>
        <v>#N/A</v>
      </c>
      <c r="J67" s="981"/>
      <c r="K67" s="22">
        <v>0</v>
      </c>
    </row>
    <row r="68" spans="1:16" s="22" customFormat="1" ht="24.95" hidden="1" customHeight="1">
      <c r="A68" s="267">
        <f>'8-4.일위대가표'!A130</f>
        <v>0</v>
      </c>
      <c r="B68" s="396" t="e">
        <f>VLOOKUP(A68,'8-4.일위대가표'!$A$4:$N$723,2,FALSE)</f>
        <v>#N/A</v>
      </c>
      <c r="C68" s="396" t="e">
        <f>VLOOKUP(A68,'8-4.일위대가표'!$A$4:$N$723,3,FALSE)</f>
        <v>#N/A</v>
      </c>
      <c r="D68" s="740" t="e">
        <f>VLOOKUP(A68,'8-4.일위대가표'!$A$4:$N$723,5,FALSE)</f>
        <v>#N/A</v>
      </c>
      <c r="E68" s="316"/>
      <c r="F68" s="316"/>
      <c r="G68" s="316"/>
      <c r="H68" s="1694">
        <f t="shared" si="1"/>
        <v>0</v>
      </c>
      <c r="I68" s="744" t="e">
        <f>VLOOKUP(A68,'8-4.일위대가표'!$A$4:$N$723,13,FALSE)</f>
        <v>#N/A</v>
      </c>
      <c r="J68" s="981"/>
      <c r="K68" s="22">
        <v>0</v>
      </c>
    </row>
    <row r="69" spans="1:16" s="22" customFormat="1" ht="24.95" customHeight="1">
      <c r="A69" s="267" t="str">
        <f>'8-4.일위대가표'!A132</f>
        <v>품1-8.</v>
      </c>
      <c r="B69" s="396" t="str">
        <f>VLOOKUP(A69,'8-4.일위대가표'!$A$4:$N$723,2,FALSE)</f>
        <v>UTP케이블 포설</v>
      </c>
      <c r="C69" s="396" t="str">
        <f>VLOOKUP(A69,'8-4.일위대가표'!$A$4:$N$723,3,FALSE)</f>
        <v>CAT.5 4Pr, 2열</v>
      </c>
      <c r="D69" s="740" t="str">
        <f>VLOOKUP(A69,'8-4.일위대가표'!$A$4:$N$723,5,FALSE)</f>
        <v>m</v>
      </c>
      <c r="E69" s="316">
        <f>('8-1.설비자재산출(전력통신)'!J39+'8-1.설비자재산출(전력통신)'!J40)/2</f>
        <v>25.5</v>
      </c>
      <c r="F69" s="316">
        <f>('8-1.설비자재산출(전력통신)'!K39+'8-1.설비자재산출(전력통신)'!K40)/2</f>
        <v>7</v>
      </c>
      <c r="G69" s="316">
        <f>('8-1.설비자재산출(전력통신)'!L39+'8-1.설비자재산출(전력통신)'!L40)/2</f>
        <v>8.5</v>
      </c>
      <c r="H69" s="1694">
        <f t="shared" si="1"/>
        <v>41</v>
      </c>
      <c r="I69" s="744">
        <f>VLOOKUP(A69,'8-4.일위대가표'!$A$4:$N$723,13,FALSE)</f>
        <v>10444</v>
      </c>
      <c r="J69" s="981"/>
      <c r="K69" s="22" t="s">
        <v>2981</v>
      </c>
    </row>
    <row r="70" spans="1:16" s="22" customFormat="1" ht="24.95" hidden="1" customHeight="1">
      <c r="A70" s="267">
        <f>'8-4.일위대가표'!A134</f>
        <v>0</v>
      </c>
      <c r="B70" s="396" t="e">
        <f>VLOOKUP(A70,'8-4.일위대가표'!$A$4:$N$723,2,FALSE)</f>
        <v>#N/A</v>
      </c>
      <c r="C70" s="396" t="e">
        <f>VLOOKUP(A70,'8-4.일위대가표'!$A$4:$N$723,3,FALSE)</f>
        <v>#N/A</v>
      </c>
      <c r="D70" s="740" t="e">
        <f>VLOOKUP(A70,'8-4.일위대가표'!$A$4:$N$723,5,FALSE)</f>
        <v>#N/A</v>
      </c>
      <c r="E70" s="316"/>
      <c r="F70" s="316"/>
      <c r="G70" s="316"/>
      <c r="H70" s="1694">
        <f t="shared" si="1"/>
        <v>0</v>
      </c>
      <c r="I70" s="744" t="e">
        <f>VLOOKUP(A70,'8-4.일위대가표'!$A$4:$N$723,13,FALSE)</f>
        <v>#N/A</v>
      </c>
      <c r="J70" s="981"/>
      <c r="K70" s="22">
        <v>0</v>
      </c>
    </row>
    <row r="71" spans="1:16" s="22" customFormat="1" ht="24.95" hidden="1" customHeight="1">
      <c r="A71" s="267">
        <f>'8-4.일위대가표'!A136</f>
        <v>0</v>
      </c>
      <c r="B71" s="396" t="e">
        <f>VLOOKUP(A71,'8-4.일위대가표'!$A$4:$N$723,2,FALSE)</f>
        <v>#N/A</v>
      </c>
      <c r="C71" s="396" t="e">
        <f>VLOOKUP(A71,'8-4.일위대가표'!$A$4:$N$723,3,FALSE)</f>
        <v>#N/A</v>
      </c>
      <c r="D71" s="740" t="e">
        <f>VLOOKUP(A71,'8-4.일위대가표'!$A$4:$N$723,5,FALSE)</f>
        <v>#N/A</v>
      </c>
      <c r="E71" s="316"/>
      <c r="F71" s="316"/>
      <c r="G71" s="316"/>
      <c r="H71" s="1694">
        <f t="shared" si="1"/>
        <v>0</v>
      </c>
      <c r="I71" s="744" t="e">
        <f>VLOOKUP(A71,'8-4.일위대가표'!$A$4:$N$723,13,FALSE)</f>
        <v>#N/A</v>
      </c>
      <c r="J71" s="981"/>
      <c r="K71" s="22">
        <v>0</v>
      </c>
    </row>
    <row r="72" spans="1:16" s="22" customFormat="1" ht="24.95" customHeight="1">
      <c r="A72" s="267" t="str">
        <f>'8-4.일위대가표'!A138</f>
        <v>품1-9.</v>
      </c>
      <c r="B72" s="396" t="str">
        <f>VLOOKUP(A72,'8-4.일위대가표'!$A$4:$N$723,2,FALSE)</f>
        <v>후렉시블전선관 시설</v>
      </c>
      <c r="C72" s="396" t="str">
        <f>VLOOKUP(A72,'8-4.일위대가표'!$A$4:$N$723,3,FALSE)</f>
        <v>금속가요전선관 22㎜</v>
      </c>
      <c r="D72" s="740" t="str">
        <f>VLOOKUP(A72,'8-4.일위대가표'!$A$4:$N$723,5,FALSE)</f>
        <v>m</v>
      </c>
      <c r="E72" s="316">
        <f>'8-1.설비자재산출(전력통신)'!J41</f>
        <v>16</v>
      </c>
      <c r="F72" s="316">
        <f>'8-1.설비자재산출(전력통신)'!K41</f>
        <v>16</v>
      </c>
      <c r="G72" s="316">
        <f>'8-1.설비자재산출(전력통신)'!L41</f>
        <v>12</v>
      </c>
      <c r="H72" s="1694">
        <f t="shared" si="1"/>
        <v>44</v>
      </c>
      <c r="I72" s="744">
        <f>VLOOKUP(A72,'8-4.일위대가표'!$A$4:$N$723,13,FALSE)</f>
        <v>19087</v>
      </c>
      <c r="J72" s="981"/>
      <c r="K72" s="22" t="s">
        <v>2384</v>
      </c>
    </row>
    <row r="73" spans="1:16" s="22" customFormat="1" ht="24.95" customHeight="1">
      <c r="A73" s="267" t="str">
        <f>'8-4.일위대가표'!A142</f>
        <v>품1-10.</v>
      </c>
      <c r="B73" s="396" t="str">
        <f>VLOOKUP(A73,'8-4.일위대가표'!$A$4:$N$723,2,FALSE)</f>
        <v>후렉시블전선관 시설</v>
      </c>
      <c r="C73" s="396" t="str">
        <f>VLOOKUP(A73,'8-4.일위대가표'!$A$4:$N$723,3,FALSE)</f>
        <v>금속가요전선관 16㎜</v>
      </c>
      <c r="D73" s="740" t="str">
        <f>VLOOKUP(A73,'8-4.일위대가표'!$A$4:$N$723,5,FALSE)</f>
        <v>m</v>
      </c>
      <c r="E73" s="316">
        <f>'8-1.설비자재산출(전력통신)'!J43</f>
        <v>42</v>
      </c>
      <c r="F73" s="316">
        <f>'8-1.설비자재산출(전력통신)'!K43</f>
        <v>14</v>
      </c>
      <c r="G73" s="316">
        <f>'8-1.설비자재산출(전력통신)'!L43</f>
        <v>12</v>
      </c>
      <c r="H73" s="1694">
        <f t="shared" si="1"/>
        <v>68</v>
      </c>
      <c r="I73" s="744">
        <f>VLOOKUP(A73,'8-4.일위대가표'!$A$4:$N$723,13,FALSE)</f>
        <v>14234</v>
      </c>
      <c r="J73" s="981"/>
      <c r="K73" s="22" t="s">
        <v>2385</v>
      </c>
    </row>
    <row r="74" spans="1:16" s="22" customFormat="1" ht="24.95" customHeight="1">
      <c r="A74" s="267" t="str">
        <f>'8-4.일위대가표'!A146</f>
        <v>품1-11.</v>
      </c>
      <c r="B74" s="396" t="str">
        <f>VLOOKUP(A74,'8-4.일위대가표'!$A$4:$N$723,2,FALSE)</f>
        <v>접지선 포설</v>
      </c>
      <c r="C74" s="396" t="str">
        <f>VLOOKUP(A74,'8-4.일위대가표'!$A$4:$N$723,3,FALSE)</f>
        <v>10㎟ 이하</v>
      </c>
      <c r="D74" s="740" t="str">
        <f>VLOOKUP(A74,'8-4.일위대가표'!$A$4:$N$723,5,FALSE)</f>
        <v>m</v>
      </c>
      <c r="E74" s="316">
        <f>'8-1.설비자재산출(전력통신)'!J44</f>
        <v>6</v>
      </c>
      <c r="F74" s="316">
        <f>'8-1.설비자재산출(전력통신)'!K44</f>
        <v>3</v>
      </c>
      <c r="G74" s="316">
        <f>'8-1.설비자재산출(전력통신)'!L44</f>
        <v>6</v>
      </c>
      <c r="H74" s="1694">
        <f t="shared" si="1"/>
        <v>15</v>
      </c>
      <c r="I74" s="744">
        <f>VLOOKUP(A74,'8-4.일위대가표'!$A$4:$N$723,13,FALSE)</f>
        <v>3732</v>
      </c>
      <c r="J74" s="981"/>
      <c r="K74" s="22" t="s">
        <v>2388</v>
      </c>
    </row>
    <row r="75" spans="1:16" s="22" customFormat="1" ht="24.95" customHeight="1">
      <c r="A75" s="267" t="str">
        <f>'8-4.일위대가표'!A150</f>
        <v>품1-12.</v>
      </c>
      <c r="B75" s="396" t="str">
        <f>VLOOKUP(A75,'8-4.일위대가표'!$A$4:$N$723,2,FALSE)</f>
        <v>접지선 접속</v>
      </c>
      <c r="C75" s="396" t="str">
        <f>VLOOKUP(A75,'8-4.일위대가표'!$A$4:$N$723,3,FALSE)</f>
        <v>압착단자</v>
      </c>
      <c r="D75" s="740" t="str">
        <f>VLOOKUP(A75,'8-4.일위대가표'!$A$4:$N$723,5,FALSE)</f>
        <v>개</v>
      </c>
      <c r="E75" s="316">
        <f>E74/3</f>
        <v>2</v>
      </c>
      <c r="F75" s="316">
        <f t="shared" ref="F75:G75" si="2">F74/3</f>
        <v>1</v>
      </c>
      <c r="G75" s="316">
        <f t="shared" si="2"/>
        <v>2</v>
      </c>
      <c r="H75" s="1694">
        <f t="shared" si="1"/>
        <v>5</v>
      </c>
      <c r="I75" s="744">
        <f>VLOOKUP(A75,'8-4.일위대가표'!$A$4:$N$723,13,FALSE)</f>
        <v>7465</v>
      </c>
      <c r="J75" s="981"/>
      <c r="K75" s="22" t="s">
        <v>3275</v>
      </c>
    </row>
    <row r="76" spans="1:16" s="22" customFormat="1" ht="24.95" customHeight="1">
      <c r="A76" s="267" t="str">
        <f>'8-4.일위대가표'!A152</f>
        <v>품1-13.</v>
      </c>
      <c r="B76" s="396" t="str">
        <f>VLOOKUP(A76,'8-4.일위대가표'!$A$4:$N$723,2,FALSE)</f>
        <v>케이블 심선성단 및 수용</v>
      </c>
      <c r="C76" s="396" t="str">
        <f>VLOOKUP(A76,'8-4.일위대가표'!$A$4:$N$723,3,FALSE)</f>
        <v>케이블 심선성단 및 수용</v>
      </c>
      <c r="D76" s="740" t="str">
        <f>VLOOKUP(A76,'8-4.일위대가표'!$A$4:$N$723,5,FALSE)</f>
        <v>단자</v>
      </c>
      <c r="E76" s="316">
        <f>(2*12*2)*E46+(2*12*2)*'8-1.설비자재산출(전력통신)'!J13/2</f>
        <v>96</v>
      </c>
      <c r="F76" s="316">
        <f>(2*12*2)*F46+(2*12*2)*'8-1.설비자재산출(전력통신)'!K13/2</f>
        <v>24</v>
      </c>
      <c r="G76" s="316">
        <f>(2*12*2)*G46+(2*12*2)*'8-1.설비자재산출(전력통신)'!L13/2</f>
        <v>48</v>
      </c>
      <c r="H76" s="1694">
        <f t="shared" si="1"/>
        <v>168</v>
      </c>
      <c r="I76" s="744">
        <f>VLOOKUP(A76,'8-4.일위대가표'!$A$4:$N$723,13,FALSE)</f>
        <v>1254</v>
      </c>
      <c r="J76" s="981"/>
      <c r="K76" s="22" t="s">
        <v>2982</v>
      </c>
    </row>
    <row r="77" spans="1:16" s="992" customFormat="1" ht="24.95" customHeight="1">
      <c r="A77" s="267"/>
      <c r="B77" s="399" t="s">
        <v>1148</v>
      </c>
      <c r="C77" s="396"/>
      <c r="D77" s="985"/>
      <c r="E77" s="1695"/>
      <c r="F77" s="1696"/>
      <c r="G77" s="1696"/>
      <c r="H77" s="1694"/>
      <c r="I77" s="744"/>
      <c r="J77" s="986"/>
      <c r="K77" s="987"/>
      <c r="L77" s="988"/>
      <c r="M77" s="986"/>
      <c r="N77" s="989"/>
      <c r="O77" s="990"/>
      <c r="P77" s="991"/>
    </row>
    <row r="78" spans="1:16" s="992" customFormat="1" ht="24.95" customHeight="1">
      <c r="A78" s="267"/>
      <c r="B78" s="399" t="s">
        <v>1520</v>
      </c>
      <c r="C78" s="396"/>
      <c r="D78" s="985"/>
      <c r="E78" s="1695"/>
      <c r="F78" s="1696"/>
      <c r="G78" s="1696"/>
      <c r="H78" s="1694"/>
      <c r="I78" s="744"/>
      <c r="J78" s="986"/>
      <c r="K78" s="987"/>
      <c r="L78" s="988"/>
      <c r="M78" s="986"/>
      <c r="N78" s="989"/>
      <c r="O78" s="990"/>
      <c r="P78" s="991"/>
    </row>
    <row r="79" spans="1:16" s="22" customFormat="1" ht="24.95" customHeight="1">
      <c r="A79" s="267"/>
      <c r="B79" s="399" t="s">
        <v>1262</v>
      </c>
      <c r="C79" s="396"/>
      <c r="D79" s="740"/>
      <c r="E79" s="1692"/>
      <c r="F79" s="1697"/>
      <c r="G79" s="1697"/>
      <c r="H79" s="1694"/>
      <c r="I79" s="744"/>
      <c r="J79" s="986"/>
      <c r="K79" s="993"/>
      <c r="L79" s="994"/>
      <c r="M79" s="986"/>
      <c r="N79" s="989"/>
      <c r="O79" s="990"/>
      <c r="P79" s="991"/>
    </row>
    <row r="80" spans="1:16" s="22" customFormat="1" ht="24.95" customHeight="1">
      <c r="A80" s="267" t="str">
        <f>'8-4.일위대가표'!A155</f>
        <v>품1-14.</v>
      </c>
      <c r="B80" s="396" t="str">
        <f>VLOOKUP(A80,'8-4.일위대가표'!$A$4:$N$723,2,FALSE)</f>
        <v>케이블 도통점검</v>
      </c>
      <c r="C80" s="396" t="str">
        <f>VLOOKUP(A80,'8-4.일위대가표'!$A$4:$N$723,3,FALSE)</f>
        <v>케이블 도통점검</v>
      </c>
      <c r="D80" s="740" t="str">
        <f>VLOOKUP(A80,'8-4.일위대가표'!$A$4:$N$723,5,FALSE)</f>
        <v>단자</v>
      </c>
      <c r="E80" s="316">
        <f>(12*2)*E46+(12*2)*'8-1.설비자재산출(전력통신)'!J13/2</f>
        <v>48</v>
      </c>
      <c r="F80" s="316">
        <f>(12*2)*F46+(12*2)*'8-1.설비자재산출(전력통신)'!K13/2</f>
        <v>12</v>
      </c>
      <c r="G80" s="316">
        <f>(12*2)*G46+(12*2)*'8-1.설비자재산출(전력통신)'!L13/2</f>
        <v>24</v>
      </c>
      <c r="H80" s="1694">
        <f>SUM(E80:G80)</f>
        <v>84</v>
      </c>
      <c r="I80" s="744">
        <f>VLOOKUP(A80,'8-4.일위대가표'!$A$4:$N$723,13,FALSE)</f>
        <v>1005</v>
      </c>
      <c r="J80" s="981"/>
      <c r="K80" s="22" t="s">
        <v>2983</v>
      </c>
    </row>
    <row r="81" spans="1:16" s="992" customFormat="1" ht="24.95" customHeight="1">
      <c r="A81" s="267"/>
      <c r="B81" s="399" t="s">
        <v>1149</v>
      </c>
      <c r="C81" s="396"/>
      <c r="D81" s="985"/>
      <c r="E81" s="1695"/>
      <c r="F81" s="1696"/>
      <c r="G81" s="1696"/>
      <c r="H81" s="1694"/>
      <c r="I81" s="744"/>
      <c r="J81" s="986"/>
      <c r="K81" s="987"/>
      <c r="L81" s="988"/>
      <c r="M81" s="986">
        <f t="shared" ref="M81:M83" si="3">SUM(K81:L81)</f>
        <v>0</v>
      </c>
      <c r="N81" s="989">
        <f t="shared" ref="N81:N83" si="4">SUM(J81,M81)</f>
        <v>0</v>
      </c>
      <c r="O81" s="990"/>
      <c r="P81" s="991"/>
    </row>
    <row r="82" spans="1:16" s="992" customFormat="1" ht="24.95" customHeight="1">
      <c r="A82" s="267"/>
      <c r="B82" s="399" t="s">
        <v>1521</v>
      </c>
      <c r="C82" s="396"/>
      <c r="D82" s="985"/>
      <c r="E82" s="1695"/>
      <c r="F82" s="1696"/>
      <c r="G82" s="1696"/>
      <c r="H82" s="1694"/>
      <c r="I82" s="744"/>
      <c r="J82" s="986"/>
      <c r="K82" s="987"/>
      <c r="L82" s="988"/>
      <c r="M82" s="986">
        <f t="shared" si="3"/>
        <v>0</v>
      </c>
      <c r="N82" s="989">
        <f t="shared" si="4"/>
        <v>0</v>
      </c>
      <c r="O82" s="990"/>
      <c r="P82" s="991"/>
    </row>
    <row r="83" spans="1:16" s="22" customFormat="1" ht="24.95" customHeight="1">
      <c r="A83" s="267"/>
      <c r="B83" s="399" t="s">
        <v>1522</v>
      </c>
      <c r="C83" s="396"/>
      <c r="D83" s="740"/>
      <c r="E83" s="1692"/>
      <c r="F83" s="1697"/>
      <c r="G83" s="1697"/>
      <c r="H83" s="1694"/>
      <c r="I83" s="744"/>
      <c r="J83" s="986"/>
      <c r="K83" s="993"/>
      <c r="L83" s="994"/>
      <c r="M83" s="986">
        <f t="shared" si="3"/>
        <v>0</v>
      </c>
      <c r="N83" s="989">
        <f t="shared" si="4"/>
        <v>0</v>
      </c>
      <c r="O83" s="990"/>
      <c r="P83" s="991"/>
    </row>
    <row r="84" spans="1:16" s="1502" customFormat="1" ht="24.95" hidden="1" customHeight="1">
      <c r="A84" s="1496" t="str">
        <f>'8-4.일위대가표'!A157</f>
        <v>품1-32.</v>
      </c>
      <c r="B84" s="1497" t="str">
        <f>VLOOKUP(A84,'8-4.일위대가표'!$A$4:$N$723,2,FALSE)</f>
        <v>단자블럭 설치</v>
      </c>
      <c r="C84" s="1497" t="str">
        <f>VLOOKUP(A84,'8-4.일위대가표'!$A$4:$N$723,3,FALSE)</f>
        <v>블럭단자, QDF 10P</v>
      </c>
      <c r="D84" s="1498" t="str">
        <f>VLOOKUP(A84,'8-4.일위대가표'!$A$4:$N$723,5,FALSE)</f>
        <v>개</v>
      </c>
      <c r="E84" s="1691"/>
      <c r="F84" s="1691"/>
      <c r="G84" s="1691"/>
      <c r="H84" s="1698">
        <f t="shared" ref="H84:H92" si="5">SUM(E84:G84)</f>
        <v>0</v>
      </c>
      <c r="I84" s="1500">
        <f>VLOOKUP(A84,'8-4.일위대가표'!$A$4:$N$723,13,FALSE)</f>
        <v>11618</v>
      </c>
      <c r="J84" s="1501"/>
      <c r="K84" s="1502" t="s">
        <v>2984</v>
      </c>
    </row>
    <row r="85" spans="1:16" s="22" customFormat="1" ht="24.95" hidden="1" customHeight="1">
      <c r="A85" s="267" t="str">
        <f>'8-4.일위대가표'!A160</f>
        <v>품1-33.</v>
      </c>
      <c r="B85" s="396" t="str">
        <f>VLOOKUP(A85,'8-4.일위대가표'!$A$4:$N$723,2,FALSE)</f>
        <v>콘센트 설치</v>
      </c>
      <c r="C85" s="396" t="str">
        <f>VLOOKUP(A85,'8-4.일위대가표'!$A$4:$N$723,3,FALSE)</f>
        <v>노출 접지 2구</v>
      </c>
      <c r="D85" s="740" t="str">
        <f>VLOOKUP(A85,'8-4.일위대가표'!$A$4:$N$723,5,FALSE)</f>
        <v>개</v>
      </c>
      <c r="E85" s="316">
        <f>'8-1.설비자재산출(전력통신)'!J88</f>
        <v>0</v>
      </c>
      <c r="F85" s="316">
        <f>'8-1.설비자재산출(전력통신)'!K88</f>
        <v>0</v>
      </c>
      <c r="G85" s="316">
        <f>'8-1.설비자재산출(전력통신)'!L88</f>
        <v>0</v>
      </c>
      <c r="H85" s="1694">
        <f t="shared" si="5"/>
        <v>0</v>
      </c>
      <c r="I85" s="744">
        <f>VLOOKUP(A85,'8-4.일위대가표'!$A$4:$N$723,13,FALSE)</f>
        <v>23042</v>
      </c>
      <c r="J85" s="981"/>
      <c r="K85" s="22" t="s">
        <v>2985</v>
      </c>
    </row>
    <row r="86" spans="1:16" s="1502" customFormat="1" ht="24.95" hidden="1" customHeight="1">
      <c r="A86" s="1496" t="str">
        <f>'8-4.일위대가표'!A164</f>
        <v>품1-35.</v>
      </c>
      <c r="B86" s="1497" t="str">
        <f>VLOOKUP(A86,'8-4.일위대가표'!$A$4:$N$723,2,FALSE)</f>
        <v>동축 케이블 포설</v>
      </c>
      <c r="C86" s="1497" t="str">
        <f>VLOOKUP(A86,'8-4.일위대가표'!$A$4:$N$723,3,FALSE)</f>
        <v>RG 58</v>
      </c>
      <c r="D86" s="1498" t="str">
        <f>VLOOKUP(A86,'8-4.일위대가표'!$A$4:$N$723,5,FALSE)</f>
        <v>m</v>
      </c>
      <c r="E86" s="1691"/>
      <c r="F86" s="1691"/>
      <c r="G86" s="1691"/>
      <c r="H86" s="1698">
        <f t="shared" si="5"/>
        <v>0</v>
      </c>
      <c r="I86" s="1500">
        <f>VLOOKUP(A86,'8-4.일위대가표'!$A$4:$N$723,13,FALSE)</f>
        <v>6576</v>
      </c>
      <c r="J86" s="1501"/>
      <c r="K86" s="1502" t="s">
        <v>2986</v>
      </c>
    </row>
    <row r="87" spans="1:16" s="1502" customFormat="1" ht="24.95" hidden="1" customHeight="1">
      <c r="A87" s="1496" t="str">
        <f>'8-4.일위대가표'!A166</f>
        <v>품1-36.</v>
      </c>
      <c r="B87" s="1497" t="str">
        <f>VLOOKUP(A87,'8-4.일위대가표'!$A$4:$N$723,2,FALSE)</f>
        <v>광케이블 포설</v>
      </c>
      <c r="C87" s="1497" t="str">
        <f>VLOOKUP(A87,'8-4.일위대가표'!$A$4:$N$723,3,FALSE)</f>
        <v>인력견인포설(관로,구내),주간</v>
      </c>
      <c r="D87" s="1498" t="str">
        <f>VLOOKUP(A87,'8-4.일위대가표'!$A$4:$N$723,5,FALSE)</f>
        <v>m</v>
      </c>
      <c r="E87" s="1691"/>
      <c r="F87" s="1691"/>
      <c r="G87" s="1691"/>
      <c r="H87" s="1698">
        <f t="shared" si="5"/>
        <v>0</v>
      </c>
      <c r="I87" s="1500">
        <f>VLOOKUP(A87,'8-4.일위대가표'!$A$4:$N$723,13,FALSE)</f>
        <v>5973</v>
      </c>
      <c r="J87" s="1501"/>
      <c r="K87" s="1502" t="s">
        <v>2987</v>
      </c>
    </row>
    <row r="88" spans="1:16" s="1502" customFormat="1" ht="24.95" hidden="1" customHeight="1">
      <c r="A88" s="1496" t="str">
        <f>'8-4.일위대가표'!A168</f>
        <v>품1-36-가.</v>
      </c>
      <c r="B88" s="1497" t="str">
        <f>VLOOKUP(A88,'8-4.일위대가표'!$A$4:$N$723,2,FALSE)</f>
        <v>광케이블 포설</v>
      </c>
      <c r="C88" s="1497" t="str">
        <f>VLOOKUP(A88,'8-4.일위대가표'!$A$4:$N$723,3,FALSE)</f>
        <v>인력견인포설(관로,구내),야간</v>
      </c>
      <c r="D88" s="1498" t="str">
        <f>VLOOKUP(A88,'8-4.일위대가표'!$A$4:$N$723,5,FALSE)</f>
        <v>m</v>
      </c>
      <c r="E88" s="1691"/>
      <c r="F88" s="1691"/>
      <c r="G88" s="1691"/>
      <c r="H88" s="1698">
        <f t="shared" si="5"/>
        <v>0</v>
      </c>
      <c r="I88" s="1500">
        <f>VLOOKUP(A88,'8-4.일위대가표'!$A$4:$N$723,13,FALSE)</f>
        <v>11199</v>
      </c>
      <c r="J88" s="1501"/>
      <c r="K88" s="1502" t="s">
        <v>2988</v>
      </c>
    </row>
    <row r="89" spans="1:16" s="1502" customFormat="1" ht="24.95" hidden="1" customHeight="1">
      <c r="A89" s="1496" t="str">
        <f>'8-4.일위대가표'!A170</f>
        <v>품1-37.</v>
      </c>
      <c r="B89" s="1497" t="str">
        <f>VLOOKUP(A89,'8-4.일위대가표'!$A$4:$N$723,2,FALSE)</f>
        <v>광케이블 국내성단</v>
      </c>
      <c r="C89" s="1497" t="str">
        <f>VLOOKUP(A89,'8-4.일위대가표'!$A$4:$N$723,3,FALSE)</f>
        <v>13-71코아</v>
      </c>
      <c r="D89" s="1498" t="str">
        <f>VLOOKUP(A89,'8-4.일위대가표'!$A$4:$N$723,5,FALSE)</f>
        <v>코아</v>
      </c>
      <c r="E89" s="1691"/>
      <c r="F89" s="1691"/>
      <c r="G89" s="1691"/>
      <c r="H89" s="1698">
        <f t="shared" si="5"/>
        <v>0</v>
      </c>
      <c r="I89" s="1500">
        <f>VLOOKUP(A89,'8-4.일위대가표'!$A$4:$N$723,13,FALSE)</f>
        <v>66970</v>
      </c>
      <c r="J89" s="1501"/>
      <c r="K89" s="1502" t="s">
        <v>2989</v>
      </c>
    </row>
    <row r="90" spans="1:16" s="1502" customFormat="1" ht="24.95" hidden="1" customHeight="1">
      <c r="A90" s="1496" t="str">
        <f>'8-4.일위대가표'!A173</f>
        <v>품1-38.</v>
      </c>
      <c r="B90" s="1497" t="str">
        <f>VLOOKUP(A90,'8-4.일위대가표'!$A$4:$N$723,2,FALSE)</f>
        <v>광케이블 측정 및 시험</v>
      </c>
      <c r="C90" s="1497" t="str">
        <f>VLOOKUP(A90,'8-4.일위대가표'!$A$4:$N$723,3,FALSE)</f>
        <v>최종시험</v>
      </c>
      <c r="D90" s="1498" t="str">
        <f>VLOOKUP(A90,'8-4.일위대가표'!$A$4:$N$723,5,FALSE)</f>
        <v>코아</v>
      </c>
      <c r="E90" s="1691"/>
      <c r="F90" s="1691"/>
      <c r="G90" s="1691"/>
      <c r="H90" s="1698">
        <f t="shared" si="5"/>
        <v>0</v>
      </c>
      <c r="I90" s="1500">
        <f>VLOOKUP(A90,'8-4.일위대가표'!$A$4:$N$723,13,FALSE)</f>
        <v>133613</v>
      </c>
      <c r="J90" s="1501"/>
      <c r="K90" s="1502" t="s">
        <v>2990</v>
      </c>
    </row>
    <row r="91" spans="1:16" s="1502" customFormat="1" ht="24.95" hidden="1" customHeight="1">
      <c r="A91" s="1496" t="str">
        <f>'8-4.일위대가표'!A176</f>
        <v>품1-39.</v>
      </c>
      <c r="B91" s="1497" t="str">
        <f>VLOOKUP(A91,'8-4.일위대가표'!$A$4:$N$723,2,FALSE)</f>
        <v>OFD셀프 설치</v>
      </c>
      <c r="C91" s="1497" t="str">
        <f>VLOOKUP(A91,'8-4.일위대가표'!$A$4:$N$723,3,FALSE)</f>
        <v>OFD셀프 설치</v>
      </c>
      <c r="D91" s="1498" t="str">
        <f>VLOOKUP(A91,'8-4.일위대가표'!$A$4:$N$723,5,FALSE)</f>
        <v>개소</v>
      </c>
      <c r="E91" s="1691"/>
      <c r="F91" s="1691"/>
      <c r="G91" s="1691"/>
      <c r="H91" s="1698">
        <f t="shared" si="5"/>
        <v>0</v>
      </c>
      <c r="I91" s="1500">
        <f>VLOOKUP(A91,'8-4.일위대가표'!$A$4:$N$723,13,FALSE)</f>
        <v>38366</v>
      </c>
      <c r="J91" s="1501"/>
      <c r="K91" s="1502" t="s">
        <v>2991</v>
      </c>
    </row>
    <row r="92" spans="1:16" s="1502" customFormat="1" ht="24.95" hidden="1" customHeight="1">
      <c r="A92" s="1496" t="str">
        <f>'8-4.일위대가표'!A179</f>
        <v>품1-40.</v>
      </c>
      <c r="B92" s="1497" t="str">
        <f>VLOOKUP(A92,'8-4.일위대가표'!$A$4:$N$723,2,FALSE)</f>
        <v>케이블 명찰 취부</v>
      </c>
      <c r="C92" s="1497" t="str">
        <f>VLOOKUP(A92,'8-4.일위대가표'!$A$4:$N$723,3,FALSE)</f>
        <v>식별표시용,주간</v>
      </c>
      <c r="D92" s="1498" t="str">
        <f>VLOOKUP(A92,'8-4.일위대가표'!$A$4:$N$723,5,FALSE)</f>
        <v>개</v>
      </c>
      <c r="E92" s="1691"/>
      <c r="F92" s="1691"/>
      <c r="G92" s="1691"/>
      <c r="H92" s="1698">
        <f t="shared" si="5"/>
        <v>0</v>
      </c>
      <c r="I92" s="1500">
        <f>VLOOKUP(A92,'8-4.일위대가표'!$A$4:$N$723,13,FALSE)</f>
        <v>1500</v>
      </c>
      <c r="J92" s="1503"/>
      <c r="K92" s="1502" t="s">
        <v>2992</v>
      </c>
    </row>
    <row r="93" spans="1:16" s="22" customFormat="1" ht="24.95" hidden="1" customHeight="1">
      <c r="A93" s="267" t="str">
        <f>'8-4.일위대가표'!A180</f>
        <v>품1-40-가.</v>
      </c>
      <c r="B93" s="396" t="str">
        <f>VLOOKUP(A93,'8-4.일위대가표'!$A$4:$N$723,2,FALSE)</f>
        <v>케이블 명찰 취부</v>
      </c>
      <c r="C93" s="396" t="str">
        <f>VLOOKUP(A93,'8-4.일위대가표'!$A$4:$N$723,3,FALSE)</f>
        <v>식별표시용,야간</v>
      </c>
      <c r="D93" s="740" t="str">
        <f>VLOOKUP(A93,'8-4.일위대가표'!$A$4:$N$723,5,FALSE)</f>
        <v>개</v>
      </c>
      <c r="E93" s="316"/>
      <c r="F93" s="1697"/>
      <c r="G93" s="1697"/>
      <c r="H93" s="1694"/>
      <c r="I93" s="744"/>
      <c r="J93" s="406"/>
      <c r="K93" s="22" t="s">
        <v>2993</v>
      </c>
    </row>
    <row r="94" spans="1:16" s="22" customFormat="1" ht="24.95" customHeight="1">
      <c r="A94" s="267"/>
      <c r="B94" s="396"/>
      <c r="C94" s="396"/>
      <c r="D94" s="740"/>
      <c r="E94" s="316"/>
      <c r="F94" s="316"/>
      <c r="G94" s="316"/>
      <c r="H94" s="1694"/>
      <c r="I94" s="744"/>
      <c r="J94" s="406"/>
    </row>
    <row r="95" spans="1:16" s="22" customFormat="1" ht="24.95" customHeight="1">
      <c r="A95" s="803" t="str">
        <f>'8-1.설비자재산출(전력통신)'!A95</f>
        <v>2. 전원설비</v>
      </c>
      <c r="B95" s="396"/>
      <c r="C95" s="396"/>
      <c r="D95" s="740"/>
      <c r="E95" s="316"/>
      <c r="F95" s="316"/>
      <c r="G95" s="316"/>
      <c r="H95" s="1694"/>
      <c r="I95" s="744"/>
      <c r="J95" s="406"/>
      <c r="K95" s="22" t="s">
        <v>3127</v>
      </c>
    </row>
    <row r="96" spans="1:16" s="22" customFormat="1" ht="24.95" customHeight="1">
      <c r="A96" s="267" t="str">
        <f>'8-4.일위대가표'!A264</f>
        <v>품2-1.</v>
      </c>
      <c r="B96" s="396" t="str">
        <f>VLOOKUP(A96,'8-4.일위대가표'!$A$4:$N$723,2,FALSE)</f>
        <v>UPS 설치</v>
      </c>
      <c r="C96" s="396" t="str">
        <f>VLOOKUP(A96,'8-4.일위대가표'!$A$4:$N$723,3,FALSE)</f>
        <v>15kVA/5kVA</v>
      </c>
      <c r="D96" s="740" t="str">
        <f>VLOOKUP(A96,'8-4.일위대가표'!$A$4:$N$723,5,FALSE)</f>
        <v>대</v>
      </c>
      <c r="E96" s="316">
        <f>'8-1.설비자재산출(전력통신)'!J98+'8-1.설비자재산출(전력통신)'!J99</f>
        <v>1</v>
      </c>
      <c r="F96" s="316">
        <f>'8-1.설비자재산출(전력통신)'!K98+'8-1.설비자재산출(전력통신)'!K99</f>
        <v>1</v>
      </c>
      <c r="G96" s="316">
        <f>'8-1.설비자재산출(전력통신)'!L98+'8-1.설비자재산출(전력통신)'!L99</f>
        <v>0</v>
      </c>
      <c r="H96" s="1694">
        <f t="shared" ref="H96:H114" si="6">SUM(E96:G96)</f>
        <v>2</v>
      </c>
      <c r="I96" s="744">
        <f>VLOOKUP(A96,'8-4.일위대가표'!$A$4:$N$723,13,FALSE)</f>
        <v>252964</v>
      </c>
      <c r="J96" s="406"/>
      <c r="K96" s="22" t="s">
        <v>1090</v>
      </c>
    </row>
    <row r="97" spans="1:12" s="22" customFormat="1" ht="24.95" customHeight="1">
      <c r="A97" s="355" t="str">
        <f>'8-4.일위대가표'!A270</f>
        <v>품2-2.</v>
      </c>
      <c r="B97" s="396" t="str">
        <f>VLOOKUP(A97,'8-4.일위대가표'!$A$4:$N$723,2,FALSE)</f>
        <v>충전기 설치</v>
      </c>
      <c r="C97" s="396" t="str">
        <f>VLOOKUP(A97,'8-4.일위대가표'!$A$4:$N$723,3,FALSE)</f>
        <v>50A</v>
      </c>
      <c r="D97" s="740" t="str">
        <f>VLOOKUP(A97,'8-4.일위대가표'!$A$4:$N$723,5,FALSE)</f>
        <v>대</v>
      </c>
      <c r="E97" s="316">
        <f>'8-1.설비자재산출(전력통신)'!J101+'8-1.설비자재산출(전력통신)'!J100</f>
        <v>2</v>
      </c>
      <c r="F97" s="316">
        <f>'8-1.설비자재산출(전력통신)'!K101+'8-1.설비자재산출(전력통신)'!K100</f>
        <v>1</v>
      </c>
      <c r="G97" s="316">
        <f>'8-1.설비자재산출(전력통신)'!L101+'8-1.설비자재산출(전력통신)'!L100</f>
        <v>0</v>
      </c>
      <c r="H97" s="1694">
        <f t="shared" si="6"/>
        <v>3</v>
      </c>
      <c r="I97" s="744">
        <f>VLOOKUP(A97,'8-4.일위대가표'!$A$4:$N$723,13,FALSE)</f>
        <v>252964</v>
      </c>
      <c r="J97" s="406"/>
      <c r="K97" s="22" t="s">
        <v>1091</v>
      </c>
    </row>
    <row r="98" spans="1:12" s="22" customFormat="1" ht="24.95" customHeight="1">
      <c r="A98" s="355" t="str">
        <f>'8-4.일위대가표'!A276</f>
        <v>품2-3.</v>
      </c>
      <c r="B98" s="396" t="str">
        <f>VLOOKUP(A98,'8-4.일위대가표'!$A$4:$N$723,2,FALSE)</f>
        <v>전원분전반 설치</v>
      </c>
      <c r="C98" s="396" t="str">
        <f>VLOOKUP(A98,'8-4.일위대가표'!$A$4:$N$723,3,FALSE)</f>
        <v>장치거치 준용</v>
      </c>
      <c r="D98" s="740" t="str">
        <f>VLOOKUP(A98,'8-4.일위대가표'!$A$4:$N$723,5,FALSE)</f>
        <v>대</v>
      </c>
      <c r="E98" s="316">
        <f>'8-1.설비자재산출(전력통신)'!J102</f>
        <v>1</v>
      </c>
      <c r="F98" s="316">
        <f>'8-1.설비자재산출(전력통신)'!K102</f>
        <v>1</v>
      </c>
      <c r="G98" s="316">
        <f>'8-1.설비자재산출(전력통신)'!L102</f>
        <v>0</v>
      </c>
      <c r="H98" s="1694">
        <f t="shared" si="6"/>
        <v>2</v>
      </c>
      <c r="I98" s="744">
        <f>VLOOKUP(A98,'8-4.일위대가표'!$A$4:$N$723,13,FALSE)</f>
        <v>252964</v>
      </c>
      <c r="J98" s="406"/>
      <c r="K98" s="22" t="s">
        <v>1092</v>
      </c>
    </row>
    <row r="99" spans="1:12" s="22" customFormat="1" ht="24.95" customHeight="1">
      <c r="A99" s="267" t="str">
        <f>'8-4.일위대가표'!A282</f>
        <v>품2-4.</v>
      </c>
      <c r="B99" s="396" t="str">
        <f>VLOOKUP(A99,'8-4.일위대가표'!$A$4:$N$723,2,FALSE)</f>
        <v>밧데리함 설치</v>
      </c>
      <c r="C99" s="396" t="str">
        <f>VLOOKUP(A99,'8-4.일위대가표'!$A$4:$N$723,3,FALSE)</f>
        <v>장치거치 준용</v>
      </c>
      <c r="D99" s="740" t="str">
        <f>VLOOKUP(A99,'8-4.일위대가표'!$A$4:$N$723,5,FALSE)</f>
        <v>대</v>
      </c>
      <c r="E99" s="316">
        <f>'8-1.설비자재산출(전력통신)'!J108+'8-1.설비자재산출(전력통신)'!J109</f>
        <v>6</v>
      </c>
      <c r="F99" s="316">
        <f>'8-1.설비자재산출(전력통신)'!K108+'8-1.설비자재산출(전력통신)'!K109</f>
        <v>3</v>
      </c>
      <c r="G99" s="316">
        <f>'8-1.설비자재산출(전력통신)'!L108+'8-1.설비자재산출(전력통신)'!L109</f>
        <v>0</v>
      </c>
      <c r="H99" s="1694">
        <f t="shared" si="6"/>
        <v>9</v>
      </c>
      <c r="I99" s="744">
        <f>VLOOKUP(A99,'8-4.일위대가표'!$A$4:$N$723,13,FALSE)</f>
        <v>252964</v>
      </c>
      <c r="J99" s="406"/>
      <c r="K99" s="22" t="s">
        <v>1093</v>
      </c>
    </row>
    <row r="100" spans="1:12" s="22" customFormat="1" ht="24.95" customHeight="1">
      <c r="A100" s="267" t="str">
        <f>'8-4.일위대가표'!A288</f>
        <v>품2-5.</v>
      </c>
      <c r="B100" s="396" t="str">
        <f>VLOOKUP(A100,'8-4.일위대가표'!$A$4:$N$723,2,FALSE)</f>
        <v>통신용 구내 전력케이블 신설</v>
      </c>
      <c r="C100" s="396" t="str">
        <f>VLOOKUP(A100,'8-4.일위대가표'!$A$4:$N$723,3,FALSE)</f>
        <v>25SQ 이하 4심</v>
      </c>
      <c r="D100" s="740" t="str">
        <f>VLOOKUP(A100,'8-4.일위대가표'!$A$4:$N$723,5,FALSE)</f>
        <v>m</v>
      </c>
      <c r="E100" s="316">
        <f>'8-1.설비자재산출(전력통신)'!J110</f>
        <v>153</v>
      </c>
      <c r="F100" s="316">
        <f>'8-1.설비자재산출(전력통신)'!K110</f>
        <v>150</v>
      </c>
      <c r="G100" s="316">
        <f>'8-1.설비자재산출(전력통신)'!L110</f>
        <v>0</v>
      </c>
      <c r="H100" s="1694">
        <f t="shared" si="6"/>
        <v>303</v>
      </c>
      <c r="I100" s="744">
        <f>VLOOKUP(A100,'8-4.일위대가표'!$A$4:$N$723,13,FALSE)</f>
        <v>30174</v>
      </c>
      <c r="J100" s="406"/>
      <c r="K100" s="22" t="s">
        <v>2994</v>
      </c>
    </row>
    <row r="101" spans="1:12" s="22" customFormat="1" ht="24.95" customHeight="1">
      <c r="A101" s="267" t="str">
        <f>'8-4.일위대가표'!A290</f>
        <v>품2-6.</v>
      </c>
      <c r="B101" s="396" t="str">
        <f>VLOOKUP(A101,'8-4.일위대가표'!$A$4:$N$723,2,FALSE)</f>
        <v>통신용 구내 전력케이블 신설</v>
      </c>
      <c r="C101" s="396" t="str">
        <f>VLOOKUP(A101,'8-4.일위대가표'!$A$4:$N$723,3,FALSE)</f>
        <v>16SQ 이하 4심</v>
      </c>
      <c r="D101" s="740" t="str">
        <f>VLOOKUP(A101,'8-4.일위대가표'!$A$4:$N$723,5,FALSE)</f>
        <v>m</v>
      </c>
      <c r="E101" s="316">
        <f>'8-1.설비자재산출(전력통신)'!J111</f>
        <v>8</v>
      </c>
      <c r="F101" s="316">
        <f>'8-1.설비자재산출(전력통신)'!K111</f>
        <v>8</v>
      </c>
      <c r="G101" s="316">
        <f>'8-1.설비자재산출(전력통신)'!L111</f>
        <v>0</v>
      </c>
      <c r="H101" s="1694">
        <f t="shared" si="6"/>
        <v>16</v>
      </c>
      <c r="I101" s="744">
        <f>VLOOKUP(A101,'8-4.일위대가표'!$A$4:$N$723,13,FALSE)</f>
        <v>23133</v>
      </c>
      <c r="J101" s="406"/>
      <c r="K101" s="22" t="s">
        <v>2995</v>
      </c>
    </row>
    <row r="102" spans="1:12" s="22" customFormat="1" ht="24.95" customHeight="1">
      <c r="A102" s="267" t="str">
        <f>'8-4.일위대가표'!A292</f>
        <v>품2-7.</v>
      </c>
      <c r="B102" s="396" t="str">
        <f>VLOOKUP(A102,'8-4.일위대가표'!$A$4:$N$723,2,FALSE)</f>
        <v>통신용 구내 전력케이블 신설</v>
      </c>
      <c r="C102" s="396" t="str">
        <f>VLOOKUP(A102,'8-4.일위대가표'!$A$4:$N$723,3,FALSE)</f>
        <v>16SQ 이하 3심</v>
      </c>
      <c r="D102" s="740" t="str">
        <f>VLOOKUP(A102,'8-4.일위대가표'!$A$4:$N$723,5,FALSE)</f>
        <v>m</v>
      </c>
      <c r="E102" s="316">
        <v>0</v>
      </c>
      <c r="F102" s="316">
        <f>'8-1.설비자재산출(전력통신)'!K112</f>
        <v>150</v>
      </c>
      <c r="G102" s="316">
        <f>'8-1.설비자재산출(전력통신)'!L112</f>
        <v>0</v>
      </c>
      <c r="H102" s="1694">
        <f t="shared" si="6"/>
        <v>150</v>
      </c>
      <c r="I102" s="744">
        <f>VLOOKUP(A102,'8-4.일위대가표'!$A$4:$N$723,13,FALSE)</f>
        <v>17795</v>
      </c>
      <c r="J102" s="406"/>
      <c r="K102" s="22" t="s">
        <v>1094</v>
      </c>
    </row>
    <row r="103" spans="1:12" s="22" customFormat="1" ht="24.95" customHeight="1">
      <c r="A103" s="267" t="str">
        <f>'8-4.일위대가표'!A294</f>
        <v>품2-7-1.</v>
      </c>
      <c r="B103" s="396" t="str">
        <f>'8-4.일위대가표'!B294</f>
        <v>통신용 구내 전력케이블 신설</v>
      </c>
      <c r="C103" s="396" t="str">
        <f>'8-4.일위대가표'!C294</f>
        <v>16SQ 이하 3심, 2열 동시</v>
      </c>
      <c r="D103" s="740" t="str">
        <f>'8-4.일위대가표'!E294</f>
        <v>m</v>
      </c>
      <c r="E103" s="316">
        <f>ROUNDUP('10-2-1. 전원_PIA_LAN물량(ICT실)_동해안'!H40/2,0)</f>
        <v>153</v>
      </c>
      <c r="F103" s="316">
        <v>0</v>
      </c>
      <c r="G103" s="316">
        <v>0</v>
      </c>
      <c r="H103" s="1694">
        <f t="shared" si="6"/>
        <v>153</v>
      </c>
      <c r="I103" s="744">
        <f>VLOOKUP(A103,'8-4.일위대가표'!$A$4:$N$723,13,FALSE)</f>
        <v>32031</v>
      </c>
      <c r="J103" s="406"/>
      <c r="K103" s="22" t="s">
        <v>3330</v>
      </c>
    </row>
    <row r="104" spans="1:12" s="22" customFormat="1" ht="24.95" customHeight="1">
      <c r="A104" s="267" t="str">
        <f>'8-4.일위대가표'!A296</f>
        <v>품2-8.</v>
      </c>
      <c r="B104" s="396" t="str">
        <f>VLOOKUP(A104,'8-4.일위대가표'!$A$4:$N$723,2,FALSE)</f>
        <v>통신용 구내 전력케이블 신설</v>
      </c>
      <c r="C104" s="396" t="str">
        <f>VLOOKUP(A104,'8-4.일위대가표'!$A$4:$N$723,3,FALSE)</f>
        <v>16SQ 이하 2심</v>
      </c>
      <c r="D104" s="740" t="str">
        <f>VLOOKUP(A104,'8-4.일위대가표'!$A$4:$N$723,5,FALSE)</f>
        <v>m</v>
      </c>
      <c r="E104" s="316">
        <f>'8-1.설비자재산출(전력통신)'!J113</f>
        <v>23</v>
      </c>
      <c r="F104" s="316">
        <f>'8-1.설비자재산출(전력통신)'!K113</f>
        <v>15</v>
      </c>
      <c r="G104" s="316">
        <f>'8-1.설비자재산출(전력통신)'!L113</f>
        <v>0</v>
      </c>
      <c r="H104" s="1694">
        <f t="shared" si="6"/>
        <v>38</v>
      </c>
      <c r="I104" s="744">
        <f>VLOOKUP(A104,'8-4.일위대가표'!$A$4:$N$723,13,FALSE)</f>
        <v>12456</v>
      </c>
      <c r="J104" s="406"/>
      <c r="K104" s="268" t="s">
        <v>1095</v>
      </c>
      <c r="L104" s="268"/>
    </row>
    <row r="105" spans="1:12" s="22" customFormat="1" ht="24.95" customHeight="1">
      <c r="A105" s="267" t="str">
        <f>'8-4.일위대가표'!A298</f>
        <v>품2-9.</v>
      </c>
      <c r="B105" s="396" t="str">
        <f>VLOOKUP(A105,'8-4.일위대가표'!$A$4:$N$723,2,FALSE)</f>
        <v>접지선 포설</v>
      </c>
      <c r="C105" s="396" t="str">
        <f>VLOOKUP(A105,'8-4.일위대가표'!$A$4:$N$723,3,FALSE)</f>
        <v>35㎟ 이하</v>
      </c>
      <c r="D105" s="740" t="str">
        <f>VLOOKUP(A105,'8-4.일위대가표'!$A$4:$N$723,5,FALSE)</f>
        <v>m</v>
      </c>
      <c r="E105" s="316">
        <f>'8-1.설비자재산출(전력통신)'!J114</f>
        <v>24</v>
      </c>
      <c r="F105" s="316">
        <f>'8-1.설비자재산출(전력통신)'!K114</f>
        <v>24</v>
      </c>
      <c r="G105" s="316">
        <f>'8-1.설비자재산출(전력통신)'!L114</f>
        <v>0</v>
      </c>
      <c r="H105" s="1694">
        <f t="shared" si="6"/>
        <v>48</v>
      </c>
      <c r="I105" s="744">
        <f>VLOOKUP(A105,'8-4.일위대가표'!$A$4:$N$723,13,FALSE)</f>
        <v>4479</v>
      </c>
      <c r="J105" s="406"/>
      <c r="K105" s="22" t="s">
        <v>1096</v>
      </c>
    </row>
    <row r="106" spans="1:12" s="22" customFormat="1" ht="24.95" customHeight="1">
      <c r="A106" s="267" t="str">
        <f>'8-4.일위대가표'!A302</f>
        <v>품2-10.</v>
      </c>
      <c r="B106" s="396" t="str">
        <f>VLOOKUP(A106,'8-4.일위대가표'!$A$4:$N$723,2,FALSE)</f>
        <v>접지선 접속</v>
      </c>
      <c r="C106" s="396" t="str">
        <f>VLOOKUP(A106,'8-4.일위대가표'!$A$4:$N$723,3,FALSE)</f>
        <v>압착단자</v>
      </c>
      <c r="D106" s="740" t="str">
        <f>VLOOKUP(A106,'8-4.일위대가표'!$A$4:$N$723,5,FALSE)</f>
        <v>개</v>
      </c>
      <c r="E106" s="316">
        <f>E105/3</f>
        <v>8</v>
      </c>
      <c r="F106" s="316">
        <f t="shared" ref="F106:G106" si="7">F105/3</f>
        <v>8</v>
      </c>
      <c r="G106" s="316">
        <f t="shared" si="7"/>
        <v>0</v>
      </c>
      <c r="H106" s="1694">
        <f t="shared" si="6"/>
        <v>16</v>
      </c>
      <c r="I106" s="744">
        <f>VLOOKUP(A106,'8-4.일위대가표'!$A$4:$N$723,13,FALSE)</f>
        <v>7465</v>
      </c>
      <c r="J106" s="406"/>
      <c r="K106" s="22" t="s">
        <v>1097</v>
      </c>
    </row>
    <row r="107" spans="1:12" s="1502" customFormat="1" ht="24.95" hidden="1" customHeight="1">
      <c r="A107" s="1496">
        <f>'8-4.일위대가표'!A304</f>
        <v>0</v>
      </c>
      <c r="B107" s="1497" t="e">
        <f>VLOOKUP(A107,'8-4.일위대가표'!$A$4:$N$723,2,FALSE)</f>
        <v>#N/A</v>
      </c>
      <c r="C107" s="1497" t="e">
        <f>VLOOKUP(A107,'8-4.일위대가표'!$A$4:$N$723,3,FALSE)</f>
        <v>#N/A</v>
      </c>
      <c r="D107" s="1498" t="e">
        <f>VLOOKUP(A107,'8-4.일위대가표'!$A$4:$N$723,5,FALSE)</f>
        <v>#N/A</v>
      </c>
      <c r="E107" s="1691"/>
      <c r="F107" s="1691"/>
      <c r="G107" s="1691"/>
      <c r="H107" s="1698">
        <f t="shared" si="6"/>
        <v>0</v>
      </c>
      <c r="I107" s="1500" t="e">
        <f>VLOOKUP(A107,'8-4.일위대가표'!$A$4:$N$723,13,FALSE)</f>
        <v>#N/A</v>
      </c>
      <c r="J107" s="1503"/>
      <c r="K107" s="1504">
        <v>0</v>
      </c>
    </row>
    <row r="108" spans="1:12" s="22" customFormat="1" ht="24.95" customHeight="1">
      <c r="A108" s="267" t="str">
        <f>'8-4.일위대가표'!A306</f>
        <v>품2-11.</v>
      </c>
      <c r="B108" s="396" t="str">
        <f>VLOOKUP(A108,'8-4.일위대가표'!$A$4:$N$723,2,FALSE)</f>
        <v>UTP케이블 포설</v>
      </c>
      <c r="C108" s="396" t="str">
        <f>VLOOKUP(A108,'8-4.일위대가표'!$A$4:$N$723,3,FALSE)</f>
        <v>CAT.5 4Pr, 2열</v>
      </c>
      <c r="D108" s="740" t="str">
        <f>VLOOKUP(A108,'8-4.일위대가표'!$A$4:$N$723,5,FALSE)</f>
        <v>m</v>
      </c>
      <c r="E108" s="316">
        <f>'8-1.설비자재산출(전력통신)'!J115</f>
        <v>28</v>
      </c>
      <c r="F108" s="316">
        <f>'8-1.설비자재산출(전력통신)'!K115</f>
        <v>28</v>
      </c>
      <c r="G108" s="316">
        <f>'8-1.설비자재산출(전력통신)'!L115</f>
        <v>0</v>
      </c>
      <c r="H108" s="1694">
        <f t="shared" si="6"/>
        <v>56</v>
      </c>
      <c r="I108" s="744">
        <f>VLOOKUP(A108,'8-4.일위대가표'!$A$4:$N$723,13,FALSE)</f>
        <v>10444</v>
      </c>
      <c r="J108" s="406"/>
      <c r="K108" s="22" t="s">
        <v>1098</v>
      </c>
    </row>
    <row r="109" spans="1:12" s="22" customFormat="1" ht="24.95" customHeight="1">
      <c r="A109" s="267" t="str">
        <f>'8-4.일위대가표'!A308</f>
        <v>품2-12.</v>
      </c>
      <c r="B109" s="396" t="str">
        <f>VLOOKUP(A109,'8-4.일위대가표'!$A$4:$N$723,2,FALSE)</f>
        <v>후렉시블전선관 시설</v>
      </c>
      <c r="C109" s="396" t="str">
        <f>VLOOKUP(A109,'8-4.일위대가표'!$A$4:$N$723,3,FALSE)</f>
        <v>금속가요전선관 16㎜</v>
      </c>
      <c r="D109" s="740" t="str">
        <f>VLOOKUP(A109,'8-4.일위대가표'!$A$4:$N$723,5,FALSE)</f>
        <v>m</v>
      </c>
      <c r="E109" s="316">
        <f>'8-1.설비자재산출(전력통신)'!J116</f>
        <v>11</v>
      </c>
      <c r="F109" s="316">
        <f>'8-1.설비자재산출(전력통신)'!K116</f>
        <v>11</v>
      </c>
      <c r="G109" s="316">
        <f>'8-1.설비자재산출(전력통신)'!L116</f>
        <v>0</v>
      </c>
      <c r="H109" s="1694">
        <f t="shared" si="6"/>
        <v>22</v>
      </c>
      <c r="I109" s="744">
        <f>VLOOKUP(A109,'8-4.일위대가표'!$A$4:$N$723,13,FALSE)</f>
        <v>14234</v>
      </c>
      <c r="J109" s="406"/>
      <c r="K109" s="268" t="s">
        <v>1099</v>
      </c>
      <c r="L109" s="268"/>
    </row>
    <row r="110" spans="1:12" s="22" customFormat="1" ht="24.95" customHeight="1">
      <c r="A110" s="267" t="str">
        <f>'8-4.일위대가표'!A312</f>
        <v>품2-13.</v>
      </c>
      <c r="B110" s="396" t="str">
        <f>VLOOKUP(A110,'8-4.일위대가표'!$A$4:$N$723,2,FALSE)</f>
        <v>통신용 전력케이블 단말처리</v>
      </c>
      <c r="C110" s="396" t="str">
        <f>VLOOKUP(A110,'8-4.일위대가표'!$A$4:$N$723,3,FALSE)</f>
        <v>16㎟*2C</v>
      </c>
      <c r="D110" s="740" t="str">
        <f>VLOOKUP(A110,'8-4.일위대가표'!$A$4:$N$723,5,FALSE)</f>
        <v>개소</v>
      </c>
      <c r="E110" s="316">
        <f>'8-1.설비자재산출(전력통신)'!J121</f>
        <v>12</v>
      </c>
      <c r="F110" s="316">
        <f>'8-1.설비자재산출(전력통신)'!K121</f>
        <v>8</v>
      </c>
      <c r="G110" s="316">
        <f>'8-1.설비자재산출(전력통신)'!L121</f>
        <v>0</v>
      </c>
      <c r="H110" s="1694">
        <f t="shared" si="6"/>
        <v>20</v>
      </c>
      <c r="I110" s="744">
        <f>VLOOKUP(A110,'8-4.일위대가표'!$A$4:$N$723,13,FALSE)</f>
        <v>39458</v>
      </c>
      <c r="J110" s="248"/>
      <c r="K110" s="22" t="s">
        <v>1100</v>
      </c>
    </row>
    <row r="111" spans="1:12" s="22" customFormat="1" ht="24.95" customHeight="1">
      <c r="A111" s="267" t="str">
        <f>'8-4.일위대가표'!A314</f>
        <v>품2-14.</v>
      </c>
      <c r="B111" s="396" t="str">
        <f>VLOOKUP(A111,'8-4.일위대가표'!$A$4:$N$723,2,FALSE)</f>
        <v>통신용 전력케이블 단말처리</v>
      </c>
      <c r="C111" s="396" t="str">
        <f>VLOOKUP(A111,'8-4.일위대가표'!$A$4:$N$723,3,FALSE)</f>
        <v>16㎟*3C</v>
      </c>
      <c r="D111" s="740" t="str">
        <f>VLOOKUP(A111,'8-4.일위대가표'!$A$4:$N$723,5,FALSE)</f>
        <v>개소</v>
      </c>
      <c r="E111" s="316">
        <f>'8-1.설비자재산출(전력통신)'!J122</f>
        <v>12</v>
      </c>
      <c r="F111" s="316">
        <f>'8-1.설비자재산출(전력통신)'!K122</f>
        <v>6</v>
      </c>
      <c r="G111" s="316">
        <f>'8-1.설비자재산출(전력통신)'!L122</f>
        <v>0</v>
      </c>
      <c r="H111" s="1694">
        <f t="shared" si="6"/>
        <v>18</v>
      </c>
      <c r="I111" s="744">
        <f>VLOOKUP(A111,'8-4.일위대가표'!$A$4:$N$723,13,FALSE)</f>
        <v>49903</v>
      </c>
      <c r="J111" s="406"/>
      <c r="K111" s="22" t="s">
        <v>1101</v>
      </c>
    </row>
    <row r="112" spans="1:12" s="22" customFormat="1" ht="24.95" customHeight="1">
      <c r="A112" s="267" t="str">
        <f>'8-4.일위대가표'!A316</f>
        <v>품2-15.</v>
      </c>
      <c r="B112" s="396" t="str">
        <f>VLOOKUP(A112,'8-4.일위대가표'!$A$4:$N$723,2,FALSE)</f>
        <v>통신용 전력케이블 단말처리</v>
      </c>
      <c r="C112" s="396" t="str">
        <f>VLOOKUP(A112,'8-4.일위대가표'!$A$4:$N$723,3,FALSE)</f>
        <v>16㎟*4C</v>
      </c>
      <c r="D112" s="740" t="str">
        <f>VLOOKUP(A112,'8-4.일위대가표'!$A$4:$N$723,5,FALSE)</f>
        <v>개소</v>
      </c>
      <c r="E112" s="316">
        <f>'8-1.설비자재산출(전력통신)'!J123</f>
        <v>8</v>
      </c>
      <c r="F112" s="316">
        <f>'8-1.설비자재산출(전력통신)'!K123</f>
        <v>8</v>
      </c>
      <c r="G112" s="316">
        <f>'8-1.설비자재산출(전력통신)'!L123</f>
        <v>0</v>
      </c>
      <c r="H112" s="1694">
        <f t="shared" si="6"/>
        <v>16</v>
      </c>
      <c r="I112" s="744">
        <f>VLOOKUP(A112,'8-4.일위대가표'!$A$4:$N$723,13,FALSE)</f>
        <v>60348</v>
      </c>
      <c r="J112" s="406"/>
      <c r="K112" s="22" t="s">
        <v>1102</v>
      </c>
    </row>
    <row r="113" spans="1:12" s="22" customFormat="1" ht="24.95" customHeight="1">
      <c r="A113" s="267" t="str">
        <f>'8-4.일위대가표'!A318</f>
        <v>품2-16.</v>
      </c>
      <c r="B113" s="396" t="str">
        <f>VLOOKUP(A113,'8-4.일위대가표'!$A$4:$N$723,2,FALSE)</f>
        <v>통신용 전력케이블 단말처리</v>
      </c>
      <c r="C113" s="396" t="str">
        <f>VLOOKUP(A113,'8-4.일위대가표'!$A$4:$N$723,3,FALSE)</f>
        <v>25㎟*4C</v>
      </c>
      <c r="D113" s="740" t="str">
        <f>VLOOKUP(A113,'8-4.일위대가표'!$A$4:$N$723,5,FALSE)</f>
        <v>개소</v>
      </c>
      <c r="E113" s="316">
        <f>'8-1.설비자재산출(전력통신)'!J124</f>
        <v>8</v>
      </c>
      <c r="F113" s="316">
        <f>'8-1.설비자재산출(전력통신)'!K124</f>
        <v>8</v>
      </c>
      <c r="G113" s="316">
        <f>'8-1.설비자재산출(전력통신)'!L124</f>
        <v>0</v>
      </c>
      <c r="H113" s="1694">
        <f t="shared" si="6"/>
        <v>16</v>
      </c>
      <c r="I113" s="744">
        <f>VLOOKUP(A113,'8-4.일위대가표'!$A$4:$N$723,13,FALSE)</f>
        <v>78917</v>
      </c>
      <c r="J113" s="406"/>
      <c r="K113" s="22" t="s">
        <v>1103</v>
      </c>
      <c r="L113" s="641"/>
    </row>
    <row r="114" spans="1:12" s="1502" customFormat="1" ht="24.95" hidden="1" customHeight="1">
      <c r="A114" s="1496" t="str">
        <f>'8-4.일위대가표'!A320</f>
        <v>품2-17.</v>
      </c>
      <c r="B114" s="1497" t="str">
        <f>VLOOKUP(A114,'8-4.일위대가표'!$A$4:$N$723,2,FALSE)</f>
        <v>제어케이블 포설</v>
      </c>
      <c r="C114" s="1497" t="str">
        <f>VLOOKUP(A114,'8-4.일위대가표'!$A$4:$N$723,3,FALSE)</f>
        <v>2.5SQ/2C, 2열</v>
      </c>
      <c r="D114" s="1498" t="str">
        <f>VLOOKUP(A114,'8-4.일위대가표'!$A$4:$N$723,5,FALSE)</f>
        <v>m</v>
      </c>
      <c r="E114" s="1691">
        <f>'8-1.설비자재산출(전력통신)'!J125</f>
        <v>30</v>
      </c>
      <c r="F114" s="1691">
        <f>'8-1.설비자재산출(전력통신)'!K125</f>
        <v>13</v>
      </c>
      <c r="G114" s="1691">
        <f>'8-1.설비자재산출(전력통신)'!L125</f>
        <v>0</v>
      </c>
      <c r="H114" s="1698">
        <f t="shared" si="6"/>
        <v>43</v>
      </c>
      <c r="I114" s="1500">
        <f>VLOOKUP(A114,'8-4.일위대가표'!$A$4:$N$723,13,FALSE)</f>
        <v>11698</v>
      </c>
      <c r="J114" s="1503"/>
      <c r="K114" s="1502" t="s">
        <v>1803</v>
      </c>
    </row>
    <row r="115" spans="1:12" s="22" customFormat="1" ht="24.95" customHeight="1">
      <c r="A115" s="267"/>
      <c r="B115" s="399"/>
      <c r="C115" s="396"/>
      <c r="D115" s="740"/>
      <c r="E115" s="316"/>
      <c r="F115" s="316"/>
      <c r="G115" s="316"/>
      <c r="H115" s="1694"/>
      <c r="I115" s="744"/>
      <c r="J115" s="406"/>
    </row>
    <row r="116" spans="1:12" s="22" customFormat="1" ht="24.95" customHeight="1">
      <c r="A116" s="803" t="str">
        <f>'8-1.설비자재산출(전력통신)'!A128</f>
        <v>3. LAN, EPIA, 정보보호</v>
      </c>
      <c r="B116" s="399"/>
      <c r="C116" s="396"/>
      <c r="D116" s="740"/>
      <c r="E116" s="316"/>
      <c r="F116" s="316"/>
      <c r="G116" s="316"/>
      <c r="H116" s="1694"/>
      <c r="I116" s="744"/>
      <c r="J116" s="406"/>
      <c r="K116" s="22" t="s">
        <v>3125</v>
      </c>
    </row>
    <row r="117" spans="1:12" s="134" customFormat="1" ht="24.95" hidden="1" customHeight="1">
      <c r="A117" s="267">
        <f>'8-4.일위대가표'!A323</f>
        <v>0</v>
      </c>
      <c r="B117" s="396" t="e">
        <f>VLOOKUP(A117,'8-4.일위대가표'!$A$4:$N$723,2,FALSE)</f>
        <v>#N/A</v>
      </c>
      <c r="C117" s="396" t="e">
        <f>VLOOKUP(A117,'8-4.일위대가표'!$A$4:$N$723,3,FALSE)</f>
        <v>#N/A</v>
      </c>
      <c r="D117" s="740" t="e">
        <f>VLOOKUP(A117,'8-4.일위대가표'!$A$4:$N$723,5,FALSE)</f>
        <v>#N/A</v>
      </c>
      <c r="E117" s="316">
        <f>'8-1.설비자재산출(전력통신)'!J162+'8-1.설비자재산출(전력통신)'!J163</f>
        <v>0</v>
      </c>
      <c r="F117" s="316">
        <f>'8-1.설비자재산출(전력통신)'!K162+'8-1.설비자재산출(전력통신)'!K163</f>
        <v>0</v>
      </c>
      <c r="G117" s="316">
        <f>'8-1.설비자재산출(전력통신)'!L162+'8-1.설비자재산출(전력통신)'!L163</f>
        <v>0</v>
      </c>
      <c r="H117" s="1694">
        <f t="shared" ref="H117:H145" si="8">SUM(E117:G117)</f>
        <v>0</v>
      </c>
      <c r="I117" s="744" t="e">
        <f>VLOOKUP(A117,'8-4.일위대가표'!$A$4:$N$723,13,FALSE)</f>
        <v>#N/A</v>
      </c>
      <c r="J117" s="406"/>
      <c r="K117" s="134" t="s">
        <v>3001</v>
      </c>
    </row>
    <row r="118" spans="1:12" s="1502" customFormat="1" ht="24.95" hidden="1" customHeight="1">
      <c r="A118" s="1496">
        <f>'8-4.일위대가표'!A329</f>
        <v>0</v>
      </c>
      <c r="B118" s="1497" t="e">
        <f>VLOOKUP(A118,'8-4.일위대가표'!$A$4:$N$723,2,FALSE)</f>
        <v>#N/A</v>
      </c>
      <c r="C118" s="1497" t="e">
        <f>VLOOKUP(A118,'8-4.일위대가표'!$A$4:$N$723,3,FALSE)</f>
        <v>#N/A</v>
      </c>
      <c r="D118" s="1498" t="e">
        <f>VLOOKUP(A118,'8-4.일위대가표'!$A$4:$N$723,5,FALSE)</f>
        <v>#N/A</v>
      </c>
      <c r="E118" s="1691"/>
      <c r="F118" s="1691"/>
      <c r="G118" s="1691"/>
      <c r="H118" s="1698">
        <f t="shared" si="8"/>
        <v>0</v>
      </c>
      <c r="I118" s="1500" t="e">
        <f>VLOOKUP(A118,'8-4.일위대가표'!$A$4:$N$723,13,FALSE)</f>
        <v>#N/A</v>
      </c>
      <c r="J118" s="1503"/>
      <c r="K118" s="1502" t="s">
        <v>3002</v>
      </c>
    </row>
    <row r="119" spans="1:12" s="1502" customFormat="1" ht="24.95" hidden="1" customHeight="1">
      <c r="A119" s="1496">
        <f>'8-4.일위대가표'!A332</f>
        <v>0</v>
      </c>
      <c r="B119" s="1497" t="e">
        <f>VLOOKUP(A119,'8-4.일위대가표'!$A$4:$N$723,2,FALSE)</f>
        <v>#N/A</v>
      </c>
      <c r="C119" s="1497" t="e">
        <f>VLOOKUP(A119,'8-4.일위대가표'!$A$4:$N$723,3,FALSE)</f>
        <v>#N/A</v>
      </c>
      <c r="D119" s="1498" t="e">
        <f>VLOOKUP(A119,'8-4.일위대가표'!$A$4:$N$723,5,FALSE)</f>
        <v>#N/A</v>
      </c>
      <c r="E119" s="1691">
        <f>'8-1.설비자재산출(전력통신)'!J131</f>
        <v>0</v>
      </c>
      <c r="F119" s="1691">
        <f>'8-1.설비자재산출(전력통신)'!K131</f>
        <v>0</v>
      </c>
      <c r="G119" s="1691">
        <f>'8-1.설비자재산출(전력통신)'!L131</f>
        <v>0</v>
      </c>
      <c r="H119" s="1698">
        <f t="shared" si="8"/>
        <v>0</v>
      </c>
      <c r="I119" s="1500" t="e">
        <f>VLOOKUP(A119,'8-4.일위대가표'!$A$4:$N$723,13,FALSE)</f>
        <v>#N/A</v>
      </c>
      <c r="J119" s="1503"/>
      <c r="K119" s="1502" t="s">
        <v>3003</v>
      </c>
    </row>
    <row r="120" spans="1:12" s="1502" customFormat="1" ht="24.95" hidden="1" customHeight="1">
      <c r="A120" s="1496">
        <f>'8-4.일위대가표'!A335</f>
        <v>0</v>
      </c>
      <c r="B120" s="1497" t="e">
        <f>VLOOKUP(A120,'8-4.일위대가표'!$A$4:$N$723,2,FALSE)</f>
        <v>#N/A</v>
      </c>
      <c r="C120" s="1497" t="e">
        <f>VLOOKUP(A120,'8-4.일위대가표'!$A$4:$N$723,3,FALSE)</f>
        <v>#N/A</v>
      </c>
      <c r="D120" s="1498" t="e">
        <f>VLOOKUP(A120,'8-4.일위대가표'!$A$4:$N$723,5,FALSE)</f>
        <v>#N/A</v>
      </c>
      <c r="E120" s="1691"/>
      <c r="F120" s="1691"/>
      <c r="G120" s="1691"/>
      <c r="H120" s="1698">
        <f t="shared" si="8"/>
        <v>0</v>
      </c>
      <c r="I120" s="1500" t="e">
        <f>VLOOKUP(A120,'8-4.일위대가표'!$A$4:$N$723,13,FALSE)</f>
        <v>#N/A</v>
      </c>
      <c r="J120" s="1503"/>
      <c r="K120" s="1502" t="s">
        <v>3004</v>
      </c>
    </row>
    <row r="121" spans="1:12" s="22" customFormat="1" ht="24.95" hidden="1" customHeight="1">
      <c r="A121" s="267">
        <f>'8-4.일위대가표'!A338</f>
        <v>0</v>
      </c>
      <c r="B121" s="396" t="e">
        <f>VLOOKUP(A121,'8-4.일위대가표'!$A$4:$N$723,2,FALSE)</f>
        <v>#N/A</v>
      </c>
      <c r="C121" s="396" t="e">
        <f>VLOOKUP(A121,'8-4.일위대가표'!$A$4:$N$723,3,FALSE)</f>
        <v>#N/A</v>
      </c>
      <c r="D121" s="740" t="e">
        <f>VLOOKUP(A121,'8-4.일위대가표'!$A$4:$N$723,5,FALSE)</f>
        <v>#N/A</v>
      </c>
      <c r="E121" s="316">
        <f>'8-1.설비자재산출(전력통신)'!J176/2</f>
        <v>0</v>
      </c>
      <c r="F121" s="316">
        <f>'8-1.설비자재산출(전력통신)'!K176/2</f>
        <v>0</v>
      </c>
      <c r="G121" s="316">
        <f>'8-1.설비자재산출(전력통신)'!L176/2</f>
        <v>0</v>
      </c>
      <c r="H121" s="1694">
        <f t="shared" si="8"/>
        <v>0</v>
      </c>
      <c r="I121" s="744" t="e">
        <f>VLOOKUP(A121,'8-4.일위대가표'!$A$4:$N$723,13,FALSE)</f>
        <v>#N/A</v>
      </c>
      <c r="J121" s="407"/>
      <c r="K121" s="22" t="s">
        <v>3005</v>
      </c>
    </row>
    <row r="122" spans="1:12" s="1502" customFormat="1" ht="24.95" hidden="1" customHeight="1">
      <c r="A122" s="1496">
        <f>'8-4.일위대가표'!A341</f>
        <v>0</v>
      </c>
      <c r="B122" s="1497" t="e">
        <f>VLOOKUP(A122,'8-4.일위대가표'!$A$4:$N$723,2,FALSE)</f>
        <v>#N/A</v>
      </c>
      <c r="C122" s="1497" t="e">
        <f>VLOOKUP(A122,'8-4.일위대가표'!$A$4:$N$723,3,FALSE)</f>
        <v>#N/A</v>
      </c>
      <c r="D122" s="1498" t="e">
        <f>VLOOKUP(A122,'8-4.일위대가표'!$A$4:$N$723,5,FALSE)</f>
        <v>#N/A</v>
      </c>
      <c r="E122" s="1691"/>
      <c r="F122" s="1691"/>
      <c r="G122" s="1691"/>
      <c r="H122" s="1698">
        <f t="shared" si="8"/>
        <v>0</v>
      </c>
      <c r="I122" s="1500" t="e">
        <f>VLOOKUP(A122,'8-4.일위대가표'!$A$4:$N$723,13,FALSE)</f>
        <v>#N/A</v>
      </c>
      <c r="J122" s="1505"/>
      <c r="K122" s="1502" t="s">
        <v>3003</v>
      </c>
    </row>
    <row r="123" spans="1:12" s="1502" customFormat="1" ht="24.95" hidden="1" customHeight="1">
      <c r="A123" s="1496">
        <f>'8-4.일위대가표'!A344</f>
        <v>0</v>
      </c>
      <c r="B123" s="1497" t="e">
        <f>VLOOKUP(A123,'8-4.일위대가표'!$A$4:$N$723,2,FALSE)</f>
        <v>#N/A</v>
      </c>
      <c r="C123" s="1497" t="e">
        <f>VLOOKUP(A123,'8-4.일위대가표'!$A$4:$N$723,3,FALSE)</f>
        <v>#N/A</v>
      </c>
      <c r="D123" s="1498" t="e">
        <f>VLOOKUP(A123,'8-4.일위대가표'!$A$4:$N$723,5,FALSE)</f>
        <v>#N/A</v>
      </c>
      <c r="E123" s="1691"/>
      <c r="F123" s="1691"/>
      <c r="G123" s="1691"/>
      <c r="H123" s="1698">
        <f t="shared" si="8"/>
        <v>0</v>
      </c>
      <c r="I123" s="1500" t="e">
        <f>VLOOKUP(A123,'8-4.일위대가표'!$A$4:$N$723,13,FALSE)</f>
        <v>#N/A</v>
      </c>
      <c r="J123" s="1505"/>
      <c r="K123" s="1502" t="s">
        <v>3006</v>
      </c>
    </row>
    <row r="124" spans="1:12" s="22" customFormat="1" ht="24.95" customHeight="1">
      <c r="A124" s="267" t="str">
        <f>'8-4.일위대가표'!A347</f>
        <v>품3-1.</v>
      </c>
      <c r="B124" s="396" t="str">
        <f>VLOOKUP(A124,'8-4.일위대가표'!$A$4:$N$723,2,FALSE)</f>
        <v>HUB 설치</v>
      </c>
      <c r="C124" s="396" t="str">
        <f>VLOOKUP(A124,'8-4.일위대가표'!$A$4:$N$723,3,FALSE)</f>
        <v>Dummy 허브 설치</v>
      </c>
      <c r="D124" s="740" t="str">
        <f>VLOOKUP(A124,'8-4.일위대가표'!$A$4:$N$723,5,FALSE)</f>
        <v>대</v>
      </c>
      <c r="E124" s="316">
        <f>'8-1.설비자재산출(전력통신)'!J169+'8-1.설비자재산출(전력통신)'!J138+'8-1.설비자재산출(전력통신)'!J177</f>
        <v>4</v>
      </c>
      <c r="F124" s="316">
        <f>'8-1.설비자재산출(전력통신)'!K169+'8-1.설비자재산출(전력통신)'!K138+'8-1.설비자재산출(전력통신)'!K177</f>
        <v>1</v>
      </c>
      <c r="G124" s="316">
        <f>'8-1.설비자재산출(전력통신)'!L169+'8-1.설비자재산출(전력통신)'!L138+'8-1.설비자재산출(전력통신)'!L177</f>
        <v>0</v>
      </c>
      <c r="H124" s="1694">
        <f t="shared" si="8"/>
        <v>5</v>
      </c>
      <c r="I124" s="744">
        <f>VLOOKUP(A124,'8-4.일위대가표'!$A$4:$N$723,13,FALSE)</f>
        <v>66023</v>
      </c>
      <c r="J124" s="406"/>
      <c r="K124" s="22" t="s">
        <v>3001</v>
      </c>
    </row>
    <row r="125" spans="1:12" s="22" customFormat="1" ht="24.95" hidden="1" customHeight="1">
      <c r="A125" s="267">
        <f>'8-4.일위대가표'!A350</f>
        <v>0</v>
      </c>
      <c r="B125" s="396" t="e">
        <f>VLOOKUP(A125,'8-4.일위대가표'!$A$4:$N$723,2,FALSE)</f>
        <v>#N/A</v>
      </c>
      <c r="C125" s="396" t="e">
        <f>VLOOKUP(A125,'8-4.일위대가표'!$A$4:$N$723,3,FALSE)</f>
        <v>#N/A</v>
      </c>
      <c r="D125" s="740" t="e">
        <f>VLOOKUP(A125,'8-4.일위대가표'!$A$4:$N$723,5,FALSE)</f>
        <v>#N/A</v>
      </c>
      <c r="E125" s="316">
        <f>'8-1.설비자재산출(전력통신)'!J136+'8-1.설비자재산출(전력통신)'!J137+'8-1.설비자재산출(전력통신)'!J170</f>
        <v>0</v>
      </c>
      <c r="F125" s="316">
        <f>'8-1.설비자재산출(전력통신)'!K136+'8-1.설비자재산출(전력통신)'!K137+'8-1.설비자재산출(전력통신)'!K170</f>
        <v>0</v>
      </c>
      <c r="G125" s="316">
        <f>'8-1.설비자재산출(전력통신)'!L136+'8-1.설비자재산출(전력통신)'!L137+'8-1.설비자재산출(전력통신)'!L170</f>
        <v>0</v>
      </c>
      <c r="H125" s="1694">
        <f t="shared" si="8"/>
        <v>0</v>
      </c>
      <c r="I125" s="744" t="e">
        <f>VLOOKUP(A125,'8-4.일위대가표'!$A$4:$N$723,13,FALSE)</f>
        <v>#N/A</v>
      </c>
      <c r="J125" s="406"/>
      <c r="K125" s="22">
        <v>0</v>
      </c>
    </row>
    <row r="126" spans="1:12" s="22" customFormat="1" ht="24.95" customHeight="1">
      <c r="A126" s="267" t="str">
        <f>'8-4.일위대가표'!A353</f>
        <v>품3-1-1.</v>
      </c>
      <c r="B126" s="396" t="str">
        <f>VLOOKUP(A126,'8-4.일위대가표'!$A$4:$N$723,2,FALSE)</f>
        <v>NAC 설치</v>
      </c>
      <c r="C126" s="396" t="str">
        <f>VLOOKUP(A126,'8-4.일위대가표'!$A$4:$N$723,3,FALSE)</f>
        <v>기본S/W 설정포함</v>
      </c>
      <c r="D126" s="740" t="str">
        <f>VLOOKUP(A126,'8-4.일위대가표'!$A$4:$N$723,5,FALSE)</f>
        <v>대</v>
      </c>
      <c r="E126" s="316">
        <f>'8-1.설비자재산출(전력통신)'!J138</f>
        <v>2</v>
      </c>
      <c r="F126" s="316">
        <f>'8-1.설비자재산출(전력통신)'!K138</f>
        <v>0</v>
      </c>
      <c r="G126" s="316">
        <f>'8-1.설비자재산출(전력통신)'!L138</f>
        <v>0</v>
      </c>
      <c r="H126" s="1694">
        <f t="shared" si="8"/>
        <v>2</v>
      </c>
      <c r="I126" s="744">
        <f>VLOOKUP(A126,'8-4.일위대가표'!$A$4:$N$723,13,FALSE)</f>
        <v>308114</v>
      </c>
      <c r="J126" s="406"/>
      <c r="K126" s="22" t="s">
        <v>3297</v>
      </c>
    </row>
    <row r="127" spans="1:12" s="22" customFormat="1" ht="24.95" customHeight="1">
      <c r="A127" s="267" t="str">
        <f>'8-4.일위대가표'!A356</f>
        <v>품3-2.</v>
      </c>
      <c r="B127" s="396" t="str">
        <f>VLOOKUP(A127,'8-4.일위대가표'!$A$4:$N$723,2,FALSE)</f>
        <v>포인트연결어댑터(EPIA) 설치</v>
      </c>
      <c r="C127" s="396" t="str">
        <f>VLOOKUP(A127,'8-4.일위대가표'!$A$4:$N$723,3,FALSE)</f>
        <v>포인트연결어댑터(EPIA) 설치</v>
      </c>
      <c r="D127" s="740" t="str">
        <f>VLOOKUP(A127,'8-4.일위대가표'!$A$4:$N$723,5,FALSE)</f>
        <v>대</v>
      </c>
      <c r="E127" s="316">
        <f>'8-1.설비자재산출(전력통신)'!J132</f>
        <v>1</v>
      </c>
      <c r="F127" s="316">
        <f>'8-1.설비자재산출(전력통신)'!K132</f>
        <v>1</v>
      </c>
      <c r="G127" s="316">
        <f>'8-1.설비자재산출(전력통신)'!L132</f>
        <v>0</v>
      </c>
      <c r="H127" s="1694">
        <f t="shared" si="8"/>
        <v>2</v>
      </c>
      <c r="I127" s="744">
        <f>VLOOKUP(A127,'8-4.일위대가표'!$A$4:$N$723,13,FALSE)</f>
        <v>29537</v>
      </c>
      <c r="J127" s="406"/>
      <c r="K127" s="22" t="s">
        <v>3002</v>
      </c>
    </row>
    <row r="128" spans="1:12" s="22" customFormat="1" ht="24.95" customHeight="1">
      <c r="A128" s="267" t="str">
        <f>'8-4.일위대가표'!A363</f>
        <v>품3-3.</v>
      </c>
      <c r="B128" s="396" t="str">
        <f>VLOOKUP(A128,'8-4.일위대가표'!$A$4:$N$723,2,FALSE)</f>
        <v>온도센서 설치</v>
      </c>
      <c r="C128" s="396" t="str">
        <f>VLOOKUP(A128,'8-4.일위대가표'!$A$4:$N$723,3,FALSE)</f>
        <v>열선감지기 준용</v>
      </c>
      <c r="D128" s="740" t="str">
        <f>VLOOKUP(A128,'8-4.일위대가표'!$A$4:$N$723,5,FALSE)</f>
        <v>대</v>
      </c>
      <c r="E128" s="316">
        <f>'8-1.설비자재산출(전력통신)'!J134</f>
        <v>1</v>
      </c>
      <c r="F128" s="316">
        <f>'8-1.설비자재산출(전력통신)'!K134</f>
        <v>1</v>
      </c>
      <c r="G128" s="316">
        <f>'8-1.설비자재산출(전력통신)'!L134</f>
        <v>0</v>
      </c>
      <c r="H128" s="1694">
        <f t="shared" si="8"/>
        <v>2</v>
      </c>
      <c r="I128" s="744">
        <f>VLOOKUP(A128,'8-4.일위대가표'!$A$4:$N$723,13,FALSE)</f>
        <v>19335</v>
      </c>
      <c r="J128" s="407"/>
      <c r="K128" s="22" t="s">
        <v>3003</v>
      </c>
    </row>
    <row r="129" spans="1:12" s="22" customFormat="1" ht="24.95" customHeight="1">
      <c r="A129" s="267" t="str">
        <f>'8-4.일위대가표'!A365</f>
        <v>품3-4.</v>
      </c>
      <c r="B129" s="396" t="str">
        <f>VLOOKUP(A129,'8-4.일위대가표'!$A$4:$N$723,2,FALSE)</f>
        <v>AC전압검출기 설치</v>
      </c>
      <c r="C129" s="396" t="str">
        <f>VLOOKUP(A129,'8-4.일위대가표'!$A$4:$N$723,3,FALSE)</f>
        <v>전환기 준용</v>
      </c>
      <c r="D129" s="740" t="str">
        <f>VLOOKUP(A129,'8-4.일위대가표'!$A$4:$N$723,5,FALSE)</f>
        <v>대</v>
      </c>
      <c r="E129" s="316">
        <f>'8-1.설비자재산출(전력통신)'!J135</f>
        <v>1</v>
      </c>
      <c r="F129" s="316">
        <f>'8-1.설비자재산출(전력통신)'!K135</f>
        <v>1</v>
      </c>
      <c r="G129" s="316">
        <f>'8-1.설비자재산출(전력통신)'!L135</f>
        <v>0</v>
      </c>
      <c r="H129" s="1694">
        <f t="shared" si="8"/>
        <v>2</v>
      </c>
      <c r="I129" s="744">
        <f>VLOOKUP(A129,'8-4.일위대가표'!$A$4:$N$723,13,FALSE)</f>
        <v>37328</v>
      </c>
      <c r="J129" s="407"/>
      <c r="K129" s="22" t="s">
        <v>3004</v>
      </c>
    </row>
    <row r="130" spans="1:12" s="22" customFormat="1" ht="24.95" customHeight="1">
      <c r="A130" s="267" t="str">
        <f>'8-4.일위대가표'!A367</f>
        <v>품3-5.</v>
      </c>
      <c r="B130" s="396" t="str">
        <f>VLOOKUP(A130,'8-4.일위대가표'!$A$4:$N$723,2,FALSE)</f>
        <v>자석감지기 설치</v>
      </c>
      <c r="C130" s="396" t="str">
        <f>VLOOKUP(A130,'8-4.일위대가표'!$A$4:$N$723,3,FALSE)</f>
        <v>문감지기</v>
      </c>
      <c r="D130" s="740" t="str">
        <f>VLOOKUP(A130,'8-4.일위대가표'!$A$4:$N$723,5,FALSE)</f>
        <v>대</v>
      </c>
      <c r="E130" s="316">
        <f>'8-1.설비자재산출(전력통신)'!J178</f>
        <v>4</v>
      </c>
      <c r="F130" s="316">
        <f>'8-1.설비자재산출(전력통신)'!K178</f>
        <v>2</v>
      </c>
      <c r="G130" s="316">
        <f>'8-1.설비자재산출(전력통신)'!L178</f>
        <v>0</v>
      </c>
      <c r="H130" s="1694">
        <f t="shared" si="8"/>
        <v>6</v>
      </c>
      <c r="I130" s="744">
        <f>VLOOKUP(A130,'8-4.일위대가표'!$A$4:$N$723,13,FALSE)</f>
        <v>19335</v>
      </c>
      <c r="J130" s="407"/>
      <c r="K130" s="22" t="s">
        <v>3282</v>
      </c>
    </row>
    <row r="131" spans="1:12" s="1502" customFormat="1" ht="24.95" hidden="1" customHeight="1">
      <c r="A131" s="1496">
        <f>'8-4.일위대가표'!A369</f>
        <v>0</v>
      </c>
      <c r="B131" s="1497" t="e">
        <f>VLOOKUP(A131,'8-4.일위대가표'!$A$4:$N$723,2,FALSE)</f>
        <v>#N/A</v>
      </c>
      <c r="C131" s="1497" t="e">
        <f>VLOOKUP(A131,'8-4.일위대가표'!$A$4:$N$723,3,FALSE)</f>
        <v>#N/A</v>
      </c>
      <c r="D131" s="1498" t="e">
        <f>VLOOKUP(A131,'8-4.일위대가표'!$A$4:$N$723,5,FALSE)</f>
        <v>#N/A</v>
      </c>
      <c r="E131" s="1691"/>
      <c r="F131" s="1691"/>
      <c r="G131" s="1691"/>
      <c r="H131" s="1698">
        <f t="shared" si="8"/>
        <v>0</v>
      </c>
      <c r="I131" s="1500" t="e">
        <f>VLOOKUP(A131,'8-4.일위대가표'!$A$4:$N$723,13,FALSE)</f>
        <v>#N/A</v>
      </c>
      <c r="J131" s="1503"/>
      <c r="K131" s="1502">
        <v>0</v>
      </c>
    </row>
    <row r="132" spans="1:12" s="22" customFormat="1" ht="24.95" customHeight="1">
      <c r="A132" s="267" t="str">
        <f>'8-4.일위대가표'!A371</f>
        <v>품3-6.</v>
      </c>
      <c r="B132" s="396" t="str">
        <f>VLOOKUP(A132,'8-4.일위대가표'!$A$4:$N$723,2,FALSE)</f>
        <v>제어케이블 포설</v>
      </c>
      <c r="C132" s="396" t="str">
        <f>VLOOKUP(A132,'8-4.일위대가표'!$A$4:$N$723,3,FALSE)</f>
        <v>6SQ/2C</v>
      </c>
      <c r="D132" s="740" t="str">
        <f>VLOOKUP(A132,'8-4.일위대가표'!$A$4:$N$723,5,FALSE)</f>
        <v>m</v>
      </c>
      <c r="E132" s="316">
        <f>'8-1.설비자재산출(전력통신)'!J171+'8-1.설비자재산출(전력통신)'!J172</f>
        <v>20</v>
      </c>
      <c r="F132" s="316">
        <f>'8-1.설비자재산출(전력통신)'!K171+'8-1.설비자재산출(전력통신)'!K172</f>
        <v>20</v>
      </c>
      <c r="G132" s="316">
        <f>'8-1.설비자재산출(전력통신)'!L171</f>
        <v>0</v>
      </c>
      <c r="H132" s="1694">
        <f t="shared" si="8"/>
        <v>40</v>
      </c>
      <c r="I132" s="744">
        <f>VLOOKUP(A132,'8-4.일위대가표'!$A$4:$N$723,13,FALSE)</f>
        <v>8355</v>
      </c>
      <c r="J132" s="406"/>
      <c r="K132" s="22" t="s">
        <v>3006</v>
      </c>
    </row>
    <row r="133" spans="1:12" s="22" customFormat="1" ht="24.95" hidden="1" customHeight="1">
      <c r="A133" s="267">
        <f>'8-4.일위대가표'!A375</f>
        <v>0</v>
      </c>
      <c r="B133" s="396" t="e">
        <f>VLOOKUP(A133,'8-4.일위대가표'!$A$4:$N$723,2,FALSE)</f>
        <v>#N/A</v>
      </c>
      <c r="C133" s="396" t="e">
        <f>VLOOKUP(A133,'8-4.일위대가표'!$A$4:$N$723,3,FALSE)</f>
        <v>#N/A</v>
      </c>
      <c r="D133" s="740" t="e">
        <f>VLOOKUP(A133,'8-4.일위대가표'!$A$4:$N$723,5,FALSE)</f>
        <v>#N/A</v>
      </c>
      <c r="E133" s="316"/>
      <c r="F133" s="316"/>
      <c r="G133" s="316">
        <f>'8-1.설비자재산출(전력통신)'!L172</f>
        <v>0</v>
      </c>
      <c r="H133" s="1694">
        <f t="shared" si="8"/>
        <v>0</v>
      </c>
      <c r="I133" s="744" t="e">
        <f>VLOOKUP(A133,'8-4.일위대가표'!$A$4:$N$723,13,FALSE)</f>
        <v>#N/A</v>
      </c>
      <c r="J133" s="406"/>
      <c r="K133" s="22">
        <v>0</v>
      </c>
    </row>
    <row r="134" spans="1:12" s="22" customFormat="1" ht="24.95" customHeight="1">
      <c r="A134" s="267" t="str">
        <f>'8-4.일위대가표'!A379</f>
        <v>품3-7.</v>
      </c>
      <c r="B134" s="396" t="str">
        <f>VLOOKUP(A134,'8-4.일위대가표'!$A$4:$N$723,2,FALSE)</f>
        <v>UTP케이블 포설</v>
      </c>
      <c r="C134" s="396" t="str">
        <f>VLOOKUP(A134,'8-4.일위대가표'!$A$4:$N$723,3,FALSE)</f>
        <v>CAT.5 4Pr</v>
      </c>
      <c r="D134" s="740" t="str">
        <f>VLOOKUP(A134,'8-4.일위대가표'!$A$4:$N$723,5,FALSE)</f>
        <v>m</v>
      </c>
      <c r="E134" s="1692">
        <f>'8-1.설비자재산출(전력통신)'!J179</f>
        <v>61</v>
      </c>
      <c r="F134" s="316">
        <f>'8-1.설비자재산출(전력통신)'!K179</f>
        <v>50</v>
      </c>
      <c r="G134" s="316">
        <f>'8-1.설비자재산출(전력통신)'!L173</f>
        <v>0</v>
      </c>
      <c r="H134" s="1694">
        <f t="shared" si="8"/>
        <v>111</v>
      </c>
      <c r="I134" s="744">
        <f>VLOOKUP(A134,'8-4.일위대가표'!$A$4:$N$723,13,FALSE)</f>
        <v>5802</v>
      </c>
      <c r="J134" s="406"/>
      <c r="K134" s="268" t="s">
        <v>3007</v>
      </c>
      <c r="L134" s="641"/>
    </row>
    <row r="135" spans="1:12" s="1502" customFormat="1" ht="24.95" hidden="1" customHeight="1">
      <c r="A135" s="1496" t="str">
        <f>'8-4.일위대가표'!A381</f>
        <v>품3-8.</v>
      </c>
      <c r="B135" s="1497" t="str">
        <f>VLOOKUP(A135,'8-4.일위대가표'!$A$4:$N$723,2,FALSE)</f>
        <v>UTP케이블 포설</v>
      </c>
      <c r="C135" s="1497" t="str">
        <f>VLOOKUP(A135,'8-4.일위대가표'!$A$4:$N$723,3,FALSE)</f>
        <v>CAT.5 4Pr, 2열</v>
      </c>
      <c r="D135" s="1498" t="str">
        <f>VLOOKUP(A135,'8-4.일위대가표'!$A$4:$N$723,5,FALSE)</f>
        <v>m</v>
      </c>
      <c r="E135" s="1691"/>
      <c r="F135" s="1691"/>
      <c r="G135" s="1691"/>
      <c r="H135" s="1698">
        <f t="shared" si="8"/>
        <v>0</v>
      </c>
      <c r="I135" s="1500">
        <f>VLOOKUP(A135,'8-4.일위대가표'!$A$4:$N$723,13,FALSE)</f>
        <v>10444</v>
      </c>
      <c r="J135" s="1503"/>
      <c r="K135" s="1504" t="s">
        <v>3008</v>
      </c>
    </row>
    <row r="136" spans="1:12" s="1502" customFormat="1" ht="24.95" hidden="1" customHeight="1">
      <c r="A136" s="1496" t="str">
        <f>'8-4.일위대가표'!A383</f>
        <v>품3-8-1</v>
      </c>
      <c r="B136" s="1497" t="str">
        <f>VLOOKUP(A136,'8-4.일위대가표'!$A$4:$N$723,2,FALSE)</f>
        <v>UTP케이블 포설</v>
      </c>
      <c r="C136" s="1497" t="str">
        <f>VLOOKUP(A136,'8-4.일위대가표'!$A$4:$N$723,3,FALSE)</f>
        <v>CAT.5 4Pr,3열</v>
      </c>
      <c r="D136" s="1498" t="str">
        <f>VLOOKUP(A136,'8-4.일위대가표'!$A$4:$N$723,5,FALSE)</f>
        <v>m</v>
      </c>
      <c r="E136" s="1691"/>
      <c r="F136" s="1691"/>
      <c r="G136" s="1691"/>
      <c r="H136" s="1698">
        <f t="shared" si="8"/>
        <v>0</v>
      </c>
      <c r="I136" s="1500">
        <f>VLOOKUP(A136,'8-4.일위대가표'!$A$4:$N$723,13,FALSE)</f>
        <v>15087</v>
      </c>
      <c r="J136" s="1503"/>
      <c r="K136" s="1504" t="s">
        <v>3288</v>
      </c>
    </row>
    <row r="137" spans="1:12" s="1502" customFormat="1" ht="24.95" customHeight="1">
      <c r="A137" s="267" t="str">
        <f>'8-4.일위대가표'!A385</f>
        <v>품3-8-2</v>
      </c>
      <c r="B137" s="396" t="str">
        <f>VLOOKUP(A137,'8-4.일위대가표'!$A$4:$N$723,2,FALSE)</f>
        <v>UTP케이블 포설</v>
      </c>
      <c r="C137" s="396" t="str">
        <f>VLOOKUP(A137,'8-4.일위대가표'!$A$4:$N$723,3,FALSE)</f>
        <v>CAT.5 4Pr,4열</v>
      </c>
      <c r="D137" s="740" t="str">
        <f>VLOOKUP(A137,'8-4.일위대가표'!$A$4:$N$723,5,FALSE)</f>
        <v>m</v>
      </c>
      <c r="E137" s="316">
        <f>('8-1.설비자재산출(전력통신)'!J173)/4</f>
        <v>4</v>
      </c>
      <c r="F137" s="316"/>
      <c r="G137" s="316"/>
      <c r="H137" s="1694">
        <f t="shared" si="8"/>
        <v>4</v>
      </c>
      <c r="I137" s="744">
        <f>VLOOKUP(A137,'8-4.일위대가표'!$A$4:$N$723,13,FALSE)</f>
        <v>19729</v>
      </c>
      <c r="J137" s="406"/>
      <c r="K137" s="1504" t="s">
        <v>3289</v>
      </c>
      <c r="L137" s="1506"/>
    </row>
    <row r="138" spans="1:12" s="1502" customFormat="1" ht="24.95" hidden="1" customHeight="1">
      <c r="A138" s="1496" t="str">
        <f>'8-4.일위대가표'!A387</f>
        <v>품3-8-3</v>
      </c>
      <c r="B138" s="1497" t="str">
        <f>VLOOKUP(A138,'8-4.일위대가표'!$A$4:$N$723,2,FALSE)</f>
        <v>UTP케이블 포설</v>
      </c>
      <c r="C138" s="1497" t="str">
        <f>VLOOKUP(A138,'8-4.일위대가표'!$A$4:$N$723,3,FALSE)</f>
        <v>CAT.5 4Pr,5열</v>
      </c>
      <c r="D138" s="1498" t="str">
        <f>VLOOKUP(A138,'8-4.일위대가표'!$A$4:$N$723,5,FALSE)</f>
        <v>m</v>
      </c>
      <c r="E138" s="1691"/>
      <c r="F138" s="1691"/>
      <c r="G138" s="1691"/>
      <c r="H138" s="1698">
        <f t="shared" si="8"/>
        <v>0</v>
      </c>
      <c r="I138" s="1500">
        <f>VLOOKUP(A138,'8-4.일위대가표'!$A$4:$N$723,13,FALSE)</f>
        <v>24371</v>
      </c>
      <c r="J138" s="1503"/>
      <c r="K138" s="1504" t="s">
        <v>3290</v>
      </c>
    </row>
    <row r="139" spans="1:12" s="22" customFormat="1" ht="24.95" customHeight="1">
      <c r="A139" s="267" t="str">
        <f>'8-4.일위대가표'!A391</f>
        <v>품3-9.</v>
      </c>
      <c r="B139" s="396" t="str">
        <f>VLOOKUP(A139,'8-4.일위대가표'!$A$4:$N$723,2,FALSE)</f>
        <v>후렉시블전선관 시설</v>
      </c>
      <c r="C139" s="396" t="str">
        <f>VLOOKUP(A139,'8-4.일위대가표'!$A$4:$N$723,3,FALSE)</f>
        <v>금속가요전선관 16㎜</v>
      </c>
      <c r="D139" s="740" t="str">
        <f>VLOOKUP(A139,'8-4.일위대가표'!$A$4:$N$723,5,FALSE)</f>
        <v>m</v>
      </c>
      <c r="E139" s="316">
        <f>'8-1.설비자재산출(전력통신)'!J174+'8-1.설비자재산출(전력통신)'!J180</f>
        <v>34.5</v>
      </c>
      <c r="F139" s="316">
        <f>'8-1.설비자재산출(전력통신)'!K174+'8-1.설비자재산출(전력통신)'!K180</f>
        <v>29</v>
      </c>
      <c r="G139" s="316">
        <f>'8-1.설비자재산출(전력통신)'!L174+'8-1.설비자재산출(전력통신)'!L180</f>
        <v>0</v>
      </c>
      <c r="H139" s="1694">
        <f t="shared" si="8"/>
        <v>63.5</v>
      </c>
      <c r="I139" s="744">
        <f>VLOOKUP(A139,'8-4.일위대가표'!$A$4:$N$723,13,FALSE)</f>
        <v>14234</v>
      </c>
      <c r="J139" s="406"/>
      <c r="K139" s="22" t="s">
        <v>3009</v>
      </c>
    </row>
    <row r="140" spans="1:12" s="1502" customFormat="1" ht="24.95" hidden="1" customHeight="1">
      <c r="A140" s="1496" t="str">
        <f>'8-4.일위대가표'!A395</f>
        <v>품3-9-1.</v>
      </c>
      <c r="B140" s="1497" t="str">
        <f>VLOOKUP(A140,'8-4.일위대가표'!$A$4:$N$723,2,FALSE)</f>
        <v>후렉시블전선관 시설</v>
      </c>
      <c r="C140" s="1497" t="str">
        <f>VLOOKUP(A140,'8-4.일위대가표'!$A$4:$N$723,3,FALSE)</f>
        <v>금속가요전선관 22㎜</v>
      </c>
      <c r="D140" s="1498" t="str">
        <f>VLOOKUP(A140,'8-4.일위대가표'!$A$4:$N$723,5,FALSE)</f>
        <v>m</v>
      </c>
      <c r="E140" s="1691"/>
      <c r="F140" s="1691"/>
      <c r="G140" s="1691"/>
      <c r="H140" s="1698">
        <f t="shared" si="8"/>
        <v>0</v>
      </c>
      <c r="I140" s="1500">
        <f>VLOOKUP(A140,'8-4.일위대가표'!$A$4:$N$723,13,FALSE)</f>
        <v>19087</v>
      </c>
      <c r="J140" s="1503"/>
      <c r="K140" s="1502" t="s">
        <v>3300</v>
      </c>
    </row>
    <row r="141" spans="1:12" ht="24.95" customHeight="1">
      <c r="A141" s="267" t="str">
        <f>'8-4.일위대가표'!A399</f>
        <v>품3-10.</v>
      </c>
      <c r="B141" s="396" t="str">
        <f>VLOOKUP(A141,'8-4.일위대가표'!$A$4:$N$723,2,FALSE)</f>
        <v>접지선 포설</v>
      </c>
      <c r="C141" s="396" t="str">
        <f>VLOOKUP(A141,'8-4.일위대가표'!$A$4:$N$723,3,FALSE)</f>
        <v>10㎟ 이하</v>
      </c>
      <c r="D141" s="740" t="str">
        <f>VLOOKUP(A141,'8-4.일위대가표'!$A$4:$N$723,5,FALSE)</f>
        <v>m</v>
      </c>
      <c r="E141" s="316">
        <f>'8-1.설비자재산출(전력통신)'!J165</f>
        <v>3</v>
      </c>
      <c r="F141" s="316">
        <f>'8-1.설비자재산출(전력통신)'!K165</f>
        <v>3</v>
      </c>
      <c r="G141" s="316">
        <f>'8-1.설비자재산출(전력통신)'!L165</f>
        <v>0</v>
      </c>
      <c r="H141" s="1694">
        <f t="shared" si="8"/>
        <v>6</v>
      </c>
      <c r="I141" s="744">
        <f>VLOOKUP(A141,'8-4.일위대가표'!$A$4:$N$723,13,FALSE)</f>
        <v>3732</v>
      </c>
      <c r="J141" s="406"/>
      <c r="K141" s="5" t="s">
        <v>3010</v>
      </c>
    </row>
    <row r="142" spans="1:12" ht="24.95" customHeight="1">
      <c r="A142" s="267" t="str">
        <f>'8-4.일위대가표'!A403</f>
        <v>품3-10-1.</v>
      </c>
      <c r="B142" s="396" t="str">
        <f>VLOOKUP(A142,'8-4.일위대가표'!$A$4:$N$723,2,FALSE)</f>
        <v>접지선 접속</v>
      </c>
      <c r="C142" s="396" t="str">
        <f>VLOOKUP(A142,'8-4.일위대가표'!$A$4:$N$723,3,FALSE)</f>
        <v>압착단자</v>
      </c>
      <c r="D142" s="740" t="str">
        <f>VLOOKUP(A142,'8-4.일위대가표'!$A$4:$N$723,5,FALSE)</f>
        <v>개</v>
      </c>
      <c r="E142" s="316">
        <f>E141/3</f>
        <v>1</v>
      </c>
      <c r="F142" s="316">
        <f t="shared" ref="F142:G142" si="9">F141/3</f>
        <v>1</v>
      </c>
      <c r="G142" s="316">
        <f t="shared" si="9"/>
        <v>0</v>
      </c>
      <c r="H142" s="1694">
        <f t="shared" si="8"/>
        <v>2</v>
      </c>
      <c r="I142" s="744">
        <f>VLOOKUP(A142,'8-4.일위대가표'!$A$4:$N$723,13,FALSE)</f>
        <v>7465</v>
      </c>
      <c r="J142" s="406"/>
      <c r="K142" s="5" t="s">
        <v>3302</v>
      </c>
    </row>
    <row r="143" spans="1:12" s="1507" customFormat="1" ht="24.95" hidden="1" customHeight="1">
      <c r="A143" s="1496">
        <f>'8-4.일위대가표'!A405</f>
        <v>0</v>
      </c>
      <c r="B143" s="1497" t="e">
        <f>VLOOKUP(A143,'8-4.일위대가표'!$A$4:$N$723,2,FALSE)</f>
        <v>#N/A</v>
      </c>
      <c r="C143" s="1497" t="e">
        <f>VLOOKUP(A143,'8-4.일위대가표'!$A$4:$N$723,3,FALSE)</f>
        <v>#N/A</v>
      </c>
      <c r="D143" s="1498" t="e">
        <f>VLOOKUP(A143,'8-4.일위대가표'!$A$4:$N$723,5,FALSE)</f>
        <v>#N/A</v>
      </c>
      <c r="E143" s="1691"/>
      <c r="F143" s="1691"/>
      <c r="G143" s="1691"/>
      <c r="H143" s="1698">
        <f t="shared" si="8"/>
        <v>0</v>
      </c>
      <c r="I143" s="1500" t="e">
        <f>VLOOKUP(A143,'8-4.일위대가표'!$A$4:$N$723,13,FALSE)</f>
        <v>#N/A</v>
      </c>
      <c r="J143" s="1503"/>
      <c r="K143" s="1507" t="s">
        <v>3011</v>
      </c>
    </row>
    <row r="144" spans="1:12" s="1507" customFormat="1" ht="24.95" hidden="1" customHeight="1">
      <c r="A144" s="1496">
        <f>'8-4.일위대가표'!A407</f>
        <v>0</v>
      </c>
      <c r="B144" s="1497" t="e">
        <f>VLOOKUP(A144,'8-4.일위대가표'!$A$4:$N$723,2,FALSE)</f>
        <v>#N/A</v>
      </c>
      <c r="C144" s="1497" t="e">
        <f>VLOOKUP(A144,'8-4.일위대가표'!$A$4:$N$723,3,FALSE)</f>
        <v>#N/A</v>
      </c>
      <c r="D144" s="1498" t="e">
        <f>VLOOKUP(A144,'8-4.일위대가표'!$A$4:$N$723,5,FALSE)</f>
        <v>#N/A</v>
      </c>
      <c r="E144" s="1691"/>
      <c r="F144" s="1691"/>
      <c r="G144" s="1691"/>
      <c r="H144" s="1698">
        <f t="shared" si="8"/>
        <v>0</v>
      </c>
      <c r="I144" s="1500" t="e">
        <f>VLOOKUP(A144,'8-4.일위대가표'!$A$4:$N$723,13,FALSE)</f>
        <v>#N/A</v>
      </c>
      <c r="J144" s="1503"/>
      <c r="K144" s="1507" t="s">
        <v>3012</v>
      </c>
    </row>
    <row r="145" spans="1:11" s="22" customFormat="1" ht="24.95" hidden="1" customHeight="1">
      <c r="A145" s="267">
        <f>'8-4.일위대가표'!A409</f>
        <v>0</v>
      </c>
      <c r="B145" s="396" t="e">
        <f>VLOOKUP(A145,'8-4.일위대가표'!$A$4:$N$723,2,FALSE)</f>
        <v>#N/A</v>
      </c>
      <c r="C145" s="396" t="e">
        <f>VLOOKUP(A145,'8-4.일위대가표'!$A$4:$N$723,3,FALSE)</f>
        <v>#N/A</v>
      </c>
      <c r="D145" s="740" t="e">
        <f>VLOOKUP(A145,'8-4.일위대가표'!$A$4:$N$723,5,FALSE)</f>
        <v>#N/A</v>
      </c>
      <c r="E145" s="316">
        <f>'8-1.설비자재산출(전력통신)'!J166</f>
        <v>0</v>
      </c>
      <c r="F145" s="316">
        <f>'8-1.설비자재산출(전력통신)'!K166</f>
        <v>0</v>
      </c>
      <c r="G145" s="316">
        <f>'8-1.설비자재산출(전력통신)'!L166</f>
        <v>0</v>
      </c>
      <c r="H145" s="1694">
        <f t="shared" si="8"/>
        <v>0</v>
      </c>
      <c r="I145" s="744" t="e">
        <f>VLOOKUP(A145,'8-4.일위대가표'!$A$4:$N$723,13,FALSE)</f>
        <v>#N/A</v>
      </c>
      <c r="J145" s="405"/>
      <c r="K145" s="22" t="s">
        <v>3013</v>
      </c>
    </row>
    <row r="146" spans="1:11" s="22" customFormat="1" ht="24.95" customHeight="1">
      <c r="A146" s="267"/>
      <c r="B146" s="396"/>
      <c r="C146" s="396"/>
      <c r="D146" s="740"/>
      <c r="E146" s="316"/>
      <c r="F146" s="316"/>
      <c r="G146" s="316"/>
      <c r="H146" s="1694"/>
      <c r="I146" s="744"/>
      <c r="J146" s="407"/>
    </row>
    <row r="147" spans="1:11" s="22" customFormat="1" ht="24.95" customHeight="1">
      <c r="A147" s="803" t="str">
        <f>'8-1.설비자재산출(전력통신)'!A195</f>
        <v>4. IP계통운영통신시스템</v>
      </c>
      <c r="B147" s="396"/>
      <c r="C147" s="396"/>
      <c r="D147" s="740"/>
      <c r="E147" s="316"/>
      <c r="F147" s="316"/>
      <c r="G147" s="316"/>
      <c r="H147" s="1694"/>
      <c r="I147" s="744"/>
      <c r="J147" s="407"/>
      <c r="K147" s="22" t="s">
        <v>3124</v>
      </c>
    </row>
    <row r="148" spans="1:11" s="1502" customFormat="1" ht="24.95" hidden="1" customHeight="1">
      <c r="A148" s="1496">
        <f>'8-4.일위대가표'!A414</f>
        <v>0</v>
      </c>
      <c r="B148" s="1497" t="e">
        <f>VLOOKUP(A148,'8-4.일위대가표'!$A$4:$N$723,2,FALSE)</f>
        <v>#N/A</v>
      </c>
      <c r="C148" s="1497" t="e">
        <f>VLOOKUP(A148,'8-4.일위대가표'!$A$4:$N$723,3,FALSE)</f>
        <v>#N/A</v>
      </c>
      <c r="D148" s="1498" t="e">
        <f>VLOOKUP(A148,'8-4.일위대가표'!$A$4:$N$723,5,FALSE)</f>
        <v>#N/A</v>
      </c>
      <c r="E148" s="1691"/>
      <c r="F148" s="1691"/>
      <c r="G148" s="1691"/>
      <c r="H148" s="1698">
        <f t="shared" ref="H148:H162" si="10">SUM(E148:G148)</f>
        <v>0</v>
      </c>
      <c r="I148" s="1500" t="e">
        <f>VLOOKUP(A148,'8-4.일위대가표'!$A$4:$N$723,13,FALSE)</f>
        <v>#N/A</v>
      </c>
      <c r="J148" s="1508"/>
      <c r="K148" s="1502" t="s">
        <v>1806</v>
      </c>
    </row>
    <row r="149" spans="1:11" s="1502" customFormat="1" ht="24.95" hidden="1" customHeight="1">
      <c r="A149" s="1496">
        <f>'8-4.일위대가표'!A420</f>
        <v>0</v>
      </c>
      <c r="B149" s="1497" t="e">
        <f>VLOOKUP(A149,'8-4.일위대가표'!$A$4:$N$723,2,FALSE)</f>
        <v>#N/A</v>
      </c>
      <c r="C149" s="1497" t="e">
        <f>VLOOKUP(A149,'8-4.일위대가표'!$A$4:$N$723,3,FALSE)</f>
        <v>#N/A</v>
      </c>
      <c r="D149" s="1498" t="e">
        <f>VLOOKUP(A149,'8-4.일위대가표'!$A$4:$N$723,5,FALSE)</f>
        <v>#N/A</v>
      </c>
      <c r="E149" s="1691"/>
      <c r="F149" s="1691"/>
      <c r="G149" s="1691"/>
      <c r="H149" s="1698">
        <f t="shared" si="10"/>
        <v>0</v>
      </c>
      <c r="I149" s="1500" t="e">
        <f>VLOOKUP(A149,'8-4.일위대가표'!$A$4:$N$723,13,FALSE)</f>
        <v>#N/A</v>
      </c>
      <c r="J149" s="1508"/>
      <c r="K149" s="1502" t="s">
        <v>2390</v>
      </c>
    </row>
    <row r="150" spans="1:11" s="22" customFormat="1" ht="24.95" customHeight="1">
      <c r="A150" s="267" t="str">
        <f>'8-4.일위대가표'!A428</f>
        <v>품4-1.</v>
      </c>
      <c r="B150" s="396" t="str">
        <f>VLOOKUP(A150,'8-4.일위대가표'!$A$4:$N$723,2,FALSE)</f>
        <v>HUB 설치</v>
      </c>
      <c r="C150" s="396" t="str">
        <f>VLOOKUP(A150,'8-4.일위대가표'!$A$4:$N$723,3,FALSE)</f>
        <v>Dummy 허브 설치</v>
      </c>
      <c r="D150" s="740" t="str">
        <f>VLOOKUP(A150,'8-4.일위대가표'!$A$4:$N$723,5,FALSE)</f>
        <v>대</v>
      </c>
      <c r="E150" s="316">
        <f>'8-1.설비자재산출(전력통신)'!J202</f>
        <v>1</v>
      </c>
      <c r="F150" s="316">
        <f>'8-1.설비자재산출(전력통신)'!K202</f>
        <v>0</v>
      </c>
      <c r="G150" s="316">
        <f>'8-1.설비자재산출(전력통신)'!L202</f>
        <v>0</v>
      </c>
      <c r="H150" s="1694">
        <f t="shared" si="10"/>
        <v>1</v>
      </c>
      <c r="I150" s="744">
        <f>VLOOKUP(A150,'8-4.일위대가표'!$A$4:$N$723,13,FALSE)</f>
        <v>66023</v>
      </c>
      <c r="J150" s="405"/>
      <c r="K150" s="22" t="s">
        <v>797</v>
      </c>
    </row>
    <row r="151" spans="1:11" s="22" customFormat="1" ht="24.95" customHeight="1">
      <c r="A151" s="267" t="str">
        <f>'8-4.일위대가표'!A431</f>
        <v>품4-2.</v>
      </c>
      <c r="B151" s="396" t="str">
        <f>VLOOKUP(A151,'8-4.일위대가표'!$A$4:$N$723,2,FALSE)</f>
        <v>통합형계통운영시스템용 콘솔</v>
      </c>
      <c r="C151" s="396" t="str">
        <f>VLOOKUP(A151,'8-4.일위대가표'!$A$4:$N$723,3,FALSE)</f>
        <v>사령원콘솔</v>
      </c>
      <c r="D151" s="740" t="str">
        <f>VLOOKUP(A151,'8-4.일위대가표'!$A$4:$N$723,5,FALSE)</f>
        <v>대</v>
      </c>
      <c r="E151" s="316">
        <f>'8-1.설비자재산출(전력통신)'!J199</f>
        <v>3</v>
      </c>
      <c r="F151" s="316">
        <f>'8-1.설비자재산출(전력통신)'!K199</f>
        <v>0</v>
      </c>
      <c r="G151" s="316">
        <f>'8-1.설비자재산출(전력통신)'!L199</f>
        <v>0</v>
      </c>
      <c r="H151" s="1694">
        <f t="shared" si="10"/>
        <v>3</v>
      </c>
      <c r="I151" s="744">
        <f>VLOOKUP(A151,'8-4.일위대가표'!$A$4:$N$723,13,FALSE)</f>
        <v>41432</v>
      </c>
      <c r="J151" s="405"/>
      <c r="K151" s="22" t="s">
        <v>858</v>
      </c>
    </row>
    <row r="152" spans="1:11" s="1502" customFormat="1" ht="24.95" hidden="1" customHeight="1">
      <c r="A152" s="1496">
        <f>'8-4.일위대가표'!A433</f>
        <v>0</v>
      </c>
      <c r="B152" s="1497" t="e">
        <f>VLOOKUP(A152,'8-4.일위대가표'!$A$4:$N$723,2,FALSE)</f>
        <v>#N/A</v>
      </c>
      <c r="C152" s="1497" t="e">
        <f>VLOOKUP(A152,'8-4.일위대가표'!$A$4:$N$723,3,FALSE)</f>
        <v>#N/A</v>
      </c>
      <c r="D152" s="1498" t="e">
        <f>VLOOKUP(A152,'8-4.일위대가표'!$A$4:$N$723,5,FALSE)</f>
        <v>#N/A</v>
      </c>
      <c r="E152" s="1691"/>
      <c r="F152" s="1691"/>
      <c r="G152" s="1691"/>
      <c r="H152" s="1698">
        <f t="shared" si="10"/>
        <v>0</v>
      </c>
      <c r="I152" s="1500" t="e">
        <f>VLOOKUP(A152,'8-4.일위대가표'!$A$4:$N$723,13,FALSE)</f>
        <v>#N/A</v>
      </c>
      <c r="J152" s="1508"/>
      <c r="K152" s="1502">
        <v>0</v>
      </c>
    </row>
    <row r="153" spans="1:11" s="1502" customFormat="1" ht="24.95" hidden="1" customHeight="1">
      <c r="A153" s="1496">
        <f>'8-4.일위대가표'!A435</f>
        <v>0</v>
      </c>
      <c r="B153" s="1497" t="e">
        <f>VLOOKUP(A153,'8-4.일위대가표'!$A$4:$N$723,2,FALSE)</f>
        <v>#N/A</v>
      </c>
      <c r="C153" s="1497" t="e">
        <f>VLOOKUP(A153,'8-4.일위대가표'!$A$4:$N$723,3,FALSE)</f>
        <v>#N/A</v>
      </c>
      <c r="D153" s="1498" t="e">
        <f>VLOOKUP(A153,'8-4.일위대가표'!$A$4:$N$723,5,FALSE)</f>
        <v>#N/A</v>
      </c>
      <c r="E153" s="1691"/>
      <c r="F153" s="1691"/>
      <c r="G153" s="1691"/>
      <c r="H153" s="1698">
        <f t="shared" si="10"/>
        <v>0</v>
      </c>
      <c r="I153" s="1500" t="e">
        <f>VLOOKUP(A153,'8-4.일위대가표'!$A$4:$N$723,13,FALSE)</f>
        <v>#N/A</v>
      </c>
      <c r="J153" s="1508"/>
      <c r="K153" s="1502">
        <v>0</v>
      </c>
    </row>
    <row r="154" spans="1:11" s="22" customFormat="1" ht="24.95" customHeight="1">
      <c r="A154" s="267" t="str">
        <f>'8-4.일위대가표'!A437</f>
        <v>품4-3.</v>
      </c>
      <c r="B154" s="396" t="str">
        <f>VLOOKUP(A154,'8-4.일위대가표'!$A$4:$N$723,2,FALSE)</f>
        <v>접지선 포설</v>
      </c>
      <c r="C154" s="396" t="str">
        <f>VLOOKUP(A154,'8-4.일위대가표'!$A$4:$N$723,3,FALSE)</f>
        <v>10㎟ 이하</v>
      </c>
      <c r="D154" s="740" t="str">
        <f>VLOOKUP(A154,'8-4.일위대가표'!$A$4:$N$723,5,FALSE)</f>
        <v>m</v>
      </c>
      <c r="E154" s="316">
        <f>'8-1.설비자재산출(전력통신)'!J214</f>
        <v>3</v>
      </c>
      <c r="F154" s="316">
        <f>'8-1.설비자재산출(전력통신)'!K214</f>
        <v>0</v>
      </c>
      <c r="G154" s="316">
        <f>'8-1.설비자재산출(전력통신)'!L214</f>
        <v>0</v>
      </c>
      <c r="H154" s="1694">
        <f t="shared" si="10"/>
        <v>3</v>
      </c>
      <c r="I154" s="744">
        <f>VLOOKUP(A154,'8-4.일위대가표'!$A$4:$N$723,13,FALSE)</f>
        <v>3732</v>
      </c>
      <c r="J154" s="405"/>
      <c r="K154" s="22" t="s">
        <v>798</v>
      </c>
    </row>
    <row r="155" spans="1:11" s="1502" customFormat="1" ht="24.95" hidden="1" customHeight="1">
      <c r="A155" s="1496">
        <f>'8-4.일위대가표'!A441</f>
        <v>0</v>
      </c>
      <c r="B155" s="1497" t="e">
        <f>VLOOKUP(A155,'8-4.일위대가표'!$A$4:$N$723,2,FALSE)</f>
        <v>#N/A</v>
      </c>
      <c r="C155" s="1497" t="e">
        <f>VLOOKUP(A155,'8-4.일위대가표'!$A$4:$N$723,3,FALSE)</f>
        <v>#N/A</v>
      </c>
      <c r="D155" s="1498" t="e">
        <f>VLOOKUP(A155,'8-4.일위대가표'!$A$4:$N$723,5,FALSE)</f>
        <v>#N/A</v>
      </c>
      <c r="E155" s="1691"/>
      <c r="F155" s="1691"/>
      <c r="G155" s="1691"/>
      <c r="H155" s="1698">
        <f t="shared" si="10"/>
        <v>0</v>
      </c>
      <c r="I155" s="1500" t="e">
        <f>VLOOKUP(A155,'8-4.일위대가표'!$A$4:$N$723,13,FALSE)</f>
        <v>#N/A</v>
      </c>
      <c r="J155" s="1508"/>
      <c r="K155" s="1502">
        <v>0</v>
      </c>
    </row>
    <row r="156" spans="1:11" s="1502" customFormat="1" ht="24.95" hidden="1" customHeight="1">
      <c r="A156" s="1496">
        <f>'8-4.일위대가표'!A443</f>
        <v>0</v>
      </c>
      <c r="B156" s="1497" t="e">
        <f>VLOOKUP(A156,'8-4.일위대가표'!$A$4:$N$723,2,FALSE)</f>
        <v>#N/A</v>
      </c>
      <c r="C156" s="1497" t="e">
        <f>VLOOKUP(A156,'8-4.일위대가표'!$A$4:$N$723,3,FALSE)</f>
        <v>#N/A</v>
      </c>
      <c r="D156" s="1498" t="e">
        <f>VLOOKUP(A156,'8-4.일위대가표'!$A$4:$N$723,5,FALSE)</f>
        <v>#N/A</v>
      </c>
      <c r="E156" s="1691"/>
      <c r="F156" s="1691"/>
      <c r="G156" s="1691"/>
      <c r="H156" s="1698">
        <f t="shared" si="10"/>
        <v>0</v>
      </c>
      <c r="I156" s="1500" t="e">
        <f>VLOOKUP(A156,'8-4.일위대가표'!$A$4:$N$723,13,FALSE)</f>
        <v>#N/A</v>
      </c>
      <c r="J156" s="1508"/>
      <c r="K156" s="1502">
        <v>0</v>
      </c>
    </row>
    <row r="157" spans="1:11" s="22" customFormat="1" ht="24.95" customHeight="1">
      <c r="A157" s="267" t="str">
        <f>'8-4.일위대가표'!A445</f>
        <v>품4-4.</v>
      </c>
      <c r="B157" s="396" t="str">
        <f>VLOOKUP(A157,'8-4.일위대가표'!$A$4:$N$723,2,FALSE)</f>
        <v>UTP케이블 포설</v>
      </c>
      <c r="C157" s="396" t="str">
        <f>VLOOKUP(A157,'8-4.일위대가표'!$A$4:$N$723,3,FALSE)</f>
        <v>CAT.5 4Pr</v>
      </c>
      <c r="D157" s="740" t="str">
        <f>VLOOKUP(A157,'8-4.일위대가표'!$A$4:$N$723,5,FALSE)</f>
        <v>m</v>
      </c>
      <c r="E157" s="316">
        <f>'8-1.설비자재산출(전력통신)'!J204+'8-1.설비자재산출(전력통신)'!J205+'8-1.설비자재산출(전력통신)'!J207</f>
        <v>21</v>
      </c>
      <c r="F157" s="316">
        <f>'8-1.설비자재산출(전력통신)'!K204+'8-1.설비자재산출(전력통신)'!K205+'8-1.설비자재산출(전력통신)'!K207</f>
        <v>0</v>
      </c>
      <c r="G157" s="316">
        <f>'8-1.설비자재산출(전력통신)'!L204+'8-1.설비자재산출(전력통신)'!L205+'8-1.설비자재산출(전력통신)'!L207</f>
        <v>0</v>
      </c>
      <c r="H157" s="1694">
        <f t="shared" si="10"/>
        <v>21</v>
      </c>
      <c r="I157" s="744">
        <f>VLOOKUP(A157,'8-4.일위대가표'!$A$4:$N$723,13,FALSE)</f>
        <v>5802</v>
      </c>
      <c r="J157" s="405"/>
      <c r="K157" s="22" t="s">
        <v>799</v>
      </c>
    </row>
    <row r="158" spans="1:11" s="1502" customFormat="1" ht="24.95" hidden="1" customHeight="1">
      <c r="A158" s="1496">
        <f>'8-4.일위대가표'!A447</f>
        <v>0</v>
      </c>
      <c r="B158" s="1497" t="e">
        <f>VLOOKUP(A158,'8-4.일위대가표'!$A$4:$N$723,2,FALSE)</f>
        <v>#N/A</v>
      </c>
      <c r="C158" s="1497" t="e">
        <f>VLOOKUP(A158,'8-4.일위대가표'!$A$4:$N$723,3,FALSE)</f>
        <v>#N/A</v>
      </c>
      <c r="D158" s="1498" t="e">
        <f>VLOOKUP(A158,'8-4.일위대가표'!$A$4:$N$723,5,FALSE)</f>
        <v>#N/A</v>
      </c>
      <c r="E158" s="1691"/>
      <c r="F158" s="1691"/>
      <c r="G158" s="1691"/>
      <c r="H158" s="1698">
        <f t="shared" si="10"/>
        <v>0</v>
      </c>
      <c r="I158" s="1500" t="e">
        <f>VLOOKUP(A158,'8-4.일위대가표'!$A$4:$N$723,13,FALSE)</f>
        <v>#N/A</v>
      </c>
      <c r="J158" s="1508"/>
      <c r="K158" s="1502">
        <v>0</v>
      </c>
    </row>
    <row r="159" spans="1:11" s="22" customFormat="1" ht="24.95" customHeight="1">
      <c r="A159" s="267" t="str">
        <f>'8-4.일위대가표'!A449</f>
        <v>품4-5.</v>
      </c>
      <c r="B159" s="396" t="str">
        <f>VLOOKUP(A159,'8-4.일위대가표'!$A$4:$N$723,2,FALSE)</f>
        <v>UTP케이블 포설</v>
      </c>
      <c r="C159" s="396" t="str">
        <f>VLOOKUP(A159,'8-4.일위대가표'!$A$4:$N$723,3,FALSE)</f>
        <v>CAT.5 4Pr, 3열</v>
      </c>
      <c r="D159" s="740" t="str">
        <f>VLOOKUP(A159,'8-4.일위대가표'!$A$4:$N$723,5,FALSE)</f>
        <v>m</v>
      </c>
      <c r="E159" s="316">
        <f>'8-1.설비자재산출(전력통신)'!J206/3</f>
        <v>81</v>
      </c>
      <c r="F159" s="316">
        <f>'8-1.설비자재산출(전력통신)'!K206/3</f>
        <v>0</v>
      </c>
      <c r="G159" s="316">
        <f>'8-1.설비자재산출(전력통신)'!L206/3</f>
        <v>0</v>
      </c>
      <c r="H159" s="1694">
        <f t="shared" si="10"/>
        <v>81</v>
      </c>
      <c r="I159" s="744">
        <f>VLOOKUP(A159,'8-4.일위대가표'!$A$4:$N$723,13,FALSE)</f>
        <v>15087</v>
      </c>
      <c r="J159" s="405"/>
      <c r="K159" s="22" t="s">
        <v>800</v>
      </c>
    </row>
    <row r="160" spans="1:11" s="1502" customFormat="1" ht="24.95" hidden="1" customHeight="1">
      <c r="A160" s="1496" t="str">
        <f>'8-4.일위대가표'!A451</f>
        <v>품4-12.</v>
      </c>
      <c r="B160" s="1497" t="str">
        <f>VLOOKUP(A160,'8-4.일위대가표'!$A$4:$N$723,2,FALSE)</f>
        <v>UTP케이블 포설</v>
      </c>
      <c r="C160" s="1497" t="str">
        <f>VLOOKUP(A160,'8-4.일위대가표'!$A$4:$N$723,3,FALSE)</f>
        <v>CAT.5 4Pr, 4열</v>
      </c>
      <c r="D160" s="1498" t="str">
        <f>VLOOKUP(A160,'8-4.일위대가표'!$A$4:$N$723,5,FALSE)</f>
        <v>m</v>
      </c>
      <c r="E160" s="1691"/>
      <c r="F160" s="1691"/>
      <c r="G160" s="1691"/>
      <c r="H160" s="1698">
        <f t="shared" si="10"/>
        <v>0</v>
      </c>
      <c r="I160" s="1500">
        <f>VLOOKUP(A160,'8-4.일위대가표'!$A$4:$N$723,13,FALSE)</f>
        <v>19729</v>
      </c>
      <c r="J160" s="1508"/>
      <c r="K160" s="1502" t="s">
        <v>1029</v>
      </c>
    </row>
    <row r="161" spans="1:11" s="22" customFormat="1" ht="24.95" customHeight="1">
      <c r="A161" s="267" t="str">
        <f>'8-4.일위대가표'!A453</f>
        <v>품4-6.</v>
      </c>
      <c r="B161" s="396" t="str">
        <f>VLOOKUP(A161,'8-4.일위대가표'!$A$4:$N$723,2,FALSE)</f>
        <v>후렉시블전선관 시설</v>
      </c>
      <c r="C161" s="396" t="str">
        <f>VLOOKUP(A161,'8-4.일위대가표'!$A$4:$N$723,3,FALSE)</f>
        <v>금속가요전선관 16㎜</v>
      </c>
      <c r="D161" s="740" t="str">
        <f>VLOOKUP(A161,'8-4.일위대가표'!$A$4:$N$723,5,FALSE)</f>
        <v>m</v>
      </c>
      <c r="E161" s="316">
        <f>'8-1.설비자재산출(전력통신)'!J208+'8-1.설비자재산출(전력통신)'!J209+'8-1.설비자재산출(전력통신)'!J210</f>
        <v>93</v>
      </c>
      <c r="F161" s="316">
        <f>'8-1.설비자재산출(전력통신)'!K208+'8-1.설비자재산출(전력통신)'!K209+'8-1.설비자재산출(전력통신)'!K210</f>
        <v>0</v>
      </c>
      <c r="G161" s="316">
        <f>'8-1.설비자재산출(전력통신)'!L208+'8-1.설비자재산출(전력통신)'!L209+'8-1.설비자재산출(전력통신)'!L210</f>
        <v>0</v>
      </c>
      <c r="H161" s="1694">
        <f t="shared" si="10"/>
        <v>93</v>
      </c>
      <c r="I161" s="744">
        <f>VLOOKUP(A161,'8-4.일위대가표'!$A$4:$N$723,13,FALSE)</f>
        <v>14234</v>
      </c>
      <c r="J161" s="405"/>
      <c r="K161" s="22" t="s">
        <v>801</v>
      </c>
    </row>
    <row r="162" spans="1:11" s="1502" customFormat="1" ht="24.95" hidden="1" customHeight="1">
      <c r="A162" s="1496" t="str">
        <f>'8-4.일위대가표'!A457</f>
        <v>품4-14.</v>
      </c>
      <c r="B162" s="1497" t="str">
        <f>VLOOKUP(A162,'8-4.일위대가표'!$A$4:$N$723,2,FALSE)</f>
        <v>콘센트 설치</v>
      </c>
      <c r="C162" s="1497" t="str">
        <f>VLOOKUP(A162,'8-4.일위대가표'!$A$4:$N$723,3,FALSE)</f>
        <v>노출 접지 2구</v>
      </c>
      <c r="D162" s="1498" t="str">
        <f>VLOOKUP(A162,'8-4.일위대가표'!$A$4:$N$723,5,FALSE)</f>
        <v>개</v>
      </c>
      <c r="E162" s="1691"/>
      <c r="F162" s="1691"/>
      <c r="G162" s="1691"/>
      <c r="H162" s="1698">
        <f t="shared" si="10"/>
        <v>0</v>
      </c>
      <c r="I162" s="1500">
        <f>VLOOKUP(A162,'8-4.일위대가표'!$A$4:$N$723,13,FALSE)</f>
        <v>23042</v>
      </c>
      <c r="J162" s="1508"/>
      <c r="K162" s="1502" t="s">
        <v>2391</v>
      </c>
    </row>
    <row r="163" spans="1:11" s="22" customFormat="1" ht="24.95" customHeight="1">
      <c r="A163" s="267"/>
      <c r="B163" s="396"/>
      <c r="C163" s="396"/>
      <c r="D163" s="740"/>
      <c r="E163" s="316"/>
      <c r="F163" s="316"/>
      <c r="G163" s="316"/>
      <c r="H163" s="1694"/>
      <c r="I163" s="744"/>
      <c r="J163" s="405"/>
    </row>
    <row r="164" spans="1:11" s="22" customFormat="1" ht="24.95" customHeight="1">
      <c r="A164" s="803" t="s">
        <v>2973</v>
      </c>
      <c r="B164" s="396"/>
      <c r="C164" s="396"/>
      <c r="D164" s="740"/>
      <c r="E164" s="316"/>
      <c r="F164" s="316"/>
      <c r="G164" s="316"/>
      <c r="H164" s="1694"/>
      <c r="I164" s="744"/>
      <c r="J164" s="405"/>
      <c r="K164" s="22" t="s">
        <v>3123</v>
      </c>
    </row>
    <row r="165" spans="1:11" s="22" customFormat="1" ht="24.95" customHeight="1">
      <c r="A165" s="267" t="str">
        <f>'8-4.일위대가표'!A461</f>
        <v>품5-1</v>
      </c>
      <c r="B165" s="396" t="str">
        <f>VLOOKUP(A165,'8-4.일위대가표'!$A$4:$N$723,2,FALSE)</f>
        <v>사용자시스템시설</v>
      </c>
      <c r="C165" s="396" t="str">
        <f>VLOOKUP(A165,'8-4.일위대가표'!$A$4:$N$723,3,FALSE)</f>
        <v>단말기설치</v>
      </c>
      <c r="D165" s="740" t="str">
        <f>VLOOKUP(A165,'8-4.일위대가표'!$A$4:$N$723,5,FALSE)</f>
        <v>대</v>
      </c>
      <c r="E165" s="1692">
        <f>'8-2.설비자재산출(무인보안)'!J11-F165</f>
        <v>3</v>
      </c>
      <c r="F165" s="1692">
        <f>'8-2.설비자재산출(무인보안)'!GA11</f>
        <v>1</v>
      </c>
      <c r="G165" s="316"/>
      <c r="H165" s="1694">
        <f t="shared" ref="H165:H197" si="11">SUM(E165:G165)</f>
        <v>4</v>
      </c>
      <c r="I165" s="744">
        <f>VLOOKUP(A165,'8-4.일위대가표'!$A$4:$N$723,13,FALSE)</f>
        <v>92450</v>
      </c>
      <c r="J165" s="405"/>
      <c r="K165" s="22" t="s">
        <v>3014</v>
      </c>
    </row>
    <row r="166" spans="1:11" s="22" customFormat="1" ht="24.95" customHeight="1">
      <c r="A166" s="267" t="str">
        <f>'8-4.일위대가표'!A464</f>
        <v>품5-2</v>
      </c>
      <c r="B166" s="396" t="str">
        <f>VLOOKUP(A166,'8-4.일위대가표'!$A$4:$N$723,2,FALSE)</f>
        <v>KVM스위치</v>
      </c>
      <c r="C166" s="396" t="str">
        <f>VLOOKUP(A166,'8-4.일위대가표'!$A$4:$N$723,3,FALSE)</f>
        <v>부대장치</v>
      </c>
      <c r="D166" s="740" t="str">
        <f>VLOOKUP(A166,'8-4.일위대가표'!$A$4:$N$723,5,FALSE)</f>
        <v>대</v>
      </c>
      <c r="E166" s="316">
        <f>'8-2.설비자재산출(무인보안)'!K13</f>
        <v>1</v>
      </c>
      <c r="F166" s="316"/>
      <c r="G166" s="316"/>
      <c r="H166" s="1694">
        <f t="shared" si="11"/>
        <v>1</v>
      </c>
      <c r="I166" s="744">
        <f>VLOOKUP(A166,'8-4.일위대가표'!$A$4:$N$723,13,FALSE)</f>
        <v>124630</v>
      </c>
      <c r="J166" s="405"/>
      <c r="K166" s="22" t="s">
        <v>3015</v>
      </c>
    </row>
    <row r="167" spans="1:11" s="22" customFormat="1" ht="24.95" customHeight="1">
      <c r="A167" s="267" t="str">
        <f>'8-4.일위대가표'!A468</f>
        <v>품5-3</v>
      </c>
      <c r="B167" s="396" t="str">
        <f>VLOOKUP(A167,'8-4.일위대가표'!$A$4:$N$723,2,FALSE)</f>
        <v>현장녹화장치 설치</v>
      </c>
      <c r="C167" s="396" t="str">
        <f>VLOOKUP(A167,'8-4.일위대가표'!$A$4:$N$723,3,FALSE)</f>
        <v>영상저장장치</v>
      </c>
      <c r="D167" s="740" t="str">
        <f>VLOOKUP(A167,'8-4.일위대가표'!$A$4:$N$723,5,FALSE)</f>
        <v>대</v>
      </c>
      <c r="E167" s="1692">
        <f>'8-2.설비자재산출(무인보안)'!J10</f>
        <v>2</v>
      </c>
      <c r="F167" s="1692">
        <f>'8-2.설비자재산출(무인보안)'!J9</f>
        <v>1</v>
      </c>
      <c r="G167" s="316"/>
      <c r="H167" s="1728">
        <f>SUM(E167:G167)</f>
        <v>3</v>
      </c>
      <c r="I167" s="744">
        <f>VLOOKUP(A167,'8-4.일위대가표'!$A$4:$N$723,13,FALSE)</f>
        <v>97616</v>
      </c>
      <c r="J167" s="405"/>
      <c r="K167" s="22" t="s">
        <v>3016</v>
      </c>
    </row>
    <row r="168" spans="1:11" s="22" customFormat="1" ht="24.95" customHeight="1">
      <c r="A168" s="267" t="str">
        <f>'8-4.일위대가표'!A471</f>
        <v>품5-4</v>
      </c>
      <c r="B168" s="396" t="str">
        <f>VLOOKUP(A168,'8-4.일위대가표'!$A$4:$N$723,2,FALSE)</f>
        <v>55" TV Monitor 설치</v>
      </c>
      <c r="C168" s="396" t="str">
        <f>VLOOKUP(A168,'8-4.일위대가표'!$A$4:$N$723,3,FALSE)</f>
        <v>41" 이상</v>
      </c>
      <c r="D168" s="740" t="str">
        <f>VLOOKUP(A168,'8-4.일위대가표'!$A$4:$N$723,5,FALSE)</f>
        <v>대</v>
      </c>
      <c r="E168" s="1692">
        <f>'8-2.설비자재산출(무인보안)'!H15</f>
        <v>4</v>
      </c>
      <c r="F168" s="1692"/>
      <c r="G168" s="316"/>
      <c r="H168" s="1694">
        <f t="shared" si="11"/>
        <v>4</v>
      </c>
      <c r="I168" s="744">
        <f>VLOOKUP(A168,'8-4.일위대가표'!$A$4:$N$723,13,FALSE)</f>
        <v>315154</v>
      </c>
      <c r="J168" s="405"/>
      <c r="K168" s="22" t="s">
        <v>3244</v>
      </c>
    </row>
    <row r="169" spans="1:11" s="22" customFormat="1" ht="24.95" customHeight="1">
      <c r="A169" s="267" t="str">
        <f>'8-4.일위대가표'!A474</f>
        <v>품5-5</v>
      </c>
      <c r="B169" s="396" t="str">
        <f>VLOOKUP(A169,'8-4.일위대가표'!$A$4:$N$723,2,FALSE)</f>
        <v>카메라설치</v>
      </c>
      <c r="C169" s="396" t="str">
        <f>VLOOKUP(A169,'8-4.일위대가표'!$A$4:$N$723,3,FALSE)</f>
        <v>스피트돔 카메라</v>
      </c>
      <c r="D169" s="740" t="str">
        <f>VLOOKUP(A169,'8-4.일위대가표'!$A$4:$N$723,5,FALSE)</f>
        <v>대</v>
      </c>
      <c r="E169" s="316">
        <f>'8-2.설비자재산출(무인보안)'!J20-F169</f>
        <v>127</v>
      </c>
      <c r="F169" s="316"/>
      <c r="G169" s="316"/>
      <c r="H169" s="1694">
        <f t="shared" si="11"/>
        <v>127</v>
      </c>
      <c r="I169" s="744">
        <f>VLOOKUP(A169,'8-4.일위대가표'!$A$4:$N$723,13,FALSE)</f>
        <v>151423</v>
      </c>
      <c r="J169" s="405"/>
      <c r="K169" s="22" t="s">
        <v>3018</v>
      </c>
    </row>
    <row r="170" spans="1:11" s="1502" customFormat="1" ht="24.95" customHeight="1">
      <c r="A170" s="267" t="str">
        <f>'8-4.일위대가표'!A477</f>
        <v>품5-6</v>
      </c>
      <c r="B170" s="396" t="str">
        <f>VLOOKUP(A170,'8-4.일위대가표'!$A$4:$N$723,2,FALSE)</f>
        <v>카메라설치</v>
      </c>
      <c r="C170" s="396" t="str">
        <f>VLOOKUP(A170,'8-4.일위대가표'!$A$4:$N$723,3,FALSE)</f>
        <v>고정형카메라</v>
      </c>
      <c r="D170" s="740" t="str">
        <f>VLOOKUP(A170,'8-4.일위대가표'!$A$4:$N$723,5,FALSE)</f>
        <v>대</v>
      </c>
      <c r="E170" s="316"/>
      <c r="F170" s="1692">
        <f>'8-2.설비자재산출(무인보안)'!GA22</f>
        <v>1</v>
      </c>
      <c r="G170" s="316"/>
      <c r="H170" s="1694">
        <f t="shared" si="11"/>
        <v>1</v>
      </c>
      <c r="I170" s="744">
        <f>VLOOKUP(A170,'8-4.일위대가표'!$A$4:$N$723,13,FALSE)</f>
        <v>90853</v>
      </c>
      <c r="J170" s="405"/>
      <c r="K170" s="1502" t="s">
        <v>3019</v>
      </c>
    </row>
    <row r="171" spans="1:11" s="1502" customFormat="1" ht="24.95" hidden="1" customHeight="1">
      <c r="A171" s="1496" t="str">
        <f>'8-4.일위대가표'!A480</f>
        <v>품5-7</v>
      </c>
      <c r="B171" s="1497" t="str">
        <f>VLOOKUP(A171,'8-4.일위대가표'!$A$4:$N$723,2,FALSE)</f>
        <v>카메라 송수신제어 및 레벨조정</v>
      </c>
      <c r="C171" s="1497" t="str">
        <f>VLOOKUP(A171,'8-4.일위대가표'!$A$4:$N$723,3,FALSE)</f>
        <v>일체형</v>
      </c>
      <c r="D171" s="1498" t="str">
        <f>VLOOKUP(A171,'8-4.일위대가표'!$A$4:$N$723,5,FALSE)</f>
        <v>set</v>
      </c>
      <c r="E171" s="1691"/>
      <c r="F171" s="1691"/>
      <c r="G171" s="1691"/>
      <c r="H171" s="1698">
        <f t="shared" si="11"/>
        <v>0</v>
      </c>
      <c r="I171" s="1500">
        <f>VLOOKUP(A171,'8-4.일위대가표'!$A$4:$N$723,13,FALSE)</f>
        <v>317913</v>
      </c>
      <c r="J171" s="1508"/>
      <c r="K171" s="1502" t="s">
        <v>3086</v>
      </c>
    </row>
    <row r="172" spans="1:11" s="22" customFormat="1" ht="24.95" customHeight="1">
      <c r="A172" s="267" t="str">
        <f>'8-4.일위대가표'!A483</f>
        <v>품5-7-1</v>
      </c>
      <c r="B172" s="396" t="str">
        <f>VLOOKUP(A172,'8-4.일위대가표'!$A$4:$N$723,2,FALSE)</f>
        <v>카메라 종합시험</v>
      </c>
      <c r="C172" s="396" t="str">
        <f>VLOOKUP(A172,'8-4.일위대가표'!$A$4:$N$723,3,FALSE)</f>
        <v>일체형(10대이하)</v>
      </c>
      <c r="D172" s="740" t="str">
        <f>VLOOKUP(A172,'8-4.일위대가표'!$A$4:$N$723,5,FALSE)</f>
        <v>대</v>
      </c>
      <c r="E172" s="316">
        <v>10</v>
      </c>
      <c r="F172" s="316">
        <f>'8-2.설비자재산출(무인보안)'!H22</f>
        <v>1</v>
      </c>
      <c r="G172" s="316"/>
      <c r="H172" s="1694">
        <f t="shared" si="11"/>
        <v>11</v>
      </c>
      <c r="I172" s="744">
        <f>VLOOKUP(A172,'8-4.일위대가표'!$A$4:$N$723,13,FALSE)</f>
        <v>32741</v>
      </c>
      <c r="J172" s="405"/>
      <c r="K172" s="22" t="s">
        <v>3088</v>
      </c>
    </row>
    <row r="173" spans="1:11" s="22" customFormat="1" ht="24.95" customHeight="1">
      <c r="A173" s="267" t="str">
        <f>'8-4.일위대가표'!A486</f>
        <v>품5-7-2</v>
      </c>
      <c r="B173" s="396" t="str">
        <f>VLOOKUP(A173,'8-4.일위대가표'!$A$4:$N$723,2,FALSE)</f>
        <v>카메라 종합시험</v>
      </c>
      <c r="C173" s="396" t="str">
        <f>VLOOKUP(A173,'8-4.일위대가표'!$A$4:$N$723,3,FALSE)</f>
        <v>일체형(11대이상)</v>
      </c>
      <c r="D173" s="740" t="str">
        <f>VLOOKUP(A173,'8-4.일위대가표'!$A$4:$N$723,5,FALSE)</f>
        <v>대</v>
      </c>
      <c r="E173" s="316">
        <f>E169+E170-E172</f>
        <v>117</v>
      </c>
      <c r="F173" s="316"/>
      <c r="G173" s="316"/>
      <c r="H173" s="1694">
        <f t="shared" si="11"/>
        <v>117</v>
      </c>
      <c r="I173" s="744">
        <f>VLOOKUP(A173,'8-4.일위대가표'!$A$4:$N$723,13,FALSE)</f>
        <v>1963</v>
      </c>
      <c r="J173" s="405"/>
      <c r="K173" s="22" t="s">
        <v>3090</v>
      </c>
    </row>
    <row r="174" spans="1:11" s="1502" customFormat="1" ht="24.95" hidden="1" customHeight="1">
      <c r="A174" s="1496" t="str">
        <f>'8-4.일위대가표'!A489</f>
        <v>품5-8</v>
      </c>
      <c r="B174" s="1497" t="str">
        <f>VLOOKUP(A174,'8-4.일위대가표'!$A$4:$N$723,2,FALSE)</f>
        <v>오디오 앰프</v>
      </c>
      <c r="C174" s="1497" t="str">
        <f>VLOOKUP(A174,'8-4.일위대가표'!$A$4:$N$723,3,FALSE)</f>
        <v>부대장치</v>
      </c>
      <c r="D174" s="1498" t="str">
        <f>VLOOKUP(A174,'8-4.일위대가표'!$A$4:$N$723,5,FALSE)</f>
        <v>대</v>
      </c>
      <c r="E174" s="1691"/>
      <c r="F174" s="1691"/>
      <c r="G174" s="1691"/>
      <c r="H174" s="1698">
        <f t="shared" si="11"/>
        <v>0</v>
      </c>
      <c r="I174" s="1500">
        <f>VLOOKUP(A174,'8-4.일위대가표'!$A$4:$N$723,13,FALSE)</f>
        <v>124630</v>
      </c>
      <c r="J174" s="1508"/>
      <c r="K174" s="1502" t="s">
        <v>3020</v>
      </c>
    </row>
    <row r="175" spans="1:11" s="22" customFormat="1" ht="24.95" customHeight="1">
      <c r="A175" s="267" t="str">
        <f>'8-4.일위대가표'!A493</f>
        <v>품5-9</v>
      </c>
      <c r="B175" s="396" t="str">
        <f>VLOOKUP(A175,'8-4.일위대가표'!$A$4:$N$723,2,FALSE)</f>
        <v>랙 설치</v>
      </c>
      <c r="C175" s="396" t="str">
        <f>VLOOKUP(A175,'8-4.일위대가표'!$A$4:$N$723,3,FALSE)</f>
        <v>랙 설치</v>
      </c>
      <c r="D175" s="740" t="str">
        <f>VLOOKUP(A175,'8-4.일위대가표'!$A$4:$N$723,5,FALSE)</f>
        <v>대</v>
      </c>
      <c r="E175" s="1692">
        <f>'8-2.설비자재산출(무인보안)'!K23-F175</f>
        <v>1</v>
      </c>
      <c r="F175" s="316">
        <v>1</v>
      </c>
      <c r="G175" s="316"/>
      <c r="H175" s="1694">
        <f t="shared" si="11"/>
        <v>2</v>
      </c>
      <c r="I175" s="744">
        <f>VLOOKUP(A175,'8-4.일위대가표'!$A$4:$N$723,13,FALSE)</f>
        <v>252964</v>
      </c>
      <c r="J175" s="405"/>
      <c r="K175" s="22" t="s">
        <v>3021</v>
      </c>
    </row>
    <row r="176" spans="1:11" s="22" customFormat="1" ht="24.95" customHeight="1">
      <c r="A176" s="267" t="str">
        <f>'8-4.일위대가표'!A499</f>
        <v>품5-10</v>
      </c>
      <c r="B176" s="396" t="str">
        <f>VLOOKUP(A176,'8-4.일위대가표'!$A$4:$N$723,2,FALSE)</f>
        <v>지능형전원공급장치 설치</v>
      </c>
      <c r="C176" s="396" t="str">
        <f>VLOOKUP(A176,'8-4.일위대가표'!$A$4:$N$723,3,FALSE)</f>
        <v>부대장치</v>
      </c>
      <c r="D176" s="740" t="str">
        <f>VLOOKUP(A176,'8-4.일위대가표'!$A$4:$N$723,5,FALSE)</f>
        <v>set</v>
      </c>
      <c r="E176" s="316">
        <f>'8-2.설비자재산출(무인보안)'!J31</f>
        <v>3</v>
      </c>
      <c r="F176" s="316"/>
      <c r="G176" s="316"/>
      <c r="H176" s="1694">
        <f t="shared" si="11"/>
        <v>3</v>
      </c>
      <c r="I176" s="744">
        <f>VLOOKUP(A176,'8-4.일위대가표'!$A$4:$N$723,13,FALSE)</f>
        <v>124630</v>
      </c>
      <c r="J176" s="405"/>
      <c r="K176" s="22" t="s">
        <v>3022</v>
      </c>
    </row>
    <row r="177" spans="1:11" s="1502" customFormat="1" ht="24.95" customHeight="1">
      <c r="A177" s="267" t="str">
        <f>'8-4.일위대가표'!A503</f>
        <v>품5-11</v>
      </c>
      <c r="B177" s="396" t="str">
        <f>VLOOKUP(A177,'8-4.일위대가표'!$A$4:$N$723,2,FALSE)</f>
        <v>오토리프트 설치</v>
      </c>
      <c r="C177" s="396" t="str">
        <f>VLOOKUP(A177,'8-4.일위대가표'!$A$4:$N$723,3,FALSE)</f>
        <v>실내</v>
      </c>
      <c r="D177" s="740" t="str">
        <f>VLOOKUP(A177,'8-4.일위대가표'!$A$4:$N$723,5,FALSE)</f>
        <v>대</v>
      </c>
      <c r="E177" s="316">
        <f>'8-2.설비자재산출(무인보안)'!J29</f>
        <v>69</v>
      </c>
      <c r="F177" s="316"/>
      <c r="G177" s="316"/>
      <c r="H177" s="1694">
        <f t="shared" si="11"/>
        <v>69</v>
      </c>
      <c r="I177" s="744">
        <f>VLOOKUP(A177,'8-4.일위대가표'!$A$4:$N$723,13,FALSE)</f>
        <v>331899</v>
      </c>
      <c r="J177" s="405"/>
      <c r="K177" s="1502" t="s">
        <v>3023</v>
      </c>
    </row>
    <row r="178" spans="1:11" s="22" customFormat="1" ht="24.95" customHeight="1">
      <c r="A178" s="267" t="str">
        <f>'8-4.일위대가표'!A510</f>
        <v>품5-11-1</v>
      </c>
      <c r="B178" s="396" t="str">
        <f>VLOOKUP(A178,'8-4.일위대가표'!$A$4:$N$723,2,FALSE)</f>
        <v>오토리프트 설치</v>
      </c>
      <c r="C178" s="396" t="str">
        <f>VLOOKUP(A178,'8-4.일위대가표'!$A$4:$N$723,3,FALSE)</f>
        <v>실외</v>
      </c>
      <c r="D178" s="740" t="str">
        <f>VLOOKUP(A178,'8-4.일위대가표'!$A$4:$N$723,5,FALSE)</f>
        <v>대</v>
      </c>
      <c r="E178" s="316">
        <f>'8-2.설비자재산출(무인보안)'!J30</f>
        <v>8</v>
      </c>
      <c r="F178" s="316"/>
      <c r="G178" s="316"/>
      <c r="H178" s="1694">
        <f t="shared" si="11"/>
        <v>8</v>
      </c>
      <c r="I178" s="744">
        <f>VLOOKUP(A178,'8-4.일위대가표'!$A$4:$N$723,13,FALSE)</f>
        <v>184388</v>
      </c>
      <c r="J178" s="405"/>
      <c r="K178" s="22" t="s">
        <v>3024</v>
      </c>
    </row>
    <row r="179" spans="1:11" s="22" customFormat="1" ht="24.95" customHeight="1">
      <c r="A179" s="267" t="str">
        <f>'8-4.일위대가표'!A513</f>
        <v>품5-12</v>
      </c>
      <c r="B179" s="396" t="str">
        <f>VLOOKUP(A179,'8-4.일위대가표'!$A$4:$N$723,2,FALSE)</f>
        <v>누전보호형 써지보호기</v>
      </c>
      <c r="C179" s="396" t="str">
        <f>VLOOKUP(A179,'8-4.일위대가표'!$A$4:$N$723,3,FALSE)</f>
        <v>전원용</v>
      </c>
      <c r="D179" s="740" t="str">
        <f>VLOOKUP(A179,'8-4.일위대가표'!$A$4:$N$723,5,FALSE)</f>
        <v>개</v>
      </c>
      <c r="E179" s="316">
        <f>'8-2.설비자재산출(무인보안)'!J33</f>
        <v>128</v>
      </c>
      <c r="F179" s="316"/>
      <c r="G179" s="316"/>
      <c r="H179" s="1694">
        <f t="shared" si="11"/>
        <v>128</v>
      </c>
      <c r="I179" s="744">
        <f>VLOOKUP(A179,'8-4.일위대가표'!$A$4:$N$723,13,FALSE)</f>
        <v>47780</v>
      </c>
      <c r="J179" s="405"/>
      <c r="K179" s="22" t="s">
        <v>3025</v>
      </c>
    </row>
    <row r="180" spans="1:11" s="22" customFormat="1" ht="24.95" customHeight="1">
      <c r="A180" s="267" t="str">
        <f>'8-4.일위대가표'!A516</f>
        <v>품5-13</v>
      </c>
      <c r="B180" s="396" t="str">
        <f>VLOOKUP(A180,'8-4.일위대가표'!$A$4:$N$723,2,FALSE)</f>
        <v>디지털 경보수신반 설치</v>
      </c>
      <c r="C180" s="396" t="str">
        <f>VLOOKUP(A180,'8-4.일위대가표'!$A$4:$N$723,3,FALSE)</f>
        <v>메인주장치</v>
      </c>
      <c r="D180" s="740" t="str">
        <f>VLOOKUP(A180,'8-4.일위대가표'!$A$4:$N$723,5,FALSE)</f>
        <v>대</v>
      </c>
      <c r="E180" s="316">
        <f>'8-2.설비자재산출(무인보안)'!J34</f>
        <v>1</v>
      </c>
      <c r="F180" s="316"/>
      <c r="G180" s="316"/>
      <c r="H180" s="1694">
        <f t="shared" si="11"/>
        <v>1</v>
      </c>
      <c r="I180" s="744">
        <f>VLOOKUP(A180,'8-4.일위대가표'!$A$4:$N$723,13,FALSE)</f>
        <v>468023</v>
      </c>
      <c r="J180" s="405"/>
      <c r="K180" s="22" t="s">
        <v>3026</v>
      </c>
    </row>
    <row r="181" spans="1:11" s="1502" customFormat="1" ht="24.95" hidden="1" customHeight="1">
      <c r="A181" s="1496" t="str">
        <f>'8-4.일위대가표'!A525</f>
        <v>품5-14</v>
      </c>
      <c r="B181" s="1497" t="str">
        <f>VLOOKUP(A181,'8-4.일위대가표'!$A$4:$N$723,2,FALSE)</f>
        <v>주장치 함체설치</v>
      </c>
      <c r="C181" s="1497" t="str">
        <f>VLOOKUP(A181,'8-4.일위대가표'!$A$4:$N$723,3,FALSE)</f>
        <v>벽면 400*400*150</v>
      </c>
      <c r="D181" s="1498" t="str">
        <f>VLOOKUP(A181,'8-4.일위대가표'!$A$4:$N$723,5,FALSE)</f>
        <v>개</v>
      </c>
      <c r="E181" s="1691"/>
      <c r="F181" s="1691"/>
      <c r="G181" s="1691"/>
      <c r="H181" s="1698">
        <f t="shared" si="11"/>
        <v>0</v>
      </c>
      <c r="I181" s="1500">
        <f>VLOOKUP(A181,'8-4.일위대가표'!$A$4:$N$723,13,FALSE)</f>
        <v>197094</v>
      </c>
      <c r="J181" s="1508"/>
      <c r="K181" s="1502" t="s">
        <v>3027</v>
      </c>
    </row>
    <row r="182" spans="1:11" s="22" customFormat="1" ht="24.95" customHeight="1">
      <c r="A182" s="267" t="str">
        <f>'8-4.일위대가표'!A528</f>
        <v>품5-15</v>
      </c>
      <c r="B182" s="396" t="str">
        <f>VLOOKUP(A182,'8-4.일위대가표'!$A$4:$N$723,2,FALSE)</f>
        <v>카드리더 설치</v>
      </c>
      <c r="C182" s="396" t="str">
        <f>VLOOKUP(A182,'8-4.일위대가표'!$A$4:$N$723,3,FALSE)</f>
        <v>통합형</v>
      </c>
      <c r="D182" s="740" t="str">
        <f>VLOOKUP(A182,'8-4.일위대가표'!$A$4:$N$723,5,FALSE)</f>
        <v>대</v>
      </c>
      <c r="E182" s="316">
        <f>'8-2.설비자재산출(무인보안)'!J35-F182</f>
        <v>6</v>
      </c>
      <c r="F182" s="316"/>
      <c r="G182" s="316"/>
      <c r="H182" s="1694">
        <f t="shared" si="11"/>
        <v>6</v>
      </c>
      <c r="I182" s="744">
        <f>VLOOKUP(A182,'8-4.일위대가표'!$A$4:$N$723,13,FALSE)</f>
        <v>404468</v>
      </c>
      <c r="J182" s="405"/>
      <c r="K182" s="22" t="s">
        <v>3028</v>
      </c>
    </row>
    <row r="183" spans="1:11" s="1502" customFormat="1" ht="24.95" hidden="1" customHeight="1">
      <c r="A183" s="1496" t="str">
        <f>'8-4.일위대가표'!A531</f>
        <v>품5-16</v>
      </c>
      <c r="B183" s="1497" t="str">
        <f>VLOOKUP(A183,'8-4.일위대가표'!$A$4:$N$723,2,FALSE)</f>
        <v>카드리더 함체설치</v>
      </c>
      <c r="C183" s="1497" t="str">
        <f>VLOOKUP(A183,'8-4.일위대가표'!$A$4:$N$723,3,FALSE)</f>
        <v>400*400*150</v>
      </c>
      <c r="D183" s="1498" t="str">
        <f>VLOOKUP(A183,'8-4.일위대가표'!$A$4:$N$723,5,FALSE)</f>
        <v>개</v>
      </c>
      <c r="E183" s="1691">
        <f>'8-2.설비자재산출(무인보안)'!J36</f>
        <v>0</v>
      </c>
      <c r="F183" s="1691"/>
      <c r="G183" s="1691"/>
      <c r="H183" s="1698">
        <f t="shared" si="11"/>
        <v>0</v>
      </c>
      <c r="I183" s="1500">
        <f>VLOOKUP(A183,'8-4.일위대가표'!$A$4:$N$723,13,FALSE)</f>
        <v>197094</v>
      </c>
      <c r="J183" s="1508"/>
      <c r="K183" s="1502" t="s">
        <v>3029</v>
      </c>
    </row>
    <row r="184" spans="1:11" s="22" customFormat="1" ht="24.95" hidden="1" customHeight="1">
      <c r="A184" s="267" t="str">
        <f>'8-4.일위대가표'!A534</f>
        <v>품5-17</v>
      </c>
      <c r="B184" s="396" t="str">
        <f>VLOOKUP(A184,'8-4.일위대가표'!$A$4:$N$723,2,FALSE)</f>
        <v>EM Lock 설치</v>
      </c>
      <c r="C184" s="396" t="str">
        <f>VLOOKUP(A184,'8-4.일위대가표'!$A$4:$N$723,3,FALSE)</f>
        <v>통합형, EM LOCK</v>
      </c>
      <c r="D184" s="740" t="str">
        <f>VLOOKUP(A184,'8-4.일위대가표'!$A$4:$N$723,5,FALSE)</f>
        <v>대</v>
      </c>
      <c r="E184" s="316">
        <f>'8-2.설비자재산출(무인보안)'!J37</f>
        <v>0</v>
      </c>
      <c r="F184" s="316"/>
      <c r="G184" s="316"/>
      <c r="H184" s="1694">
        <f t="shared" si="11"/>
        <v>0</v>
      </c>
      <c r="I184" s="744">
        <f>VLOOKUP(A184,'8-4.일위대가표'!$A$4:$N$723,13,FALSE)</f>
        <v>318270</v>
      </c>
      <c r="J184" s="405"/>
      <c r="K184" s="22" t="s">
        <v>3092</v>
      </c>
    </row>
    <row r="185" spans="1:11" s="22" customFormat="1" ht="24.95" hidden="1" customHeight="1">
      <c r="A185" s="267" t="str">
        <f>'8-4.일위대가표'!A537</f>
        <v>품5-18</v>
      </c>
      <c r="B185" s="396" t="str">
        <f>VLOOKUP(A185,'8-4.일위대가표'!$A$4:$N$723,2,FALSE)</f>
        <v>출구버튼 설치</v>
      </c>
      <c r="C185" s="396">
        <f>VLOOKUP(A185,'8-4.일위대가표'!$A$4:$N$723,3,FALSE)</f>
        <v>0</v>
      </c>
      <c r="D185" s="740" t="str">
        <f>VLOOKUP(A185,'8-4.일위대가표'!$A$4:$N$723,5,FALSE)</f>
        <v>개</v>
      </c>
      <c r="E185" s="316">
        <f>'8-2.설비자재산출(무인보안)'!J38</f>
        <v>0</v>
      </c>
      <c r="F185" s="316"/>
      <c r="G185" s="316"/>
      <c r="H185" s="1694">
        <f t="shared" si="11"/>
        <v>0</v>
      </c>
      <c r="I185" s="744">
        <f>VLOOKUP(A185,'8-4.일위대가표'!$A$4:$N$723,13,FALSE)</f>
        <v>278486</v>
      </c>
      <c r="J185" s="405"/>
      <c r="K185" s="22" t="s">
        <v>3030</v>
      </c>
    </row>
    <row r="186" spans="1:11" s="1502" customFormat="1" ht="24.95" hidden="1" customHeight="1">
      <c r="A186" s="1496" t="str">
        <f>'8-4.일위대가표'!A540</f>
        <v>품5-19</v>
      </c>
      <c r="B186" s="1497" t="str">
        <f>VLOOKUP(A186,'8-4.일위대가표'!$A$4:$N$723,2,FALSE)</f>
        <v>신호전송기 설치</v>
      </c>
      <c r="C186" s="1497" t="str">
        <f>VLOOKUP(A186,'8-4.일위대가표'!$A$4:$N$723,3,FALSE)</f>
        <v>4i-node</v>
      </c>
      <c r="D186" s="1498" t="str">
        <f>VLOOKUP(A186,'8-4.일위대가표'!$A$4:$N$723,5,FALSE)</f>
        <v>대</v>
      </c>
      <c r="E186" s="1691"/>
      <c r="F186" s="1691"/>
      <c r="G186" s="1691"/>
      <c r="H186" s="1698">
        <f t="shared" si="11"/>
        <v>0</v>
      </c>
      <c r="I186" s="1500">
        <f>VLOOKUP(A186,'8-4.일위대가표'!$A$4:$N$723,13,FALSE)</f>
        <v>79566</v>
      </c>
      <c r="J186" s="1508"/>
      <c r="K186" s="1502" t="s">
        <v>3031</v>
      </c>
    </row>
    <row r="187" spans="1:11" s="1502" customFormat="1" ht="24.95" hidden="1" customHeight="1">
      <c r="A187" s="1496" t="str">
        <f>'8-4.일위대가표'!A543</f>
        <v>품5-20</v>
      </c>
      <c r="B187" s="1497" t="str">
        <f>VLOOKUP(A187,'8-4.일위대가표'!$A$4:$N$723,2,FALSE)</f>
        <v>열선감지기 설치</v>
      </c>
      <c r="C187" s="1497" t="str">
        <f>VLOOKUP(A187,'8-4.일위대가표'!$A$4:$N$723,3,FALSE)</f>
        <v>일반형,자가진단형</v>
      </c>
      <c r="D187" s="1498" t="str">
        <f>VLOOKUP(A187,'8-4.일위대가표'!$A$4:$N$723,5,FALSE)</f>
        <v>개</v>
      </c>
      <c r="E187" s="1691"/>
      <c r="F187" s="1691"/>
      <c r="G187" s="1691"/>
      <c r="H187" s="1698">
        <f t="shared" si="11"/>
        <v>0</v>
      </c>
      <c r="I187" s="1500">
        <f>VLOOKUP(A187,'8-4.일위대가표'!$A$4:$N$723,13,FALSE)</f>
        <v>19335</v>
      </c>
      <c r="J187" s="1508"/>
      <c r="K187" s="1502" t="s">
        <v>3032</v>
      </c>
    </row>
    <row r="188" spans="1:11" s="1502" customFormat="1" ht="24.95" hidden="1" customHeight="1">
      <c r="A188" s="1496" t="str">
        <f>'8-4.일위대가표'!A545</f>
        <v>품5-21</v>
      </c>
      <c r="B188" s="1497" t="str">
        <f>VLOOKUP(A188,'8-4.일위대가표'!$A$4:$N$723,2,FALSE)</f>
        <v>자석감지기 설치</v>
      </c>
      <c r="C188" s="1497" t="str">
        <f>VLOOKUP(A188,'8-4.일위대가표'!$A$4:$N$723,3,FALSE)</f>
        <v>일반형,자가진단형</v>
      </c>
      <c r="D188" s="1498" t="str">
        <f>VLOOKUP(A188,'8-4.일위대가표'!$A$4:$N$723,5,FALSE)</f>
        <v>개</v>
      </c>
      <c r="E188" s="1691"/>
      <c r="F188" s="1691"/>
      <c r="G188" s="1691"/>
      <c r="H188" s="1698">
        <f t="shared" si="11"/>
        <v>0</v>
      </c>
      <c r="I188" s="1500">
        <f>VLOOKUP(A188,'8-4.일위대가표'!$A$4:$N$723,13,FALSE)</f>
        <v>19335</v>
      </c>
      <c r="J188" s="1508"/>
      <c r="K188" s="1502" t="s">
        <v>3033</v>
      </c>
    </row>
    <row r="189" spans="1:11" s="1502" customFormat="1" ht="24.95" hidden="1" customHeight="1">
      <c r="A189" s="1496" t="str">
        <f>'8-4.일위대가표'!A547</f>
        <v>품5-22</v>
      </c>
      <c r="B189" s="1497" t="str">
        <f>VLOOKUP(A189,'8-4.일위대가표'!$A$4:$N$723,2,FALSE)</f>
        <v>셔터감지기 설치</v>
      </c>
      <c r="C189" s="1497" t="str">
        <f>VLOOKUP(A189,'8-4.일위대가표'!$A$4:$N$723,3,FALSE)</f>
        <v>일반형,자가진단형</v>
      </c>
      <c r="D189" s="1498" t="str">
        <f>VLOOKUP(A189,'8-4.일위대가표'!$A$4:$N$723,5,FALSE)</f>
        <v>개</v>
      </c>
      <c r="E189" s="1691"/>
      <c r="F189" s="1691"/>
      <c r="G189" s="1691"/>
      <c r="H189" s="1698">
        <f t="shared" si="11"/>
        <v>0</v>
      </c>
      <c r="I189" s="1500">
        <f>VLOOKUP(A189,'8-4.일위대가표'!$A$4:$N$723,13,FALSE)</f>
        <v>24859</v>
      </c>
      <c r="J189" s="1508"/>
      <c r="K189" s="1502" t="s">
        <v>3034</v>
      </c>
    </row>
    <row r="190" spans="1:11" s="1502" customFormat="1" ht="24.95" hidden="1" customHeight="1">
      <c r="A190" s="1496" t="str">
        <f>'8-4.일위대가표'!A549</f>
        <v>품5-23</v>
      </c>
      <c r="B190" s="1497" t="str">
        <f>VLOOKUP(A190,'8-4.일위대가표'!$A$4:$N$723,2,FALSE)</f>
        <v>마이크로웨이브 감지기 설치</v>
      </c>
      <c r="C190" s="1497">
        <f>VLOOKUP(A190,'8-4.일위대가표'!$A$4:$N$723,3,FALSE)</f>
        <v>0</v>
      </c>
      <c r="D190" s="1498" t="str">
        <f>VLOOKUP(A190,'8-4.일위대가표'!$A$4:$N$723,5,FALSE)</f>
        <v>조</v>
      </c>
      <c r="E190" s="1691"/>
      <c r="F190" s="1691"/>
      <c r="G190" s="1691"/>
      <c r="H190" s="1698">
        <f t="shared" si="11"/>
        <v>0</v>
      </c>
      <c r="I190" s="1500">
        <f>VLOOKUP(A190,'8-4.일위대가표'!$A$4:$N$723,13,FALSE)</f>
        <v>38670</v>
      </c>
      <c r="J190" s="1508"/>
      <c r="K190" s="1502" t="s">
        <v>3035</v>
      </c>
    </row>
    <row r="191" spans="1:11" s="22" customFormat="1" ht="24.95" customHeight="1">
      <c r="A191" s="267" t="str">
        <f>'8-4.일위대가표'!A551</f>
        <v>품5-24</v>
      </c>
      <c r="B191" s="396" t="str">
        <f>VLOOKUP(A191,'8-4.일위대가표'!$A$4:$N$723,2,FALSE)</f>
        <v>광이더넷 스위치 설치</v>
      </c>
      <c r="C191" s="396" t="str">
        <f>VLOOKUP(A191,'8-4.일위대가표'!$A$4:$N$723,3,FALSE)</f>
        <v>인텔리전트 허브</v>
      </c>
      <c r="D191" s="740" t="str">
        <f>VLOOKUP(A191,'8-4.일위대가표'!$A$4:$N$723,5,FALSE)</f>
        <v>대</v>
      </c>
      <c r="E191" s="316">
        <f>'8-2.설비자재산출(무인보안)'!J53-F191</f>
        <v>0</v>
      </c>
      <c r="F191" s="316">
        <v>1</v>
      </c>
      <c r="G191" s="316"/>
      <c r="H191" s="1694">
        <f t="shared" si="11"/>
        <v>1</v>
      </c>
      <c r="I191" s="744">
        <f>VLOOKUP(A191,'8-4.일위대가표'!$A$4:$N$723,13,FALSE)</f>
        <v>216182</v>
      </c>
      <c r="J191" s="405"/>
      <c r="K191" s="22" t="s">
        <v>3036</v>
      </c>
    </row>
    <row r="192" spans="1:11" s="22" customFormat="1" ht="24.95" customHeight="1">
      <c r="A192" s="267" t="str">
        <f>'8-4.일위대가표'!A554</f>
        <v>품5-24-1</v>
      </c>
      <c r="B192" s="396" t="str">
        <f>VLOOKUP(A192,'8-4.일위대가표'!$A$4:$N$723,2,FALSE)</f>
        <v>광이더넷 스위치 설치</v>
      </c>
      <c r="C192" s="396" t="str">
        <f>VLOOKUP(A192,'8-4.일위대가표'!$A$4:$N$723,3,FALSE)</f>
        <v>Dummy</v>
      </c>
      <c r="D192" s="740" t="str">
        <f>VLOOKUP(A192,'8-4.일위대가표'!$A$4:$N$723,5,FALSE)</f>
        <v>대</v>
      </c>
      <c r="E192" s="316">
        <f>'8-2.설비자재산출(무인보안)'!J54</f>
        <v>39</v>
      </c>
      <c r="F192" s="316"/>
      <c r="G192" s="316"/>
      <c r="H192" s="1694">
        <f t="shared" si="11"/>
        <v>39</v>
      </c>
      <c r="I192" s="744">
        <f>VLOOKUP(A192,'8-4.일위대가표'!$A$4:$N$723,13,FALSE)</f>
        <v>66023</v>
      </c>
      <c r="J192" s="405"/>
      <c r="K192" s="22" t="s">
        <v>3037</v>
      </c>
    </row>
    <row r="193" spans="1:11" s="22" customFormat="1" ht="24.95" customHeight="1">
      <c r="A193" s="267" t="str">
        <f>'8-4.일위대가표'!A557</f>
        <v>품5-25</v>
      </c>
      <c r="B193" s="396" t="str">
        <f>VLOOKUP(A193,'8-4.일위대가표'!$A$4:$N$723,2,FALSE)</f>
        <v>보조전원장치 설치</v>
      </c>
      <c r="C193" s="396" t="str">
        <f>VLOOKUP(A193,'8-4.일위대가표'!$A$4:$N$723,3,FALSE)</f>
        <v>220VAC/12VDC 3A</v>
      </c>
      <c r="D193" s="740" t="str">
        <f>VLOOKUP(A193,'8-4.일위대가표'!$A$4:$N$723,5,FALSE)</f>
        <v>개</v>
      </c>
      <c r="E193" s="316">
        <f>'8-2.설비자재산출(무인보안)'!J69</f>
        <v>39</v>
      </c>
      <c r="F193" s="316"/>
      <c r="G193" s="316"/>
      <c r="H193" s="1694">
        <f t="shared" si="11"/>
        <v>39</v>
      </c>
      <c r="I193" s="744">
        <f>VLOOKUP(A193,'8-4.일위대가표'!$A$4:$N$723,13,FALSE)</f>
        <v>100062</v>
      </c>
      <c r="J193" s="405"/>
      <c r="K193" s="22" t="s">
        <v>3038</v>
      </c>
    </row>
    <row r="194" spans="1:11" s="1502" customFormat="1" ht="24.95" customHeight="1">
      <c r="A194" s="267" t="str">
        <f>'8-4.일위대가표'!A560</f>
        <v>품5-26</v>
      </c>
      <c r="B194" s="396" t="str">
        <f>VLOOKUP(A194,'8-4.일위대가표'!$A$4:$N$723,2,FALSE)</f>
        <v>스피커설치(옥내,옥외)</v>
      </c>
      <c r="C194" s="396" t="str">
        <f>VLOOKUP(A194,'8-4.일위대가표'!$A$4:$N$723,3,FALSE)</f>
        <v>30W 이하</v>
      </c>
      <c r="D194" s="740" t="str">
        <f>VLOOKUP(A194,'8-4.일위대가표'!$A$4:$N$723,5,FALSE)</f>
        <v>대</v>
      </c>
      <c r="E194" s="316">
        <f>'8-2.설비자재산출(무인보안)'!H64</f>
        <v>8</v>
      </c>
      <c r="F194" s="316"/>
      <c r="G194" s="316"/>
      <c r="H194" s="1694">
        <f t="shared" si="11"/>
        <v>8</v>
      </c>
      <c r="I194" s="744">
        <f>VLOOKUP(A194,'8-4.일위대가표'!$A$4:$N$723,13,FALSE)</f>
        <v>53033</v>
      </c>
      <c r="J194" s="405"/>
      <c r="K194" s="1502" t="s">
        <v>3039</v>
      </c>
    </row>
    <row r="195" spans="1:11" s="1502" customFormat="1" ht="24.95" hidden="1" customHeight="1">
      <c r="A195" s="1496" t="str">
        <f>'8-4.일위대가표'!A562</f>
        <v>품5-27</v>
      </c>
      <c r="B195" s="1497" t="str">
        <f>VLOOKUP(A195,'8-4.일위대가표'!$A$4:$N$723,2,FALSE)</f>
        <v>브라켓설치</v>
      </c>
      <c r="C195" s="1497" t="str">
        <f>VLOOKUP(A195,'8-4.일위대가표'!$A$4:$N$723,3,FALSE)</f>
        <v>일반형</v>
      </c>
      <c r="D195" s="1498" t="str">
        <f>VLOOKUP(A195,'8-4.일위대가표'!$A$4:$N$723,5,FALSE)</f>
        <v>대</v>
      </c>
      <c r="E195" s="1691"/>
      <c r="F195" s="1691"/>
      <c r="G195" s="1691"/>
      <c r="H195" s="1698">
        <f t="shared" si="11"/>
        <v>0</v>
      </c>
      <c r="I195" s="1500">
        <f>VLOOKUP(A195,'8-4.일위대가표'!$A$4:$N$723,13,FALSE)</f>
        <v>98047</v>
      </c>
      <c r="J195" s="1508"/>
      <c r="K195" s="1502" t="s">
        <v>3094</v>
      </c>
    </row>
    <row r="196" spans="1:11" s="1502" customFormat="1" ht="24.95" hidden="1" customHeight="1">
      <c r="A196" s="1496" t="str">
        <f>'8-4.일위대가표'!A565</f>
        <v>품27-1</v>
      </c>
      <c r="B196" s="1497" t="str">
        <f>VLOOKUP(A196,'8-4.일위대가표'!$A$4:$N$723,2,FALSE)</f>
        <v>브라켓설치</v>
      </c>
      <c r="C196" s="1497" t="str">
        <f>VLOOKUP(A196,'8-4.일위대가표'!$A$4:$N$723,3,FALSE)</f>
        <v>천정형</v>
      </c>
      <c r="D196" s="1498" t="str">
        <f>VLOOKUP(A196,'8-4.일위대가표'!$A$4:$N$723,5,FALSE)</f>
        <v>대</v>
      </c>
      <c r="E196" s="1691"/>
      <c r="F196" s="1691"/>
      <c r="G196" s="1691"/>
      <c r="H196" s="1698">
        <f t="shared" si="11"/>
        <v>0</v>
      </c>
      <c r="I196" s="1500">
        <f>VLOOKUP(A196,'8-4.일위대가표'!$A$4:$N$723,13,FALSE)</f>
        <v>132151</v>
      </c>
      <c r="J196" s="1508"/>
      <c r="K196" s="1502" t="s">
        <v>3096</v>
      </c>
    </row>
    <row r="197" spans="1:11" s="1502" customFormat="1" ht="24.95" hidden="1" customHeight="1">
      <c r="A197" s="1496" t="str">
        <f>'8-4.일위대가표'!A568</f>
        <v>품5-28</v>
      </c>
      <c r="B197" s="1497" t="str">
        <f>VLOOKUP(A197,'8-4.일위대가표'!$A$4:$N$723,2,FALSE)</f>
        <v>영상처리장치함체 설치</v>
      </c>
      <c r="C197" s="1497" t="str">
        <f>VLOOKUP(A197,'8-4.일위대가표'!$A$4:$N$723,3,FALSE)</f>
        <v>벽면 450*550*200</v>
      </c>
      <c r="D197" s="1498" t="str">
        <f>VLOOKUP(A197,'8-4.일위대가표'!$A$4:$N$723,5,FALSE)</f>
        <v>개</v>
      </c>
      <c r="E197" s="1691"/>
      <c r="F197" s="1691"/>
      <c r="G197" s="1691"/>
      <c r="H197" s="1698">
        <f t="shared" si="11"/>
        <v>0</v>
      </c>
      <c r="I197" s="1500">
        <f>VLOOKUP(A197,'8-4.일위대가표'!$A$4:$N$723,13,FALSE)</f>
        <v>335106</v>
      </c>
      <c r="J197" s="1508"/>
      <c r="K197" s="1502" t="s">
        <v>3040</v>
      </c>
    </row>
    <row r="198" spans="1:11" s="1502" customFormat="1" ht="24.95" customHeight="1">
      <c r="A198" s="267" t="str">
        <f>'8-4.일위대가표'!A571</f>
        <v>품5-29</v>
      </c>
      <c r="B198" s="396" t="str">
        <f>VLOOKUP(A198,'8-4.일위대가표'!$A$4:$N$723,2,FALSE)</f>
        <v>카메라폴설치</v>
      </c>
      <c r="C198" s="396" t="str">
        <f>VLOOKUP(A198,'8-4.일위대가표'!$A$4:$N$723,3,FALSE)</f>
        <v>6m이하, 작업대 포함</v>
      </c>
      <c r="D198" s="740" t="str">
        <f>VLOOKUP(A198,'8-4.일위대가표'!$A$4:$N$723,5,FALSE)</f>
        <v>본</v>
      </c>
      <c r="E198" s="316">
        <f>'8-2.설비자재산출(무인보안)'!J26</f>
        <v>8</v>
      </c>
      <c r="F198" s="316"/>
      <c r="G198" s="316"/>
      <c r="H198" s="1694">
        <f t="shared" ref="H198:H229" si="12">SUM(E198:G198)</f>
        <v>8</v>
      </c>
      <c r="I198" s="744">
        <f>VLOOKUP(A198,'8-4.일위대가표'!$A$4:$N$723,13,FALSE)</f>
        <v>645174</v>
      </c>
      <c r="J198" s="405"/>
      <c r="K198" s="1502" t="s">
        <v>3041</v>
      </c>
    </row>
    <row r="199" spans="1:11" s="1502" customFormat="1" ht="24.95" customHeight="1">
      <c r="A199" s="267" t="str">
        <f>'8-4.일위대가표'!A576</f>
        <v>픔5-29-1</v>
      </c>
      <c r="B199" s="396" t="str">
        <f>VLOOKUP(A199,'8-4.일위대가표'!$A$4:$N$723,2,FALSE)</f>
        <v>카메라폴설치</v>
      </c>
      <c r="C199" s="396" t="str">
        <f>VLOOKUP(A199,'8-4.일위대가표'!$A$4:$N$723,3,FALSE)</f>
        <v>3m 이하, 작업대 제외</v>
      </c>
      <c r="D199" s="740" t="str">
        <f>VLOOKUP(A199,'8-4.일위대가표'!$A$4:$N$723,5,FALSE)</f>
        <v>본</v>
      </c>
      <c r="E199" s="316">
        <f>'8-2.설비자재산출(무인보안)'!H74</f>
        <v>4</v>
      </c>
      <c r="F199" s="316"/>
      <c r="G199" s="316"/>
      <c r="H199" s="1694">
        <f t="shared" si="12"/>
        <v>4</v>
      </c>
      <c r="I199" s="744">
        <f>VLOOKUP(A199,'8-4.일위대가표'!$A$4:$N$723,13,FALSE)</f>
        <v>187698</v>
      </c>
      <c r="J199" s="405"/>
      <c r="K199" s="1502" t="s">
        <v>3109</v>
      </c>
    </row>
    <row r="200" spans="1:11" s="1502" customFormat="1" ht="24.95" hidden="1" customHeight="1">
      <c r="A200" s="1496" t="str">
        <f>'8-4.일위대가표'!A579</f>
        <v>품5-30</v>
      </c>
      <c r="B200" s="1497" t="str">
        <f>VLOOKUP(A200,'8-4.일위대가표'!$A$4:$N$723,2,FALSE)</f>
        <v>광전송장치 함체 설치</v>
      </c>
      <c r="C200" s="1497" t="str">
        <f>VLOOKUP(A200,'8-4.일위대가표'!$A$4:$N$723,3,FALSE)</f>
        <v>벽면 450*550*200</v>
      </c>
      <c r="D200" s="1498" t="str">
        <f>VLOOKUP(A200,'8-4.일위대가표'!$A$4:$N$723,5,FALSE)</f>
        <v>개</v>
      </c>
      <c r="E200" s="1691"/>
      <c r="F200" s="1691"/>
      <c r="G200" s="1691"/>
      <c r="H200" s="1698">
        <f t="shared" si="12"/>
        <v>0</v>
      </c>
      <c r="I200" s="1500">
        <f>VLOOKUP(A200,'8-4.일위대가표'!$A$4:$N$723,13,FALSE)</f>
        <v>335106</v>
      </c>
      <c r="J200" s="1508"/>
      <c r="K200" s="1502" t="s">
        <v>3042</v>
      </c>
    </row>
    <row r="201" spans="1:11" s="22" customFormat="1" ht="24.95" customHeight="1">
      <c r="A201" s="267" t="str">
        <f>'8-4.일위대가표'!A582</f>
        <v>품5-31</v>
      </c>
      <c r="B201" s="396" t="str">
        <f>VLOOKUP(A201,'8-4.일위대가표'!$A$4:$N$723,2,FALSE)</f>
        <v>광심선분배함 설치</v>
      </c>
      <c r="C201" s="396" t="str">
        <f>VLOOKUP(A201,'8-4.일위대가표'!$A$4:$N$723,3,FALSE)</f>
        <v>8포트</v>
      </c>
      <c r="D201" s="740" t="str">
        <f>VLOOKUP(A201,'8-4.일위대가표'!$A$4:$N$723,5,FALSE)</f>
        <v>개</v>
      </c>
      <c r="E201" s="316">
        <f>'8-2.설비자재산출(무인보안)'!J68+'8-2.설비자재산출(무인보안)'!J67</f>
        <v>40</v>
      </c>
      <c r="F201" s="316"/>
      <c r="G201" s="316"/>
      <c r="H201" s="1694">
        <f t="shared" si="12"/>
        <v>40</v>
      </c>
      <c r="I201" s="744">
        <f>VLOOKUP(A201,'8-4.일위대가표'!$A$4:$N$723,13,FALSE)</f>
        <v>38366</v>
      </c>
      <c r="J201" s="405"/>
      <c r="K201" s="22" t="s">
        <v>3043</v>
      </c>
    </row>
    <row r="202" spans="1:11" s="22" customFormat="1" ht="24.95" customHeight="1">
      <c r="A202" s="267" t="str">
        <f>'8-4.일위대가표'!A585</f>
        <v>품5-32</v>
      </c>
      <c r="B202" s="396" t="str">
        <f>VLOOKUP(A202,'8-4.일위대가표'!$A$4:$N$723,2,FALSE)</f>
        <v>광점퍼코드포설</v>
      </c>
      <c r="C202" s="396" t="str">
        <f>VLOOKUP(A202,'8-4.일위대가표'!$A$4:$N$723,3,FALSE)</f>
        <v>1 CORE용</v>
      </c>
      <c r="D202" s="740" t="str">
        <f>VLOOKUP(A202,'8-4.일위대가표'!$A$4:$N$723,5,FALSE)</f>
        <v>m</v>
      </c>
      <c r="E202" s="316">
        <f>'8-2.설비자재산출(무인보안)'!J72</f>
        <v>156</v>
      </c>
      <c r="F202" s="316"/>
      <c r="G202" s="316"/>
      <c r="H202" s="1694">
        <f t="shared" si="12"/>
        <v>156</v>
      </c>
      <c r="I202" s="744">
        <f>VLOOKUP(A202,'8-4.일위대가표'!$A$4:$N$723,13,FALSE)</f>
        <v>4916</v>
      </c>
      <c r="J202" s="405"/>
      <c r="K202" s="22" t="s">
        <v>3044</v>
      </c>
    </row>
    <row r="203" spans="1:11" s="22" customFormat="1" ht="24.95" customHeight="1">
      <c r="A203" s="267" t="str">
        <f>'8-4.일위대가표'!A588</f>
        <v>품5-33</v>
      </c>
      <c r="B203" s="396" t="str">
        <f>VLOOKUP(A203,'8-4.일위대가표'!$A$4:$N$723,2,FALSE)</f>
        <v>광케이블 코어성단</v>
      </c>
      <c r="C203" s="396" t="str">
        <f>VLOOKUP(A203,'8-4.일위대가표'!$A$4:$N$723,3,FALSE)</f>
        <v>멀티모드</v>
      </c>
      <c r="D203" s="740" t="str">
        <f>VLOOKUP(A203,'8-4.일위대가표'!$A$4:$N$723,5,FALSE)</f>
        <v>코아</v>
      </c>
      <c r="E203" s="316">
        <f>E202*2</f>
        <v>312</v>
      </c>
      <c r="F203" s="316"/>
      <c r="G203" s="316"/>
      <c r="H203" s="1694">
        <f t="shared" si="12"/>
        <v>312</v>
      </c>
      <c r="I203" s="744">
        <f>VLOOKUP(A203,'8-4.일위대가표'!$A$4:$N$723,13,FALSE)</f>
        <v>34470</v>
      </c>
      <c r="J203" s="405"/>
      <c r="K203" s="22" t="s">
        <v>3045</v>
      </c>
    </row>
    <row r="204" spans="1:11" s="22" customFormat="1" ht="24.95" customHeight="1">
      <c r="A204" s="267" t="str">
        <f>'8-4.일위대가표'!A591</f>
        <v>품5-34</v>
      </c>
      <c r="B204" s="396" t="str">
        <f>VLOOKUP(A204,'8-4.일위대가표'!$A$4:$N$723,2,FALSE)</f>
        <v>광케이블 시험</v>
      </c>
      <c r="C204" s="396" t="str">
        <f>VLOOKUP(A204,'8-4.일위대가표'!$A$4:$N$723,3,FALSE)</f>
        <v>멀티모드, 시험</v>
      </c>
      <c r="D204" s="740" t="str">
        <f>VLOOKUP(A204,'8-4.일위대가표'!$A$4:$N$723,5,FALSE)</f>
        <v>코아</v>
      </c>
      <c r="E204" s="316">
        <f>E201*4</f>
        <v>160</v>
      </c>
      <c r="F204" s="316"/>
      <c r="G204" s="316"/>
      <c r="H204" s="1694">
        <f t="shared" si="12"/>
        <v>160</v>
      </c>
      <c r="I204" s="744">
        <f>VLOOKUP(A204,'8-4.일위대가표'!$A$4:$N$723,13,FALSE)</f>
        <v>24456</v>
      </c>
      <c r="J204" s="405"/>
      <c r="K204" s="22" t="s">
        <v>3046</v>
      </c>
    </row>
    <row r="205" spans="1:11" s="22" customFormat="1" ht="24.95" customHeight="1">
      <c r="A205" s="267" t="str">
        <f>'8-4.일위대가표'!A594</f>
        <v>품5-35</v>
      </c>
      <c r="B205" s="396" t="str">
        <f>VLOOKUP(A205,'8-4.일위대가표'!$A$4:$N$723,2,FALSE)</f>
        <v>광섬유케이블 포설</v>
      </c>
      <c r="C205" s="396" t="str">
        <f>VLOOKUP(A205,'8-4.일위대가표'!$A$4:$N$723,3,FALSE)</f>
        <v>12코아 이하</v>
      </c>
      <c r="D205" s="740" t="str">
        <f>VLOOKUP(A205,'8-4.일위대가표'!$A$4:$N$723,5,FALSE)</f>
        <v>m</v>
      </c>
      <c r="E205" s="316">
        <f>'8-2.설비자재산출(무인보안)'!J78</f>
        <v>2466.3000000000002</v>
      </c>
      <c r="F205" s="316"/>
      <c r="G205" s="316"/>
      <c r="H205" s="1694">
        <f t="shared" si="12"/>
        <v>2466.3000000000002</v>
      </c>
      <c r="I205" s="744">
        <f>VLOOKUP(A205,'8-4.일위대가표'!$A$4:$N$723,13,FALSE)</f>
        <v>4681</v>
      </c>
      <c r="J205" s="405"/>
      <c r="K205" s="22" t="s">
        <v>3047</v>
      </c>
    </row>
    <row r="206" spans="1:11" s="22" customFormat="1" ht="24.95" customHeight="1">
      <c r="A206" s="267" t="str">
        <f>'8-4.일위대가표'!A597</f>
        <v>품5-36</v>
      </c>
      <c r="B206" s="396" t="str">
        <f>VLOOKUP(A206,'8-4.일위대가표'!$A$4:$N$723,2,FALSE)</f>
        <v>전원케이블 포설</v>
      </c>
      <c r="C206" s="396" t="str">
        <f>VLOOKUP(A206,'8-4.일위대가표'!$A$4:$N$723,3,FALSE)</f>
        <v>FR-CVVS 16SQ-2C</v>
      </c>
      <c r="D206" s="740" t="str">
        <f>VLOOKUP(A206,'8-4.일위대가표'!$A$4:$N$723,5,FALSE)</f>
        <v>m</v>
      </c>
      <c r="E206" s="316">
        <f>'8-2.설비자재산출(무인보안)'!J80</f>
        <v>19.5</v>
      </c>
      <c r="F206" s="316"/>
      <c r="G206" s="316"/>
      <c r="H206" s="1694">
        <f t="shared" si="12"/>
        <v>19.5</v>
      </c>
      <c r="I206" s="744">
        <f>VLOOKUP(A206,'8-4.일위대가표'!$A$4:$N$723,13,FALSE)</f>
        <v>14947</v>
      </c>
      <c r="J206" s="405"/>
      <c r="K206" s="22" t="s">
        <v>3048</v>
      </c>
    </row>
    <row r="207" spans="1:11" s="22" customFormat="1" ht="24.95" customHeight="1">
      <c r="A207" s="267" t="str">
        <f>'8-4.일위대가표'!A601</f>
        <v>품5-37</v>
      </c>
      <c r="B207" s="396" t="str">
        <f>VLOOKUP(A207,'8-4.일위대가표'!$A$4:$N$723,2,FALSE)</f>
        <v>전원케이블 포설</v>
      </c>
      <c r="C207" s="396" t="str">
        <f>VLOOKUP(A207,'8-4.일위대가표'!$A$4:$N$723,3,FALSE)</f>
        <v>FR-CVVS 2.5SQ-2C,1열 포설</v>
      </c>
      <c r="D207" s="740" t="str">
        <f>VLOOKUP(A207,'8-4.일위대가표'!$A$4:$N$723,5,FALSE)</f>
        <v>m</v>
      </c>
      <c r="E207" s="1692">
        <f>'8-2.설비자재산출(무인보안)'!J128</f>
        <v>4035.3999999999978</v>
      </c>
      <c r="F207" s="316"/>
      <c r="G207" s="316"/>
      <c r="H207" s="1694">
        <f t="shared" si="12"/>
        <v>4035.3999999999978</v>
      </c>
      <c r="I207" s="744">
        <f>VLOOKUP(A207,'8-4.일위대가표'!$A$4:$N$723,13,FALSE)</f>
        <v>6499</v>
      </c>
      <c r="J207" s="405"/>
      <c r="K207" s="22" t="s">
        <v>3098</v>
      </c>
    </row>
    <row r="208" spans="1:11" s="22" customFormat="1" ht="24.95" customHeight="1">
      <c r="A208" s="267" t="str">
        <f>'8-4.일위대가표'!A605</f>
        <v>품5-37-1</v>
      </c>
      <c r="B208" s="396" t="str">
        <f>VLOOKUP(A208,'8-4.일위대가표'!$A$4:$N$723,2,FALSE)</f>
        <v>전원케이블 포설</v>
      </c>
      <c r="C208" s="396" t="str">
        <f>VLOOKUP(A208,'8-4.일위대가표'!$A$4:$N$723,3,FALSE)</f>
        <v>FR-CVVS 2.5SQ-2C,2열 동시</v>
      </c>
      <c r="D208" s="740" t="str">
        <f>VLOOKUP(A208,'8-4.일위대가표'!$A$4:$N$723,5,FALSE)</f>
        <v>m</v>
      </c>
      <c r="E208" s="316">
        <f>'8-2.설비자재산출(무인보안)'!J129</f>
        <v>751.0999999999998</v>
      </c>
      <c r="F208" s="316"/>
      <c r="G208" s="316"/>
      <c r="H208" s="1694">
        <f t="shared" si="12"/>
        <v>751.0999999999998</v>
      </c>
      <c r="I208" s="744">
        <f>VLOOKUP(A208,'8-4.일위대가표'!$A$4:$N$723,13,FALSE)</f>
        <v>11698</v>
      </c>
      <c r="J208" s="405"/>
      <c r="K208" s="22" t="s">
        <v>3100</v>
      </c>
    </row>
    <row r="209" spans="1:11" s="1502" customFormat="1" ht="24.95" customHeight="1">
      <c r="A209" s="267" t="str">
        <f>'8-4.일위대가표'!A609</f>
        <v>품5-37-2</v>
      </c>
      <c r="B209" s="396" t="str">
        <f>VLOOKUP(A209,'8-4.일위대가표'!$A$4:$N$723,2,FALSE)</f>
        <v>전원케이블 포설</v>
      </c>
      <c r="C209" s="396" t="str">
        <f>VLOOKUP(A209,'8-4.일위대가표'!$A$4:$N$723,3,FALSE)</f>
        <v>FR-CVVS 2.5SQ-2C,3열 동시</v>
      </c>
      <c r="D209" s="740" t="str">
        <f>VLOOKUP(A209,'8-4.일위대가표'!$A$4:$N$723,5,FALSE)</f>
        <v>m</v>
      </c>
      <c r="E209" s="1692">
        <f>'8-2.설비자재산출(무인보안)'!J130</f>
        <v>350.90000000000003</v>
      </c>
      <c r="F209" s="316"/>
      <c r="G209" s="316"/>
      <c r="H209" s="1694">
        <f t="shared" si="12"/>
        <v>350.90000000000003</v>
      </c>
      <c r="I209" s="744">
        <f>VLOOKUP(A209,'8-4.일위대가표'!$A$4:$N$723,13,FALSE)</f>
        <v>16897</v>
      </c>
      <c r="J209" s="405"/>
      <c r="K209" s="1502" t="s">
        <v>3102</v>
      </c>
    </row>
    <row r="210" spans="1:11" s="1502" customFormat="1" ht="24.95" customHeight="1">
      <c r="A210" s="267" t="str">
        <f>'8-4.일위대가표'!A613</f>
        <v>품5-37-3</v>
      </c>
      <c r="B210" s="396" t="str">
        <f>VLOOKUP(A210,'8-4.일위대가표'!$A$4:$N$723,2,FALSE)</f>
        <v>전원케이블 포설</v>
      </c>
      <c r="C210" s="396" t="str">
        <f>VLOOKUP(A210,'8-4.일위대가표'!$A$4:$N$723,3,FALSE)</f>
        <v>FR-CVVS 2.5SQ-2C,4열 동시</v>
      </c>
      <c r="D210" s="740" t="str">
        <f>VLOOKUP(A210,'8-4.일위대가표'!$A$4:$N$723,5,FALSE)</f>
        <v>m</v>
      </c>
      <c r="E210" s="1692">
        <f>'8-2.설비자재산출(무인보안)'!J131</f>
        <v>72.100000000000009</v>
      </c>
      <c r="F210" s="316"/>
      <c r="G210" s="316"/>
      <c r="H210" s="1694">
        <f t="shared" si="12"/>
        <v>72.100000000000009</v>
      </c>
      <c r="I210" s="744">
        <f>VLOOKUP(A210,'8-4.일위대가표'!$A$4:$N$723,13,FALSE)</f>
        <v>22096</v>
      </c>
      <c r="J210" s="405"/>
      <c r="K210" s="1502" t="s">
        <v>3104</v>
      </c>
    </row>
    <row r="211" spans="1:11" s="1502" customFormat="1" ht="24.95" hidden="1" customHeight="1">
      <c r="A211" s="267" t="str">
        <f>'8-4.일위대가표'!A617</f>
        <v>품5-38</v>
      </c>
      <c r="B211" s="396" t="str">
        <f>VLOOKUP(A211,'8-4.일위대가표'!$A$4:$N$723,2,FALSE)</f>
        <v>전원케이블 포설</v>
      </c>
      <c r="C211" s="396" t="str">
        <f>VLOOKUP(A211,'8-4.일위대가표'!$A$4:$N$723,3,FALSE)</f>
        <v>FR-CVVS 1.5SQ-2C,1열 포설</v>
      </c>
      <c r="D211" s="740" t="str">
        <f>VLOOKUP(A211,'8-4.일위대가표'!$A$4:$N$723,5,FALSE)</f>
        <v>m</v>
      </c>
      <c r="E211" s="1692">
        <f>'8-2.설비자재산출(무인보안)'!J144</f>
        <v>0</v>
      </c>
      <c r="F211" s="316"/>
      <c r="G211" s="316"/>
      <c r="H211" s="1694">
        <f t="shared" si="12"/>
        <v>0</v>
      </c>
      <c r="I211" s="744">
        <f>VLOOKUP(A211,'8-4.일위대가표'!$A$4:$N$723,13,FALSE)</f>
        <v>5570</v>
      </c>
      <c r="J211" s="405"/>
      <c r="K211" s="1502" t="s">
        <v>3049</v>
      </c>
    </row>
    <row r="212" spans="1:11" s="1502" customFormat="1" ht="24.95" hidden="1" customHeight="1">
      <c r="A212" s="1496" t="str">
        <f>'8-4.일위대가표'!A619</f>
        <v>품38-1</v>
      </c>
      <c r="B212" s="1497" t="str">
        <f>VLOOKUP(A212,'8-4.일위대가표'!$A$4:$N$723,2,FALSE)</f>
        <v>전원케이블 포설</v>
      </c>
      <c r="C212" s="1497" t="str">
        <f>VLOOKUP(A212,'8-4.일위대가표'!$A$4:$N$723,3,FALSE)</f>
        <v>FR-CVVS 1.5SQ-2C,2열 동시</v>
      </c>
      <c r="D212" s="1498" t="str">
        <f>VLOOKUP(A212,'8-4.일위대가표'!$A$4:$N$723,5,FALSE)</f>
        <v>m</v>
      </c>
      <c r="E212" s="1693">
        <f>'8-2.설비자재산출(무인보안)'!J145</f>
        <v>0</v>
      </c>
      <c r="F212" s="1691"/>
      <c r="G212" s="1691"/>
      <c r="H212" s="1698">
        <f t="shared" si="12"/>
        <v>0</v>
      </c>
      <c r="I212" s="1500">
        <f>VLOOKUP(A212,'8-4.일위대가표'!$A$4:$N$723,13,FALSE)</f>
        <v>10027</v>
      </c>
      <c r="J212" s="1508"/>
      <c r="K212" s="1502" t="s">
        <v>3110</v>
      </c>
    </row>
    <row r="213" spans="1:11" s="1502" customFormat="1" ht="24.95" hidden="1" customHeight="1">
      <c r="A213" s="1496" t="str">
        <f>'8-4.일위대가표'!A621</f>
        <v>픔38-2</v>
      </c>
      <c r="B213" s="1497" t="str">
        <f>VLOOKUP(A213,'8-4.일위대가표'!$A$4:$N$723,2,FALSE)</f>
        <v>전원케이블 포설</v>
      </c>
      <c r="C213" s="1497" t="str">
        <f>VLOOKUP(A213,'8-4.일위대가표'!$A$4:$N$723,3,FALSE)</f>
        <v>FR-CVVS 1.5SQ-2C,3열 동시</v>
      </c>
      <c r="D213" s="1498" t="str">
        <f>VLOOKUP(A213,'8-4.일위대가표'!$A$4:$N$723,5,FALSE)</f>
        <v>m</v>
      </c>
      <c r="E213" s="1693">
        <f>'8-2.설비자재산출(무인보안)'!J146</f>
        <v>0</v>
      </c>
      <c r="F213" s="1691"/>
      <c r="G213" s="1691"/>
      <c r="H213" s="1698">
        <f t="shared" si="12"/>
        <v>0</v>
      </c>
      <c r="I213" s="1500">
        <f>VLOOKUP(A213,'8-4.일위대가표'!$A$4:$N$723,13,FALSE)</f>
        <v>14483</v>
      </c>
      <c r="J213" s="1508"/>
      <c r="K213" s="1502" t="s">
        <v>3111</v>
      </c>
    </row>
    <row r="214" spans="1:11" s="1502" customFormat="1" ht="24.95" hidden="1" customHeight="1">
      <c r="A214" s="1496" t="str">
        <f>'8-4.일위대가표'!A623</f>
        <v>품38-3</v>
      </c>
      <c r="B214" s="1497" t="str">
        <f>VLOOKUP(A214,'8-4.일위대가표'!$A$4:$N$723,2,FALSE)</f>
        <v>전원케이블 포설</v>
      </c>
      <c r="C214" s="1497" t="str">
        <f>VLOOKUP(A214,'8-4.일위대가표'!$A$4:$N$723,3,FALSE)</f>
        <v>FR-CVVS 1.5SQ-2C,4열 동시</v>
      </c>
      <c r="D214" s="1498" t="str">
        <f>VLOOKUP(A214,'8-4.일위대가표'!$A$4:$N$723,5,FALSE)</f>
        <v>m</v>
      </c>
      <c r="E214" s="1693">
        <f>'8-2.설비자재산출(무인보안)'!J147</f>
        <v>0</v>
      </c>
      <c r="F214" s="1691"/>
      <c r="G214" s="1691"/>
      <c r="H214" s="1698">
        <f t="shared" si="12"/>
        <v>0</v>
      </c>
      <c r="I214" s="1500">
        <f>VLOOKUP(A214,'8-4.일위대가표'!$A$4:$N$723,13,FALSE)</f>
        <v>18940</v>
      </c>
      <c r="J214" s="1508"/>
      <c r="K214" s="1502" t="s">
        <v>3112</v>
      </c>
    </row>
    <row r="215" spans="1:11" s="22" customFormat="1" ht="24.95" customHeight="1">
      <c r="A215" s="267" t="str">
        <f>'8-4.일위대가표'!A625</f>
        <v>품5-39</v>
      </c>
      <c r="B215" s="396" t="str">
        <f>VLOOKUP(A215,'8-4.일위대가표'!$A$4:$N$723,2,FALSE)</f>
        <v>제어케이블포설</v>
      </c>
      <c r="C215" s="396" t="str">
        <f>VLOOKUP(A215,'8-4.일위대가표'!$A$4:$N$723,3,FALSE)</f>
        <v>FR-CVVS 1.5SQ-4C</v>
      </c>
      <c r="D215" s="740" t="str">
        <f>VLOOKUP(A215,'8-4.일위대가표'!$A$4:$N$723,5,FALSE)</f>
        <v>m</v>
      </c>
      <c r="E215" s="316">
        <f>'8-2.설비자재산출(무인보안)'!J85</f>
        <v>40.200000000000003</v>
      </c>
      <c r="F215" s="316"/>
      <c r="G215" s="316"/>
      <c r="H215" s="1694">
        <f t="shared" si="12"/>
        <v>40.200000000000003</v>
      </c>
      <c r="I215" s="744">
        <f>VLOOKUP(A215,'8-4.일위대가표'!$A$4:$N$723,13,FALSE)</f>
        <v>10677</v>
      </c>
      <c r="J215" s="405"/>
      <c r="K215" s="22" t="s">
        <v>3050</v>
      </c>
    </row>
    <row r="216" spans="1:11" s="22" customFormat="1" ht="24.95" customHeight="1">
      <c r="A216" s="267" t="str">
        <f>'8-4.일위대가표'!A629</f>
        <v>품5-40</v>
      </c>
      <c r="B216" s="396" t="str">
        <f>VLOOKUP(A216,'8-4.일위대가표'!$A$4:$N$723,2,FALSE)</f>
        <v>제어케이블포설</v>
      </c>
      <c r="C216" s="396" t="str">
        <f>VLOOKUP(A216,'8-4.일위대가표'!$A$4:$N$723,3,FALSE)</f>
        <v>FR-CVVS 1.5SQ-15C</v>
      </c>
      <c r="D216" s="740" t="str">
        <f>VLOOKUP(A216,'8-4.일위대가표'!$A$4:$N$723,5,FALSE)</f>
        <v>m</v>
      </c>
      <c r="E216" s="316">
        <f>'8-2.설비자재산출(무인보안)'!J86</f>
        <v>40.200000000000003</v>
      </c>
      <c r="F216" s="316"/>
      <c r="G216" s="316"/>
      <c r="H216" s="1694">
        <f t="shared" si="12"/>
        <v>40.200000000000003</v>
      </c>
      <c r="I216" s="744">
        <f>VLOOKUP(A216,'8-4.일위대가표'!$A$4:$N$723,13,FALSE)</f>
        <v>24603</v>
      </c>
      <c r="J216" s="405"/>
      <c r="K216" s="22" t="s">
        <v>3051</v>
      </c>
    </row>
    <row r="217" spans="1:11" s="1502" customFormat="1" ht="24.95" hidden="1" customHeight="1">
      <c r="A217" s="1496" t="str">
        <f>'8-4.일위대가표'!A633</f>
        <v>품5-41</v>
      </c>
      <c r="B217" s="1497" t="str">
        <f>VLOOKUP(A217,'8-4.일위대가표'!$A$4:$N$723,2,FALSE)</f>
        <v>동축케이블</v>
      </c>
      <c r="C217" s="1497" t="str">
        <f>VLOOKUP(A217,'8-4.일위대가표'!$A$4:$N$723,3,FALSE)</f>
        <v>3C-2V</v>
      </c>
      <c r="D217" s="1498" t="str">
        <f>VLOOKUP(A217,'8-4.일위대가표'!$A$4:$N$723,5,FALSE)</f>
        <v>m</v>
      </c>
      <c r="E217" s="1691"/>
      <c r="F217" s="1691"/>
      <c r="G217" s="1691"/>
      <c r="H217" s="1698">
        <f t="shared" si="12"/>
        <v>0</v>
      </c>
      <c r="I217" s="1500">
        <f>VLOOKUP(A217,'8-4.일위대가표'!$A$4:$N$723,13,FALSE)</f>
        <v>6576</v>
      </c>
      <c r="J217" s="1508"/>
      <c r="K217" s="1502" t="s">
        <v>3052</v>
      </c>
    </row>
    <row r="218" spans="1:11" s="22" customFormat="1" ht="24.95" customHeight="1">
      <c r="A218" s="267" t="str">
        <f>'8-4.일위대가표'!A635</f>
        <v>품5-42</v>
      </c>
      <c r="B218" s="396" t="str">
        <f>VLOOKUP(A218,'8-4.일위대가표'!$A$4:$N$723,2,FALSE)</f>
        <v>UTP 케이블 포설</v>
      </c>
      <c r="C218" s="396" t="str">
        <f>VLOOKUP(A218,'8-4.일위대가표'!$A$4:$N$723,3,FALSE)</f>
        <v>CAT.5e 4P</v>
      </c>
      <c r="D218" s="740" t="str">
        <f>VLOOKUP(A218,'8-4.일위대가표'!$A$4:$N$723,5,FALSE)</f>
        <v>m</v>
      </c>
      <c r="E218" s="316">
        <f>'8-2.설비자재산출(무인보안)'!J88</f>
        <v>30</v>
      </c>
      <c r="F218" s="316"/>
      <c r="G218" s="316"/>
      <c r="H218" s="1694">
        <f>SUM(E218:G218)</f>
        <v>30</v>
      </c>
      <c r="I218" s="744">
        <f>VLOOKUP(A218,'8-4.일위대가표'!$A$4:$N$723,13,FALSE)</f>
        <v>5802</v>
      </c>
      <c r="J218" s="405"/>
      <c r="K218" s="22" t="s">
        <v>3053</v>
      </c>
    </row>
    <row r="219" spans="1:11" s="22" customFormat="1" ht="24.95" customHeight="1">
      <c r="A219" s="267" t="str">
        <f>'8-4.일위대가표'!A637</f>
        <v>품5-43</v>
      </c>
      <c r="B219" s="396" t="str">
        <f>VLOOKUP(A219,'8-4.일위대가표'!$A$4:$N$723,2,FALSE)</f>
        <v>RS-데이터 케이블 포설</v>
      </c>
      <c r="C219" s="396" t="str">
        <f>VLOOKUP(A219,'8-4.일위대가표'!$A$4:$N$723,3,FALSE)</f>
        <v>10P 이하, 1열</v>
      </c>
      <c r="D219" s="740" t="str">
        <f>VLOOKUP(A219,'8-4.일위대가표'!$A$4:$N$723,5,FALSE)</f>
        <v>m</v>
      </c>
      <c r="E219" s="316">
        <f>'8-2.설비자재산출(무인보안)'!J151-F219</f>
        <v>1291.899999999999</v>
      </c>
      <c r="F219" s="316">
        <v>25</v>
      </c>
      <c r="G219" s="316"/>
      <c r="H219" s="1694">
        <f t="shared" si="12"/>
        <v>1316.899999999999</v>
      </c>
      <c r="I219" s="744">
        <f>VLOOKUP(A219,'8-4.일위대가표'!$A$4:$N$723,13,FALSE)</f>
        <v>6963</v>
      </c>
      <c r="J219" s="405"/>
      <c r="K219" s="22" t="s">
        <v>3054</v>
      </c>
    </row>
    <row r="220" spans="1:11" s="1502" customFormat="1" ht="24.95" hidden="1" customHeight="1">
      <c r="A220" s="1496" t="str">
        <f>'8-4.일위대가표'!A638</f>
        <v>품43-1</v>
      </c>
      <c r="B220" s="1497" t="str">
        <f>VLOOKUP(A220,'8-4.일위대가표'!$A$4:$N$723,2,FALSE)</f>
        <v>RS-데이터 케이블 포설</v>
      </c>
      <c r="C220" s="1497" t="str">
        <f>VLOOKUP(A220,'8-4.일위대가표'!$A$4:$N$723,3,FALSE)</f>
        <v>10P 이하, 2열</v>
      </c>
      <c r="D220" s="1498" t="str">
        <f>VLOOKUP(A220,'8-4.일위대가표'!$A$4:$N$723,5,FALSE)</f>
        <v>m</v>
      </c>
      <c r="E220" s="1693">
        <f>'8-2.설비자재산출(무인보안)'!J152</f>
        <v>0</v>
      </c>
      <c r="F220" s="1691"/>
      <c r="G220" s="1691"/>
      <c r="H220" s="1698">
        <f t="shared" si="12"/>
        <v>0</v>
      </c>
      <c r="I220" s="1500">
        <f>VLOOKUP(A220,'8-4.일위대가표'!$A$4:$N$723,13,FALSE)</f>
        <v>12533</v>
      </c>
      <c r="J220" s="1508"/>
      <c r="K220" s="1502" t="s">
        <v>3113</v>
      </c>
    </row>
    <row r="221" spans="1:11" s="1502" customFormat="1" ht="24.95" hidden="1" customHeight="1">
      <c r="A221" s="1496" t="str">
        <f>'8-4.일위대가표'!A639</f>
        <v>품43-2</v>
      </c>
      <c r="B221" s="1497" t="str">
        <f>VLOOKUP(A221,'8-4.일위대가표'!$A$4:$N$723,2,FALSE)</f>
        <v>RS-데이터 케이블 포설</v>
      </c>
      <c r="C221" s="1497" t="str">
        <f>VLOOKUP(A221,'8-4.일위대가표'!$A$4:$N$723,3,FALSE)</f>
        <v>10P 이하, 3열</v>
      </c>
      <c r="D221" s="1498" t="str">
        <f>VLOOKUP(A221,'8-4.일위대가표'!$A$4:$N$723,5,FALSE)</f>
        <v>m</v>
      </c>
      <c r="E221" s="1693">
        <f>'8-2.설비자재산출(무인보안)'!J153</f>
        <v>0</v>
      </c>
      <c r="F221" s="1691"/>
      <c r="G221" s="1691"/>
      <c r="H221" s="1698">
        <f t="shared" si="12"/>
        <v>0</v>
      </c>
      <c r="I221" s="1500">
        <f>VLOOKUP(A221,'8-4.일위대가표'!$A$4:$N$723,13,FALSE)</f>
        <v>18104</v>
      </c>
      <c r="J221" s="1508"/>
      <c r="K221" s="1502" t="s">
        <v>3114</v>
      </c>
    </row>
    <row r="222" spans="1:11" s="22" customFormat="1" ht="24.95" customHeight="1">
      <c r="A222" s="267" t="str">
        <f>'8-4.일위대가표'!A641</f>
        <v>품5-44</v>
      </c>
      <c r="B222" s="396" t="str">
        <f>VLOOKUP(A222,'8-4.일위대가표'!$A$4:$N$723,2,FALSE)</f>
        <v>S-FTP 케이블 포설</v>
      </c>
      <c r="C222" s="396" t="str">
        <f>VLOOKUP(A222,'8-4.일위대가표'!$A$4:$N$723,3,FALSE)</f>
        <v>CAT.5e 4P,1열 포설</v>
      </c>
      <c r="D222" s="740" t="str">
        <f>VLOOKUP(A222,'8-4.일위대가표'!$A$4:$N$723,5,FALSE)</f>
        <v>m</v>
      </c>
      <c r="E222" s="316">
        <f>'8-2.설비자재산출(무인보안)'!J157-F222</f>
        <v>2332.2000000000025</v>
      </c>
      <c r="F222" s="316">
        <v>25</v>
      </c>
      <c r="G222" s="316"/>
      <c r="H222" s="1694">
        <f t="shared" si="12"/>
        <v>2357.2000000000025</v>
      </c>
      <c r="I222" s="744">
        <f>VLOOKUP(A222,'8-4.일위대가표'!$A$4:$N$723,13,FALSE)</f>
        <v>5802</v>
      </c>
      <c r="J222" s="405"/>
      <c r="K222" s="22" t="s">
        <v>3055</v>
      </c>
    </row>
    <row r="223" spans="1:11" s="22" customFormat="1" ht="24.95" customHeight="1">
      <c r="A223" s="267" t="str">
        <f>'8-4.일위대가표'!A643</f>
        <v>품5-44-1</v>
      </c>
      <c r="B223" s="396" t="str">
        <f>VLOOKUP(A223,'8-4.일위대가표'!$A$4:$N$723,2,FALSE)</f>
        <v>S-FTP 케이블 포설</v>
      </c>
      <c r="C223" s="396" t="str">
        <f>VLOOKUP(A223,'8-4.일위대가표'!$A$4:$N$723,3,FALSE)</f>
        <v>CAT.5e 4P,2열 동시</v>
      </c>
      <c r="D223" s="740" t="str">
        <f>VLOOKUP(A223,'8-4.일위대가표'!$A$4:$N$723,5,FALSE)</f>
        <v>m</v>
      </c>
      <c r="E223" s="316">
        <f>'8-2.설비자재산출(무인보안)'!J158</f>
        <v>822.5</v>
      </c>
      <c r="F223" s="316"/>
      <c r="G223" s="316"/>
      <c r="H223" s="1694">
        <f t="shared" si="12"/>
        <v>822.5</v>
      </c>
      <c r="I223" s="744">
        <f>VLOOKUP(A223,'8-4.일위대가표'!$A$4:$N$723,13,FALSE)</f>
        <v>10444</v>
      </c>
      <c r="J223" s="405"/>
      <c r="K223" s="22" t="s">
        <v>3056</v>
      </c>
    </row>
    <row r="224" spans="1:11" s="1502" customFormat="1" ht="24.95" customHeight="1">
      <c r="A224" s="267" t="str">
        <f>'8-4.일위대가표'!A645</f>
        <v>품44-2</v>
      </c>
      <c r="B224" s="396" t="str">
        <f>VLOOKUP(A224,'8-4.일위대가표'!$A$4:$N$723,2,FALSE)</f>
        <v>S-FTP 케이블 포설</v>
      </c>
      <c r="C224" s="396" t="str">
        <f>VLOOKUP(A224,'8-4.일위대가표'!$A$4:$N$723,3,FALSE)</f>
        <v>CAT.5e 4P,3열 동시</v>
      </c>
      <c r="D224" s="740" t="str">
        <f>VLOOKUP(A224,'8-4.일위대가표'!$A$4:$N$723,5,FALSE)</f>
        <v>m</v>
      </c>
      <c r="E224" s="1692">
        <f>'8-2.설비자재산출(무인보안)'!J159</f>
        <v>347</v>
      </c>
      <c r="F224" s="316"/>
      <c r="G224" s="316"/>
      <c r="H224" s="1694">
        <f t="shared" si="12"/>
        <v>347</v>
      </c>
      <c r="I224" s="744">
        <f>VLOOKUP(A224,'8-4.일위대가표'!$A$4:$N$723,13,FALSE)</f>
        <v>15087</v>
      </c>
      <c r="J224" s="405"/>
      <c r="K224" s="1502" t="s">
        <v>3115</v>
      </c>
    </row>
    <row r="225" spans="1:11" s="1502" customFormat="1" ht="24.95" customHeight="1">
      <c r="A225" s="267" t="str">
        <f>'8-4.일위대가표'!A647</f>
        <v>품44-3</v>
      </c>
      <c r="B225" s="396" t="str">
        <f>VLOOKUP(A225,'8-4.일위대가표'!$A$4:$N$723,2,FALSE)</f>
        <v>S-FTP 케이블 포설</v>
      </c>
      <c r="C225" s="396" t="str">
        <f>VLOOKUP(A225,'8-4.일위대가표'!$A$4:$N$723,3,FALSE)</f>
        <v>CAT.5e 4P,4열 동시</v>
      </c>
      <c r="D225" s="740" t="str">
        <f>VLOOKUP(A225,'8-4.일위대가표'!$A$4:$N$723,5,FALSE)</f>
        <v>m</v>
      </c>
      <c r="E225" s="1692">
        <f>'8-2.설비자재산출(무인보안)'!J160</f>
        <v>71</v>
      </c>
      <c r="F225" s="316"/>
      <c r="G225" s="316"/>
      <c r="H225" s="1694">
        <f t="shared" si="12"/>
        <v>71</v>
      </c>
      <c r="I225" s="744">
        <f>VLOOKUP(A225,'8-4.일위대가표'!$A$4:$N$723,13,FALSE)</f>
        <v>19729</v>
      </c>
      <c r="J225" s="405"/>
      <c r="K225" s="1502" t="s">
        <v>3116</v>
      </c>
    </row>
    <row r="226" spans="1:11" s="22" customFormat="1" ht="24.95" customHeight="1">
      <c r="A226" s="267" t="str">
        <f>'8-4.일위대가표'!A649</f>
        <v>품5-45</v>
      </c>
      <c r="B226" s="396" t="str">
        <f>VLOOKUP(A226,'8-4.일위대가표'!$A$4:$N$723,2,FALSE)</f>
        <v>접지선 포설</v>
      </c>
      <c r="C226" s="396" t="str">
        <f>VLOOKUP(A226,'8-4.일위대가표'!$A$4:$N$723,3,FALSE)</f>
        <v>F-GV 6SQ</v>
      </c>
      <c r="D226" s="740" t="str">
        <f>VLOOKUP(A226,'8-4.일위대가표'!$A$4:$N$723,5,FALSE)</f>
        <v>m</v>
      </c>
      <c r="E226" s="316">
        <f>'8-2.설비자재산출(무인보안)'!J93</f>
        <v>127.5</v>
      </c>
      <c r="F226" s="316"/>
      <c r="G226" s="316"/>
      <c r="H226" s="1694">
        <f t="shared" si="12"/>
        <v>127.5</v>
      </c>
      <c r="I226" s="744">
        <f>VLOOKUP(A226,'8-4.일위대가표'!$A$4:$N$723,13,FALSE)</f>
        <v>3732</v>
      </c>
      <c r="J226" s="405"/>
      <c r="K226" s="22" t="s">
        <v>3057</v>
      </c>
    </row>
    <row r="227" spans="1:11" s="1502" customFormat="1" ht="24.95" hidden="1" customHeight="1">
      <c r="A227" s="1496" t="str">
        <f>'8-4.일위대가표'!A653</f>
        <v>품5-46</v>
      </c>
      <c r="B227" s="1497" t="str">
        <f>VLOOKUP(A227,'8-4.일위대가표'!$A$4:$N$723,2,FALSE)</f>
        <v>접지선 포설</v>
      </c>
      <c r="C227" s="1497" t="str">
        <f>VLOOKUP(A227,'8-4.일위대가표'!$A$4:$N$723,3,FALSE)</f>
        <v>F-GV 16SQ</v>
      </c>
      <c r="D227" s="1498" t="str">
        <f>VLOOKUP(A227,'8-4.일위대가표'!$A$4:$N$723,5,FALSE)</f>
        <v>m</v>
      </c>
      <c r="E227" s="1693">
        <f>'8-2.설비자재산출(무인보안)'!J94</f>
        <v>0</v>
      </c>
      <c r="F227" s="1691"/>
      <c r="G227" s="1691"/>
      <c r="H227" s="1698">
        <f t="shared" si="12"/>
        <v>0</v>
      </c>
      <c r="I227" s="1500">
        <f>VLOOKUP(A227,'8-4.일위대가표'!$A$4:$N$723,13,FALSE)</f>
        <v>4479</v>
      </c>
      <c r="J227" s="1508"/>
      <c r="K227" s="1502" t="s">
        <v>3058</v>
      </c>
    </row>
    <row r="228" spans="1:11" s="1502" customFormat="1" ht="24.95" hidden="1" customHeight="1">
      <c r="A228" s="1496" t="str">
        <f>'8-4.일위대가표'!A655</f>
        <v>품5-47</v>
      </c>
      <c r="B228" s="1497" t="str">
        <f>VLOOKUP(A228,'8-4.일위대가표'!$A$4:$N$723,2,FALSE)</f>
        <v>접지선 포설</v>
      </c>
      <c r="C228" s="1497" t="str">
        <f>VLOOKUP(A228,'8-4.일위대가표'!$A$4:$N$723,3,FALSE)</f>
        <v>F-GV 95SQ</v>
      </c>
      <c r="D228" s="1498" t="str">
        <f>VLOOKUP(A228,'8-4.일위대가표'!$A$4:$N$723,5,FALSE)</f>
        <v>m</v>
      </c>
      <c r="E228" s="1693">
        <f>'8-2.설비자재산출(무인보안)'!J95</f>
        <v>0</v>
      </c>
      <c r="F228" s="1691"/>
      <c r="G228" s="1691"/>
      <c r="H228" s="1698">
        <f t="shared" si="12"/>
        <v>0</v>
      </c>
      <c r="I228" s="1500">
        <f>VLOOKUP(A228,'8-4.일위대가표'!$A$4:$N$723,13,FALSE)</f>
        <v>5599</v>
      </c>
      <c r="J228" s="1508"/>
      <c r="K228" s="1502" t="s">
        <v>3106</v>
      </c>
    </row>
    <row r="229" spans="1:11" s="1502" customFormat="1" ht="24.95" hidden="1" customHeight="1">
      <c r="A229" s="1496" t="str">
        <f>'8-4.일위대가표'!A657</f>
        <v>품5-48</v>
      </c>
      <c r="B229" s="1497" t="str">
        <f>VLOOKUP(A229,'8-4.일위대가표'!$A$4:$N$723,2,FALSE)</f>
        <v>합성수지 파형관 시설</v>
      </c>
      <c r="C229" s="1497" t="str">
        <f>VLOOKUP(A229,'8-4.일위대가표'!$A$4:$N$723,3,FALSE)</f>
        <v>50mm이하</v>
      </c>
      <c r="D229" s="1498" t="str">
        <f>VLOOKUP(A229,'8-4.일위대가표'!$A$4:$N$723,5,FALSE)</f>
        <v>m</v>
      </c>
      <c r="E229" s="1691"/>
      <c r="F229" s="1691"/>
      <c r="G229" s="1691"/>
      <c r="H229" s="1698">
        <f t="shared" si="12"/>
        <v>0</v>
      </c>
      <c r="I229" s="1500">
        <f>VLOOKUP(A229,'8-4.일위대가표'!$A$4:$N$723,13,FALSE)</f>
        <v>8641</v>
      </c>
      <c r="J229" s="1508"/>
      <c r="K229" s="1502" t="s">
        <v>3059</v>
      </c>
    </row>
    <row r="230" spans="1:11" s="1502" customFormat="1" ht="24.95" hidden="1" customHeight="1">
      <c r="A230" s="1496" t="str">
        <f>'8-4.일위대가표'!A660</f>
        <v>품5-49</v>
      </c>
      <c r="B230" s="1497" t="str">
        <f>VLOOKUP(A230,'8-4.일위대가표'!$A$4:$N$723,2,FALSE)</f>
        <v>후강전선관 시설</v>
      </c>
      <c r="C230" s="1497" t="str">
        <f>VLOOKUP(A230,'8-4.일위대가표'!$A$4:$N$723,3,FALSE)</f>
        <v>22㎜</v>
      </c>
      <c r="D230" s="1498" t="str">
        <f>VLOOKUP(A230,'8-4.일위대가표'!$A$4:$N$723,5,FALSE)</f>
        <v>m</v>
      </c>
      <c r="E230" s="1691"/>
      <c r="F230" s="1691"/>
      <c r="G230" s="1691"/>
      <c r="H230" s="1698">
        <f t="shared" ref="H230:H256" si="13">SUM(E230:G230)</f>
        <v>0</v>
      </c>
      <c r="I230" s="1500">
        <f>VLOOKUP(A230,'8-4.일위대가표'!$A$4:$N$723,13,FALSE)</f>
        <v>32849</v>
      </c>
      <c r="J230" s="1508"/>
      <c r="K230" s="1502" t="s">
        <v>3060</v>
      </c>
    </row>
    <row r="231" spans="1:11" s="1502" customFormat="1" ht="24.95" hidden="1" customHeight="1">
      <c r="A231" s="1496" t="str">
        <f>'8-4.일위대가표'!A662</f>
        <v>품5-50</v>
      </c>
      <c r="B231" s="1497" t="str">
        <f>VLOOKUP(A231,'8-4.일위대가표'!$A$4:$N$723,2,FALSE)</f>
        <v>후강전선관 시설</v>
      </c>
      <c r="C231" s="1497" t="str">
        <f>VLOOKUP(A231,'8-4.일위대가표'!$A$4:$N$723,3,FALSE)</f>
        <v>28㎜</v>
      </c>
      <c r="D231" s="1498" t="str">
        <f>VLOOKUP(A231,'8-4.일위대가표'!$A$4:$N$723,5,FALSE)</f>
        <v>m</v>
      </c>
      <c r="E231" s="1691"/>
      <c r="F231" s="1691"/>
      <c r="G231" s="1691"/>
      <c r="H231" s="1698">
        <f t="shared" si="13"/>
        <v>0</v>
      </c>
      <c r="I231" s="1500">
        <f>VLOOKUP(A231,'8-4.일위대가표'!$A$4:$N$723,13,FALSE)</f>
        <v>41807</v>
      </c>
      <c r="J231" s="1508"/>
      <c r="K231" s="1502" t="s">
        <v>3061</v>
      </c>
    </row>
    <row r="232" spans="1:11" s="1502" customFormat="1" ht="24.95" hidden="1" customHeight="1">
      <c r="A232" s="1496" t="str">
        <f>'8-4.일위대가표'!A664</f>
        <v>품5-51</v>
      </c>
      <c r="B232" s="1497" t="str">
        <f>VLOOKUP(A232,'8-4.일위대가표'!$A$4:$N$723,2,FALSE)</f>
        <v>플랙시블 전선관 시설</v>
      </c>
      <c r="C232" s="1497" t="str">
        <f>VLOOKUP(A232,'8-4.일위대가표'!$A$4:$N$723,3,FALSE)</f>
        <v>22mm</v>
      </c>
      <c r="D232" s="1498" t="str">
        <f>VLOOKUP(A232,'8-4.일위대가표'!$A$4:$N$723,5,FALSE)</f>
        <v>m</v>
      </c>
      <c r="E232" s="1691"/>
      <c r="F232" s="1691"/>
      <c r="G232" s="1691"/>
      <c r="H232" s="1698">
        <f t="shared" si="13"/>
        <v>0</v>
      </c>
      <c r="I232" s="1500">
        <f>VLOOKUP(A232,'8-4.일위대가표'!$A$4:$N$723,13,FALSE)</f>
        <v>19087</v>
      </c>
      <c r="J232" s="1508"/>
      <c r="K232" s="1502" t="s">
        <v>3062</v>
      </c>
    </row>
    <row r="233" spans="1:11" s="1502" customFormat="1" ht="24.95" hidden="1" customHeight="1">
      <c r="A233" s="1496" t="str">
        <f>'8-4.일위대가표'!A666</f>
        <v>품5-52</v>
      </c>
      <c r="B233" s="1497" t="str">
        <f>VLOOKUP(A233,'8-4.일위대가표'!$A$4:$N$723,2,FALSE)</f>
        <v>플랙시블 전선관 시설</v>
      </c>
      <c r="C233" s="1497" t="str">
        <f>VLOOKUP(A233,'8-4.일위대가표'!$A$4:$N$723,3,FALSE)</f>
        <v>28mm</v>
      </c>
      <c r="D233" s="1498" t="str">
        <f>VLOOKUP(A233,'8-4.일위대가표'!$A$4:$N$723,5,FALSE)</f>
        <v>m</v>
      </c>
      <c r="E233" s="1691"/>
      <c r="F233" s="1691"/>
      <c r="G233" s="1691"/>
      <c r="H233" s="1698">
        <f t="shared" si="13"/>
        <v>0</v>
      </c>
      <c r="I233" s="1500">
        <f>VLOOKUP(A233,'8-4.일위대가표'!$A$4:$N$723,13,FALSE)</f>
        <v>23292</v>
      </c>
      <c r="J233" s="1508"/>
      <c r="K233" s="1502" t="s">
        <v>3063</v>
      </c>
    </row>
    <row r="234" spans="1:11" s="1502" customFormat="1" ht="24.95" hidden="1" customHeight="1">
      <c r="A234" s="1496" t="str">
        <f>'8-4.일위대가표'!A668</f>
        <v>품5-53</v>
      </c>
      <c r="B234" s="1497" t="str">
        <f>VLOOKUP(A234,'8-4.일위대가표'!$A$4:$N$723,2,FALSE)</f>
        <v>금속닥트 신설</v>
      </c>
      <c r="C234" s="1497" t="str">
        <f>VLOOKUP(A234,'8-4.일위대가표'!$A$4:$N$723,3,FALSE)</f>
        <v>중형(150*100mm) 이하</v>
      </c>
      <c r="D234" s="1498" t="str">
        <f>VLOOKUP(A234,'8-4.일위대가표'!$A$4:$N$723,5,FALSE)</f>
        <v>m</v>
      </c>
      <c r="E234" s="1691"/>
      <c r="F234" s="1691"/>
      <c r="G234" s="1691"/>
      <c r="H234" s="1698">
        <f t="shared" si="13"/>
        <v>0</v>
      </c>
      <c r="I234" s="1500">
        <f>VLOOKUP(A234,'8-4.일위대가표'!$A$4:$N$723,13,FALSE)</f>
        <v>99542</v>
      </c>
      <c r="J234" s="1508"/>
      <c r="K234" s="1502" t="s">
        <v>3064</v>
      </c>
    </row>
    <row r="235" spans="1:11" s="1502" customFormat="1" ht="24.95" hidden="1" customHeight="1">
      <c r="A235" s="1496" t="str">
        <f>'8-4.일위대가표'!A670</f>
        <v>품5-54</v>
      </c>
      <c r="B235" s="1497" t="str">
        <f>VLOOKUP(A235,'8-4.일위대가표'!$A$4:$N$723,2,FALSE)</f>
        <v>앙카볼트 설치</v>
      </c>
      <c r="C235" s="1497" t="str">
        <f>VLOOKUP(A235,'8-4.일위대가표'!$A$4:$N$723,3,FALSE)</f>
        <v>Φ13mm이하</v>
      </c>
      <c r="D235" s="1498" t="str">
        <f>VLOOKUP(A235,'8-4.일위대가표'!$A$4:$N$723,5,FALSE)</f>
        <v>개</v>
      </c>
      <c r="E235" s="1691"/>
      <c r="F235" s="1691"/>
      <c r="G235" s="1691"/>
      <c r="H235" s="1698">
        <f t="shared" si="13"/>
        <v>0</v>
      </c>
      <c r="I235" s="1500">
        <f>VLOOKUP(A235,'8-4.일위대가표'!$A$4:$N$723,13,FALSE)</f>
        <v>9954</v>
      </c>
      <c r="J235" s="1508"/>
      <c r="K235" s="1502" t="s">
        <v>3065</v>
      </c>
    </row>
    <row r="236" spans="1:11" s="22" customFormat="1" ht="24.95" customHeight="1">
      <c r="A236" s="267" t="str">
        <f>'8-4.일위대가표'!A672</f>
        <v>품5-55</v>
      </c>
      <c r="B236" s="396" t="str">
        <f>VLOOKUP(A236,'8-4.일위대가표'!$A$4:$N$723,2,FALSE)</f>
        <v>모듈라플러그 접속</v>
      </c>
      <c r="C236" s="396" t="str">
        <f>VLOOKUP(A236,'8-4.일위대가표'!$A$4:$N$723,3,FALSE)</f>
        <v>S-FTP RJ-45, 접지</v>
      </c>
      <c r="D236" s="740" t="str">
        <f>VLOOKUP(A236,'8-4.일위대가표'!$A$4:$N$723,5,FALSE)</f>
        <v>개</v>
      </c>
      <c r="E236" s="316">
        <f>'8-2.설비자재산출(무인보안)'!J112</f>
        <v>314</v>
      </c>
      <c r="F236" s="316"/>
      <c r="G236" s="316"/>
      <c r="H236" s="1694">
        <f t="shared" si="13"/>
        <v>314</v>
      </c>
      <c r="I236" s="744">
        <f>VLOOKUP(A236,'8-4.일위대가표'!$A$4:$N$723,13,FALSE)</f>
        <v>4205</v>
      </c>
      <c r="J236" s="405"/>
      <c r="K236" s="22" t="s">
        <v>3066</v>
      </c>
    </row>
    <row r="237" spans="1:11" s="1502" customFormat="1" ht="24.95" hidden="1" customHeight="1">
      <c r="A237" s="1496" t="str">
        <f>'8-4.일위대가표'!A674</f>
        <v>품5-56</v>
      </c>
      <c r="B237" s="1497" t="str">
        <f>VLOOKUP(A237,'8-4.일위대가표'!$A$4:$N$723,2,FALSE)</f>
        <v>콘넥터(영상)</v>
      </c>
      <c r="C237" s="1497" t="str">
        <f>VLOOKUP(A237,'8-4.일위대가표'!$A$4:$N$723,3,FALSE)</f>
        <v>BNC, 5C이하</v>
      </c>
      <c r="D237" s="1498" t="str">
        <f>VLOOKUP(A237,'8-4.일위대가표'!$A$4:$N$723,5,FALSE)</f>
        <v>개</v>
      </c>
      <c r="E237" s="1691"/>
      <c r="F237" s="1691"/>
      <c r="G237" s="1691"/>
      <c r="H237" s="1698">
        <f t="shared" si="13"/>
        <v>0</v>
      </c>
      <c r="I237" s="1500">
        <f>VLOOKUP(A237,'8-4.일위대가표'!$A$4:$N$723,13,FALSE)</f>
        <v>4977</v>
      </c>
      <c r="J237" s="1508"/>
      <c r="K237" s="1502" t="s">
        <v>3067</v>
      </c>
    </row>
    <row r="238" spans="1:11" s="1502" customFormat="1" ht="24.95" hidden="1" customHeight="1">
      <c r="A238" s="1496" t="str">
        <f>'8-4.일위대가표'!A676</f>
        <v>품5-57-1</v>
      </c>
      <c r="B238" s="1497" t="str">
        <f>VLOOKUP(A238,'8-4.일위대가표'!$A$4:$N$723,2,FALSE)</f>
        <v>풀박스 설치</v>
      </c>
      <c r="C238" s="1497" t="str">
        <f>VLOOKUP(A238,'8-4.일위대가표'!$A$4:$N$723,3,FALSE)</f>
        <v>100㎠이하, 천정,노출</v>
      </c>
      <c r="D238" s="1498" t="str">
        <f>VLOOKUP(A238,'8-4.일위대가표'!$A$4:$N$723,5,FALSE)</f>
        <v>개</v>
      </c>
      <c r="E238" s="1691"/>
      <c r="F238" s="1691"/>
      <c r="G238" s="1691"/>
      <c r="H238" s="1698">
        <f t="shared" si="13"/>
        <v>0</v>
      </c>
      <c r="I238" s="1500">
        <f>VLOOKUP(A238,'8-4.일위대가표'!$A$4:$N$723,13,FALSE)</f>
        <v>11945</v>
      </c>
      <c r="J238" s="1508"/>
      <c r="K238" s="1502" t="s">
        <v>3083</v>
      </c>
    </row>
    <row r="239" spans="1:11" s="1502" customFormat="1" ht="24.95" hidden="1" customHeight="1">
      <c r="A239" s="1496" t="str">
        <f>'8-4.일위대가표'!A678</f>
        <v>품5-57-2</v>
      </c>
      <c r="B239" s="1497" t="str">
        <f>VLOOKUP(A239,'8-4.일위대가표'!$A$4:$N$723,2,FALSE)</f>
        <v>풀박스 설치</v>
      </c>
      <c r="C239" s="1497" t="str">
        <f>VLOOKUP(A239,'8-4.일위대가표'!$A$4:$N$723,3,FALSE)</f>
        <v>100㎠이하, 벽체,노출</v>
      </c>
      <c r="D239" s="1498" t="str">
        <f>VLOOKUP(A239,'8-4.일위대가표'!$A$4:$N$723,5,FALSE)</f>
        <v>개</v>
      </c>
      <c r="E239" s="1691"/>
      <c r="F239" s="1691"/>
      <c r="G239" s="1691"/>
      <c r="H239" s="1698">
        <f t="shared" si="13"/>
        <v>0</v>
      </c>
      <c r="I239" s="1500">
        <f>VLOOKUP(A239,'8-4.일위대가표'!$A$4:$N$723,13,FALSE)</f>
        <v>50766</v>
      </c>
      <c r="J239" s="1508"/>
      <c r="K239" s="1502" t="s">
        <v>3081</v>
      </c>
    </row>
    <row r="240" spans="1:11" s="1502" customFormat="1" ht="24.95" hidden="1" customHeight="1">
      <c r="A240" s="1496" t="str">
        <f>'8-4.일위대가표'!A680</f>
        <v>품5-57-3</v>
      </c>
      <c r="B240" s="1497" t="str">
        <f>VLOOKUP(A240,'8-4.일위대가표'!$A$4:$N$723,2,FALSE)</f>
        <v>풀박스 설치</v>
      </c>
      <c r="C240" s="1497" t="str">
        <f>VLOOKUP(A240,'8-4.일위대가표'!$A$4:$N$723,3,FALSE)</f>
        <v>625㎠이하, 벽체,노출</v>
      </c>
      <c r="D240" s="1498" t="str">
        <f>VLOOKUP(A240,'8-4.일위대가표'!$A$4:$N$723,5,FALSE)</f>
        <v>개</v>
      </c>
      <c r="E240" s="1691"/>
      <c r="F240" s="1691"/>
      <c r="G240" s="1691"/>
      <c r="H240" s="1698">
        <f t="shared" si="13"/>
        <v>0</v>
      </c>
      <c r="I240" s="1500">
        <f>VLOOKUP(A240,'8-4.일위대가표'!$A$4:$N$723,13,FALSE)</f>
        <v>164245</v>
      </c>
      <c r="J240" s="1508"/>
      <c r="K240" s="1502" t="s">
        <v>3079</v>
      </c>
    </row>
    <row r="241" spans="1:11" s="1502" customFormat="1" ht="24.95" hidden="1" customHeight="1">
      <c r="A241" s="1496" t="str">
        <f>'8-4.일위대가표'!A682</f>
        <v>품5-57-4</v>
      </c>
      <c r="B241" s="1497" t="str">
        <f>VLOOKUP(A241,'8-4.일위대가표'!$A$4:$N$723,2,FALSE)</f>
        <v>풀박스 설치</v>
      </c>
      <c r="C241" s="1497" t="str">
        <f>VLOOKUP(A241,'8-4.일위대가표'!$A$4:$N$723,3,FALSE)</f>
        <v>900㎠이하, 벽체,노출</v>
      </c>
      <c r="D241" s="1498" t="str">
        <f>VLOOKUP(A241,'8-4.일위대가표'!$A$4:$N$723,5,FALSE)</f>
        <v>개</v>
      </c>
      <c r="E241" s="1691"/>
      <c r="F241" s="1691"/>
      <c r="G241" s="1691"/>
      <c r="H241" s="1698">
        <f t="shared" si="13"/>
        <v>0</v>
      </c>
      <c r="I241" s="1500">
        <f>VLOOKUP(A241,'8-4.일위대가표'!$A$4:$N$723,13,FALSE)</f>
        <v>179176</v>
      </c>
      <c r="J241" s="1508"/>
      <c r="K241" s="1502" t="s">
        <v>3077</v>
      </c>
    </row>
    <row r="242" spans="1:11" s="1502" customFormat="1" ht="24.95" customHeight="1">
      <c r="A242" s="267" t="str">
        <f>'8-4.일위대가표'!A684</f>
        <v>품5-58</v>
      </c>
      <c r="B242" s="396" t="str">
        <f>VLOOKUP(A242,'8-4.일위대가표'!$A$4:$N$723,2,FALSE)</f>
        <v>기초대 설치</v>
      </c>
      <c r="C242" s="396" t="str">
        <f>VLOOKUP(A242,'8-4.일위대가표'!$A$4:$N$723,3,FALSE)</f>
        <v>CCTV폴(60cm*60cm*60cm이상)</v>
      </c>
      <c r="D242" s="740" t="str">
        <f>VLOOKUP(A242,'8-4.일위대가표'!$A$4:$N$723,5,FALSE)</f>
        <v>개</v>
      </c>
      <c r="E242" s="316">
        <f>'8-2.설비자재산출(무인보안)'!H75</f>
        <v>8</v>
      </c>
      <c r="F242" s="316"/>
      <c r="G242" s="316"/>
      <c r="H242" s="1694">
        <f t="shared" si="13"/>
        <v>8</v>
      </c>
      <c r="I242" s="744">
        <f>VLOOKUP(A242,'8-4.일위대가표'!$A$4:$N$723,13,FALSE)</f>
        <v>224879</v>
      </c>
      <c r="J242" s="405"/>
      <c r="K242" s="1502" t="s">
        <v>3076</v>
      </c>
    </row>
    <row r="243" spans="1:11" s="1502" customFormat="1" ht="24.95" hidden="1" customHeight="1">
      <c r="A243" s="1496" t="str">
        <f>'8-4.일위대가표'!A687</f>
        <v>품5-58-1</v>
      </c>
      <c r="B243" s="1497" t="str">
        <f>VLOOKUP(A243,'8-4.일위대가표'!$A$4:$N$723,2,FALSE)</f>
        <v>기기기초대 설치</v>
      </c>
      <c r="C243" s="1497" t="str">
        <f>VLOOKUP(A243,'8-4.일위대가표'!$A$4:$N$723,3,FALSE)</f>
        <v>감지기폴(40cm*40cm*40cm이상)</v>
      </c>
      <c r="D243" s="1498" t="str">
        <f>VLOOKUP(A243,'8-4.일위대가표'!$A$4:$N$723,5,FALSE)</f>
        <v>개</v>
      </c>
      <c r="E243" s="1691"/>
      <c r="F243" s="1691"/>
      <c r="G243" s="1691"/>
      <c r="H243" s="1698">
        <f t="shared" si="13"/>
        <v>0</v>
      </c>
      <c r="I243" s="1500">
        <f>VLOOKUP(A243,'8-4.일위대가표'!$A$4:$N$723,13,FALSE)</f>
        <v>56219</v>
      </c>
      <c r="J243" s="1508"/>
      <c r="K243" s="1502" t="s">
        <v>3117</v>
      </c>
    </row>
    <row r="244" spans="1:11" s="1502" customFormat="1" ht="24.95" hidden="1" customHeight="1">
      <c r="A244" s="1496" t="str">
        <f>'8-4.일위대가표'!A690</f>
        <v>품5-59</v>
      </c>
      <c r="B244" s="1497" t="str">
        <f>VLOOKUP(A244,'8-4.일위대가표'!$A$4:$N$723,2,FALSE)</f>
        <v>합성수지함 설치</v>
      </c>
      <c r="C244" s="1497" t="str">
        <f>VLOOKUP(A244,'8-4.일위대가표'!$A$4:$N$723,3,FALSE)</f>
        <v>연결용박스</v>
      </c>
      <c r="D244" s="1498" t="str">
        <f>VLOOKUP(A244,'8-4.일위대가표'!$A$4:$N$723,5,FALSE)</f>
        <v>개</v>
      </c>
      <c r="E244" s="1691"/>
      <c r="F244" s="1691"/>
      <c r="G244" s="1691"/>
      <c r="H244" s="1698">
        <f t="shared" si="13"/>
        <v>0</v>
      </c>
      <c r="I244" s="1500">
        <f>VLOOKUP(A244,'8-4.일위대가표'!$A$4:$N$723,13,FALSE)</f>
        <v>9954</v>
      </c>
      <c r="J244" s="1508"/>
      <c r="K244" s="1502" t="s">
        <v>3068</v>
      </c>
    </row>
    <row r="245" spans="1:11" s="22" customFormat="1" ht="24.95" customHeight="1">
      <c r="A245" s="267" t="str">
        <f>'8-4.일위대가표'!A692</f>
        <v>품5-60</v>
      </c>
      <c r="B245" s="396" t="str">
        <f>VLOOKUP(A245,'8-4.일위대가표'!$A$4:$N$723,2,FALSE)</f>
        <v>안내판설치</v>
      </c>
      <c r="C245" s="396" t="str">
        <f>VLOOKUP(A245,'8-4.일위대가표'!$A$4:$N$723,3,FALSE)</f>
        <v>안내판설치</v>
      </c>
      <c r="D245" s="740" t="str">
        <f>VLOOKUP(A245,'8-4.일위대가표'!$A$4:$N$723,5,FALSE)</f>
        <v>개</v>
      </c>
      <c r="E245" s="316">
        <f>'8-2.설비자재산출(무인보안)'!J77</f>
        <v>1</v>
      </c>
      <c r="F245" s="316"/>
      <c r="G245" s="316"/>
      <c r="H245" s="1694">
        <f t="shared" si="13"/>
        <v>1</v>
      </c>
      <c r="I245" s="744">
        <f>VLOOKUP(A245,'8-4.일위대가표'!$A$4:$N$723,13,FALSE)</f>
        <v>38366</v>
      </c>
      <c r="J245" s="405"/>
      <c r="K245" s="22" t="s">
        <v>3069</v>
      </c>
    </row>
    <row r="246" spans="1:11" s="1502" customFormat="1" ht="24.95" hidden="1" customHeight="1">
      <c r="A246" s="1496" t="str">
        <f>'8-4.일위대가표'!A695</f>
        <v>품5-61</v>
      </c>
      <c r="B246" s="1497" t="str">
        <f>VLOOKUP(A246,'8-4.일위대가표'!$A$4:$N$723,2,FALSE)</f>
        <v>접속및 단자설치</v>
      </c>
      <c r="C246" s="1497" t="str">
        <f>VLOOKUP(A246,'8-4.일위대가표'!$A$4:$N$723,3,FALSE)</f>
        <v>C형 및 원형 슬리브</v>
      </c>
      <c r="D246" s="1498" t="str">
        <f>VLOOKUP(A246,'8-4.일위대가표'!$A$4:$N$723,5,FALSE)</f>
        <v>개</v>
      </c>
      <c r="E246" s="1691"/>
      <c r="F246" s="1691"/>
      <c r="G246" s="1691"/>
      <c r="H246" s="1698">
        <f t="shared" si="13"/>
        <v>0</v>
      </c>
      <c r="I246" s="1500">
        <f>VLOOKUP(A246,'8-4.일위대가표'!$A$4:$N$723,13,FALSE)</f>
        <v>35743</v>
      </c>
      <c r="J246" s="1508"/>
      <c r="K246" s="1502" t="s">
        <v>3070</v>
      </c>
    </row>
    <row r="247" spans="1:11" s="1502" customFormat="1" ht="24.95" hidden="1" customHeight="1">
      <c r="A247" s="1496" t="str">
        <f>'8-4.일위대가표'!A697</f>
        <v>품5-62</v>
      </c>
      <c r="B247" s="1497" t="str">
        <f>VLOOKUP(A247,'8-4.일위대가표'!$A$4:$N$723,2,FALSE)</f>
        <v>PA단말기 설치</v>
      </c>
      <c r="C247" s="1497" t="str">
        <f>VLOOKUP(A247,'8-4.일위대가표'!$A$4:$N$723,3,FALSE)</f>
        <v>부대장치</v>
      </c>
      <c r="D247" s="1498" t="str">
        <f>VLOOKUP(A247,'8-4.일위대가표'!$A$4:$N$723,5,FALSE)</f>
        <v>대</v>
      </c>
      <c r="E247" s="1691"/>
      <c r="F247" s="1691"/>
      <c r="G247" s="1691"/>
      <c r="H247" s="1698">
        <f t="shared" si="13"/>
        <v>0</v>
      </c>
      <c r="I247" s="1500">
        <f>VLOOKUP(A247,'8-4.일위대가표'!$A$4:$N$723,13,FALSE)</f>
        <v>124630</v>
      </c>
      <c r="J247" s="1508"/>
      <c r="K247" s="1502" t="s">
        <v>3071</v>
      </c>
    </row>
    <row r="248" spans="1:11" s="1502" customFormat="1" ht="24.95" hidden="1" customHeight="1">
      <c r="A248" s="1496" t="str">
        <f>'8-4.일위대가표'!A701</f>
        <v>품5-63</v>
      </c>
      <c r="B248" s="1497" t="str">
        <f>VLOOKUP(A248,'8-4.일위대가표'!$A$4:$N$723,2,FALSE)</f>
        <v>전원케이블 포설</v>
      </c>
      <c r="C248" s="1497" t="str">
        <f>VLOOKUP(A248,'8-4.일위대가표'!$A$4:$N$723,3,FALSE)</f>
        <v>FR-CVVS 4SQ-2C,1열 포설</v>
      </c>
      <c r="D248" s="1498" t="str">
        <f>VLOOKUP(A248,'8-4.일위대가표'!$A$4:$N$723,5,FALSE)</f>
        <v>m</v>
      </c>
      <c r="E248" s="1691"/>
      <c r="F248" s="1691"/>
      <c r="G248" s="1691"/>
      <c r="H248" s="1698">
        <f t="shared" si="13"/>
        <v>0</v>
      </c>
      <c r="I248" s="1500">
        <f>VLOOKUP(A248,'8-4.일위대가표'!$A$4:$N$723,13,FALSE)</f>
        <v>7427</v>
      </c>
      <c r="J248" s="1508"/>
      <c r="K248" s="1502" t="s">
        <v>3072</v>
      </c>
    </row>
    <row r="249" spans="1:11" s="1502" customFormat="1" ht="24.95" hidden="1" customHeight="1">
      <c r="A249" s="1496" t="str">
        <f>'8-4.일위대가표'!A703</f>
        <v>품5-63-1</v>
      </c>
      <c r="B249" s="1497" t="str">
        <f>VLOOKUP(A249,'8-4.일위대가표'!$A$4:$N$723,2,FALSE)</f>
        <v>전원케이블 포설</v>
      </c>
      <c r="C249" s="1497" t="str">
        <f>VLOOKUP(A249,'8-4.일위대가표'!$A$4:$N$723,3,FALSE)</f>
        <v>FR-CVVS 4SQ-2C,2열 동시</v>
      </c>
      <c r="D249" s="1498" t="str">
        <f>VLOOKUP(A249,'8-4.일위대가표'!$A$4:$N$723,5,FALSE)</f>
        <v>m</v>
      </c>
      <c r="E249" s="1691"/>
      <c r="F249" s="1691"/>
      <c r="G249" s="1691"/>
      <c r="H249" s="1698">
        <f t="shared" si="13"/>
        <v>0</v>
      </c>
      <c r="I249" s="1500">
        <f>VLOOKUP(A249,'8-4.일위대가표'!$A$4:$N$723,13,FALSE)</f>
        <v>13369</v>
      </c>
      <c r="J249" s="1508"/>
      <c r="K249" s="1502" t="s">
        <v>3118</v>
      </c>
    </row>
    <row r="250" spans="1:11" s="1502" customFormat="1" ht="24.95" hidden="1" customHeight="1">
      <c r="A250" s="1496" t="str">
        <f>'8-4.일위대가표'!A705</f>
        <v>품5-63-2</v>
      </c>
      <c r="B250" s="1497" t="str">
        <f>VLOOKUP(A250,'8-4.일위대가표'!$A$4:$N$723,2,FALSE)</f>
        <v>전원케이블 포설</v>
      </c>
      <c r="C250" s="1497" t="str">
        <f>VLOOKUP(A250,'8-4.일위대가표'!$A$4:$N$723,3,FALSE)</f>
        <v>FR-CVVS 4SQ-2C,3열 동시</v>
      </c>
      <c r="D250" s="1498" t="str">
        <f>VLOOKUP(A250,'8-4.일위대가표'!$A$4:$N$723,5,FALSE)</f>
        <v>m</v>
      </c>
      <c r="E250" s="1691"/>
      <c r="F250" s="1691"/>
      <c r="G250" s="1691"/>
      <c r="H250" s="1698">
        <f t="shared" si="13"/>
        <v>0</v>
      </c>
      <c r="I250" s="1500">
        <f>VLOOKUP(A250,'8-4.일위대가표'!$A$4:$N$723,13,FALSE)</f>
        <v>19311</v>
      </c>
      <c r="J250" s="1508"/>
      <c r="K250" s="1502" t="s">
        <v>3119</v>
      </c>
    </row>
    <row r="251" spans="1:11" s="1502" customFormat="1" ht="24.95" hidden="1" customHeight="1">
      <c r="A251" s="1496" t="str">
        <f>'8-4.일위대가표'!A707</f>
        <v>품5-63-3</v>
      </c>
      <c r="B251" s="1497" t="str">
        <f>VLOOKUP(A251,'8-4.일위대가표'!$A$4:$N$723,2,FALSE)</f>
        <v>전원케이블 포설</v>
      </c>
      <c r="C251" s="1497" t="str">
        <f>VLOOKUP(A251,'8-4.일위대가표'!$A$4:$N$723,3,FALSE)</f>
        <v>FR-CVVS 4SQ-2C,4열 동시</v>
      </c>
      <c r="D251" s="1498" t="str">
        <f>VLOOKUP(A251,'8-4.일위대가표'!$A$4:$N$723,5,FALSE)</f>
        <v>m</v>
      </c>
      <c r="E251" s="1691"/>
      <c r="F251" s="1691"/>
      <c r="G251" s="1691"/>
      <c r="H251" s="1698">
        <f t="shared" si="13"/>
        <v>0</v>
      </c>
      <c r="I251" s="1500">
        <f>VLOOKUP(A251,'8-4.일위대가표'!$A$4:$N$723,13,FALSE)</f>
        <v>25253</v>
      </c>
      <c r="J251" s="1508"/>
      <c r="K251" s="1502" t="s">
        <v>3120</v>
      </c>
    </row>
    <row r="252" spans="1:11" s="1502" customFormat="1" ht="24.95" hidden="1" customHeight="1">
      <c r="A252" s="1496" t="str">
        <f>'8-4.일위대가표'!A709</f>
        <v>품5-64</v>
      </c>
      <c r="B252" s="1497" t="str">
        <f>VLOOKUP(A252,'8-4.일위대가표'!$A$4:$N$723,2,FALSE)</f>
        <v>합성수지제 가요전선관</v>
      </c>
      <c r="C252" s="1497" t="str">
        <f>VLOOKUP(A252,'8-4.일위대가표'!$A$4:$N$723,3,FALSE)</f>
        <v>CD, 22㎜</v>
      </c>
      <c r="D252" s="1498" t="str">
        <f>VLOOKUP(A252,'8-4.일위대가표'!$A$4:$N$723,5,FALSE)</f>
        <v>M</v>
      </c>
      <c r="E252" s="1691"/>
      <c r="F252" s="1691"/>
      <c r="G252" s="1691"/>
      <c r="H252" s="1698">
        <f t="shared" si="13"/>
        <v>0</v>
      </c>
      <c r="I252" s="1500">
        <f>VLOOKUP(A252,'8-4.일위대가표'!$A$4:$N$723,13,FALSE)</f>
        <v>15528</v>
      </c>
      <c r="J252" s="1508"/>
      <c r="K252" s="1502" t="s">
        <v>3073</v>
      </c>
    </row>
    <row r="253" spans="1:11" s="1502" customFormat="1" ht="24.95" hidden="1" customHeight="1">
      <c r="A253" s="1496" t="str">
        <f>'8-4.일위대가표'!A712</f>
        <v>품5-65</v>
      </c>
      <c r="B253" s="1497" t="str">
        <f>VLOOKUP(A253,'8-4.일위대가표'!$A$4:$N$723,2,FALSE)</f>
        <v>벽관통 구멍파기</v>
      </c>
      <c r="C253" s="1497" t="str">
        <f>VLOOKUP(A253,'8-4.일위대가표'!$A$4:$N$723,3,FALSE)</f>
        <v>직경 10cm, 벽두께 25cm</v>
      </c>
      <c r="D253" s="1498" t="str">
        <f>VLOOKUP(A253,'8-4.일위대가표'!$A$4:$N$723,5,FALSE)</f>
        <v>개소</v>
      </c>
      <c r="E253" s="1691"/>
      <c r="F253" s="1691"/>
      <c r="G253" s="1691"/>
      <c r="H253" s="1698">
        <f t="shared" si="13"/>
        <v>0</v>
      </c>
      <c r="I253" s="1500">
        <f>VLOOKUP(A253,'8-4.일위대가표'!$A$4:$N$723,13,FALSE)</f>
        <v>39396</v>
      </c>
      <c r="J253" s="1508"/>
      <c r="K253" s="1502" t="s">
        <v>3074</v>
      </c>
    </row>
    <row r="254" spans="1:11" s="1502" customFormat="1" ht="24.95" hidden="1" customHeight="1">
      <c r="A254" s="1496" t="str">
        <f>'8-4.일위대가표'!A714</f>
        <v>품5-65-1</v>
      </c>
      <c r="B254" s="1497" t="str">
        <f>VLOOKUP(A254,'8-4.일위대가표'!$A$4:$N$723,2,FALSE)</f>
        <v>배관용 구멍뚫기(코어드릴 사용기준)</v>
      </c>
      <c r="C254" s="1497" t="str">
        <f>VLOOKUP(A254,'8-4.일위대가표'!$A$4:$N$723,3,FALSE)</f>
        <v>직경 2.5cm, 바닥두께 30cm 이하</v>
      </c>
      <c r="D254" s="1498" t="str">
        <f>VLOOKUP(A254,'8-4.일위대가표'!$A$4:$N$723,5,FALSE)</f>
        <v>개소</v>
      </c>
      <c r="E254" s="1691"/>
      <c r="F254" s="1691"/>
      <c r="G254" s="1691"/>
      <c r="H254" s="1698">
        <f t="shared" si="13"/>
        <v>0</v>
      </c>
      <c r="I254" s="1500">
        <f>VLOOKUP(A254,'8-4.일위대가표'!$A$4:$N$723,13,FALSE)</f>
        <v>58383</v>
      </c>
      <c r="J254" s="1508"/>
      <c r="K254" s="1502" t="s">
        <v>3121</v>
      </c>
    </row>
    <row r="255" spans="1:11" s="1502" customFormat="1" ht="24.95" hidden="1" customHeight="1">
      <c r="A255" s="1496" t="str">
        <f>'8-4.일위대가표'!A717</f>
        <v>품5-65-2</v>
      </c>
      <c r="B255" s="1497" t="str">
        <f>VLOOKUP(A255,'8-4.일위대가표'!$A$4:$N$723,2,FALSE)</f>
        <v>배관용 구멍뚫기(코어드릴 사용기준)</v>
      </c>
      <c r="C255" s="1497" t="str">
        <f>VLOOKUP(A255,'8-4.일위대가표'!$A$4:$N$723,3,FALSE)</f>
        <v>직경 2.5cm, 벽두께 30cm 이하</v>
      </c>
      <c r="D255" s="1498" t="str">
        <f>VLOOKUP(A255,'8-4.일위대가표'!$A$4:$N$723,5,FALSE)</f>
        <v>개소</v>
      </c>
      <c r="E255" s="1691"/>
      <c r="F255" s="1691"/>
      <c r="G255" s="1691"/>
      <c r="H255" s="1698">
        <f t="shared" si="13"/>
        <v>0</v>
      </c>
      <c r="I255" s="1500">
        <f>VLOOKUP(A255,'8-4.일위대가표'!$A$4:$N$723,13,FALSE)</f>
        <v>75554</v>
      </c>
      <c r="J255" s="1508"/>
      <c r="K255" s="1502" t="s">
        <v>3122</v>
      </c>
    </row>
    <row r="256" spans="1:11" s="22" customFormat="1" ht="24.95" customHeight="1">
      <c r="A256" s="267" t="str">
        <f>'8-4.일위대가표'!A720</f>
        <v>품5-66</v>
      </c>
      <c r="B256" s="396" t="str">
        <f>VLOOKUP(A256,'8-4.일위대가표'!$A$4:$N$723,2,FALSE)</f>
        <v>케이블 명찰 취부</v>
      </c>
      <c r="C256" s="396" t="str">
        <f>VLOOKUP(A256,'8-4.일위대가표'!$A$4:$N$723,3,FALSE)</f>
        <v>식별표시용</v>
      </c>
      <c r="D256" s="740" t="str">
        <f>VLOOKUP(A256,'8-4.일위대가표'!$A$4:$N$723,5,FALSE)</f>
        <v>개</v>
      </c>
      <c r="E256" s="316">
        <f>'8-2.설비자재산출(무인보안)'!J79</f>
        <v>16</v>
      </c>
      <c r="F256" s="316"/>
      <c r="G256" s="316"/>
      <c r="H256" s="1694">
        <f t="shared" si="13"/>
        <v>16</v>
      </c>
      <c r="I256" s="744">
        <f>VLOOKUP(A256,'8-4.일위대가표'!$A$4:$N$723,13,FALSE)</f>
        <v>1500</v>
      </c>
      <c r="J256" s="405"/>
      <c r="K256" s="22" t="s">
        <v>3075</v>
      </c>
    </row>
    <row r="257" spans="1:11" s="22" customFormat="1" ht="24.95" customHeight="1">
      <c r="A257" s="267" t="str">
        <f>'8-4.일위대가표'!A722</f>
        <v>품5-67</v>
      </c>
      <c r="B257" s="396" t="str">
        <f>'8-4.일위대가표'!B722</f>
        <v>신호수 배치</v>
      </c>
      <c r="C257" s="396" t="str">
        <f>'8-4.일위대가표'!C722</f>
        <v>-</v>
      </c>
      <c r="D257" s="740" t="str">
        <f>'8-4.일위대가표'!E722</f>
        <v>인/일</v>
      </c>
      <c r="E257" s="316">
        <f>'11-1. 기계경비'!J8</f>
        <v>26</v>
      </c>
      <c r="F257" s="267"/>
      <c r="G257" s="267"/>
      <c r="H257" s="1694">
        <f>E257</f>
        <v>26</v>
      </c>
      <c r="I257" s="744">
        <f>'8-4.일위대가표'!M722</f>
        <v>150079</v>
      </c>
      <c r="J257" s="405"/>
      <c r="K257" s="22" t="s">
        <v>3354</v>
      </c>
    </row>
  </sheetData>
  <autoFilter ref="A164:WVS256" xr:uid="{E460790E-3E02-4FB0-9968-8551DC1DF4D7}"/>
  <mergeCells count="14">
    <mergeCell ref="G5:H5"/>
    <mergeCell ref="I41:I42"/>
    <mergeCell ref="J41:J42"/>
    <mergeCell ref="A41:A42"/>
    <mergeCell ref="B41:B42"/>
    <mergeCell ref="C41:C42"/>
    <mergeCell ref="D41:D42"/>
    <mergeCell ref="J5:J6"/>
    <mergeCell ref="I5:I6"/>
    <mergeCell ref="A5:A6"/>
    <mergeCell ref="B5:B6"/>
    <mergeCell ref="C5:C6"/>
    <mergeCell ref="D5:D6"/>
    <mergeCell ref="E41:H41"/>
  </mergeCells>
  <phoneticPr fontId="11" type="noConversion"/>
  <printOptions horizontalCentered="1"/>
  <pageMargins left="0.35433070866141736" right="0.19685039370078741" top="0.43307086614173229" bottom="0.27559055118110237" header="0.31496062992125984" footer="0.15748031496062992"/>
  <pageSetup paperSize="9" scale="43" orientation="landscape" horizontalDpi="4294967295" verticalDpi="4294967295" r:id="rId1"/>
  <headerFooter>
    <oddFooter>&amp;C&amp;P / &amp;N</oddFooter>
  </headerFooter>
  <rowBreaks count="1" manualBreakCount="1">
    <brk id="160" max="9" man="1"/>
  </rowBreaks>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9D4E3-0E10-4030-BA45-1213D787D14B}">
  <dimension ref="A1:AA723"/>
  <sheetViews>
    <sheetView view="pageBreakPreview" zoomScale="85" zoomScaleNormal="85" zoomScaleSheetLayoutView="85" workbookViewId="0">
      <pane ySplit="3" topLeftCell="A58" activePane="bottomLeft" state="frozen"/>
      <selection activeCell="M18" sqref="M18"/>
      <selection pane="bottomLeft" activeCell="G97" sqref="G97"/>
    </sheetView>
  </sheetViews>
  <sheetFormatPr defaultRowHeight="16.5"/>
  <cols>
    <col min="1" max="1" width="9.5" style="12" customWidth="1"/>
    <col min="2" max="2" width="32.625" style="9" customWidth="1"/>
    <col min="3" max="3" width="19.625" style="9" customWidth="1"/>
    <col min="4" max="4" width="20.625" style="9" customWidth="1"/>
    <col min="5" max="5" width="8.75" style="12" customWidth="1"/>
    <col min="6" max="6" width="17.25" style="12" bestFit="1" customWidth="1"/>
    <col min="7" max="7" width="8.375" style="977" customWidth="1"/>
    <col min="8" max="10" width="6.625" style="977" customWidth="1"/>
    <col min="11" max="11" width="10.5" style="978" customWidth="1"/>
    <col min="12" max="12" width="12.125" style="978" customWidth="1"/>
    <col min="13" max="13" width="13.5" style="978" customWidth="1"/>
    <col min="14" max="14" width="12.125" style="979" customWidth="1"/>
    <col min="15" max="15" width="10.5" style="5" bestFit="1" customWidth="1"/>
    <col min="16" max="16" width="9" style="5" customWidth="1"/>
    <col min="17" max="17" width="11.375" style="5" customWidth="1"/>
    <col min="18" max="261" width="9" style="5"/>
    <col min="262" max="262" width="8.875" style="5" customWidth="1"/>
    <col min="263" max="263" width="6.625" style="5" customWidth="1"/>
    <col min="264" max="264" width="13.25" style="5" customWidth="1"/>
    <col min="265" max="265" width="15.5" style="5" customWidth="1"/>
    <col min="266" max="266" width="4.75" style="5" customWidth="1"/>
    <col min="267" max="267" width="5.75" style="5" customWidth="1"/>
    <col min="268" max="268" width="10.375" style="5" customWidth="1"/>
    <col min="269" max="269" width="13.75" style="5" customWidth="1"/>
    <col min="270" max="270" width="13.875" style="5" bestFit="1" customWidth="1"/>
    <col min="271" max="517" width="9" style="5"/>
    <col min="518" max="518" width="8.875" style="5" customWidth="1"/>
    <col min="519" max="519" width="6.625" style="5" customWidth="1"/>
    <col min="520" max="520" width="13.25" style="5" customWidth="1"/>
    <col min="521" max="521" width="15.5" style="5" customWidth="1"/>
    <col min="522" max="522" width="4.75" style="5" customWidth="1"/>
    <col min="523" max="523" width="5.75" style="5" customWidth="1"/>
    <col min="524" max="524" width="10.375" style="5" customWidth="1"/>
    <col min="525" max="525" width="13.75" style="5" customWidth="1"/>
    <col min="526" max="526" width="13.875" style="5" bestFit="1" customWidth="1"/>
    <col min="527" max="773" width="9" style="5"/>
    <col min="774" max="774" width="8.875" style="5" customWidth="1"/>
    <col min="775" max="775" width="6.625" style="5" customWidth="1"/>
    <col min="776" max="776" width="13.25" style="5" customWidth="1"/>
    <col min="777" max="777" width="15.5" style="5" customWidth="1"/>
    <col min="778" max="778" width="4.75" style="5" customWidth="1"/>
    <col min="779" max="779" width="5.75" style="5" customWidth="1"/>
    <col min="780" max="780" width="10.375" style="5" customWidth="1"/>
    <col min="781" max="781" width="13.75" style="5" customWidth="1"/>
    <col min="782" max="782" width="13.875" style="5" bestFit="1" customWidth="1"/>
    <col min="783" max="1029" width="9" style="5"/>
    <col min="1030" max="1030" width="8.875" style="5" customWidth="1"/>
    <col min="1031" max="1031" width="6.625" style="5" customWidth="1"/>
    <col min="1032" max="1032" width="13.25" style="5" customWidth="1"/>
    <col min="1033" max="1033" width="15.5" style="5" customWidth="1"/>
    <col min="1034" max="1034" width="4.75" style="5" customWidth="1"/>
    <col min="1035" max="1035" width="5.75" style="5" customWidth="1"/>
    <col min="1036" max="1036" width="10.375" style="5" customWidth="1"/>
    <col min="1037" max="1037" width="13.75" style="5" customWidth="1"/>
    <col min="1038" max="1038" width="13.875" style="5" bestFit="1" customWidth="1"/>
    <col min="1039" max="1285" width="9" style="5"/>
    <col min="1286" max="1286" width="8.875" style="5" customWidth="1"/>
    <col min="1287" max="1287" width="6.625" style="5" customWidth="1"/>
    <col min="1288" max="1288" width="13.25" style="5" customWidth="1"/>
    <col min="1289" max="1289" width="15.5" style="5" customWidth="1"/>
    <col min="1290" max="1290" width="4.75" style="5" customWidth="1"/>
    <col min="1291" max="1291" width="5.75" style="5" customWidth="1"/>
    <col min="1292" max="1292" width="10.375" style="5" customWidth="1"/>
    <col min="1293" max="1293" width="13.75" style="5" customWidth="1"/>
    <col min="1294" max="1294" width="13.875" style="5" bestFit="1" customWidth="1"/>
    <col min="1295" max="1541" width="9" style="5"/>
    <col min="1542" max="1542" width="8.875" style="5" customWidth="1"/>
    <col min="1543" max="1543" width="6.625" style="5" customWidth="1"/>
    <col min="1544" max="1544" width="13.25" style="5" customWidth="1"/>
    <col min="1545" max="1545" width="15.5" style="5" customWidth="1"/>
    <col min="1546" max="1546" width="4.75" style="5" customWidth="1"/>
    <col min="1547" max="1547" width="5.75" style="5" customWidth="1"/>
    <col min="1548" max="1548" width="10.375" style="5" customWidth="1"/>
    <col min="1549" max="1549" width="13.75" style="5" customWidth="1"/>
    <col min="1550" max="1550" width="13.875" style="5" bestFit="1" customWidth="1"/>
    <col min="1551" max="1797" width="9" style="5"/>
    <col min="1798" max="1798" width="8.875" style="5" customWidth="1"/>
    <col min="1799" max="1799" width="6.625" style="5" customWidth="1"/>
    <col min="1800" max="1800" width="13.25" style="5" customWidth="1"/>
    <col min="1801" max="1801" width="15.5" style="5" customWidth="1"/>
    <col min="1802" max="1802" width="4.75" style="5" customWidth="1"/>
    <col min="1803" max="1803" width="5.75" style="5" customWidth="1"/>
    <col min="1804" max="1804" width="10.375" style="5" customWidth="1"/>
    <col min="1805" max="1805" width="13.75" style="5" customWidth="1"/>
    <col min="1806" max="1806" width="13.875" style="5" bestFit="1" customWidth="1"/>
    <col min="1807" max="2053" width="9" style="5"/>
    <col min="2054" max="2054" width="8.875" style="5" customWidth="1"/>
    <col min="2055" max="2055" width="6.625" style="5" customWidth="1"/>
    <col min="2056" max="2056" width="13.25" style="5" customWidth="1"/>
    <col min="2057" max="2057" width="15.5" style="5" customWidth="1"/>
    <col min="2058" max="2058" width="4.75" style="5" customWidth="1"/>
    <col min="2059" max="2059" width="5.75" style="5" customWidth="1"/>
    <col min="2060" max="2060" width="10.375" style="5" customWidth="1"/>
    <col min="2061" max="2061" width="13.75" style="5" customWidth="1"/>
    <col min="2062" max="2062" width="13.875" style="5" bestFit="1" customWidth="1"/>
    <col min="2063" max="2309" width="9" style="5"/>
    <col min="2310" max="2310" width="8.875" style="5" customWidth="1"/>
    <col min="2311" max="2311" width="6.625" style="5" customWidth="1"/>
    <col min="2312" max="2312" width="13.25" style="5" customWidth="1"/>
    <col min="2313" max="2313" width="15.5" style="5" customWidth="1"/>
    <col min="2314" max="2314" width="4.75" style="5" customWidth="1"/>
    <col min="2315" max="2315" width="5.75" style="5" customWidth="1"/>
    <col min="2316" max="2316" width="10.375" style="5" customWidth="1"/>
    <col min="2317" max="2317" width="13.75" style="5" customWidth="1"/>
    <col min="2318" max="2318" width="13.875" style="5" bestFit="1" customWidth="1"/>
    <col min="2319" max="2565" width="9" style="5"/>
    <col min="2566" max="2566" width="8.875" style="5" customWidth="1"/>
    <col min="2567" max="2567" width="6.625" style="5" customWidth="1"/>
    <col min="2568" max="2568" width="13.25" style="5" customWidth="1"/>
    <col min="2569" max="2569" width="15.5" style="5" customWidth="1"/>
    <col min="2570" max="2570" width="4.75" style="5" customWidth="1"/>
    <col min="2571" max="2571" width="5.75" style="5" customWidth="1"/>
    <col min="2572" max="2572" width="10.375" style="5" customWidth="1"/>
    <col min="2573" max="2573" width="13.75" style="5" customWidth="1"/>
    <col min="2574" max="2574" width="13.875" style="5" bestFit="1" customWidth="1"/>
    <col min="2575" max="2821" width="9" style="5"/>
    <col min="2822" max="2822" width="8.875" style="5" customWidth="1"/>
    <col min="2823" max="2823" width="6.625" style="5" customWidth="1"/>
    <col min="2824" max="2824" width="13.25" style="5" customWidth="1"/>
    <col min="2825" max="2825" width="15.5" style="5" customWidth="1"/>
    <col min="2826" max="2826" width="4.75" style="5" customWidth="1"/>
    <col min="2827" max="2827" width="5.75" style="5" customWidth="1"/>
    <col min="2828" max="2828" width="10.375" style="5" customWidth="1"/>
    <col min="2829" max="2829" width="13.75" style="5" customWidth="1"/>
    <col min="2830" max="2830" width="13.875" style="5" bestFit="1" customWidth="1"/>
    <col min="2831" max="3077" width="9" style="5"/>
    <col min="3078" max="3078" width="8.875" style="5" customWidth="1"/>
    <col min="3079" max="3079" width="6.625" style="5" customWidth="1"/>
    <col min="3080" max="3080" width="13.25" style="5" customWidth="1"/>
    <col min="3081" max="3081" width="15.5" style="5" customWidth="1"/>
    <col min="3082" max="3082" width="4.75" style="5" customWidth="1"/>
    <col min="3083" max="3083" width="5.75" style="5" customWidth="1"/>
    <col min="3084" max="3084" width="10.375" style="5" customWidth="1"/>
    <col min="3085" max="3085" width="13.75" style="5" customWidth="1"/>
    <col min="3086" max="3086" width="13.875" style="5" bestFit="1" customWidth="1"/>
    <col min="3087" max="3333" width="9" style="5"/>
    <col min="3334" max="3334" width="8.875" style="5" customWidth="1"/>
    <col min="3335" max="3335" width="6.625" style="5" customWidth="1"/>
    <col min="3336" max="3336" width="13.25" style="5" customWidth="1"/>
    <col min="3337" max="3337" width="15.5" style="5" customWidth="1"/>
    <col min="3338" max="3338" width="4.75" style="5" customWidth="1"/>
    <col min="3339" max="3339" width="5.75" style="5" customWidth="1"/>
    <col min="3340" max="3340" width="10.375" style="5" customWidth="1"/>
    <col min="3341" max="3341" width="13.75" style="5" customWidth="1"/>
    <col min="3342" max="3342" width="13.875" style="5" bestFit="1" customWidth="1"/>
    <col min="3343" max="3589" width="9" style="5"/>
    <col min="3590" max="3590" width="8.875" style="5" customWidth="1"/>
    <col min="3591" max="3591" width="6.625" style="5" customWidth="1"/>
    <col min="3592" max="3592" width="13.25" style="5" customWidth="1"/>
    <col min="3593" max="3593" width="15.5" style="5" customWidth="1"/>
    <col min="3594" max="3594" width="4.75" style="5" customWidth="1"/>
    <col min="3595" max="3595" width="5.75" style="5" customWidth="1"/>
    <col min="3596" max="3596" width="10.375" style="5" customWidth="1"/>
    <col min="3597" max="3597" width="13.75" style="5" customWidth="1"/>
    <col min="3598" max="3598" width="13.875" style="5" bestFit="1" customWidth="1"/>
    <col min="3599" max="3845" width="9" style="5"/>
    <col min="3846" max="3846" width="8.875" style="5" customWidth="1"/>
    <col min="3847" max="3847" width="6.625" style="5" customWidth="1"/>
    <col min="3848" max="3848" width="13.25" style="5" customWidth="1"/>
    <col min="3849" max="3849" width="15.5" style="5" customWidth="1"/>
    <col min="3850" max="3850" width="4.75" style="5" customWidth="1"/>
    <col min="3851" max="3851" width="5.75" style="5" customWidth="1"/>
    <col min="3852" max="3852" width="10.375" style="5" customWidth="1"/>
    <col min="3853" max="3853" width="13.75" style="5" customWidth="1"/>
    <col min="3854" max="3854" width="13.875" style="5" bestFit="1" customWidth="1"/>
    <col min="3855" max="4101" width="9" style="5"/>
    <col min="4102" max="4102" width="8.875" style="5" customWidth="1"/>
    <col min="4103" max="4103" width="6.625" style="5" customWidth="1"/>
    <col min="4104" max="4104" width="13.25" style="5" customWidth="1"/>
    <col min="4105" max="4105" width="15.5" style="5" customWidth="1"/>
    <col min="4106" max="4106" width="4.75" style="5" customWidth="1"/>
    <col min="4107" max="4107" width="5.75" style="5" customWidth="1"/>
    <col min="4108" max="4108" width="10.375" style="5" customWidth="1"/>
    <col min="4109" max="4109" width="13.75" style="5" customWidth="1"/>
    <col min="4110" max="4110" width="13.875" style="5" bestFit="1" customWidth="1"/>
    <col min="4111" max="4357" width="9" style="5"/>
    <col min="4358" max="4358" width="8.875" style="5" customWidth="1"/>
    <col min="4359" max="4359" width="6.625" style="5" customWidth="1"/>
    <col min="4360" max="4360" width="13.25" style="5" customWidth="1"/>
    <col min="4361" max="4361" width="15.5" style="5" customWidth="1"/>
    <col min="4362" max="4362" width="4.75" style="5" customWidth="1"/>
    <col min="4363" max="4363" width="5.75" style="5" customWidth="1"/>
    <col min="4364" max="4364" width="10.375" style="5" customWidth="1"/>
    <col min="4365" max="4365" width="13.75" style="5" customWidth="1"/>
    <col min="4366" max="4366" width="13.875" style="5" bestFit="1" customWidth="1"/>
    <col min="4367" max="4613" width="9" style="5"/>
    <col min="4614" max="4614" width="8.875" style="5" customWidth="1"/>
    <col min="4615" max="4615" width="6.625" style="5" customWidth="1"/>
    <col min="4616" max="4616" width="13.25" style="5" customWidth="1"/>
    <col min="4617" max="4617" width="15.5" style="5" customWidth="1"/>
    <col min="4618" max="4618" width="4.75" style="5" customWidth="1"/>
    <col min="4619" max="4619" width="5.75" style="5" customWidth="1"/>
    <col min="4620" max="4620" width="10.375" style="5" customWidth="1"/>
    <col min="4621" max="4621" width="13.75" style="5" customWidth="1"/>
    <col min="4622" max="4622" width="13.875" style="5" bestFit="1" customWidth="1"/>
    <col min="4623" max="4869" width="9" style="5"/>
    <col min="4870" max="4870" width="8.875" style="5" customWidth="1"/>
    <col min="4871" max="4871" width="6.625" style="5" customWidth="1"/>
    <col min="4872" max="4872" width="13.25" style="5" customWidth="1"/>
    <col min="4873" max="4873" width="15.5" style="5" customWidth="1"/>
    <col min="4874" max="4874" width="4.75" style="5" customWidth="1"/>
    <col min="4875" max="4875" width="5.75" style="5" customWidth="1"/>
    <col min="4876" max="4876" width="10.375" style="5" customWidth="1"/>
    <col min="4877" max="4877" width="13.75" style="5" customWidth="1"/>
    <col min="4878" max="4878" width="13.875" style="5" bestFit="1" customWidth="1"/>
    <col min="4879" max="5125" width="9" style="5"/>
    <col min="5126" max="5126" width="8.875" style="5" customWidth="1"/>
    <col min="5127" max="5127" width="6.625" style="5" customWidth="1"/>
    <col min="5128" max="5128" width="13.25" style="5" customWidth="1"/>
    <col min="5129" max="5129" width="15.5" style="5" customWidth="1"/>
    <col min="5130" max="5130" width="4.75" style="5" customWidth="1"/>
    <col min="5131" max="5131" width="5.75" style="5" customWidth="1"/>
    <col min="5132" max="5132" width="10.375" style="5" customWidth="1"/>
    <col min="5133" max="5133" width="13.75" style="5" customWidth="1"/>
    <col min="5134" max="5134" width="13.875" style="5" bestFit="1" customWidth="1"/>
    <col min="5135" max="5381" width="9" style="5"/>
    <col min="5382" max="5382" width="8.875" style="5" customWidth="1"/>
    <col min="5383" max="5383" width="6.625" style="5" customWidth="1"/>
    <col min="5384" max="5384" width="13.25" style="5" customWidth="1"/>
    <col min="5385" max="5385" width="15.5" style="5" customWidth="1"/>
    <col min="5386" max="5386" width="4.75" style="5" customWidth="1"/>
    <col min="5387" max="5387" width="5.75" style="5" customWidth="1"/>
    <col min="5388" max="5388" width="10.375" style="5" customWidth="1"/>
    <col min="5389" max="5389" width="13.75" style="5" customWidth="1"/>
    <col min="5390" max="5390" width="13.875" style="5" bestFit="1" customWidth="1"/>
    <col min="5391" max="5637" width="9" style="5"/>
    <col min="5638" max="5638" width="8.875" style="5" customWidth="1"/>
    <col min="5639" max="5639" width="6.625" style="5" customWidth="1"/>
    <col min="5640" max="5640" width="13.25" style="5" customWidth="1"/>
    <col min="5641" max="5641" width="15.5" style="5" customWidth="1"/>
    <col min="5642" max="5642" width="4.75" style="5" customWidth="1"/>
    <col min="5643" max="5643" width="5.75" style="5" customWidth="1"/>
    <col min="5644" max="5644" width="10.375" style="5" customWidth="1"/>
    <col min="5645" max="5645" width="13.75" style="5" customWidth="1"/>
    <col min="5646" max="5646" width="13.875" style="5" bestFit="1" customWidth="1"/>
    <col min="5647" max="5893" width="9" style="5"/>
    <col min="5894" max="5894" width="8.875" style="5" customWidth="1"/>
    <col min="5895" max="5895" width="6.625" style="5" customWidth="1"/>
    <col min="5896" max="5896" width="13.25" style="5" customWidth="1"/>
    <col min="5897" max="5897" width="15.5" style="5" customWidth="1"/>
    <col min="5898" max="5898" width="4.75" style="5" customWidth="1"/>
    <col min="5899" max="5899" width="5.75" style="5" customWidth="1"/>
    <col min="5900" max="5900" width="10.375" style="5" customWidth="1"/>
    <col min="5901" max="5901" width="13.75" style="5" customWidth="1"/>
    <col min="5902" max="5902" width="13.875" style="5" bestFit="1" customWidth="1"/>
    <col min="5903" max="6149" width="9" style="5"/>
    <col min="6150" max="6150" width="8.875" style="5" customWidth="1"/>
    <col min="6151" max="6151" width="6.625" style="5" customWidth="1"/>
    <col min="6152" max="6152" width="13.25" style="5" customWidth="1"/>
    <col min="6153" max="6153" width="15.5" style="5" customWidth="1"/>
    <col min="6154" max="6154" width="4.75" style="5" customWidth="1"/>
    <col min="6155" max="6155" width="5.75" style="5" customWidth="1"/>
    <col min="6156" max="6156" width="10.375" style="5" customWidth="1"/>
    <col min="6157" max="6157" width="13.75" style="5" customWidth="1"/>
    <col min="6158" max="6158" width="13.875" style="5" bestFit="1" customWidth="1"/>
    <col min="6159" max="6405" width="9" style="5"/>
    <col min="6406" max="6406" width="8.875" style="5" customWidth="1"/>
    <col min="6407" max="6407" width="6.625" style="5" customWidth="1"/>
    <col min="6408" max="6408" width="13.25" style="5" customWidth="1"/>
    <col min="6409" max="6409" width="15.5" style="5" customWidth="1"/>
    <col min="6410" max="6410" width="4.75" style="5" customWidth="1"/>
    <col min="6411" max="6411" width="5.75" style="5" customWidth="1"/>
    <col min="6412" max="6412" width="10.375" style="5" customWidth="1"/>
    <col min="6413" max="6413" width="13.75" style="5" customWidth="1"/>
    <col min="6414" max="6414" width="13.875" style="5" bestFit="1" customWidth="1"/>
    <col min="6415" max="6661" width="9" style="5"/>
    <col min="6662" max="6662" width="8.875" style="5" customWidth="1"/>
    <col min="6663" max="6663" width="6.625" style="5" customWidth="1"/>
    <col min="6664" max="6664" width="13.25" style="5" customWidth="1"/>
    <col min="6665" max="6665" width="15.5" style="5" customWidth="1"/>
    <col min="6666" max="6666" width="4.75" style="5" customWidth="1"/>
    <col min="6667" max="6667" width="5.75" style="5" customWidth="1"/>
    <col min="6668" max="6668" width="10.375" style="5" customWidth="1"/>
    <col min="6669" max="6669" width="13.75" style="5" customWidth="1"/>
    <col min="6670" max="6670" width="13.875" style="5" bestFit="1" customWidth="1"/>
    <col min="6671" max="6917" width="9" style="5"/>
    <col min="6918" max="6918" width="8.875" style="5" customWidth="1"/>
    <col min="6919" max="6919" width="6.625" style="5" customWidth="1"/>
    <col min="6920" max="6920" width="13.25" style="5" customWidth="1"/>
    <col min="6921" max="6921" width="15.5" style="5" customWidth="1"/>
    <col min="6922" max="6922" width="4.75" style="5" customWidth="1"/>
    <col min="6923" max="6923" width="5.75" style="5" customWidth="1"/>
    <col min="6924" max="6924" width="10.375" style="5" customWidth="1"/>
    <col min="6925" max="6925" width="13.75" style="5" customWidth="1"/>
    <col min="6926" max="6926" width="13.875" style="5" bestFit="1" customWidth="1"/>
    <col min="6927" max="7173" width="9" style="5"/>
    <col min="7174" max="7174" width="8.875" style="5" customWidth="1"/>
    <col min="7175" max="7175" width="6.625" style="5" customWidth="1"/>
    <col min="7176" max="7176" width="13.25" style="5" customWidth="1"/>
    <col min="7177" max="7177" width="15.5" style="5" customWidth="1"/>
    <col min="7178" max="7178" width="4.75" style="5" customWidth="1"/>
    <col min="7179" max="7179" width="5.75" style="5" customWidth="1"/>
    <col min="7180" max="7180" width="10.375" style="5" customWidth="1"/>
    <col min="7181" max="7181" width="13.75" style="5" customWidth="1"/>
    <col min="7182" max="7182" width="13.875" style="5" bestFit="1" customWidth="1"/>
    <col min="7183" max="7429" width="9" style="5"/>
    <col min="7430" max="7430" width="8.875" style="5" customWidth="1"/>
    <col min="7431" max="7431" width="6.625" style="5" customWidth="1"/>
    <col min="7432" max="7432" width="13.25" style="5" customWidth="1"/>
    <col min="7433" max="7433" width="15.5" style="5" customWidth="1"/>
    <col min="7434" max="7434" width="4.75" style="5" customWidth="1"/>
    <col min="7435" max="7435" width="5.75" style="5" customWidth="1"/>
    <col min="7436" max="7436" width="10.375" style="5" customWidth="1"/>
    <col min="7437" max="7437" width="13.75" style="5" customWidth="1"/>
    <col min="7438" max="7438" width="13.875" style="5" bestFit="1" customWidth="1"/>
    <col min="7439" max="7685" width="9" style="5"/>
    <col min="7686" max="7686" width="8.875" style="5" customWidth="1"/>
    <col min="7687" max="7687" width="6.625" style="5" customWidth="1"/>
    <col min="7688" max="7688" width="13.25" style="5" customWidth="1"/>
    <col min="7689" max="7689" width="15.5" style="5" customWidth="1"/>
    <col min="7690" max="7690" width="4.75" style="5" customWidth="1"/>
    <col min="7691" max="7691" width="5.75" style="5" customWidth="1"/>
    <col min="7692" max="7692" width="10.375" style="5" customWidth="1"/>
    <col min="7693" max="7693" width="13.75" style="5" customWidth="1"/>
    <col min="7694" max="7694" width="13.875" style="5" bestFit="1" customWidth="1"/>
    <col min="7695" max="7941" width="9" style="5"/>
    <col min="7942" max="7942" width="8.875" style="5" customWidth="1"/>
    <col min="7943" max="7943" width="6.625" style="5" customWidth="1"/>
    <col min="7944" max="7944" width="13.25" style="5" customWidth="1"/>
    <col min="7945" max="7945" width="15.5" style="5" customWidth="1"/>
    <col min="7946" max="7946" width="4.75" style="5" customWidth="1"/>
    <col min="7947" max="7947" width="5.75" style="5" customWidth="1"/>
    <col min="7948" max="7948" width="10.375" style="5" customWidth="1"/>
    <col min="7949" max="7949" width="13.75" style="5" customWidth="1"/>
    <col min="7950" max="7950" width="13.875" style="5" bestFit="1" customWidth="1"/>
    <col min="7951" max="8197" width="9" style="5"/>
    <col min="8198" max="8198" width="8.875" style="5" customWidth="1"/>
    <col min="8199" max="8199" width="6.625" style="5" customWidth="1"/>
    <col min="8200" max="8200" width="13.25" style="5" customWidth="1"/>
    <col min="8201" max="8201" width="15.5" style="5" customWidth="1"/>
    <col min="8202" max="8202" width="4.75" style="5" customWidth="1"/>
    <col min="8203" max="8203" width="5.75" style="5" customWidth="1"/>
    <col min="8204" max="8204" width="10.375" style="5" customWidth="1"/>
    <col min="8205" max="8205" width="13.75" style="5" customWidth="1"/>
    <col min="8206" max="8206" width="13.875" style="5" bestFit="1" customWidth="1"/>
    <col min="8207" max="8453" width="9" style="5"/>
    <col min="8454" max="8454" width="8.875" style="5" customWidth="1"/>
    <col min="8455" max="8455" width="6.625" style="5" customWidth="1"/>
    <col min="8456" max="8456" width="13.25" style="5" customWidth="1"/>
    <col min="8457" max="8457" width="15.5" style="5" customWidth="1"/>
    <col min="8458" max="8458" width="4.75" style="5" customWidth="1"/>
    <col min="8459" max="8459" width="5.75" style="5" customWidth="1"/>
    <col min="8460" max="8460" width="10.375" style="5" customWidth="1"/>
    <col min="8461" max="8461" width="13.75" style="5" customWidth="1"/>
    <col min="8462" max="8462" width="13.875" style="5" bestFit="1" customWidth="1"/>
    <col min="8463" max="8709" width="9" style="5"/>
    <col min="8710" max="8710" width="8.875" style="5" customWidth="1"/>
    <col min="8711" max="8711" width="6.625" style="5" customWidth="1"/>
    <col min="8712" max="8712" width="13.25" style="5" customWidth="1"/>
    <col min="8713" max="8713" width="15.5" style="5" customWidth="1"/>
    <col min="8714" max="8714" width="4.75" style="5" customWidth="1"/>
    <col min="8715" max="8715" width="5.75" style="5" customWidth="1"/>
    <col min="8716" max="8716" width="10.375" style="5" customWidth="1"/>
    <col min="8717" max="8717" width="13.75" style="5" customWidth="1"/>
    <col min="8718" max="8718" width="13.875" style="5" bestFit="1" customWidth="1"/>
    <col min="8719" max="8965" width="9" style="5"/>
    <col min="8966" max="8966" width="8.875" style="5" customWidth="1"/>
    <col min="8967" max="8967" width="6.625" style="5" customWidth="1"/>
    <col min="8968" max="8968" width="13.25" style="5" customWidth="1"/>
    <col min="8969" max="8969" width="15.5" style="5" customWidth="1"/>
    <col min="8970" max="8970" width="4.75" style="5" customWidth="1"/>
    <col min="8971" max="8971" width="5.75" style="5" customWidth="1"/>
    <col min="8972" max="8972" width="10.375" style="5" customWidth="1"/>
    <col min="8973" max="8973" width="13.75" style="5" customWidth="1"/>
    <col min="8974" max="8974" width="13.875" style="5" bestFit="1" customWidth="1"/>
    <col min="8975" max="9221" width="9" style="5"/>
    <col min="9222" max="9222" width="8.875" style="5" customWidth="1"/>
    <col min="9223" max="9223" width="6.625" style="5" customWidth="1"/>
    <col min="9224" max="9224" width="13.25" style="5" customWidth="1"/>
    <col min="9225" max="9225" width="15.5" style="5" customWidth="1"/>
    <col min="9226" max="9226" width="4.75" style="5" customWidth="1"/>
    <col min="9227" max="9227" width="5.75" style="5" customWidth="1"/>
    <col min="9228" max="9228" width="10.375" style="5" customWidth="1"/>
    <col min="9229" max="9229" width="13.75" style="5" customWidth="1"/>
    <col min="9230" max="9230" width="13.875" style="5" bestFit="1" customWidth="1"/>
    <col min="9231" max="9477" width="9" style="5"/>
    <col min="9478" max="9478" width="8.875" style="5" customWidth="1"/>
    <col min="9479" max="9479" width="6.625" style="5" customWidth="1"/>
    <col min="9480" max="9480" width="13.25" style="5" customWidth="1"/>
    <col min="9481" max="9481" width="15.5" style="5" customWidth="1"/>
    <col min="9482" max="9482" width="4.75" style="5" customWidth="1"/>
    <col min="9483" max="9483" width="5.75" style="5" customWidth="1"/>
    <col min="9484" max="9484" width="10.375" style="5" customWidth="1"/>
    <col min="9485" max="9485" width="13.75" style="5" customWidth="1"/>
    <col min="9486" max="9486" width="13.875" style="5" bestFit="1" customWidth="1"/>
    <col min="9487" max="9733" width="9" style="5"/>
    <col min="9734" max="9734" width="8.875" style="5" customWidth="1"/>
    <col min="9735" max="9735" width="6.625" style="5" customWidth="1"/>
    <col min="9736" max="9736" width="13.25" style="5" customWidth="1"/>
    <col min="9737" max="9737" width="15.5" style="5" customWidth="1"/>
    <col min="9738" max="9738" width="4.75" style="5" customWidth="1"/>
    <col min="9739" max="9739" width="5.75" style="5" customWidth="1"/>
    <col min="9740" max="9740" width="10.375" style="5" customWidth="1"/>
    <col min="9741" max="9741" width="13.75" style="5" customWidth="1"/>
    <col min="9742" max="9742" width="13.875" style="5" bestFit="1" customWidth="1"/>
    <col min="9743" max="9989" width="9" style="5"/>
    <col min="9990" max="9990" width="8.875" style="5" customWidth="1"/>
    <col min="9991" max="9991" width="6.625" style="5" customWidth="1"/>
    <col min="9992" max="9992" width="13.25" style="5" customWidth="1"/>
    <col min="9993" max="9993" width="15.5" style="5" customWidth="1"/>
    <col min="9994" max="9994" width="4.75" style="5" customWidth="1"/>
    <col min="9995" max="9995" width="5.75" style="5" customWidth="1"/>
    <col min="9996" max="9996" width="10.375" style="5" customWidth="1"/>
    <col min="9997" max="9997" width="13.75" style="5" customWidth="1"/>
    <col min="9998" max="9998" width="13.875" style="5" bestFit="1" customWidth="1"/>
    <col min="9999" max="10245" width="9" style="5"/>
    <col min="10246" max="10246" width="8.875" style="5" customWidth="1"/>
    <col min="10247" max="10247" width="6.625" style="5" customWidth="1"/>
    <col min="10248" max="10248" width="13.25" style="5" customWidth="1"/>
    <col min="10249" max="10249" width="15.5" style="5" customWidth="1"/>
    <col min="10250" max="10250" width="4.75" style="5" customWidth="1"/>
    <col min="10251" max="10251" width="5.75" style="5" customWidth="1"/>
    <col min="10252" max="10252" width="10.375" style="5" customWidth="1"/>
    <col min="10253" max="10253" width="13.75" style="5" customWidth="1"/>
    <col min="10254" max="10254" width="13.875" style="5" bestFit="1" customWidth="1"/>
    <col min="10255" max="10501" width="9" style="5"/>
    <col min="10502" max="10502" width="8.875" style="5" customWidth="1"/>
    <col min="10503" max="10503" width="6.625" style="5" customWidth="1"/>
    <col min="10504" max="10504" width="13.25" style="5" customWidth="1"/>
    <col min="10505" max="10505" width="15.5" style="5" customWidth="1"/>
    <col min="10506" max="10506" width="4.75" style="5" customWidth="1"/>
    <col min="10507" max="10507" width="5.75" style="5" customWidth="1"/>
    <col min="10508" max="10508" width="10.375" style="5" customWidth="1"/>
    <col min="10509" max="10509" width="13.75" style="5" customWidth="1"/>
    <col min="10510" max="10510" width="13.875" style="5" bestFit="1" customWidth="1"/>
    <col min="10511" max="10757" width="9" style="5"/>
    <col min="10758" max="10758" width="8.875" style="5" customWidth="1"/>
    <col min="10759" max="10759" width="6.625" style="5" customWidth="1"/>
    <col min="10760" max="10760" width="13.25" style="5" customWidth="1"/>
    <col min="10761" max="10761" width="15.5" style="5" customWidth="1"/>
    <col min="10762" max="10762" width="4.75" style="5" customWidth="1"/>
    <col min="10763" max="10763" width="5.75" style="5" customWidth="1"/>
    <col min="10764" max="10764" width="10.375" style="5" customWidth="1"/>
    <col min="10765" max="10765" width="13.75" style="5" customWidth="1"/>
    <col min="10766" max="10766" width="13.875" style="5" bestFit="1" customWidth="1"/>
    <col min="10767" max="11013" width="9" style="5"/>
    <col min="11014" max="11014" width="8.875" style="5" customWidth="1"/>
    <col min="11015" max="11015" width="6.625" style="5" customWidth="1"/>
    <col min="11016" max="11016" width="13.25" style="5" customWidth="1"/>
    <col min="11017" max="11017" width="15.5" style="5" customWidth="1"/>
    <col min="11018" max="11018" width="4.75" style="5" customWidth="1"/>
    <col min="11019" max="11019" width="5.75" style="5" customWidth="1"/>
    <col min="11020" max="11020" width="10.375" style="5" customWidth="1"/>
    <col min="11021" max="11021" width="13.75" style="5" customWidth="1"/>
    <col min="11022" max="11022" width="13.875" style="5" bestFit="1" customWidth="1"/>
    <col min="11023" max="11269" width="9" style="5"/>
    <col min="11270" max="11270" width="8.875" style="5" customWidth="1"/>
    <col min="11271" max="11271" width="6.625" style="5" customWidth="1"/>
    <col min="11272" max="11272" width="13.25" style="5" customWidth="1"/>
    <col min="11273" max="11273" width="15.5" style="5" customWidth="1"/>
    <col min="11274" max="11274" width="4.75" style="5" customWidth="1"/>
    <col min="11275" max="11275" width="5.75" style="5" customWidth="1"/>
    <col min="11276" max="11276" width="10.375" style="5" customWidth="1"/>
    <col min="11277" max="11277" width="13.75" style="5" customWidth="1"/>
    <col min="11278" max="11278" width="13.875" style="5" bestFit="1" customWidth="1"/>
    <col min="11279" max="11525" width="9" style="5"/>
    <col min="11526" max="11526" width="8.875" style="5" customWidth="1"/>
    <col min="11527" max="11527" width="6.625" style="5" customWidth="1"/>
    <col min="11528" max="11528" width="13.25" style="5" customWidth="1"/>
    <col min="11529" max="11529" width="15.5" style="5" customWidth="1"/>
    <col min="11530" max="11530" width="4.75" style="5" customWidth="1"/>
    <col min="11531" max="11531" width="5.75" style="5" customWidth="1"/>
    <col min="11532" max="11532" width="10.375" style="5" customWidth="1"/>
    <col min="11533" max="11533" width="13.75" style="5" customWidth="1"/>
    <col min="11534" max="11534" width="13.875" style="5" bestFit="1" customWidth="1"/>
    <col min="11535" max="11781" width="9" style="5"/>
    <col min="11782" max="11782" width="8.875" style="5" customWidth="1"/>
    <col min="11783" max="11783" width="6.625" style="5" customWidth="1"/>
    <col min="11784" max="11784" width="13.25" style="5" customWidth="1"/>
    <col min="11785" max="11785" width="15.5" style="5" customWidth="1"/>
    <col min="11786" max="11786" width="4.75" style="5" customWidth="1"/>
    <col min="11787" max="11787" width="5.75" style="5" customWidth="1"/>
    <col min="11788" max="11788" width="10.375" style="5" customWidth="1"/>
    <col min="11789" max="11789" width="13.75" style="5" customWidth="1"/>
    <col min="11790" max="11790" width="13.875" style="5" bestFit="1" customWidth="1"/>
    <col min="11791" max="12037" width="9" style="5"/>
    <col min="12038" max="12038" width="8.875" style="5" customWidth="1"/>
    <col min="12039" max="12039" width="6.625" style="5" customWidth="1"/>
    <col min="12040" max="12040" width="13.25" style="5" customWidth="1"/>
    <col min="12041" max="12041" width="15.5" style="5" customWidth="1"/>
    <col min="12042" max="12042" width="4.75" style="5" customWidth="1"/>
    <col min="12043" max="12043" width="5.75" style="5" customWidth="1"/>
    <col min="12044" max="12044" width="10.375" style="5" customWidth="1"/>
    <col min="12045" max="12045" width="13.75" style="5" customWidth="1"/>
    <col min="12046" max="12046" width="13.875" style="5" bestFit="1" customWidth="1"/>
    <col min="12047" max="12293" width="9" style="5"/>
    <col min="12294" max="12294" width="8.875" style="5" customWidth="1"/>
    <col min="12295" max="12295" width="6.625" style="5" customWidth="1"/>
    <col min="12296" max="12296" width="13.25" style="5" customWidth="1"/>
    <col min="12297" max="12297" width="15.5" style="5" customWidth="1"/>
    <col min="12298" max="12298" width="4.75" style="5" customWidth="1"/>
    <col min="12299" max="12299" width="5.75" style="5" customWidth="1"/>
    <col min="12300" max="12300" width="10.375" style="5" customWidth="1"/>
    <col min="12301" max="12301" width="13.75" style="5" customWidth="1"/>
    <col min="12302" max="12302" width="13.875" style="5" bestFit="1" customWidth="1"/>
    <col min="12303" max="12549" width="9" style="5"/>
    <col min="12550" max="12550" width="8.875" style="5" customWidth="1"/>
    <col min="12551" max="12551" width="6.625" style="5" customWidth="1"/>
    <col min="12552" max="12552" width="13.25" style="5" customWidth="1"/>
    <col min="12553" max="12553" width="15.5" style="5" customWidth="1"/>
    <col min="12554" max="12554" width="4.75" style="5" customWidth="1"/>
    <col min="12555" max="12555" width="5.75" style="5" customWidth="1"/>
    <col min="12556" max="12556" width="10.375" style="5" customWidth="1"/>
    <col min="12557" max="12557" width="13.75" style="5" customWidth="1"/>
    <col min="12558" max="12558" width="13.875" style="5" bestFit="1" customWidth="1"/>
    <col min="12559" max="12805" width="9" style="5"/>
    <col min="12806" max="12806" width="8.875" style="5" customWidth="1"/>
    <col min="12807" max="12807" width="6.625" style="5" customWidth="1"/>
    <col min="12808" max="12808" width="13.25" style="5" customWidth="1"/>
    <col min="12809" max="12809" width="15.5" style="5" customWidth="1"/>
    <col min="12810" max="12810" width="4.75" style="5" customWidth="1"/>
    <col min="12811" max="12811" width="5.75" style="5" customWidth="1"/>
    <col min="12812" max="12812" width="10.375" style="5" customWidth="1"/>
    <col min="12813" max="12813" width="13.75" style="5" customWidth="1"/>
    <col min="12814" max="12814" width="13.875" style="5" bestFit="1" customWidth="1"/>
    <col min="12815" max="13061" width="9" style="5"/>
    <col min="13062" max="13062" width="8.875" style="5" customWidth="1"/>
    <col min="13063" max="13063" width="6.625" style="5" customWidth="1"/>
    <col min="13064" max="13064" width="13.25" style="5" customWidth="1"/>
    <col min="13065" max="13065" width="15.5" style="5" customWidth="1"/>
    <col min="13066" max="13066" width="4.75" style="5" customWidth="1"/>
    <col min="13067" max="13067" width="5.75" style="5" customWidth="1"/>
    <col min="13068" max="13068" width="10.375" style="5" customWidth="1"/>
    <col min="13069" max="13069" width="13.75" style="5" customWidth="1"/>
    <col min="13070" max="13070" width="13.875" style="5" bestFit="1" customWidth="1"/>
    <col min="13071" max="13317" width="9" style="5"/>
    <col min="13318" max="13318" width="8.875" style="5" customWidth="1"/>
    <col min="13319" max="13319" width="6.625" style="5" customWidth="1"/>
    <col min="13320" max="13320" width="13.25" style="5" customWidth="1"/>
    <col min="13321" max="13321" width="15.5" style="5" customWidth="1"/>
    <col min="13322" max="13322" width="4.75" style="5" customWidth="1"/>
    <col min="13323" max="13323" width="5.75" style="5" customWidth="1"/>
    <col min="13324" max="13324" width="10.375" style="5" customWidth="1"/>
    <col min="13325" max="13325" width="13.75" style="5" customWidth="1"/>
    <col min="13326" max="13326" width="13.875" style="5" bestFit="1" customWidth="1"/>
    <col min="13327" max="13573" width="9" style="5"/>
    <col min="13574" max="13574" width="8.875" style="5" customWidth="1"/>
    <col min="13575" max="13575" width="6.625" style="5" customWidth="1"/>
    <col min="13576" max="13576" width="13.25" style="5" customWidth="1"/>
    <col min="13577" max="13577" width="15.5" style="5" customWidth="1"/>
    <col min="13578" max="13578" width="4.75" style="5" customWidth="1"/>
    <col min="13579" max="13579" width="5.75" style="5" customWidth="1"/>
    <col min="13580" max="13580" width="10.375" style="5" customWidth="1"/>
    <col min="13581" max="13581" width="13.75" style="5" customWidth="1"/>
    <col min="13582" max="13582" width="13.875" style="5" bestFit="1" customWidth="1"/>
    <col min="13583" max="13829" width="9" style="5"/>
    <col min="13830" max="13830" width="8.875" style="5" customWidth="1"/>
    <col min="13831" max="13831" width="6.625" style="5" customWidth="1"/>
    <col min="13832" max="13832" width="13.25" style="5" customWidth="1"/>
    <col min="13833" max="13833" width="15.5" style="5" customWidth="1"/>
    <col min="13834" max="13834" width="4.75" style="5" customWidth="1"/>
    <col min="13835" max="13835" width="5.75" style="5" customWidth="1"/>
    <col min="13836" max="13836" width="10.375" style="5" customWidth="1"/>
    <col min="13837" max="13837" width="13.75" style="5" customWidth="1"/>
    <col min="13838" max="13838" width="13.875" style="5" bestFit="1" customWidth="1"/>
    <col min="13839" max="14085" width="9" style="5"/>
    <col min="14086" max="14086" width="8.875" style="5" customWidth="1"/>
    <col min="14087" max="14087" width="6.625" style="5" customWidth="1"/>
    <col min="14088" max="14088" width="13.25" style="5" customWidth="1"/>
    <col min="14089" max="14089" width="15.5" style="5" customWidth="1"/>
    <col min="14090" max="14090" width="4.75" style="5" customWidth="1"/>
    <col min="14091" max="14091" width="5.75" style="5" customWidth="1"/>
    <col min="14092" max="14092" width="10.375" style="5" customWidth="1"/>
    <col min="14093" max="14093" width="13.75" style="5" customWidth="1"/>
    <col min="14094" max="14094" width="13.875" style="5" bestFit="1" customWidth="1"/>
    <col min="14095" max="14341" width="9" style="5"/>
    <col min="14342" max="14342" width="8.875" style="5" customWidth="1"/>
    <col min="14343" max="14343" width="6.625" style="5" customWidth="1"/>
    <col min="14344" max="14344" width="13.25" style="5" customWidth="1"/>
    <col min="14345" max="14345" width="15.5" style="5" customWidth="1"/>
    <col min="14346" max="14346" width="4.75" style="5" customWidth="1"/>
    <col min="14347" max="14347" width="5.75" style="5" customWidth="1"/>
    <col min="14348" max="14348" width="10.375" style="5" customWidth="1"/>
    <col min="14349" max="14349" width="13.75" style="5" customWidth="1"/>
    <col min="14350" max="14350" width="13.875" style="5" bestFit="1" customWidth="1"/>
    <col min="14351" max="14597" width="9" style="5"/>
    <col min="14598" max="14598" width="8.875" style="5" customWidth="1"/>
    <col min="14599" max="14599" width="6.625" style="5" customWidth="1"/>
    <col min="14600" max="14600" width="13.25" style="5" customWidth="1"/>
    <col min="14601" max="14601" width="15.5" style="5" customWidth="1"/>
    <col min="14602" max="14602" width="4.75" style="5" customWidth="1"/>
    <col min="14603" max="14603" width="5.75" style="5" customWidth="1"/>
    <col min="14604" max="14604" width="10.375" style="5" customWidth="1"/>
    <col min="14605" max="14605" width="13.75" style="5" customWidth="1"/>
    <col min="14606" max="14606" width="13.875" style="5" bestFit="1" customWidth="1"/>
    <col min="14607" max="14853" width="9" style="5"/>
    <col min="14854" max="14854" width="8.875" style="5" customWidth="1"/>
    <col min="14855" max="14855" width="6.625" style="5" customWidth="1"/>
    <col min="14856" max="14856" width="13.25" style="5" customWidth="1"/>
    <col min="14857" max="14857" width="15.5" style="5" customWidth="1"/>
    <col min="14858" max="14858" width="4.75" style="5" customWidth="1"/>
    <col min="14859" max="14859" width="5.75" style="5" customWidth="1"/>
    <col min="14860" max="14860" width="10.375" style="5" customWidth="1"/>
    <col min="14861" max="14861" width="13.75" style="5" customWidth="1"/>
    <col min="14862" max="14862" width="13.875" style="5" bestFit="1" customWidth="1"/>
    <col min="14863" max="15109" width="9" style="5"/>
    <col min="15110" max="15110" width="8.875" style="5" customWidth="1"/>
    <col min="15111" max="15111" width="6.625" style="5" customWidth="1"/>
    <col min="15112" max="15112" width="13.25" style="5" customWidth="1"/>
    <col min="15113" max="15113" width="15.5" style="5" customWidth="1"/>
    <col min="15114" max="15114" width="4.75" style="5" customWidth="1"/>
    <col min="15115" max="15115" width="5.75" style="5" customWidth="1"/>
    <col min="15116" max="15116" width="10.375" style="5" customWidth="1"/>
    <col min="15117" max="15117" width="13.75" style="5" customWidth="1"/>
    <col min="15118" max="15118" width="13.875" style="5" bestFit="1" customWidth="1"/>
    <col min="15119" max="15365" width="9" style="5"/>
    <col min="15366" max="15366" width="8.875" style="5" customWidth="1"/>
    <col min="15367" max="15367" width="6.625" style="5" customWidth="1"/>
    <col min="15368" max="15368" width="13.25" style="5" customWidth="1"/>
    <col min="15369" max="15369" width="15.5" style="5" customWidth="1"/>
    <col min="15370" max="15370" width="4.75" style="5" customWidth="1"/>
    <col min="15371" max="15371" width="5.75" style="5" customWidth="1"/>
    <col min="15372" max="15372" width="10.375" style="5" customWidth="1"/>
    <col min="15373" max="15373" width="13.75" style="5" customWidth="1"/>
    <col min="15374" max="15374" width="13.875" style="5" bestFit="1" customWidth="1"/>
    <col min="15375" max="15621" width="9" style="5"/>
    <col min="15622" max="15622" width="8.875" style="5" customWidth="1"/>
    <col min="15623" max="15623" width="6.625" style="5" customWidth="1"/>
    <col min="15624" max="15624" width="13.25" style="5" customWidth="1"/>
    <col min="15625" max="15625" width="15.5" style="5" customWidth="1"/>
    <col min="15626" max="15626" width="4.75" style="5" customWidth="1"/>
    <col min="15627" max="15627" width="5.75" style="5" customWidth="1"/>
    <col min="15628" max="15628" width="10.375" style="5" customWidth="1"/>
    <col min="15629" max="15629" width="13.75" style="5" customWidth="1"/>
    <col min="15630" max="15630" width="13.875" style="5" bestFit="1" customWidth="1"/>
    <col min="15631" max="15877" width="9" style="5"/>
    <col min="15878" max="15878" width="8.875" style="5" customWidth="1"/>
    <col min="15879" max="15879" width="6.625" style="5" customWidth="1"/>
    <col min="15880" max="15880" width="13.25" style="5" customWidth="1"/>
    <col min="15881" max="15881" width="15.5" style="5" customWidth="1"/>
    <col min="15882" max="15882" width="4.75" style="5" customWidth="1"/>
    <col min="15883" max="15883" width="5.75" style="5" customWidth="1"/>
    <col min="15884" max="15884" width="10.375" style="5" customWidth="1"/>
    <col min="15885" max="15885" width="13.75" style="5" customWidth="1"/>
    <col min="15886" max="15886" width="13.875" style="5" bestFit="1" customWidth="1"/>
    <col min="15887" max="16133" width="9" style="5"/>
    <col min="16134" max="16134" width="8.875" style="5" customWidth="1"/>
    <col min="16135" max="16135" width="6.625" style="5" customWidth="1"/>
    <col min="16136" max="16136" width="13.25" style="5" customWidth="1"/>
    <col min="16137" max="16137" width="15.5" style="5" customWidth="1"/>
    <col min="16138" max="16138" width="4.75" style="5" customWidth="1"/>
    <col min="16139" max="16139" width="5.75" style="5" customWidth="1"/>
    <col min="16140" max="16140" width="10.375" style="5" customWidth="1"/>
    <col min="16141" max="16141" width="13.75" style="5" customWidth="1"/>
    <col min="16142" max="16142" width="13.875" style="5" bestFit="1" customWidth="1"/>
    <col min="16143" max="16384" width="9" style="5"/>
  </cols>
  <sheetData>
    <row r="1" spans="1:27" s="9" customFormat="1" ht="38.1" customHeight="1">
      <c r="A1" s="927" t="s">
        <v>2610</v>
      </c>
      <c r="B1" s="927"/>
      <c r="C1" s="927"/>
      <c r="D1" s="927"/>
      <c r="E1" s="927"/>
      <c r="F1" s="927"/>
      <c r="G1" s="927"/>
      <c r="H1" s="927"/>
      <c r="I1" s="927"/>
      <c r="J1" s="927"/>
      <c r="K1" s="927"/>
      <c r="L1" s="927"/>
      <c r="M1" s="927"/>
      <c r="N1" s="927"/>
      <c r="P1" s="928"/>
    </row>
    <row r="2" spans="1:27" s="9" customFormat="1" ht="24.95" customHeight="1">
      <c r="A2" s="368" t="str">
        <f>표지!A13</f>
        <v>공사명 : 동해안#1 변환소 전력통신설비 시설공사</v>
      </c>
      <c r="B2" s="929"/>
      <c r="C2" s="929"/>
      <c r="D2" s="929"/>
      <c r="E2" s="929"/>
      <c r="F2" s="929"/>
      <c r="G2" s="929"/>
      <c r="H2" s="929"/>
      <c r="I2" s="929"/>
      <c r="J2" s="929"/>
      <c r="K2" s="929"/>
      <c r="L2" s="929"/>
      <c r="M2" s="929"/>
      <c r="N2" s="930"/>
      <c r="P2" s="928"/>
    </row>
    <row r="3" spans="1:27" s="10" customFormat="1" ht="24.95" customHeight="1">
      <c r="A3" s="931" t="s">
        <v>264</v>
      </c>
      <c r="B3" s="932" t="s">
        <v>267</v>
      </c>
      <c r="C3" s="932" t="s">
        <v>277</v>
      </c>
      <c r="D3" s="932" t="s">
        <v>279</v>
      </c>
      <c r="E3" s="933" t="s">
        <v>265</v>
      </c>
      <c r="F3" s="933" t="s">
        <v>268</v>
      </c>
      <c r="G3" s="934" t="s">
        <v>273</v>
      </c>
      <c r="H3" s="935" t="s">
        <v>269</v>
      </c>
      <c r="I3" s="935" t="s">
        <v>270</v>
      </c>
      <c r="J3" s="935" t="s">
        <v>278</v>
      </c>
      <c r="K3" s="936" t="s">
        <v>275</v>
      </c>
      <c r="L3" s="936" t="s">
        <v>296</v>
      </c>
      <c r="M3" s="936" t="s">
        <v>295</v>
      </c>
      <c r="N3" s="937" t="s">
        <v>0</v>
      </c>
      <c r="P3" s="938"/>
    </row>
    <row r="4" spans="1:27" s="10" customFormat="1" ht="24.95" customHeight="1">
      <c r="A4" s="545" t="s">
        <v>2949</v>
      </c>
      <c r="B4" s="663"/>
      <c r="C4" s="663"/>
      <c r="D4" s="663"/>
      <c r="E4" s="664"/>
      <c r="F4" s="664"/>
      <c r="G4" s="665"/>
      <c r="H4" s="663"/>
      <c r="I4" s="663"/>
      <c r="J4" s="663"/>
      <c r="K4" s="398"/>
      <c r="L4" s="921"/>
      <c r="M4" s="663"/>
      <c r="N4" s="941"/>
      <c r="O4" s="22"/>
      <c r="P4" s="22"/>
      <c r="Q4" s="268"/>
      <c r="R4" s="22"/>
      <c r="S4" s="22"/>
      <c r="T4" s="22"/>
      <c r="U4" s="22"/>
      <c r="V4" s="22"/>
      <c r="W4" s="22"/>
      <c r="X4" s="22"/>
      <c r="Y4" s="22"/>
      <c r="Z4" s="22"/>
      <c r="AA4" s="22"/>
    </row>
    <row r="5" spans="1:27" s="22" customFormat="1" ht="24.95" customHeight="1">
      <c r="A5" s="267" t="s">
        <v>1088</v>
      </c>
      <c r="B5" s="396" t="s">
        <v>942</v>
      </c>
      <c r="C5" s="396" t="s">
        <v>943</v>
      </c>
      <c r="D5" s="404"/>
      <c r="E5" s="400" t="s">
        <v>274</v>
      </c>
      <c r="F5" s="400"/>
      <c r="G5" s="919"/>
      <c r="H5" s="919"/>
      <c r="I5" s="919"/>
      <c r="J5" s="919"/>
      <c r="K5" s="398"/>
      <c r="L5" s="921"/>
      <c r="M5" s="922">
        <f>SUM(L6:L20)</f>
        <v>2835567</v>
      </c>
      <c r="N5" s="406" t="s">
        <v>1287</v>
      </c>
      <c r="O5" s="669" t="s">
        <v>1248</v>
      </c>
      <c r="Q5" s="268"/>
    </row>
    <row r="6" spans="1:27" s="22" customFormat="1" ht="24.95" customHeight="1">
      <c r="A6" s="267"/>
      <c r="B6" s="396" t="s">
        <v>1046</v>
      </c>
      <c r="C6" s="396"/>
      <c r="D6" s="396"/>
      <c r="E6" s="400" t="s">
        <v>195</v>
      </c>
      <c r="F6" s="400" t="s">
        <v>9</v>
      </c>
      <c r="G6" s="919">
        <v>0.23</v>
      </c>
      <c r="H6" s="920">
        <v>1</v>
      </c>
      <c r="I6" s="920">
        <v>1</v>
      </c>
      <c r="J6" s="920">
        <v>1</v>
      </c>
      <c r="K6" s="398">
        <f>VLOOKUP(F6,'8-5.2025하노임'!$A$6:$G$47,6,0)</f>
        <v>410351.47791000002</v>
      </c>
      <c r="L6" s="921">
        <f>INT(G6*H6*I6*J6*K6)</f>
        <v>94380</v>
      </c>
      <c r="M6" s="923">
        <f>L6</f>
        <v>94380</v>
      </c>
      <c r="N6" s="406"/>
      <c r="Q6" s="268"/>
    </row>
    <row r="7" spans="1:27" s="22" customFormat="1" ht="24.95" customHeight="1">
      <c r="A7" s="267"/>
      <c r="B7" s="396"/>
      <c r="C7" s="396"/>
      <c r="D7" s="396"/>
      <c r="E7" s="400"/>
      <c r="F7" s="400"/>
      <c r="G7" s="919"/>
      <c r="H7" s="920"/>
      <c r="I7" s="920"/>
      <c r="J7" s="920"/>
      <c r="K7" s="398"/>
      <c r="L7" s="921"/>
      <c r="M7" s="922"/>
      <c r="N7" s="406"/>
    </row>
    <row r="8" spans="1:27" s="22" customFormat="1" ht="24.95" customHeight="1">
      <c r="A8" s="267"/>
      <c r="B8" s="396" t="s">
        <v>1047</v>
      </c>
      <c r="C8" s="396"/>
      <c r="D8" s="396"/>
      <c r="E8" s="400" t="s">
        <v>195</v>
      </c>
      <c r="F8" s="400" t="s">
        <v>9</v>
      </c>
      <c r="G8" s="919">
        <v>0.21</v>
      </c>
      <c r="H8" s="920">
        <v>1</v>
      </c>
      <c r="I8" s="920">
        <v>1</v>
      </c>
      <c r="J8" s="920">
        <v>1</v>
      </c>
      <c r="K8" s="398">
        <f>VLOOKUP(F8,'8-5.2025하노임'!$A$6:$G$47,6,0)</f>
        <v>410351.47791000002</v>
      </c>
      <c r="L8" s="921">
        <f>INT(G8*H8*I8*J8*K8)</f>
        <v>86173</v>
      </c>
      <c r="M8" s="923">
        <f>L8</f>
        <v>86173</v>
      </c>
      <c r="N8" s="406"/>
    </row>
    <row r="9" spans="1:27" s="22" customFormat="1" ht="24.95" customHeight="1">
      <c r="A9" s="267"/>
      <c r="B9" s="396"/>
      <c r="C9" s="396"/>
      <c r="D9" s="396"/>
      <c r="E9" s="942"/>
      <c r="F9" s="400"/>
      <c r="G9" s="919"/>
      <c r="H9" s="920"/>
      <c r="I9" s="920"/>
      <c r="J9" s="920"/>
      <c r="K9" s="398"/>
      <c r="L9" s="921"/>
      <c r="M9" s="923"/>
      <c r="N9" s="406"/>
    </row>
    <row r="10" spans="1:27" s="22" customFormat="1" ht="24.95" customHeight="1">
      <c r="A10" s="267"/>
      <c r="B10" s="396" t="s">
        <v>1249</v>
      </c>
      <c r="C10" s="396"/>
      <c r="D10" s="396"/>
      <c r="E10" s="400" t="s">
        <v>195</v>
      </c>
      <c r="F10" s="400" t="s">
        <v>9</v>
      </c>
      <c r="G10" s="919">
        <v>0.73</v>
      </c>
      <c r="H10" s="920">
        <v>1</v>
      </c>
      <c r="I10" s="920">
        <v>1</v>
      </c>
      <c r="J10" s="920">
        <v>1</v>
      </c>
      <c r="K10" s="398">
        <f>VLOOKUP(F10,'8-5.2025하노임'!$A$6:$G$47,6,0)</f>
        <v>410351.47791000002</v>
      </c>
      <c r="L10" s="921">
        <f>INT(G10*H10*I10*J10*K10)</f>
        <v>299556</v>
      </c>
      <c r="M10" s="923">
        <f>SUM(L10:L11)</f>
        <v>426190</v>
      </c>
      <c r="N10" s="406"/>
    </row>
    <row r="11" spans="1:27" s="22" customFormat="1" ht="24.95" customHeight="1">
      <c r="A11" s="267"/>
      <c r="B11" s="396"/>
      <c r="C11" s="396"/>
      <c r="D11" s="396"/>
      <c r="E11" s="942"/>
      <c r="F11" s="400" t="s">
        <v>208</v>
      </c>
      <c r="G11" s="919">
        <v>0.37</v>
      </c>
      <c r="H11" s="920">
        <v>1</v>
      </c>
      <c r="I11" s="920">
        <v>1</v>
      </c>
      <c r="J11" s="920">
        <v>1</v>
      </c>
      <c r="K11" s="398">
        <f>VLOOKUP(F11,'8-5.2025하노임'!$A$6:$G$47,6,0)</f>
        <v>342255.41855999996</v>
      </c>
      <c r="L11" s="921">
        <f>INT(G11*H11*I11*J11*K11)</f>
        <v>126634</v>
      </c>
      <c r="M11" s="923"/>
      <c r="N11" s="406"/>
    </row>
    <row r="12" spans="1:27" s="22" customFormat="1" ht="24.95" customHeight="1">
      <c r="A12" s="267"/>
      <c r="B12" s="396"/>
      <c r="C12" s="396"/>
      <c r="D12" s="396"/>
      <c r="E12" s="400"/>
      <c r="F12" s="400"/>
      <c r="G12" s="919"/>
      <c r="H12" s="919"/>
      <c r="I12" s="919"/>
      <c r="J12" s="919"/>
      <c r="K12" s="398"/>
      <c r="L12" s="923"/>
      <c r="M12" s="923"/>
      <c r="N12" s="406"/>
    </row>
    <row r="13" spans="1:27" s="22" customFormat="1" ht="24.95" customHeight="1">
      <c r="A13" s="267"/>
      <c r="B13" s="396" t="s">
        <v>1250</v>
      </c>
      <c r="C13" s="396" t="s">
        <v>1254</v>
      </c>
      <c r="D13" s="396"/>
      <c r="E13" s="942" t="s">
        <v>945</v>
      </c>
      <c r="F13" s="400" t="s">
        <v>9</v>
      </c>
      <c r="G13" s="919">
        <f>1.13*2</f>
        <v>2.2599999999999998</v>
      </c>
      <c r="H13" s="920">
        <v>1</v>
      </c>
      <c r="I13" s="920">
        <v>1</v>
      </c>
      <c r="J13" s="920">
        <v>1</v>
      </c>
      <c r="K13" s="398">
        <f>VLOOKUP(F13,'8-5.2025하노임'!$A$6:$G$47,6,0)</f>
        <v>410351.47791000002</v>
      </c>
      <c r="L13" s="921">
        <f>INT(G13*H13*I13*J13*K13)</f>
        <v>927394</v>
      </c>
      <c r="M13" s="923">
        <f>SUM(L13:L14)</f>
        <v>1310720</v>
      </c>
      <c r="N13" s="406"/>
    </row>
    <row r="14" spans="1:27" s="22" customFormat="1" ht="24.95" customHeight="1">
      <c r="A14" s="267"/>
      <c r="B14" s="396"/>
      <c r="C14" s="396"/>
      <c r="D14" s="396"/>
      <c r="E14" s="400"/>
      <c r="F14" s="400" t="s">
        <v>208</v>
      </c>
      <c r="G14" s="919">
        <f>0.56*2</f>
        <v>1.1200000000000001</v>
      </c>
      <c r="H14" s="920">
        <v>1</v>
      </c>
      <c r="I14" s="920">
        <v>1</v>
      </c>
      <c r="J14" s="920">
        <v>1</v>
      </c>
      <c r="K14" s="398">
        <f>VLOOKUP(F14,'8-5.2025하노임'!$A$6:$G$47,6,0)</f>
        <v>342255.41855999996</v>
      </c>
      <c r="L14" s="921">
        <f>INT(G14*H14*I14*J14*K14)</f>
        <v>383326</v>
      </c>
      <c r="M14" s="923"/>
      <c r="N14" s="406"/>
    </row>
    <row r="15" spans="1:27" s="22" customFormat="1" ht="24.95" customHeight="1">
      <c r="A15" s="267"/>
      <c r="B15" s="396"/>
      <c r="C15" s="396"/>
      <c r="D15" s="396"/>
      <c r="E15" s="400"/>
      <c r="F15" s="400"/>
      <c r="G15" s="919"/>
      <c r="H15" s="919"/>
      <c r="I15" s="919"/>
      <c r="J15" s="919"/>
      <c r="K15" s="398"/>
      <c r="L15" s="922"/>
      <c r="M15" s="923"/>
      <c r="N15" s="406"/>
    </row>
    <row r="16" spans="1:27" s="22" customFormat="1" ht="24.95" customHeight="1">
      <c r="A16" s="267"/>
      <c r="B16" s="396" t="s">
        <v>1251</v>
      </c>
      <c r="C16" s="396" t="s">
        <v>1254</v>
      </c>
      <c r="D16" s="396"/>
      <c r="E16" s="942" t="s">
        <v>945</v>
      </c>
      <c r="F16" s="400" t="s">
        <v>208</v>
      </c>
      <c r="G16" s="919">
        <v>0.4</v>
      </c>
      <c r="H16" s="920">
        <v>1</v>
      </c>
      <c r="I16" s="920">
        <v>1</v>
      </c>
      <c r="J16" s="920">
        <v>1</v>
      </c>
      <c r="K16" s="398">
        <f>VLOOKUP(F16,'8-5.2025하노임'!$A$6:$G$47,6,0)</f>
        <v>342255.41855999996</v>
      </c>
      <c r="L16" s="921">
        <f>INT(G16*H16*I16*J16*K16)</f>
        <v>136902</v>
      </c>
      <c r="M16" s="923">
        <f>SUM(L16:L17)</f>
        <v>293442</v>
      </c>
      <c r="N16" s="406"/>
    </row>
    <row r="17" spans="1:17" s="22" customFormat="1" ht="24.95" customHeight="1">
      <c r="A17" s="267"/>
      <c r="B17" s="396"/>
      <c r="C17" s="396"/>
      <c r="D17" s="396"/>
      <c r="E17" s="400"/>
      <c r="F17" s="400" t="s">
        <v>944</v>
      </c>
      <c r="G17" s="919">
        <v>0.4</v>
      </c>
      <c r="H17" s="920">
        <v>1</v>
      </c>
      <c r="I17" s="920">
        <v>1</v>
      </c>
      <c r="J17" s="920">
        <v>1</v>
      </c>
      <c r="K17" s="398">
        <f>VLOOKUP(F17,'8-5.2025하노임'!$A$6:$G$47,6,0)</f>
        <v>391351.62</v>
      </c>
      <c r="L17" s="921">
        <f>INT(G17*H17*I17*J17*K17)</f>
        <v>156540</v>
      </c>
      <c r="M17" s="923"/>
      <c r="N17" s="406"/>
    </row>
    <row r="18" spans="1:17" s="22" customFormat="1" ht="24.95" customHeight="1">
      <c r="A18" s="267"/>
      <c r="B18" s="396"/>
      <c r="C18" s="396"/>
      <c r="D18" s="396"/>
      <c r="E18" s="400"/>
      <c r="F18" s="400"/>
      <c r="G18" s="919"/>
      <c r="H18" s="919"/>
      <c r="I18" s="919"/>
      <c r="J18" s="919"/>
      <c r="K18" s="398"/>
      <c r="L18" s="922"/>
      <c r="M18" s="923"/>
      <c r="N18" s="406"/>
    </row>
    <row r="19" spans="1:17" s="22" customFormat="1" ht="24.95" customHeight="1">
      <c r="A19" s="267"/>
      <c r="B19" s="396" t="s">
        <v>1252</v>
      </c>
      <c r="C19" s="396"/>
      <c r="D19" s="396"/>
      <c r="E19" s="400" t="s">
        <v>195</v>
      </c>
      <c r="F19" s="400" t="s">
        <v>9</v>
      </c>
      <c r="G19" s="919">
        <v>0.83</v>
      </c>
      <c r="H19" s="920">
        <v>1</v>
      </c>
      <c r="I19" s="920">
        <v>1</v>
      </c>
      <c r="J19" s="920">
        <v>1</v>
      </c>
      <c r="K19" s="398">
        <f>VLOOKUP(F19,'8-5.2025하노임'!$A$6:$G$47,6,0)</f>
        <v>410351.47791000002</v>
      </c>
      <c r="L19" s="921">
        <f>INT(G19*H19*I19*J19*K19)</f>
        <v>340591</v>
      </c>
      <c r="M19" s="923">
        <f>SUM(L19:L20)</f>
        <v>624662</v>
      </c>
      <c r="N19" s="406"/>
    </row>
    <row r="20" spans="1:17" s="22" customFormat="1" ht="24.95" customHeight="1">
      <c r="A20" s="267"/>
      <c r="B20" s="396"/>
      <c r="C20" s="396"/>
      <c r="D20" s="396"/>
      <c r="E20" s="942"/>
      <c r="F20" s="400" t="s">
        <v>208</v>
      </c>
      <c r="G20" s="919">
        <v>0.83</v>
      </c>
      <c r="H20" s="920">
        <v>1</v>
      </c>
      <c r="I20" s="920">
        <v>1</v>
      </c>
      <c r="J20" s="920">
        <v>1</v>
      </c>
      <c r="K20" s="398">
        <f>VLOOKUP(F20,'8-5.2025하노임'!$A$6:$G$47,6,0)</f>
        <v>342255.41855999996</v>
      </c>
      <c r="L20" s="921">
        <f>INT(G20*H20*I20*J20*K20)</f>
        <v>284071</v>
      </c>
      <c r="M20" s="923"/>
      <c r="N20" s="406"/>
    </row>
    <row r="21" spans="1:17" s="22" customFormat="1" ht="24.95" hidden="1" customHeight="1">
      <c r="A21" s="267" t="s">
        <v>3292</v>
      </c>
      <c r="B21" s="396" t="s">
        <v>1108</v>
      </c>
      <c r="C21" s="396" t="s">
        <v>1254</v>
      </c>
      <c r="D21" s="404"/>
      <c r="E21" s="942" t="s">
        <v>945</v>
      </c>
      <c r="F21" s="400"/>
      <c r="G21" s="919"/>
      <c r="H21" s="919"/>
      <c r="I21" s="919"/>
      <c r="J21" s="919"/>
      <c r="K21" s="398"/>
      <c r="L21" s="921"/>
      <c r="M21" s="922">
        <f>SUM(L22:L23)</f>
        <v>1310720</v>
      </c>
      <c r="N21" s="406" t="s">
        <v>1287</v>
      </c>
      <c r="O21" s="669" t="s">
        <v>1248</v>
      </c>
      <c r="Q21" s="268"/>
    </row>
    <row r="22" spans="1:17" s="22" customFormat="1" ht="24.95" hidden="1" customHeight="1">
      <c r="A22" s="267"/>
      <c r="B22" s="396" t="s">
        <v>1106</v>
      </c>
      <c r="C22" s="396"/>
      <c r="D22" s="396"/>
      <c r="E22" s="942" t="s">
        <v>945</v>
      </c>
      <c r="F22" s="400" t="s">
        <v>9</v>
      </c>
      <c r="G22" s="919">
        <f>1.13*2</f>
        <v>2.2599999999999998</v>
      </c>
      <c r="H22" s="920">
        <v>1</v>
      </c>
      <c r="I22" s="920">
        <v>1</v>
      </c>
      <c r="J22" s="920">
        <v>1</v>
      </c>
      <c r="K22" s="398">
        <f>VLOOKUP(F22,'8-5.2025하노임'!$A$6:$G$47,6,0)</f>
        <v>410351.47791000002</v>
      </c>
      <c r="L22" s="921">
        <f>INT(G22*H22*I22*J22*K22)</f>
        <v>927394</v>
      </c>
      <c r="M22" s="923">
        <f>SUM(L22:L23)</f>
        <v>1310720</v>
      </c>
      <c r="N22" s="406"/>
    </row>
    <row r="23" spans="1:17" s="22" customFormat="1" ht="24.95" hidden="1" customHeight="1">
      <c r="A23" s="267"/>
      <c r="B23" s="396"/>
      <c r="C23" s="396"/>
      <c r="D23" s="396"/>
      <c r="E23" s="400"/>
      <c r="F23" s="400" t="s">
        <v>208</v>
      </c>
      <c r="G23" s="919">
        <f>0.56*2</f>
        <v>1.1200000000000001</v>
      </c>
      <c r="H23" s="920">
        <v>1</v>
      </c>
      <c r="I23" s="920">
        <v>1</v>
      </c>
      <c r="J23" s="920">
        <v>1</v>
      </c>
      <c r="K23" s="398">
        <f>VLOOKUP(F23,'8-5.2025하노임'!$A$6:$G$47,6,0)</f>
        <v>342255.41855999996</v>
      </c>
      <c r="L23" s="921">
        <f>INT(G23*H23*I23*J23*K23)</f>
        <v>383326</v>
      </c>
      <c r="M23" s="923"/>
      <c r="N23" s="406"/>
    </row>
    <row r="24" spans="1:17" s="22" customFormat="1" ht="24.95" hidden="1" customHeight="1">
      <c r="A24" s="267"/>
      <c r="B24" s="396"/>
      <c r="C24" s="396"/>
      <c r="D24" s="396"/>
      <c r="E24" s="400"/>
      <c r="F24" s="400"/>
      <c r="G24" s="919"/>
      <c r="H24" s="919"/>
      <c r="I24" s="919"/>
      <c r="J24" s="919"/>
      <c r="K24" s="398"/>
      <c r="L24" s="922"/>
      <c r="M24" s="923"/>
      <c r="N24" s="406"/>
    </row>
    <row r="25" spans="1:17" s="22" customFormat="1" ht="24.95" hidden="1" customHeight="1">
      <c r="A25" s="267"/>
      <c r="B25" s="396" t="s">
        <v>946</v>
      </c>
      <c r="C25" s="396" t="s">
        <v>1105</v>
      </c>
      <c r="D25" s="396"/>
      <c r="E25" s="400" t="s">
        <v>947</v>
      </c>
      <c r="F25" s="400"/>
      <c r="G25" s="919"/>
      <c r="H25" s="919"/>
      <c r="I25" s="919"/>
      <c r="J25" s="919"/>
      <c r="K25" s="398"/>
      <c r="L25" s="943"/>
      <c r="M25" s="922">
        <f>SUM(L25:L34)</f>
        <v>1197462</v>
      </c>
      <c r="N25" s="406" t="s">
        <v>1287</v>
      </c>
      <c r="O25" s="669" t="s">
        <v>1248</v>
      </c>
    </row>
    <row r="26" spans="1:17" s="22" customFormat="1" ht="24.95" hidden="1" customHeight="1">
      <c r="A26" s="267"/>
      <c r="B26" s="396" t="s">
        <v>948</v>
      </c>
      <c r="C26" s="396"/>
      <c r="D26" s="396"/>
      <c r="E26" s="400" t="s">
        <v>947</v>
      </c>
      <c r="F26" s="400" t="s">
        <v>1048</v>
      </c>
      <c r="G26" s="919">
        <v>1</v>
      </c>
      <c r="H26" s="920">
        <v>1</v>
      </c>
      <c r="I26" s="920">
        <v>1</v>
      </c>
      <c r="J26" s="920">
        <v>1</v>
      </c>
      <c r="K26" s="398">
        <f>VLOOKUP(F26,'8-5.2025하노임'!$A$6:$G$47,6,0)</f>
        <v>266103.30713999999</v>
      </c>
      <c r="L26" s="921">
        <f>INT(G26*H26*I26*J26*K26)</f>
        <v>266103</v>
      </c>
      <c r="M26" s="922"/>
      <c r="N26" s="406"/>
    </row>
    <row r="27" spans="1:17" s="22" customFormat="1" ht="24.95" hidden="1" customHeight="1">
      <c r="A27" s="267"/>
      <c r="B27" s="396"/>
      <c r="C27" s="396"/>
      <c r="D27" s="396"/>
      <c r="E27" s="400"/>
      <c r="F27" s="400"/>
      <c r="G27" s="919"/>
      <c r="H27" s="919"/>
      <c r="I27" s="919"/>
      <c r="J27" s="919"/>
      <c r="K27" s="398"/>
      <c r="L27" s="921"/>
      <c r="M27" s="921"/>
      <c r="N27" s="406"/>
    </row>
    <row r="28" spans="1:17" s="22" customFormat="1" ht="24.95" hidden="1" customHeight="1">
      <c r="A28" s="267"/>
      <c r="B28" s="396" t="s">
        <v>949</v>
      </c>
      <c r="C28" s="396"/>
      <c r="D28" s="396"/>
      <c r="E28" s="400" t="s">
        <v>947</v>
      </c>
      <c r="F28" s="400" t="s">
        <v>1048</v>
      </c>
      <c r="G28" s="919">
        <v>0.5</v>
      </c>
      <c r="H28" s="920">
        <v>1</v>
      </c>
      <c r="I28" s="920">
        <v>1</v>
      </c>
      <c r="J28" s="920">
        <v>1</v>
      </c>
      <c r="K28" s="398">
        <f>VLOOKUP(F28,'8-5.2025하노임'!$A$6:$G$47,6,0)</f>
        <v>266103.30713999999</v>
      </c>
      <c r="L28" s="921">
        <f>INT(G28*H28*I28*J28*K28)</f>
        <v>133051</v>
      </c>
      <c r="M28" s="922"/>
      <c r="N28" s="406"/>
    </row>
    <row r="29" spans="1:17" s="22" customFormat="1" ht="24.95" hidden="1" customHeight="1">
      <c r="A29" s="267"/>
      <c r="B29" s="396"/>
      <c r="C29" s="396"/>
      <c r="D29" s="396"/>
      <c r="E29" s="400"/>
      <c r="F29" s="400"/>
      <c r="G29" s="399"/>
      <c r="H29" s="399"/>
      <c r="I29" s="399"/>
      <c r="J29" s="399"/>
      <c r="K29" s="398"/>
      <c r="L29" s="944"/>
      <c r="M29" s="944"/>
      <c r="N29" s="406"/>
    </row>
    <row r="30" spans="1:17" s="22" customFormat="1" ht="24.95" hidden="1" customHeight="1">
      <c r="A30" s="267"/>
      <c r="B30" s="396" t="s">
        <v>950</v>
      </c>
      <c r="C30" s="396"/>
      <c r="D30" s="396"/>
      <c r="E30" s="400" t="s">
        <v>947</v>
      </c>
      <c r="F30" s="400" t="s">
        <v>17</v>
      </c>
      <c r="G30" s="919">
        <v>0.5</v>
      </c>
      <c r="H30" s="920">
        <v>1</v>
      </c>
      <c r="I30" s="920">
        <v>1</v>
      </c>
      <c r="J30" s="920">
        <v>1</v>
      </c>
      <c r="K30" s="398">
        <f>VLOOKUP(F30,'8-5.2025하노임'!$A$6:$G$47,6,0)</f>
        <v>266103.30713999999</v>
      </c>
      <c r="L30" s="921">
        <f>INT(G30*H30*I30*J30*K30)</f>
        <v>133051</v>
      </c>
      <c r="M30" s="922"/>
      <c r="N30" s="406"/>
    </row>
    <row r="31" spans="1:17" s="22" customFormat="1" ht="24.95" hidden="1" customHeight="1">
      <c r="A31" s="267"/>
      <c r="B31" s="396"/>
      <c r="C31" s="396"/>
      <c r="D31" s="396"/>
      <c r="E31" s="400"/>
      <c r="F31" s="400"/>
      <c r="G31" s="399"/>
      <c r="H31" s="399"/>
      <c r="I31" s="399"/>
      <c r="J31" s="399"/>
      <c r="K31" s="398"/>
      <c r="L31" s="944"/>
      <c r="M31" s="944"/>
      <c r="N31" s="406"/>
    </row>
    <row r="32" spans="1:17" s="22" customFormat="1" ht="24.95" hidden="1" customHeight="1">
      <c r="A32" s="267"/>
      <c r="B32" s="396" t="s">
        <v>1255</v>
      </c>
      <c r="C32" s="396"/>
      <c r="D32" s="396"/>
      <c r="E32" s="400" t="s">
        <v>947</v>
      </c>
      <c r="F32" s="400" t="s">
        <v>17</v>
      </c>
      <c r="G32" s="919">
        <v>1</v>
      </c>
      <c r="H32" s="920">
        <v>1</v>
      </c>
      <c r="I32" s="920">
        <v>1</v>
      </c>
      <c r="J32" s="920">
        <v>1</v>
      </c>
      <c r="K32" s="398">
        <f>VLOOKUP(F32,'8-5.2025하노임'!$A$6:$G$47,6,0)</f>
        <v>266103.30713999999</v>
      </c>
      <c r="L32" s="921">
        <f>INT(G32*H32*I32*J32*K32)</f>
        <v>266103</v>
      </c>
      <c r="M32" s="922"/>
      <c r="N32" s="406"/>
    </row>
    <row r="33" spans="1:15" s="22" customFormat="1" ht="24.95" hidden="1" customHeight="1">
      <c r="A33" s="267"/>
      <c r="B33" s="396"/>
      <c r="C33" s="396"/>
      <c r="D33" s="396"/>
      <c r="E33" s="400"/>
      <c r="F33" s="400"/>
      <c r="G33" s="919"/>
      <c r="H33" s="919"/>
      <c r="I33" s="919"/>
      <c r="J33" s="919"/>
      <c r="K33" s="398"/>
      <c r="L33" s="921"/>
      <c r="M33" s="921"/>
      <c r="N33" s="406"/>
    </row>
    <row r="34" spans="1:15" s="22" customFormat="1" ht="24.95" hidden="1" customHeight="1">
      <c r="A34" s="267"/>
      <c r="B34" s="396" t="s">
        <v>1258</v>
      </c>
      <c r="C34" s="396"/>
      <c r="D34" s="396"/>
      <c r="E34" s="400" t="s">
        <v>947</v>
      </c>
      <c r="F34" s="400" t="s">
        <v>17</v>
      </c>
      <c r="G34" s="919">
        <v>1.5</v>
      </c>
      <c r="H34" s="920">
        <v>1</v>
      </c>
      <c r="I34" s="920">
        <v>1</v>
      </c>
      <c r="J34" s="920">
        <v>1</v>
      </c>
      <c r="K34" s="398">
        <f>VLOOKUP(F34,'8-5.2025하노임'!$A$6:$G$47,6,0)</f>
        <v>266103.30713999999</v>
      </c>
      <c r="L34" s="921">
        <f>INT(G34*H34*I34*J34*K34)</f>
        <v>399154</v>
      </c>
      <c r="M34" s="921"/>
      <c r="N34" s="406"/>
    </row>
    <row r="35" spans="1:15" s="22" customFormat="1" ht="24.95" hidden="1" customHeight="1">
      <c r="A35" s="267"/>
      <c r="B35" s="396"/>
      <c r="C35" s="396"/>
      <c r="D35" s="396"/>
      <c r="E35" s="400"/>
      <c r="F35" s="400"/>
      <c r="G35" s="919"/>
      <c r="H35" s="919"/>
      <c r="I35" s="919"/>
      <c r="J35" s="919"/>
      <c r="K35" s="398"/>
      <c r="L35" s="921"/>
      <c r="M35" s="921"/>
      <c r="N35" s="406"/>
    </row>
    <row r="36" spans="1:15" s="22" customFormat="1" ht="24.95" hidden="1" customHeight="1">
      <c r="A36" s="267"/>
      <c r="B36" s="396" t="s">
        <v>946</v>
      </c>
      <c r="C36" s="396" t="s">
        <v>1126</v>
      </c>
      <c r="D36" s="396"/>
      <c r="E36" s="400" t="s">
        <v>947</v>
      </c>
      <c r="F36" s="945">
        <v>1.8</v>
      </c>
      <c r="G36" s="919"/>
      <c r="H36" s="919"/>
      <c r="I36" s="919"/>
      <c r="J36" s="919"/>
      <c r="K36" s="398"/>
      <c r="L36" s="943"/>
      <c r="M36" s="922">
        <f>INT(F36*M25)</f>
        <v>2155431</v>
      </c>
      <c r="N36" s="406" t="s">
        <v>1287</v>
      </c>
      <c r="O36" s="669" t="s">
        <v>1248</v>
      </c>
    </row>
    <row r="37" spans="1:15" s="22" customFormat="1" ht="24.95" hidden="1" customHeight="1">
      <c r="A37" s="267"/>
      <c r="B37" s="396"/>
      <c r="C37" s="396"/>
      <c r="D37" s="396"/>
      <c r="E37" s="400"/>
      <c r="F37" s="400"/>
      <c r="G37" s="919"/>
      <c r="H37" s="919"/>
      <c r="I37" s="919"/>
      <c r="J37" s="919"/>
      <c r="K37" s="398"/>
      <c r="L37" s="943"/>
      <c r="M37" s="922"/>
      <c r="N37" s="406"/>
    </row>
    <row r="38" spans="1:15" s="22" customFormat="1" ht="24.95" hidden="1" customHeight="1">
      <c r="A38" s="267"/>
      <c r="B38" s="396" t="s">
        <v>1764</v>
      </c>
      <c r="C38" s="396" t="s">
        <v>1765</v>
      </c>
      <c r="D38" s="396"/>
      <c r="E38" s="400" t="s">
        <v>947</v>
      </c>
      <c r="F38" s="945">
        <v>1.8</v>
      </c>
      <c r="G38" s="919"/>
      <c r="H38" s="919"/>
      <c r="I38" s="919"/>
      <c r="J38" s="919"/>
      <c r="K38" s="398"/>
      <c r="L38" s="943"/>
      <c r="M38" s="922">
        <f>SUM(L39:L42)</f>
        <v>1676447</v>
      </c>
      <c r="N38" s="406" t="s">
        <v>1287</v>
      </c>
      <c r="O38" s="669" t="s">
        <v>1248</v>
      </c>
    </row>
    <row r="39" spans="1:15" s="22" customFormat="1" ht="24.95" hidden="1" customHeight="1">
      <c r="A39" s="267"/>
      <c r="B39" s="396" t="s">
        <v>1766</v>
      </c>
      <c r="C39" s="396"/>
      <c r="D39" s="396"/>
      <c r="E39" s="400" t="s">
        <v>947</v>
      </c>
      <c r="F39" s="400" t="s">
        <v>17</v>
      </c>
      <c r="G39" s="919">
        <v>1</v>
      </c>
      <c r="H39" s="920">
        <v>1.8</v>
      </c>
      <c r="I39" s="920">
        <v>1</v>
      </c>
      <c r="J39" s="920">
        <v>1</v>
      </c>
      <c r="K39" s="398">
        <f>VLOOKUP(F39,'8-5.2025하노임'!$A$6:$G$47,6,0)</f>
        <v>266103.30713999999</v>
      </c>
      <c r="L39" s="921">
        <f>INT(G39*H39*I39*J39*K39)</f>
        <v>478985</v>
      </c>
      <c r="M39" s="922"/>
      <c r="N39" s="406"/>
    </row>
    <row r="40" spans="1:15" s="22" customFormat="1" ht="24.95" hidden="1" customHeight="1">
      <c r="A40" s="267"/>
      <c r="B40" s="396" t="s">
        <v>949</v>
      </c>
      <c r="C40" s="396"/>
      <c r="D40" s="396"/>
      <c r="E40" s="400" t="s">
        <v>947</v>
      </c>
      <c r="F40" s="400" t="s">
        <v>1048</v>
      </c>
      <c r="G40" s="919">
        <v>0.5</v>
      </c>
      <c r="H40" s="920">
        <v>1.8</v>
      </c>
      <c r="I40" s="920">
        <v>1</v>
      </c>
      <c r="J40" s="920">
        <v>1</v>
      </c>
      <c r="K40" s="398">
        <f>VLOOKUP(F40,'8-5.2025하노임'!$A$6:$G$47,6,0)</f>
        <v>266103.30713999999</v>
      </c>
      <c r="L40" s="921">
        <f>INT(G40*H40*I40*J40*K40)</f>
        <v>239492</v>
      </c>
      <c r="M40" s="921"/>
      <c r="N40" s="406"/>
    </row>
    <row r="41" spans="1:15" s="22" customFormat="1" ht="24.95" hidden="1" customHeight="1">
      <c r="A41" s="267"/>
      <c r="B41" s="396" t="s">
        <v>950</v>
      </c>
      <c r="C41" s="396"/>
      <c r="D41" s="396"/>
      <c r="E41" s="400" t="s">
        <v>947</v>
      </c>
      <c r="F41" s="400" t="s">
        <v>17</v>
      </c>
      <c r="G41" s="919">
        <v>0.5</v>
      </c>
      <c r="H41" s="920">
        <v>1.8</v>
      </c>
      <c r="I41" s="920">
        <v>1</v>
      </c>
      <c r="J41" s="920">
        <v>1</v>
      </c>
      <c r="K41" s="398">
        <f>VLOOKUP(F41,'8-5.2025하노임'!$A$6:$G$47,6,0)</f>
        <v>266103.30713999999</v>
      </c>
      <c r="L41" s="921">
        <f>INT(G41*H41*I41*J41*K41)</f>
        <v>239492</v>
      </c>
      <c r="M41" s="922"/>
      <c r="N41" s="406"/>
    </row>
    <row r="42" spans="1:15" s="22" customFormat="1" ht="24.95" hidden="1" customHeight="1">
      <c r="A42" s="267"/>
      <c r="B42" s="396" t="s">
        <v>1258</v>
      </c>
      <c r="C42" s="396"/>
      <c r="D42" s="396"/>
      <c r="E42" s="400" t="s">
        <v>947</v>
      </c>
      <c r="F42" s="400" t="s">
        <v>17</v>
      </c>
      <c r="G42" s="919">
        <v>1.5</v>
      </c>
      <c r="H42" s="920">
        <v>1.8</v>
      </c>
      <c r="I42" s="920">
        <v>1</v>
      </c>
      <c r="J42" s="920">
        <v>1</v>
      </c>
      <c r="K42" s="398">
        <f>VLOOKUP(F42,'8-5.2025하노임'!$A$6:$G$47,6,0)</f>
        <v>266103.30713999999</v>
      </c>
      <c r="L42" s="921">
        <f>INT(G42*H42*I42*J42*K42)</f>
        <v>718478</v>
      </c>
      <c r="M42" s="922"/>
      <c r="N42" s="406"/>
    </row>
    <row r="43" spans="1:15" s="22" customFormat="1" ht="24.95" customHeight="1">
      <c r="A43" s="267"/>
      <c r="B43" s="396"/>
      <c r="C43" s="396"/>
      <c r="D43" s="396"/>
      <c r="E43" s="400"/>
      <c r="F43" s="400"/>
      <c r="G43" s="919"/>
      <c r="H43" s="919"/>
      <c r="I43" s="919"/>
      <c r="J43" s="919"/>
      <c r="K43" s="398"/>
      <c r="L43" s="943"/>
      <c r="M43" s="922"/>
      <c r="N43" s="406"/>
    </row>
    <row r="44" spans="1:15" s="22" customFormat="1" ht="24.95" customHeight="1">
      <c r="A44" s="267" t="s">
        <v>3263</v>
      </c>
      <c r="B44" s="396" t="s">
        <v>1052</v>
      </c>
      <c r="C44" s="396" t="s">
        <v>1053</v>
      </c>
      <c r="D44" s="396"/>
      <c r="E44" s="400" t="s">
        <v>11</v>
      </c>
      <c r="F44" s="400"/>
      <c r="G44" s="919"/>
      <c r="H44" s="919"/>
      <c r="I44" s="919"/>
      <c r="J44" s="919"/>
      <c r="K44" s="398"/>
      <c r="L44" s="922"/>
      <c r="M44" s="922">
        <f>SUM(L45:L58)</f>
        <v>1156346</v>
      </c>
      <c r="N44" s="406" t="s">
        <v>1287</v>
      </c>
      <c r="O44" s="669" t="s">
        <v>1248</v>
      </c>
    </row>
    <row r="45" spans="1:15" s="22" customFormat="1" ht="24.95" customHeight="1">
      <c r="A45" s="267"/>
      <c r="B45" s="396" t="s">
        <v>448</v>
      </c>
      <c r="C45" s="396"/>
      <c r="D45" s="396"/>
      <c r="E45" s="400" t="s">
        <v>274</v>
      </c>
      <c r="F45" s="400" t="s">
        <v>3</v>
      </c>
      <c r="G45" s="919">
        <v>0.03</v>
      </c>
      <c r="H45" s="920">
        <v>1</v>
      </c>
      <c r="I45" s="920">
        <v>1</v>
      </c>
      <c r="J45" s="920">
        <v>1</v>
      </c>
      <c r="K45" s="398">
        <f>VLOOKUP(F45,'8-5.2025하노임'!$A$6:$G$47,6,0)</f>
        <v>276216.14889000001</v>
      </c>
      <c r="L45" s="921">
        <f>INT(G45*H45*I45*J45*K45)</f>
        <v>8286</v>
      </c>
      <c r="M45" s="923"/>
      <c r="N45" s="406" t="s">
        <v>908</v>
      </c>
    </row>
    <row r="46" spans="1:15" s="22" customFormat="1" ht="24.95" customHeight="1">
      <c r="A46" s="267"/>
      <c r="B46" s="396" t="s">
        <v>2</v>
      </c>
      <c r="C46" s="396"/>
      <c r="D46" s="396"/>
      <c r="E46" s="400"/>
      <c r="F46" s="400" t="s">
        <v>4</v>
      </c>
      <c r="G46" s="919">
        <v>0.02</v>
      </c>
      <c r="H46" s="920">
        <v>1</v>
      </c>
      <c r="I46" s="920">
        <v>1</v>
      </c>
      <c r="J46" s="920">
        <v>1</v>
      </c>
      <c r="K46" s="398">
        <f>VLOOKUP(F46,'8-5.2025하노임'!$A$6:$G$47,6,0)</f>
        <v>150079.83638999998</v>
      </c>
      <c r="L46" s="921">
        <f>INT(G46*H46*I46*J46*K46)</f>
        <v>3001</v>
      </c>
      <c r="M46" s="923"/>
      <c r="N46" s="406"/>
    </row>
    <row r="47" spans="1:15" s="22" customFormat="1" ht="24.95" customHeight="1">
      <c r="A47" s="267"/>
      <c r="B47" s="396"/>
      <c r="C47" s="396"/>
      <c r="D47" s="396"/>
      <c r="E47" s="400"/>
      <c r="F47" s="400"/>
      <c r="G47" s="919"/>
      <c r="H47" s="919"/>
      <c r="I47" s="919"/>
      <c r="J47" s="919"/>
      <c r="K47" s="398"/>
      <c r="L47" s="922"/>
      <c r="M47" s="923"/>
      <c r="N47" s="406"/>
    </row>
    <row r="48" spans="1:15" s="22" customFormat="1" ht="24.95" customHeight="1">
      <c r="A48" s="267"/>
      <c r="B48" s="396" t="s">
        <v>451</v>
      </c>
      <c r="C48" s="396"/>
      <c r="D48" s="396"/>
      <c r="E48" s="400"/>
      <c r="F48" s="400"/>
      <c r="G48" s="919"/>
      <c r="H48" s="919"/>
      <c r="I48" s="919"/>
      <c r="J48" s="919"/>
      <c r="K48" s="398"/>
      <c r="L48" s="922"/>
      <c r="M48" s="923"/>
      <c r="N48" s="406"/>
    </row>
    <row r="49" spans="1:17" s="22" customFormat="1" ht="24.95" customHeight="1">
      <c r="A49" s="267"/>
      <c r="B49" s="396" t="s">
        <v>423</v>
      </c>
      <c r="C49" s="396"/>
      <c r="D49" s="396"/>
      <c r="E49" s="942" t="s">
        <v>11</v>
      </c>
      <c r="F49" s="400" t="s">
        <v>6</v>
      </c>
      <c r="G49" s="919">
        <v>0.72</v>
      </c>
      <c r="H49" s="920">
        <v>1</v>
      </c>
      <c r="I49" s="920">
        <v>1</v>
      </c>
      <c r="J49" s="920">
        <v>1</v>
      </c>
      <c r="K49" s="398">
        <f>VLOOKUP(F49,'8-5.2025하노임'!$A$6:$G$47,6,0)</f>
        <v>410351.47791000002</v>
      </c>
      <c r="L49" s="921">
        <f>INT(G49*H49*I49*J49*K49)</f>
        <v>295453</v>
      </c>
      <c r="M49" s="923"/>
      <c r="N49" s="406" t="s">
        <v>1287</v>
      </c>
    </row>
    <row r="50" spans="1:17" s="22" customFormat="1" ht="24.95" customHeight="1">
      <c r="A50" s="267"/>
      <c r="B50" s="396"/>
      <c r="C50" s="396"/>
      <c r="D50" s="396"/>
      <c r="E50" s="400"/>
      <c r="F50" s="400"/>
      <c r="G50" s="919"/>
      <c r="H50" s="919"/>
      <c r="I50" s="919"/>
      <c r="J50" s="919"/>
      <c r="K50" s="398"/>
      <c r="L50" s="923"/>
      <c r="M50" s="923"/>
      <c r="N50" s="406"/>
    </row>
    <row r="51" spans="1:17" s="22" customFormat="1" ht="24.95" customHeight="1">
      <c r="A51" s="267"/>
      <c r="B51" s="396" t="s">
        <v>424</v>
      </c>
      <c r="C51" s="396"/>
      <c r="D51" s="396"/>
      <c r="E51" s="942" t="s">
        <v>274</v>
      </c>
      <c r="F51" s="400" t="s">
        <v>6</v>
      </c>
      <c r="G51" s="919">
        <v>0.41</v>
      </c>
      <c r="H51" s="920">
        <v>1</v>
      </c>
      <c r="I51" s="920">
        <v>1</v>
      </c>
      <c r="J51" s="920">
        <v>1</v>
      </c>
      <c r="K51" s="398">
        <f>VLOOKUP(F51,'8-5.2025하노임'!$A$6:$G$47,6,0)</f>
        <v>410351.47791000002</v>
      </c>
      <c r="L51" s="921">
        <f>INT(G51*H51*I51*J51*K51)</f>
        <v>168244</v>
      </c>
      <c r="M51" s="923"/>
      <c r="N51" s="406" t="s">
        <v>1287</v>
      </c>
    </row>
    <row r="52" spans="1:17" s="22" customFormat="1" ht="24.95" customHeight="1">
      <c r="A52" s="267"/>
      <c r="B52" s="396"/>
      <c r="C52" s="396"/>
      <c r="D52" s="396"/>
      <c r="E52" s="400"/>
      <c r="F52" s="400" t="s">
        <v>7</v>
      </c>
      <c r="G52" s="919">
        <v>0.36</v>
      </c>
      <c r="H52" s="920">
        <v>1</v>
      </c>
      <c r="I52" s="920">
        <v>1</v>
      </c>
      <c r="J52" s="920">
        <v>1</v>
      </c>
      <c r="K52" s="398">
        <f>VLOOKUP(F52,'8-5.2025하노임'!$A$6:$G$47,6,0)</f>
        <v>196983.2403</v>
      </c>
      <c r="L52" s="921">
        <f>INT(G52*H52*I52*J52*K52)</f>
        <v>70913</v>
      </c>
      <c r="M52" s="923"/>
      <c r="N52" s="406"/>
    </row>
    <row r="53" spans="1:17" s="22" customFormat="1" ht="24.95" customHeight="1">
      <c r="A53" s="267"/>
      <c r="B53" s="396"/>
      <c r="C53" s="396"/>
      <c r="D53" s="396"/>
      <c r="E53" s="400"/>
      <c r="F53" s="400"/>
      <c r="G53" s="919"/>
      <c r="H53" s="919"/>
      <c r="I53" s="919"/>
      <c r="J53" s="919"/>
      <c r="K53" s="398"/>
      <c r="L53" s="922"/>
      <c r="M53" s="923"/>
      <c r="N53" s="406"/>
    </row>
    <row r="54" spans="1:17" s="22" customFormat="1" ht="24.95" customHeight="1">
      <c r="A54" s="267"/>
      <c r="B54" s="396" t="s">
        <v>425</v>
      </c>
      <c r="C54" s="396"/>
      <c r="D54" s="396"/>
      <c r="E54" s="942" t="s">
        <v>274</v>
      </c>
      <c r="F54" s="400" t="s">
        <v>6</v>
      </c>
      <c r="G54" s="919">
        <v>0.82</v>
      </c>
      <c r="H54" s="920">
        <v>1</v>
      </c>
      <c r="I54" s="920">
        <v>1</v>
      </c>
      <c r="J54" s="920">
        <v>1</v>
      </c>
      <c r="K54" s="398">
        <f>VLOOKUP(F54,'8-5.2025하노임'!$A$6:$G$47,6,0)</f>
        <v>410351.47791000002</v>
      </c>
      <c r="L54" s="921">
        <f>INT(G54*H54*I54*J54*K54)</f>
        <v>336488</v>
      </c>
      <c r="M54" s="923"/>
      <c r="N54" s="406" t="s">
        <v>1287</v>
      </c>
      <c r="P54" s="939"/>
    </row>
    <row r="55" spans="1:17" s="22" customFormat="1" ht="24.95" customHeight="1">
      <c r="A55" s="267"/>
      <c r="B55" s="396"/>
      <c r="C55" s="396"/>
      <c r="D55" s="396"/>
      <c r="E55" s="400"/>
      <c r="F55" s="400" t="s">
        <v>7</v>
      </c>
      <c r="G55" s="919">
        <v>0.72</v>
      </c>
      <c r="H55" s="920">
        <v>1</v>
      </c>
      <c r="I55" s="920">
        <v>1</v>
      </c>
      <c r="J55" s="920">
        <v>1</v>
      </c>
      <c r="K55" s="398">
        <f>VLOOKUP(F55,'8-5.2025하노임'!$A$6:$G$47,6,0)</f>
        <v>196983.2403</v>
      </c>
      <c r="L55" s="921">
        <f>INT(G55*H55*I55*J55*K55)</f>
        <v>141827</v>
      </c>
      <c r="M55" s="923"/>
      <c r="N55" s="406"/>
    </row>
    <row r="56" spans="1:17" s="22" customFormat="1" ht="24.95" customHeight="1">
      <c r="A56" s="267"/>
      <c r="B56" s="396"/>
      <c r="C56" s="396"/>
      <c r="D56" s="396"/>
      <c r="E56" s="400"/>
      <c r="F56" s="400"/>
      <c r="G56" s="919"/>
      <c r="H56" s="919"/>
      <c r="I56" s="919"/>
      <c r="J56" s="919"/>
      <c r="K56" s="398"/>
      <c r="L56" s="922"/>
      <c r="M56" s="923"/>
      <c r="N56" s="406"/>
    </row>
    <row r="57" spans="1:17" s="10" customFormat="1" ht="24.95" customHeight="1">
      <c r="A57" s="267"/>
      <c r="B57" s="396" t="s">
        <v>1256</v>
      </c>
      <c r="C57" s="396"/>
      <c r="D57" s="396"/>
      <c r="E57" s="942" t="s">
        <v>11</v>
      </c>
      <c r="F57" s="400" t="s">
        <v>9</v>
      </c>
      <c r="G57" s="919">
        <v>0.25</v>
      </c>
      <c r="H57" s="920">
        <v>1</v>
      </c>
      <c r="I57" s="920">
        <v>1</v>
      </c>
      <c r="J57" s="920">
        <v>1</v>
      </c>
      <c r="K57" s="398">
        <f>VLOOKUP(F57,'8-5.2025하노임'!$A$6:$G$47,6,0)</f>
        <v>410351.47791000002</v>
      </c>
      <c r="L57" s="921">
        <f>INT(G57*H57*I57*J57*K57)</f>
        <v>102587</v>
      </c>
      <c r="M57" s="923"/>
      <c r="N57" s="406" t="s">
        <v>1287</v>
      </c>
    </row>
    <row r="58" spans="1:17" s="10" customFormat="1" ht="24.95" customHeight="1">
      <c r="A58" s="267"/>
      <c r="B58" s="396"/>
      <c r="C58" s="396"/>
      <c r="D58" s="396"/>
      <c r="E58" s="400"/>
      <c r="F58" s="400" t="s">
        <v>10</v>
      </c>
      <c r="G58" s="919">
        <v>0.15</v>
      </c>
      <c r="H58" s="920">
        <v>1</v>
      </c>
      <c r="I58" s="920">
        <v>1</v>
      </c>
      <c r="J58" s="920">
        <v>1</v>
      </c>
      <c r="K58" s="398">
        <f>VLOOKUP(F58,'8-5.2025하노임'!$A$6:$G$47,6,0)</f>
        <v>196983.2403</v>
      </c>
      <c r="L58" s="921">
        <f>INT(G58*H58*I58*J58*K58)</f>
        <v>29547</v>
      </c>
      <c r="M58" s="923"/>
      <c r="N58" s="406"/>
      <c r="Q58" s="11"/>
    </row>
    <row r="59" spans="1:17" s="10" customFormat="1" ht="24.95" hidden="1" customHeight="1">
      <c r="A59" s="267"/>
      <c r="B59" s="396"/>
      <c r="C59" s="396"/>
      <c r="D59" s="396"/>
      <c r="E59" s="400"/>
      <c r="F59" s="400"/>
      <c r="G59" s="919"/>
      <c r="H59" s="919"/>
      <c r="I59" s="919"/>
      <c r="J59" s="919"/>
      <c r="K59" s="398"/>
      <c r="L59" s="922"/>
      <c r="M59" s="923"/>
      <c r="N59" s="406"/>
    </row>
    <row r="60" spans="1:17" s="22" customFormat="1" ht="24.95" hidden="1" customHeight="1">
      <c r="A60" s="267" t="s">
        <v>2977</v>
      </c>
      <c r="B60" s="396" t="s">
        <v>446</v>
      </c>
      <c r="C60" s="396" t="s">
        <v>1049</v>
      </c>
      <c r="D60" s="396"/>
      <c r="E60" s="400" t="s">
        <v>11</v>
      </c>
      <c r="F60" s="400"/>
      <c r="G60" s="919"/>
      <c r="H60" s="919"/>
      <c r="I60" s="919"/>
      <c r="J60" s="919"/>
      <c r="K60" s="398"/>
      <c r="L60" s="399"/>
      <c r="M60" s="922">
        <f>L61+L62</f>
        <v>1189174</v>
      </c>
      <c r="N60" s="406" t="s">
        <v>1287</v>
      </c>
      <c r="O60" s="10"/>
    </row>
    <row r="61" spans="1:17" s="22" customFormat="1" ht="24.95" hidden="1" customHeight="1">
      <c r="A61" s="267"/>
      <c r="B61" s="396" t="s">
        <v>1050</v>
      </c>
      <c r="C61" s="396"/>
      <c r="D61" s="396"/>
      <c r="E61" s="400"/>
      <c r="F61" s="400"/>
      <c r="G61" s="919"/>
      <c r="H61" s="919"/>
      <c r="I61" s="919"/>
      <c r="J61" s="919"/>
      <c r="K61" s="398"/>
      <c r="L61" s="923">
        <f>M44</f>
        <v>1156346</v>
      </c>
      <c r="M61" s="923"/>
      <c r="N61" s="406" t="s">
        <v>1287</v>
      </c>
      <c r="O61" s="10"/>
    </row>
    <row r="62" spans="1:17" s="10" customFormat="1" ht="24.95" hidden="1" customHeight="1">
      <c r="A62" s="267"/>
      <c r="B62" s="396" t="s">
        <v>1051</v>
      </c>
      <c r="C62" s="396"/>
      <c r="D62" s="396"/>
      <c r="E62" s="942" t="s">
        <v>447</v>
      </c>
      <c r="F62" s="400" t="s">
        <v>9</v>
      </c>
      <c r="G62" s="919">
        <f>0.02*4</f>
        <v>0.08</v>
      </c>
      <c r="H62" s="920">
        <v>1</v>
      </c>
      <c r="I62" s="920">
        <v>1</v>
      </c>
      <c r="J62" s="920">
        <v>1</v>
      </c>
      <c r="K62" s="398">
        <f>VLOOKUP(F62,'8-5.2025하노임'!$A$6:$G$47,6,0)</f>
        <v>410351.47791000002</v>
      </c>
      <c r="L62" s="921">
        <f>INT(G62*H62*I62*J62*K62)</f>
        <v>32828</v>
      </c>
      <c r="M62" s="923"/>
      <c r="N62" s="406" t="s">
        <v>910</v>
      </c>
    </row>
    <row r="63" spans="1:17" s="22" customFormat="1" ht="24.95" hidden="1" customHeight="1">
      <c r="A63" s="267"/>
      <c r="B63" s="396"/>
      <c r="C63" s="396"/>
      <c r="D63" s="396"/>
      <c r="E63" s="400"/>
      <c r="F63" s="400"/>
      <c r="G63" s="919"/>
      <c r="H63" s="919"/>
      <c r="I63" s="919"/>
      <c r="J63" s="919"/>
      <c r="K63" s="398"/>
      <c r="L63" s="922"/>
      <c r="M63" s="922"/>
      <c r="N63" s="406"/>
    </row>
    <row r="64" spans="1:17" s="22" customFormat="1" ht="24.95" hidden="1" customHeight="1">
      <c r="A64" s="267" t="s">
        <v>2978</v>
      </c>
      <c r="B64" s="396" t="s">
        <v>1490</v>
      </c>
      <c r="C64" s="396" t="s">
        <v>1491</v>
      </c>
      <c r="D64" s="396" t="s">
        <v>1201</v>
      </c>
      <c r="E64" s="400" t="s">
        <v>11</v>
      </c>
      <c r="F64" s="400"/>
      <c r="G64" s="919"/>
      <c r="H64" s="919"/>
      <c r="I64" s="919"/>
      <c r="J64" s="919"/>
      <c r="K64" s="398"/>
      <c r="L64" s="399"/>
      <c r="M64" s="922">
        <f>L65+L66</f>
        <v>5643</v>
      </c>
      <c r="N64" s="406" t="s">
        <v>908</v>
      </c>
      <c r="O64" s="10"/>
    </row>
    <row r="65" spans="1:18" s="22" customFormat="1" ht="24.95" hidden="1" customHeight="1">
      <c r="A65" s="267"/>
      <c r="B65" s="396" t="s">
        <v>1202</v>
      </c>
      <c r="C65" s="396"/>
      <c r="D65" s="396"/>
      <c r="E65" s="400" t="s">
        <v>271</v>
      </c>
      <c r="F65" s="400" t="s">
        <v>3</v>
      </c>
      <c r="G65" s="919">
        <v>0.03</v>
      </c>
      <c r="H65" s="920">
        <v>0.5</v>
      </c>
      <c r="I65" s="920">
        <v>1</v>
      </c>
      <c r="J65" s="920">
        <v>1</v>
      </c>
      <c r="K65" s="398">
        <f>VLOOKUP(F65,'8-5.2025하노임'!$A$6:$G$47,6,0)</f>
        <v>276216.14889000001</v>
      </c>
      <c r="L65" s="921">
        <f>INT(G65*H65*I65*J65*K65)</f>
        <v>4143</v>
      </c>
      <c r="M65" s="923"/>
      <c r="N65" s="406"/>
    </row>
    <row r="66" spans="1:18" s="22" customFormat="1" ht="24.95" hidden="1" customHeight="1">
      <c r="A66" s="267"/>
      <c r="B66" s="396"/>
      <c r="C66" s="396"/>
      <c r="D66" s="396"/>
      <c r="E66" s="400"/>
      <c r="F66" s="400" t="s">
        <v>4</v>
      </c>
      <c r="G66" s="919">
        <v>0.02</v>
      </c>
      <c r="H66" s="920">
        <v>0.5</v>
      </c>
      <c r="I66" s="920">
        <v>1</v>
      </c>
      <c r="J66" s="920">
        <v>1</v>
      </c>
      <c r="K66" s="398">
        <f>VLOOKUP(F66,'8-5.2025하노임'!$A$6:$G$47,6,0)</f>
        <v>150079.83638999998</v>
      </c>
      <c r="L66" s="921">
        <f>INT(G66*H66*I66*J66*K66)</f>
        <v>1500</v>
      </c>
      <c r="M66" s="923"/>
      <c r="N66" s="406"/>
    </row>
    <row r="67" spans="1:18" s="22" customFormat="1" ht="24.95" customHeight="1">
      <c r="A67" s="267"/>
      <c r="B67" s="396"/>
      <c r="C67" s="396"/>
      <c r="D67" s="396"/>
      <c r="E67" s="400"/>
      <c r="F67" s="400"/>
      <c r="G67" s="919"/>
      <c r="H67" s="919"/>
      <c r="I67" s="919"/>
      <c r="J67" s="919"/>
      <c r="K67" s="398"/>
      <c r="L67" s="922"/>
      <c r="M67" s="922"/>
      <c r="N67" s="406"/>
    </row>
    <row r="68" spans="1:18" s="22" customFormat="1" ht="24.95" customHeight="1">
      <c r="A68" s="267" t="s">
        <v>3264</v>
      </c>
      <c r="B68" s="404" t="s">
        <v>1253</v>
      </c>
      <c r="C68" s="396" t="s">
        <v>42</v>
      </c>
      <c r="D68" s="404"/>
      <c r="E68" s="400" t="s">
        <v>11</v>
      </c>
      <c r="F68" s="400"/>
      <c r="G68" s="919"/>
      <c r="H68" s="919"/>
      <c r="I68" s="919"/>
      <c r="J68" s="919"/>
      <c r="K68" s="398"/>
      <c r="L68" s="946" t="s">
        <v>1</v>
      </c>
      <c r="M68" s="922">
        <f>SUM(L69:L72)</f>
        <v>252964</v>
      </c>
      <c r="N68" s="406" t="s">
        <v>1287</v>
      </c>
      <c r="O68" s="10"/>
    </row>
    <row r="69" spans="1:18" s="22" customFormat="1" ht="24.95" customHeight="1">
      <c r="A69" s="267"/>
      <c r="B69" s="396" t="s">
        <v>288</v>
      </c>
      <c r="C69" s="396" t="s">
        <v>42</v>
      </c>
      <c r="D69" s="396"/>
      <c r="E69" s="947" t="s">
        <v>43</v>
      </c>
      <c r="F69" s="400" t="s">
        <v>266</v>
      </c>
      <c r="G69" s="919">
        <v>0.5</v>
      </c>
      <c r="H69" s="920">
        <v>1</v>
      </c>
      <c r="I69" s="920">
        <v>1</v>
      </c>
      <c r="J69" s="920">
        <v>1</v>
      </c>
      <c r="K69" s="398">
        <f>VLOOKUP(F69,'8-5.2025하노임'!$A$6:$G$47,6,0)</f>
        <v>276216.14889000001</v>
      </c>
      <c r="L69" s="921">
        <f>INT(G69*H69*I69*J69*K69)</f>
        <v>138108</v>
      </c>
      <c r="M69" s="923"/>
      <c r="N69" s="406" t="s">
        <v>908</v>
      </c>
    </row>
    <row r="70" spans="1:18" s="10" customFormat="1" ht="24.95" customHeight="1">
      <c r="A70" s="267"/>
      <c r="B70" s="396" t="s">
        <v>2</v>
      </c>
      <c r="C70" s="396"/>
      <c r="D70" s="396"/>
      <c r="E70" s="400"/>
      <c r="F70" s="400" t="s">
        <v>4</v>
      </c>
      <c r="G70" s="919">
        <v>0.5</v>
      </c>
      <c r="H70" s="920">
        <v>1</v>
      </c>
      <c r="I70" s="920">
        <v>1</v>
      </c>
      <c r="J70" s="920">
        <v>1</v>
      </c>
      <c r="K70" s="398">
        <f>VLOOKUP(F70,'8-5.2025하노임'!$A$6:$G$47,6,0)</f>
        <v>150079.83638999998</v>
      </c>
      <c r="L70" s="921">
        <f>INT(G70*H70*I70*J70*K70)</f>
        <v>75039</v>
      </c>
      <c r="M70" s="921"/>
      <c r="N70" s="406"/>
    </row>
    <row r="71" spans="1:18" s="10" customFormat="1" ht="24.95" customHeight="1">
      <c r="A71" s="267"/>
      <c r="B71" s="396"/>
      <c r="C71" s="396"/>
      <c r="D71" s="396"/>
      <c r="E71" s="400"/>
      <c r="F71" s="400"/>
      <c r="G71" s="919"/>
      <c r="H71" s="919"/>
      <c r="I71" s="919"/>
      <c r="J71" s="919"/>
      <c r="K71" s="398"/>
      <c r="L71" s="923"/>
      <c r="M71" s="923"/>
      <c r="N71" s="406"/>
    </row>
    <row r="72" spans="1:18" s="10" customFormat="1" ht="24.95" customHeight="1">
      <c r="A72" s="267"/>
      <c r="B72" s="396" t="s">
        <v>421</v>
      </c>
      <c r="C72" s="396" t="s">
        <v>1288</v>
      </c>
      <c r="D72" s="396"/>
      <c r="E72" s="400" t="s">
        <v>422</v>
      </c>
      <c r="F72" s="400" t="s">
        <v>15</v>
      </c>
      <c r="G72" s="919">
        <f>0.04*4</f>
        <v>0.16</v>
      </c>
      <c r="H72" s="920">
        <v>1</v>
      </c>
      <c r="I72" s="920">
        <v>1</v>
      </c>
      <c r="J72" s="920">
        <v>1</v>
      </c>
      <c r="K72" s="398">
        <f>VLOOKUP(F72,'8-5.2025하노임'!$A$6:$G$47,6,0)</f>
        <v>248856.63428999999</v>
      </c>
      <c r="L72" s="921">
        <f>INT(G72*H72*I72*J72*K72)</f>
        <v>39817</v>
      </c>
      <c r="M72" s="923"/>
      <c r="N72" s="406" t="s">
        <v>909</v>
      </c>
    </row>
    <row r="73" spans="1:18" s="10" customFormat="1" ht="24.95" customHeight="1">
      <c r="A73" s="267"/>
      <c r="B73" s="396"/>
      <c r="C73" s="396"/>
      <c r="D73" s="396"/>
      <c r="E73" s="400"/>
      <c r="F73" s="400"/>
      <c r="G73" s="919"/>
      <c r="H73" s="919"/>
      <c r="I73" s="919"/>
      <c r="J73" s="919"/>
      <c r="K73" s="398"/>
      <c r="L73" s="922"/>
      <c r="M73" s="922"/>
      <c r="N73" s="406"/>
    </row>
    <row r="74" spans="1:18" s="10" customFormat="1" ht="24.95" hidden="1" customHeight="1">
      <c r="A74" s="267"/>
      <c r="B74" s="396" t="s">
        <v>1259</v>
      </c>
      <c r="C74" s="396" t="s">
        <v>1285</v>
      </c>
      <c r="D74" s="396" t="s">
        <v>1065</v>
      </c>
      <c r="E74" s="400" t="s">
        <v>11</v>
      </c>
      <c r="F74" s="400" t="s">
        <v>3</v>
      </c>
      <c r="G74" s="919">
        <v>0.5</v>
      </c>
      <c r="H74" s="920">
        <v>1</v>
      </c>
      <c r="I74" s="920">
        <v>1</v>
      </c>
      <c r="J74" s="920">
        <v>1</v>
      </c>
      <c r="K74" s="398">
        <f>VLOOKUP(F74,'8-5.2025하노임'!$A$6:$G$47,6,0)</f>
        <v>276216.14889000001</v>
      </c>
      <c r="L74" s="921">
        <f>INT(G74*H74*I74*J74*K74)</f>
        <v>138108</v>
      </c>
      <c r="M74" s="922">
        <f>SUM(L74:L74)</f>
        <v>138108</v>
      </c>
      <c r="N74" s="406" t="s">
        <v>1287</v>
      </c>
      <c r="Q74" s="11"/>
    </row>
    <row r="75" spans="1:18" s="22" customFormat="1" ht="24.95" hidden="1" customHeight="1">
      <c r="A75" s="267"/>
      <c r="B75" s="396"/>
      <c r="C75" s="396"/>
      <c r="D75" s="396"/>
      <c r="E75" s="400"/>
      <c r="F75" s="400"/>
      <c r="G75" s="919"/>
      <c r="H75" s="919"/>
      <c r="I75" s="919"/>
      <c r="J75" s="919"/>
      <c r="K75" s="398"/>
      <c r="L75" s="921"/>
      <c r="M75" s="921"/>
      <c r="N75" s="406"/>
      <c r="O75" s="10"/>
      <c r="P75" s="10"/>
      <c r="Q75" s="10"/>
      <c r="R75" s="10"/>
    </row>
    <row r="76" spans="1:18" s="22" customFormat="1" ht="24.95" hidden="1" customHeight="1">
      <c r="A76" s="267"/>
      <c r="B76" s="396" t="s">
        <v>1044</v>
      </c>
      <c r="C76" s="396" t="s">
        <v>1044</v>
      </c>
      <c r="D76" s="396"/>
      <c r="E76" s="400" t="s">
        <v>274</v>
      </c>
      <c r="F76" s="400" t="s">
        <v>3</v>
      </c>
      <c r="G76" s="919">
        <v>0.23</v>
      </c>
      <c r="H76" s="920">
        <v>1</v>
      </c>
      <c r="I76" s="920">
        <v>1</v>
      </c>
      <c r="J76" s="920">
        <v>1</v>
      </c>
      <c r="K76" s="398">
        <f>VLOOKUP(F76,'8-5.2025하노임'!$A$6:$G$47,6,0)</f>
        <v>276216.14889000001</v>
      </c>
      <c r="L76" s="921">
        <f>INT(G76*H76*I76*J76*K76)</f>
        <v>63529</v>
      </c>
      <c r="M76" s="922">
        <f>SUM(L76:L77)</f>
        <v>108835</v>
      </c>
      <c r="N76" s="406" t="s">
        <v>1045</v>
      </c>
      <c r="O76" s="10"/>
      <c r="P76" s="10"/>
      <c r="Q76" s="10"/>
      <c r="R76" s="10"/>
    </row>
    <row r="77" spans="1:18" s="22" customFormat="1" ht="24.95" hidden="1" customHeight="1">
      <c r="A77" s="267"/>
      <c r="B77" s="399"/>
      <c r="C77" s="396"/>
      <c r="D77" s="396"/>
      <c r="E77" s="400" t="s">
        <v>457</v>
      </c>
      <c r="F77" s="400" t="s">
        <v>458</v>
      </c>
      <c r="G77" s="919">
        <v>0.23</v>
      </c>
      <c r="H77" s="920">
        <v>1</v>
      </c>
      <c r="I77" s="920">
        <v>1</v>
      </c>
      <c r="J77" s="920">
        <v>1</v>
      </c>
      <c r="K77" s="398">
        <f>VLOOKUP(F77,'8-5.2025하노임'!$A$6:$G$47,6,0)</f>
        <v>196983.2403</v>
      </c>
      <c r="L77" s="921">
        <f>INT(G77*H77*I77*J77*K77)</f>
        <v>45306</v>
      </c>
      <c r="M77" s="922"/>
      <c r="N77" s="406"/>
      <c r="O77" s="10"/>
      <c r="P77" s="10"/>
      <c r="Q77" s="10"/>
      <c r="R77" s="10"/>
    </row>
    <row r="78" spans="1:18" s="10" customFormat="1" ht="24.95" hidden="1" customHeight="1">
      <c r="A78" s="267"/>
      <c r="B78" s="399"/>
      <c r="C78" s="396"/>
      <c r="D78" s="396"/>
      <c r="E78" s="400"/>
      <c r="F78" s="400"/>
      <c r="G78" s="919"/>
      <c r="H78" s="920"/>
      <c r="I78" s="920"/>
      <c r="J78" s="920"/>
      <c r="K78" s="398"/>
      <c r="L78" s="921"/>
      <c r="M78" s="922"/>
      <c r="N78" s="406"/>
      <c r="Q78" s="11"/>
    </row>
    <row r="79" spans="1:18" s="10" customFormat="1" ht="24.95" customHeight="1">
      <c r="A79" s="267" t="s">
        <v>3265</v>
      </c>
      <c r="B79" s="1753" t="s">
        <v>907</v>
      </c>
      <c r="C79" s="1753" t="s">
        <v>3367</v>
      </c>
      <c r="D79" s="1753"/>
      <c r="E79" s="1754"/>
      <c r="F79" s="1754" t="s">
        <v>3241</v>
      </c>
      <c r="G79" s="1755">
        <v>0.2</v>
      </c>
      <c r="H79" s="1756">
        <v>1</v>
      </c>
      <c r="I79" s="1756">
        <v>1</v>
      </c>
      <c r="J79" s="1756">
        <v>1</v>
      </c>
      <c r="K79" s="1757">
        <f>VLOOKUP(F79,'[197]8-5.2025하노임'!$A$6:$G$47,6,0)</f>
        <v>303262</v>
      </c>
      <c r="L79" s="1758">
        <f>INT(G79*H79*I79*J79*K79)</f>
        <v>60652</v>
      </c>
      <c r="M79" s="1759">
        <f>SUM(L79:L82)</f>
        <v>458028</v>
      </c>
      <c r="N79" s="1760" t="s">
        <v>3369</v>
      </c>
    </row>
    <row r="80" spans="1:18" s="10" customFormat="1" ht="24.95" customHeight="1">
      <c r="A80" s="267"/>
      <c r="B80" s="1753"/>
      <c r="C80" s="1753"/>
      <c r="D80" s="1753"/>
      <c r="E80" s="1754"/>
      <c r="F80" s="1754" t="s">
        <v>3243</v>
      </c>
      <c r="G80" s="1755">
        <v>0.2</v>
      </c>
      <c r="H80" s="1756">
        <v>1</v>
      </c>
      <c r="I80" s="1756">
        <v>1</v>
      </c>
      <c r="J80" s="1756">
        <v>1</v>
      </c>
      <c r="K80" s="1757">
        <f>VLOOKUP(F80,'[197]8-5.2025하노임'!$A$6:$G$47,6,0)</f>
        <v>314787</v>
      </c>
      <c r="L80" s="1758">
        <f t="shared" ref="L80:L82" si="0">INT(G80*H80*I80*J80*K80)</f>
        <v>62957</v>
      </c>
      <c r="M80" s="1761"/>
      <c r="N80" s="1760"/>
    </row>
    <row r="81" spans="1:16" s="10" customFormat="1" ht="24.95" customHeight="1">
      <c r="A81" s="267"/>
      <c r="B81" s="1753"/>
      <c r="C81" s="1753" t="s">
        <v>3368</v>
      </c>
      <c r="D81" s="1753"/>
      <c r="E81" s="1754"/>
      <c r="F81" s="1754" t="s">
        <v>12</v>
      </c>
      <c r="G81" s="1755">
        <v>0.4</v>
      </c>
      <c r="H81" s="1756">
        <v>1</v>
      </c>
      <c r="I81" s="1756">
        <v>1</v>
      </c>
      <c r="J81" s="1756">
        <v>1</v>
      </c>
      <c r="K81" s="1757">
        <f>VLOOKUP(F81,'[197]8-5.2025하노임'!$A$6:$G$47,6,0)</f>
        <v>446000</v>
      </c>
      <c r="L81" s="1758">
        <f t="shared" si="0"/>
        <v>178400</v>
      </c>
      <c r="M81" s="1761"/>
      <c r="N81" s="1760"/>
    </row>
    <row r="82" spans="1:16" s="22" customFormat="1" ht="24.95" customHeight="1">
      <c r="A82" s="316"/>
      <c r="B82" s="1753"/>
      <c r="C82" s="1753"/>
      <c r="D82" s="1753"/>
      <c r="E82" s="1754"/>
      <c r="F82" s="1754" t="s">
        <v>13</v>
      </c>
      <c r="G82" s="1755">
        <v>0.4</v>
      </c>
      <c r="H82" s="1756">
        <v>1</v>
      </c>
      <c r="I82" s="1756">
        <v>1</v>
      </c>
      <c r="J82" s="1756">
        <v>1</v>
      </c>
      <c r="K82" s="1757">
        <f>VLOOKUP(F82,'[197]8-5.2025하노임'!$A$6:$G$47,6,0)</f>
        <v>390048</v>
      </c>
      <c r="L82" s="1758">
        <f t="shared" si="0"/>
        <v>156019</v>
      </c>
      <c r="M82" s="1761"/>
      <c r="N82" s="1760"/>
      <c r="P82" s="939"/>
    </row>
    <row r="83" spans="1:16" s="22" customFormat="1" ht="24.95" customHeight="1">
      <c r="A83" s="267"/>
      <c r="B83" s="396"/>
      <c r="C83" s="396"/>
      <c r="D83" s="396"/>
      <c r="E83" s="400"/>
      <c r="F83" s="400"/>
      <c r="G83" s="919"/>
      <c r="H83" s="919"/>
      <c r="I83" s="919"/>
      <c r="J83" s="919"/>
      <c r="K83" s="398"/>
      <c r="L83" s="922"/>
      <c r="M83" s="923"/>
      <c r="N83" s="406"/>
    </row>
    <row r="84" spans="1:16" s="22" customFormat="1" ht="24.95" customHeight="1">
      <c r="A84" s="267" t="s">
        <v>3267</v>
      </c>
      <c r="B84" s="404" t="s">
        <v>1284</v>
      </c>
      <c r="C84" s="396" t="s">
        <v>1028</v>
      </c>
      <c r="D84" s="404"/>
      <c r="E84" s="400" t="s">
        <v>271</v>
      </c>
      <c r="F84" s="400" t="s">
        <v>3</v>
      </c>
      <c r="G84" s="919">
        <v>0.02</v>
      </c>
      <c r="H84" s="920">
        <v>1</v>
      </c>
      <c r="I84" s="920">
        <v>1</v>
      </c>
      <c r="J84" s="920">
        <v>1</v>
      </c>
      <c r="K84" s="398">
        <f>VLOOKUP(F84,'8-5.2025하노임'!$A$6:$G$47,6,0)</f>
        <v>276216.14889000001</v>
      </c>
      <c r="L84" s="921">
        <f>INT(G84*H84*I84*J84*K84)</f>
        <v>5524</v>
      </c>
      <c r="M84" s="922">
        <f>SUM(L84:L84)</f>
        <v>5524</v>
      </c>
      <c r="N84" s="406" t="s">
        <v>908</v>
      </c>
    </row>
    <row r="85" spans="1:16" s="22" customFormat="1" ht="24.95" customHeight="1">
      <c r="A85" s="267"/>
      <c r="B85" s="396"/>
      <c r="C85" s="396"/>
      <c r="D85" s="396"/>
      <c r="E85" s="400"/>
      <c r="F85" s="400"/>
      <c r="G85" s="919"/>
      <c r="H85" s="919"/>
      <c r="I85" s="919"/>
      <c r="J85" s="919"/>
      <c r="K85" s="398"/>
      <c r="L85" s="922"/>
      <c r="M85" s="922"/>
      <c r="N85" s="406"/>
    </row>
    <row r="86" spans="1:16" s="22" customFormat="1" ht="24.95" hidden="1" customHeight="1">
      <c r="A86" s="267" t="s">
        <v>2386</v>
      </c>
      <c r="B86" s="404" t="s">
        <v>1203</v>
      </c>
      <c r="C86" s="396" t="s">
        <v>1028</v>
      </c>
      <c r="D86" s="404"/>
      <c r="E86" s="400" t="s">
        <v>271</v>
      </c>
      <c r="F86" s="400" t="s">
        <v>3</v>
      </c>
      <c r="G86" s="919">
        <v>0.02</v>
      </c>
      <c r="H86" s="920">
        <v>0.5</v>
      </c>
      <c r="I86" s="920">
        <v>1</v>
      </c>
      <c r="J86" s="920">
        <v>1</v>
      </c>
      <c r="K86" s="398">
        <f>VLOOKUP(F86,'8-5.2025하노임'!$A$6:$G$47,6,0)</f>
        <v>276216.14889000001</v>
      </c>
      <c r="L86" s="921">
        <f>INT(G86*H86*I86*J86*K86)</f>
        <v>2762</v>
      </c>
      <c r="M86" s="922">
        <f>SUM(L86:L86)</f>
        <v>2762</v>
      </c>
      <c r="N86" s="406" t="s">
        <v>908</v>
      </c>
    </row>
    <row r="87" spans="1:16" s="22" customFormat="1" ht="24.95" hidden="1" customHeight="1">
      <c r="A87" s="267"/>
      <c r="B87" s="396"/>
      <c r="C87" s="396"/>
      <c r="D87" s="396"/>
      <c r="E87" s="400"/>
      <c r="F87" s="400"/>
      <c r="G87" s="919"/>
      <c r="H87" s="919"/>
      <c r="I87" s="919"/>
      <c r="J87" s="919"/>
      <c r="K87" s="398"/>
      <c r="L87" s="922"/>
      <c r="M87" s="922"/>
      <c r="N87" s="406"/>
    </row>
    <row r="88" spans="1:16" s="22" customFormat="1" ht="24.95" hidden="1" customHeight="1">
      <c r="A88" s="267" t="s">
        <v>2387</v>
      </c>
      <c r="B88" s="404" t="s">
        <v>1767</v>
      </c>
      <c r="C88" s="396" t="s">
        <v>1028</v>
      </c>
      <c r="D88" s="404"/>
      <c r="E88" s="400" t="s">
        <v>271</v>
      </c>
      <c r="F88" s="400" t="s">
        <v>3</v>
      </c>
      <c r="G88" s="919">
        <v>0.02</v>
      </c>
      <c r="H88" s="920">
        <v>1.8</v>
      </c>
      <c r="I88" s="920">
        <v>1</v>
      </c>
      <c r="J88" s="920">
        <v>1</v>
      </c>
      <c r="K88" s="398">
        <f>VLOOKUP(F88,'8-5.2025하노임'!$A$6:$G$47,6,0)</f>
        <v>276216.14889000001</v>
      </c>
      <c r="L88" s="921">
        <f>INT(G88*H88*I88*J88*K88)</f>
        <v>9943</v>
      </c>
      <c r="M88" s="922">
        <f>SUM(L88:L88)</f>
        <v>9943</v>
      </c>
      <c r="N88" s="406" t="s">
        <v>908</v>
      </c>
    </row>
    <row r="89" spans="1:16" s="22" customFormat="1" ht="24.95" hidden="1" customHeight="1">
      <c r="A89" s="267"/>
      <c r="B89" s="396"/>
      <c r="C89" s="396"/>
      <c r="D89" s="396"/>
      <c r="E89" s="400"/>
      <c r="F89" s="400"/>
      <c r="G89" s="919"/>
      <c r="H89" s="919"/>
      <c r="I89" s="919"/>
      <c r="J89" s="919"/>
      <c r="K89" s="398"/>
      <c r="L89" s="922"/>
      <c r="M89" s="922"/>
      <c r="N89" s="406"/>
    </row>
    <row r="90" spans="1:16" s="22" customFormat="1" ht="24.95" customHeight="1">
      <c r="A90" s="951" t="s">
        <v>3269</v>
      </c>
      <c r="B90" s="396" t="s">
        <v>285</v>
      </c>
      <c r="C90" s="396" t="s">
        <v>784</v>
      </c>
      <c r="D90" s="396" t="s">
        <v>2596</v>
      </c>
      <c r="E90" s="400" t="s">
        <v>272</v>
      </c>
      <c r="F90" s="400" t="s">
        <v>14</v>
      </c>
      <c r="G90" s="399">
        <v>1.7999999999999999E-2</v>
      </c>
      <c r="H90" s="920">
        <v>1.2</v>
      </c>
      <c r="I90" s="920">
        <v>1</v>
      </c>
      <c r="J90" s="920">
        <v>1</v>
      </c>
      <c r="K90" s="398">
        <f>VLOOKUP(F90,'8-5.2025하노임'!$A$6:$G$47,6,0)</f>
        <v>386848.44396</v>
      </c>
      <c r="L90" s="921">
        <f>INT(G90*H90*I90*J90*K90)</f>
        <v>8355</v>
      </c>
      <c r="M90" s="922">
        <f>SUM(L90)</f>
        <v>8355</v>
      </c>
      <c r="N90" s="406" t="s">
        <v>912</v>
      </c>
    </row>
    <row r="91" spans="1:16" s="22" customFormat="1" ht="24.95" customHeight="1">
      <c r="A91" s="951"/>
      <c r="B91" s="396"/>
      <c r="C91" s="396"/>
      <c r="D91" s="396"/>
      <c r="E91" s="400"/>
      <c r="F91" s="400"/>
      <c r="G91" s="399"/>
      <c r="H91" s="920"/>
      <c r="I91" s="920"/>
      <c r="J91" s="920"/>
      <c r="K91" s="398"/>
      <c r="L91" s="921"/>
      <c r="M91" s="922"/>
      <c r="N91" s="406"/>
    </row>
    <row r="92" spans="1:16" s="1534" customFormat="1" ht="24.95" customHeight="1">
      <c r="A92" s="1525" t="s">
        <v>2595</v>
      </c>
      <c r="B92" s="1526" t="s">
        <v>285</v>
      </c>
      <c r="C92" s="1526"/>
      <c r="D92" s="1526"/>
      <c r="E92" s="1527" t="s">
        <v>272</v>
      </c>
      <c r="F92" s="1527" t="s">
        <v>14</v>
      </c>
      <c r="G92" s="1528">
        <v>1.7999999999999999E-2</v>
      </c>
      <c r="H92" s="1529">
        <v>1</v>
      </c>
      <c r="I92" s="1529">
        <v>1</v>
      </c>
      <c r="J92" s="1529">
        <v>1</v>
      </c>
      <c r="K92" s="1530">
        <f>VLOOKUP(F92,'8-5.2025하노임'!$A$6:$G$47,6,0)</f>
        <v>386848.44396</v>
      </c>
      <c r="L92" s="1531">
        <f>INT(G92*H92*I92*J92*K92)</f>
        <v>6963</v>
      </c>
      <c r="M92" s="1532">
        <f>SUM(L92)</f>
        <v>6963</v>
      </c>
      <c r="N92" s="1533" t="s">
        <v>912</v>
      </c>
    </row>
    <row r="93" spans="1:16" s="22" customFormat="1" ht="24.95" customHeight="1">
      <c r="A93" s="951"/>
      <c r="B93" s="396"/>
      <c r="C93" s="396"/>
      <c r="D93" s="396"/>
      <c r="E93" s="400"/>
      <c r="F93" s="400"/>
      <c r="G93" s="399"/>
      <c r="H93" s="920"/>
      <c r="I93" s="920"/>
      <c r="J93" s="920"/>
      <c r="K93" s="398"/>
      <c r="L93" s="921"/>
      <c r="M93" s="922"/>
      <c r="N93" s="406"/>
    </row>
    <row r="94" spans="1:16" s="22" customFormat="1" ht="24.95" customHeight="1">
      <c r="A94" s="951" t="s">
        <v>3294</v>
      </c>
      <c r="B94" s="396" t="s">
        <v>285</v>
      </c>
      <c r="C94" s="396" t="s">
        <v>785</v>
      </c>
      <c r="D94" s="396" t="s">
        <v>2584</v>
      </c>
      <c r="E94" s="400" t="s">
        <v>272</v>
      </c>
      <c r="F94" s="400" t="s">
        <v>14</v>
      </c>
      <c r="G94" s="399">
        <v>1.7999999999999999E-2</v>
      </c>
      <c r="H94" s="920">
        <v>1.8</v>
      </c>
      <c r="I94" s="920">
        <v>1.2</v>
      </c>
      <c r="J94" s="920">
        <v>1</v>
      </c>
      <c r="K94" s="398">
        <f>VLOOKUP(F94,'8-5.2025하노임'!$A$6:$G$47,6,0)</f>
        <v>386848.44396</v>
      </c>
      <c r="L94" s="921">
        <f>INT(G94*H94*I94*J94*K94)</f>
        <v>15040</v>
      </c>
      <c r="M94" s="922">
        <f>SUM(L94)</f>
        <v>15040</v>
      </c>
      <c r="N94" s="406" t="s">
        <v>912</v>
      </c>
    </row>
    <row r="95" spans="1:16" s="22" customFormat="1" ht="24.95" customHeight="1">
      <c r="A95" s="951"/>
      <c r="B95" s="396"/>
      <c r="C95" s="396"/>
      <c r="D95" s="396"/>
      <c r="E95" s="400"/>
      <c r="F95" s="400"/>
      <c r="G95" s="399"/>
      <c r="H95" s="920"/>
      <c r="I95" s="920"/>
      <c r="J95" s="920"/>
      <c r="K95" s="398"/>
      <c r="L95" s="921"/>
      <c r="M95" s="922"/>
      <c r="N95" s="406"/>
    </row>
    <row r="96" spans="1:16" s="1534" customFormat="1" ht="24.95" customHeight="1">
      <c r="A96" s="1525" t="s">
        <v>2595</v>
      </c>
      <c r="B96" s="1526" t="s">
        <v>285</v>
      </c>
      <c r="C96" s="1526"/>
      <c r="D96" s="1526"/>
      <c r="E96" s="1527" t="s">
        <v>272</v>
      </c>
      <c r="F96" s="1527" t="s">
        <v>14</v>
      </c>
      <c r="G96" s="1528">
        <v>1.7999999999999999E-2</v>
      </c>
      <c r="H96" s="1529">
        <v>1.8</v>
      </c>
      <c r="I96" s="1529">
        <v>1</v>
      </c>
      <c r="J96" s="1529">
        <v>1</v>
      </c>
      <c r="K96" s="1530">
        <f>VLOOKUP(F96,'8-5.2025하노임'!$A$6:$G$47,6,0)</f>
        <v>386848.44396</v>
      </c>
      <c r="L96" s="1531">
        <f>INT(G96*H96*I96*J96*K96)</f>
        <v>12533</v>
      </c>
      <c r="M96" s="1532">
        <f>SUM(L96)</f>
        <v>12533</v>
      </c>
      <c r="N96" s="1533" t="s">
        <v>912</v>
      </c>
    </row>
    <row r="97" spans="1:14" s="22" customFormat="1" ht="24.95" customHeight="1">
      <c r="A97" s="267"/>
      <c r="B97" s="396"/>
      <c r="C97" s="396"/>
      <c r="D97" s="396"/>
      <c r="E97" s="400"/>
      <c r="F97" s="400"/>
      <c r="G97" s="399"/>
      <c r="H97" s="399"/>
      <c r="I97" s="399"/>
      <c r="J97" s="399"/>
      <c r="K97" s="398"/>
      <c r="L97" s="399"/>
      <c r="M97" s="922"/>
      <c r="N97" s="406"/>
    </row>
    <row r="98" spans="1:14" s="22" customFormat="1" ht="24.95" customHeight="1">
      <c r="A98" s="951" t="s">
        <v>3296</v>
      </c>
      <c r="B98" s="396" t="s">
        <v>285</v>
      </c>
      <c r="C98" s="396" t="s">
        <v>786</v>
      </c>
      <c r="D98" s="396" t="s">
        <v>2585</v>
      </c>
      <c r="E98" s="400" t="s">
        <v>272</v>
      </c>
      <c r="F98" s="400" t="s">
        <v>14</v>
      </c>
      <c r="G98" s="399">
        <v>1.7999999999999999E-2</v>
      </c>
      <c r="H98" s="920">
        <v>2.6</v>
      </c>
      <c r="I98" s="920">
        <v>1.2</v>
      </c>
      <c r="J98" s="920">
        <v>1</v>
      </c>
      <c r="K98" s="398">
        <f>VLOOKUP(F98,'8-5.2025하노임'!$A$6:$G$47,6,0)</f>
        <v>386848.44396</v>
      </c>
      <c r="L98" s="921">
        <f>INT(G98*H98*I98*J98*K98)</f>
        <v>21725</v>
      </c>
      <c r="M98" s="922">
        <f>SUM(L98)</f>
        <v>21725</v>
      </c>
      <c r="N98" s="406" t="s">
        <v>912</v>
      </c>
    </row>
    <row r="99" spans="1:14" s="22" customFormat="1" ht="24.95" customHeight="1">
      <c r="A99" s="951"/>
      <c r="B99" s="396"/>
      <c r="C99" s="396"/>
      <c r="D99" s="396"/>
      <c r="E99" s="400"/>
      <c r="F99" s="400"/>
      <c r="G99" s="399"/>
      <c r="H99" s="920"/>
      <c r="I99" s="920"/>
      <c r="J99" s="920"/>
      <c r="K99" s="398"/>
      <c r="L99" s="921"/>
      <c r="M99" s="922"/>
      <c r="N99" s="406"/>
    </row>
    <row r="100" spans="1:14" s="1534" customFormat="1" ht="24.95" customHeight="1">
      <c r="A100" s="1525" t="s">
        <v>2595</v>
      </c>
      <c r="B100" s="1526" t="s">
        <v>285</v>
      </c>
      <c r="C100" s="1526"/>
      <c r="D100" s="1526"/>
      <c r="E100" s="1527" t="s">
        <v>272</v>
      </c>
      <c r="F100" s="1527" t="s">
        <v>14</v>
      </c>
      <c r="G100" s="1528">
        <v>1.7999999999999999E-2</v>
      </c>
      <c r="H100" s="1529">
        <v>2.6</v>
      </c>
      <c r="I100" s="1529">
        <v>1</v>
      </c>
      <c r="J100" s="1529">
        <v>1</v>
      </c>
      <c r="K100" s="1530">
        <f>VLOOKUP(F100,'8-5.2025하노임'!$A$6:$G$47,6,0)</f>
        <v>386848.44396</v>
      </c>
      <c r="L100" s="1531">
        <f>INT(G100*H100*I100*J100*K100)</f>
        <v>18104</v>
      </c>
      <c r="M100" s="1532">
        <f>SUM(L100)</f>
        <v>18104</v>
      </c>
      <c r="N100" s="1533" t="s">
        <v>912</v>
      </c>
    </row>
    <row r="101" spans="1:14" s="22" customFormat="1" ht="24.95" customHeight="1">
      <c r="A101" s="267"/>
      <c r="B101" s="396"/>
      <c r="C101" s="396"/>
      <c r="D101" s="396"/>
      <c r="E101" s="400"/>
      <c r="F101" s="400"/>
      <c r="G101" s="399"/>
      <c r="H101" s="399"/>
      <c r="I101" s="399"/>
      <c r="J101" s="399"/>
      <c r="K101" s="398"/>
      <c r="L101" s="399"/>
      <c r="M101" s="922"/>
      <c r="N101" s="406"/>
    </row>
    <row r="102" spans="1:14" s="22" customFormat="1" ht="24.95" hidden="1" customHeight="1">
      <c r="A102" s="951"/>
      <c r="B102" s="396" t="s">
        <v>285</v>
      </c>
      <c r="C102" s="396" t="s">
        <v>1436</v>
      </c>
      <c r="D102" s="396" t="s">
        <v>2586</v>
      </c>
      <c r="E102" s="400" t="s">
        <v>272</v>
      </c>
      <c r="F102" s="400" t="s">
        <v>14</v>
      </c>
      <c r="G102" s="399">
        <v>2.3E-2</v>
      </c>
      <c r="H102" s="920">
        <v>1.2</v>
      </c>
      <c r="I102" s="920">
        <v>1</v>
      </c>
      <c r="J102" s="920">
        <v>1</v>
      </c>
      <c r="K102" s="398">
        <f>VLOOKUP(F102,'8-5.2025하노임'!$A$6:$G$47,6,0)</f>
        <v>386848.44396</v>
      </c>
      <c r="L102" s="921">
        <f>INT(G102*H102*I102*J102*K102)</f>
        <v>10677</v>
      </c>
      <c r="M102" s="922">
        <f>SUM(L102)</f>
        <v>10677</v>
      </c>
      <c r="N102" s="406" t="s">
        <v>912</v>
      </c>
    </row>
    <row r="103" spans="1:14" s="22" customFormat="1" ht="24.95" hidden="1" customHeight="1">
      <c r="A103" s="951"/>
      <c r="B103" s="396"/>
      <c r="C103" s="396"/>
      <c r="D103" s="396"/>
      <c r="E103" s="400"/>
      <c r="F103" s="400"/>
      <c r="G103" s="399"/>
      <c r="H103" s="920"/>
      <c r="I103" s="920"/>
      <c r="J103" s="920"/>
      <c r="K103" s="398"/>
      <c r="L103" s="921"/>
      <c r="M103" s="922"/>
      <c r="N103" s="406"/>
    </row>
    <row r="104" spans="1:14" s="22" customFormat="1" ht="24.95" hidden="1" customHeight="1">
      <c r="A104" s="951"/>
      <c r="B104" s="396" t="s">
        <v>285</v>
      </c>
      <c r="C104" s="396" t="s">
        <v>1439</v>
      </c>
      <c r="D104" s="396" t="s">
        <v>2586</v>
      </c>
      <c r="E104" s="400" t="s">
        <v>272</v>
      </c>
      <c r="F104" s="400" t="s">
        <v>14</v>
      </c>
      <c r="G104" s="399">
        <v>2.3E-2</v>
      </c>
      <c r="H104" s="920">
        <v>1.2</v>
      </c>
      <c r="I104" s="920">
        <v>1.8</v>
      </c>
      <c r="J104" s="920">
        <v>1</v>
      </c>
      <c r="K104" s="398">
        <f>VLOOKUP(F104,'8-5.2025하노임'!$A$6:$G$47,6,0)</f>
        <v>386848.44396</v>
      </c>
      <c r="L104" s="921">
        <f>INT(G104*H104*I104*J104*K104)</f>
        <v>19218</v>
      </c>
      <c r="M104" s="922">
        <f>SUM(L104)</f>
        <v>19218</v>
      </c>
      <c r="N104" s="406" t="s">
        <v>912</v>
      </c>
    </row>
    <row r="105" spans="1:14" s="22" customFormat="1" ht="24.95" hidden="1" customHeight="1">
      <c r="A105" s="267"/>
      <c r="B105" s="396"/>
      <c r="C105" s="396"/>
      <c r="D105" s="396"/>
      <c r="E105" s="400"/>
      <c r="F105" s="400"/>
      <c r="G105" s="399"/>
      <c r="H105" s="399"/>
      <c r="I105" s="399"/>
      <c r="J105" s="399"/>
      <c r="K105" s="398"/>
      <c r="L105" s="399"/>
      <c r="M105" s="922"/>
      <c r="N105" s="406"/>
    </row>
    <row r="106" spans="1:14" s="22" customFormat="1" ht="24.95" hidden="1" customHeight="1">
      <c r="A106" s="951"/>
      <c r="B106" s="396" t="s">
        <v>285</v>
      </c>
      <c r="C106" s="396" t="s">
        <v>1435</v>
      </c>
      <c r="D106" s="396" t="s">
        <v>2586</v>
      </c>
      <c r="E106" s="400" t="s">
        <v>272</v>
      </c>
      <c r="F106" s="400" t="s">
        <v>14</v>
      </c>
      <c r="G106" s="399">
        <v>2.3E-2</v>
      </c>
      <c r="H106" s="920">
        <v>1.2</v>
      </c>
      <c r="I106" s="920">
        <v>3.4</v>
      </c>
      <c r="J106" s="920">
        <v>1</v>
      </c>
      <c r="K106" s="398">
        <f>VLOOKUP(F106,'8-5.2025하노임'!$A$6:$G$47,6,0)</f>
        <v>386848.44396</v>
      </c>
      <c r="L106" s="921">
        <f>INT(G106*H106*I106*J106*K106)</f>
        <v>36301</v>
      </c>
      <c r="M106" s="922">
        <f>SUM(L106)</f>
        <v>36301</v>
      </c>
      <c r="N106" s="406" t="s">
        <v>912</v>
      </c>
    </row>
    <row r="107" spans="1:14" s="22" customFormat="1" ht="24.95" hidden="1" customHeight="1">
      <c r="A107" s="267"/>
      <c r="B107" s="396"/>
      <c r="C107" s="396"/>
      <c r="D107" s="396"/>
      <c r="E107" s="400"/>
      <c r="F107" s="400"/>
      <c r="G107" s="399"/>
      <c r="H107" s="399"/>
      <c r="I107" s="399"/>
      <c r="J107" s="399"/>
      <c r="K107" s="398"/>
      <c r="L107" s="399"/>
      <c r="M107" s="922"/>
      <c r="N107" s="406"/>
    </row>
    <row r="108" spans="1:14" s="22" customFormat="1" ht="24.95" hidden="1" customHeight="1">
      <c r="A108" s="951"/>
      <c r="B108" s="396" t="s">
        <v>285</v>
      </c>
      <c r="C108" s="396" t="s">
        <v>1437</v>
      </c>
      <c r="D108" s="396" t="s">
        <v>2586</v>
      </c>
      <c r="E108" s="400" t="s">
        <v>272</v>
      </c>
      <c r="F108" s="400" t="s">
        <v>14</v>
      </c>
      <c r="G108" s="399">
        <v>1.2E-2</v>
      </c>
      <c r="H108" s="920">
        <v>1.2</v>
      </c>
      <c r="I108" s="920">
        <v>1</v>
      </c>
      <c r="J108" s="920">
        <v>1</v>
      </c>
      <c r="K108" s="398">
        <f>VLOOKUP(F108,'8-5.2025하노임'!$A$6:$G$47,6,0)</f>
        <v>386848.44396</v>
      </c>
      <c r="L108" s="921">
        <f>INT(G108*H108*I108*J108*K108)</f>
        <v>5570</v>
      </c>
      <c r="M108" s="922">
        <f>SUM(L108)</f>
        <v>5570</v>
      </c>
      <c r="N108" s="406" t="s">
        <v>912</v>
      </c>
    </row>
    <row r="109" spans="1:14" s="22" customFormat="1" ht="24.95" hidden="1" customHeight="1">
      <c r="A109" s="267"/>
      <c r="B109" s="396"/>
      <c r="C109" s="396"/>
      <c r="D109" s="396"/>
      <c r="E109" s="400"/>
      <c r="F109" s="400"/>
      <c r="G109" s="399"/>
      <c r="H109" s="399"/>
      <c r="I109" s="399"/>
      <c r="J109" s="399"/>
      <c r="K109" s="398"/>
      <c r="L109" s="399"/>
      <c r="M109" s="922"/>
      <c r="N109" s="406"/>
    </row>
    <row r="110" spans="1:14" s="22" customFormat="1" ht="24.95" hidden="1" customHeight="1">
      <c r="A110" s="951"/>
      <c r="B110" s="396" t="s">
        <v>285</v>
      </c>
      <c r="C110" s="396" t="s">
        <v>1440</v>
      </c>
      <c r="D110" s="396" t="s">
        <v>2586</v>
      </c>
      <c r="E110" s="400" t="s">
        <v>272</v>
      </c>
      <c r="F110" s="400" t="s">
        <v>14</v>
      </c>
      <c r="G110" s="399">
        <v>1.2E-2</v>
      </c>
      <c r="H110" s="920">
        <v>1.2</v>
      </c>
      <c r="I110" s="920">
        <v>1.8</v>
      </c>
      <c r="J110" s="920">
        <v>1</v>
      </c>
      <c r="K110" s="398">
        <f>VLOOKUP(F110,'8-5.2025하노임'!$A$6:$G$47,6,0)</f>
        <v>386848.44396</v>
      </c>
      <c r="L110" s="921">
        <f>INT(G110*H110*I110*J110*K110)</f>
        <v>10027</v>
      </c>
      <c r="M110" s="922">
        <f>SUM(L110)</f>
        <v>10027</v>
      </c>
      <c r="N110" s="406" t="s">
        <v>912</v>
      </c>
    </row>
    <row r="111" spans="1:14" s="22" customFormat="1" ht="24.95" hidden="1" customHeight="1">
      <c r="A111" s="267"/>
      <c r="B111" s="396"/>
      <c r="C111" s="396"/>
      <c r="D111" s="396"/>
      <c r="E111" s="400"/>
      <c r="F111" s="400"/>
      <c r="G111" s="399"/>
      <c r="H111" s="399"/>
      <c r="I111" s="399"/>
      <c r="J111" s="399"/>
      <c r="K111" s="398"/>
      <c r="L111" s="399"/>
      <c r="M111" s="922"/>
      <c r="N111" s="406"/>
    </row>
    <row r="112" spans="1:14" s="22" customFormat="1" ht="24.95" hidden="1" customHeight="1">
      <c r="A112" s="951"/>
      <c r="B112" s="396" t="s">
        <v>285</v>
      </c>
      <c r="C112" s="396" t="s">
        <v>1438</v>
      </c>
      <c r="D112" s="396" t="s">
        <v>2586</v>
      </c>
      <c r="E112" s="400" t="s">
        <v>272</v>
      </c>
      <c r="F112" s="400" t="s">
        <v>14</v>
      </c>
      <c r="G112" s="399">
        <v>1.2E-2</v>
      </c>
      <c r="H112" s="920">
        <v>1.2</v>
      </c>
      <c r="I112" s="920">
        <v>3.4</v>
      </c>
      <c r="J112" s="920">
        <v>1</v>
      </c>
      <c r="K112" s="398">
        <f>VLOOKUP(F112,'8-5.2025하노임'!$A$6:$G$47,6,0)</f>
        <v>386848.44396</v>
      </c>
      <c r="L112" s="921">
        <f>INT(G112*H112*I112*J112*K112)</f>
        <v>18940</v>
      </c>
      <c r="M112" s="922">
        <f>SUM(L112)</f>
        <v>18940</v>
      </c>
      <c r="N112" s="406" t="s">
        <v>912</v>
      </c>
    </row>
    <row r="113" spans="1:17" s="22" customFormat="1" ht="24.95" hidden="1" customHeight="1">
      <c r="A113" s="267"/>
      <c r="B113" s="396"/>
      <c r="C113" s="396"/>
      <c r="D113" s="396"/>
      <c r="E113" s="400"/>
      <c r="F113" s="400"/>
      <c r="G113" s="399"/>
      <c r="H113" s="399"/>
      <c r="I113" s="399"/>
      <c r="J113" s="399"/>
      <c r="K113" s="398"/>
      <c r="L113" s="399"/>
      <c r="M113" s="922"/>
      <c r="N113" s="406"/>
    </row>
    <row r="114" spans="1:17" s="22" customFormat="1" ht="24.95" customHeight="1">
      <c r="A114" s="317" t="s">
        <v>3272</v>
      </c>
      <c r="B114" s="416" t="s">
        <v>449</v>
      </c>
      <c r="C114" s="416" t="s">
        <v>815</v>
      </c>
      <c r="D114" s="416"/>
      <c r="E114" s="417" t="s">
        <v>272</v>
      </c>
      <c r="F114" s="417" t="s">
        <v>387</v>
      </c>
      <c r="G114" s="952">
        <v>7.0000000000000001E-3</v>
      </c>
      <c r="H114" s="949">
        <v>1.8</v>
      </c>
      <c r="I114" s="949">
        <v>1</v>
      </c>
      <c r="J114" s="949">
        <v>1</v>
      </c>
      <c r="K114" s="398">
        <f>VLOOKUP(F114,'8-5.2025하노임'!$A$6:$G$47,6,0)</f>
        <v>386848.44396</v>
      </c>
      <c r="L114" s="950">
        <f>INT(G114*H114*I114*J114*K114)</f>
        <v>4874</v>
      </c>
      <c r="M114" s="922">
        <f>SUM(L114:L115)</f>
        <v>8851</v>
      </c>
      <c r="N114" s="581" t="s">
        <v>908</v>
      </c>
    </row>
    <row r="115" spans="1:17" s="22" customFormat="1" ht="24.95" customHeight="1">
      <c r="A115" s="317"/>
      <c r="B115" s="416" t="s">
        <v>2</v>
      </c>
      <c r="C115" s="416"/>
      <c r="D115" s="416"/>
      <c r="E115" s="417"/>
      <c r="F115" s="417" t="s">
        <v>266</v>
      </c>
      <c r="G115" s="952">
        <v>8.0000000000000002E-3</v>
      </c>
      <c r="H115" s="949">
        <v>1.8</v>
      </c>
      <c r="I115" s="949">
        <v>1</v>
      </c>
      <c r="J115" s="949">
        <v>1</v>
      </c>
      <c r="K115" s="398">
        <f>VLOOKUP(F115,'8-5.2025하노임'!$A$6:$G$47,6,0)</f>
        <v>276216.14889000001</v>
      </c>
      <c r="L115" s="950">
        <f>INT(G115*H115*I115*J115*K115)</f>
        <v>3977</v>
      </c>
      <c r="M115" s="922"/>
      <c r="N115" s="581"/>
    </row>
    <row r="116" spans="1:17" s="10" customFormat="1" ht="24.95" customHeight="1">
      <c r="A116" s="317"/>
      <c r="B116" s="416"/>
      <c r="C116" s="416"/>
      <c r="D116" s="416"/>
      <c r="E116" s="417"/>
      <c r="F116" s="417"/>
      <c r="G116" s="588"/>
      <c r="H116" s="588"/>
      <c r="I116" s="588"/>
      <c r="J116" s="588"/>
      <c r="K116" s="398"/>
      <c r="L116" s="953"/>
      <c r="M116" s="922"/>
      <c r="N116" s="581"/>
    </row>
    <row r="117" spans="1:17" s="10" customFormat="1" ht="24.95" hidden="1" customHeight="1">
      <c r="A117" s="948"/>
      <c r="B117" s="416" t="s">
        <v>388</v>
      </c>
      <c r="C117" s="416" t="s">
        <v>901</v>
      </c>
      <c r="D117" s="416" t="s">
        <v>902</v>
      </c>
      <c r="E117" s="417" t="s">
        <v>272</v>
      </c>
      <c r="F117" s="417" t="s">
        <v>389</v>
      </c>
      <c r="G117" s="952">
        <v>9.1999999999999998E-3</v>
      </c>
      <c r="H117" s="949">
        <v>0.5</v>
      </c>
      <c r="I117" s="949">
        <v>1</v>
      </c>
      <c r="J117" s="949">
        <v>1</v>
      </c>
      <c r="K117" s="398">
        <f>VLOOKUP(F117,'8-5.2025하노임'!$A$6:$G$47,6,0)</f>
        <v>410351.47791000002</v>
      </c>
      <c r="L117" s="950">
        <f>INT(G117*H117*I117*J117*K117)</f>
        <v>1887</v>
      </c>
      <c r="M117" s="922">
        <f>SUM(L117:L118)</f>
        <v>2340</v>
      </c>
      <c r="N117" s="581" t="s">
        <v>930</v>
      </c>
    </row>
    <row r="118" spans="1:17" s="10" customFormat="1" ht="24.95" hidden="1" customHeight="1">
      <c r="A118" s="317"/>
      <c r="B118" s="416" t="s">
        <v>2</v>
      </c>
      <c r="C118" s="416"/>
      <c r="D118" s="416"/>
      <c r="E118" s="417"/>
      <c r="F118" s="417" t="s">
        <v>7</v>
      </c>
      <c r="G118" s="952">
        <v>4.5999999999999999E-3</v>
      </c>
      <c r="H118" s="949">
        <v>0.5</v>
      </c>
      <c r="I118" s="949">
        <v>1</v>
      </c>
      <c r="J118" s="949">
        <v>1</v>
      </c>
      <c r="K118" s="398">
        <f>VLOOKUP(F118,'8-5.2025하노임'!$A$6:$G$47,6,0)</f>
        <v>196983.2403</v>
      </c>
      <c r="L118" s="950">
        <f>INT(G118*H118*I118*J118*K118)</f>
        <v>453</v>
      </c>
      <c r="M118" s="922"/>
      <c r="N118" s="581"/>
    </row>
    <row r="119" spans="1:17" s="22" customFormat="1" ht="24.95" hidden="1" customHeight="1">
      <c r="A119" s="317"/>
      <c r="B119" s="416"/>
      <c r="C119" s="416"/>
      <c r="D119" s="416"/>
      <c r="E119" s="417"/>
      <c r="F119" s="417"/>
      <c r="G119" s="588"/>
      <c r="H119" s="588"/>
      <c r="I119" s="588"/>
      <c r="J119" s="588"/>
      <c r="K119" s="398"/>
      <c r="L119" s="588"/>
      <c r="M119" s="922"/>
      <c r="N119" s="581"/>
    </row>
    <row r="120" spans="1:17" s="22" customFormat="1" ht="24.95" hidden="1" customHeight="1">
      <c r="A120" s="948"/>
      <c r="B120" s="396" t="s">
        <v>388</v>
      </c>
      <c r="C120" s="396" t="s">
        <v>809</v>
      </c>
      <c r="D120" s="396"/>
      <c r="E120" s="400" t="s">
        <v>272</v>
      </c>
      <c r="F120" s="400" t="s">
        <v>389</v>
      </c>
      <c r="G120" s="952">
        <v>9.1999999999999998E-3</v>
      </c>
      <c r="H120" s="920">
        <v>0.5</v>
      </c>
      <c r="I120" s="920">
        <v>1</v>
      </c>
      <c r="J120" s="920">
        <v>1</v>
      </c>
      <c r="K120" s="398">
        <f>VLOOKUP(F120,'8-5.2025하노임'!$A$6:$G$47,6,0)</f>
        <v>410351.47791000002</v>
      </c>
      <c r="L120" s="921">
        <f>INT(G120*H120*I120*J120*K120)</f>
        <v>1887</v>
      </c>
      <c r="M120" s="922">
        <f>SUM(L120:L121)</f>
        <v>2340</v>
      </c>
      <c r="N120" s="581" t="s">
        <v>930</v>
      </c>
    </row>
    <row r="121" spans="1:17" s="22" customFormat="1" ht="24.95" hidden="1" customHeight="1">
      <c r="A121" s="267"/>
      <c r="B121" s="396" t="s">
        <v>2</v>
      </c>
      <c r="C121" s="396"/>
      <c r="D121" s="396"/>
      <c r="E121" s="400"/>
      <c r="F121" s="400" t="s">
        <v>10</v>
      </c>
      <c r="G121" s="952">
        <v>4.5999999999999999E-3</v>
      </c>
      <c r="H121" s="920">
        <v>0.5</v>
      </c>
      <c r="I121" s="920">
        <v>1</v>
      </c>
      <c r="J121" s="920">
        <v>1</v>
      </c>
      <c r="K121" s="398">
        <f>VLOOKUP(F121,'8-5.2025하노임'!$A$6:$G$47,6,0)</f>
        <v>196983.2403</v>
      </c>
      <c r="L121" s="921">
        <f>INT(G121*H121*I121*J121*K121)</f>
        <v>453</v>
      </c>
      <c r="M121" s="922"/>
      <c r="N121" s="406"/>
    </row>
    <row r="122" spans="1:17" s="10" customFormat="1" ht="24.95" hidden="1" customHeight="1">
      <c r="A122" s="267"/>
      <c r="B122" s="396"/>
      <c r="C122" s="396"/>
      <c r="D122" s="396"/>
      <c r="E122" s="400"/>
      <c r="F122" s="400"/>
      <c r="G122" s="399"/>
      <c r="H122" s="399"/>
      <c r="I122" s="399"/>
      <c r="J122" s="399"/>
      <c r="K122" s="398"/>
      <c r="L122" s="399"/>
      <c r="M122" s="922"/>
      <c r="N122" s="406"/>
    </row>
    <row r="123" spans="1:17" s="10" customFormat="1" ht="24.95" hidden="1" customHeight="1">
      <c r="A123" s="948"/>
      <c r="B123" s="416" t="s">
        <v>297</v>
      </c>
      <c r="C123" s="416" t="s">
        <v>794</v>
      </c>
      <c r="D123" s="416" t="s">
        <v>283</v>
      </c>
      <c r="E123" s="417" t="s">
        <v>272</v>
      </c>
      <c r="F123" s="417" t="s">
        <v>14</v>
      </c>
      <c r="G123" s="588">
        <v>8.9999999999999993E-3</v>
      </c>
      <c r="H123" s="949">
        <v>1.8</v>
      </c>
      <c r="I123" s="949">
        <v>1</v>
      </c>
      <c r="J123" s="949">
        <v>1</v>
      </c>
      <c r="K123" s="398">
        <f>VLOOKUP(F123,'8-5.2025하노임'!$A$6:$G$47,6,0)</f>
        <v>386848.44396</v>
      </c>
      <c r="L123" s="950">
        <f>INT(G123*H123*I123*J123*K123)</f>
        <v>6266</v>
      </c>
      <c r="M123" s="922">
        <f>SUM(L123)</f>
        <v>6266</v>
      </c>
      <c r="N123" s="581" t="s">
        <v>912</v>
      </c>
    </row>
    <row r="124" spans="1:17" s="10" customFormat="1" ht="24.95" hidden="1" customHeight="1">
      <c r="A124" s="317"/>
      <c r="B124" s="416"/>
      <c r="C124" s="416"/>
      <c r="D124" s="416"/>
      <c r="E124" s="417"/>
      <c r="F124" s="417"/>
      <c r="G124" s="588"/>
      <c r="H124" s="588"/>
      <c r="I124" s="588"/>
      <c r="J124" s="588"/>
      <c r="K124" s="398"/>
      <c r="L124" s="588"/>
      <c r="M124" s="922"/>
      <c r="N124" s="581"/>
      <c r="Q124" s="11"/>
    </row>
    <row r="125" spans="1:17" s="10" customFormat="1" ht="24.95" hidden="1" customHeight="1">
      <c r="A125" s="948"/>
      <c r="B125" s="416" t="s">
        <v>297</v>
      </c>
      <c r="C125" s="416" t="s">
        <v>795</v>
      </c>
      <c r="D125" s="416" t="s">
        <v>284</v>
      </c>
      <c r="E125" s="417" t="s">
        <v>272</v>
      </c>
      <c r="F125" s="417" t="s">
        <v>14</v>
      </c>
      <c r="G125" s="588">
        <v>8.9999999999999993E-3</v>
      </c>
      <c r="H125" s="949">
        <v>3.4</v>
      </c>
      <c r="I125" s="949">
        <v>1</v>
      </c>
      <c r="J125" s="949">
        <v>1</v>
      </c>
      <c r="K125" s="398">
        <f>VLOOKUP(F125,'8-5.2025하노임'!$A$6:$G$47,6,0)</f>
        <v>386848.44396</v>
      </c>
      <c r="L125" s="950">
        <f>INT(G125*H125*I125*J125*K125)</f>
        <v>11837</v>
      </c>
      <c r="M125" s="922">
        <f>SUM(L125)</f>
        <v>11837</v>
      </c>
      <c r="N125" s="581" t="s">
        <v>912</v>
      </c>
    </row>
    <row r="126" spans="1:17" s="22" customFormat="1" ht="24.95" hidden="1" customHeight="1">
      <c r="A126" s="317"/>
      <c r="B126" s="416"/>
      <c r="C126" s="416"/>
      <c r="D126" s="416"/>
      <c r="E126" s="417"/>
      <c r="F126" s="417"/>
      <c r="G126" s="588"/>
      <c r="H126" s="588"/>
      <c r="I126" s="588"/>
      <c r="J126" s="588"/>
      <c r="K126" s="398"/>
      <c r="L126" s="588"/>
      <c r="M126" s="922"/>
      <c r="N126" s="581"/>
    </row>
    <row r="127" spans="1:17" s="22" customFormat="1" ht="24.95" hidden="1" customHeight="1">
      <c r="A127" s="948"/>
      <c r="B127" s="416" t="s">
        <v>287</v>
      </c>
      <c r="C127" s="416" t="s">
        <v>450</v>
      </c>
      <c r="D127" s="416"/>
      <c r="E127" s="417" t="s">
        <v>272</v>
      </c>
      <c r="F127" s="417" t="s">
        <v>14</v>
      </c>
      <c r="G127" s="588">
        <v>2.4E-2</v>
      </c>
      <c r="H127" s="949">
        <v>1</v>
      </c>
      <c r="I127" s="949">
        <v>1</v>
      </c>
      <c r="J127" s="949">
        <v>1</v>
      </c>
      <c r="K127" s="398">
        <f>VLOOKUP(F127,'8-5.2025하노임'!$A$6:$G$47,6,0)</f>
        <v>386848.44396</v>
      </c>
      <c r="L127" s="950">
        <f>INT(G127*H127*I127*J127*K127)</f>
        <v>9284</v>
      </c>
      <c r="M127" s="922">
        <f>SUM(L127)</f>
        <v>9284</v>
      </c>
      <c r="N127" s="581" t="s">
        <v>913</v>
      </c>
    </row>
    <row r="128" spans="1:17" s="661" customFormat="1" ht="24.95" hidden="1" customHeight="1">
      <c r="A128" s="655"/>
      <c r="B128" s="656" t="s">
        <v>1517</v>
      </c>
      <c r="C128" s="656" t="s">
        <v>1518</v>
      </c>
      <c r="D128" s="656" t="s">
        <v>1519</v>
      </c>
      <c r="E128" s="657" t="s">
        <v>814</v>
      </c>
      <c r="F128" s="926" t="s">
        <v>31</v>
      </c>
      <c r="G128" s="658">
        <v>2.4E-2</v>
      </c>
      <c r="H128" s="659">
        <v>2.6</v>
      </c>
      <c r="I128" s="659">
        <v>1</v>
      </c>
      <c r="J128" s="659">
        <v>1</v>
      </c>
      <c r="K128" s="398">
        <f>VLOOKUP(F128,'8-5.2025하노임'!$A$6:$G$47,6,0)</f>
        <v>386848.44396</v>
      </c>
      <c r="L128" s="660">
        <f>INT(G128*H128*I128*J128*K128)</f>
        <v>24139</v>
      </c>
      <c r="M128" s="924">
        <f>SUM(L128)</f>
        <v>24139</v>
      </c>
      <c r="N128" s="925" t="s">
        <v>913</v>
      </c>
      <c r="P128" s="662"/>
    </row>
    <row r="129" spans="1:14" s="22" customFormat="1" ht="24.95" hidden="1" customHeight="1">
      <c r="A129" s="317"/>
      <c r="B129" s="416"/>
      <c r="C129" s="416"/>
      <c r="D129" s="416"/>
      <c r="E129" s="417"/>
      <c r="F129" s="417"/>
      <c r="G129" s="588"/>
      <c r="H129" s="588"/>
      <c r="I129" s="588"/>
      <c r="J129" s="588"/>
      <c r="K129" s="398"/>
      <c r="L129" s="954"/>
      <c r="M129" s="922"/>
      <c r="N129" s="581"/>
    </row>
    <row r="130" spans="1:14" s="22" customFormat="1" ht="24.95" customHeight="1">
      <c r="A130" s="948"/>
      <c r="B130" s="416" t="s">
        <v>287</v>
      </c>
      <c r="C130" s="416" t="s">
        <v>291</v>
      </c>
      <c r="D130" s="416"/>
      <c r="E130" s="417" t="s">
        <v>272</v>
      </c>
      <c r="F130" s="417" t="s">
        <v>14</v>
      </c>
      <c r="G130" s="588">
        <v>1.4999999999999999E-2</v>
      </c>
      <c r="H130" s="949">
        <v>1</v>
      </c>
      <c r="I130" s="949">
        <v>1</v>
      </c>
      <c r="J130" s="949">
        <v>1</v>
      </c>
      <c r="K130" s="398">
        <f>VLOOKUP(F130,'8-5.2025하노임'!$A$6:$G$47,6,0)</f>
        <v>386848.44396</v>
      </c>
      <c r="L130" s="950">
        <f>INT(G130*H130*I130*J130*K130)</f>
        <v>5802</v>
      </c>
      <c r="M130" s="922">
        <f>SUM(L130)</f>
        <v>5802</v>
      </c>
      <c r="N130" s="581" t="s">
        <v>913</v>
      </c>
    </row>
    <row r="131" spans="1:14" s="22" customFormat="1" ht="24.95" customHeight="1">
      <c r="A131" s="317"/>
      <c r="B131" s="416"/>
      <c r="C131" s="416"/>
      <c r="D131" s="416"/>
      <c r="E131" s="417"/>
      <c r="F131" s="417"/>
      <c r="G131" s="588"/>
      <c r="H131" s="588"/>
      <c r="I131" s="588"/>
      <c r="J131" s="588"/>
      <c r="K131" s="398"/>
      <c r="L131" s="954"/>
      <c r="M131" s="922"/>
      <c r="N131" s="581"/>
    </row>
    <row r="132" spans="1:14" s="22" customFormat="1" ht="24.95" customHeight="1">
      <c r="A132" s="948" t="s">
        <v>3270</v>
      </c>
      <c r="B132" s="416" t="s">
        <v>287</v>
      </c>
      <c r="C132" s="416" t="s">
        <v>787</v>
      </c>
      <c r="D132" s="416" t="s">
        <v>281</v>
      </c>
      <c r="E132" s="417" t="s">
        <v>272</v>
      </c>
      <c r="F132" s="417" t="s">
        <v>14</v>
      </c>
      <c r="G132" s="588">
        <v>1.4999999999999999E-2</v>
      </c>
      <c r="H132" s="949">
        <v>1.8</v>
      </c>
      <c r="I132" s="949">
        <v>1</v>
      </c>
      <c r="J132" s="949">
        <v>1</v>
      </c>
      <c r="K132" s="398">
        <f>VLOOKUP(F132,'8-5.2025하노임'!$A$6:$G$47,6,0)</f>
        <v>386848.44396</v>
      </c>
      <c r="L132" s="950">
        <f>INT(G132*H132*I132*J132*K132)</f>
        <v>10444</v>
      </c>
      <c r="M132" s="922">
        <f>SUM(L132)</f>
        <v>10444</v>
      </c>
      <c r="N132" s="581" t="s">
        <v>913</v>
      </c>
    </row>
    <row r="133" spans="1:14" s="22" customFormat="1" ht="24.95" hidden="1" customHeight="1">
      <c r="A133" s="317"/>
      <c r="B133" s="416"/>
      <c r="C133" s="416"/>
      <c r="D133" s="416"/>
      <c r="E133" s="417"/>
      <c r="F133" s="417"/>
      <c r="G133" s="588"/>
      <c r="H133" s="588"/>
      <c r="I133" s="588"/>
      <c r="J133" s="588"/>
      <c r="K133" s="398"/>
      <c r="L133" s="954"/>
      <c r="M133" s="922"/>
      <c r="N133" s="581"/>
    </row>
    <row r="134" spans="1:14" s="22" customFormat="1" ht="24.95" hidden="1" customHeight="1">
      <c r="A134" s="948"/>
      <c r="B134" s="416" t="s">
        <v>287</v>
      </c>
      <c r="C134" s="416" t="s">
        <v>788</v>
      </c>
      <c r="D134" s="416" t="s">
        <v>381</v>
      </c>
      <c r="E134" s="417" t="s">
        <v>272</v>
      </c>
      <c r="F134" s="417" t="s">
        <v>14</v>
      </c>
      <c r="G134" s="588">
        <v>1.4999999999999999E-2</v>
      </c>
      <c r="H134" s="949">
        <v>2.6</v>
      </c>
      <c r="I134" s="949">
        <v>1</v>
      </c>
      <c r="J134" s="949">
        <v>1</v>
      </c>
      <c r="K134" s="398">
        <f>VLOOKUP(F134,'8-5.2025하노임'!$A$6:$G$47,6,0)</f>
        <v>386848.44396</v>
      </c>
      <c r="L134" s="950">
        <f>INT(G134*H134*I134*J134*K134)</f>
        <v>15087</v>
      </c>
      <c r="M134" s="922">
        <f>SUM(L134)</f>
        <v>15087</v>
      </c>
      <c r="N134" s="581" t="s">
        <v>913</v>
      </c>
    </row>
    <row r="135" spans="1:14" s="22" customFormat="1" ht="24.95" hidden="1" customHeight="1">
      <c r="A135" s="317"/>
      <c r="B135" s="416"/>
      <c r="C135" s="416"/>
      <c r="D135" s="416"/>
      <c r="E135" s="417"/>
      <c r="F135" s="417"/>
      <c r="G135" s="588"/>
      <c r="H135" s="588"/>
      <c r="I135" s="588"/>
      <c r="J135" s="588"/>
      <c r="K135" s="398"/>
      <c r="L135" s="954"/>
      <c r="M135" s="922"/>
      <c r="N135" s="581"/>
    </row>
    <row r="136" spans="1:14" s="22" customFormat="1" ht="24.95" hidden="1" customHeight="1">
      <c r="A136" s="951"/>
      <c r="B136" s="396" t="s">
        <v>287</v>
      </c>
      <c r="C136" s="396" t="s">
        <v>1492</v>
      </c>
      <c r="D136" s="396" t="s">
        <v>1493</v>
      </c>
      <c r="E136" s="400" t="s">
        <v>272</v>
      </c>
      <c r="F136" s="400" t="s">
        <v>14</v>
      </c>
      <c r="G136" s="399">
        <v>1.4999999999999999E-2</v>
      </c>
      <c r="H136" s="920">
        <v>3.4</v>
      </c>
      <c r="I136" s="920">
        <v>1</v>
      </c>
      <c r="J136" s="920">
        <v>1</v>
      </c>
      <c r="K136" s="398">
        <f>VLOOKUP(F136,'8-5.2025하노임'!$A$6:$G$47,6,0)</f>
        <v>386848.44396</v>
      </c>
      <c r="L136" s="921">
        <f>INT(G136*H136*I136*J136*K136)</f>
        <v>19729</v>
      </c>
      <c r="M136" s="922">
        <f>SUM(L136)</f>
        <v>19729</v>
      </c>
      <c r="N136" s="406" t="s">
        <v>913</v>
      </c>
    </row>
    <row r="137" spans="1:14" s="22" customFormat="1" ht="24.95" customHeight="1">
      <c r="A137" s="267"/>
      <c r="B137" s="396"/>
      <c r="C137" s="396"/>
      <c r="D137" s="396"/>
      <c r="E137" s="400"/>
      <c r="F137" s="400"/>
      <c r="G137" s="399"/>
      <c r="H137" s="399"/>
      <c r="I137" s="399"/>
      <c r="J137" s="399"/>
      <c r="K137" s="398"/>
      <c r="L137" s="415"/>
      <c r="M137" s="922"/>
      <c r="N137" s="406"/>
    </row>
    <row r="138" spans="1:14" s="22" customFormat="1" ht="24.95" customHeight="1">
      <c r="A138" s="948" t="s">
        <v>3271</v>
      </c>
      <c r="B138" s="416" t="s">
        <v>292</v>
      </c>
      <c r="C138" s="416" t="s">
        <v>294</v>
      </c>
      <c r="D138" s="416" t="s">
        <v>298</v>
      </c>
      <c r="E138" s="417" t="s">
        <v>272</v>
      </c>
      <c r="F138" s="417" t="s">
        <v>15</v>
      </c>
      <c r="G138" s="588">
        <v>5.8999999999999997E-2</v>
      </c>
      <c r="H138" s="949">
        <v>1.3</v>
      </c>
      <c r="I138" s="949">
        <v>1</v>
      </c>
      <c r="J138" s="949">
        <v>1</v>
      </c>
      <c r="K138" s="398">
        <f>VLOOKUP(F138,'8-5.2025하노임'!$A$6:$G$47,6,0)</f>
        <v>248856.63428999999</v>
      </c>
      <c r="L138" s="950">
        <f>INT(G138*H138*I138*J138*K138)</f>
        <v>19087</v>
      </c>
      <c r="M138" s="922">
        <f>SUM(L138)</f>
        <v>19087</v>
      </c>
      <c r="N138" s="581" t="s">
        <v>914</v>
      </c>
    </row>
    <row r="139" spans="1:14" s="22" customFormat="1" ht="24.95" customHeight="1">
      <c r="A139" s="948"/>
      <c r="B139" s="416"/>
      <c r="C139" s="416"/>
      <c r="D139" s="416"/>
      <c r="E139" s="417"/>
      <c r="F139" s="417"/>
      <c r="G139" s="588"/>
      <c r="H139" s="949"/>
      <c r="I139" s="949"/>
      <c r="J139" s="949"/>
      <c r="K139" s="398"/>
      <c r="L139" s="950"/>
      <c r="M139" s="922"/>
      <c r="N139" s="581"/>
    </row>
    <row r="140" spans="1:14" s="1534" customFormat="1" ht="24.95" customHeight="1">
      <c r="A140" s="1525" t="s">
        <v>2598</v>
      </c>
      <c r="B140" s="1526" t="s">
        <v>292</v>
      </c>
      <c r="C140" s="1526"/>
      <c r="D140" s="1526" t="s">
        <v>298</v>
      </c>
      <c r="E140" s="1527" t="s">
        <v>272</v>
      </c>
      <c r="F140" s="1527" t="s">
        <v>15</v>
      </c>
      <c r="G140" s="1528">
        <v>5.8999999999999997E-2</v>
      </c>
      <c r="H140" s="1529">
        <v>1</v>
      </c>
      <c r="I140" s="1529">
        <v>1</v>
      </c>
      <c r="J140" s="1529">
        <v>1</v>
      </c>
      <c r="K140" s="1530">
        <f>VLOOKUP(F140,'8-5.2025하노임'!$A$6:$G$47,6,0)</f>
        <v>248856.63428999999</v>
      </c>
      <c r="L140" s="1531">
        <f>INT(G140*H140*I140*J140*K140)</f>
        <v>14682</v>
      </c>
      <c r="M140" s="1532">
        <f>SUM(L140)</f>
        <v>14682</v>
      </c>
      <c r="N140" s="1533" t="s">
        <v>914</v>
      </c>
    </row>
    <row r="141" spans="1:14" s="22" customFormat="1" ht="24.95" customHeight="1">
      <c r="A141" s="317"/>
      <c r="B141" s="416"/>
      <c r="C141" s="416"/>
      <c r="D141" s="416"/>
      <c r="E141" s="417"/>
      <c r="F141" s="417"/>
      <c r="G141" s="588"/>
      <c r="H141" s="588"/>
      <c r="I141" s="588"/>
      <c r="J141" s="588"/>
      <c r="K141" s="398"/>
      <c r="L141" s="588"/>
      <c r="M141" s="922"/>
      <c r="N141" s="581"/>
    </row>
    <row r="142" spans="1:14" s="22" customFormat="1" ht="24.95" customHeight="1">
      <c r="A142" s="948" t="s">
        <v>3273</v>
      </c>
      <c r="B142" s="416" t="s">
        <v>292</v>
      </c>
      <c r="C142" s="416" t="s">
        <v>293</v>
      </c>
      <c r="D142" s="416" t="s">
        <v>298</v>
      </c>
      <c r="E142" s="417" t="s">
        <v>272</v>
      </c>
      <c r="F142" s="417" t="s">
        <v>15</v>
      </c>
      <c r="G142" s="588">
        <v>4.3999999999999997E-2</v>
      </c>
      <c r="H142" s="949">
        <v>1.3</v>
      </c>
      <c r="I142" s="949">
        <v>1</v>
      </c>
      <c r="J142" s="949">
        <v>1</v>
      </c>
      <c r="K142" s="398">
        <f>VLOOKUP(F142,'8-5.2025하노임'!$A$6:$G$47,6,0)</f>
        <v>248856.63428999999</v>
      </c>
      <c r="L142" s="950">
        <f>INT(G142*H142*I142*J142*K142)</f>
        <v>14234</v>
      </c>
      <c r="M142" s="922">
        <f>SUM(L142)</f>
        <v>14234</v>
      </c>
      <c r="N142" s="581" t="s">
        <v>914</v>
      </c>
    </row>
    <row r="143" spans="1:14" s="22" customFormat="1" ht="24.95" customHeight="1">
      <c r="A143" s="948"/>
      <c r="B143" s="416"/>
      <c r="C143" s="416"/>
      <c r="D143" s="416"/>
      <c r="E143" s="417"/>
      <c r="F143" s="417"/>
      <c r="G143" s="588"/>
      <c r="H143" s="949"/>
      <c r="I143" s="949"/>
      <c r="J143" s="949"/>
      <c r="K143" s="398"/>
      <c r="L143" s="950"/>
      <c r="M143" s="922"/>
      <c r="N143" s="581"/>
    </row>
    <row r="144" spans="1:14" s="1534" customFormat="1" ht="24.95" customHeight="1">
      <c r="A144" s="1525" t="s">
        <v>2598</v>
      </c>
      <c r="B144" s="1526" t="s">
        <v>292</v>
      </c>
      <c r="C144" s="1526"/>
      <c r="D144" s="1526" t="s">
        <v>298</v>
      </c>
      <c r="E144" s="1527" t="s">
        <v>272</v>
      </c>
      <c r="F144" s="1527" t="s">
        <v>15</v>
      </c>
      <c r="G144" s="1528">
        <v>4.3999999999999997E-2</v>
      </c>
      <c r="H144" s="1529">
        <v>1</v>
      </c>
      <c r="I144" s="1529">
        <v>1</v>
      </c>
      <c r="J144" s="1529">
        <v>1</v>
      </c>
      <c r="K144" s="1530">
        <f>VLOOKUP(F144,'8-5.2025하노임'!$A$6:$G$47,6,0)</f>
        <v>248856.63428999999</v>
      </c>
      <c r="L144" s="1531">
        <f>INT(G144*H144*I144*J144*K144)</f>
        <v>10949</v>
      </c>
      <c r="M144" s="1532">
        <f>SUM(L144)</f>
        <v>10949</v>
      </c>
      <c r="N144" s="1533" t="s">
        <v>914</v>
      </c>
    </row>
    <row r="145" spans="1:14" s="22" customFormat="1" ht="24.95" customHeight="1">
      <c r="A145" s="317"/>
      <c r="B145" s="416"/>
      <c r="C145" s="416"/>
      <c r="D145" s="416"/>
      <c r="E145" s="417"/>
      <c r="F145" s="417"/>
      <c r="G145" s="588"/>
      <c r="H145" s="588"/>
      <c r="I145" s="588"/>
      <c r="J145" s="588"/>
      <c r="K145" s="398"/>
      <c r="L145" s="588"/>
      <c r="M145" s="922"/>
      <c r="N145" s="581"/>
    </row>
    <row r="146" spans="1:14" s="22" customFormat="1" ht="24.95" customHeight="1">
      <c r="A146" s="267" t="s">
        <v>3274</v>
      </c>
      <c r="B146" s="396" t="s">
        <v>1145</v>
      </c>
      <c r="C146" s="396" t="s">
        <v>1374</v>
      </c>
      <c r="D146" s="396" t="s">
        <v>282</v>
      </c>
      <c r="E146" s="400" t="s">
        <v>272</v>
      </c>
      <c r="F146" s="400" t="s">
        <v>15</v>
      </c>
      <c r="G146" s="399">
        <v>0.01</v>
      </c>
      <c r="H146" s="920">
        <v>1.5</v>
      </c>
      <c r="I146" s="920">
        <v>1</v>
      </c>
      <c r="J146" s="920">
        <v>1</v>
      </c>
      <c r="K146" s="398">
        <f>VLOOKUP(F146,'8-5.2025하노임'!$A$6:$G$47,6,0)</f>
        <v>248856.63428999999</v>
      </c>
      <c r="L146" s="921">
        <f>INT(G146*H146*I146*J146*K146)</f>
        <v>3732</v>
      </c>
      <c r="M146" s="922">
        <f>SUM(L146)</f>
        <v>3732</v>
      </c>
      <c r="N146" s="406" t="s">
        <v>1414</v>
      </c>
    </row>
    <row r="147" spans="1:14" s="22" customFormat="1" ht="24.95" customHeight="1">
      <c r="A147" s="267"/>
      <c r="B147" s="396"/>
      <c r="C147" s="396"/>
      <c r="D147" s="396"/>
      <c r="E147" s="400"/>
      <c r="F147" s="400"/>
      <c r="G147" s="399"/>
      <c r="H147" s="920"/>
      <c r="I147" s="920"/>
      <c r="J147" s="920"/>
      <c r="K147" s="398"/>
      <c r="L147" s="921"/>
      <c r="M147" s="922"/>
      <c r="N147" s="406"/>
    </row>
    <row r="148" spans="1:14" s="1534" customFormat="1" ht="24.95" customHeight="1">
      <c r="A148" s="1535" t="s">
        <v>2598</v>
      </c>
      <c r="B148" s="1526" t="s">
        <v>1145</v>
      </c>
      <c r="C148" s="1526"/>
      <c r="D148" s="1526" t="s">
        <v>282</v>
      </c>
      <c r="E148" s="1527" t="s">
        <v>272</v>
      </c>
      <c r="F148" s="1527" t="s">
        <v>15</v>
      </c>
      <c r="G148" s="1528">
        <v>0.01</v>
      </c>
      <c r="H148" s="1529">
        <v>1</v>
      </c>
      <c r="I148" s="1529">
        <v>1</v>
      </c>
      <c r="J148" s="1529">
        <v>1</v>
      </c>
      <c r="K148" s="1530">
        <f>VLOOKUP(F148,'8-5.2025하노임'!$A$6:$G$47,6,0)</f>
        <v>248856.63428999999</v>
      </c>
      <c r="L148" s="1531">
        <f>INT(G148*H148*I148*J148*K148)</f>
        <v>2488</v>
      </c>
      <c r="M148" s="1532">
        <f>SUM(L148)</f>
        <v>2488</v>
      </c>
      <c r="N148" s="1533" t="s">
        <v>1414</v>
      </c>
    </row>
    <row r="149" spans="1:14" s="22" customFormat="1" ht="24.95" customHeight="1">
      <c r="A149" s="317"/>
      <c r="B149" s="416"/>
      <c r="C149" s="416"/>
      <c r="D149" s="416"/>
      <c r="E149" s="417"/>
      <c r="F149" s="417"/>
      <c r="G149" s="588"/>
      <c r="H149" s="588"/>
      <c r="I149" s="588"/>
      <c r="J149" s="588"/>
      <c r="K149" s="398"/>
      <c r="L149" s="588"/>
      <c r="M149" s="922"/>
      <c r="N149" s="581"/>
    </row>
    <row r="150" spans="1:14" s="22" customFormat="1" ht="24.95" customHeight="1">
      <c r="A150" s="948" t="s">
        <v>3146</v>
      </c>
      <c r="B150" s="416" t="s">
        <v>378</v>
      </c>
      <c r="C150" s="416" t="s">
        <v>379</v>
      </c>
      <c r="D150" s="416"/>
      <c r="E150" s="417" t="s">
        <v>271</v>
      </c>
      <c r="F150" s="417" t="s">
        <v>15</v>
      </c>
      <c r="G150" s="588">
        <v>0.03</v>
      </c>
      <c r="H150" s="949">
        <v>1</v>
      </c>
      <c r="I150" s="949">
        <v>1</v>
      </c>
      <c r="J150" s="949">
        <v>1</v>
      </c>
      <c r="K150" s="398">
        <f>VLOOKUP(F150,'8-5.2025하노임'!$A$6:$G$47,6,0)</f>
        <v>248856.63428999999</v>
      </c>
      <c r="L150" s="950">
        <f>INT(G150*H150*I150*J150*K150)</f>
        <v>7465</v>
      </c>
      <c r="M150" s="922">
        <f>SUM(L150)</f>
        <v>7465</v>
      </c>
      <c r="N150" s="581" t="s">
        <v>915</v>
      </c>
    </row>
    <row r="151" spans="1:14" s="22" customFormat="1" ht="24.95" customHeight="1">
      <c r="A151" s="317"/>
      <c r="B151" s="416"/>
      <c r="C151" s="416"/>
      <c r="D151" s="416"/>
      <c r="E151" s="417"/>
      <c r="F151" s="417"/>
      <c r="G151" s="588"/>
      <c r="H151" s="588"/>
      <c r="I151" s="588"/>
      <c r="J151" s="588"/>
      <c r="K151" s="398"/>
      <c r="L151" s="588"/>
      <c r="M151" s="922"/>
      <c r="N151" s="581"/>
    </row>
    <row r="152" spans="1:14" s="22" customFormat="1" ht="24.95" customHeight="1">
      <c r="A152" s="317" t="s">
        <v>3276</v>
      </c>
      <c r="B152" s="416" t="s">
        <v>290</v>
      </c>
      <c r="C152" s="416" t="s">
        <v>290</v>
      </c>
      <c r="D152" s="416"/>
      <c r="E152" s="417" t="s">
        <v>334</v>
      </c>
      <c r="F152" s="417" t="s">
        <v>5</v>
      </c>
      <c r="G152" s="952">
        <v>4.0000000000000001E-3</v>
      </c>
      <c r="H152" s="949">
        <v>1</v>
      </c>
      <c r="I152" s="949">
        <v>1</v>
      </c>
      <c r="J152" s="949">
        <v>1</v>
      </c>
      <c r="K152" s="398">
        <f>VLOOKUP(F152,'8-5.2025하노임'!$A$6:$G$47,6,0)</f>
        <v>276216.14889000001</v>
      </c>
      <c r="L152" s="950">
        <f>INT(G152*H152*I152*J152*K152)</f>
        <v>1104</v>
      </c>
      <c r="M152" s="922">
        <f>SUM(L152:L153)</f>
        <v>1254</v>
      </c>
      <c r="N152" s="581" t="s">
        <v>908</v>
      </c>
    </row>
    <row r="153" spans="1:14" s="10" customFormat="1" ht="24.95" customHeight="1">
      <c r="A153" s="317"/>
      <c r="B153" s="416" t="s">
        <v>2</v>
      </c>
      <c r="C153" s="416"/>
      <c r="D153" s="416"/>
      <c r="E153" s="417"/>
      <c r="F153" s="417" t="s">
        <v>4</v>
      </c>
      <c r="G153" s="952">
        <v>1E-3</v>
      </c>
      <c r="H153" s="949">
        <v>1</v>
      </c>
      <c r="I153" s="949">
        <v>1</v>
      </c>
      <c r="J153" s="949">
        <v>1</v>
      </c>
      <c r="K153" s="398">
        <f>VLOOKUP(F153,'8-5.2025하노임'!$A$6:$G$47,6,0)</f>
        <v>150079.83638999998</v>
      </c>
      <c r="L153" s="950">
        <f>INT(G153*H153*I153*J153*K153)</f>
        <v>150</v>
      </c>
      <c r="M153" s="922"/>
      <c r="N153" s="581"/>
    </row>
    <row r="154" spans="1:14" s="10" customFormat="1" ht="24.95" customHeight="1">
      <c r="A154" s="317"/>
      <c r="B154" s="416"/>
      <c r="C154" s="416"/>
      <c r="D154" s="416"/>
      <c r="E154" s="417"/>
      <c r="F154" s="417"/>
      <c r="G154" s="588"/>
      <c r="H154" s="588"/>
      <c r="I154" s="588"/>
      <c r="J154" s="588"/>
      <c r="K154" s="398"/>
      <c r="L154" s="953"/>
      <c r="M154" s="922"/>
      <c r="N154" s="581"/>
    </row>
    <row r="155" spans="1:14" s="10" customFormat="1" ht="24.95" customHeight="1">
      <c r="A155" s="317" t="s">
        <v>3277</v>
      </c>
      <c r="B155" s="416" t="s">
        <v>376</v>
      </c>
      <c r="C155" s="416" t="s">
        <v>376</v>
      </c>
      <c r="D155" s="416"/>
      <c r="E155" s="417" t="s">
        <v>334</v>
      </c>
      <c r="F155" s="417" t="s">
        <v>387</v>
      </c>
      <c r="G155" s="952">
        <v>2.5999999999999999E-3</v>
      </c>
      <c r="H155" s="949">
        <v>1</v>
      </c>
      <c r="I155" s="949">
        <v>1</v>
      </c>
      <c r="J155" s="949">
        <v>1</v>
      </c>
      <c r="K155" s="398">
        <f>VLOOKUP(F155,'8-5.2025하노임'!$A$6:$G$47,6,0)</f>
        <v>386848.44396</v>
      </c>
      <c r="L155" s="950">
        <f>INT(G155*H155*I155*J155*K155)</f>
        <v>1005</v>
      </c>
      <c r="M155" s="922">
        <f>SUM(L155:L155)</f>
        <v>1005</v>
      </c>
      <c r="N155" s="581" t="s">
        <v>908</v>
      </c>
    </row>
    <row r="156" spans="1:14" s="10" customFormat="1" ht="24.95" hidden="1" customHeight="1">
      <c r="A156" s="317"/>
      <c r="B156" s="416"/>
      <c r="C156" s="416"/>
      <c r="D156" s="416"/>
      <c r="E156" s="417"/>
      <c r="F156" s="417"/>
      <c r="G156" s="588"/>
      <c r="H156" s="588"/>
      <c r="I156" s="588"/>
      <c r="J156" s="588"/>
      <c r="K156" s="398"/>
      <c r="L156" s="953"/>
      <c r="M156" s="922"/>
      <c r="N156" s="581"/>
    </row>
    <row r="157" spans="1:14" s="10" customFormat="1" ht="24.95" hidden="1" customHeight="1">
      <c r="A157" s="317" t="s">
        <v>3147</v>
      </c>
      <c r="B157" s="416" t="s">
        <v>382</v>
      </c>
      <c r="C157" s="416" t="s">
        <v>383</v>
      </c>
      <c r="D157" s="416"/>
      <c r="E157" s="417" t="s">
        <v>271</v>
      </c>
      <c r="F157" s="417" t="s">
        <v>5</v>
      </c>
      <c r="G157" s="952">
        <v>3.5000000000000003E-2</v>
      </c>
      <c r="H157" s="949">
        <v>1</v>
      </c>
      <c r="I157" s="949">
        <v>1</v>
      </c>
      <c r="J157" s="949">
        <v>1</v>
      </c>
      <c r="K157" s="398">
        <f>VLOOKUP(F157,'8-5.2025하노임'!$A$6:$G$47,6,0)</f>
        <v>276216.14889000001</v>
      </c>
      <c r="L157" s="950">
        <f>INT(G157*H157*I157*J157*K157)</f>
        <v>9667</v>
      </c>
      <c r="M157" s="922">
        <f>SUM(L157:L158)</f>
        <v>11618</v>
      </c>
      <c r="N157" s="581" t="s">
        <v>806</v>
      </c>
    </row>
    <row r="158" spans="1:14" s="10" customFormat="1" ht="24.95" hidden="1" customHeight="1">
      <c r="A158" s="317"/>
      <c r="B158" s="416" t="s">
        <v>2</v>
      </c>
      <c r="C158" s="416"/>
      <c r="D158" s="416"/>
      <c r="E158" s="417"/>
      <c r="F158" s="417" t="s">
        <v>4</v>
      </c>
      <c r="G158" s="952">
        <v>1.2999999999999999E-2</v>
      </c>
      <c r="H158" s="949">
        <v>1</v>
      </c>
      <c r="I158" s="949">
        <v>1</v>
      </c>
      <c r="J158" s="949">
        <v>1</v>
      </c>
      <c r="K158" s="398">
        <f>VLOOKUP(F158,'8-5.2025하노임'!$A$6:$G$47,6,0)</f>
        <v>150079.83638999998</v>
      </c>
      <c r="L158" s="950">
        <f>INT(G158*H158*I158*J158*K158)</f>
        <v>1951</v>
      </c>
      <c r="M158" s="922"/>
      <c r="N158" s="581"/>
    </row>
    <row r="159" spans="1:14" s="10" customFormat="1" ht="24.95" hidden="1" customHeight="1">
      <c r="A159" s="317"/>
      <c r="B159" s="416"/>
      <c r="C159" s="416"/>
      <c r="D159" s="416"/>
      <c r="E159" s="417"/>
      <c r="F159" s="417"/>
      <c r="G159" s="588"/>
      <c r="H159" s="588"/>
      <c r="I159" s="588"/>
      <c r="J159" s="588"/>
      <c r="K159" s="398"/>
      <c r="L159" s="953"/>
      <c r="M159" s="922"/>
      <c r="N159" s="581"/>
    </row>
    <row r="160" spans="1:14" s="10" customFormat="1" ht="24.95" hidden="1" customHeight="1">
      <c r="A160" s="317" t="s">
        <v>2985</v>
      </c>
      <c r="B160" s="416" t="s">
        <v>384</v>
      </c>
      <c r="C160" s="416" t="s">
        <v>385</v>
      </c>
      <c r="D160" s="416" t="s">
        <v>392</v>
      </c>
      <c r="E160" s="417" t="s">
        <v>271</v>
      </c>
      <c r="F160" s="417" t="s">
        <v>805</v>
      </c>
      <c r="G160" s="952">
        <v>0.08</v>
      </c>
      <c r="H160" s="949">
        <v>1.2</v>
      </c>
      <c r="I160" s="949">
        <v>1</v>
      </c>
      <c r="J160" s="949">
        <v>1</v>
      </c>
      <c r="K160" s="398">
        <f>VLOOKUP(F160,'8-5.2025하노임'!$A$6:$G$47,6,0)</f>
        <v>240022.26632999998</v>
      </c>
      <c r="L160" s="950">
        <f>INT(G160*H160*I160*J160*K160)</f>
        <v>23042</v>
      </c>
      <c r="M160" s="922">
        <f>SUM(L160:L160)</f>
        <v>23042</v>
      </c>
      <c r="N160" s="581" t="s">
        <v>916</v>
      </c>
    </row>
    <row r="161" spans="1:18" s="10" customFormat="1" ht="24.95" hidden="1" customHeight="1">
      <c r="A161" s="317"/>
      <c r="B161" s="416"/>
      <c r="C161" s="416"/>
      <c r="D161" s="416"/>
      <c r="E161" s="417"/>
      <c r="F161" s="417"/>
      <c r="G161" s="952"/>
      <c r="H161" s="949"/>
      <c r="I161" s="949"/>
      <c r="J161" s="949"/>
      <c r="K161" s="398"/>
      <c r="L161" s="950"/>
      <c r="M161" s="922"/>
      <c r="N161" s="581"/>
    </row>
    <row r="162" spans="1:18" s="1534" customFormat="1" ht="24.95" hidden="1" customHeight="1">
      <c r="A162" s="1535" t="s">
        <v>2598</v>
      </c>
      <c r="B162" s="1526" t="s">
        <v>384</v>
      </c>
      <c r="C162" s="1526"/>
      <c r="D162" s="1526" t="s">
        <v>392</v>
      </c>
      <c r="E162" s="1527" t="s">
        <v>271</v>
      </c>
      <c r="F162" s="1527" t="s">
        <v>805</v>
      </c>
      <c r="G162" s="1541">
        <v>0.08</v>
      </c>
      <c r="H162" s="1529">
        <v>1</v>
      </c>
      <c r="I162" s="1529">
        <v>1</v>
      </c>
      <c r="J162" s="1529">
        <v>1</v>
      </c>
      <c r="K162" s="1530">
        <f>VLOOKUP(F162,'8-5.2025하노임'!$A$6:$G$47,6,0)</f>
        <v>240022.26632999998</v>
      </c>
      <c r="L162" s="1531">
        <f>INT(G162*H162*I162*J162*K162)</f>
        <v>19201</v>
      </c>
      <c r="M162" s="1532">
        <f>SUM(L162:L162)</f>
        <v>19201</v>
      </c>
      <c r="N162" s="1533" t="s">
        <v>916</v>
      </c>
    </row>
    <row r="163" spans="1:18" s="10" customFormat="1" ht="24.95" hidden="1" customHeight="1">
      <c r="A163" s="317"/>
      <c r="B163" s="416"/>
      <c r="C163" s="416"/>
      <c r="D163" s="416"/>
      <c r="E163" s="417"/>
      <c r="F163" s="417"/>
      <c r="G163" s="952"/>
      <c r="H163" s="949"/>
      <c r="I163" s="949"/>
      <c r="J163" s="949"/>
      <c r="K163" s="398"/>
      <c r="L163" s="950"/>
      <c r="M163" s="922"/>
      <c r="N163" s="581"/>
    </row>
    <row r="164" spans="1:18" s="22" customFormat="1" ht="24.95" hidden="1" customHeight="1">
      <c r="A164" s="267" t="s">
        <v>2986</v>
      </c>
      <c r="B164" s="396" t="s">
        <v>1054</v>
      </c>
      <c r="C164" s="396" t="s">
        <v>1055</v>
      </c>
      <c r="D164" s="396"/>
      <c r="E164" s="400" t="s">
        <v>814</v>
      </c>
      <c r="F164" s="400" t="s">
        <v>31</v>
      </c>
      <c r="G164" s="919">
        <v>1.7000000000000001E-2</v>
      </c>
      <c r="H164" s="920">
        <v>1</v>
      </c>
      <c r="I164" s="920">
        <v>1</v>
      </c>
      <c r="J164" s="920">
        <v>1</v>
      </c>
      <c r="K164" s="398">
        <f>VLOOKUP(F164,'8-5.2025하노임'!$A$6:$G$47,6,0)</f>
        <v>386848.44396</v>
      </c>
      <c r="L164" s="921">
        <f>INT(G164*H164*I164*J164*K164)</f>
        <v>6576</v>
      </c>
      <c r="M164" s="922">
        <f>SUM(L164:L165)</f>
        <v>6576</v>
      </c>
      <c r="N164" s="406" t="s">
        <v>1056</v>
      </c>
      <c r="O164" s="10"/>
      <c r="P164" s="10"/>
      <c r="Q164" s="10"/>
      <c r="R164" s="10"/>
    </row>
    <row r="165" spans="1:18" s="22" customFormat="1" ht="24.95" hidden="1" customHeight="1">
      <c r="A165" s="267"/>
      <c r="B165" s="399"/>
      <c r="C165" s="396"/>
      <c r="D165" s="396"/>
      <c r="E165" s="400"/>
      <c r="F165" s="400"/>
      <c r="G165" s="919"/>
      <c r="H165" s="920"/>
      <c r="I165" s="920"/>
      <c r="J165" s="920"/>
      <c r="K165" s="398"/>
      <c r="L165" s="921"/>
      <c r="M165" s="922"/>
      <c r="N165" s="406"/>
    </row>
    <row r="166" spans="1:18" s="22" customFormat="1" ht="24.95" hidden="1" customHeight="1">
      <c r="A166" s="267" t="s">
        <v>2987</v>
      </c>
      <c r="B166" s="396" t="s">
        <v>903</v>
      </c>
      <c r="C166" s="396" t="s">
        <v>1260</v>
      </c>
      <c r="D166" s="396"/>
      <c r="E166" s="400" t="s">
        <v>814</v>
      </c>
      <c r="F166" s="400" t="s">
        <v>9</v>
      </c>
      <c r="G166" s="919">
        <v>9.4000000000000004E-3</v>
      </c>
      <c r="H166" s="920">
        <v>1</v>
      </c>
      <c r="I166" s="920">
        <v>1</v>
      </c>
      <c r="J166" s="920">
        <v>1</v>
      </c>
      <c r="K166" s="398">
        <f>VLOOKUP(F166,'8-5.2025하노임'!$A$6:$G$47,6,0)</f>
        <v>410351.47791000002</v>
      </c>
      <c r="L166" s="921">
        <f>INT(G166*H166*I166*J166*K166)</f>
        <v>3857</v>
      </c>
      <c r="M166" s="922">
        <f>SUM(L166:L167)</f>
        <v>5973</v>
      </c>
      <c r="N166" s="406" t="s">
        <v>1134</v>
      </c>
      <c r="Q166" s="268"/>
    </row>
    <row r="167" spans="1:18" s="22" customFormat="1" ht="24.95" hidden="1" customHeight="1">
      <c r="A167" s="267"/>
      <c r="B167" s="396" t="s">
        <v>1141</v>
      </c>
      <c r="C167" s="396"/>
      <c r="D167" s="396"/>
      <c r="E167" s="400"/>
      <c r="F167" s="400" t="s">
        <v>4</v>
      </c>
      <c r="G167" s="919">
        <v>1.41E-2</v>
      </c>
      <c r="H167" s="920">
        <v>1</v>
      </c>
      <c r="I167" s="920">
        <v>1</v>
      </c>
      <c r="J167" s="920">
        <v>1</v>
      </c>
      <c r="K167" s="398">
        <f>VLOOKUP(F167,'8-5.2025하노임'!$A$6:$G$47,6,0)</f>
        <v>150079.83638999998</v>
      </c>
      <c r="L167" s="921">
        <f>INT(G167*H167*I167*J167*K167)</f>
        <v>2116</v>
      </c>
      <c r="M167" s="923"/>
      <c r="N167" s="406"/>
      <c r="Q167" s="268"/>
    </row>
    <row r="168" spans="1:18" s="661" customFormat="1" ht="24.95" hidden="1" customHeight="1">
      <c r="A168" s="655" t="s">
        <v>2988</v>
      </c>
      <c r="B168" s="656" t="s">
        <v>903</v>
      </c>
      <c r="C168" s="656" t="s">
        <v>1245</v>
      </c>
      <c r="D168" s="656" t="s">
        <v>1246</v>
      </c>
      <c r="E168" s="657" t="s">
        <v>40</v>
      </c>
      <c r="F168" s="926">
        <f>1.5*1.25</f>
        <v>1.875</v>
      </c>
      <c r="G168" s="658"/>
      <c r="H168" s="659">
        <v>1.5</v>
      </c>
      <c r="I168" s="659">
        <v>1.25</v>
      </c>
      <c r="J168" s="659"/>
      <c r="K168" s="398"/>
      <c r="L168" s="660"/>
      <c r="M168" s="924">
        <f>INT(F168*M166)</f>
        <v>11199</v>
      </c>
      <c r="N168" s="925" t="s">
        <v>1134</v>
      </c>
      <c r="P168" s="662"/>
    </row>
    <row r="169" spans="1:18" s="22" customFormat="1" ht="24.95" hidden="1" customHeight="1">
      <c r="A169" s="267"/>
      <c r="B169" s="396"/>
      <c r="C169" s="396"/>
      <c r="D169" s="396"/>
      <c r="E169" s="400"/>
      <c r="F169" s="400"/>
      <c r="G169" s="919"/>
      <c r="H169" s="920"/>
      <c r="I169" s="920"/>
      <c r="J169" s="920"/>
      <c r="K169" s="398"/>
      <c r="L169" s="921"/>
      <c r="M169" s="923"/>
      <c r="N169" s="406"/>
      <c r="Q169" s="268"/>
    </row>
    <row r="170" spans="1:18" s="22" customFormat="1" ht="24.95" hidden="1" customHeight="1">
      <c r="A170" s="267" t="s">
        <v>2989</v>
      </c>
      <c r="B170" s="396" t="s">
        <v>1142</v>
      </c>
      <c r="C170" s="396" t="s">
        <v>1137</v>
      </c>
      <c r="D170" s="396"/>
      <c r="E170" s="400" t="s">
        <v>1136</v>
      </c>
      <c r="F170" s="400" t="s">
        <v>9</v>
      </c>
      <c r="G170" s="919">
        <v>0.12</v>
      </c>
      <c r="H170" s="920">
        <v>1</v>
      </c>
      <c r="I170" s="920">
        <v>1</v>
      </c>
      <c r="J170" s="920">
        <v>1</v>
      </c>
      <c r="K170" s="398">
        <f>VLOOKUP(F170,'8-5.2025하노임'!$A$6:$G$47,6,0)</f>
        <v>410351.47791000002</v>
      </c>
      <c r="L170" s="921">
        <f>INT(G170*H170*I170*J170*K170)</f>
        <v>49242</v>
      </c>
      <c r="M170" s="922">
        <f>SUM(L170:L171)</f>
        <v>66970</v>
      </c>
      <c r="N170" s="406" t="s">
        <v>1133</v>
      </c>
      <c r="Q170" s="268"/>
    </row>
    <row r="171" spans="1:18" s="22" customFormat="1" ht="24.95" hidden="1" customHeight="1">
      <c r="A171" s="267"/>
      <c r="B171" s="396"/>
      <c r="C171" s="396"/>
      <c r="D171" s="396"/>
      <c r="E171" s="400"/>
      <c r="F171" s="400" t="s">
        <v>16</v>
      </c>
      <c r="G171" s="919">
        <v>0.09</v>
      </c>
      <c r="H171" s="920">
        <v>1</v>
      </c>
      <c r="I171" s="920">
        <v>1</v>
      </c>
      <c r="J171" s="920">
        <v>1</v>
      </c>
      <c r="K171" s="398">
        <f>VLOOKUP(F171,'8-5.2025하노임'!$A$6:$G$47,6,0)</f>
        <v>196983.2403</v>
      </c>
      <c r="L171" s="921">
        <f>INT(G171*H171*I171*J171*K171)</f>
        <v>17728</v>
      </c>
      <c r="M171" s="923"/>
      <c r="N171" s="406"/>
      <c r="Q171" s="268"/>
    </row>
    <row r="172" spans="1:18" s="22" customFormat="1" ht="24.95" hidden="1" customHeight="1">
      <c r="A172" s="267"/>
      <c r="B172" s="396"/>
      <c r="C172" s="396"/>
      <c r="D172" s="396"/>
      <c r="E172" s="400"/>
      <c r="F172" s="400"/>
      <c r="G172" s="919"/>
      <c r="H172" s="920"/>
      <c r="I172" s="920"/>
      <c r="J172" s="920"/>
      <c r="K172" s="398"/>
      <c r="L172" s="921"/>
      <c r="M172" s="923"/>
      <c r="N172" s="406"/>
      <c r="Q172" s="268"/>
    </row>
    <row r="173" spans="1:18" s="22" customFormat="1" ht="24.95" hidden="1" customHeight="1">
      <c r="A173" s="267" t="s">
        <v>2990</v>
      </c>
      <c r="B173" s="396" t="s">
        <v>1143</v>
      </c>
      <c r="C173" s="396" t="s">
        <v>1138</v>
      </c>
      <c r="D173" s="396"/>
      <c r="E173" s="400" t="s">
        <v>1136</v>
      </c>
      <c r="F173" s="400" t="s">
        <v>9</v>
      </c>
      <c r="G173" s="919">
        <v>0.22</v>
      </c>
      <c r="H173" s="920">
        <v>1</v>
      </c>
      <c r="I173" s="920">
        <v>1</v>
      </c>
      <c r="J173" s="920">
        <v>1</v>
      </c>
      <c r="K173" s="398">
        <f>VLOOKUP(F173,'8-5.2025하노임'!$A$6:$G$47,6,0)</f>
        <v>410351.47791000002</v>
      </c>
      <c r="L173" s="921">
        <f>INT(G173*H173*I173*J173*K173)</f>
        <v>90277</v>
      </c>
      <c r="M173" s="922">
        <f>SUM(L173:L174)</f>
        <v>133613</v>
      </c>
      <c r="N173" s="406" t="s">
        <v>1135</v>
      </c>
      <c r="Q173" s="268"/>
    </row>
    <row r="174" spans="1:18" s="22" customFormat="1" ht="24.95" hidden="1" customHeight="1">
      <c r="A174" s="267"/>
      <c r="B174" s="396"/>
      <c r="C174" s="396"/>
      <c r="D174" s="396"/>
      <c r="E174" s="400"/>
      <c r="F174" s="400" t="s">
        <v>16</v>
      </c>
      <c r="G174" s="919">
        <v>0.22</v>
      </c>
      <c r="H174" s="920">
        <v>1</v>
      </c>
      <c r="I174" s="920">
        <v>1</v>
      </c>
      <c r="J174" s="920">
        <v>1</v>
      </c>
      <c r="K174" s="398">
        <f>VLOOKUP(F174,'8-5.2025하노임'!$A$6:$G$47,6,0)</f>
        <v>196983.2403</v>
      </c>
      <c r="L174" s="921">
        <f>INT(G174*H174*I174*J174*K174)</f>
        <v>43336</v>
      </c>
      <c r="M174" s="923"/>
      <c r="N174" s="406"/>
      <c r="Q174" s="268"/>
    </row>
    <row r="175" spans="1:18" s="22" customFormat="1" ht="24.95" hidden="1" customHeight="1">
      <c r="A175" s="267"/>
      <c r="B175" s="396"/>
      <c r="C175" s="396"/>
      <c r="D175" s="396"/>
      <c r="E175" s="400"/>
      <c r="F175" s="400"/>
      <c r="G175" s="919"/>
      <c r="H175" s="920"/>
      <c r="I175" s="920"/>
      <c r="J175" s="920"/>
      <c r="K175" s="398"/>
      <c r="L175" s="921"/>
      <c r="M175" s="923"/>
      <c r="N175" s="406"/>
      <c r="Q175" s="268"/>
    </row>
    <row r="176" spans="1:18" s="22" customFormat="1" ht="24.95" hidden="1" customHeight="1">
      <c r="A176" s="267" t="s">
        <v>2991</v>
      </c>
      <c r="B176" s="396" t="s">
        <v>1140</v>
      </c>
      <c r="C176" s="396" t="s">
        <v>1140</v>
      </c>
      <c r="D176" s="396"/>
      <c r="E176" s="400" t="s">
        <v>8</v>
      </c>
      <c r="F176" s="400" t="s">
        <v>3</v>
      </c>
      <c r="G176" s="919">
        <v>0.09</v>
      </c>
      <c r="H176" s="920">
        <v>1</v>
      </c>
      <c r="I176" s="920">
        <v>1</v>
      </c>
      <c r="J176" s="920">
        <v>1</v>
      </c>
      <c r="K176" s="398">
        <f>VLOOKUP(F176,'8-5.2025하노임'!$A$6:$G$47,6,0)</f>
        <v>276216.14889000001</v>
      </c>
      <c r="L176" s="921">
        <f>INT(G176*H176*I176*J176*K176)</f>
        <v>24859</v>
      </c>
      <c r="M176" s="922">
        <f>SUM(L176:L177)</f>
        <v>38366</v>
      </c>
      <c r="N176" s="406" t="s">
        <v>1133</v>
      </c>
      <c r="Q176" s="268"/>
    </row>
    <row r="177" spans="1:17" s="22" customFormat="1" ht="24.95" hidden="1" customHeight="1">
      <c r="A177" s="267"/>
      <c r="B177" s="396" t="s">
        <v>1</v>
      </c>
      <c r="C177" s="396"/>
      <c r="D177" s="396"/>
      <c r="E177" s="400"/>
      <c r="F177" s="400" t="s">
        <v>4</v>
      </c>
      <c r="G177" s="919">
        <v>0.09</v>
      </c>
      <c r="H177" s="920">
        <v>1</v>
      </c>
      <c r="I177" s="920">
        <v>1</v>
      </c>
      <c r="J177" s="920">
        <v>1</v>
      </c>
      <c r="K177" s="398">
        <f>VLOOKUP(F177,'8-5.2025하노임'!$A$6:$G$47,6,0)</f>
        <v>150079.83638999998</v>
      </c>
      <c r="L177" s="921">
        <f>INT(G177*H177*I177*J177*K177)</f>
        <v>13507</v>
      </c>
      <c r="M177" s="923"/>
      <c r="N177" s="406"/>
      <c r="Q177" s="268"/>
    </row>
    <row r="178" spans="1:17" s="22" customFormat="1" ht="24.95" hidden="1" customHeight="1">
      <c r="A178" s="267"/>
      <c r="B178" s="396"/>
      <c r="C178" s="396"/>
      <c r="D178" s="396"/>
      <c r="E178" s="400"/>
      <c r="F178" s="400"/>
      <c r="G178" s="919"/>
      <c r="H178" s="920"/>
      <c r="I178" s="920"/>
      <c r="J178" s="920"/>
      <c r="K178" s="398"/>
      <c r="L178" s="921"/>
      <c r="M178" s="923"/>
      <c r="N178" s="406"/>
      <c r="Q178" s="268"/>
    </row>
    <row r="179" spans="1:17" s="22" customFormat="1" ht="24.95" hidden="1" customHeight="1">
      <c r="A179" s="267" t="s">
        <v>2992</v>
      </c>
      <c r="B179" s="396" t="s">
        <v>1144</v>
      </c>
      <c r="C179" s="396" t="s">
        <v>1261</v>
      </c>
      <c r="D179" s="396"/>
      <c r="E179" s="400" t="s">
        <v>337</v>
      </c>
      <c r="F179" s="400" t="s">
        <v>4</v>
      </c>
      <c r="G179" s="919">
        <v>0.01</v>
      </c>
      <c r="H179" s="920">
        <v>1</v>
      </c>
      <c r="I179" s="920">
        <v>1</v>
      </c>
      <c r="J179" s="920">
        <v>1</v>
      </c>
      <c r="K179" s="398">
        <f>VLOOKUP(F179,'8-5.2025하노임'!$A$6:$G$47,6,0)</f>
        <v>150079.83638999998</v>
      </c>
      <c r="L179" s="921">
        <f>INT(G179*H179*I179*J179*K179)</f>
        <v>1500</v>
      </c>
      <c r="M179" s="922">
        <f>SUM(L179:L181)</f>
        <v>1500</v>
      </c>
      <c r="N179" s="406" t="s">
        <v>1132</v>
      </c>
      <c r="Q179" s="268"/>
    </row>
    <row r="180" spans="1:17" s="661" customFormat="1" ht="24.95" hidden="1" customHeight="1">
      <c r="A180" s="655" t="s">
        <v>2993</v>
      </c>
      <c r="B180" s="656" t="s">
        <v>1144</v>
      </c>
      <c r="C180" s="656" t="s">
        <v>1247</v>
      </c>
      <c r="D180" s="656" t="s">
        <v>1246</v>
      </c>
      <c r="E180" s="657" t="s">
        <v>338</v>
      </c>
      <c r="F180" s="926">
        <f>1.5*1.25</f>
        <v>1.875</v>
      </c>
      <c r="G180" s="658"/>
      <c r="H180" s="659">
        <v>1.5</v>
      </c>
      <c r="I180" s="659">
        <v>1.25</v>
      </c>
      <c r="J180" s="659"/>
      <c r="K180" s="398"/>
      <c r="L180" s="660"/>
      <c r="M180" s="924">
        <f>INT(F180*M179)</f>
        <v>2812</v>
      </c>
      <c r="N180" s="925" t="s">
        <v>1132</v>
      </c>
      <c r="P180" s="662"/>
    </row>
    <row r="181" spans="1:17" s="22" customFormat="1" ht="24.95" hidden="1" customHeight="1">
      <c r="A181" s="267"/>
      <c r="B181" s="396"/>
      <c r="C181" s="396"/>
      <c r="D181" s="396"/>
      <c r="E181" s="400"/>
      <c r="F181" s="400"/>
      <c r="G181" s="919"/>
      <c r="H181" s="920"/>
      <c r="I181" s="920"/>
      <c r="J181" s="920"/>
      <c r="K181" s="398"/>
      <c r="L181" s="921"/>
      <c r="M181" s="923"/>
      <c r="N181" s="406"/>
      <c r="Q181" s="268"/>
    </row>
    <row r="182" spans="1:17" s="10" customFormat="1" ht="24.95" hidden="1" customHeight="1">
      <c r="A182" s="955" t="s">
        <v>2952</v>
      </c>
      <c r="B182" s="416"/>
      <c r="C182" s="416"/>
      <c r="D182" s="416"/>
      <c r="E182" s="417"/>
      <c r="F182" s="417"/>
      <c r="G182" s="588"/>
      <c r="H182" s="588"/>
      <c r="I182" s="588"/>
      <c r="J182" s="588"/>
      <c r="K182" s="398"/>
      <c r="L182" s="953"/>
      <c r="M182" s="922"/>
      <c r="N182" s="581"/>
    </row>
    <row r="183" spans="1:17" s="22" customFormat="1" ht="24.95" hidden="1" customHeight="1">
      <c r="A183" s="267"/>
      <c r="B183" s="404" t="s">
        <v>1768</v>
      </c>
      <c r="C183" s="396" t="s">
        <v>42</v>
      </c>
      <c r="D183" s="404"/>
      <c r="E183" s="400" t="s">
        <v>11</v>
      </c>
      <c r="F183" s="400"/>
      <c r="G183" s="919"/>
      <c r="H183" s="919"/>
      <c r="I183" s="919"/>
      <c r="J183" s="919"/>
      <c r="K183" s="398"/>
      <c r="L183" s="946" t="s">
        <v>1</v>
      </c>
      <c r="M183" s="922">
        <f>SUM(L184:L187)</f>
        <v>252964</v>
      </c>
      <c r="N183" s="406" t="s">
        <v>1769</v>
      </c>
    </row>
    <row r="184" spans="1:17" s="22" customFormat="1" ht="24.95" hidden="1" customHeight="1">
      <c r="A184" s="267"/>
      <c r="B184" s="396" t="s">
        <v>288</v>
      </c>
      <c r="C184" s="396" t="s">
        <v>42</v>
      </c>
      <c r="D184" s="396"/>
      <c r="E184" s="947" t="s">
        <v>43</v>
      </c>
      <c r="F184" s="400" t="s">
        <v>266</v>
      </c>
      <c r="G184" s="919">
        <v>0.5</v>
      </c>
      <c r="H184" s="920">
        <v>1</v>
      </c>
      <c r="I184" s="920">
        <v>1</v>
      </c>
      <c r="J184" s="920">
        <v>1</v>
      </c>
      <c r="K184" s="398">
        <f>VLOOKUP(F184,'8-5.2025하노임'!$A$6:$G$47,6,0)</f>
        <v>276216.14889000001</v>
      </c>
      <c r="L184" s="921">
        <f>INT(G184*H184*I184*J184*K184)</f>
        <v>138108</v>
      </c>
      <c r="M184" s="923"/>
      <c r="N184" s="406" t="s">
        <v>908</v>
      </c>
    </row>
    <row r="185" spans="1:17" s="10" customFormat="1" ht="24.95" hidden="1" customHeight="1">
      <c r="A185" s="267"/>
      <c r="B185" s="396" t="s">
        <v>2</v>
      </c>
      <c r="C185" s="396"/>
      <c r="D185" s="396"/>
      <c r="E185" s="400"/>
      <c r="F185" s="400" t="s">
        <v>4</v>
      </c>
      <c r="G185" s="919">
        <v>0.5</v>
      </c>
      <c r="H185" s="920">
        <v>1</v>
      </c>
      <c r="I185" s="920">
        <v>1</v>
      </c>
      <c r="J185" s="920">
        <v>1</v>
      </c>
      <c r="K185" s="398">
        <f>VLOOKUP(F185,'8-5.2025하노임'!$A$6:$G$47,6,0)</f>
        <v>150079.83638999998</v>
      </c>
      <c r="L185" s="921">
        <f>INT(G185*H185*I185*J185*K185)</f>
        <v>75039</v>
      </c>
      <c r="M185" s="921"/>
      <c r="N185" s="406"/>
    </row>
    <row r="186" spans="1:17" s="10" customFormat="1" ht="24.95" hidden="1" customHeight="1">
      <c r="A186" s="267"/>
      <c r="B186" s="396"/>
      <c r="C186" s="396"/>
      <c r="D186" s="396"/>
      <c r="E186" s="400"/>
      <c r="F186" s="400"/>
      <c r="G186" s="919"/>
      <c r="H186" s="919"/>
      <c r="I186" s="919"/>
      <c r="J186" s="919"/>
      <c r="K186" s="398"/>
      <c r="L186" s="923"/>
      <c r="M186" s="923"/>
      <c r="N186" s="406"/>
    </row>
    <row r="187" spans="1:17" s="10" customFormat="1" ht="24.95" hidden="1" customHeight="1">
      <c r="A187" s="267"/>
      <c r="B187" s="396" t="s">
        <v>421</v>
      </c>
      <c r="C187" s="396" t="s">
        <v>1288</v>
      </c>
      <c r="D187" s="396"/>
      <c r="E187" s="400" t="s">
        <v>422</v>
      </c>
      <c r="F187" s="400" t="s">
        <v>15</v>
      </c>
      <c r="G187" s="919">
        <f>0.04*4</f>
        <v>0.16</v>
      </c>
      <c r="H187" s="920">
        <v>1</v>
      </c>
      <c r="I187" s="920">
        <v>1</v>
      </c>
      <c r="J187" s="920">
        <v>1</v>
      </c>
      <c r="K187" s="398">
        <f>VLOOKUP(F187,'8-5.2025하노임'!$A$6:$G$47,6,0)</f>
        <v>248856.63428999999</v>
      </c>
      <c r="L187" s="921">
        <f>INT(G187*H187*I187*J187*K187)</f>
        <v>39817</v>
      </c>
      <c r="M187" s="923"/>
      <c r="N187" s="406" t="s">
        <v>909</v>
      </c>
      <c r="P187" s="10" t="s">
        <v>1289</v>
      </c>
    </row>
    <row r="188" spans="1:17" s="10" customFormat="1" ht="24.95" hidden="1" customHeight="1">
      <c r="A188" s="317"/>
      <c r="B188" s="416"/>
      <c r="C188" s="416"/>
      <c r="D188" s="416"/>
      <c r="E188" s="417"/>
      <c r="F188" s="417"/>
      <c r="G188" s="588"/>
      <c r="H188" s="588"/>
      <c r="I188" s="588"/>
      <c r="J188" s="588"/>
      <c r="K188" s="398"/>
      <c r="L188" s="953"/>
      <c r="M188" s="922"/>
      <c r="N188" s="581"/>
    </row>
    <row r="189" spans="1:17" s="10" customFormat="1" ht="24.6" hidden="1" customHeight="1">
      <c r="A189" s="951"/>
      <c r="B189" s="396" t="s">
        <v>1770</v>
      </c>
      <c r="C189" s="396" t="s">
        <v>1105</v>
      </c>
      <c r="D189" s="396"/>
      <c r="E189" s="400" t="s">
        <v>274</v>
      </c>
      <c r="F189" s="400"/>
      <c r="G189" s="919"/>
      <c r="H189" s="919"/>
      <c r="I189" s="919"/>
      <c r="J189" s="919"/>
      <c r="K189" s="398"/>
      <c r="L189" s="943"/>
      <c r="M189" s="922">
        <f>SUM(L189:L199)</f>
        <v>2594505</v>
      </c>
      <c r="N189" s="406" t="s">
        <v>1769</v>
      </c>
    </row>
    <row r="190" spans="1:17" s="10" customFormat="1" ht="24.95" hidden="1" customHeight="1">
      <c r="A190" s="267"/>
      <c r="B190" s="396" t="s">
        <v>1771</v>
      </c>
      <c r="C190" s="396"/>
      <c r="D190" s="396"/>
      <c r="E190" s="400" t="s">
        <v>274</v>
      </c>
      <c r="F190" s="400" t="s">
        <v>17</v>
      </c>
      <c r="G190" s="919">
        <v>0.75</v>
      </c>
      <c r="H190" s="920">
        <v>1</v>
      </c>
      <c r="I190" s="920">
        <v>1</v>
      </c>
      <c r="J190" s="920">
        <v>1</v>
      </c>
      <c r="K190" s="398">
        <f>VLOOKUP(F190,'8-5.2025하노임'!$A$6:$G$47,6,0)</f>
        <v>266103.30713999999</v>
      </c>
      <c r="L190" s="921">
        <f>INT(G190*H190*I190*J190*K190)</f>
        <v>199577</v>
      </c>
      <c r="M190" s="922">
        <f>M189*2</f>
        <v>5189010</v>
      </c>
      <c r="N190" s="406"/>
    </row>
    <row r="191" spans="1:17" s="10" customFormat="1" ht="24.95" hidden="1" customHeight="1">
      <c r="A191" s="267"/>
      <c r="B191" s="396"/>
      <c r="C191" s="396"/>
      <c r="D191" s="396"/>
      <c r="E191" s="400"/>
      <c r="F191" s="400"/>
      <c r="G191" s="919"/>
      <c r="H191" s="919"/>
      <c r="I191" s="919"/>
      <c r="J191" s="919"/>
      <c r="K191" s="398"/>
      <c r="L191" s="921"/>
      <c r="M191" s="921"/>
      <c r="N191" s="406"/>
    </row>
    <row r="192" spans="1:17" s="10" customFormat="1" ht="24.95" hidden="1" customHeight="1">
      <c r="A192" s="267"/>
      <c r="B192" s="396" t="s">
        <v>1772</v>
      </c>
      <c r="C192" s="396"/>
      <c r="D192" s="396"/>
      <c r="E192" s="400" t="s">
        <v>274</v>
      </c>
      <c r="F192" s="400" t="s">
        <v>17</v>
      </c>
      <c r="G192" s="919">
        <v>0.5</v>
      </c>
      <c r="H192" s="920">
        <v>1</v>
      </c>
      <c r="I192" s="920">
        <v>1</v>
      </c>
      <c r="J192" s="920">
        <v>1</v>
      </c>
      <c r="K192" s="398">
        <f>VLOOKUP(F192,'8-5.2025하노임'!$A$6:$G$47,6,0)</f>
        <v>266103.30713999999</v>
      </c>
      <c r="L192" s="921">
        <f>INT(G192*H192*I192*J192*K192)</f>
        <v>133051</v>
      </c>
      <c r="M192" s="922"/>
      <c r="N192" s="406"/>
    </row>
    <row r="193" spans="1:14" s="10" customFormat="1" ht="24.95" hidden="1" customHeight="1">
      <c r="A193" s="267"/>
      <c r="B193" s="396"/>
      <c r="C193" s="396"/>
      <c r="D193" s="396"/>
      <c r="E193" s="400"/>
      <c r="F193" s="400"/>
      <c r="G193" s="399"/>
      <c r="H193" s="399"/>
      <c r="I193" s="399"/>
      <c r="J193" s="399"/>
      <c r="K193" s="398"/>
      <c r="L193" s="944"/>
      <c r="M193" s="944"/>
      <c r="N193" s="406"/>
    </row>
    <row r="194" spans="1:14" s="10" customFormat="1" ht="24.95" hidden="1" customHeight="1">
      <c r="A194" s="267"/>
      <c r="B194" s="396" t="s">
        <v>1773</v>
      </c>
      <c r="C194" s="396"/>
      <c r="D194" s="396"/>
      <c r="E194" s="400" t="s">
        <v>274</v>
      </c>
      <c r="F194" s="400" t="s">
        <v>17</v>
      </c>
      <c r="G194" s="919">
        <v>1</v>
      </c>
      <c r="H194" s="920">
        <v>1</v>
      </c>
      <c r="I194" s="920">
        <v>1</v>
      </c>
      <c r="J194" s="920">
        <v>1</v>
      </c>
      <c r="K194" s="398">
        <f>VLOOKUP(F194,'8-5.2025하노임'!$A$6:$G$47,6,0)</f>
        <v>266103.30713999999</v>
      </c>
      <c r="L194" s="921">
        <f>INT(G194*H194*I194*J194*K194)</f>
        <v>266103</v>
      </c>
      <c r="M194" s="922"/>
      <c r="N194" s="406"/>
    </row>
    <row r="195" spans="1:14" s="10" customFormat="1" ht="24.95" hidden="1" customHeight="1">
      <c r="A195" s="267"/>
      <c r="B195" s="396"/>
      <c r="C195" s="396"/>
      <c r="D195" s="396"/>
      <c r="E195" s="400"/>
      <c r="F195" s="400"/>
      <c r="G195" s="399"/>
      <c r="H195" s="399"/>
      <c r="I195" s="399"/>
      <c r="J195" s="399"/>
      <c r="K195" s="398"/>
      <c r="L195" s="944"/>
      <c r="M195" s="944"/>
      <c r="N195" s="406"/>
    </row>
    <row r="196" spans="1:14" s="10" customFormat="1" ht="24.95" hidden="1" customHeight="1">
      <c r="A196" s="267"/>
      <c r="B196" s="396" t="s">
        <v>1774</v>
      </c>
      <c r="C196" s="396"/>
      <c r="D196" s="396"/>
      <c r="E196" s="400" t="s">
        <v>274</v>
      </c>
      <c r="F196" s="400" t="s">
        <v>17</v>
      </c>
      <c r="G196" s="919">
        <v>5.5</v>
      </c>
      <c r="H196" s="920">
        <v>1</v>
      </c>
      <c r="I196" s="920">
        <v>1</v>
      </c>
      <c r="J196" s="920">
        <v>1</v>
      </c>
      <c r="K196" s="398">
        <f>VLOOKUP(F196,'8-5.2025하노임'!$A$6:$G$47,6,0)</f>
        <v>266103.30713999999</v>
      </c>
      <c r="L196" s="921">
        <f>INT(G196*H196*I196*J196*K196)</f>
        <v>1463568</v>
      </c>
      <c r="M196" s="922"/>
      <c r="N196" s="406"/>
    </row>
    <row r="197" spans="1:14" s="10" customFormat="1" ht="24.95" hidden="1" customHeight="1">
      <c r="A197" s="267"/>
      <c r="B197" s="396"/>
      <c r="C197" s="396"/>
      <c r="D197" s="396"/>
      <c r="E197" s="400"/>
      <c r="F197" s="400"/>
      <c r="G197" s="919"/>
      <c r="H197" s="919"/>
      <c r="I197" s="919"/>
      <c r="J197" s="919"/>
      <c r="K197" s="398"/>
      <c r="L197" s="921"/>
      <c r="M197" s="921"/>
      <c r="N197" s="406"/>
    </row>
    <row r="198" spans="1:14" s="10" customFormat="1" ht="24.95" hidden="1" customHeight="1">
      <c r="A198" s="267"/>
      <c r="B198" s="396" t="s">
        <v>1775</v>
      </c>
      <c r="C198" s="396"/>
      <c r="D198" s="396"/>
      <c r="E198" s="400" t="s">
        <v>274</v>
      </c>
      <c r="F198" s="400" t="s">
        <v>17</v>
      </c>
      <c r="G198" s="919">
        <v>2</v>
      </c>
      <c r="H198" s="920">
        <v>1</v>
      </c>
      <c r="I198" s="920">
        <v>1</v>
      </c>
      <c r="J198" s="920">
        <v>1</v>
      </c>
      <c r="K198" s="398">
        <f>VLOOKUP(F198,'8-5.2025하노임'!$A$6:$G$47,6,0)</f>
        <v>266103.30713999999</v>
      </c>
      <c r="L198" s="921">
        <f>INT(G198*H198*I198*J198*K198)</f>
        <v>532206</v>
      </c>
      <c r="M198" s="922"/>
      <c r="N198" s="406"/>
    </row>
    <row r="199" spans="1:14" s="10" customFormat="1" ht="24.95" hidden="1" customHeight="1">
      <c r="A199" s="267"/>
      <c r="B199" s="396"/>
      <c r="C199" s="396"/>
      <c r="D199" s="396"/>
      <c r="E199" s="400"/>
      <c r="F199" s="400"/>
      <c r="G199" s="919"/>
      <c r="H199" s="919"/>
      <c r="I199" s="919"/>
      <c r="J199" s="919"/>
      <c r="K199" s="398"/>
      <c r="L199" s="921"/>
      <c r="M199" s="921"/>
      <c r="N199" s="406"/>
    </row>
    <row r="200" spans="1:14" s="10" customFormat="1" ht="24.6" hidden="1" customHeight="1">
      <c r="A200" s="951"/>
      <c r="B200" s="396" t="s">
        <v>1770</v>
      </c>
      <c r="C200" s="396" t="s">
        <v>1126</v>
      </c>
      <c r="D200" s="396"/>
      <c r="E200" s="400" t="s">
        <v>274</v>
      </c>
      <c r="F200" s="400"/>
      <c r="G200" s="919"/>
      <c r="H200" s="919"/>
      <c r="I200" s="919"/>
      <c r="J200" s="919"/>
      <c r="K200" s="398"/>
      <c r="L200" s="943"/>
      <c r="M200" s="922">
        <f>SUM(L200:L210)</f>
        <v>4670109</v>
      </c>
      <c r="N200" s="406" t="s">
        <v>1769</v>
      </c>
    </row>
    <row r="201" spans="1:14" s="10" customFormat="1" ht="24.95" hidden="1" customHeight="1">
      <c r="A201" s="267"/>
      <c r="B201" s="396" t="s">
        <v>1771</v>
      </c>
      <c r="C201" s="396"/>
      <c r="D201" s="396"/>
      <c r="E201" s="400" t="s">
        <v>274</v>
      </c>
      <c r="F201" s="400" t="s">
        <v>17</v>
      </c>
      <c r="G201" s="919">
        <v>0.75</v>
      </c>
      <c r="H201" s="920">
        <v>1.8</v>
      </c>
      <c r="I201" s="920">
        <v>1</v>
      </c>
      <c r="J201" s="920">
        <v>1</v>
      </c>
      <c r="K201" s="398">
        <f>VLOOKUP(F201,'8-5.2025하노임'!$A$6:$G$47,6,0)</f>
        <v>266103.30713999999</v>
      </c>
      <c r="L201" s="921">
        <f>INT(G201*H201*I201*J201*K201)</f>
        <v>359239</v>
      </c>
      <c r="M201" s="922"/>
      <c r="N201" s="406"/>
    </row>
    <row r="202" spans="1:14" s="10" customFormat="1" ht="24.95" hidden="1" customHeight="1">
      <c r="A202" s="267"/>
      <c r="B202" s="396"/>
      <c r="C202" s="396"/>
      <c r="D202" s="396"/>
      <c r="E202" s="400"/>
      <c r="F202" s="400"/>
      <c r="G202" s="919"/>
      <c r="H202" s="919"/>
      <c r="I202" s="919"/>
      <c r="J202" s="919"/>
      <c r="K202" s="398"/>
      <c r="L202" s="921"/>
      <c r="M202" s="921"/>
      <c r="N202" s="406"/>
    </row>
    <row r="203" spans="1:14" s="10" customFormat="1" ht="24.95" hidden="1" customHeight="1">
      <c r="A203" s="267"/>
      <c r="B203" s="396" t="s">
        <v>1772</v>
      </c>
      <c r="C203" s="396"/>
      <c r="D203" s="396"/>
      <c r="E203" s="400" t="s">
        <v>274</v>
      </c>
      <c r="F203" s="400" t="s">
        <v>17</v>
      </c>
      <c r="G203" s="919">
        <v>0.5</v>
      </c>
      <c r="H203" s="920">
        <v>1.8</v>
      </c>
      <c r="I203" s="920">
        <v>1</v>
      </c>
      <c r="J203" s="920">
        <v>1</v>
      </c>
      <c r="K203" s="398">
        <f>VLOOKUP(F203,'8-5.2025하노임'!$A$6:$G$47,6,0)</f>
        <v>266103.30713999999</v>
      </c>
      <c r="L203" s="921">
        <f>INT(G203*H203*I203*J203*K203)</f>
        <v>239492</v>
      </c>
      <c r="M203" s="922"/>
      <c r="N203" s="406"/>
    </row>
    <row r="204" spans="1:14" s="10" customFormat="1" ht="24.95" hidden="1" customHeight="1">
      <c r="A204" s="267"/>
      <c r="B204" s="396"/>
      <c r="C204" s="396"/>
      <c r="D204" s="396"/>
      <c r="E204" s="400"/>
      <c r="F204" s="400"/>
      <c r="G204" s="399"/>
      <c r="H204" s="399"/>
      <c r="I204" s="399"/>
      <c r="J204" s="399"/>
      <c r="K204" s="398"/>
      <c r="L204" s="944"/>
      <c r="M204" s="944"/>
      <c r="N204" s="406"/>
    </row>
    <row r="205" spans="1:14" s="10" customFormat="1" ht="24.95" hidden="1" customHeight="1">
      <c r="A205" s="267"/>
      <c r="B205" s="396" t="s">
        <v>1773</v>
      </c>
      <c r="C205" s="396"/>
      <c r="D205" s="396"/>
      <c r="E205" s="400" t="s">
        <v>274</v>
      </c>
      <c r="F205" s="400" t="s">
        <v>17</v>
      </c>
      <c r="G205" s="919">
        <v>1</v>
      </c>
      <c r="H205" s="920">
        <v>1.8</v>
      </c>
      <c r="I205" s="920">
        <v>1</v>
      </c>
      <c r="J205" s="920">
        <v>1</v>
      </c>
      <c r="K205" s="398">
        <f>VLOOKUP(F205,'8-5.2025하노임'!$A$6:$G$47,6,0)</f>
        <v>266103.30713999999</v>
      </c>
      <c r="L205" s="921">
        <f>INT(G205*H205*I205*J205*K205)</f>
        <v>478985</v>
      </c>
      <c r="M205" s="922"/>
      <c r="N205" s="406"/>
    </row>
    <row r="206" spans="1:14" s="10" customFormat="1" ht="24.95" hidden="1" customHeight="1">
      <c r="A206" s="267"/>
      <c r="B206" s="396"/>
      <c r="C206" s="396"/>
      <c r="D206" s="396"/>
      <c r="E206" s="400"/>
      <c r="F206" s="400"/>
      <c r="G206" s="399"/>
      <c r="H206" s="399"/>
      <c r="I206" s="399"/>
      <c r="J206" s="399"/>
      <c r="K206" s="398"/>
      <c r="L206" s="944"/>
      <c r="M206" s="944"/>
      <c r="N206" s="406"/>
    </row>
    <row r="207" spans="1:14" s="10" customFormat="1" ht="24.95" hidden="1" customHeight="1">
      <c r="A207" s="267"/>
      <c r="B207" s="396" t="s">
        <v>1774</v>
      </c>
      <c r="C207" s="396"/>
      <c r="D207" s="396"/>
      <c r="E207" s="400" t="s">
        <v>274</v>
      </c>
      <c r="F207" s="400" t="s">
        <v>17</v>
      </c>
      <c r="G207" s="919">
        <v>5.5</v>
      </c>
      <c r="H207" s="920">
        <v>1.8</v>
      </c>
      <c r="I207" s="920">
        <v>1</v>
      </c>
      <c r="J207" s="920">
        <v>1</v>
      </c>
      <c r="K207" s="398">
        <f>VLOOKUP(F207,'8-5.2025하노임'!$A$6:$G$47,6,0)</f>
        <v>266103.30713999999</v>
      </c>
      <c r="L207" s="921">
        <f>INT(G207*H207*I207*J207*K207)</f>
        <v>2634422</v>
      </c>
      <c r="M207" s="922"/>
      <c r="N207" s="406"/>
    </row>
    <row r="208" spans="1:14" s="10" customFormat="1" ht="24.95" hidden="1" customHeight="1">
      <c r="A208" s="267"/>
      <c r="B208" s="396"/>
      <c r="C208" s="396"/>
      <c r="D208" s="396"/>
      <c r="E208" s="400"/>
      <c r="F208" s="400"/>
      <c r="G208" s="919"/>
      <c r="H208" s="919"/>
      <c r="I208" s="919"/>
      <c r="J208" s="919"/>
      <c r="K208" s="398"/>
      <c r="L208" s="921"/>
      <c r="M208" s="921"/>
      <c r="N208" s="406"/>
    </row>
    <row r="209" spans="1:15" s="10" customFormat="1" ht="24.95" hidden="1" customHeight="1">
      <c r="A209" s="267"/>
      <c r="B209" s="396" t="s">
        <v>1775</v>
      </c>
      <c r="C209" s="396"/>
      <c r="D209" s="396"/>
      <c r="E209" s="400" t="s">
        <v>274</v>
      </c>
      <c r="F209" s="400" t="s">
        <v>17</v>
      </c>
      <c r="G209" s="919">
        <v>2</v>
      </c>
      <c r="H209" s="920">
        <v>1.8</v>
      </c>
      <c r="I209" s="920">
        <v>1</v>
      </c>
      <c r="J209" s="920">
        <v>1</v>
      </c>
      <c r="K209" s="398">
        <f>VLOOKUP(F209,'8-5.2025하노임'!$A$6:$G$47,6,0)</f>
        <v>266103.30713999999</v>
      </c>
      <c r="L209" s="921">
        <f>INT(G209*H209*I209*J209*K209)</f>
        <v>957971</v>
      </c>
      <c r="M209" s="922"/>
      <c r="N209" s="406"/>
    </row>
    <row r="210" spans="1:15" s="10" customFormat="1" ht="24.95" hidden="1" customHeight="1">
      <c r="A210" s="267"/>
      <c r="B210" s="396"/>
      <c r="C210" s="396"/>
      <c r="D210" s="396"/>
      <c r="E210" s="400"/>
      <c r="F210" s="400"/>
      <c r="G210" s="919"/>
      <c r="H210" s="919"/>
      <c r="I210" s="919"/>
      <c r="J210" s="919"/>
      <c r="K210" s="398"/>
      <c r="L210" s="921"/>
      <c r="M210" s="921"/>
      <c r="N210" s="406"/>
    </row>
    <row r="211" spans="1:15" s="10" customFormat="1" ht="24.95" hidden="1" customHeight="1">
      <c r="A211" s="267"/>
      <c r="B211" s="396" t="s">
        <v>1776</v>
      </c>
      <c r="C211" s="396" t="s">
        <v>1777</v>
      </c>
      <c r="D211" s="956"/>
      <c r="E211" s="400" t="s">
        <v>11</v>
      </c>
      <c r="F211" s="400"/>
      <c r="G211" s="919"/>
      <c r="H211" s="919"/>
      <c r="I211" s="919"/>
      <c r="J211" s="919"/>
      <c r="K211" s="398"/>
      <c r="L211" s="921"/>
      <c r="M211" s="957">
        <f>SUM(L212:L213)</f>
        <v>2870721</v>
      </c>
      <c r="N211" s="406" t="str">
        <f>N189</f>
        <v>통6-3-6</v>
      </c>
    </row>
    <row r="212" spans="1:15" s="10" customFormat="1" ht="24.95" hidden="1" customHeight="1">
      <c r="A212" s="267"/>
      <c r="B212" s="396" t="s">
        <v>1778</v>
      </c>
      <c r="C212" s="396"/>
      <c r="D212" s="956" t="s">
        <v>1779</v>
      </c>
      <c r="E212" s="400"/>
      <c r="F212" s="400" t="s">
        <v>3</v>
      </c>
      <c r="G212" s="919">
        <f>0.75+0.5</f>
        <v>1.25</v>
      </c>
      <c r="H212" s="920">
        <v>0.8</v>
      </c>
      <c r="I212" s="920">
        <v>1</v>
      </c>
      <c r="J212" s="920">
        <v>1</v>
      </c>
      <c r="K212" s="398">
        <f>VLOOKUP(F212,'8-5.2025하노임'!$A$6:$G$47,6,0)</f>
        <v>276216.14889000001</v>
      </c>
      <c r="L212" s="921">
        <f>INT(G212*H212*I212*J212*K212)</f>
        <v>276216</v>
      </c>
      <c r="M212" s="957"/>
      <c r="N212" s="406"/>
    </row>
    <row r="213" spans="1:15" s="10" customFormat="1" ht="24.95" hidden="1" customHeight="1">
      <c r="A213" s="267"/>
      <c r="B213" s="396" t="s">
        <v>1780</v>
      </c>
      <c r="C213" s="396"/>
      <c r="D213" s="956" t="s">
        <v>1781</v>
      </c>
      <c r="E213" s="400"/>
      <c r="F213" s="400"/>
      <c r="G213" s="919"/>
      <c r="H213" s="920"/>
      <c r="I213" s="920"/>
      <c r="J213" s="920"/>
      <c r="K213" s="398"/>
      <c r="L213" s="921">
        <f>M189</f>
        <v>2594505</v>
      </c>
      <c r="M213" s="957"/>
      <c r="N213" s="406"/>
    </row>
    <row r="214" spans="1:15" s="10" customFormat="1" ht="24.95" hidden="1" customHeight="1">
      <c r="A214" s="267"/>
      <c r="B214" s="396"/>
      <c r="C214" s="396"/>
      <c r="D214" s="396"/>
      <c r="E214" s="400"/>
      <c r="F214" s="400"/>
      <c r="G214" s="919"/>
      <c r="H214" s="919"/>
      <c r="I214" s="919"/>
      <c r="J214" s="919"/>
      <c r="K214" s="398"/>
      <c r="L214" s="921"/>
      <c r="M214" s="921"/>
      <c r="N214" s="406"/>
    </row>
    <row r="215" spans="1:15" s="10" customFormat="1" ht="24.95" hidden="1" customHeight="1">
      <c r="A215" s="267"/>
      <c r="B215" s="396" t="s">
        <v>1776</v>
      </c>
      <c r="C215" s="396" t="s">
        <v>1763</v>
      </c>
      <c r="D215" s="956"/>
      <c r="E215" s="400" t="s">
        <v>11</v>
      </c>
      <c r="F215" s="400"/>
      <c r="G215" s="919"/>
      <c r="H215" s="919"/>
      <c r="I215" s="919"/>
      <c r="J215" s="919"/>
      <c r="K215" s="398"/>
      <c r="L215" s="921"/>
      <c r="M215" s="957">
        <f>SUM(L216:L217)</f>
        <v>5167298</v>
      </c>
      <c r="N215" s="406" t="str">
        <f>N189</f>
        <v>통6-3-6</v>
      </c>
    </row>
    <row r="216" spans="1:15" s="10" customFormat="1" ht="24.95" hidden="1" customHeight="1">
      <c r="A216" s="267"/>
      <c r="B216" s="396" t="s">
        <v>1778</v>
      </c>
      <c r="C216" s="396"/>
      <c r="D216" s="956" t="s">
        <v>1779</v>
      </c>
      <c r="E216" s="400"/>
      <c r="F216" s="400" t="s">
        <v>3</v>
      </c>
      <c r="G216" s="919">
        <f>0.75+0.5</f>
        <v>1.25</v>
      </c>
      <c r="H216" s="920">
        <v>0.8</v>
      </c>
      <c r="I216" s="920">
        <v>1.8</v>
      </c>
      <c r="J216" s="920">
        <v>1</v>
      </c>
      <c r="K216" s="398">
        <f>VLOOKUP(F216,'8-5.2025하노임'!$A$6:$G$47,6,0)</f>
        <v>276216.14889000001</v>
      </c>
      <c r="L216" s="921">
        <f>INT(G216*H216*I216*J216*K216)</f>
        <v>497189</v>
      </c>
      <c r="M216" s="957"/>
      <c r="N216" s="406"/>
    </row>
    <row r="217" spans="1:15" s="10" customFormat="1" ht="24.95" hidden="1" customHeight="1">
      <c r="A217" s="267"/>
      <c r="B217" s="396" t="s">
        <v>1780</v>
      </c>
      <c r="C217" s="396"/>
      <c r="D217" s="956" t="s">
        <v>1781</v>
      </c>
      <c r="E217" s="400"/>
      <c r="F217" s="400"/>
      <c r="G217" s="919"/>
      <c r="H217" s="920"/>
      <c r="I217" s="920"/>
      <c r="J217" s="920"/>
      <c r="K217" s="398"/>
      <c r="L217" s="921">
        <f>M200</f>
        <v>4670109</v>
      </c>
      <c r="M217" s="957"/>
      <c r="N217" s="406"/>
    </row>
    <row r="218" spans="1:15" s="10" customFormat="1" ht="24.95" hidden="1" customHeight="1">
      <c r="A218" s="267"/>
      <c r="B218" s="396"/>
      <c r="C218" s="396"/>
      <c r="D218" s="396"/>
      <c r="E218" s="400"/>
      <c r="F218" s="400"/>
      <c r="G218" s="919"/>
      <c r="H218" s="919"/>
      <c r="I218" s="919"/>
      <c r="J218" s="919"/>
      <c r="K218" s="398"/>
      <c r="L218" s="921"/>
      <c r="M218" s="921"/>
      <c r="N218" s="406"/>
    </row>
    <row r="219" spans="1:15" s="22" customFormat="1" ht="24.95" hidden="1" customHeight="1">
      <c r="A219" s="267"/>
      <c r="B219" s="396" t="s">
        <v>1782</v>
      </c>
      <c r="C219" s="396" t="s">
        <v>1777</v>
      </c>
      <c r="D219" s="956"/>
      <c r="E219" s="400" t="s">
        <v>11</v>
      </c>
      <c r="F219" s="400"/>
      <c r="G219" s="919"/>
      <c r="H219" s="919"/>
      <c r="I219" s="919"/>
      <c r="J219" s="919"/>
      <c r="K219" s="398"/>
      <c r="L219" s="921"/>
      <c r="M219" s="957">
        <f>SUM(L220:L220)</f>
        <v>532206</v>
      </c>
      <c r="N219" s="406" t="str">
        <f>N200</f>
        <v>통6-3-6</v>
      </c>
    </row>
    <row r="220" spans="1:15" s="22" customFormat="1" ht="24.95" hidden="1" customHeight="1">
      <c r="A220" s="267"/>
      <c r="B220" s="396" t="s">
        <v>1775</v>
      </c>
      <c r="C220" s="396" t="s">
        <v>1783</v>
      </c>
      <c r="D220" s="956" t="s">
        <v>1784</v>
      </c>
      <c r="E220" s="400"/>
      <c r="F220" s="400" t="s">
        <v>17</v>
      </c>
      <c r="G220" s="919">
        <v>2</v>
      </c>
      <c r="H220" s="920">
        <v>1</v>
      </c>
      <c r="I220" s="920">
        <v>1</v>
      </c>
      <c r="J220" s="920">
        <v>1</v>
      </c>
      <c r="K220" s="398">
        <f>VLOOKUP(F220,'8-5.2025하노임'!$A$6:$G$47,6,0)</f>
        <v>266103.30713999999</v>
      </c>
      <c r="L220" s="921">
        <f>INT(G220*H220*I220*J220*K220)</f>
        <v>532206</v>
      </c>
      <c r="M220" s="957"/>
      <c r="N220" s="406"/>
    </row>
    <row r="221" spans="1:15" s="22" customFormat="1" ht="24.95" hidden="1" customHeight="1">
      <c r="A221" s="267"/>
      <c r="B221" s="396"/>
      <c r="C221" s="396"/>
      <c r="D221" s="396"/>
      <c r="E221" s="400"/>
      <c r="F221" s="400"/>
      <c r="G221" s="919"/>
      <c r="H221" s="919"/>
      <c r="I221" s="919"/>
      <c r="J221" s="919"/>
      <c r="K221" s="398"/>
      <c r="L221" s="921"/>
      <c r="M221" s="921"/>
      <c r="N221" s="406"/>
    </row>
    <row r="222" spans="1:15" s="22" customFormat="1" ht="24.95" hidden="1" customHeight="1">
      <c r="A222" s="951"/>
      <c r="B222" s="396" t="s">
        <v>285</v>
      </c>
      <c r="C222" s="396" t="s">
        <v>785</v>
      </c>
      <c r="D222" s="396" t="s">
        <v>283</v>
      </c>
      <c r="E222" s="400" t="s">
        <v>272</v>
      </c>
      <c r="F222" s="400" t="s">
        <v>14</v>
      </c>
      <c r="G222" s="399">
        <v>1.7999999999999999E-2</v>
      </c>
      <c r="H222" s="920">
        <v>1.8</v>
      </c>
      <c r="I222" s="920">
        <v>1.2</v>
      </c>
      <c r="J222" s="920">
        <v>1</v>
      </c>
      <c r="K222" s="398">
        <f>VLOOKUP(F222,'8-5.2025하노임'!$A$6:$G$47,6,0)</f>
        <v>386848.44396</v>
      </c>
      <c r="L222" s="921">
        <f>INT(G222*H222*I222*J222*K222)</f>
        <v>15040</v>
      </c>
      <c r="M222" s="922">
        <f>SUM(L222:L223)</f>
        <v>15040</v>
      </c>
      <c r="N222" s="406" t="s">
        <v>912</v>
      </c>
    </row>
    <row r="223" spans="1:15" s="22" customFormat="1" ht="24.95" hidden="1" customHeight="1">
      <c r="A223" s="267"/>
      <c r="B223" s="396"/>
      <c r="C223" s="396"/>
      <c r="D223" s="396"/>
      <c r="E223" s="400"/>
      <c r="F223" s="400"/>
      <c r="G223" s="399"/>
      <c r="H223" s="399"/>
      <c r="I223" s="399"/>
      <c r="J223" s="399"/>
      <c r="K223" s="398"/>
      <c r="L223" s="399"/>
      <c r="M223" s="922"/>
      <c r="N223" s="406"/>
    </row>
    <row r="224" spans="1:15" s="22" customFormat="1" ht="24.95" hidden="1" customHeight="1">
      <c r="A224" s="951"/>
      <c r="B224" s="396" t="s">
        <v>285</v>
      </c>
      <c r="C224" s="396" t="s">
        <v>1785</v>
      </c>
      <c r="D224" s="396"/>
      <c r="E224" s="400" t="s">
        <v>272</v>
      </c>
      <c r="F224" s="400" t="s">
        <v>14</v>
      </c>
      <c r="G224" s="399">
        <v>2.3E-2</v>
      </c>
      <c r="H224" s="920">
        <v>1.2</v>
      </c>
      <c r="I224" s="920">
        <v>1</v>
      </c>
      <c r="J224" s="920">
        <v>1</v>
      </c>
      <c r="K224" s="398">
        <f>VLOOKUP(F224,'8-5.2025하노임'!$A$6:$G$47,6,0)</f>
        <v>386848.44396</v>
      </c>
      <c r="L224" s="921">
        <f>INT(G224*H224*I224*J224*K224)</f>
        <v>10677</v>
      </c>
      <c r="M224" s="922">
        <f>SUM(L224)</f>
        <v>10677</v>
      </c>
      <c r="N224" s="406" t="s">
        <v>912</v>
      </c>
      <c r="O224" s="22" t="s">
        <v>18</v>
      </c>
    </row>
    <row r="225" spans="1:17" s="22" customFormat="1" ht="24.95" hidden="1" customHeight="1">
      <c r="A225" s="267"/>
      <c r="B225" s="396"/>
      <c r="C225" s="396"/>
      <c r="D225" s="396"/>
      <c r="E225" s="400"/>
      <c r="F225" s="400"/>
      <c r="G225" s="399"/>
      <c r="H225" s="399"/>
      <c r="I225" s="399"/>
      <c r="J225" s="399"/>
      <c r="K225" s="398"/>
      <c r="L225" s="399"/>
      <c r="M225" s="922"/>
      <c r="N225" s="406"/>
    </row>
    <row r="226" spans="1:17" s="22" customFormat="1" ht="24.95" hidden="1" customHeight="1">
      <c r="A226" s="951"/>
      <c r="B226" s="396" t="s">
        <v>1786</v>
      </c>
      <c r="C226" s="396" t="s">
        <v>1787</v>
      </c>
      <c r="D226" s="396" t="s">
        <v>1788</v>
      </c>
      <c r="E226" s="400" t="s">
        <v>272</v>
      </c>
      <c r="F226" s="400" t="s">
        <v>14</v>
      </c>
      <c r="G226" s="399">
        <v>2.3E-2</v>
      </c>
      <c r="H226" s="920">
        <v>1.2</v>
      </c>
      <c r="I226" s="920">
        <v>1.9</v>
      </c>
      <c r="J226" s="920">
        <v>1</v>
      </c>
      <c r="K226" s="398">
        <f>VLOOKUP(F226,'8-5.2025하노임'!$A$6:$G$47,6,0)</f>
        <v>386848.44396</v>
      </c>
      <c r="L226" s="921">
        <f>INT(G226*H226*I226*J226*K226)</f>
        <v>20286</v>
      </c>
      <c r="M226" s="922">
        <f>SUM(L226)</f>
        <v>20286</v>
      </c>
      <c r="N226" s="406" t="s">
        <v>912</v>
      </c>
      <c r="O226" s="22" t="s">
        <v>18</v>
      </c>
    </row>
    <row r="227" spans="1:17" s="22" customFormat="1" ht="24.95" hidden="1" customHeight="1">
      <c r="A227" s="267"/>
      <c r="B227" s="396"/>
      <c r="C227" s="396"/>
      <c r="D227" s="396"/>
      <c r="E227" s="400"/>
      <c r="F227" s="400"/>
      <c r="G227" s="399"/>
      <c r="H227" s="399"/>
      <c r="I227" s="399"/>
      <c r="J227" s="399"/>
      <c r="K227" s="398"/>
      <c r="L227" s="399"/>
      <c r="M227" s="922"/>
      <c r="N227" s="406"/>
    </row>
    <row r="228" spans="1:17" s="22" customFormat="1" ht="24.95" hidden="1" customHeight="1">
      <c r="A228" s="951"/>
      <c r="B228" s="396" t="s">
        <v>285</v>
      </c>
      <c r="C228" s="396" t="s">
        <v>1789</v>
      </c>
      <c r="D228" s="396"/>
      <c r="E228" s="400" t="s">
        <v>272</v>
      </c>
      <c r="F228" s="400" t="s">
        <v>14</v>
      </c>
      <c r="G228" s="399">
        <v>1.2E-2</v>
      </c>
      <c r="H228" s="920">
        <v>1.2</v>
      </c>
      <c r="I228" s="920">
        <v>1</v>
      </c>
      <c r="J228" s="920">
        <v>1</v>
      </c>
      <c r="K228" s="398">
        <f>VLOOKUP(F228,'8-5.2025하노임'!$A$6:$G$47,6,0)</f>
        <v>386848.44396</v>
      </c>
      <c r="L228" s="921">
        <f>INT(G228*H228*I228*J228*K228)</f>
        <v>5570</v>
      </c>
      <c r="M228" s="922">
        <f>SUM(L228)</f>
        <v>5570</v>
      </c>
      <c r="N228" s="406" t="s">
        <v>912</v>
      </c>
    </row>
    <row r="229" spans="1:17" s="22" customFormat="1" ht="24.95" hidden="1" customHeight="1">
      <c r="A229" s="317"/>
      <c r="B229" s="416"/>
      <c r="C229" s="416"/>
      <c r="D229" s="416"/>
      <c r="E229" s="417"/>
      <c r="F229" s="417"/>
      <c r="G229" s="588"/>
      <c r="H229" s="588"/>
      <c r="I229" s="588"/>
      <c r="J229" s="588"/>
      <c r="K229" s="398"/>
      <c r="L229" s="588"/>
      <c r="M229" s="922"/>
      <c r="N229" s="581"/>
    </row>
    <row r="230" spans="1:17" s="10" customFormat="1" ht="24.95" hidden="1" customHeight="1">
      <c r="A230" s="948"/>
      <c r="B230" s="416" t="s">
        <v>388</v>
      </c>
      <c r="C230" s="416" t="s">
        <v>901</v>
      </c>
      <c r="D230" s="416" t="s">
        <v>902</v>
      </c>
      <c r="E230" s="417" t="s">
        <v>272</v>
      </c>
      <c r="F230" s="417" t="s">
        <v>389</v>
      </c>
      <c r="G230" s="952">
        <v>9.1999999999999998E-3</v>
      </c>
      <c r="H230" s="949">
        <v>0.5</v>
      </c>
      <c r="I230" s="949">
        <v>1</v>
      </c>
      <c r="J230" s="949">
        <v>1</v>
      </c>
      <c r="K230" s="398">
        <f>VLOOKUP(F230,'8-5.2025하노임'!$A$6:$G$47,6,0)</f>
        <v>410351.47791000002</v>
      </c>
      <c r="L230" s="950">
        <f>INT(G230*H230*I230*J230*K230)</f>
        <v>1887</v>
      </c>
      <c r="M230" s="922">
        <f>SUM(L230:L231)</f>
        <v>2340</v>
      </c>
      <c r="N230" s="581" t="s">
        <v>930</v>
      </c>
    </row>
    <row r="231" spans="1:17" s="10" customFormat="1" ht="24.95" hidden="1" customHeight="1">
      <c r="A231" s="317"/>
      <c r="B231" s="416" t="s">
        <v>2</v>
      </c>
      <c r="C231" s="416"/>
      <c r="D231" s="416"/>
      <c r="E231" s="417"/>
      <c r="F231" s="417" t="s">
        <v>7</v>
      </c>
      <c r="G231" s="952">
        <v>4.5999999999999999E-3</v>
      </c>
      <c r="H231" s="949">
        <v>0.5</v>
      </c>
      <c r="I231" s="949">
        <v>1</v>
      </c>
      <c r="J231" s="949">
        <v>1</v>
      </c>
      <c r="K231" s="398">
        <f>VLOOKUP(F231,'8-5.2025하노임'!$A$6:$G$47,6,0)</f>
        <v>196983.2403</v>
      </c>
      <c r="L231" s="950">
        <f>INT(G231*H231*I231*J231*K231)</f>
        <v>453</v>
      </c>
      <c r="M231" s="922"/>
      <c r="N231" s="581"/>
    </row>
    <row r="232" spans="1:17" s="22" customFormat="1" ht="24.95" hidden="1" customHeight="1">
      <c r="A232" s="317"/>
      <c r="B232" s="416"/>
      <c r="C232" s="416"/>
      <c r="D232" s="416"/>
      <c r="E232" s="417"/>
      <c r="F232" s="417"/>
      <c r="G232" s="588"/>
      <c r="H232" s="588"/>
      <c r="I232" s="588"/>
      <c r="J232" s="588"/>
      <c r="K232" s="398"/>
      <c r="L232" s="588"/>
      <c r="M232" s="922"/>
      <c r="N232" s="581"/>
    </row>
    <row r="233" spans="1:17" s="10" customFormat="1" ht="24.95" hidden="1" customHeight="1">
      <c r="A233" s="948"/>
      <c r="B233" s="416" t="s">
        <v>297</v>
      </c>
      <c r="C233" s="416" t="s">
        <v>794</v>
      </c>
      <c r="D233" s="416" t="s">
        <v>283</v>
      </c>
      <c r="E233" s="417" t="s">
        <v>272</v>
      </c>
      <c r="F233" s="417" t="s">
        <v>14</v>
      </c>
      <c r="G233" s="588">
        <v>8.9999999999999993E-3</v>
      </c>
      <c r="H233" s="949">
        <v>1.8</v>
      </c>
      <c r="I233" s="949">
        <v>1</v>
      </c>
      <c r="J233" s="949">
        <v>1</v>
      </c>
      <c r="K233" s="398">
        <f>VLOOKUP(F233,'8-5.2025하노임'!$A$6:$G$47,6,0)</f>
        <v>386848.44396</v>
      </c>
      <c r="L233" s="950">
        <f>INT(G233*H233*I233*J233*K233)</f>
        <v>6266</v>
      </c>
      <c r="M233" s="922">
        <f>SUM(L233)</f>
        <v>6266</v>
      </c>
      <c r="N233" s="581" t="s">
        <v>912</v>
      </c>
    </row>
    <row r="234" spans="1:17" s="10" customFormat="1" ht="24.95" hidden="1" customHeight="1">
      <c r="A234" s="317"/>
      <c r="B234" s="416"/>
      <c r="C234" s="416"/>
      <c r="D234" s="416"/>
      <c r="E234" s="417"/>
      <c r="F234" s="417"/>
      <c r="G234" s="588"/>
      <c r="H234" s="588"/>
      <c r="I234" s="588"/>
      <c r="J234" s="588"/>
      <c r="K234" s="398"/>
      <c r="L234" s="588"/>
      <c r="M234" s="922"/>
      <c r="N234" s="581"/>
      <c r="Q234" s="11"/>
    </row>
    <row r="235" spans="1:17" s="10" customFormat="1" ht="24.95" hidden="1" customHeight="1">
      <c r="A235" s="948"/>
      <c r="B235" s="416" t="s">
        <v>297</v>
      </c>
      <c r="C235" s="416" t="s">
        <v>795</v>
      </c>
      <c r="D235" s="416" t="s">
        <v>284</v>
      </c>
      <c r="E235" s="417" t="s">
        <v>272</v>
      </c>
      <c r="F235" s="417" t="s">
        <v>14</v>
      </c>
      <c r="G235" s="588">
        <v>8.9999999999999993E-3</v>
      </c>
      <c r="H235" s="949">
        <v>3.4</v>
      </c>
      <c r="I235" s="949">
        <v>1</v>
      </c>
      <c r="J235" s="949">
        <v>1</v>
      </c>
      <c r="K235" s="398">
        <f>VLOOKUP(F235,'8-5.2025하노임'!$A$6:$G$47,6,0)</f>
        <v>386848.44396</v>
      </c>
      <c r="L235" s="950">
        <f>INT(G235*H235*I235*J235*K235)</f>
        <v>11837</v>
      </c>
      <c r="M235" s="922">
        <f>SUM(L235)</f>
        <v>11837</v>
      </c>
      <c r="N235" s="581" t="s">
        <v>912</v>
      </c>
    </row>
    <row r="236" spans="1:17" s="22" customFormat="1" ht="24.95" hidden="1" customHeight="1">
      <c r="A236" s="317"/>
      <c r="B236" s="416"/>
      <c r="C236" s="416"/>
      <c r="D236" s="416"/>
      <c r="E236" s="417"/>
      <c r="F236" s="417"/>
      <c r="G236" s="588"/>
      <c r="H236" s="588"/>
      <c r="I236" s="588"/>
      <c r="J236" s="588"/>
      <c r="K236" s="398"/>
      <c r="L236" s="588"/>
      <c r="M236" s="922"/>
      <c r="N236" s="581"/>
    </row>
    <row r="237" spans="1:17" s="22" customFormat="1" ht="24.95" hidden="1" customHeight="1">
      <c r="A237" s="951"/>
      <c r="B237" s="396" t="s">
        <v>1790</v>
      </c>
      <c r="C237" s="396" t="s">
        <v>1791</v>
      </c>
      <c r="D237" s="396" t="s">
        <v>1792</v>
      </c>
      <c r="E237" s="400" t="s">
        <v>272</v>
      </c>
      <c r="F237" s="400" t="s">
        <v>14</v>
      </c>
      <c r="G237" s="399">
        <v>8.9999999999999993E-3</v>
      </c>
      <c r="H237" s="920">
        <v>3.4</v>
      </c>
      <c r="I237" s="920">
        <v>1.9</v>
      </c>
      <c r="J237" s="920">
        <v>1</v>
      </c>
      <c r="K237" s="398">
        <f>VLOOKUP(F237,'8-5.2025하노임'!$A$6:$G$47,6,0)</f>
        <v>386848.44396</v>
      </c>
      <c r="L237" s="921">
        <f>INT(G237*H237*I237*J237*K237)</f>
        <v>22491</v>
      </c>
      <c r="M237" s="922">
        <f>SUM(L237)</f>
        <v>22491</v>
      </c>
      <c r="N237" s="406" t="s">
        <v>912</v>
      </c>
    </row>
    <row r="238" spans="1:17" s="22" customFormat="1" ht="24.95" hidden="1" customHeight="1">
      <c r="A238" s="267"/>
      <c r="B238" s="396"/>
      <c r="C238" s="396"/>
      <c r="D238" s="396"/>
      <c r="E238" s="400"/>
      <c r="F238" s="400"/>
      <c r="G238" s="399"/>
      <c r="H238" s="399"/>
      <c r="I238" s="399"/>
      <c r="J238" s="399"/>
      <c r="K238" s="398"/>
      <c r="L238" s="399"/>
      <c r="M238" s="922"/>
      <c r="N238" s="406"/>
    </row>
    <row r="239" spans="1:17" s="22" customFormat="1" ht="24.95" hidden="1" customHeight="1">
      <c r="A239" s="948"/>
      <c r="B239" s="416" t="s">
        <v>287</v>
      </c>
      <c r="C239" s="416" t="s">
        <v>291</v>
      </c>
      <c r="D239" s="416"/>
      <c r="E239" s="417" t="s">
        <v>272</v>
      </c>
      <c r="F239" s="417" t="s">
        <v>14</v>
      </c>
      <c r="G239" s="588">
        <v>1.4999999999999999E-2</v>
      </c>
      <c r="H239" s="949">
        <v>1</v>
      </c>
      <c r="I239" s="949">
        <v>1</v>
      </c>
      <c r="J239" s="949">
        <v>1</v>
      </c>
      <c r="K239" s="398">
        <f>VLOOKUP(F239,'8-5.2025하노임'!$A$6:$G$47,6,0)</f>
        <v>386848.44396</v>
      </c>
      <c r="L239" s="950">
        <f>INT(G239*H239*I239*J239*K239)</f>
        <v>5802</v>
      </c>
      <c r="M239" s="922">
        <f>SUM(L239)</f>
        <v>5802</v>
      </c>
      <c r="N239" s="581" t="s">
        <v>913</v>
      </c>
    </row>
    <row r="240" spans="1:17" s="22" customFormat="1" ht="24.95" hidden="1" customHeight="1">
      <c r="A240" s="317"/>
      <c r="B240" s="416"/>
      <c r="C240" s="416"/>
      <c r="D240" s="416"/>
      <c r="E240" s="417"/>
      <c r="F240" s="417"/>
      <c r="G240" s="588"/>
      <c r="H240" s="588"/>
      <c r="I240" s="588"/>
      <c r="J240" s="588"/>
      <c r="K240" s="398"/>
      <c r="L240" s="954"/>
      <c r="M240" s="922"/>
      <c r="N240" s="581"/>
    </row>
    <row r="241" spans="1:18" s="22" customFormat="1" ht="24.95" hidden="1" customHeight="1">
      <c r="A241" s="948"/>
      <c r="B241" s="416" t="s">
        <v>287</v>
      </c>
      <c r="C241" s="416" t="s">
        <v>787</v>
      </c>
      <c r="D241" s="416" t="s">
        <v>281</v>
      </c>
      <c r="E241" s="417" t="s">
        <v>272</v>
      </c>
      <c r="F241" s="417" t="s">
        <v>14</v>
      </c>
      <c r="G241" s="588">
        <v>1.4999999999999999E-2</v>
      </c>
      <c r="H241" s="949">
        <v>1.8</v>
      </c>
      <c r="I241" s="949">
        <v>1</v>
      </c>
      <c r="J241" s="949">
        <v>1</v>
      </c>
      <c r="K241" s="398">
        <f>VLOOKUP(F241,'8-5.2025하노임'!$A$6:$G$47,6,0)</f>
        <v>386848.44396</v>
      </c>
      <c r="L241" s="950">
        <f>INT(G241*H241*I241*J241*K241)</f>
        <v>10444</v>
      </c>
      <c r="M241" s="922">
        <f>SUM(L241)</f>
        <v>10444</v>
      </c>
      <c r="N241" s="581" t="s">
        <v>913</v>
      </c>
    </row>
    <row r="242" spans="1:18" s="22" customFormat="1" ht="24.95" hidden="1" customHeight="1">
      <c r="A242" s="317"/>
      <c r="B242" s="416"/>
      <c r="C242" s="416"/>
      <c r="D242" s="416"/>
      <c r="E242" s="417"/>
      <c r="F242" s="417"/>
      <c r="G242" s="588"/>
      <c r="H242" s="588"/>
      <c r="I242" s="588"/>
      <c r="J242" s="588"/>
      <c r="K242" s="398"/>
      <c r="L242" s="954"/>
      <c r="M242" s="922"/>
      <c r="N242" s="581"/>
    </row>
    <row r="243" spans="1:18" s="22" customFormat="1" ht="24.95" hidden="1" customHeight="1">
      <c r="A243" s="948"/>
      <c r="B243" s="416" t="s">
        <v>292</v>
      </c>
      <c r="C243" s="416" t="s">
        <v>294</v>
      </c>
      <c r="D243" s="416" t="s">
        <v>298</v>
      </c>
      <c r="E243" s="417" t="s">
        <v>272</v>
      </c>
      <c r="F243" s="417" t="s">
        <v>15</v>
      </c>
      <c r="G243" s="588">
        <v>5.8999999999999997E-2</v>
      </c>
      <c r="H243" s="949">
        <v>1.3</v>
      </c>
      <c r="I243" s="949">
        <v>1</v>
      </c>
      <c r="J243" s="949">
        <v>1</v>
      </c>
      <c r="K243" s="398">
        <f>VLOOKUP(F243,'8-5.2025하노임'!$A$6:$G$47,6,0)</f>
        <v>248856.63428999999</v>
      </c>
      <c r="L243" s="950">
        <f>INT(G243*H243*I243*J243*K243)</f>
        <v>19087</v>
      </c>
      <c r="M243" s="922">
        <f>SUM(L243)</f>
        <v>19087</v>
      </c>
      <c r="N243" s="581" t="s">
        <v>914</v>
      </c>
    </row>
    <row r="244" spans="1:18" s="22" customFormat="1" ht="24.95" hidden="1" customHeight="1">
      <c r="A244" s="317"/>
      <c r="B244" s="416"/>
      <c r="C244" s="416"/>
      <c r="D244" s="416"/>
      <c r="E244" s="417"/>
      <c r="F244" s="417"/>
      <c r="G244" s="588"/>
      <c r="H244" s="588"/>
      <c r="I244" s="588"/>
      <c r="J244" s="588"/>
      <c r="K244" s="398"/>
      <c r="L244" s="588"/>
      <c r="M244" s="922"/>
      <c r="N244" s="581"/>
    </row>
    <row r="245" spans="1:18" s="22" customFormat="1" ht="24.95" hidden="1" customHeight="1">
      <c r="A245" s="951"/>
      <c r="B245" s="396" t="s">
        <v>1793</v>
      </c>
      <c r="C245" s="396" t="s">
        <v>294</v>
      </c>
      <c r="D245" s="396" t="s">
        <v>1794</v>
      </c>
      <c r="E245" s="400" t="s">
        <v>272</v>
      </c>
      <c r="F245" s="400" t="s">
        <v>15</v>
      </c>
      <c r="G245" s="399">
        <v>5.8999999999999997E-2</v>
      </c>
      <c r="H245" s="920">
        <v>1.3</v>
      </c>
      <c r="I245" s="920">
        <v>1.4</v>
      </c>
      <c r="J245" s="920">
        <v>1</v>
      </c>
      <c r="K245" s="398">
        <f>VLOOKUP(F245,'8-5.2025하노임'!$A$6:$G$47,6,0)</f>
        <v>248856.63428999999</v>
      </c>
      <c r="L245" s="921">
        <f>INT(G245*H245*I245*J245*K245)</f>
        <v>26722</v>
      </c>
      <c r="M245" s="922">
        <f>SUM(L245)</f>
        <v>26722</v>
      </c>
      <c r="N245" s="406" t="s">
        <v>914</v>
      </c>
    </row>
    <row r="246" spans="1:18" s="22" customFormat="1" ht="24.95" hidden="1" customHeight="1">
      <c r="A246" s="267"/>
      <c r="B246" s="396"/>
      <c r="C246" s="396"/>
      <c r="D246" s="396"/>
      <c r="E246" s="400"/>
      <c r="F246" s="400"/>
      <c r="G246" s="399"/>
      <c r="H246" s="399"/>
      <c r="I246" s="399"/>
      <c r="J246" s="399"/>
      <c r="K246" s="398"/>
      <c r="L246" s="399"/>
      <c r="M246" s="922"/>
      <c r="N246" s="406"/>
    </row>
    <row r="247" spans="1:18" s="22" customFormat="1" ht="24.95" hidden="1" customHeight="1">
      <c r="A247" s="948"/>
      <c r="B247" s="416" t="s">
        <v>292</v>
      </c>
      <c r="C247" s="416" t="s">
        <v>293</v>
      </c>
      <c r="D247" s="416" t="s">
        <v>298</v>
      </c>
      <c r="E247" s="417" t="s">
        <v>272</v>
      </c>
      <c r="F247" s="417" t="s">
        <v>15</v>
      </c>
      <c r="G247" s="588">
        <v>4.3999999999999997E-2</v>
      </c>
      <c r="H247" s="949">
        <v>1.3</v>
      </c>
      <c r="I247" s="949">
        <v>1</v>
      </c>
      <c r="J247" s="949">
        <v>1</v>
      </c>
      <c r="K247" s="398">
        <f>VLOOKUP(F247,'8-5.2025하노임'!$A$6:$G$47,6,0)</f>
        <v>248856.63428999999</v>
      </c>
      <c r="L247" s="950">
        <f>INT(G247*H247*I247*J247*K247)</f>
        <v>14234</v>
      </c>
      <c r="M247" s="922">
        <f>SUM(L247)</f>
        <v>14234</v>
      </c>
      <c r="N247" s="581" t="s">
        <v>914</v>
      </c>
    </row>
    <row r="248" spans="1:18" s="22" customFormat="1" ht="24.95" hidden="1" customHeight="1">
      <c r="A248" s="317"/>
      <c r="B248" s="416"/>
      <c r="C248" s="416"/>
      <c r="D248" s="416"/>
      <c r="E248" s="417"/>
      <c r="F248" s="417"/>
      <c r="G248" s="588"/>
      <c r="H248" s="588"/>
      <c r="I248" s="588"/>
      <c r="J248" s="588"/>
      <c r="K248" s="398"/>
      <c r="L248" s="588"/>
      <c r="M248" s="922"/>
      <c r="N248" s="581"/>
    </row>
    <row r="249" spans="1:18" s="22" customFormat="1" ht="24.95" hidden="1" customHeight="1">
      <c r="A249" s="267"/>
      <c r="B249" s="396" t="s">
        <v>1145</v>
      </c>
      <c r="C249" s="396" t="s">
        <v>1374</v>
      </c>
      <c r="D249" s="396" t="s">
        <v>282</v>
      </c>
      <c r="E249" s="400" t="s">
        <v>272</v>
      </c>
      <c r="F249" s="400" t="s">
        <v>15</v>
      </c>
      <c r="G249" s="399">
        <v>0.01</v>
      </c>
      <c r="H249" s="920">
        <v>1.5</v>
      </c>
      <c r="I249" s="920">
        <v>1</v>
      </c>
      <c r="J249" s="920">
        <v>1</v>
      </c>
      <c r="K249" s="398">
        <f>VLOOKUP(F249,'8-5.2025하노임'!$A$6:$G$47,6,0)</f>
        <v>248856.63428999999</v>
      </c>
      <c r="L249" s="921">
        <f>INT(G249*H249*I249*J249*K249)</f>
        <v>3732</v>
      </c>
      <c r="M249" s="922">
        <f>SUM(L249)</f>
        <v>3732</v>
      </c>
      <c r="N249" s="406" t="s">
        <v>915</v>
      </c>
      <c r="P249" s="22" t="s">
        <v>1290</v>
      </c>
    </row>
    <row r="250" spans="1:18" s="22" customFormat="1" ht="24.95" hidden="1" customHeight="1">
      <c r="A250" s="317"/>
      <c r="B250" s="416"/>
      <c r="C250" s="416"/>
      <c r="D250" s="416"/>
      <c r="E250" s="417"/>
      <c r="F250" s="417"/>
      <c r="G250" s="588"/>
      <c r="H250" s="588"/>
      <c r="I250" s="588"/>
      <c r="J250" s="588"/>
      <c r="K250" s="398"/>
      <c r="L250" s="588"/>
      <c r="M250" s="922"/>
      <c r="N250" s="581"/>
    </row>
    <row r="251" spans="1:18" s="22" customFormat="1" ht="24.95" hidden="1" customHeight="1">
      <c r="A251" s="948"/>
      <c r="B251" s="416" t="s">
        <v>378</v>
      </c>
      <c r="C251" s="416" t="s">
        <v>379</v>
      </c>
      <c r="D251" s="416"/>
      <c r="E251" s="417" t="s">
        <v>271</v>
      </c>
      <c r="F251" s="417" t="s">
        <v>15</v>
      </c>
      <c r="G251" s="588">
        <v>0.03</v>
      </c>
      <c r="H251" s="949">
        <v>1</v>
      </c>
      <c r="I251" s="949">
        <v>1</v>
      </c>
      <c r="J251" s="949">
        <v>1</v>
      </c>
      <c r="K251" s="398">
        <f>VLOOKUP(F251,'8-5.2025하노임'!$A$6:$G$47,6,0)</f>
        <v>248856.63428999999</v>
      </c>
      <c r="L251" s="950">
        <f>INT(G251*H251*I251*J251*K251)</f>
        <v>7465</v>
      </c>
      <c r="M251" s="922">
        <f>SUM(L251)</f>
        <v>7465</v>
      </c>
      <c r="N251" s="581" t="s">
        <v>915</v>
      </c>
    </row>
    <row r="252" spans="1:18" s="22" customFormat="1" ht="24.95" hidden="1" customHeight="1">
      <c r="A252" s="317"/>
      <c r="B252" s="416"/>
      <c r="C252" s="416"/>
      <c r="D252" s="416"/>
      <c r="E252" s="417"/>
      <c r="F252" s="417"/>
      <c r="G252" s="588"/>
      <c r="H252" s="949"/>
      <c r="I252" s="949"/>
      <c r="J252" s="949"/>
      <c r="K252" s="398"/>
      <c r="L252" s="950"/>
      <c r="M252" s="953"/>
      <c r="N252" s="581"/>
      <c r="O252" s="10"/>
      <c r="P252" s="10"/>
      <c r="Q252" s="11"/>
      <c r="R252" s="10"/>
    </row>
    <row r="253" spans="1:18" s="10" customFormat="1" ht="24.95" hidden="1" customHeight="1">
      <c r="A253" s="317"/>
      <c r="B253" s="416" t="s">
        <v>1795</v>
      </c>
      <c r="C253" s="416" t="s">
        <v>1796</v>
      </c>
      <c r="D253" s="416"/>
      <c r="E253" s="417" t="s">
        <v>271</v>
      </c>
      <c r="F253" s="417" t="s">
        <v>210</v>
      </c>
      <c r="G253" s="952">
        <v>0.12</v>
      </c>
      <c r="H253" s="949">
        <v>1</v>
      </c>
      <c r="I253" s="949">
        <v>1</v>
      </c>
      <c r="J253" s="949">
        <v>1</v>
      </c>
      <c r="K253" s="398">
        <f>VLOOKUP(F253,'8-5.2025하노임'!$A$6:$G$47,6,0)</f>
        <v>279455.76812999998</v>
      </c>
      <c r="L253" s="950">
        <f>INT(G253*H253*I253*J253*K253)</f>
        <v>33534</v>
      </c>
      <c r="M253" s="922">
        <f>SUM(L253:L254)</f>
        <v>66679</v>
      </c>
      <c r="N253" s="581" t="s">
        <v>917</v>
      </c>
    </row>
    <row r="254" spans="1:18" s="10" customFormat="1" ht="24.95" hidden="1" customHeight="1">
      <c r="A254" s="317"/>
      <c r="B254" s="416"/>
      <c r="C254" s="416"/>
      <c r="D254" s="416"/>
      <c r="E254" s="417"/>
      <c r="F254" s="417" t="s">
        <v>3</v>
      </c>
      <c r="G254" s="588">
        <v>0.12</v>
      </c>
      <c r="H254" s="949">
        <v>1</v>
      </c>
      <c r="I254" s="949">
        <v>1</v>
      </c>
      <c r="J254" s="949">
        <v>1</v>
      </c>
      <c r="K254" s="398">
        <f>VLOOKUP(F254,'8-5.2025하노임'!$A$6:$G$47,6,0)</f>
        <v>276216.14889000001</v>
      </c>
      <c r="L254" s="950">
        <f>INT(G254*H254*I254*J254*K254)</f>
        <v>33145</v>
      </c>
      <c r="M254" s="953"/>
      <c r="N254" s="581"/>
    </row>
    <row r="255" spans="1:18" s="22" customFormat="1" ht="24.95" hidden="1" customHeight="1">
      <c r="A255" s="317"/>
      <c r="B255" s="416"/>
      <c r="C255" s="416"/>
      <c r="D255" s="416"/>
      <c r="E255" s="417"/>
      <c r="F255" s="417"/>
      <c r="G255" s="588"/>
      <c r="H255" s="588"/>
      <c r="I255" s="588"/>
      <c r="J255" s="588"/>
      <c r="K255" s="398"/>
      <c r="L255" s="588"/>
      <c r="M255" s="922"/>
      <c r="N255" s="581"/>
    </row>
    <row r="256" spans="1:18" s="22" customFormat="1" ht="24.95" hidden="1" customHeight="1">
      <c r="A256" s="267"/>
      <c r="B256" s="958" t="s">
        <v>1797</v>
      </c>
      <c r="C256" s="396" t="s">
        <v>1105</v>
      </c>
      <c r="D256" s="396" t="s">
        <v>1798</v>
      </c>
      <c r="E256" s="400" t="s">
        <v>274</v>
      </c>
      <c r="F256" s="400" t="s">
        <v>3</v>
      </c>
      <c r="G256" s="919">
        <f>0.75+0.75+0.75+0.5</f>
        <v>2.75</v>
      </c>
      <c r="H256" s="920">
        <v>0.3</v>
      </c>
      <c r="I256" s="920">
        <v>1</v>
      </c>
      <c r="J256" s="920">
        <v>1</v>
      </c>
      <c r="K256" s="398">
        <f>VLOOKUP(F256,'8-5.2025하노임'!$A$6:$G$47,6,0)</f>
        <v>276216.14889000001</v>
      </c>
      <c r="L256" s="921">
        <f>INT(G256*H256*I256*J256*K256)</f>
        <v>227878</v>
      </c>
      <c r="M256" s="922">
        <f>SUM(L256:L257)</f>
        <v>331294</v>
      </c>
      <c r="N256" s="406" t="s">
        <v>1799</v>
      </c>
      <c r="O256" s="10"/>
      <c r="P256" s="10"/>
      <c r="Q256" s="10"/>
      <c r="R256" s="10"/>
    </row>
    <row r="257" spans="1:18" s="22" customFormat="1" ht="24.95" hidden="1" customHeight="1">
      <c r="A257" s="267"/>
      <c r="B257" s="399" t="s">
        <v>1800</v>
      </c>
      <c r="C257" s="396"/>
      <c r="D257" s="396"/>
      <c r="E257" s="400" t="s">
        <v>457</v>
      </c>
      <c r="F257" s="400" t="s">
        <v>458</v>
      </c>
      <c r="G257" s="919">
        <f>1+0.75</f>
        <v>1.75</v>
      </c>
      <c r="H257" s="920">
        <v>0.3</v>
      </c>
      <c r="I257" s="920">
        <v>1</v>
      </c>
      <c r="J257" s="920">
        <v>1</v>
      </c>
      <c r="K257" s="398">
        <f>VLOOKUP(F257,'8-5.2025하노임'!$A$6:$G$47,6,0)</f>
        <v>196983.2403</v>
      </c>
      <c r="L257" s="921">
        <f>INT(G257*H257*I257*J257*K257)</f>
        <v>103416</v>
      </c>
      <c r="M257" s="922"/>
      <c r="N257" s="406"/>
      <c r="O257" s="10"/>
      <c r="P257" s="10"/>
      <c r="Q257" s="10"/>
      <c r="R257" s="10"/>
    </row>
    <row r="258" spans="1:18" s="10" customFormat="1" ht="24" hidden="1" customHeight="1">
      <c r="A258" s="267"/>
      <c r="B258" s="399"/>
      <c r="C258" s="396"/>
      <c r="D258" s="396"/>
      <c r="E258" s="400"/>
      <c r="F258" s="400"/>
      <c r="G258" s="919"/>
      <c r="H258" s="920"/>
      <c r="I258" s="920"/>
      <c r="J258" s="920"/>
      <c r="K258" s="398"/>
      <c r="L258" s="921"/>
      <c r="M258" s="922"/>
      <c r="N258" s="406"/>
    </row>
    <row r="259" spans="1:18" s="22" customFormat="1" ht="24.95" hidden="1" customHeight="1">
      <c r="A259" s="317"/>
      <c r="B259" s="416"/>
      <c r="C259" s="416"/>
      <c r="D259" s="416"/>
      <c r="E259" s="417"/>
      <c r="F259" s="417"/>
      <c r="G259" s="588"/>
      <c r="H259" s="949"/>
      <c r="I259" s="949"/>
      <c r="J259" s="949"/>
      <c r="K259" s="398"/>
      <c r="L259" s="950"/>
      <c r="M259" s="953"/>
      <c r="N259" s="581"/>
      <c r="O259" s="10"/>
      <c r="P259" s="10"/>
      <c r="Q259" s="11"/>
      <c r="R259" s="10"/>
    </row>
    <row r="260" spans="1:18" s="22" customFormat="1" ht="24.95" hidden="1" customHeight="1">
      <c r="A260" s="317"/>
      <c r="B260" s="416"/>
      <c r="C260" s="416"/>
      <c r="D260" s="416"/>
      <c r="E260" s="417"/>
      <c r="F260" s="417"/>
      <c r="G260" s="588"/>
      <c r="H260" s="949"/>
      <c r="I260" s="949"/>
      <c r="J260" s="949"/>
      <c r="K260" s="398"/>
      <c r="L260" s="950"/>
      <c r="M260" s="953"/>
      <c r="N260" s="581"/>
      <c r="O260" s="10"/>
      <c r="P260" s="10"/>
      <c r="Q260" s="11"/>
      <c r="R260" s="10"/>
    </row>
    <row r="261" spans="1:18" s="22" customFormat="1" ht="24.95" hidden="1" customHeight="1">
      <c r="A261" s="317"/>
      <c r="B261" s="416"/>
      <c r="C261" s="416"/>
      <c r="D261" s="416"/>
      <c r="E261" s="417"/>
      <c r="F261" s="417"/>
      <c r="G261" s="588"/>
      <c r="H261" s="949"/>
      <c r="I261" s="949"/>
      <c r="J261" s="949"/>
      <c r="K261" s="398"/>
      <c r="L261" s="950"/>
      <c r="M261" s="953"/>
      <c r="N261" s="581"/>
      <c r="O261" s="10"/>
      <c r="P261" s="10"/>
      <c r="Q261" s="11"/>
      <c r="R261" s="10"/>
    </row>
    <row r="262" spans="1:18" s="22" customFormat="1" ht="24.95" customHeight="1">
      <c r="A262" s="317"/>
      <c r="B262" s="416"/>
      <c r="C262" s="416"/>
      <c r="D262" s="416"/>
      <c r="E262" s="417"/>
      <c r="F262" s="417"/>
      <c r="G262" s="588"/>
      <c r="H262" s="949"/>
      <c r="I262" s="949"/>
      <c r="J262" s="949"/>
      <c r="K262" s="398"/>
      <c r="L262" s="950"/>
      <c r="M262" s="953"/>
      <c r="N262" s="581"/>
      <c r="O262" s="10"/>
      <c r="P262" s="10"/>
      <c r="Q262" s="11"/>
      <c r="R262" s="10"/>
    </row>
    <row r="263" spans="1:18" s="22" customFormat="1" ht="24.95" customHeight="1">
      <c r="A263" s="545" t="s">
        <v>2974</v>
      </c>
      <c r="B263" s="663"/>
      <c r="C263" s="663"/>
      <c r="D263" s="663"/>
      <c r="E263" s="664"/>
      <c r="F263" s="664"/>
      <c r="G263" s="663"/>
      <c r="H263" s="663"/>
      <c r="I263" s="663"/>
      <c r="J263" s="663"/>
      <c r="K263" s="398"/>
      <c r="L263" s="663"/>
      <c r="M263" s="663"/>
      <c r="N263" s="941"/>
      <c r="O263" s="10"/>
      <c r="P263" s="10"/>
      <c r="Q263" s="10"/>
      <c r="R263" s="10"/>
    </row>
    <row r="264" spans="1:18" s="22" customFormat="1" ht="24.95" customHeight="1">
      <c r="A264" s="267" t="s">
        <v>1090</v>
      </c>
      <c r="B264" s="404" t="s">
        <v>789</v>
      </c>
      <c r="C264" s="404" t="s">
        <v>3178</v>
      </c>
      <c r="D264" s="404"/>
      <c r="E264" s="947" t="s">
        <v>45</v>
      </c>
      <c r="F264" s="400"/>
      <c r="G264" s="919"/>
      <c r="H264" s="920"/>
      <c r="I264" s="920"/>
      <c r="J264" s="920"/>
      <c r="K264" s="398"/>
      <c r="L264" s="921"/>
      <c r="M264" s="922">
        <f>SUM(M265:M268)</f>
        <v>252964</v>
      </c>
      <c r="N264" s="406" t="s">
        <v>908</v>
      </c>
      <c r="O264" s="10"/>
      <c r="P264" s="10"/>
      <c r="Q264" s="10"/>
      <c r="R264" s="10"/>
    </row>
    <row r="265" spans="1:18" s="22" customFormat="1" ht="24.95" customHeight="1">
      <c r="A265" s="267"/>
      <c r="B265" s="396" t="s">
        <v>288</v>
      </c>
      <c r="C265" s="396" t="s">
        <v>42</v>
      </c>
      <c r="D265" s="396"/>
      <c r="E265" s="947" t="s">
        <v>43</v>
      </c>
      <c r="F265" s="400" t="s">
        <v>266</v>
      </c>
      <c r="G265" s="919">
        <v>0.5</v>
      </c>
      <c r="H265" s="920">
        <v>1</v>
      </c>
      <c r="I265" s="920">
        <v>1</v>
      </c>
      <c r="J265" s="920">
        <v>1</v>
      </c>
      <c r="K265" s="398">
        <f>VLOOKUP(F265,'8-5.2025하노임'!$A$6:$G$47,6,0)</f>
        <v>276216.14889000001</v>
      </c>
      <c r="L265" s="921">
        <f>INT(G265*H265*I265*J265*K265)</f>
        <v>138108</v>
      </c>
      <c r="M265" s="923">
        <f>SUM(L265:L266)</f>
        <v>213147</v>
      </c>
      <c r="N265" s="406" t="s">
        <v>908</v>
      </c>
      <c r="O265" s="10"/>
      <c r="P265" s="10"/>
      <c r="Q265" s="10"/>
      <c r="R265" s="10"/>
    </row>
    <row r="266" spans="1:18" s="22" customFormat="1" ht="24.95" customHeight="1">
      <c r="A266" s="267"/>
      <c r="B266" s="396" t="s">
        <v>2</v>
      </c>
      <c r="C266" s="396"/>
      <c r="D266" s="396"/>
      <c r="E266" s="400"/>
      <c r="F266" s="400" t="s">
        <v>4</v>
      </c>
      <c r="G266" s="919">
        <v>0.5</v>
      </c>
      <c r="H266" s="920">
        <v>1</v>
      </c>
      <c r="I266" s="920">
        <v>1</v>
      </c>
      <c r="J266" s="920">
        <v>1</v>
      </c>
      <c r="K266" s="398">
        <f>VLOOKUP(F266,'8-5.2025하노임'!$A$6:$G$47,6,0)</f>
        <v>150079.83638999998</v>
      </c>
      <c r="L266" s="921">
        <f>INT(G266*H266*I266*J266*K266)</f>
        <v>75039</v>
      </c>
      <c r="M266" s="921"/>
      <c r="N266" s="406"/>
      <c r="O266" s="10"/>
      <c r="P266" s="10"/>
      <c r="Q266" s="10"/>
      <c r="R266" s="10"/>
    </row>
    <row r="267" spans="1:18" s="22" customFormat="1" ht="24.95" customHeight="1">
      <c r="A267" s="267"/>
      <c r="B267" s="396"/>
      <c r="C267" s="396"/>
      <c r="D267" s="396"/>
      <c r="E267" s="400"/>
      <c r="F267" s="400"/>
      <c r="G267" s="919"/>
      <c r="H267" s="920"/>
      <c r="I267" s="920"/>
      <c r="J267" s="920"/>
      <c r="K267" s="398"/>
      <c r="L267" s="921"/>
      <c r="M267" s="921"/>
      <c r="N267" s="406"/>
      <c r="O267" s="10"/>
      <c r="P267" s="10"/>
      <c r="Q267" s="10"/>
      <c r="R267" s="10"/>
    </row>
    <row r="268" spans="1:18" s="22" customFormat="1" ht="24.95" customHeight="1">
      <c r="A268" s="267"/>
      <c r="B268" s="396" t="s">
        <v>812</v>
      </c>
      <c r="C268" s="396" t="s">
        <v>1288</v>
      </c>
      <c r="D268" s="396"/>
      <c r="E268" s="947" t="s">
        <v>620</v>
      </c>
      <c r="F268" s="400" t="s">
        <v>15</v>
      </c>
      <c r="G268" s="919">
        <f>0.04*4</f>
        <v>0.16</v>
      </c>
      <c r="H268" s="920">
        <v>1</v>
      </c>
      <c r="I268" s="920">
        <v>1</v>
      </c>
      <c r="J268" s="920">
        <v>1</v>
      </c>
      <c r="K268" s="398">
        <f>VLOOKUP(F268,'8-5.2025하노임'!$A$6:$G$47,6,0)</f>
        <v>248856.63428999999</v>
      </c>
      <c r="L268" s="921">
        <f>INT(G268*H268*I268*J268*K268)</f>
        <v>39817</v>
      </c>
      <c r="M268" s="923">
        <f>SUM(L268:L268)</f>
        <v>39817</v>
      </c>
      <c r="N268" s="406" t="s">
        <v>909</v>
      </c>
      <c r="O268" s="10"/>
      <c r="P268" s="10"/>
      <c r="Q268" s="10"/>
      <c r="R268" s="10"/>
    </row>
    <row r="269" spans="1:18" s="22" customFormat="1" ht="24.95" customHeight="1">
      <c r="A269" s="267"/>
      <c r="B269" s="396"/>
      <c r="C269" s="396"/>
      <c r="D269" s="396"/>
      <c r="E269" s="400"/>
      <c r="F269" s="400"/>
      <c r="G269" s="919"/>
      <c r="H269" s="919"/>
      <c r="I269" s="919"/>
      <c r="J269" s="919"/>
      <c r="K269" s="398"/>
      <c r="L269" s="922"/>
      <c r="M269" s="922"/>
      <c r="N269" s="406"/>
      <c r="P269" s="939"/>
    </row>
    <row r="270" spans="1:18" s="22" customFormat="1" ht="24.95" customHeight="1">
      <c r="A270" s="267" t="s">
        <v>1091</v>
      </c>
      <c r="B270" s="404" t="s">
        <v>791</v>
      </c>
      <c r="C270" s="404" t="s">
        <v>790</v>
      </c>
      <c r="D270" s="404"/>
      <c r="E270" s="947" t="s">
        <v>45</v>
      </c>
      <c r="F270" s="400"/>
      <c r="G270" s="919"/>
      <c r="H270" s="920"/>
      <c r="I270" s="920"/>
      <c r="J270" s="920"/>
      <c r="K270" s="398"/>
      <c r="L270" s="921"/>
      <c r="M270" s="922">
        <f>SUM(M271:M274)</f>
        <v>252964</v>
      </c>
      <c r="N270" s="406" t="s">
        <v>908</v>
      </c>
    </row>
    <row r="271" spans="1:18" s="22" customFormat="1" ht="24.95" customHeight="1">
      <c r="A271" s="267"/>
      <c r="B271" s="396" t="s">
        <v>288</v>
      </c>
      <c r="C271" s="396" t="s">
        <v>42</v>
      </c>
      <c r="D271" s="396"/>
      <c r="E271" s="947" t="s">
        <v>43</v>
      </c>
      <c r="F271" s="400" t="s">
        <v>266</v>
      </c>
      <c r="G271" s="919">
        <v>0.5</v>
      </c>
      <c r="H271" s="920">
        <v>1</v>
      </c>
      <c r="I271" s="920">
        <v>1</v>
      </c>
      <c r="J271" s="920">
        <v>1</v>
      </c>
      <c r="K271" s="398">
        <f>VLOOKUP(F271,'8-5.2025하노임'!$A$6:$G$47,6,0)</f>
        <v>276216.14889000001</v>
      </c>
      <c r="L271" s="921">
        <f>INT(G271*H271*I271*J271*K271)</f>
        <v>138108</v>
      </c>
      <c r="M271" s="923">
        <f>SUM(L271:L272)</f>
        <v>213147</v>
      </c>
      <c r="N271" s="406" t="s">
        <v>908</v>
      </c>
      <c r="O271" s="10"/>
      <c r="P271" s="10"/>
      <c r="Q271" s="10"/>
      <c r="R271" s="10"/>
    </row>
    <row r="272" spans="1:18" s="22" customFormat="1" ht="24.95" customHeight="1">
      <c r="A272" s="267"/>
      <c r="B272" s="396" t="s">
        <v>2</v>
      </c>
      <c r="C272" s="396"/>
      <c r="D272" s="396"/>
      <c r="E272" s="400"/>
      <c r="F272" s="400" t="s">
        <v>4</v>
      </c>
      <c r="G272" s="919">
        <v>0.5</v>
      </c>
      <c r="H272" s="920">
        <v>1</v>
      </c>
      <c r="I272" s="920">
        <v>1</v>
      </c>
      <c r="J272" s="920">
        <v>1</v>
      </c>
      <c r="K272" s="398">
        <f>VLOOKUP(F272,'8-5.2025하노임'!$A$6:$G$47,6,0)</f>
        <v>150079.83638999998</v>
      </c>
      <c r="L272" s="921">
        <f>INT(G272*H272*I272*J272*K272)</f>
        <v>75039</v>
      </c>
      <c r="M272" s="921"/>
      <c r="N272" s="406"/>
      <c r="O272" s="10"/>
      <c r="P272" s="10"/>
      <c r="Q272" s="10"/>
      <c r="R272" s="10"/>
    </row>
    <row r="273" spans="1:18" s="22" customFormat="1" ht="24.95" customHeight="1">
      <c r="A273" s="267"/>
      <c r="B273" s="396"/>
      <c r="C273" s="396"/>
      <c r="D273" s="396"/>
      <c r="E273" s="400"/>
      <c r="F273" s="400"/>
      <c r="G273" s="919"/>
      <c r="H273" s="920"/>
      <c r="I273" s="920"/>
      <c r="J273" s="920"/>
      <c r="K273" s="398"/>
      <c r="L273" s="921"/>
      <c r="M273" s="921"/>
      <c r="N273" s="406"/>
      <c r="O273" s="10"/>
      <c r="P273" s="10"/>
      <c r="Q273" s="10"/>
      <c r="R273" s="10"/>
    </row>
    <row r="274" spans="1:18" s="22" customFormat="1" ht="24.95" customHeight="1">
      <c r="A274" s="267"/>
      <c r="B274" s="396" t="s">
        <v>812</v>
      </c>
      <c r="C274" s="396" t="s">
        <v>1288</v>
      </c>
      <c r="D274" s="396"/>
      <c r="E274" s="947" t="s">
        <v>620</v>
      </c>
      <c r="F274" s="400" t="s">
        <v>15</v>
      </c>
      <c r="G274" s="919">
        <f>0.04*4</f>
        <v>0.16</v>
      </c>
      <c r="H274" s="920">
        <v>1</v>
      </c>
      <c r="I274" s="920">
        <v>1</v>
      </c>
      <c r="J274" s="920">
        <v>1</v>
      </c>
      <c r="K274" s="398">
        <f>VLOOKUP(F274,'8-5.2025하노임'!$A$6:$G$47,6,0)</f>
        <v>248856.63428999999</v>
      </c>
      <c r="L274" s="921">
        <f>INT(G274*H274*I274*J274*K274)</f>
        <v>39817</v>
      </c>
      <c r="M274" s="923">
        <f>SUM(L274:L274)</f>
        <v>39817</v>
      </c>
      <c r="N274" s="406" t="s">
        <v>909</v>
      </c>
      <c r="O274" s="10"/>
      <c r="P274" s="10"/>
      <c r="Q274" s="10"/>
      <c r="R274" s="10"/>
    </row>
    <row r="275" spans="1:18" s="22" customFormat="1" ht="24.95" customHeight="1">
      <c r="A275" s="267"/>
      <c r="B275" s="396"/>
      <c r="C275" s="396"/>
      <c r="D275" s="396"/>
      <c r="E275" s="400"/>
      <c r="F275" s="400"/>
      <c r="G275" s="919"/>
      <c r="H275" s="919"/>
      <c r="I275" s="919"/>
      <c r="J275" s="919"/>
      <c r="K275" s="398"/>
      <c r="L275" s="922"/>
      <c r="M275" s="922"/>
      <c r="N275" s="406"/>
      <c r="P275" s="939"/>
    </row>
    <row r="276" spans="1:18" s="22" customFormat="1" ht="24.95" customHeight="1">
      <c r="A276" s="267" t="s">
        <v>1092</v>
      </c>
      <c r="B276" s="404" t="s">
        <v>621</v>
      </c>
      <c r="C276" s="404" t="s">
        <v>622</v>
      </c>
      <c r="D276" s="404"/>
      <c r="E276" s="947" t="s">
        <v>45</v>
      </c>
      <c r="F276" s="400"/>
      <c r="G276" s="919"/>
      <c r="H276" s="920"/>
      <c r="I276" s="920"/>
      <c r="J276" s="920"/>
      <c r="K276" s="398"/>
      <c r="L276" s="921"/>
      <c r="M276" s="922">
        <f>SUM(M277:M280)</f>
        <v>252964</v>
      </c>
      <c r="N276" s="406" t="s">
        <v>908</v>
      </c>
    </row>
    <row r="277" spans="1:18" s="10" customFormat="1" ht="24.95" customHeight="1">
      <c r="A277" s="267"/>
      <c r="B277" s="396" t="s">
        <v>288</v>
      </c>
      <c r="C277" s="396" t="s">
        <v>42</v>
      </c>
      <c r="D277" s="396"/>
      <c r="E277" s="947" t="s">
        <v>43</v>
      </c>
      <c r="F277" s="400" t="s">
        <v>266</v>
      </c>
      <c r="G277" s="919">
        <v>0.5</v>
      </c>
      <c r="H277" s="920">
        <v>1</v>
      </c>
      <c r="I277" s="920">
        <v>1</v>
      </c>
      <c r="J277" s="920">
        <v>1</v>
      </c>
      <c r="K277" s="398">
        <f>VLOOKUP(F277,'8-5.2025하노임'!$A$6:$G$47,6,0)</f>
        <v>276216.14889000001</v>
      </c>
      <c r="L277" s="921">
        <f>INT(G277*H277*I277*J277*K277)</f>
        <v>138108</v>
      </c>
      <c r="M277" s="923">
        <f>SUM(L277:L278)</f>
        <v>213147</v>
      </c>
      <c r="N277" s="406" t="s">
        <v>908</v>
      </c>
      <c r="O277" s="22"/>
      <c r="P277" s="22"/>
      <c r="Q277" s="22"/>
      <c r="R277" s="22"/>
    </row>
    <row r="278" spans="1:18" s="22" customFormat="1" ht="24.95" customHeight="1">
      <c r="A278" s="267"/>
      <c r="B278" s="396" t="s">
        <v>2</v>
      </c>
      <c r="C278" s="396"/>
      <c r="D278" s="396"/>
      <c r="E278" s="400"/>
      <c r="F278" s="400" t="s">
        <v>4</v>
      </c>
      <c r="G278" s="919">
        <v>0.5</v>
      </c>
      <c r="H278" s="920">
        <v>1</v>
      </c>
      <c r="I278" s="920">
        <v>1</v>
      </c>
      <c r="J278" s="920">
        <v>1</v>
      </c>
      <c r="K278" s="398">
        <f>VLOOKUP(F278,'8-5.2025하노임'!$A$6:$G$47,6,0)</f>
        <v>150079.83638999998</v>
      </c>
      <c r="L278" s="921">
        <f>INT(G278*H278*I278*J278*K278)</f>
        <v>75039</v>
      </c>
      <c r="M278" s="921"/>
      <c r="N278" s="406"/>
      <c r="P278" s="939"/>
    </row>
    <row r="279" spans="1:18" s="10" customFormat="1" ht="24.95" customHeight="1">
      <c r="A279" s="267"/>
      <c r="B279" s="396"/>
      <c r="C279" s="396"/>
      <c r="D279" s="396"/>
      <c r="E279" s="400"/>
      <c r="F279" s="400"/>
      <c r="G279" s="919"/>
      <c r="H279" s="920"/>
      <c r="I279" s="920"/>
      <c r="J279" s="920"/>
      <c r="K279" s="398"/>
      <c r="L279" s="921"/>
      <c r="M279" s="921"/>
      <c r="N279" s="406"/>
      <c r="O279" s="22"/>
      <c r="P279" s="939"/>
      <c r="Q279" s="22"/>
      <c r="R279" s="22"/>
    </row>
    <row r="280" spans="1:18" s="22" customFormat="1" ht="24.95" customHeight="1">
      <c r="A280" s="267"/>
      <c r="B280" s="396" t="s">
        <v>812</v>
      </c>
      <c r="C280" s="396" t="s">
        <v>1288</v>
      </c>
      <c r="D280" s="396"/>
      <c r="E280" s="947" t="s">
        <v>620</v>
      </c>
      <c r="F280" s="400" t="s">
        <v>15</v>
      </c>
      <c r="G280" s="919">
        <f>0.04*4</f>
        <v>0.16</v>
      </c>
      <c r="H280" s="920">
        <v>1</v>
      </c>
      <c r="I280" s="920">
        <v>1</v>
      </c>
      <c r="J280" s="920">
        <v>1</v>
      </c>
      <c r="K280" s="398">
        <f>VLOOKUP(F280,'8-5.2025하노임'!$A$6:$G$47,6,0)</f>
        <v>248856.63428999999</v>
      </c>
      <c r="L280" s="921">
        <f>INT(G280*H280*I280*J280*K280)</f>
        <v>39817</v>
      </c>
      <c r="M280" s="923">
        <f>SUM(L280:L280)</f>
        <v>39817</v>
      </c>
      <c r="N280" s="406" t="s">
        <v>909</v>
      </c>
      <c r="P280" s="10"/>
    </row>
    <row r="281" spans="1:18" s="10" customFormat="1" ht="24.95" customHeight="1">
      <c r="A281" s="267"/>
      <c r="B281" s="396"/>
      <c r="C281" s="396"/>
      <c r="D281" s="396"/>
      <c r="E281" s="400"/>
      <c r="F281" s="400"/>
      <c r="G281" s="919"/>
      <c r="H281" s="919"/>
      <c r="I281" s="919"/>
      <c r="J281" s="919"/>
      <c r="K281" s="398"/>
      <c r="L281" s="922"/>
      <c r="M281" s="922"/>
      <c r="N281" s="406"/>
      <c r="O281" s="22"/>
      <c r="P281" s="22"/>
      <c r="Q281" s="22"/>
      <c r="R281" s="22"/>
    </row>
    <row r="282" spans="1:18" s="10" customFormat="1" ht="24.95" customHeight="1">
      <c r="A282" s="267" t="s">
        <v>2997</v>
      </c>
      <c r="B282" s="404" t="s">
        <v>1801</v>
      </c>
      <c r="C282" s="404" t="s">
        <v>622</v>
      </c>
      <c r="D282" s="404"/>
      <c r="E282" s="947" t="s">
        <v>45</v>
      </c>
      <c r="F282" s="400"/>
      <c r="G282" s="919"/>
      <c r="H282" s="920"/>
      <c r="I282" s="920"/>
      <c r="J282" s="920"/>
      <c r="K282" s="398"/>
      <c r="L282" s="921"/>
      <c r="M282" s="922">
        <f>SUM(M283:M286)</f>
        <v>252964</v>
      </c>
      <c r="N282" s="406" t="s">
        <v>908</v>
      </c>
      <c r="O282" s="22"/>
      <c r="P282" s="939"/>
      <c r="Q282" s="22"/>
      <c r="R282" s="22"/>
    </row>
    <row r="283" spans="1:18" s="10" customFormat="1" ht="24.95" customHeight="1">
      <c r="A283" s="267"/>
      <c r="B283" s="396" t="s">
        <v>288</v>
      </c>
      <c r="C283" s="396" t="s">
        <v>42</v>
      </c>
      <c r="D283" s="396"/>
      <c r="E283" s="947" t="s">
        <v>43</v>
      </c>
      <c r="F283" s="400" t="s">
        <v>266</v>
      </c>
      <c r="G283" s="919">
        <v>0.5</v>
      </c>
      <c r="H283" s="920">
        <v>1</v>
      </c>
      <c r="I283" s="920">
        <v>1</v>
      </c>
      <c r="J283" s="920">
        <v>1</v>
      </c>
      <c r="K283" s="398">
        <f>VLOOKUP(F283,'8-5.2025하노임'!$A$6:$G$47,6,0)</f>
        <v>276216.14889000001</v>
      </c>
      <c r="L283" s="921">
        <f>INT(G283*H283*I283*J283*K283)</f>
        <v>138108</v>
      </c>
      <c r="M283" s="923">
        <f>SUM(L283:L284)</f>
        <v>213147</v>
      </c>
      <c r="N283" s="406" t="s">
        <v>908</v>
      </c>
      <c r="O283" s="22"/>
      <c r="P283" s="939"/>
      <c r="Q283" s="22"/>
      <c r="R283" s="22"/>
    </row>
    <row r="284" spans="1:18" s="10" customFormat="1" ht="24.95" customHeight="1">
      <c r="A284" s="267"/>
      <c r="B284" s="396" t="s">
        <v>2</v>
      </c>
      <c r="C284" s="396"/>
      <c r="D284" s="396"/>
      <c r="E284" s="400"/>
      <c r="F284" s="400" t="s">
        <v>4</v>
      </c>
      <c r="G284" s="919">
        <v>0.5</v>
      </c>
      <c r="H284" s="920">
        <v>1</v>
      </c>
      <c r="I284" s="920">
        <v>1</v>
      </c>
      <c r="J284" s="920">
        <v>1</v>
      </c>
      <c r="K284" s="398">
        <f>VLOOKUP(F284,'8-5.2025하노임'!$A$6:$G$47,6,0)</f>
        <v>150079.83638999998</v>
      </c>
      <c r="L284" s="921">
        <f>INT(G284*H284*I284*J284*K284)</f>
        <v>75039</v>
      </c>
      <c r="M284" s="921"/>
      <c r="N284" s="406"/>
      <c r="O284" s="22"/>
      <c r="P284" s="22"/>
      <c r="Q284" s="22"/>
      <c r="R284" s="22"/>
    </row>
    <row r="285" spans="1:18" s="10" customFormat="1" ht="24.95" customHeight="1">
      <c r="A285" s="267"/>
      <c r="B285" s="396"/>
      <c r="C285" s="396"/>
      <c r="D285" s="396"/>
      <c r="E285" s="400"/>
      <c r="F285" s="400"/>
      <c r="G285" s="919"/>
      <c r="H285" s="920"/>
      <c r="I285" s="920"/>
      <c r="J285" s="920"/>
      <c r="K285" s="398"/>
      <c r="L285" s="921"/>
      <c r="M285" s="921"/>
      <c r="N285" s="406"/>
      <c r="O285" s="22"/>
      <c r="P285" s="22"/>
      <c r="Q285" s="22"/>
      <c r="R285" s="22"/>
    </row>
    <row r="286" spans="1:18" s="10" customFormat="1" ht="24.95" customHeight="1">
      <c r="A286" s="267"/>
      <c r="B286" s="396" t="s">
        <v>812</v>
      </c>
      <c r="C286" s="396" t="s">
        <v>1288</v>
      </c>
      <c r="D286" s="396"/>
      <c r="E286" s="947" t="s">
        <v>620</v>
      </c>
      <c r="F286" s="400" t="s">
        <v>15</v>
      </c>
      <c r="G286" s="919">
        <f>0.04*4</f>
        <v>0.16</v>
      </c>
      <c r="H286" s="920">
        <v>1</v>
      </c>
      <c r="I286" s="920">
        <v>1</v>
      </c>
      <c r="J286" s="920">
        <v>1</v>
      </c>
      <c r="K286" s="398">
        <f>VLOOKUP(F286,'8-5.2025하노임'!$A$6:$G$47,6,0)</f>
        <v>248856.63428999999</v>
      </c>
      <c r="L286" s="921">
        <f>INT(G286*H286*I286*J286*K286)</f>
        <v>39817</v>
      </c>
      <c r="M286" s="923">
        <f>SUM(L286:L286)</f>
        <v>39817</v>
      </c>
      <c r="N286" s="406" t="s">
        <v>909</v>
      </c>
      <c r="O286" s="22"/>
      <c r="Q286" s="22"/>
      <c r="R286" s="22"/>
    </row>
    <row r="287" spans="1:18" s="10" customFormat="1" ht="24.95" customHeight="1">
      <c r="A287" s="267"/>
      <c r="B287" s="396"/>
      <c r="C287" s="396"/>
      <c r="D287" s="396"/>
      <c r="E287" s="400"/>
      <c r="F287" s="400"/>
      <c r="G287" s="919"/>
      <c r="H287" s="919"/>
      <c r="I287" s="919"/>
      <c r="J287" s="919"/>
      <c r="K287" s="398"/>
      <c r="L287" s="922"/>
      <c r="M287" s="922"/>
      <c r="N287" s="406"/>
    </row>
    <row r="288" spans="1:18" s="10" customFormat="1" ht="24.95" customHeight="1">
      <c r="A288" s="951" t="s">
        <v>2994</v>
      </c>
      <c r="B288" s="396" t="s">
        <v>480</v>
      </c>
      <c r="C288" s="396" t="s">
        <v>623</v>
      </c>
      <c r="D288" s="396" t="s">
        <v>624</v>
      </c>
      <c r="E288" s="400" t="s">
        <v>272</v>
      </c>
      <c r="F288" s="400" t="s">
        <v>14</v>
      </c>
      <c r="G288" s="399">
        <v>0.03</v>
      </c>
      <c r="H288" s="920">
        <v>2.6</v>
      </c>
      <c r="I288" s="920">
        <v>1</v>
      </c>
      <c r="J288" s="920">
        <v>1</v>
      </c>
      <c r="K288" s="398">
        <f>VLOOKUP(F288,'8-5.2025하노임'!$A$6:$G$47,6,0)</f>
        <v>386848.44396</v>
      </c>
      <c r="L288" s="921">
        <f>INT(G288*H288*I288*J288*K288)</f>
        <v>30174</v>
      </c>
      <c r="M288" s="922">
        <f>SUM(L288)</f>
        <v>30174</v>
      </c>
      <c r="N288" s="406" t="s">
        <v>919</v>
      </c>
      <c r="O288" s="22"/>
      <c r="P288" s="22"/>
      <c r="Q288" s="22"/>
      <c r="R288" s="22"/>
    </row>
    <row r="289" spans="1:18" s="10" customFormat="1" ht="24.95" customHeight="1">
      <c r="A289" s="317"/>
      <c r="B289" s="416"/>
      <c r="C289" s="416"/>
      <c r="D289" s="416"/>
      <c r="E289" s="417"/>
      <c r="F289" s="417"/>
      <c r="G289" s="952"/>
      <c r="H289" s="952"/>
      <c r="I289" s="952"/>
      <c r="J289" s="952"/>
      <c r="K289" s="398"/>
      <c r="L289" s="959"/>
      <c r="M289" s="959"/>
      <c r="N289" s="581"/>
    </row>
    <row r="290" spans="1:18" s="10" customFormat="1" ht="24.95" customHeight="1">
      <c r="A290" s="951" t="s">
        <v>2995</v>
      </c>
      <c r="B290" s="396" t="s">
        <v>480</v>
      </c>
      <c r="C290" s="396" t="s">
        <v>625</v>
      </c>
      <c r="D290" s="396" t="s">
        <v>624</v>
      </c>
      <c r="E290" s="400" t="s">
        <v>272</v>
      </c>
      <c r="F290" s="400" t="s">
        <v>14</v>
      </c>
      <c r="G290" s="399">
        <v>2.3E-2</v>
      </c>
      <c r="H290" s="920">
        <v>2.6</v>
      </c>
      <c r="I290" s="920">
        <v>1</v>
      </c>
      <c r="J290" s="920">
        <v>1</v>
      </c>
      <c r="K290" s="398">
        <f>VLOOKUP(F290,'8-5.2025하노임'!$A$6:$G$47,6,0)</f>
        <v>386848.44396</v>
      </c>
      <c r="L290" s="921">
        <f>INT(G290*H290*I290*J290*K290)</f>
        <v>23133</v>
      </c>
      <c r="M290" s="922">
        <f>SUM(L290)</f>
        <v>23133</v>
      </c>
      <c r="N290" s="406" t="s">
        <v>918</v>
      </c>
      <c r="O290" s="22"/>
      <c r="P290" s="22"/>
      <c r="Q290" s="22"/>
      <c r="R290" s="22"/>
    </row>
    <row r="291" spans="1:18" s="10" customFormat="1" ht="24.95" customHeight="1">
      <c r="A291" s="317"/>
      <c r="B291" s="416"/>
      <c r="C291" s="416"/>
      <c r="D291" s="416"/>
      <c r="E291" s="417"/>
      <c r="F291" s="417"/>
      <c r="G291" s="952"/>
      <c r="H291" s="952"/>
      <c r="I291" s="952"/>
      <c r="J291" s="952"/>
      <c r="K291" s="398"/>
      <c r="L291" s="959"/>
      <c r="M291" s="959"/>
      <c r="N291" s="581"/>
    </row>
    <row r="292" spans="1:18" s="10" customFormat="1" ht="24.95" customHeight="1">
      <c r="A292" s="951" t="s">
        <v>1094</v>
      </c>
      <c r="B292" s="396" t="s">
        <v>480</v>
      </c>
      <c r="C292" s="396" t="s">
        <v>626</v>
      </c>
      <c r="D292" s="396" t="s">
        <v>627</v>
      </c>
      <c r="E292" s="400" t="s">
        <v>272</v>
      </c>
      <c r="F292" s="400" t="s">
        <v>14</v>
      </c>
      <c r="G292" s="399">
        <v>2.3E-2</v>
      </c>
      <c r="H292" s="920">
        <v>2</v>
      </c>
      <c r="I292" s="920">
        <v>1</v>
      </c>
      <c r="J292" s="920">
        <v>1</v>
      </c>
      <c r="K292" s="398">
        <f>VLOOKUP(F292,'8-5.2025하노임'!$A$6:$G$47,6,0)</f>
        <v>386848.44396</v>
      </c>
      <c r="L292" s="921">
        <f>INT(G292*H292*I292*J292*K292)</f>
        <v>17795</v>
      </c>
      <c r="M292" s="922">
        <f>SUM(L292)</f>
        <v>17795</v>
      </c>
      <c r="N292" s="406" t="s">
        <v>918</v>
      </c>
      <c r="O292" s="22"/>
      <c r="P292" s="22"/>
      <c r="Q292" s="22"/>
      <c r="R292" s="22"/>
    </row>
    <row r="293" spans="1:18" s="10" customFormat="1" ht="24.95" customHeight="1">
      <c r="A293" s="951"/>
      <c r="B293" s="396"/>
      <c r="C293" s="396"/>
      <c r="D293" s="396"/>
      <c r="E293" s="400"/>
      <c r="F293" s="400"/>
      <c r="G293" s="399"/>
      <c r="H293" s="920"/>
      <c r="I293" s="920"/>
      <c r="J293" s="920"/>
      <c r="K293" s="398"/>
      <c r="L293" s="921"/>
      <c r="M293" s="922"/>
      <c r="N293" s="406"/>
      <c r="O293" s="22"/>
      <c r="P293" s="22"/>
      <c r="Q293" s="22"/>
      <c r="R293" s="22"/>
    </row>
    <row r="294" spans="1:18" s="10" customFormat="1" ht="24.95" customHeight="1">
      <c r="A294" s="951" t="s">
        <v>3331</v>
      </c>
      <c r="B294" s="396" t="s">
        <v>480</v>
      </c>
      <c r="C294" s="396" t="s">
        <v>3332</v>
      </c>
      <c r="D294" s="396" t="s">
        <v>3329</v>
      </c>
      <c r="E294" s="400" t="s">
        <v>272</v>
      </c>
      <c r="F294" s="400" t="s">
        <v>14</v>
      </c>
      <c r="G294" s="399">
        <v>2.3E-2</v>
      </c>
      <c r="H294" s="920">
        <v>2</v>
      </c>
      <c r="I294" s="920">
        <v>1.8</v>
      </c>
      <c r="J294" s="920">
        <v>1</v>
      </c>
      <c r="K294" s="398">
        <f>VLOOKUP(F294,'8-5.2025하노임'!$A$6:$G$47,6,0)</f>
        <v>386848.44396</v>
      </c>
      <c r="L294" s="921">
        <f>INT(G294*H294*I294*J294*K294)</f>
        <v>32031</v>
      </c>
      <c r="M294" s="922">
        <f>SUM(L294)</f>
        <v>32031</v>
      </c>
      <c r="N294" s="406" t="s">
        <v>918</v>
      </c>
      <c r="O294" s="22"/>
      <c r="P294" s="22"/>
      <c r="Q294" s="22"/>
      <c r="R294" s="22"/>
    </row>
    <row r="295" spans="1:18" s="10" customFormat="1" ht="24.95" customHeight="1">
      <c r="A295" s="317"/>
      <c r="B295" s="416"/>
      <c r="C295" s="416"/>
      <c r="D295" s="416"/>
      <c r="E295" s="417"/>
      <c r="F295" s="417"/>
      <c r="G295" s="952"/>
      <c r="H295" s="952"/>
      <c r="I295" s="952"/>
      <c r="J295" s="952"/>
      <c r="K295" s="398"/>
      <c r="L295" s="959"/>
      <c r="M295" s="959"/>
      <c r="N295" s="581"/>
    </row>
    <row r="296" spans="1:18" s="10" customFormat="1" ht="24.95" customHeight="1">
      <c r="A296" s="951" t="s">
        <v>1095</v>
      </c>
      <c r="B296" s="396" t="s">
        <v>480</v>
      </c>
      <c r="C296" s="396" t="s">
        <v>628</v>
      </c>
      <c r="D296" s="396" t="s">
        <v>629</v>
      </c>
      <c r="E296" s="400" t="s">
        <v>272</v>
      </c>
      <c r="F296" s="400" t="s">
        <v>14</v>
      </c>
      <c r="G296" s="399">
        <v>2.3E-2</v>
      </c>
      <c r="H296" s="920">
        <v>1.4</v>
      </c>
      <c r="I296" s="920">
        <v>1</v>
      </c>
      <c r="J296" s="920">
        <v>1</v>
      </c>
      <c r="K296" s="398">
        <f>VLOOKUP(F296,'8-5.2025하노임'!$A$6:$G$47,6,0)</f>
        <v>386848.44396</v>
      </c>
      <c r="L296" s="921">
        <f>INT(G296*H296*I296*J296*K296)</f>
        <v>12456</v>
      </c>
      <c r="M296" s="960">
        <f>SUM(L296)</f>
        <v>12456</v>
      </c>
      <c r="N296" s="406" t="s">
        <v>918</v>
      </c>
    </row>
    <row r="297" spans="1:18" s="10" customFormat="1" ht="24.95" customHeight="1">
      <c r="A297" s="317"/>
      <c r="B297" s="416"/>
      <c r="C297" s="416"/>
      <c r="D297" s="416"/>
      <c r="E297" s="417"/>
      <c r="F297" s="417"/>
      <c r="G297" s="952"/>
      <c r="H297" s="952"/>
      <c r="I297" s="952"/>
      <c r="J297" s="952"/>
      <c r="K297" s="398"/>
      <c r="L297" s="959"/>
      <c r="M297" s="959"/>
      <c r="N297" s="581"/>
      <c r="Q297" s="11"/>
    </row>
    <row r="298" spans="1:18" s="22" customFormat="1" ht="24.95" customHeight="1">
      <c r="A298" s="951" t="s">
        <v>1096</v>
      </c>
      <c r="B298" s="396" t="s">
        <v>377</v>
      </c>
      <c r="C298" s="396" t="s">
        <v>1375</v>
      </c>
      <c r="D298" s="396" t="s">
        <v>282</v>
      </c>
      <c r="E298" s="400" t="s">
        <v>272</v>
      </c>
      <c r="F298" s="400" t="s">
        <v>15</v>
      </c>
      <c r="G298" s="399">
        <v>1.2E-2</v>
      </c>
      <c r="H298" s="920">
        <v>1.5</v>
      </c>
      <c r="I298" s="920">
        <v>1</v>
      </c>
      <c r="J298" s="920">
        <v>1</v>
      </c>
      <c r="K298" s="398">
        <f>VLOOKUP(F298,'8-5.2025하노임'!$A$6:$G$47,6,0)</f>
        <v>248856.63428999999</v>
      </c>
      <c r="L298" s="921">
        <f>INT(G298*H298*I298*J298*K298)</f>
        <v>4479</v>
      </c>
      <c r="M298" s="922">
        <f>SUM(L298)</f>
        <v>4479</v>
      </c>
      <c r="N298" s="406" t="s">
        <v>920</v>
      </c>
    </row>
    <row r="299" spans="1:18" s="22" customFormat="1" ht="24.95" customHeight="1">
      <c r="A299" s="951"/>
      <c r="B299" s="396"/>
      <c r="C299" s="396"/>
      <c r="D299" s="396"/>
      <c r="E299" s="400"/>
      <c r="F299" s="400"/>
      <c r="G299" s="399"/>
      <c r="H299" s="920"/>
      <c r="I299" s="920"/>
      <c r="J299" s="920"/>
      <c r="K299" s="398"/>
      <c r="L299" s="921"/>
      <c r="M299" s="922"/>
      <c r="N299" s="406"/>
    </row>
    <row r="300" spans="1:18" s="1534" customFormat="1" ht="24.95" customHeight="1">
      <c r="A300" s="1525" t="s">
        <v>2595</v>
      </c>
      <c r="B300" s="1526" t="s">
        <v>377</v>
      </c>
      <c r="C300" s="1526"/>
      <c r="D300" s="1526" t="s">
        <v>282</v>
      </c>
      <c r="E300" s="1527" t="s">
        <v>272</v>
      </c>
      <c r="F300" s="1527" t="s">
        <v>15</v>
      </c>
      <c r="G300" s="1528">
        <v>1.2E-2</v>
      </c>
      <c r="H300" s="1529">
        <v>1</v>
      </c>
      <c r="I300" s="1529">
        <v>1</v>
      </c>
      <c r="J300" s="1529">
        <v>1</v>
      </c>
      <c r="K300" s="1530">
        <f>VLOOKUP(F300,'8-5.2025하노임'!$A$6:$G$47,6,0)</f>
        <v>248856.63428999999</v>
      </c>
      <c r="L300" s="1531">
        <f>INT(G300*H300*I300*J300*K300)</f>
        <v>2986</v>
      </c>
      <c r="M300" s="1532">
        <f>SUM(L300)</f>
        <v>2986</v>
      </c>
      <c r="N300" s="1533" t="s">
        <v>920</v>
      </c>
    </row>
    <row r="301" spans="1:18" s="22" customFormat="1" ht="24.95" customHeight="1">
      <c r="A301" s="317"/>
      <c r="B301" s="416"/>
      <c r="C301" s="416"/>
      <c r="D301" s="416"/>
      <c r="E301" s="417"/>
      <c r="F301" s="417"/>
      <c r="G301" s="588"/>
      <c r="H301" s="588"/>
      <c r="I301" s="588"/>
      <c r="J301" s="588"/>
      <c r="K301" s="398"/>
      <c r="L301" s="953"/>
      <c r="M301" s="953"/>
      <c r="N301" s="406"/>
    </row>
    <row r="302" spans="1:18" s="22" customFormat="1" ht="24.95" customHeight="1">
      <c r="A302" s="951" t="s">
        <v>1097</v>
      </c>
      <c r="B302" s="396" t="s">
        <v>378</v>
      </c>
      <c r="C302" s="396" t="s">
        <v>379</v>
      </c>
      <c r="D302" s="396"/>
      <c r="E302" s="400" t="s">
        <v>271</v>
      </c>
      <c r="F302" s="400" t="s">
        <v>15</v>
      </c>
      <c r="G302" s="399">
        <v>0.03</v>
      </c>
      <c r="H302" s="920">
        <v>1</v>
      </c>
      <c r="I302" s="920">
        <v>1</v>
      </c>
      <c r="J302" s="920">
        <v>1</v>
      </c>
      <c r="K302" s="398">
        <f>VLOOKUP(F302,'8-5.2025하노임'!$A$6:$G$47,6,0)</f>
        <v>248856.63428999999</v>
      </c>
      <c r="L302" s="921">
        <f>INT(G302*H302*I302*J302*K302)</f>
        <v>7465</v>
      </c>
      <c r="M302" s="922">
        <f>SUM(L302)</f>
        <v>7465</v>
      </c>
      <c r="N302" s="406" t="s">
        <v>807</v>
      </c>
    </row>
    <row r="303" spans="1:18" s="10" customFormat="1" ht="24.95" customHeight="1">
      <c r="A303" s="267"/>
      <c r="B303" s="396"/>
      <c r="C303" s="396"/>
      <c r="D303" s="396"/>
      <c r="E303" s="400"/>
      <c r="F303" s="400"/>
      <c r="G303" s="399"/>
      <c r="H303" s="399"/>
      <c r="I303" s="399"/>
      <c r="J303" s="399"/>
      <c r="K303" s="398"/>
      <c r="L303" s="399"/>
      <c r="M303" s="399"/>
      <c r="N303" s="406"/>
    </row>
    <row r="304" spans="1:18" s="10" customFormat="1" ht="24.95" hidden="1" customHeight="1">
      <c r="A304" s="948"/>
      <c r="B304" s="416" t="s">
        <v>378</v>
      </c>
      <c r="C304" s="416" t="s">
        <v>619</v>
      </c>
      <c r="D304" s="416"/>
      <c r="E304" s="417" t="s">
        <v>271</v>
      </c>
      <c r="F304" s="417" t="s">
        <v>15</v>
      </c>
      <c r="G304" s="588">
        <v>0.1</v>
      </c>
      <c r="H304" s="949">
        <v>1</v>
      </c>
      <c r="I304" s="949">
        <v>1</v>
      </c>
      <c r="J304" s="949">
        <v>1</v>
      </c>
      <c r="K304" s="398">
        <f>VLOOKUP(F304,'8-5.2025하노임'!$A$6:$G$47,6,0)</f>
        <v>248856.63428999999</v>
      </c>
      <c r="L304" s="950">
        <f>INT(G304*H304*I304*J304*K304)</f>
        <v>24885</v>
      </c>
      <c r="M304" s="961">
        <f>SUM(L304)</f>
        <v>24885</v>
      </c>
      <c r="N304" s="581" t="s">
        <v>920</v>
      </c>
      <c r="P304" s="22"/>
    </row>
    <row r="305" spans="1:18" s="10" customFormat="1" ht="24.95" hidden="1" customHeight="1">
      <c r="A305" s="317"/>
      <c r="B305" s="416"/>
      <c r="C305" s="416"/>
      <c r="D305" s="416"/>
      <c r="E305" s="417"/>
      <c r="F305" s="417"/>
      <c r="G305" s="588"/>
      <c r="H305" s="588"/>
      <c r="I305" s="588"/>
      <c r="J305" s="588"/>
      <c r="K305" s="398"/>
      <c r="L305" s="588"/>
      <c r="M305" s="588"/>
      <c r="N305" s="581"/>
    </row>
    <row r="306" spans="1:18" s="10" customFormat="1" ht="24.95" customHeight="1">
      <c r="A306" s="948" t="s">
        <v>3312</v>
      </c>
      <c r="B306" s="416" t="s">
        <v>287</v>
      </c>
      <c r="C306" s="416" t="s">
        <v>787</v>
      </c>
      <c r="D306" s="416" t="s">
        <v>283</v>
      </c>
      <c r="E306" s="417" t="s">
        <v>272</v>
      </c>
      <c r="F306" s="417" t="s">
        <v>14</v>
      </c>
      <c r="G306" s="588">
        <v>1.4999999999999999E-2</v>
      </c>
      <c r="H306" s="949">
        <v>1.8</v>
      </c>
      <c r="I306" s="949">
        <v>1</v>
      </c>
      <c r="J306" s="949">
        <v>1</v>
      </c>
      <c r="K306" s="398">
        <f>VLOOKUP(F306,'8-5.2025하노임'!$A$6:$G$47,6,0)</f>
        <v>386848.44396</v>
      </c>
      <c r="L306" s="950">
        <f>INT(G306*H306*I306*J306*K306)</f>
        <v>10444</v>
      </c>
      <c r="M306" s="961">
        <f>SUM(L306)</f>
        <v>10444</v>
      </c>
      <c r="N306" s="581" t="s">
        <v>913</v>
      </c>
    </row>
    <row r="307" spans="1:18" s="22" customFormat="1" ht="24.95" customHeight="1">
      <c r="A307" s="317"/>
      <c r="B307" s="416"/>
      <c r="C307" s="416"/>
      <c r="D307" s="416"/>
      <c r="E307" s="417"/>
      <c r="F307" s="417"/>
      <c r="G307" s="588"/>
      <c r="H307" s="588"/>
      <c r="I307" s="588"/>
      <c r="J307" s="588"/>
      <c r="K307" s="398"/>
      <c r="L307" s="954"/>
      <c r="M307" s="954"/>
      <c r="N307" s="581"/>
      <c r="O307" s="10"/>
      <c r="P307" s="10"/>
      <c r="Q307" s="10"/>
      <c r="R307" s="10"/>
    </row>
    <row r="308" spans="1:18" s="22" customFormat="1" ht="24.95" customHeight="1">
      <c r="A308" s="948" t="s">
        <v>3313</v>
      </c>
      <c r="B308" s="416" t="s">
        <v>292</v>
      </c>
      <c r="C308" s="416" t="s">
        <v>293</v>
      </c>
      <c r="D308" s="416" t="s">
        <v>298</v>
      </c>
      <c r="E308" s="417" t="s">
        <v>272</v>
      </c>
      <c r="F308" s="417" t="s">
        <v>15</v>
      </c>
      <c r="G308" s="588">
        <v>4.3999999999999997E-2</v>
      </c>
      <c r="H308" s="949">
        <v>1.3</v>
      </c>
      <c r="I308" s="949">
        <v>1</v>
      </c>
      <c r="J308" s="949">
        <v>1</v>
      </c>
      <c r="K308" s="398">
        <f>VLOOKUP(F308,'8-5.2025하노임'!$A$6:$G$47,6,0)</f>
        <v>248856.63428999999</v>
      </c>
      <c r="L308" s="950">
        <f>INT(G308*H308*I308*J308*K308)</f>
        <v>14234</v>
      </c>
      <c r="M308" s="961">
        <f>SUM(L308)</f>
        <v>14234</v>
      </c>
      <c r="N308" s="581" t="s">
        <v>914</v>
      </c>
      <c r="O308" s="10"/>
      <c r="P308" s="10"/>
      <c r="Q308" s="10"/>
      <c r="R308" s="10"/>
    </row>
    <row r="309" spans="1:18" s="22" customFormat="1" ht="24.95" customHeight="1">
      <c r="A309" s="948"/>
      <c r="B309" s="416"/>
      <c r="C309" s="416"/>
      <c r="D309" s="416"/>
      <c r="E309" s="417"/>
      <c r="F309" s="417"/>
      <c r="G309" s="588"/>
      <c r="H309" s="949"/>
      <c r="I309" s="949"/>
      <c r="J309" s="949"/>
      <c r="K309" s="398"/>
      <c r="L309" s="950"/>
      <c r="M309" s="961"/>
      <c r="N309" s="581"/>
      <c r="O309" s="10"/>
      <c r="P309" s="10"/>
      <c r="Q309" s="10"/>
      <c r="R309" s="10"/>
    </row>
    <row r="310" spans="1:18" s="1534" customFormat="1" ht="24.95" customHeight="1">
      <c r="A310" s="1525" t="s">
        <v>2595</v>
      </c>
      <c r="B310" s="1526" t="s">
        <v>292</v>
      </c>
      <c r="C310" s="1526"/>
      <c r="D310" s="1526" t="s">
        <v>298</v>
      </c>
      <c r="E310" s="1527" t="s">
        <v>272</v>
      </c>
      <c r="F310" s="1527" t="s">
        <v>15</v>
      </c>
      <c r="G310" s="1528">
        <v>4.3999999999999997E-2</v>
      </c>
      <c r="H310" s="1529">
        <v>1</v>
      </c>
      <c r="I310" s="1529">
        <v>1</v>
      </c>
      <c r="J310" s="1529">
        <v>1</v>
      </c>
      <c r="K310" s="1530">
        <f>VLOOKUP(F310,'8-5.2025하노임'!$A$6:$G$47,6,0)</f>
        <v>248856.63428999999</v>
      </c>
      <c r="L310" s="1531">
        <f>INT(G310*H310*I310*J310*K310)</f>
        <v>10949</v>
      </c>
      <c r="M310" s="1542">
        <f>SUM(L310)</f>
        <v>10949</v>
      </c>
      <c r="N310" s="1533" t="s">
        <v>914</v>
      </c>
    </row>
    <row r="311" spans="1:18" s="22" customFormat="1" ht="24.95" customHeight="1">
      <c r="A311" s="317"/>
      <c r="B311" s="416"/>
      <c r="C311" s="416"/>
      <c r="D311" s="416"/>
      <c r="E311" s="417"/>
      <c r="F311" s="417"/>
      <c r="G311" s="588"/>
      <c r="H311" s="588"/>
      <c r="I311" s="588"/>
      <c r="J311" s="588"/>
      <c r="K311" s="398"/>
      <c r="L311" s="588"/>
      <c r="M311" s="588"/>
      <c r="N311" s="581"/>
    </row>
    <row r="312" spans="1:18" s="22" customFormat="1" ht="24.95" customHeight="1">
      <c r="A312" s="948" t="s">
        <v>3314</v>
      </c>
      <c r="B312" s="416" t="s">
        <v>630</v>
      </c>
      <c r="C312" s="416" t="s">
        <v>631</v>
      </c>
      <c r="D312" s="416" t="s">
        <v>632</v>
      </c>
      <c r="E312" s="417" t="s">
        <v>380</v>
      </c>
      <c r="F312" s="417" t="s">
        <v>14</v>
      </c>
      <c r="G312" s="588">
        <v>0.34</v>
      </c>
      <c r="H312" s="949">
        <v>0.3</v>
      </c>
      <c r="I312" s="949">
        <v>1</v>
      </c>
      <c r="J312" s="949">
        <v>1</v>
      </c>
      <c r="K312" s="398">
        <f>VLOOKUP(F312,'8-5.2025하노임'!$A$6:$G$47,6,0)</f>
        <v>386848.44396</v>
      </c>
      <c r="L312" s="950">
        <f>INT(G312*H312*I312*J312*K312)</f>
        <v>39458</v>
      </c>
      <c r="M312" s="961">
        <f>SUM(L312)</f>
        <v>39458</v>
      </c>
      <c r="N312" s="581" t="s">
        <v>921</v>
      </c>
    </row>
    <row r="313" spans="1:18" s="22" customFormat="1" ht="24.95" customHeight="1">
      <c r="A313" s="317"/>
      <c r="B313" s="416"/>
      <c r="C313" s="416"/>
      <c r="D313" s="416"/>
      <c r="E313" s="417"/>
      <c r="F313" s="417"/>
      <c r="G313" s="588"/>
      <c r="H313" s="588"/>
      <c r="I313" s="588"/>
      <c r="J313" s="588"/>
      <c r="K313" s="398"/>
      <c r="L313" s="953"/>
      <c r="M313" s="953"/>
      <c r="N313" s="581"/>
    </row>
    <row r="314" spans="1:18" s="22" customFormat="1" ht="24.95" customHeight="1">
      <c r="A314" s="948" t="s">
        <v>2996</v>
      </c>
      <c r="B314" s="416" t="s">
        <v>630</v>
      </c>
      <c r="C314" s="416" t="s">
        <v>633</v>
      </c>
      <c r="D314" s="416" t="s">
        <v>632</v>
      </c>
      <c r="E314" s="417" t="s">
        <v>380</v>
      </c>
      <c r="F314" s="417" t="s">
        <v>14</v>
      </c>
      <c r="G314" s="588">
        <v>0.43</v>
      </c>
      <c r="H314" s="949">
        <v>0.3</v>
      </c>
      <c r="I314" s="949">
        <v>1</v>
      </c>
      <c r="J314" s="949">
        <v>1</v>
      </c>
      <c r="K314" s="398">
        <f>VLOOKUP(F314,'8-5.2025하노임'!$A$6:$G$47,6,0)</f>
        <v>386848.44396</v>
      </c>
      <c r="L314" s="950">
        <f>INT(G314*H314*I314*J314*K314)</f>
        <v>49903</v>
      </c>
      <c r="M314" s="961">
        <f>SUM(L314)</f>
        <v>49903</v>
      </c>
      <c r="N314" s="581" t="s">
        <v>921</v>
      </c>
    </row>
    <row r="315" spans="1:18" s="22" customFormat="1" ht="24.95" customHeight="1">
      <c r="A315" s="317"/>
      <c r="B315" s="416"/>
      <c r="C315" s="416"/>
      <c r="D315" s="416"/>
      <c r="E315" s="417"/>
      <c r="F315" s="417"/>
      <c r="G315" s="588"/>
      <c r="H315" s="588"/>
      <c r="I315" s="588"/>
      <c r="J315" s="588"/>
      <c r="K315" s="398"/>
      <c r="L315" s="588"/>
      <c r="M315" s="588"/>
      <c r="N315" s="581"/>
    </row>
    <row r="316" spans="1:18" s="22" customFormat="1" ht="24.95" customHeight="1">
      <c r="A316" s="948" t="s">
        <v>1102</v>
      </c>
      <c r="B316" s="416" t="s">
        <v>630</v>
      </c>
      <c r="C316" s="416" t="s">
        <v>634</v>
      </c>
      <c r="D316" s="416" t="s">
        <v>632</v>
      </c>
      <c r="E316" s="417" t="s">
        <v>380</v>
      </c>
      <c r="F316" s="417" t="s">
        <v>14</v>
      </c>
      <c r="G316" s="588">
        <v>0.52</v>
      </c>
      <c r="H316" s="949">
        <v>0.3</v>
      </c>
      <c r="I316" s="949">
        <v>1</v>
      </c>
      <c r="J316" s="949">
        <v>1</v>
      </c>
      <c r="K316" s="398">
        <f>VLOOKUP(F316,'8-5.2025하노임'!$A$6:$G$47,6,0)</f>
        <v>386848.44396</v>
      </c>
      <c r="L316" s="950">
        <f>INT(G316*H316*I316*J316*K316)</f>
        <v>60348</v>
      </c>
      <c r="M316" s="961">
        <f>SUM(L316)</f>
        <v>60348</v>
      </c>
      <c r="N316" s="581" t="s">
        <v>921</v>
      </c>
    </row>
    <row r="317" spans="1:18" s="22" customFormat="1" ht="24.95" customHeight="1">
      <c r="A317" s="317"/>
      <c r="B317" s="416"/>
      <c r="C317" s="416"/>
      <c r="D317" s="416"/>
      <c r="E317" s="417"/>
      <c r="F317" s="417"/>
      <c r="G317" s="588"/>
      <c r="H317" s="588"/>
      <c r="I317" s="588"/>
      <c r="J317" s="588"/>
      <c r="K317" s="398"/>
      <c r="L317" s="588"/>
      <c r="M317" s="588"/>
      <c r="N317" s="581"/>
      <c r="O317" s="10"/>
      <c r="P317" s="10"/>
      <c r="Q317" s="10"/>
      <c r="R317" s="10"/>
    </row>
    <row r="318" spans="1:18" s="22" customFormat="1" ht="24.95" customHeight="1">
      <c r="A318" s="948" t="s">
        <v>1103</v>
      </c>
      <c r="B318" s="416" t="s">
        <v>630</v>
      </c>
      <c r="C318" s="416" t="s">
        <v>635</v>
      </c>
      <c r="D318" s="416" t="s">
        <v>632</v>
      </c>
      <c r="E318" s="417" t="s">
        <v>380</v>
      </c>
      <c r="F318" s="417" t="s">
        <v>14</v>
      </c>
      <c r="G318" s="588">
        <v>0.68</v>
      </c>
      <c r="H318" s="949">
        <v>0.3</v>
      </c>
      <c r="I318" s="949">
        <v>1</v>
      </c>
      <c r="J318" s="949">
        <v>1</v>
      </c>
      <c r="K318" s="398">
        <f>VLOOKUP(F318,'8-5.2025하노임'!$A$6:$G$47,6,0)</f>
        <v>386848.44396</v>
      </c>
      <c r="L318" s="950">
        <f>INT(G318*H318*I318*J318*K318)</f>
        <v>78917</v>
      </c>
      <c r="M318" s="961">
        <f>SUM(L318)</f>
        <v>78917</v>
      </c>
      <c r="N318" s="581" t="s">
        <v>921</v>
      </c>
      <c r="O318" s="10"/>
      <c r="P318" s="10"/>
      <c r="Q318" s="10"/>
      <c r="R318" s="10"/>
    </row>
    <row r="319" spans="1:18" s="22" customFormat="1" ht="24.95" customHeight="1">
      <c r="A319" s="317"/>
      <c r="B319" s="416"/>
      <c r="C319" s="416"/>
      <c r="D319" s="416"/>
      <c r="E319" s="417"/>
      <c r="F319" s="417"/>
      <c r="G319" s="588"/>
      <c r="H319" s="949"/>
      <c r="I319" s="949"/>
      <c r="J319" s="949"/>
      <c r="K319" s="398"/>
      <c r="L319" s="950"/>
      <c r="M319" s="961"/>
      <c r="N319" s="581"/>
      <c r="O319" s="10"/>
      <c r="P319" s="10"/>
      <c r="Q319" s="10"/>
      <c r="R319" s="10"/>
    </row>
    <row r="320" spans="1:18" s="22" customFormat="1" ht="24.95" customHeight="1">
      <c r="A320" s="948" t="s">
        <v>1104</v>
      </c>
      <c r="B320" s="416" t="s">
        <v>285</v>
      </c>
      <c r="C320" s="416" t="s">
        <v>1804</v>
      </c>
      <c r="D320" s="416" t="s">
        <v>283</v>
      </c>
      <c r="E320" s="417" t="s">
        <v>272</v>
      </c>
      <c r="F320" s="417" t="s">
        <v>14</v>
      </c>
      <c r="G320" s="588">
        <v>1.4E-2</v>
      </c>
      <c r="H320" s="949">
        <v>1.2</v>
      </c>
      <c r="I320" s="949">
        <v>1.8</v>
      </c>
      <c r="J320" s="949">
        <v>1</v>
      </c>
      <c r="K320" s="398">
        <f>VLOOKUP(F320,'8-5.2025하노임'!$A$6:$G$47,6,0)</f>
        <v>386848.44396</v>
      </c>
      <c r="L320" s="950">
        <f>INT(G320*H320*I320*J320*K320)</f>
        <v>11698</v>
      </c>
      <c r="M320" s="922">
        <f>SUM(L320)</f>
        <v>11698</v>
      </c>
      <c r="N320" s="581" t="s">
        <v>922</v>
      </c>
      <c r="P320" s="10"/>
    </row>
    <row r="321" spans="1:18" s="22" customFormat="1" ht="24.95" customHeight="1">
      <c r="A321" s="317"/>
      <c r="B321" s="416"/>
      <c r="C321" s="416"/>
      <c r="D321" s="416"/>
      <c r="E321" s="417"/>
      <c r="F321" s="417"/>
      <c r="G321" s="588"/>
      <c r="H321" s="588"/>
      <c r="I321" s="588"/>
      <c r="J321" s="588"/>
      <c r="K321" s="398"/>
      <c r="L321" s="953"/>
      <c r="M321" s="953"/>
      <c r="N321" s="581"/>
    </row>
    <row r="322" spans="1:18" s="22" customFormat="1" ht="24.95" customHeight="1">
      <c r="A322" s="545" t="s">
        <v>2975</v>
      </c>
      <c r="B322" s="663"/>
      <c r="C322" s="663"/>
      <c r="D322" s="663"/>
      <c r="E322" s="664"/>
      <c r="F322" s="664"/>
      <c r="G322" s="665"/>
      <c r="H322" s="663"/>
      <c r="I322" s="663"/>
      <c r="J322" s="663"/>
      <c r="K322" s="398"/>
      <c r="L322" s="663"/>
      <c r="M322" s="663"/>
      <c r="N322" s="941"/>
    </row>
    <row r="323" spans="1:18" s="22" customFormat="1" ht="24.95" hidden="1" customHeight="1">
      <c r="A323" s="267"/>
      <c r="B323" s="404" t="s">
        <v>1286</v>
      </c>
      <c r="C323" s="404" t="s">
        <v>1286</v>
      </c>
      <c r="D323" s="404"/>
      <c r="E323" s="400" t="s">
        <v>2393</v>
      </c>
      <c r="F323" s="400"/>
      <c r="G323" s="919"/>
      <c r="H323" s="919"/>
      <c r="I323" s="919"/>
      <c r="J323" s="919"/>
      <c r="K323" s="398"/>
      <c r="L323" s="946" t="s">
        <v>1</v>
      </c>
      <c r="M323" s="922">
        <f>SUM(L324:L327)</f>
        <v>252964</v>
      </c>
      <c r="N323" s="406" t="s">
        <v>908</v>
      </c>
    </row>
    <row r="324" spans="1:18" s="10" customFormat="1" ht="24.95" hidden="1" customHeight="1">
      <c r="A324" s="267"/>
      <c r="B324" s="396" t="s">
        <v>288</v>
      </c>
      <c r="C324" s="396" t="s">
        <v>42</v>
      </c>
      <c r="D324" s="396"/>
      <c r="E324" s="947" t="s">
        <v>45</v>
      </c>
      <c r="F324" s="400" t="s">
        <v>266</v>
      </c>
      <c r="G324" s="919">
        <v>0.5</v>
      </c>
      <c r="H324" s="920">
        <v>1</v>
      </c>
      <c r="I324" s="920">
        <v>1</v>
      </c>
      <c r="J324" s="920">
        <v>1</v>
      </c>
      <c r="K324" s="398">
        <f>VLOOKUP(F324,'8-5.2025하노임'!$A$6:$G$47,6,0)</f>
        <v>276216.14889000001</v>
      </c>
      <c r="L324" s="921">
        <f>INT(G324*H324*I324*J324*K324)</f>
        <v>138108</v>
      </c>
      <c r="M324" s="922"/>
      <c r="N324" s="406" t="s">
        <v>908</v>
      </c>
      <c r="Q324" s="11"/>
    </row>
    <row r="325" spans="1:18" s="10" customFormat="1" ht="24.95" hidden="1" customHeight="1">
      <c r="A325" s="267"/>
      <c r="B325" s="396" t="s">
        <v>2</v>
      </c>
      <c r="C325" s="396"/>
      <c r="D325" s="396"/>
      <c r="E325" s="400"/>
      <c r="F325" s="400" t="s">
        <v>4</v>
      </c>
      <c r="G325" s="919">
        <v>0.5</v>
      </c>
      <c r="H325" s="920">
        <v>1</v>
      </c>
      <c r="I325" s="920">
        <v>1</v>
      </c>
      <c r="J325" s="920">
        <v>1</v>
      </c>
      <c r="K325" s="398">
        <f>VLOOKUP(F325,'8-5.2025하노임'!$A$6:$G$47,6,0)</f>
        <v>150079.83638999998</v>
      </c>
      <c r="L325" s="921">
        <f>INT(G325*H325*I325*J325*K325)</f>
        <v>75039</v>
      </c>
      <c r="M325" s="921"/>
      <c r="N325" s="406"/>
    </row>
    <row r="326" spans="1:18" s="10" customFormat="1" ht="24.95" hidden="1" customHeight="1">
      <c r="A326" s="267"/>
      <c r="B326" s="396"/>
      <c r="C326" s="396"/>
      <c r="D326" s="396"/>
      <c r="E326" s="400"/>
      <c r="F326" s="400"/>
      <c r="G326" s="919"/>
      <c r="H326" s="919"/>
      <c r="I326" s="919"/>
      <c r="J326" s="919"/>
      <c r="K326" s="398"/>
      <c r="L326" s="923"/>
      <c r="M326" s="923"/>
      <c r="N326" s="406"/>
    </row>
    <row r="327" spans="1:18" s="10" customFormat="1" ht="24.95" hidden="1" customHeight="1">
      <c r="A327" s="267"/>
      <c r="B327" s="396" t="s">
        <v>421</v>
      </c>
      <c r="C327" s="396" t="s">
        <v>1288</v>
      </c>
      <c r="D327" s="396"/>
      <c r="E327" s="947" t="s">
        <v>620</v>
      </c>
      <c r="F327" s="400" t="s">
        <v>15</v>
      </c>
      <c r="G327" s="919">
        <f>0.04*4</f>
        <v>0.16</v>
      </c>
      <c r="H327" s="920">
        <v>1</v>
      </c>
      <c r="I327" s="920">
        <v>1</v>
      </c>
      <c r="J327" s="920">
        <v>1</v>
      </c>
      <c r="K327" s="398">
        <f>VLOOKUP(F327,'8-5.2025하노임'!$A$6:$G$47,6,0)</f>
        <v>248856.63428999999</v>
      </c>
      <c r="L327" s="921">
        <f>INT(G327*H327*I327*J327*K327)</f>
        <v>39817</v>
      </c>
      <c r="M327" s="922"/>
      <c r="N327" s="406" t="s">
        <v>909</v>
      </c>
      <c r="Q327" s="11"/>
    </row>
    <row r="328" spans="1:18" s="22" customFormat="1" ht="24.95" hidden="1" customHeight="1">
      <c r="A328" s="267"/>
      <c r="B328" s="396"/>
      <c r="C328" s="396"/>
      <c r="D328" s="396"/>
      <c r="E328" s="400"/>
      <c r="F328" s="400"/>
      <c r="G328" s="919"/>
      <c r="H328" s="919"/>
      <c r="I328" s="919"/>
      <c r="J328" s="919"/>
      <c r="K328" s="398"/>
      <c r="L328" s="922"/>
      <c r="M328" s="922"/>
      <c r="N328" s="406"/>
      <c r="O328" s="10"/>
      <c r="P328" s="10"/>
      <c r="Q328" s="10"/>
      <c r="R328" s="10"/>
    </row>
    <row r="329" spans="1:18" s="22" customFormat="1" ht="24.95" hidden="1" customHeight="1">
      <c r="A329" s="267"/>
      <c r="B329" s="404" t="s">
        <v>1030</v>
      </c>
      <c r="C329" s="404" t="s">
        <v>868</v>
      </c>
      <c r="D329" s="404"/>
      <c r="E329" s="947" t="s">
        <v>45</v>
      </c>
      <c r="F329" s="400" t="s">
        <v>12</v>
      </c>
      <c r="G329" s="919">
        <v>0.09</v>
      </c>
      <c r="H329" s="920">
        <v>1</v>
      </c>
      <c r="I329" s="920">
        <v>1</v>
      </c>
      <c r="J329" s="920">
        <v>1</v>
      </c>
      <c r="K329" s="398">
        <f>VLOOKUP(F329,'8-5.2025하노임'!$A$6:$G$47,6,0)</f>
        <v>391351.62</v>
      </c>
      <c r="L329" s="921">
        <f>INT(G329*H329*I329*J329*K329)</f>
        <v>35221</v>
      </c>
      <c r="M329" s="922">
        <f>SUM(L329:L330)</f>
        <v>66023</v>
      </c>
      <c r="N329" s="406" t="s">
        <v>923</v>
      </c>
      <c r="O329" s="10"/>
      <c r="P329" s="10"/>
      <c r="Q329" s="11"/>
      <c r="R329" s="10"/>
    </row>
    <row r="330" spans="1:18" s="22" customFormat="1" ht="24.95" hidden="1" customHeight="1">
      <c r="A330" s="267"/>
      <c r="B330" s="396"/>
      <c r="C330" s="396"/>
      <c r="D330" s="396"/>
      <c r="E330" s="947"/>
      <c r="F330" s="400" t="s">
        <v>13</v>
      </c>
      <c r="G330" s="919">
        <v>0.09</v>
      </c>
      <c r="H330" s="920">
        <v>1</v>
      </c>
      <c r="I330" s="920">
        <v>1</v>
      </c>
      <c r="J330" s="920">
        <v>1</v>
      </c>
      <c r="K330" s="398">
        <f>VLOOKUP(F330,'8-5.2025하노임'!$A$6:$G$47,6,0)</f>
        <v>342255.41855999996</v>
      </c>
      <c r="L330" s="921">
        <f>INT(G330*H330*I330*J330*K330)</f>
        <v>30802</v>
      </c>
      <c r="M330" s="922"/>
      <c r="N330" s="406"/>
      <c r="P330" s="10"/>
    </row>
    <row r="331" spans="1:18" s="22" customFormat="1" ht="24.95" hidden="1" customHeight="1">
      <c r="A331" s="267"/>
      <c r="B331" s="396"/>
      <c r="C331" s="396"/>
      <c r="D331" s="396"/>
      <c r="E331" s="947"/>
      <c r="F331" s="400"/>
      <c r="G331" s="919"/>
      <c r="H331" s="920"/>
      <c r="I331" s="920"/>
      <c r="J331" s="920"/>
      <c r="K331" s="398"/>
      <c r="L331" s="921"/>
      <c r="M331" s="922"/>
      <c r="N331" s="406"/>
    </row>
    <row r="332" spans="1:18" s="22" customFormat="1" ht="24.95" hidden="1" customHeight="1">
      <c r="A332" s="267"/>
      <c r="B332" s="404" t="s">
        <v>1805</v>
      </c>
      <c r="C332" s="404" t="s">
        <v>616</v>
      </c>
      <c r="D332" s="396"/>
      <c r="E332" s="400" t="s">
        <v>457</v>
      </c>
      <c r="F332" s="400" t="s">
        <v>12</v>
      </c>
      <c r="G332" s="919">
        <v>0.09</v>
      </c>
      <c r="H332" s="920">
        <v>1</v>
      </c>
      <c r="I332" s="920">
        <v>1</v>
      </c>
      <c r="J332" s="920">
        <v>1</v>
      </c>
      <c r="K332" s="398">
        <f>VLOOKUP(F332,'8-5.2025하노임'!$A$6:$G$47,6,0)</f>
        <v>391351.62</v>
      </c>
      <c r="L332" s="921">
        <f>INT(G332*H332*I332*J332*K332)</f>
        <v>35221</v>
      </c>
      <c r="M332" s="922">
        <f>SUM(L332:L333)</f>
        <v>66023</v>
      </c>
      <c r="N332" s="406" t="s">
        <v>923</v>
      </c>
      <c r="O332" s="10"/>
      <c r="P332" s="10"/>
      <c r="Q332" s="10"/>
      <c r="R332" s="10"/>
    </row>
    <row r="333" spans="1:18" s="22" customFormat="1" ht="24.95" hidden="1" customHeight="1">
      <c r="A333" s="267"/>
      <c r="B333" s="396"/>
      <c r="C333" s="396"/>
      <c r="D333" s="396"/>
      <c r="E333" s="400"/>
      <c r="F333" s="400" t="s">
        <v>13</v>
      </c>
      <c r="G333" s="919">
        <v>0.09</v>
      </c>
      <c r="H333" s="920">
        <v>1</v>
      </c>
      <c r="I333" s="920">
        <v>1</v>
      </c>
      <c r="J333" s="920">
        <v>1</v>
      </c>
      <c r="K333" s="398">
        <f>VLOOKUP(F333,'8-5.2025하노임'!$A$6:$G$47,6,0)</f>
        <v>342255.41855999996</v>
      </c>
      <c r="L333" s="921">
        <f>INT(G333*H333*I333*J333*K333)</f>
        <v>30802</v>
      </c>
      <c r="M333" s="922"/>
      <c r="N333" s="406"/>
      <c r="O333" s="10"/>
      <c r="P333" s="10"/>
      <c r="Q333" s="10"/>
      <c r="R333" s="10"/>
    </row>
    <row r="334" spans="1:18" s="22" customFormat="1" ht="24.95" hidden="1" customHeight="1">
      <c r="A334" s="267"/>
      <c r="B334" s="396"/>
      <c r="C334" s="396"/>
      <c r="D334" s="396"/>
      <c r="E334" s="400"/>
      <c r="F334" s="400"/>
      <c r="G334" s="919"/>
      <c r="H334" s="919"/>
      <c r="I334" s="919"/>
      <c r="J334" s="919"/>
      <c r="K334" s="398"/>
      <c r="L334" s="922"/>
      <c r="M334" s="922"/>
      <c r="N334" s="406"/>
      <c r="O334" s="10"/>
      <c r="P334" s="10"/>
      <c r="Q334" s="11"/>
      <c r="R334" s="10"/>
    </row>
    <row r="335" spans="1:18" s="22" customFormat="1" ht="24.95" hidden="1" customHeight="1">
      <c r="A335" s="317"/>
      <c r="B335" s="416" t="s">
        <v>813</v>
      </c>
      <c r="C335" s="416" t="s">
        <v>1209</v>
      </c>
      <c r="D335" s="416"/>
      <c r="E335" s="417" t="s">
        <v>814</v>
      </c>
      <c r="F335" s="417" t="s">
        <v>389</v>
      </c>
      <c r="G335" s="952">
        <v>9.1999999999999998E-3</v>
      </c>
      <c r="H335" s="949">
        <v>0.5</v>
      </c>
      <c r="I335" s="949">
        <v>1</v>
      </c>
      <c r="J335" s="949">
        <v>1</v>
      </c>
      <c r="K335" s="398">
        <f>VLOOKUP(F335,'8-5.2025하노임'!$A$6:$G$47,6,0)</f>
        <v>410351.47791000002</v>
      </c>
      <c r="L335" s="950">
        <f>INT(G335*H335*I335*J335*K335)</f>
        <v>1887</v>
      </c>
      <c r="M335" s="922">
        <f>SUM(L335:L336)</f>
        <v>2340</v>
      </c>
      <c r="N335" s="581" t="s">
        <v>930</v>
      </c>
      <c r="O335" s="10"/>
      <c r="P335" s="10"/>
      <c r="Q335" s="10"/>
      <c r="R335" s="10"/>
    </row>
    <row r="336" spans="1:18" s="22" customFormat="1" ht="24.95" hidden="1" customHeight="1">
      <c r="A336" s="317"/>
      <c r="B336" s="416" t="s">
        <v>2</v>
      </c>
      <c r="C336" s="416"/>
      <c r="D336" s="416"/>
      <c r="E336" s="417"/>
      <c r="F336" s="417" t="s">
        <v>7</v>
      </c>
      <c r="G336" s="952">
        <v>4.5999999999999999E-3</v>
      </c>
      <c r="H336" s="949">
        <v>0.5</v>
      </c>
      <c r="I336" s="949">
        <v>1</v>
      </c>
      <c r="J336" s="949">
        <v>1</v>
      </c>
      <c r="K336" s="398">
        <f>VLOOKUP(F336,'8-5.2025하노임'!$A$6:$G$47,6,0)</f>
        <v>196983.2403</v>
      </c>
      <c r="L336" s="950">
        <f>INT(G336*H336*I336*J336*K336)</f>
        <v>453</v>
      </c>
      <c r="M336" s="922"/>
      <c r="N336" s="581"/>
      <c r="P336" s="939"/>
    </row>
    <row r="337" spans="1:16" s="22" customFormat="1" ht="24.95" hidden="1" customHeight="1">
      <c r="A337" s="317"/>
      <c r="B337" s="416"/>
      <c r="C337" s="416"/>
      <c r="D337" s="416"/>
      <c r="E337" s="417"/>
      <c r="F337" s="417"/>
      <c r="G337" s="588"/>
      <c r="H337" s="588"/>
      <c r="I337" s="588"/>
      <c r="J337" s="588"/>
      <c r="K337" s="398"/>
      <c r="L337" s="953"/>
      <c r="M337" s="922"/>
      <c r="N337" s="581"/>
    </row>
    <row r="338" spans="1:16" s="22" customFormat="1" ht="24.95" hidden="1" customHeight="1">
      <c r="A338" s="317"/>
      <c r="B338" s="416" t="s">
        <v>449</v>
      </c>
      <c r="C338" s="416" t="s">
        <v>815</v>
      </c>
      <c r="D338" s="416"/>
      <c r="E338" s="417" t="s">
        <v>272</v>
      </c>
      <c r="F338" s="417" t="s">
        <v>387</v>
      </c>
      <c r="G338" s="952">
        <v>7.0000000000000001E-3</v>
      </c>
      <c r="H338" s="949">
        <v>1.8</v>
      </c>
      <c r="I338" s="949">
        <v>1</v>
      </c>
      <c r="J338" s="949">
        <v>1</v>
      </c>
      <c r="K338" s="398">
        <f>VLOOKUP(F338,'8-5.2025하노임'!$A$6:$G$47,6,0)</f>
        <v>386848.44396</v>
      </c>
      <c r="L338" s="950">
        <f>INT(G338*H338*I338*J338*K338)</f>
        <v>4874</v>
      </c>
      <c r="M338" s="922">
        <f>SUM(L338:L339)</f>
        <v>8851</v>
      </c>
      <c r="N338" s="581" t="s">
        <v>908</v>
      </c>
    </row>
    <row r="339" spans="1:16" s="22" customFormat="1" ht="24.95" hidden="1" customHeight="1">
      <c r="A339" s="317"/>
      <c r="B339" s="416" t="s">
        <v>2</v>
      </c>
      <c r="C339" s="416"/>
      <c r="D339" s="416"/>
      <c r="E339" s="417"/>
      <c r="F339" s="417" t="s">
        <v>266</v>
      </c>
      <c r="G339" s="952">
        <v>8.0000000000000002E-3</v>
      </c>
      <c r="H339" s="949">
        <v>1.8</v>
      </c>
      <c r="I339" s="949">
        <v>1</v>
      </c>
      <c r="J339" s="949">
        <v>1</v>
      </c>
      <c r="K339" s="398">
        <f>VLOOKUP(F339,'8-5.2025하노임'!$A$6:$G$47,6,0)</f>
        <v>276216.14889000001</v>
      </c>
      <c r="L339" s="950">
        <f>INT(G339*H339*I339*J339*K339)</f>
        <v>3977</v>
      </c>
      <c r="M339" s="922"/>
      <c r="N339" s="581"/>
    </row>
    <row r="340" spans="1:16" s="10" customFormat="1" ht="24.95" hidden="1" customHeight="1">
      <c r="A340" s="317"/>
      <c r="B340" s="416"/>
      <c r="C340" s="416"/>
      <c r="D340" s="416"/>
      <c r="E340" s="417"/>
      <c r="F340" s="417"/>
      <c r="G340" s="588"/>
      <c r="H340" s="588"/>
      <c r="I340" s="588"/>
      <c r="J340" s="588"/>
      <c r="K340" s="398"/>
      <c r="L340" s="953"/>
      <c r="M340" s="922"/>
      <c r="N340" s="581"/>
    </row>
    <row r="341" spans="1:16" s="22" customFormat="1" ht="24.95" hidden="1" customHeight="1">
      <c r="A341" s="317"/>
      <c r="B341" s="416" t="s">
        <v>778</v>
      </c>
      <c r="C341" s="416" t="s">
        <v>1415</v>
      </c>
      <c r="D341" s="416"/>
      <c r="E341" s="417" t="s">
        <v>271</v>
      </c>
      <c r="F341" s="417" t="s">
        <v>386</v>
      </c>
      <c r="G341" s="952">
        <v>0.57999999999999996</v>
      </c>
      <c r="H341" s="949">
        <v>1.2</v>
      </c>
      <c r="I341" s="949">
        <v>1</v>
      </c>
      <c r="J341" s="949">
        <v>1</v>
      </c>
      <c r="K341" s="398">
        <f>VLOOKUP(F341,'8-5.2025하노임'!$A$6:$G$47,6,0)</f>
        <v>248856.63428999999</v>
      </c>
      <c r="L341" s="950">
        <f>INT(G341*H341*I341*J341*K341)</f>
        <v>173204</v>
      </c>
      <c r="M341" s="922">
        <f>SUM(L341:L342)</f>
        <v>277659</v>
      </c>
      <c r="N341" s="581" t="s">
        <v>924</v>
      </c>
    </row>
    <row r="342" spans="1:16" s="22" customFormat="1" ht="24.95" hidden="1" customHeight="1">
      <c r="A342" s="317"/>
      <c r="B342" s="416" t="s">
        <v>2</v>
      </c>
      <c r="C342" s="416"/>
      <c r="D342" s="416"/>
      <c r="E342" s="417"/>
      <c r="F342" s="417" t="s">
        <v>878</v>
      </c>
      <c r="G342" s="952">
        <v>0.57999999999999996</v>
      </c>
      <c r="H342" s="949">
        <v>1.2</v>
      </c>
      <c r="I342" s="949">
        <v>1</v>
      </c>
      <c r="J342" s="949">
        <v>1</v>
      </c>
      <c r="K342" s="398">
        <f>VLOOKUP(F342,'8-5.2025하노임'!$A$6:$G$47,6,0)</f>
        <v>150079.83638999998</v>
      </c>
      <c r="L342" s="950">
        <f>INT(G342*H342*I342*J342*K342)</f>
        <v>104455</v>
      </c>
      <c r="M342" s="922"/>
      <c r="N342" s="581"/>
      <c r="P342" s="939"/>
    </row>
    <row r="343" spans="1:16" s="22" customFormat="1" ht="24.95" hidden="1" customHeight="1">
      <c r="A343" s="317"/>
      <c r="B343" s="416"/>
      <c r="C343" s="416"/>
      <c r="D343" s="416"/>
      <c r="E343" s="417"/>
      <c r="F343" s="417"/>
      <c r="G343" s="588"/>
      <c r="H343" s="588"/>
      <c r="I343" s="588"/>
      <c r="J343" s="588"/>
      <c r="K343" s="398"/>
      <c r="L343" s="953"/>
      <c r="M343" s="953"/>
      <c r="N343" s="581"/>
      <c r="P343" s="939"/>
    </row>
    <row r="344" spans="1:16" s="22" customFormat="1" ht="24.95" hidden="1" customHeight="1">
      <c r="A344" s="267"/>
      <c r="B344" s="396" t="s">
        <v>907</v>
      </c>
      <c r="C344" s="396" t="s">
        <v>289</v>
      </c>
      <c r="D344" s="396"/>
      <c r="E344" s="942" t="s">
        <v>11</v>
      </c>
      <c r="F344" s="400" t="s">
        <v>12</v>
      </c>
      <c r="G344" s="919">
        <v>1.1200000000000001</v>
      </c>
      <c r="H344" s="920">
        <v>1</v>
      </c>
      <c r="I344" s="920">
        <v>1</v>
      </c>
      <c r="J344" s="920">
        <v>1</v>
      </c>
      <c r="K344" s="398">
        <f>VLOOKUP(F344,'8-5.2025하노임'!$A$6:$G$47,6,0)</f>
        <v>391351.62</v>
      </c>
      <c r="L344" s="921">
        <f>INT(G344*H344*I344*J344*K344)</f>
        <v>438313</v>
      </c>
      <c r="M344" s="922">
        <f>SUM(L344:L345)</f>
        <v>712117</v>
      </c>
      <c r="N344" s="406" t="s">
        <v>923</v>
      </c>
      <c r="P344" s="939"/>
    </row>
    <row r="345" spans="1:16" s="22" customFormat="1" ht="24.95" hidden="1" customHeight="1">
      <c r="A345" s="316"/>
      <c r="B345" s="396"/>
      <c r="C345" s="396"/>
      <c r="D345" s="396"/>
      <c r="E345" s="400"/>
      <c r="F345" s="400" t="s">
        <v>13</v>
      </c>
      <c r="G345" s="919">
        <v>0.8</v>
      </c>
      <c r="H345" s="920">
        <v>1</v>
      </c>
      <c r="I345" s="920">
        <v>1</v>
      </c>
      <c r="J345" s="920">
        <v>1</v>
      </c>
      <c r="K345" s="398">
        <f>VLOOKUP(F345,'8-5.2025하노임'!$A$6:$G$47,6,0)</f>
        <v>342255.41855999996</v>
      </c>
      <c r="L345" s="921">
        <f>INT(G345*H345*I345*J345*K345)</f>
        <v>273804</v>
      </c>
      <c r="M345" s="923"/>
      <c r="N345" s="406"/>
    </row>
    <row r="346" spans="1:16" s="22" customFormat="1" ht="24.95" hidden="1" customHeight="1">
      <c r="A346" s="267"/>
      <c r="B346" s="396"/>
      <c r="C346" s="396"/>
      <c r="D346" s="396"/>
      <c r="E346" s="400"/>
      <c r="F346" s="400"/>
      <c r="G346" s="919"/>
      <c r="H346" s="919"/>
      <c r="I346" s="919"/>
      <c r="J346" s="919"/>
      <c r="K346" s="398"/>
      <c r="L346" s="922"/>
      <c r="M346" s="922"/>
      <c r="N346" s="406"/>
      <c r="P346" s="939"/>
    </row>
    <row r="347" spans="1:16" s="22" customFormat="1" ht="24.95" customHeight="1">
      <c r="A347" s="267" t="s">
        <v>3278</v>
      </c>
      <c r="B347" s="404" t="s">
        <v>615</v>
      </c>
      <c r="C347" s="404" t="s">
        <v>616</v>
      </c>
      <c r="D347" s="404"/>
      <c r="E347" s="947" t="s">
        <v>45</v>
      </c>
      <c r="F347" s="400" t="s">
        <v>12</v>
      </c>
      <c r="G347" s="919">
        <v>0.09</v>
      </c>
      <c r="H347" s="920">
        <v>1</v>
      </c>
      <c r="I347" s="920">
        <v>1</v>
      </c>
      <c r="J347" s="920">
        <v>1</v>
      </c>
      <c r="K347" s="398">
        <f>VLOOKUP(F347,'8-5.2025하노임'!$A$6:$G$47,6,0)</f>
        <v>391351.62</v>
      </c>
      <c r="L347" s="921">
        <f>INT(G347*H347*I347*J347*K347)</f>
        <v>35221</v>
      </c>
      <c r="M347" s="922">
        <f>SUM(L347:L348)</f>
        <v>66023</v>
      </c>
      <c r="N347" s="406" t="s">
        <v>923</v>
      </c>
      <c r="P347" s="10"/>
    </row>
    <row r="348" spans="1:16" s="22" customFormat="1" ht="24.95" customHeight="1">
      <c r="A348" s="267"/>
      <c r="B348" s="404"/>
      <c r="C348" s="404"/>
      <c r="D348" s="404"/>
      <c r="E348" s="947"/>
      <c r="F348" s="400" t="s">
        <v>13</v>
      </c>
      <c r="G348" s="919">
        <v>0.09</v>
      </c>
      <c r="H348" s="920">
        <v>1</v>
      </c>
      <c r="I348" s="920">
        <v>1</v>
      </c>
      <c r="J348" s="920">
        <v>1</v>
      </c>
      <c r="K348" s="398">
        <f>VLOOKUP(F348,'8-5.2025하노임'!$A$6:$G$47,6,0)</f>
        <v>342255.41855999996</v>
      </c>
      <c r="L348" s="921">
        <f>INT(G348*H348*I348*J348*K348)</f>
        <v>30802</v>
      </c>
      <c r="M348" s="922"/>
      <c r="N348" s="406"/>
      <c r="P348" s="10"/>
    </row>
    <row r="349" spans="1:16" s="22" customFormat="1" ht="24.95" hidden="1" customHeight="1">
      <c r="A349" s="267"/>
      <c r="B349" s="396"/>
      <c r="C349" s="396"/>
      <c r="D349" s="396"/>
      <c r="E349" s="400"/>
      <c r="F349" s="400"/>
      <c r="G349" s="919"/>
      <c r="H349" s="919"/>
      <c r="I349" s="919"/>
      <c r="J349" s="919"/>
      <c r="K349" s="398"/>
      <c r="L349" s="922"/>
      <c r="M349" s="922"/>
      <c r="N349" s="406"/>
      <c r="P349" s="939"/>
    </row>
    <row r="350" spans="1:16" s="10" customFormat="1" ht="24.95" hidden="1" customHeight="1">
      <c r="A350" s="317"/>
      <c r="B350" s="416" t="s">
        <v>1468</v>
      </c>
      <c r="C350" s="416" t="s">
        <v>1469</v>
      </c>
      <c r="D350" s="416"/>
      <c r="E350" s="417" t="s">
        <v>271</v>
      </c>
      <c r="F350" s="417" t="s">
        <v>210</v>
      </c>
      <c r="G350" s="952">
        <v>0.12</v>
      </c>
      <c r="H350" s="949">
        <v>1</v>
      </c>
      <c r="I350" s="949">
        <v>1</v>
      </c>
      <c r="J350" s="949">
        <v>1</v>
      </c>
      <c r="K350" s="398">
        <f>VLOOKUP(F350,'8-5.2025하노임'!$A$6:$G$47,6,0)</f>
        <v>279455.76812999998</v>
      </c>
      <c r="L350" s="950">
        <f>INT(G350*H350*I350*J350*K350)</f>
        <v>33534</v>
      </c>
      <c r="M350" s="922">
        <f>SUM(L350:L351)</f>
        <v>66679</v>
      </c>
      <c r="N350" s="581" t="s">
        <v>917</v>
      </c>
    </row>
    <row r="351" spans="1:16" s="10" customFormat="1" ht="24.95" hidden="1" customHeight="1">
      <c r="A351" s="317"/>
      <c r="B351" s="416"/>
      <c r="C351" s="416"/>
      <c r="D351" s="416"/>
      <c r="E351" s="417"/>
      <c r="F351" s="417" t="s">
        <v>3</v>
      </c>
      <c r="G351" s="588">
        <v>0.12</v>
      </c>
      <c r="H351" s="949">
        <v>1</v>
      </c>
      <c r="I351" s="949">
        <v>1</v>
      </c>
      <c r="J351" s="949">
        <v>1</v>
      </c>
      <c r="K351" s="398">
        <f>VLOOKUP(F351,'8-5.2025하노임'!$A$6:$G$47,6,0)</f>
        <v>276216.14889000001</v>
      </c>
      <c r="L351" s="950">
        <f>INT(G351*H351*I351*J351*K351)</f>
        <v>33145</v>
      </c>
      <c r="M351" s="953"/>
      <c r="N351" s="581"/>
    </row>
    <row r="352" spans="1:16" s="22" customFormat="1" ht="24.95" customHeight="1">
      <c r="A352" s="317"/>
      <c r="B352" s="416"/>
      <c r="C352" s="416"/>
      <c r="D352" s="416"/>
      <c r="E352" s="417"/>
      <c r="F352" s="417"/>
      <c r="G352" s="588"/>
      <c r="H352" s="588"/>
      <c r="I352" s="588"/>
      <c r="J352" s="588"/>
      <c r="K352" s="398"/>
      <c r="L352" s="588"/>
      <c r="M352" s="922"/>
      <c r="N352" s="581"/>
    </row>
    <row r="353" spans="1:18" s="22" customFormat="1" ht="24.95" customHeight="1">
      <c r="A353" s="267" t="s">
        <v>3298</v>
      </c>
      <c r="B353" s="404" t="s">
        <v>3254</v>
      </c>
      <c r="C353" s="404" t="s">
        <v>3255</v>
      </c>
      <c r="D353" s="404"/>
      <c r="E353" s="947" t="s">
        <v>45</v>
      </c>
      <c r="F353" s="400" t="s">
        <v>12</v>
      </c>
      <c r="G353" s="919">
        <v>0.42</v>
      </c>
      <c r="H353" s="920">
        <v>1</v>
      </c>
      <c r="I353" s="920">
        <v>1</v>
      </c>
      <c r="J353" s="920">
        <v>1</v>
      </c>
      <c r="K353" s="398">
        <f>VLOOKUP(F353,'8-5.2025하노임'!$A$6:$G$47,6,0)</f>
        <v>391351.62</v>
      </c>
      <c r="L353" s="921">
        <f>INT(G353*H353*I353*J353*K353)</f>
        <v>164367</v>
      </c>
      <c r="M353" s="922">
        <f>SUM(L353:L354)</f>
        <v>308114</v>
      </c>
      <c r="N353" s="406" t="s">
        <v>3253</v>
      </c>
    </row>
    <row r="354" spans="1:18" s="22" customFormat="1" ht="24.95" customHeight="1">
      <c r="A354" s="267"/>
      <c r="B354" s="404"/>
      <c r="C354" s="404"/>
      <c r="D354" s="404"/>
      <c r="E354" s="947"/>
      <c r="F354" s="400" t="s">
        <v>13</v>
      </c>
      <c r="G354" s="919">
        <v>0.42</v>
      </c>
      <c r="H354" s="920">
        <v>1</v>
      </c>
      <c r="I354" s="920">
        <v>1</v>
      </c>
      <c r="J354" s="920">
        <v>1</v>
      </c>
      <c r="K354" s="398">
        <f>VLOOKUP(F354,'8-5.2025하노임'!$A$6:$G$47,6,0)</f>
        <v>342255.41855999996</v>
      </c>
      <c r="L354" s="921">
        <f>INT(G354*H354*I354*J354*K354)</f>
        <v>143747</v>
      </c>
      <c r="M354" s="922"/>
      <c r="N354" s="406"/>
    </row>
    <row r="355" spans="1:18" s="22" customFormat="1" ht="24.95" customHeight="1">
      <c r="A355" s="317"/>
      <c r="B355" s="416"/>
      <c r="C355" s="416"/>
      <c r="D355" s="416"/>
      <c r="E355" s="417"/>
      <c r="F355" s="417"/>
      <c r="G355" s="588"/>
      <c r="H355" s="588"/>
      <c r="I355" s="588"/>
      <c r="J355" s="588"/>
      <c r="K355" s="398"/>
      <c r="L355" s="588"/>
      <c r="M355" s="922"/>
      <c r="N355" s="581"/>
    </row>
    <row r="356" spans="1:18" s="10" customFormat="1" ht="24.95" customHeight="1">
      <c r="A356" s="267" t="s">
        <v>3279</v>
      </c>
      <c r="B356" s="404" t="s">
        <v>796</v>
      </c>
      <c r="C356" s="404" t="s">
        <v>796</v>
      </c>
      <c r="D356" s="404"/>
      <c r="E356" s="400" t="s">
        <v>274</v>
      </c>
      <c r="F356" s="400"/>
      <c r="G356" s="919"/>
      <c r="H356" s="919"/>
      <c r="I356" s="919"/>
      <c r="J356" s="919"/>
      <c r="K356" s="398"/>
      <c r="L356" s="946" t="s">
        <v>1</v>
      </c>
      <c r="M356" s="922">
        <f>SUM(L357:L362)</f>
        <v>29537</v>
      </c>
      <c r="N356" s="406" t="s">
        <v>925</v>
      </c>
      <c r="O356" s="22"/>
      <c r="P356" s="22"/>
      <c r="Q356" s="22"/>
      <c r="R356" s="22"/>
    </row>
    <row r="357" spans="1:18" s="10" customFormat="1" ht="24.95" customHeight="1">
      <c r="A357" s="267"/>
      <c r="B357" s="396" t="s">
        <v>636</v>
      </c>
      <c r="C357" s="396"/>
      <c r="D357" s="396"/>
      <c r="E357" s="947" t="s">
        <v>45</v>
      </c>
      <c r="F357" s="400" t="s">
        <v>266</v>
      </c>
      <c r="G357" s="919">
        <v>0.03</v>
      </c>
      <c r="H357" s="920">
        <v>1</v>
      </c>
      <c r="I357" s="920">
        <v>1</v>
      </c>
      <c r="J357" s="920">
        <v>1</v>
      </c>
      <c r="K357" s="398">
        <f>VLOOKUP(F357,'8-5.2025하노임'!$A$6:$G$47,6,0)</f>
        <v>276216.14889000001</v>
      </c>
      <c r="L357" s="921">
        <f>INT(G357*H357*I357*J357*K357)</f>
        <v>8286</v>
      </c>
      <c r="M357" s="922"/>
      <c r="N357" s="406" t="s">
        <v>926</v>
      </c>
      <c r="O357" s="22"/>
      <c r="P357" s="22"/>
      <c r="Q357" s="22"/>
      <c r="R357" s="22"/>
    </row>
    <row r="358" spans="1:18" s="10" customFormat="1" ht="24.95" customHeight="1">
      <c r="A358" s="267"/>
      <c r="B358" s="396" t="s">
        <v>2</v>
      </c>
      <c r="C358" s="396"/>
      <c r="D358" s="396"/>
      <c r="E358" s="400"/>
      <c r="F358" s="400" t="s">
        <v>4</v>
      </c>
      <c r="G358" s="919">
        <v>0.02</v>
      </c>
      <c r="H358" s="920">
        <v>1</v>
      </c>
      <c r="I358" s="920">
        <v>1</v>
      </c>
      <c r="J358" s="920">
        <v>1</v>
      </c>
      <c r="K358" s="398">
        <f>VLOOKUP(F358,'8-5.2025하노임'!$A$6:$G$47,6,0)</f>
        <v>150079.83638999998</v>
      </c>
      <c r="L358" s="921">
        <f>INT(G358*H358*I358*J358*K358)</f>
        <v>3001</v>
      </c>
      <c r="M358" s="921"/>
      <c r="N358" s="406"/>
      <c r="O358" s="22"/>
      <c r="P358" s="22"/>
      <c r="Q358" s="22"/>
      <c r="R358" s="22"/>
    </row>
    <row r="359" spans="1:18" s="10" customFormat="1" ht="24.95" customHeight="1">
      <c r="A359" s="267"/>
      <c r="B359" s="396"/>
      <c r="C359" s="396"/>
      <c r="D359" s="396"/>
      <c r="E359" s="400"/>
      <c r="F359" s="400"/>
      <c r="G359" s="919"/>
      <c r="H359" s="919"/>
      <c r="I359" s="919"/>
      <c r="J359" s="919"/>
      <c r="K359" s="398"/>
      <c r="L359" s="923"/>
      <c r="M359" s="923"/>
      <c r="N359" s="406"/>
      <c r="O359" s="22"/>
      <c r="P359" s="22"/>
      <c r="Q359" s="22"/>
      <c r="R359" s="22"/>
    </row>
    <row r="360" spans="1:18" s="10" customFormat="1" ht="24.95" customHeight="1">
      <c r="A360" s="267"/>
      <c r="B360" s="396" t="s">
        <v>477</v>
      </c>
      <c r="C360" s="396"/>
      <c r="D360" s="396"/>
      <c r="E360" s="400" t="s">
        <v>881</v>
      </c>
      <c r="F360" s="400" t="s">
        <v>208</v>
      </c>
      <c r="G360" s="919">
        <v>0.03</v>
      </c>
      <c r="H360" s="920">
        <v>1</v>
      </c>
      <c r="I360" s="920">
        <v>1</v>
      </c>
      <c r="J360" s="920">
        <v>1</v>
      </c>
      <c r="K360" s="398">
        <f>VLOOKUP(F360,'8-5.2025하노임'!$A$6:$G$47,6,0)</f>
        <v>342255.41855999996</v>
      </c>
      <c r="L360" s="921">
        <f>INT(G360*H360*I360*J360*K360)</f>
        <v>10267</v>
      </c>
      <c r="M360" s="922"/>
      <c r="N360" s="406" t="s">
        <v>925</v>
      </c>
      <c r="O360" s="22"/>
      <c r="P360" s="22"/>
      <c r="Q360" s="22"/>
      <c r="R360" s="22"/>
    </row>
    <row r="361" spans="1:18" s="10" customFormat="1" ht="24.95" customHeight="1">
      <c r="A361" s="267"/>
      <c r="B361" s="396"/>
      <c r="C361" s="396"/>
      <c r="D361" s="396"/>
      <c r="E361" s="400" t="s">
        <v>881</v>
      </c>
      <c r="F361" s="400" t="s">
        <v>17</v>
      </c>
      <c r="G361" s="919">
        <v>0.03</v>
      </c>
      <c r="H361" s="920">
        <v>1</v>
      </c>
      <c r="I361" s="920">
        <v>1</v>
      </c>
      <c r="J361" s="920">
        <v>1</v>
      </c>
      <c r="K361" s="398">
        <f>VLOOKUP(F361,'8-5.2025하노임'!$A$6:$G$47,6,0)</f>
        <v>266103.30713999999</v>
      </c>
      <c r="L361" s="921">
        <f>INT(G361*H361*I361*J361*K361)</f>
        <v>7983</v>
      </c>
      <c r="M361" s="921"/>
      <c r="N361" s="406"/>
      <c r="O361" s="22"/>
      <c r="P361" s="939"/>
      <c r="Q361" s="22"/>
      <c r="R361" s="22"/>
    </row>
    <row r="362" spans="1:18" s="10" customFormat="1" ht="24.95" customHeight="1">
      <c r="A362" s="267"/>
      <c r="B362" s="396"/>
      <c r="C362" s="396"/>
      <c r="D362" s="396"/>
      <c r="E362" s="400"/>
      <c r="F362" s="400"/>
      <c r="G362" s="919"/>
      <c r="H362" s="919"/>
      <c r="I362" s="919"/>
      <c r="J362" s="919"/>
      <c r="K362" s="398"/>
      <c r="L362" s="922"/>
      <c r="M362" s="922"/>
      <c r="N362" s="406"/>
      <c r="O362" s="22"/>
      <c r="P362" s="22"/>
      <c r="Q362" s="22"/>
      <c r="R362" s="22"/>
    </row>
    <row r="363" spans="1:18" s="10" customFormat="1" ht="24.95" customHeight="1">
      <c r="A363" s="267" t="s">
        <v>3280</v>
      </c>
      <c r="B363" s="404" t="s">
        <v>478</v>
      </c>
      <c r="C363" s="404" t="s">
        <v>637</v>
      </c>
      <c r="D363" s="404"/>
      <c r="E363" s="947" t="s">
        <v>45</v>
      </c>
      <c r="F363" s="400" t="s">
        <v>266</v>
      </c>
      <c r="G363" s="919">
        <v>7.0000000000000007E-2</v>
      </c>
      <c r="H363" s="920">
        <v>1</v>
      </c>
      <c r="I363" s="920">
        <v>1</v>
      </c>
      <c r="J363" s="920">
        <v>1</v>
      </c>
      <c r="K363" s="398">
        <f>VLOOKUP(F363,'8-5.2025하노임'!$A$6:$G$47,6,0)</f>
        <v>276216.14889000001</v>
      </c>
      <c r="L363" s="921">
        <f>INT(G363*H363*I363*J363*K363)</f>
        <v>19335</v>
      </c>
      <c r="M363" s="922">
        <f>SUM(L363:L363)</f>
        <v>19335</v>
      </c>
      <c r="N363" s="406" t="s">
        <v>927</v>
      </c>
      <c r="O363" s="22"/>
      <c r="P363" s="939"/>
      <c r="Q363" s="22"/>
      <c r="R363" s="22"/>
    </row>
    <row r="364" spans="1:18" s="10" customFormat="1" ht="24.95" customHeight="1">
      <c r="A364" s="267"/>
      <c r="B364" s="396"/>
      <c r="C364" s="396"/>
      <c r="D364" s="396"/>
      <c r="E364" s="400"/>
      <c r="F364" s="400"/>
      <c r="G364" s="919"/>
      <c r="H364" s="919"/>
      <c r="I364" s="919"/>
      <c r="J364" s="919"/>
      <c r="K364" s="398"/>
      <c r="L364" s="922"/>
      <c r="M364" s="922"/>
      <c r="N364" s="406"/>
      <c r="O364" s="22"/>
      <c r="P364" s="22"/>
      <c r="Q364" s="22"/>
      <c r="R364" s="22"/>
    </row>
    <row r="365" spans="1:18" s="22" customFormat="1" ht="24.95" customHeight="1">
      <c r="A365" s="267" t="s">
        <v>3281</v>
      </c>
      <c r="B365" s="404" t="s">
        <v>638</v>
      </c>
      <c r="C365" s="404" t="s">
        <v>639</v>
      </c>
      <c r="D365" s="404"/>
      <c r="E365" s="947" t="s">
        <v>45</v>
      </c>
      <c r="F365" s="400" t="s">
        <v>15</v>
      </c>
      <c r="G365" s="919">
        <v>0.15</v>
      </c>
      <c r="H365" s="920">
        <v>1</v>
      </c>
      <c r="I365" s="920">
        <v>1</v>
      </c>
      <c r="J365" s="920">
        <v>1</v>
      </c>
      <c r="K365" s="398">
        <f>VLOOKUP(F365,'8-5.2025하노임'!$A$6:$G$47,6,0)</f>
        <v>248856.63428999999</v>
      </c>
      <c r="L365" s="921">
        <f>INT(G365*H365*I365*J365*K365)</f>
        <v>37328</v>
      </c>
      <c r="M365" s="922">
        <f>SUM(L365:L365)</f>
        <v>37328</v>
      </c>
      <c r="N365" s="406" t="s">
        <v>1416</v>
      </c>
      <c r="P365" s="939"/>
    </row>
    <row r="366" spans="1:18" s="22" customFormat="1" ht="24.95" customHeight="1">
      <c r="A366" s="267"/>
      <c r="B366" s="396"/>
      <c r="C366" s="396"/>
      <c r="D366" s="396"/>
      <c r="E366" s="400"/>
      <c r="F366" s="400"/>
      <c r="G366" s="919"/>
      <c r="H366" s="919"/>
      <c r="I366" s="919"/>
      <c r="J366" s="919"/>
      <c r="K366" s="398"/>
      <c r="L366" s="922"/>
      <c r="M366" s="922"/>
      <c r="N366" s="406"/>
    </row>
    <row r="367" spans="1:18" s="22" customFormat="1" ht="24.95" customHeight="1">
      <c r="A367" s="267" t="s">
        <v>3283</v>
      </c>
      <c r="B367" s="404" t="s">
        <v>479</v>
      </c>
      <c r="C367" s="404" t="s">
        <v>640</v>
      </c>
      <c r="D367" s="404"/>
      <c r="E367" s="947" t="s">
        <v>45</v>
      </c>
      <c r="F367" s="400" t="s">
        <v>266</v>
      </c>
      <c r="G367" s="919">
        <v>7.0000000000000007E-2</v>
      </c>
      <c r="H367" s="920">
        <v>1</v>
      </c>
      <c r="I367" s="920">
        <v>1</v>
      </c>
      <c r="J367" s="920">
        <v>1</v>
      </c>
      <c r="K367" s="398">
        <f>VLOOKUP(F367,'8-5.2025하노임'!$A$6:$G$47,6,0)</f>
        <v>276216.14889000001</v>
      </c>
      <c r="L367" s="921">
        <f>INT(G367*H367*I367*J367*K367)</f>
        <v>19335</v>
      </c>
      <c r="M367" s="922">
        <f>SUM(L367:L367)</f>
        <v>19335</v>
      </c>
      <c r="N367" s="406" t="s">
        <v>927</v>
      </c>
    </row>
    <row r="368" spans="1:18" s="22" customFormat="1" ht="24.95" customHeight="1">
      <c r="A368" s="267"/>
      <c r="B368" s="396"/>
      <c r="C368" s="396"/>
      <c r="D368" s="396"/>
      <c r="E368" s="400"/>
      <c r="F368" s="400"/>
      <c r="G368" s="919"/>
      <c r="H368" s="919"/>
      <c r="I368" s="919"/>
      <c r="J368" s="919"/>
      <c r="K368" s="398"/>
      <c r="L368" s="922"/>
      <c r="M368" s="922"/>
      <c r="N368" s="406"/>
    </row>
    <row r="369" spans="1:19" s="22" customFormat="1" ht="24.95" customHeight="1">
      <c r="A369" s="948"/>
      <c r="B369" s="396" t="s">
        <v>285</v>
      </c>
      <c r="C369" s="396" t="s">
        <v>1206</v>
      </c>
      <c r="D369" s="396" t="s">
        <v>280</v>
      </c>
      <c r="E369" s="400" t="s">
        <v>272</v>
      </c>
      <c r="F369" s="400" t="s">
        <v>14</v>
      </c>
      <c r="G369" s="399">
        <v>1.7999999999999999E-2</v>
      </c>
      <c r="H369" s="920">
        <v>2.6</v>
      </c>
      <c r="I369" s="920">
        <v>1.2</v>
      </c>
      <c r="J369" s="920">
        <v>1</v>
      </c>
      <c r="K369" s="398">
        <f>VLOOKUP(F369,'8-5.2025하노임'!$A$6:$G$47,6,0)</f>
        <v>386848.44396</v>
      </c>
      <c r="L369" s="921">
        <f>INT(G369*H369*I369*J369*K369)</f>
        <v>21725</v>
      </c>
      <c r="M369" s="922">
        <f>SUM(L369)</f>
        <v>21725</v>
      </c>
      <c r="N369" s="581" t="s">
        <v>922</v>
      </c>
    </row>
    <row r="370" spans="1:19" s="22" customFormat="1" ht="24.95" customHeight="1">
      <c r="A370" s="317"/>
      <c r="B370" s="416"/>
      <c r="C370" s="416"/>
      <c r="D370" s="416"/>
      <c r="E370" s="417"/>
      <c r="F370" s="417"/>
      <c r="G370" s="952"/>
      <c r="H370" s="952"/>
      <c r="I370" s="952"/>
      <c r="J370" s="952"/>
      <c r="K370" s="398"/>
      <c r="L370" s="959"/>
      <c r="M370" s="959"/>
      <c r="N370" s="581"/>
    </row>
    <row r="371" spans="1:19" s="10" customFormat="1" ht="24.95" customHeight="1">
      <c r="A371" s="948" t="s">
        <v>3284</v>
      </c>
      <c r="B371" s="416" t="s">
        <v>285</v>
      </c>
      <c r="C371" s="396" t="s">
        <v>286</v>
      </c>
      <c r="D371" s="396" t="s">
        <v>2594</v>
      </c>
      <c r="E371" s="417" t="s">
        <v>272</v>
      </c>
      <c r="F371" s="417" t="s">
        <v>14</v>
      </c>
      <c r="G371" s="399">
        <v>1.7999999999999999E-2</v>
      </c>
      <c r="H371" s="949">
        <v>1.2</v>
      </c>
      <c r="I371" s="949">
        <v>1</v>
      </c>
      <c r="J371" s="949">
        <v>1</v>
      </c>
      <c r="K371" s="398">
        <f>VLOOKUP(F371,'8-5.2025하노임'!$A$6:$G$47,6,0)</f>
        <v>386848.44396</v>
      </c>
      <c r="L371" s="950">
        <f>INT(G371*H371*I371*J371*K371)</f>
        <v>8355</v>
      </c>
      <c r="M371" s="961">
        <f>SUM(L371)</f>
        <v>8355</v>
      </c>
      <c r="N371" s="581" t="s">
        <v>922</v>
      </c>
    </row>
    <row r="372" spans="1:19" s="10" customFormat="1" ht="24.95" customHeight="1">
      <c r="A372" s="948"/>
      <c r="B372" s="416"/>
      <c r="C372" s="396"/>
      <c r="D372" s="396"/>
      <c r="E372" s="417"/>
      <c r="F372" s="417"/>
      <c r="G372" s="399"/>
      <c r="H372" s="949"/>
      <c r="I372" s="949"/>
      <c r="J372" s="949"/>
      <c r="K372" s="398"/>
      <c r="L372" s="950"/>
      <c r="M372" s="961"/>
      <c r="N372" s="581"/>
    </row>
    <row r="373" spans="1:19" s="1534" customFormat="1" ht="24.95" customHeight="1">
      <c r="A373" s="1525" t="s">
        <v>2595</v>
      </c>
      <c r="B373" s="1526" t="s">
        <v>285</v>
      </c>
      <c r="C373" s="1526"/>
      <c r="D373" s="1526" t="s">
        <v>3285</v>
      </c>
      <c r="E373" s="1527" t="s">
        <v>272</v>
      </c>
      <c r="F373" s="1527" t="s">
        <v>14</v>
      </c>
      <c r="G373" s="1528">
        <v>1.7999999999999999E-2</v>
      </c>
      <c r="H373" s="1529">
        <v>1</v>
      </c>
      <c r="I373" s="1529">
        <v>1</v>
      </c>
      <c r="J373" s="1529">
        <v>1</v>
      </c>
      <c r="K373" s="1530">
        <f>VLOOKUP(F373,'8-5.2025하노임'!$A$6:$G$47,6,0)</f>
        <v>386848.44396</v>
      </c>
      <c r="L373" s="1531">
        <f>INT(G373*H373*I373*J373*K373)</f>
        <v>6963</v>
      </c>
      <c r="M373" s="1542">
        <f>SUM(L373)</f>
        <v>6963</v>
      </c>
      <c r="N373" s="1533" t="s">
        <v>922</v>
      </c>
    </row>
    <row r="374" spans="1:19" s="22" customFormat="1" ht="24.95" hidden="1" customHeight="1">
      <c r="A374" s="317"/>
      <c r="B374" s="416"/>
      <c r="C374" s="416"/>
      <c r="D374" s="416"/>
      <c r="E374" s="417"/>
      <c r="F374" s="417"/>
      <c r="G374" s="588"/>
      <c r="H374" s="588"/>
      <c r="I374" s="588"/>
      <c r="J374" s="588"/>
      <c r="K374" s="398"/>
      <c r="L374" s="588"/>
      <c r="M374" s="588"/>
      <c r="N374" s="581"/>
      <c r="O374" s="10"/>
      <c r="P374" s="10"/>
      <c r="Q374" s="10"/>
      <c r="R374" s="10"/>
    </row>
    <row r="375" spans="1:19" s="22" customFormat="1" ht="24.95" hidden="1" customHeight="1">
      <c r="A375" s="948"/>
      <c r="B375" s="396" t="s">
        <v>285</v>
      </c>
      <c r="C375" s="396" t="s">
        <v>618</v>
      </c>
      <c r="D375" s="396"/>
      <c r="E375" s="400" t="s">
        <v>272</v>
      </c>
      <c r="F375" s="400" t="s">
        <v>14</v>
      </c>
      <c r="G375" s="399">
        <v>1.4E-2</v>
      </c>
      <c r="H375" s="920">
        <v>1</v>
      </c>
      <c r="I375" s="920">
        <v>1.2</v>
      </c>
      <c r="J375" s="920">
        <v>1</v>
      </c>
      <c r="K375" s="398">
        <f>VLOOKUP(F375,'8-5.2025하노임'!$A$6:$G$47,6,0)</f>
        <v>386848.44396</v>
      </c>
      <c r="L375" s="921">
        <f>INT(G375*H375*I375*J375*K375)</f>
        <v>6499</v>
      </c>
      <c r="M375" s="922">
        <f>SUM(L375)</f>
        <v>6499</v>
      </c>
      <c r="N375" s="581" t="s">
        <v>922</v>
      </c>
    </row>
    <row r="376" spans="1:19" s="22" customFormat="1" ht="24.95" hidden="1" customHeight="1">
      <c r="A376" s="948"/>
      <c r="B376" s="396"/>
      <c r="C376" s="396"/>
      <c r="D376" s="396"/>
      <c r="E376" s="400"/>
      <c r="F376" s="400"/>
      <c r="G376" s="399"/>
      <c r="H376" s="920"/>
      <c r="I376" s="920"/>
      <c r="J376" s="920"/>
      <c r="K376" s="398"/>
      <c r="L376" s="921"/>
      <c r="M376" s="922"/>
      <c r="N376" s="581"/>
    </row>
    <row r="377" spans="1:19" s="1534" customFormat="1" ht="24.95" hidden="1" customHeight="1">
      <c r="A377" s="1525" t="s">
        <v>2595</v>
      </c>
      <c r="B377" s="1526" t="s">
        <v>285</v>
      </c>
      <c r="C377" s="1526"/>
      <c r="D377" s="1526"/>
      <c r="E377" s="1527" t="s">
        <v>272</v>
      </c>
      <c r="F377" s="1527" t="s">
        <v>14</v>
      </c>
      <c r="G377" s="1528">
        <v>1.4E-2</v>
      </c>
      <c r="H377" s="1529">
        <v>1</v>
      </c>
      <c r="I377" s="1529">
        <v>1</v>
      </c>
      <c r="J377" s="1529">
        <v>1</v>
      </c>
      <c r="K377" s="1530">
        <f>VLOOKUP(F377,'8-5.2025하노임'!$A$6:$G$47,6,0)</f>
        <v>386848.44396</v>
      </c>
      <c r="L377" s="1531">
        <f>INT(G377*H377*I377*J377*K377)</f>
        <v>5415</v>
      </c>
      <c r="M377" s="1532">
        <f>SUM(L377)</f>
        <v>5415</v>
      </c>
      <c r="N377" s="1533" t="s">
        <v>922</v>
      </c>
    </row>
    <row r="378" spans="1:19" s="22" customFormat="1" ht="24.95" customHeight="1">
      <c r="A378" s="267"/>
      <c r="B378" s="396"/>
      <c r="C378" s="396"/>
      <c r="D378" s="396"/>
      <c r="E378" s="400"/>
      <c r="F378" s="400"/>
      <c r="G378" s="399"/>
      <c r="H378" s="399"/>
      <c r="I378" s="399"/>
      <c r="J378" s="399"/>
      <c r="K378" s="398"/>
      <c r="L378" s="399"/>
      <c r="M378" s="399"/>
      <c r="N378" s="406"/>
      <c r="P378" s="939"/>
    </row>
    <row r="379" spans="1:19" s="22" customFormat="1" ht="24.95" customHeight="1">
      <c r="A379" s="948" t="s">
        <v>3286</v>
      </c>
      <c r="B379" s="416" t="s">
        <v>287</v>
      </c>
      <c r="C379" s="416" t="s">
        <v>291</v>
      </c>
      <c r="D379" s="416" t="s">
        <v>641</v>
      </c>
      <c r="E379" s="417" t="s">
        <v>272</v>
      </c>
      <c r="F379" s="417" t="s">
        <v>14</v>
      </c>
      <c r="G379" s="588">
        <v>1.4999999999999999E-2</v>
      </c>
      <c r="H379" s="949">
        <v>1</v>
      </c>
      <c r="I379" s="949">
        <v>1</v>
      </c>
      <c r="J379" s="949">
        <v>1</v>
      </c>
      <c r="K379" s="398">
        <f>VLOOKUP(F379,'8-5.2025하노임'!$A$6:$G$47,6,0)</f>
        <v>386848.44396</v>
      </c>
      <c r="L379" s="950">
        <f>INT(G379*H379*I379*J379*K379)</f>
        <v>5802</v>
      </c>
      <c r="M379" s="961">
        <f>SUM(L379)</f>
        <v>5802</v>
      </c>
      <c r="N379" s="581" t="s">
        <v>913</v>
      </c>
      <c r="S379" s="390"/>
    </row>
    <row r="380" spans="1:19" s="10" customFormat="1" ht="24.95" customHeight="1">
      <c r="A380" s="317"/>
      <c r="B380" s="416"/>
      <c r="C380" s="416"/>
      <c r="D380" s="416"/>
      <c r="E380" s="417"/>
      <c r="F380" s="417"/>
      <c r="G380" s="588"/>
      <c r="H380" s="588"/>
      <c r="I380" s="588"/>
      <c r="J380" s="588"/>
      <c r="K380" s="398"/>
      <c r="L380" s="954"/>
      <c r="M380" s="954"/>
      <c r="N380" s="581"/>
    </row>
    <row r="381" spans="1:19" s="10" customFormat="1" ht="24.95" customHeight="1">
      <c r="A381" s="948" t="s">
        <v>3287</v>
      </c>
      <c r="B381" s="416" t="s">
        <v>287</v>
      </c>
      <c r="C381" s="416" t="s">
        <v>787</v>
      </c>
      <c r="D381" s="416" t="s">
        <v>283</v>
      </c>
      <c r="E381" s="417" t="s">
        <v>272</v>
      </c>
      <c r="F381" s="417" t="s">
        <v>14</v>
      </c>
      <c r="G381" s="588">
        <v>1.4999999999999999E-2</v>
      </c>
      <c r="H381" s="949">
        <v>1.8</v>
      </c>
      <c r="I381" s="949">
        <v>1</v>
      </c>
      <c r="J381" s="949">
        <v>1</v>
      </c>
      <c r="K381" s="398">
        <f>VLOOKUP(F381,'8-5.2025하노임'!$A$6:$G$47,6,0)</f>
        <v>386848.44396</v>
      </c>
      <c r="L381" s="950">
        <f>INT(G381*H381*I381*J381*K381)</f>
        <v>10444</v>
      </c>
      <c r="M381" s="961">
        <f>SUM(L381)</f>
        <v>10444</v>
      </c>
      <c r="N381" s="581" t="s">
        <v>913</v>
      </c>
    </row>
    <row r="382" spans="1:19" customFormat="1" ht="24.95" customHeight="1">
      <c r="A382" s="317"/>
      <c r="B382" s="416"/>
      <c r="C382" s="416"/>
      <c r="D382" s="416"/>
      <c r="E382" s="417"/>
      <c r="F382" s="417"/>
      <c r="G382" s="588"/>
      <c r="H382" s="588"/>
      <c r="I382" s="588"/>
      <c r="J382" s="588"/>
      <c r="K382" s="398"/>
      <c r="L382" s="954"/>
      <c r="M382" s="954"/>
      <c r="N382" s="581"/>
    </row>
    <row r="383" spans="1:19" s="10" customFormat="1" ht="24.95" customHeight="1">
      <c r="A383" s="951" t="s">
        <v>3288</v>
      </c>
      <c r="B383" s="396" t="s">
        <v>287</v>
      </c>
      <c r="C383" s="396" t="s">
        <v>933</v>
      </c>
      <c r="D383" s="396" t="s">
        <v>280</v>
      </c>
      <c r="E383" s="400" t="s">
        <v>272</v>
      </c>
      <c r="F383" s="400" t="s">
        <v>14</v>
      </c>
      <c r="G383" s="399">
        <v>1.4999999999999999E-2</v>
      </c>
      <c r="H383" s="920">
        <v>2.6</v>
      </c>
      <c r="I383" s="920">
        <v>1</v>
      </c>
      <c r="J383" s="920">
        <v>1</v>
      </c>
      <c r="K383" s="398">
        <f>VLOOKUP(F383,'8-5.2025하노임'!$A$6:$G$47,6,0)</f>
        <v>386848.44396</v>
      </c>
      <c r="L383" s="921">
        <f>INT(G383*H383*I383*J383*K383)</f>
        <v>15087</v>
      </c>
      <c r="M383" s="922">
        <f>SUM(L383)</f>
        <v>15087</v>
      </c>
      <c r="N383" s="581" t="s">
        <v>913</v>
      </c>
    </row>
    <row r="384" spans="1:19" s="22" customFormat="1" ht="24.95" customHeight="1">
      <c r="A384" s="267"/>
      <c r="B384" s="396"/>
      <c r="C384" s="396"/>
      <c r="D384" s="396"/>
      <c r="E384" s="400"/>
      <c r="F384" s="400"/>
      <c r="G384" s="399"/>
      <c r="H384" s="399"/>
      <c r="I384" s="399"/>
      <c r="J384" s="399"/>
      <c r="K384" s="398"/>
      <c r="L384" s="415"/>
      <c r="M384" s="415"/>
      <c r="N384" s="406"/>
      <c r="O384" s="10"/>
      <c r="P384" s="10"/>
      <c r="Q384" s="10"/>
      <c r="R384" s="10"/>
    </row>
    <row r="385" spans="1:18" s="22" customFormat="1" ht="24.95" customHeight="1">
      <c r="A385" s="951" t="s">
        <v>3289</v>
      </c>
      <c r="B385" s="396" t="s">
        <v>287</v>
      </c>
      <c r="C385" s="396" t="s">
        <v>934</v>
      </c>
      <c r="D385" s="396" t="s">
        <v>284</v>
      </c>
      <c r="E385" s="400" t="s">
        <v>272</v>
      </c>
      <c r="F385" s="400" t="s">
        <v>14</v>
      </c>
      <c r="G385" s="399">
        <v>1.4999999999999999E-2</v>
      </c>
      <c r="H385" s="920">
        <v>3.4</v>
      </c>
      <c r="I385" s="920">
        <v>1</v>
      </c>
      <c r="J385" s="920">
        <v>1</v>
      </c>
      <c r="K385" s="398">
        <f>VLOOKUP(F385,'8-5.2025하노임'!$A$6:$G$47,6,0)</f>
        <v>386848.44396</v>
      </c>
      <c r="L385" s="921">
        <f>INT(G385*H385*I385*J385*K385)</f>
        <v>19729</v>
      </c>
      <c r="M385" s="922">
        <f>SUM(L385)</f>
        <v>19729</v>
      </c>
      <c r="N385" s="581" t="s">
        <v>913</v>
      </c>
      <c r="O385" s="10"/>
      <c r="P385" s="10"/>
      <c r="Q385" s="10"/>
      <c r="R385" s="10"/>
    </row>
    <row r="386" spans="1:18" s="22" customFormat="1" ht="24.95" customHeight="1">
      <c r="A386" s="267"/>
      <c r="B386" s="396"/>
      <c r="C386" s="396"/>
      <c r="D386" s="396"/>
      <c r="E386" s="400"/>
      <c r="F386" s="400"/>
      <c r="G386" s="399"/>
      <c r="H386" s="399"/>
      <c r="I386" s="399"/>
      <c r="J386" s="399"/>
      <c r="K386" s="398"/>
      <c r="L386" s="415"/>
      <c r="M386" s="415"/>
      <c r="N386" s="406"/>
      <c r="O386" s="10"/>
      <c r="P386" s="10"/>
      <c r="Q386" s="10"/>
      <c r="R386" s="10"/>
    </row>
    <row r="387" spans="1:18" s="22" customFormat="1" ht="24.95" customHeight="1">
      <c r="A387" s="951" t="s">
        <v>3290</v>
      </c>
      <c r="B387" s="396" t="s">
        <v>287</v>
      </c>
      <c r="C387" s="396" t="s">
        <v>1207</v>
      </c>
      <c r="D387" s="396" t="s">
        <v>1208</v>
      </c>
      <c r="E387" s="400" t="s">
        <v>272</v>
      </c>
      <c r="F387" s="400" t="s">
        <v>14</v>
      </c>
      <c r="G387" s="399">
        <v>1.4999999999999999E-2</v>
      </c>
      <c r="H387" s="920">
        <v>4.2</v>
      </c>
      <c r="I387" s="920">
        <v>1</v>
      </c>
      <c r="J387" s="920">
        <v>1</v>
      </c>
      <c r="K387" s="398">
        <f>VLOOKUP(F387,'8-5.2025하노임'!$A$6:$G$47,6,0)</f>
        <v>386848.44396</v>
      </c>
      <c r="L387" s="921">
        <f>INT(G387*H387*I387*J387*K387)</f>
        <v>24371</v>
      </c>
      <c r="M387" s="922">
        <f>SUM(L387)</f>
        <v>24371</v>
      </c>
      <c r="N387" s="581" t="s">
        <v>913</v>
      </c>
      <c r="O387" s="10"/>
      <c r="P387" s="10"/>
      <c r="Q387" s="10"/>
      <c r="R387" s="10"/>
    </row>
    <row r="388" spans="1:18" s="22" customFormat="1" ht="24.95" customHeight="1">
      <c r="A388" s="951"/>
      <c r="B388" s="396"/>
      <c r="C388" s="396"/>
      <c r="D388" s="396"/>
      <c r="E388" s="400"/>
      <c r="F388" s="400"/>
      <c r="G388" s="399"/>
      <c r="H388" s="920"/>
      <c r="I388" s="920"/>
      <c r="J388" s="920"/>
      <c r="K388" s="398"/>
      <c r="L388" s="921"/>
      <c r="M388" s="922"/>
      <c r="N388" s="581"/>
      <c r="O388" s="10"/>
      <c r="P388" s="10"/>
      <c r="Q388" s="10"/>
      <c r="R388" s="10"/>
    </row>
    <row r="389" spans="1:18" s="22" customFormat="1" ht="24.95" customHeight="1">
      <c r="A389" s="1535" t="s">
        <v>2595</v>
      </c>
      <c r="B389" s="1526" t="s">
        <v>1517</v>
      </c>
      <c r="C389" s="1526" t="s">
        <v>3234</v>
      </c>
      <c r="D389" s="1526"/>
      <c r="E389" s="1527" t="s">
        <v>272</v>
      </c>
      <c r="F389" s="1527" t="s">
        <v>31</v>
      </c>
      <c r="G389" s="1528">
        <v>1.4999999999999999E-2</v>
      </c>
      <c r="H389" s="1529">
        <v>1.8</v>
      </c>
      <c r="I389" s="1529">
        <v>1</v>
      </c>
      <c r="J389" s="1529">
        <v>1</v>
      </c>
      <c r="K389" s="1530">
        <f>VLOOKUP(F389,'8-5.2025하노임'!$A$6:$G$47,6,0)</f>
        <v>386848.44396</v>
      </c>
      <c r="L389" s="1531">
        <f>INT(G389*H389*I389*J389*K389)</f>
        <v>10444</v>
      </c>
      <c r="M389" s="1542">
        <f>SUM(L389)</f>
        <v>10444</v>
      </c>
      <c r="N389" s="1533" t="s">
        <v>913</v>
      </c>
      <c r="O389" s="10"/>
      <c r="P389" s="10"/>
      <c r="Q389" s="10"/>
      <c r="R389" s="10"/>
    </row>
    <row r="390" spans="1:18" s="22" customFormat="1" ht="24.95" customHeight="1">
      <c r="A390" s="267"/>
      <c r="B390" s="396"/>
      <c r="C390" s="396"/>
      <c r="D390" s="396"/>
      <c r="E390" s="400"/>
      <c r="F390" s="400"/>
      <c r="G390" s="399"/>
      <c r="H390" s="399"/>
      <c r="I390" s="399"/>
      <c r="J390" s="399"/>
      <c r="K390" s="398"/>
      <c r="L390" s="415"/>
      <c r="M390" s="415"/>
      <c r="N390" s="406"/>
      <c r="O390" s="10"/>
      <c r="P390" s="10"/>
      <c r="Q390" s="10"/>
      <c r="R390" s="10"/>
    </row>
    <row r="391" spans="1:18" s="22" customFormat="1" ht="24.95" customHeight="1">
      <c r="A391" s="317" t="s">
        <v>3299</v>
      </c>
      <c r="B391" s="416" t="s">
        <v>292</v>
      </c>
      <c r="C391" s="416" t="s">
        <v>293</v>
      </c>
      <c r="D391" s="416" t="s">
        <v>298</v>
      </c>
      <c r="E391" s="417" t="s">
        <v>272</v>
      </c>
      <c r="F391" s="417" t="s">
        <v>15</v>
      </c>
      <c r="G391" s="588">
        <v>4.3999999999999997E-2</v>
      </c>
      <c r="H391" s="949">
        <v>1.3</v>
      </c>
      <c r="I391" s="949">
        <v>1</v>
      </c>
      <c r="J391" s="949">
        <v>1</v>
      </c>
      <c r="K391" s="398">
        <f>VLOOKUP(F391,'8-5.2025하노임'!$A$6:$G$47,6,0)</f>
        <v>248856.63428999999</v>
      </c>
      <c r="L391" s="950">
        <f>INT(G391*H391*I391*J391*K391)</f>
        <v>14234</v>
      </c>
      <c r="M391" s="961">
        <f>SUM(L391)</f>
        <v>14234</v>
      </c>
      <c r="N391" s="581" t="s">
        <v>914</v>
      </c>
      <c r="O391" s="10"/>
      <c r="P391" s="10"/>
      <c r="Q391" s="10"/>
      <c r="R391" s="10"/>
    </row>
    <row r="392" spans="1:18" s="22" customFormat="1" ht="24.95" customHeight="1">
      <c r="A392" s="317"/>
      <c r="B392" s="416"/>
      <c r="C392" s="416"/>
      <c r="D392" s="416"/>
      <c r="E392" s="417"/>
      <c r="F392" s="417"/>
      <c r="G392" s="588"/>
      <c r="H392" s="949"/>
      <c r="I392" s="949"/>
      <c r="J392" s="949"/>
      <c r="K392" s="398"/>
      <c r="L392" s="950"/>
      <c r="M392" s="961"/>
      <c r="N392" s="581"/>
      <c r="O392" s="10"/>
      <c r="P392" s="10"/>
      <c r="Q392" s="10"/>
      <c r="R392" s="10"/>
    </row>
    <row r="393" spans="1:18" s="1534" customFormat="1" ht="24.95" customHeight="1">
      <c r="A393" s="1535" t="s">
        <v>2595</v>
      </c>
      <c r="B393" s="1526" t="s">
        <v>292</v>
      </c>
      <c r="C393" s="1526"/>
      <c r="D393" s="1526" t="s">
        <v>298</v>
      </c>
      <c r="E393" s="1527" t="s">
        <v>272</v>
      </c>
      <c r="F393" s="1527" t="s">
        <v>15</v>
      </c>
      <c r="G393" s="1528">
        <v>4.3999999999999997E-2</v>
      </c>
      <c r="H393" s="1529">
        <v>1</v>
      </c>
      <c r="I393" s="1529">
        <v>1</v>
      </c>
      <c r="J393" s="1529">
        <v>1</v>
      </c>
      <c r="K393" s="1530">
        <f>VLOOKUP(F393,'8-5.2025하노임'!$A$6:$G$47,6,0)</f>
        <v>248856.63428999999</v>
      </c>
      <c r="L393" s="1531">
        <f>INT(G393*H393*I393*J393*K393)</f>
        <v>10949</v>
      </c>
      <c r="M393" s="1542">
        <f>SUM(L393)</f>
        <v>10949</v>
      </c>
      <c r="N393" s="1533" t="s">
        <v>914</v>
      </c>
    </row>
    <row r="394" spans="1:18" s="22" customFormat="1" ht="24.95" customHeight="1">
      <c r="A394" s="317"/>
      <c r="B394" s="416"/>
      <c r="C394" s="416"/>
      <c r="D394" s="416"/>
      <c r="E394" s="417"/>
      <c r="F394" s="417"/>
      <c r="G394" s="588"/>
      <c r="H394" s="588"/>
      <c r="I394" s="588"/>
      <c r="J394" s="588"/>
      <c r="K394" s="398"/>
      <c r="L394" s="588"/>
      <c r="M394" s="588"/>
      <c r="N394" s="581"/>
      <c r="O394" s="10"/>
      <c r="P394" s="10"/>
      <c r="Q394" s="10"/>
      <c r="R394" s="10"/>
    </row>
    <row r="395" spans="1:18" s="22" customFormat="1" ht="24.95" customHeight="1">
      <c r="A395" s="317" t="s">
        <v>3301</v>
      </c>
      <c r="B395" s="416" t="s">
        <v>292</v>
      </c>
      <c r="C395" s="416" t="s">
        <v>294</v>
      </c>
      <c r="D395" s="416" t="s">
        <v>298</v>
      </c>
      <c r="E395" s="417" t="s">
        <v>272</v>
      </c>
      <c r="F395" s="417" t="s">
        <v>15</v>
      </c>
      <c r="G395" s="588">
        <v>5.8999999999999997E-2</v>
      </c>
      <c r="H395" s="949">
        <v>1.3</v>
      </c>
      <c r="I395" s="949">
        <v>1</v>
      </c>
      <c r="J395" s="949">
        <v>1</v>
      </c>
      <c r="K395" s="398">
        <f>VLOOKUP(F395,'8-5.2025하노임'!$A$6:$G$47,6,0)</f>
        <v>248856.63428999999</v>
      </c>
      <c r="L395" s="950">
        <f>INT(G395*H395*I395*J395*K395)</f>
        <v>19087</v>
      </c>
      <c r="M395" s="961">
        <f>SUM(L395)</f>
        <v>19087</v>
      </c>
      <c r="N395" s="581" t="s">
        <v>914</v>
      </c>
      <c r="O395" s="10"/>
      <c r="P395" s="10"/>
      <c r="Q395" s="10"/>
      <c r="R395" s="10"/>
    </row>
    <row r="396" spans="1:18" s="22" customFormat="1" ht="24.95" customHeight="1">
      <c r="A396" s="317"/>
      <c r="B396" s="416"/>
      <c r="C396" s="416"/>
      <c r="D396" s="416"/>
      <c r="E396" s="417"/>
      <c r="F396" s="417"/>
      <c r="G396" s="588"/>
      <c r="H396" s="949"/>
      <c r="I396" s="949"/>
      <c r="J396" s="949"/>
      <c r="K396" s="398"/>
      <c r="L396" s="950"/>
      <c r="M396" s="961"/>
      <c r="N396" s="581"/>
      <c r="O396" s="10"/>
      <c r="P396" s="10"/>
      <c r="Q396" s="10"/>
      <c r="R396" s="10"/>
    </row>
    <row r="397" spans="1:18" s="1534" customFormat="1" ht="24.95" customHeight="1">
      <c r="A397" s="1535" t="s">
        <v>2598</v>
      </c>
      <c r="B397" s="1526" t="s">
        <v>292</v>
      </c>
      <c r="C397" s="1526"/>
      <c r="D397" s="1526" t="s">
        <v>298</v>
      </c>
      <c r="E397" s="1527" t="s">
        <v>272</v>
      </c>
      <c r="F397" s="1527" t="s">
        <v>15</v>
      </c>
      <c r="G397" s="1528">
        <v>5.8999999999999997E-2</v>
      </c>
      <c r="H397" s="1529">
        <v>1</v>
      </c>
      <c r="I397" s="1529">
        <v>1</v>
      </c>
      <c r="J397" s="1529">
        <v>1</v>
      </c>
      <c r="K397" s="1530">
        <f>VLOOKUP(F397,'8-5.2025하노임'!$A$6:$G$47,6,0)</f>
        <v>248856.63428999999</v>
      </c>
      <c r="L397" s="1531">
        <f>INT(G397*H397*I397*J397*K397)</f>
        <v>14682</v>
      </c>
      <c r="M397" s="1542">
        <f>SUM(L397)</f>
        <v>14682</v>
      </c>
      <c r="N397" s="1533" t="s">
        <v>914</v>
      </c>
    </row>
    <row r="398" spans="1:18" s="22" customFormat="1" ht="24.95" customHeight="1">
      <c r="A398" s="317"/>
      <c r="B398" s="416"/>
      <c r="C398" s="416"/>
      <c r="D398" s="416"/>
      <c r="E398" s="417"/>
      <c r="F398" s="417"/>
      <c r="G398" s="588"/>
      <c r="H398" s="588"/>
      <c r="I398" s="588"/>
      <c r="J398" s="588"/>
      <c r="K398" s="398"/>
      <c r="L398" s="588"/>
      <c r="M398" s="588"/>
      <c r="N398" s="581"/>
      <c r="O398" s="10"/>
      <c r="P398" s="10"/>
      <c r="Q398" s="10"/>
      <c r="R398" s="10"/>
    </row>
    <row r="399" spans="1:18" s="22" customFormat="1" ht="24.95" customHeight="1">
      <c r="A399" s="951" t="s">
        <v>3010</v>
      </c>
      <c r="B399" s="396" t="s">
        <v>1145</v>
      </c>
      <c r="C399" s="396" t="s">
        <v>1374</v>
      </c>
      <c r="D399" s="396" t="s">
        <v>282</v>
      </c>
      <c r="E399" s="400" t="s">
        <v>272</v>
      </c>
      <c r="F399" s="400" t="s">
        <v>15</v>
      </c>
      <c r="G399" s="399">
        <v>0.01</v>
      </c>
      <c r="H399" s="920">
        <v>1.5</v>
      </c>
      <c r="I399" s="920">
        <v>1</v>
      </c>
      <c r="J399" s="920">
        <v>1</v>
      </c>
      <c r="K399" s="398">
        <f>VLOOKUP(F399,'8-5.2025하노임'!$A$6:$G$47,6,0)</f>
        <v>248856.63428999999</v>
      </c>
      <c r="L399" s="921">
        <f>INT(G399*H399*I399*J399*K399)</f>
        <v>3732</v>
      </c>
      <c r="M399" s="922">
        <f>SUM(L399)</f>
        <v>3732</v>
      </c>
      <c r="N399" s="406" t="s">
        <v>920</v>
      </c>
    </row>
    <row r="400" spans="1:18" s="22" customFormat="1" ht="24.95" customHeight="1">
      <c r="A400" s="951"/>
      <c r="B400" s="396"/>
      <c r="C400" s="396"/>
      <c r="D400" s="396"/>
      <c r="E400" s="400"/>
      <c r="F400" s="400"/>
      <c r="G400" s="399"/>
      <c r="H400" s="920"/>
      <c r="I400" s="920"/>
      <c r="J400" s="920"/>
      <c r="K400" s="398"/>
      <c r="L400" s="921"/>
      <c r="M400" s="922"/>
      <c r="N400" s="406"/>
    </row>
    <row r="401" spans="1:18" s="1534" customFormat="1" ht="24.95" customHeight="1">
      <c r="A401" s="1525" t="s">
        <v>2595</v>
      </c>
      <c r="B401" s="1526" t="s">
        <v>1145</v>
      </c>
      <c r="C401" s="1526"/>
      <c r="D401" s="1526" t="s">
        <v>282</v>
      </c>
      <c r="E401" s="1527" t="s">
        <v>272</v>
      </c>
      <c r="F401" s="1527" t="s">
        <v>15</v>
      </c>
      <c r="G401" s="1528">
        <v>0.01</v>
      </c>
      <c r="H401" s="1529">
        <v>1</v>
      </c>
      <c r="I401" s="1529">
        <v>1</v>
      </c>
      <c r="J401" s="1529">
        <v>1</v>
      </c>
      <c r="K401" s="1530">
        <f>VLOOKUP(F401,'8-5.2025하노임'!$A$6:$G$47,6,0)</f>
        <v>248856.63428999999</v>
      </c>
      <c r="L401" s="1531">
        <f>INT(G401*H401*I401*J401*K401)</f>
        <v>2488</v>
      </c>
      <c r="M401" s="1532">
        <f>SUM(L401)</f>
        <v>2488</v>
      </c>
      <c r="N401" s="1533" t="s">
        <v>920</v>
      </c>
    </row>
    <row r="402" spans="1:18" s="22" customFormat="1" ht="24.95" customHeight="1">
      <c r="A402" s="267"/>
      <c r="B402" s="396"/>
      <c r="C402" s="396"/>
      <c r="D402" s="396"/>
      <c r="E402" s="400"/>
      <c r="F402" s="400"/>
      <c r="G402" s="399"/>
      <c r="H402" s="399"/>
      <c r="I402" s="399"/>
      <c r="J402" s="399"/>
      <c r="K402" s="398"/>
      <c r="L402" s="940"/>
      <c r="M402" s="940"/>
      <c r="N402" s="406"/>
    </row>
    <row r="403" spans="1:18" s="10" customFormat="1" ht="24.95" customHeight="1">
      <c r="A403" s="948" t="s">
        <v>3302</v>
      </c>
      <c r="B403" s="416" t="s">
        <v>378</v>
      </c>
      <c r="C403" s="396" t="s">
        <v>1139</v>
      </c>
      <c r="D403" s="396"/>
      <c r="E403" s="400" t="s">
        <v>337</v>
      </c>
      <c r="F403" s="400" t="s">
        <v>386</v>
      </c>
      <c r="G403" s="919">
        <v>0.03</v>
      </c>
      <c r="H403" s="949">
        <v>1</v>
      </c>
      <c r="I403" s="949">
        <v>1</v>
      </c>
      <c r="J403" s="949">
        <v>1</v>
      </c>
      <c r="K403" s="398">
        <f>VLOOKUP(F403,'8-5.2025하노임'!$A$6:$G$47,6,0)</f>
        <v>248856.63428999999</v>
      </c>
      <c r="L403" s="950">
        <f>INT(G403*H403*I403*J403*K403)</f>
        <v>7465</v>
      </c>
      <c r="M403" s="961">
        <f>SUM(L403)</f>
        <v>7465</v>
      </c>
      <c r="N403" s="581" t="s">
        <v>920</v>
      </c>
    </row>
    <row r="404" spans="1:18" s="10" customFormat="1" ht="24.95" customHeight="1">
      <c r="A404" s="317"/>
      <c r="B404" s="416"/>
      <c r="C404" s="416"/>
      <c r="D404" s="416"/>
      <c r="E404" s="417"/>
      <c r="F404" s="417"/>
      <c r="G404" s="588"/>
      <c r="H404" s="588"/>
      <c r="I404" s="588"/>
      <c r="J404" s="588"/>
      <c r="K404" s="398"/>
      <c r="L404" s="588"/>
      <c r="M404" s="588"/>
      <c r="N404" s="581"/>
    </row>
    <row r="405" spans="1:18" s="22" customFormat="1" ht="24.95" hidden="1" customHeight="1">
      <c r="A405" s="267"/>
      <c r="B405" s="396" t="s">
        <v>642</v>
      </c>
      <c r="C405" s="396" t="s">
        <v>643</v>
      </c>
      <c r="D405" s="396"/>
      <c r="E405" s="400" t="s">
        <v>271</v>
      </c>
      <c r="F405" s="400" t="s">
        <v>386</v>
      </c>
      <c r="G405" s="962">
        <v>1.2999999999999999E-2</v>
      </c>
      <c r="H405" s="920">
        <v>1</v>
      </c>
      <c r="I405" s="920">
        <v>1</v>
      </c>
      <c r="J405" s="920">
        <v>1</v>
      </c>
      <c r="K405" s="398">
        <f>VLOOKUP(F405,'8-5.2025하노임'!$A$6:$G$47,6,0)</f>
        <v>248856.63428999999</v>
      </c>
      <c r="L405" s="921">
        <f>INT(G405*H405*I405*J405*K405)</f>
        <v>3235</v>
      </c>
      <c r="M405" s="922">
        <f>SUM(L405:L405)</f>
        <v>3235</v>
      </c>
      <c r="N405" s="406" t="s">
        <v>928</v>
      </c>
      <c r="P405" s="10"/>
      <c r="Q405" s="10"/>
      <c r="R405" s="10"/>
    </row>
    <row r="406" spans="1:18" s="22" customFormat="1" ht="24.95" hidden="1" customHeight="1">
      <c r="A406" s="267"/>
      <c r="B406" s="396"/>
      <c r="C406" s="396"/>
      <c r="D406" s="396"/>
      <c r="E406" s="400"/>
      <c r="F406" s="400"/>
      <c r="G406" s="919"/>
      <c r="H406" s="920"/>
      <c r="I406" s="920"/>
      <c r="J406" s="920"/>
      <c r="K406" s="398"/>
      <c r="L406" s="921"/>
      <c r="M406" s="960"/>
      <c r="N406" s="406"/>
      <c r="O406" s="10"/>
      <c r="P406" s="389"/>
      <c r="Q406" s="11"/>
      <c r="R406" s="10"/>
    </row>
    <row r="407" spans="1:18" s="10" customFormat="1" ht="24.95" hidden="1" customHeight="1">
      <c r="A407" s="317"/>
      <c r="B407" s="416" t="s">
        <v>1057</v>
      </c>
      <c r="C407" s="416" t="s">
        <v>1526</v>
      </c>
      <c r="D407" s="416"/>
      <c r="E407" s="417" t="s">
        <v>337</v>
      </c>
      <c r="F407" s="417" t="s">
        <v>30</v>
      </c>
      <c r="G407" s="963">
        <v>0.02</v>
      </c>
      <c r="H407" s="949">
        <v>1</v>
      </c>
      <c r="I407" s="949">
        <v>1</v>
      </c>
      <c r="J407" s="949">
        <v>1</v>
      </c>
      <c r="K407" s="398">
        <f>VLOOKUP(F407,'8-5.2025하노임'!$A$6:$G$47,6,0)</f>
        <v>248856.63428999999</v>
      </c>
      <c r="L407" s="950">
        <f>INT(G407*H407*I407*J407*K407)</f>
        <v>4977</v>
      </c>
      <c r="M407" s="961">
        <f>SUM(L407:L407)</f>
        <v>4977</v>
      </c>
      <c r="N407" s="581" t="s">
        <v>1257</v>
      </c>
      <c r="O407" s="22"/>
      <c r="P407" s="22"/>
    </row>
    <row r="408" spans="1:18" s="22" customFormat="1" ht="24.95" hidden="1" customHeight="1">
      <c r="A408" s="317"/>
      <c r="B408" s="416"/>
      <c r="C408" s="416"/>
      <c r="D408" s="416"/>
      <c r="E408" s="417"/>
      <c r="F408" s="417"/>
      <c r="G408" s="588"/>
      <c r="H408" s="588"/>
      <c r="I408" s="588"/>
      <c r="J408" s="588"/>
      <c r="K408" s="398"/>
      <c r="L408" s="953"/>
      <c r="M408" s="953"/>
      <c r="N408" s="581"/>
    </row>
    <row r="409" spans="1:18" s="22" customFormat="1" ht="24.95" hidden="1" customHeight="1">
      <c r="A409" s="317"/>
      <c r="B409" s="416" t="s">
        <v>384</v>
      </c>
      <c r="C409" s="416" t="s">
        <v>385</v>
      </c>
      <c r="D409" s="416" t="s">
        <v>392</v>
      </c>
      <c r="E409" s="417" t="s">
        <v>271</v>
      </c>
      <c r="F409" s="417" t="s">
        <v>805</v>
      </c>
      <c r="G409" s="952">
        <v>0.08</v>
      </c>
      <c r="H409" s="949">
        <v>1.2</v>
      </c>
      <c r="I409" s="949">
        <v>1</v>
      </c>
      <c r="J409" s="949">
        <v>1</v>
      </c>
      <c r="K409" s="398">
        <f>VLOOKUP(F409,'8-5.2025하노임'!$A$6:$G$47,6,0)</f>
        <v>240022.26632999998</v>
      </c>
      <c r="L409" s="950">
        <f>INT(G409*H409*I409*J409*K409)</f>
        <v>23042</v>
      </c>
      <c r="M409" s="961">
        <f>SUM(L409:L409)</f>
        <v>23042</v>
      </c>
      <c r="N409" s="581" t="s">
        <v>808</v>
      </c>
      <c r="O409" s="10"/>
      <c r="P409" s="10"/>
      <c r="Q409" s="10"/>
      <c r="R409" s="10"/>
    </row>
    <row r="410" spans="1:18" s="22" customFormat="1" ht="24.95" hidden="1" customHeight="1">
      <c r="A410" s="317"/>
      <c r="B410" s="416"/>
      <c r="C410" s="416"/>
      <c r="D410" s="416"/>
      <c r="E410" s="417"/>
      <c r="F410" s="417"/>
      <c r="G410" s="952"/>
      <c r="H410" s="949"/>
      <c r="I410" s="949"/>
      <c r="J410" s="949"/>
      <c r="K410" s="398"/>
      <c r="L410" s="950"/>
      <c r="M410" s="961"/>
      <c r="N410" s="581"/>
      <c r="O410" s="10"/>
      <c r="P410" s="10"/>
      <c r="Q410" s="10"/>
      <c r="R410" s="10"/>
    </row>
    <row r="411" spans="1:18" s="1534" customFormat="1" ht="24.95" hidden="1" customHeight="1">
      <c r="A411" s="1535" t="s">
        <v>2595</v>
      </c>
      <c r="B411" s="1526" t="s">
        <v>384</v>
      </c>
      <c r="C411" s="1526"/>
      <c r="D411" s="1526" t="s">
        <v>392</v>
      </c>
      <c r="E411" s="1527" t="s">
        <v>271</v>
      </c>
      <c r="F411" s="1527" t="s">
        <v>805</v>
      </c>
      <c r="G411" s="1541">
        <v>0.08</v>
      </c>
      <c r="H411" s="1529">
        <v>1</v>
      </c>
      <c r="I411" s="1529">
        <v>1</v>
      </c>
      <c r="J411" s="1529">
        <v>1</v>
      </c>
      <c r="K411" s="1530">
        <f>VLOOKUP(F411,'8-5.2025하노임'!$A$6:$G$47,6,0)</f>
        <v>240022.26632999998</v>
      </c>
      <c r="L411" s="1531">
        <f>INT(G411*H411*I411*J411*K411)</f>
        <v>19201</v>
      </c>
      <c r="M411" s="1542">
        <f>SUM(L411:L411)</f>
        <v>19201</v>
      </c>
      <c r="N411" s="1533" t="s">
        <v>808</v>
      </c>
    </row>
    <row r="412" spans="1:18" s="10" customFormat="1" ht="24.95" hidden="1" customHeight="1">
      <c r="A412" s="964"/>
      <c r="B412" s="965"/>
      <c r="C412" s="416"/>
      <c r="D412" s="416"/>
      <c r="E412" s="417"/>
      <c r="F412" s="417"/>
      <c r="G412" s="588"/>
      <c r="H412" s="949"/>
      <c r="I412" s="949"/>
      <c r="J412" s="949"/>
      <c r="K412" s="398"/>
      <c r="L412" s="950"/>
      <c r="M412" s="950"/>
      <c r="N412" s="581"/>
      <c r="O412" s="22"/>
      <c r="P412" s="939"/>
      <c r="Q412" s="22"/>
      <c r="R412" s="22"/>
    </row>
    <row r="413" spans="1:18" s="22" customFormat="1" ht="24.95" customHeight="1">
      <c r="A413" s="545" t="s">
        <v>2976</v>
      </c>
      <c r="B413" s="966"/>
      <c r="C413" s="966"/>
      <c r="D413" s="966"/>
      <c r="E413" s="664"/>
      <c r="F413" s="664"/>
      <c r="G413" s="966"/>
      <c r="H413" s="966"/>
      <c r="I413" s="966"/>
      <c r="J413" s="966"/>
      <c r="K413" s="398"/>
      <c r="L413" s="966"/>
      <c r="M413" s="966"/>
      <c r="N413" s="941"/>
    </row>
    <row r="414" spans="1:18" s="22" customFormat="1" ht="24.95" hidden="1" customHeight="1">
      <c r="A414" s="948"/>
      <c r="B414" s="404" t="s">
        <v>614</v>
      </c>
      <c r="C414" s="396" t="s">
        <v>42</v>
      </c>
      <c r="D414" s="404"/>
      <c r="E414" s="400" t="s">
        <v>2011</v>
      </c>
      <c r="F414" s="400"/>
      <c r="G414" s="919"/>
      <c r="H414" s="919"/>
      <c r="I414" s="919"/>
      <c r="J414" s="919"/>
      <c r="K414" s="398"/>
      <c r="L414" s="946" t="s">
        <v>1</v>
      </c>
      <c r="M414" s="960">
        <f>SUM(L415:L419)</f>
        <v>252964</v>
      </c>
      <c r="N414" s="406" t="s">
        <v>908</v>
      </c>
    </row>
    <row r="415" spans="1:18" s="10" customFormat="1" ht="24.95" hidden="1" customHeight="1">
      <c r="A415" s="267"/>
      <c r="B415" s="396" t="s">
        <v>288</v>
      </c>
      <c r="C415" s="396" t="s">
        <v>42</v>
      </c>
      <c r="D415" s="396"/>
      <c r="E415" s="947" t="s">
        <v>43</v>
      </c>
      <c r="F415" s="400" t="s">
        <v>266</v>
      </c>
      <c r="G415" s="919">
        <v>0.5</v>
      </c>
      <c r="H415" s="920">
        <v>1</v>
      </c>
      <c r="I415" s="920">
        <v>1</v>
      </c>
      <c r="J415" s="920">
        <v>1</v>
      </c>
      <c r="K415" s="398">
        <f>VLOOKUP(F415,'8-5.2025하노임'!$A$6:$G$47,6,0)</f>
        <v>276216.14889000001</v>
      </c>
      <c r="L415" s="921">
        <f>INT(G415*H415*I415*J415*K415)</f>
        <v>138108</v>
      </c>
      <c r="M415" s="960"/>
      <c r="N415" s="406" t="s">
        <v>908</v>
      </c>
      <c r="O415" s="22"/>
      <c r="P415" s="22"/>
      <c r="Q415" s="22"/>
      <c r="R415" s="22"/>
    </row>
    <row r="416" spans="1:18" s="10" customFormat="1" ht="24.95" hidden="1" customHeight="1">
      <c r="A416" s="267"/>
      <c r="B416" s="396" t="s">
        <v>2</v>
      </c>
      <c r="C416" s="396"/>
      <c r="D416" s="396"/>
      <c r="E416" s="400"/>
      <c r="F416" s="400" t="s">
        <v>4</v>
      </c>
      <c r="G416" s="919">
        <v>0.5</v>
      </c>
      <c r="H416" s="920">
        <v>1</v>
      </c>
      <c r="I416" s="920">
        <v>1</v>
      </c>
      <c r="J416" s="920">
        <v>1</v>
      </c>
      <c r="K416" s="398">
        <f>VLOOKUP(F416,'8-5.2025하노임'!$A$6:$G$47,6,0)</f>
        <v>150079.83638999998</v>
      </c>
      <c r="L416" s="921">
        <f>INT(G416*H416*I416*J416*K416)</f>
        <v>75039</v>
      </c>
      <c r="M416" s="967"/>
      <c r="N416" s="406"/>
      <c r="O416" s="22"/>
      <c r="P416" s="22"/>
      <c r="Q416" s="22"/>
      <c r="R416" s="22"/>
    </row>
    <row r="417" spans="1:18" s="22" customFormat="1" ht="24.75" hidden="1" customHeight="1">
      <c r="A417" s="267"/>
      <c r="B417" s="396"/>
      <c r="C417" s="396"/>
      <c r="D417" s="396"/>
      <c r="E417" s="400"/>
      <c r="F417" s="400"/>
      <c r="G417" s="919"/>
      <c r="H417" s="919"/>
      <c r="I417" s="919"/>
      <c r="J417" s="919"/>
      <c r="K417" s="398"/>
      <c r="L417" s="923"/>
      <c r="M417" s="968"/>
      <c r="N417" s="406"/>
    </row>
    <row r="418" spans="1:18" s="22" customFormat="1" ht="24.75" hidden="1" customHeight="1">
      <c r="A418" s="267"/>
      <c r="B418" s="396" t="s">
        <v>421</v>
      </c>
      <c r="C418" s="396" t="s">
        <v>1288</v>
      </c>
      <c r="D418" s="396"/>
      <c r="E418" s="947" t="s">
        <v>620</v>
      </c>
      <c r="F418" s="400" t="s">
        <v>15</v>
      </c>
      <c r="G418" s="919">
        <f>0.04*4</f>
        <v>0.16</v>
      </c>
      <c r="H418" s="920">
        <v>1</v>
      </c>
      <c r="I418" s="920">
        <v>1</v>
      </c>
      <c r="J418" s="920">
        <v>1</v>
      </c>
      <c r="K418" s="398">
        <f>VLOOKUP(F418,'8-5.2025하노임'!$A$6:$G$47,6,0)</f>
        <v>248856.63428999999</v>
      </c>
      <c r="L418" s="921">
        <f>INT(G418*H418*I418*J418*K418)</f>
        <v>39817</v>
      </c>
      <c r="M418" s="960"/>
      <c r="N418" s="406" t="s">
        <v>909</v>
      </c>
      <c r="P418" s="10"/>
    </row>
    <row r="419" spans="1:18" s="22" customFormat="1" ht="24.75" hidden="1" customHeight="1">
      <c r="A419" s="267"/>
      <c r="B419" s="396"/>
      <c r="C419" s="396"/>
      <c r="D419" s="396"/>
      <c r="E419" s="400"/>
      <c r="F419" s="400"/>
      <c r="G419" s="919"/>
      <c r="H419" s="919"/>
      <c r="I419" s="919"/>
      <c r="J419" s="919"/>
      <c r="K419" s="398"/>
      <c r="L419" s="922"/>
      <c r="M419" s="960"/>
      <c r="N419" s="406"/>
      <c r="P419" s="939"/>
    </row>
    <row r="420" spans="1:18" s="22" customFormat="1" ht="24.95" hidden="1" customHeight="1">
      <c r="A420" s="951"/>
      <c r="B420" s="404" t="s">
        <v>1495</v>
      </c>
      <c r="C420" s="404" t="s">
        <v>1494</v>
      </c>
      <c r="D420" s="404"/>
      <c r="E420" s="400" t="s">
        <v>193</v>
      </c>
      <c r="F420" s="400"/>
      <c r="G420" s="919"/>
      <c r="H420" s="919"/>
      <c r="I420" s="919"/>
      <c r="J420" s="919"/>
      <c r="K420" s="398"/>
      <c r="L420" s="946" t="s">
        <v>1</v>
      </c>
      <c r="M420" s="922">
        <f>SUM(L421:L427)</f>
        <v>900068</v>
      </c>
      <c r="N420" s="406" t="s">
        <v>1503</v>
      </c>
    </row>
    <row r="421" spans="1:18" s="22" customFormat="1" ht="24.95" hidden="1" customHeight="1">
      <c r="A421" s="267"/>
      <c r="B421" s="396" t="s">
        <v>1496</v>
      </c>
      <c r="C421" s="396" t="s">
        <v>1497</v>
      </c>
      <c r="D421" s="396"/>
      <c r="E421" s="947" t="s">
        <v>1498</v>
      </c>
      <c r="F421" s="400" t="s">
        <v>13</v>
      </c>
      <c r="G421" s="919">
        <f>0.02*2</f>
        <v>0.04</v>
      </c>
      <c r="H421" s="920">
        <v>1</v>
      </c>
      <c r="I421" s="920">
        <v>1</v>
      </c>
      <c r="J421" s="920">
        <v>1</v>
      </c>
      <c r="K421" s="398">
        <f>VLOOKUP(F421,'8-5.2025하노임'!$A$6:$G$47,6,0)</f>
        <v>342255.41855999996</v>
      </c>
      <c r="L421" s="921">
        <f t="shared" ref="L421:L426" si="1">INT(G421*H421*I421*J421*K421)</f>
        <v>13690</v>
      </c>
      <c r="M421" s="922"/>
      <c r="N421" s="406"/>
    </row>
    <row r="422" spans="1:18" s="22" customFormat="1" ht="24.95" hidden="1" customHeight="1">
      <c r="A422" s="267"/>
      <c r="B422" s="396" t="s">
        <v>1499</v>
      </c>
      <c r="C422" s="396"/>
      <c r="D422" s="396"/>
      <c r="E422" s="947" t="s">
        <v>1505</v>
      </c>
      <c r="F422" s="400" t="s">
        <v>14</v>
      </c>
      <c r="G422" s="919">
        <v>1.4E-2</v>
      </c>
      <c r="H422" s="920">
        <v>1</v>
      </c>
      <c r="I422" s="920">
        <v>1</v>
      </c>
      <c r="J422" s="920">
        <v>1</v>
      </c>
      <c r="K422" s="398">
        <f>VLOOKUP(F422,'8-5.2025하노임'!$A$6:$G$47,6,0)</f>
        <v>386848.44396</v>
      </c>
      <c r="L422" s="921">
        <f t="shared" si="1"/>
        <v>5415</v>
      </c>
      <c r="M422" s="922"/>
      <c r="N422" s="406"/>
    </row>
    <row r="423" spans="1:18" s="22" customFormat="1" ht="24.95" hidden="1" customHeight="1">
      <c r="A423" s="267"/>
      <c r="B423" s="396" t="s">
        <v>2</v>
      </c>
      <c r="C423" s="396"/>
      <c r="D423" s="396"/>
      <c r="E423" s="400"/>
      <c r="F423" s="400" t="s">
        <v>1500</v>
      </c>
      <c r="G423" s="919">
        <v>1.4E-2</v>
      </c>
      <c r="H423" s="920">
        <v>1</v>
      </c>
      <c r="I423" s="920">
        <v>1</v>
      </c>
      <c r="J423" s="920">
        <v>1</v>
      </c>
      <c r="K423" s="398">
        <f>VLOOKUP(F423,'8-5.2025하노임'!$A$6:$G$47,6,0)</f>
        <v>342255.41855999996</v>
      </c>
      <c r="L423" s="921">
        <f t="shared" si="1"/>
        <v>4791</v>
      </c>
      <c r="M423" s="921"/>
      <c r="N423" s="406"/>
    </row>
    <row r="424" spans="1:18" s="22" customFormat="1" ht="24.95" hidden="1" customHeight="1">
      <c r="A424" s="267"/>
      <c r="B424" s="396" t="s">
        <v>1501</v>
      </c>
      <c r="C424" s="396"/>
      <c r="D424" s="396"/>
      <c r="E424" s="947" t="s">
        <v>1502</v>
      </c>
      <c r="F424" s="400" t="s">
        <v>13</v>
      </c>
      <c r="G424" s="919">
        <v>0.1</v>
      </c>
      <c r="H424" s="920">
        <v>1</v>
      </c>
      <c r="I424" s="920">
        <v>1</v>
      </c>
      <c r="J424" s="920">
        <v>1</v>
      </c>
      <c r="K424" s="398">
        <f>VLOOKUP(F424,'8-5.2025하노임'!$A$6:$G$47,6,0)</f>
        <v>342255.41855999996</v>
      </c>
      <c r="L424" s="921">
        <f t="shared" si="1"/>
        <v>34225</v>
      </c>
      <c r="M424" s="922"/>
      <c r="N424" s="406"/>
    </row>
    <row r="425" spans="1:18" s="22" customFormat="1" ht="24.95" hidden="1" customHeight="1">
      <c r="A425" s="267"/>
      <c r="B425" s="396" t="s">
        <v>1506</v>
      </c>
      <c r="C425" s="396"/>
      <c r="D425" s="396"/>
      <c r="E425" s="947" t="s">
        <v>1505</v>
      </c>
      <c r="F425" s="400" t="s">
        <v>13</v>
      </c>
      <c r="G425" s="919">
        <v>0.46</v>
      </c>
      <c r="H425" s="920">
        <v>1</v>
      </c>
      <c r="I425" s="920">
        <v>1</v>
      </c>
      <c r="J425" s="920">
        <v>1</v>
      </c>
      <c r="K425" s="398">
        <f>VLOOKUP(F425,'8-5.2025하노임'!$A$6:$G$47,6,0)</f>
        <v>342255.41855999996</v>
      </c>
      <c r="L425" s="921">
        <f t="shared" si="1"/>
        <v>157437</v>
      </c>
      <c r="M425" s="922"/>
      <c r="N425" s="406"/>
    </row>
    <row r="426" spans="1:18" s="22" customFormat="1" ht="24.95" hidden="1" customHeight="1">
      <c r="A426" s="267"/>
      <c r="B426" s="396" t="s">
        <v>1507</v>
      </c>
      <c r="C426" s="396"/>
      <c r="D426" s="396"/>
      <c r="E426" s="947" t="s">
        <v>1504</v>
      </c>
      <c r="F426" s="400" t="s">
        <v>13</v>
      </c>
      <c r="G426" s="919">
        <v>2</v>
      </c>
      <c r="H426" s="920">
        <v>1</v>
      </c>
      <c r="I426" s="920">
        <v>1</v>
      </c>
      <c r="J426" s="920">
        <v>1</v>
      </c>
      <c r="K426" s="398">
        <f>VLOOKUP(F426,'8-5.2025하노임'!$A$6:$G$47,6,0)</f>
        <v>342255.41855999996</v>
      </c>
      <c r="L426" s="921">
        <f t="shared" si="1"/>
        <v>684510</v>
      </c>
      <c r="M426" s="922"/>
      <c r="N426" s="406"/>
    </row>
    <row r="427" spans="1:18" s="22" customFormat="1" ht="24.95" hidden="1" customHeight="1">
      <c r="A427" s="267"/>
      <c r="B427" s="396"/>
      <c r="C427" s="396"/>
      <c r="D427" s="396"/>
      <c r="E427" s="400"/>
      <c r="F427" s="400"/>
      <c r="G427" s="919"/>
      <c r="H427" s="919"/>
      <c r="I427" s="919"/>
      <c r="J427" s="919"/>
      <c r="K427" s="398"/>
      <c r="L427" s="922"/>
      <c r="M427" s="922"/>
      <c r="N427" s="406"/>
      <c r="P427" s="939"/>
    </row>
    <row r="428" spans="1:18" s="22" customFormat="1" ht="24.95" customHeight="1">
      <c r="A428" s="948" t="s">
        <v>3306</v>
      </c>
      <c r="B428" s="404" t="s">
        <v>615</v>
      </c>
      <c r="C428" s="404" t="s">
        <v>616</v>
      </c>
      <c r="D428" s="404"/>
      <c r="E428" s="947" t="s">
        <v>45</v>
      </c>
      <c r="F428" s="400" t="s">
        <v>12</v>
      </c>
      <c r="G428" s="919">
        <v>0.09</v>
      </c>
      <c r="H428" s="920">
        <v>1</v>
      </c>
      <c r="I428" s="920">
        <v>1</v>
      </c>
      <c r="J428" s="920">
        <v>1</v>
      </c>
      <c r="K428" s="398">
        <f>VLOOKUP(F428,'8-5.2025하노임'!$A$6:$G$47,6,0)</f>
        <v>391351.62</v>
      </c>
      <c r="L428" s="921">
        <f>INT(G428*H428*I428*J428*K428)</f>
        <v>35221</v>
      </c>
      <c r="M428" s="960">
        <f>SUM(L428:L429)</f>
        <v>66023</v>
      </c>
      <c r="N428" s="406" t="s">
        <v>923</v>
      </c>
      <c r="P428" s="10"/>
    </row>
    <row r="429" spans="1:18" s="10" customFormat="1" ht="24.95" customHeight="1">
      <c r="A429" s="267"/>
      <c r="B429" s="404"/>
      <c r="C429" s="404"/>
      <c r="D429" s="404"/>
      <c r="E429" s="947"/>
      <c r="F429" s="400" t="s">
        <v>13</v>
      </c>
      <c r="G429" s="919">
        <v>0.09</v>
      </c>
      <c r="H429" s="920">
        <v>1</v>
      </c>
      <c r="I429" s="920">
        <v>1</v>
      </c>
      <c r="J429" s="920">
        <v>1</v>
      </c>
      <c r="K429" s="398">
        <f>VLOOKUP(F429,'8-5.2025하노임'!$A$6:$G$47,6,0)</f>
        <v>342255.41855999996</v>
      </c>
      <c r="L429" s="921">
        <f>INT(G429*H429*I429*J429*K429)</f>
        <v>30802</v>
      </c>
      <c r="M429" s="960"/>
      <c r="N429" s="406"/>
      <c r="Q429" s="11"/>
    </row>
    <row r="430" spans="1:18" s="10" customFormat="1" ht="24.95" customHeight="1">
      <c r="A430" s="267"/>
      <c r="B430" s="396"/>
      <c r="C430" s="396"/>
      <c r="D430" s="396"/>
      <c r="E430" s="400"/>
      <c r="F430" s="400"/>
      <c r="G430" s="919"/>
      <c r="H430" s="919"/>
      <c r="I430" s="919"/>
      <c r="J430" s="919"/>
      <c r="K430" s="398"/>
      <c r="L430" s="922"/>
      <c r="M430" s="960"/>
      <c r="N430" s="406"/>
      <c r="O430" s="22"/>
      <c r="P430" s="22"/>
      <c r="Q430" s="22"/>
      <c r="R430" s="22"/>
    </row>
    <row r="431" spans="1:18" s="22" customFormat="1" ht="24.95" customHeight="1">
      <c r="A431" s="951" t="s">
        <v>3307</v>
      </c>
      <c r="B431" s="396" t="s">
        <v>1807</v>
      </c>
      <c r="C431" s="396" t="s">
        <v>1808</v>
      </c>
      <c r="D431" s="396"/>
      <c r="E431" s="400" t="s">
        <v>274</v>
      </c>
      <c r="F431" s="400" t="s">
        <v>266</v>
      </c>
      <c r="G431" s="399">
        <v>0.15</v>
      </c>
      <c r="H431" s="920">
        <v>1</v>
      </c>
      <c r="I431" s="920">
        <v>1</v>
      </c>
      <c r="J431" s="920">
        <v>1</v>
      </c>
      <c r="K431" s="398">
        <f>VLOOKUP(F431,'8-5.2025하노임'!$A$6:$G$47,6,0)</f>
        <v>276216.14889000001</v>
      </c>
      <c r="L431" s="921">
        <f>INT(G431*H431*I431*J431*K431)</f>
        <v>41432</v>
      </c>
      <c r="M431" s="922">
        <f>SUM(L431)</f>
        <v>41432</v>
      </c>
      <c r="N431" s="406" t="s">
        <v>1809</v>
      </c>
    </row>
    <row r="432" spans="1:18" s="22" customFormat="1" ht="24.95" customHeight="1">
      <c r="A432" s="267"/>
      <c r="B432" s="396"/>
      <c r="C432" s="396"/>
      <c r="D432" s="396"/>
      <c r="E432" s="400"/>
      <c r="F432" s="400"/>
      <c r="G432" s="919"/>
      <c r="H432" s="919"/>
      <c r="I432" s="919"/>
      <c r="J432" s="919"/>
      <c r="K432" s="398"/>
      <c r="L432" s="922"/>
      <c r="M432" s="922"/>
      <c r="N432" s="406"/>
    </row>
    <row r="433" spans="1:17" s="10" customFormat="1" ht="24.95" customHeight="1">
      <c r="A433" s="951"/>
      <c r="B433" s="396" t="s">
        <v>285</v>
      </c>
      <c r="C433" s="396" t="s">
        <v>286</v>
      </c>
      <c r="D433" s="396" t="s">
        <v>617</v>
      </c>
      <c r="E433" s="400" t="s">
        <v>272</v>
      </c>
      <c r="F433" s="400" t="s">
        <v>14</v>
      </c>
      <c r="G433" s="399">
        <v>1.7999999999999999E-2</v>
      </c>
      <c r="H433" s="920">
        <v>1.2</v>
      </c>
      <c r="I433" s="920">
        <v>1</v>
      </c>
      <c r="J433" s="920">
        <v>1</v>
      </c>
      <c r="K433" s="398">
        <f>VLOOKUP(F433,'8-5.2025하노임'!$A$6:$G$47,6,0)</f>
        <v>386848.44396</v>
      </c>
      <c r="L433" s="921">
        <f>INT(G433*H433*I433*J433*K433)</f>
        <v>8355</v>
      </c>
      <c r="M433" s="922">
        <f>SUM(L433)</f>
        <v>8355</v>
      </c>
      <c r="N433" s="581" t="s">
        <v>922</v>
      </c>
    </row>
    <row r="434" spans="1:17" s="10" customFormat="1" ht="24.95" customHeight="1">
      <c r="A434" s="267"/>
      <c r="B434" s="396"/>
      <c r="C434" s="396"/>
      <c r="D434" s="396"/>
      <c r="E434" s="400"/>
      <c r="F434" s="400"/>
      <c r="G434" s="919"/>
      <c r="H434" s="919"/>
      <c r="I434" s="919"/>
      <c r="J434" s="919"/>
      <c r="K434" s="398"/>
      <c r="L434" s="922"/>
      <c r="M434" s="922"/>
      <c r="N434" s="406"/>
    </row>
    <row r="435" spans="1:17" s="10" customFormat="1" ht="24.95" customHeight="1">
      <c r="A435" s="948"/>
      <c r="B435" s="416" t="s">
        <v>285</v>
      </c>
      <c r="C435" s="416" t="s">
        <v>618</v>
      </c>
      <c r="D435" s="396"/>
      <c r="E435" s="417" t="s">
        <v>272</v>
      </c>
      <c r="F435" s="417" t="s">
        <v>14</v>
      </c>
      <c r="G435" s="588">
        <v>1.4E-2</v>
      </c>
      <c r="H435" s="949">
        <v>1.2</v>
      </c>
      <c r="I435" s="949">
        <v>1</v>
      </c>
      <c r="J435" s="949">
        <v>1</v>
      </c>
      <c r="K435" s="398">
        <f>VLOOKUP(F435,'8-5.2025하노임'!$A$6:$G$47,6,0)</f>
        <v>386848.44396</v>
      </c>
      <c r="L435" s="950">
        <f>INT(G435*H435*I435*J435*K435)</f>
        <v>6499</v>
      </c>
      <c r="M435" s="961">
        <f>SUM(L435)</f>
        <v>6499</v>
      </c>
      <c r="N435" s="581" t="s">
        <v>922</v>
      </c>
    </row>
    <row r="436" spans="1:17" s="10" customFormat="1" ht="24.95" customHeight="1">
      <c r="A436" s="317"/>
      <c r="B436" s="416"/>
      <c r="C436" s="416"/>
      <c r="D436" s="416"/>
      <c r="E436" s="417"/>
      <c r="F436" s="417"/>
      <c r="G436" s="588"/>
      <c r="H436" s="588"/>
      <c r="I436" s="588"/>
      <c r="J436" s="588"/>
      <c r="K436" s="398"/>
      <c r="L436" s="588"/>
      <c r="M436" s="588"/>
      <c r="N436" s="581"/>
      <c r="Q436" s="11"/>
    </row>
    <row r="437" spans="1:17" s="22" customFormat="1" ht="24.95" customHeight="1">
      <c r="A437" s="951" t="s">
        <v>3308</v>
      </c>
      <c r="B437" s="396" t="s">
        <v>1145</v>
      </c>
      <c r="C437" s="396" t="s">
        <v>1374</v>
      </c>
      <c r="D437" s="396" t="s">
        <v>282</v>
      </c>
      <c r="E437" s="400" t="s">
        <v>272</v>
      </c>
      <c r="F437" s="400" t="s">
        <v>15</v>
      </c>
      <c r="G437" s="399">
        <v>0.01</v>
      </c>
      <c r="H437" s="920">
        <v>1.5</v>
      </c>
      <c r="I437" s="920">
        <v>1</v>
      </c>
      <c r="J437" s="920">
        <v>1</v>
      </c>
      <c r="K437" s="398">
        <f>VLOOKUP(F437,'8-5.2025하노임'!$A$6:$G$47,6,0)</f>
        <v>248856.63428999999</v>
      </c>
      <c r="L437" s="921">
        <f>INT(G437*H437*I437*J437*K437)</f>
        <v>3732</v>
      </c>
      <c r="M437" s="922">
        <f>SUM(L437)</f>
        <v>3732</v>
      </c>
      <c r="N437" s="406" t="s">
        <v>920</v>
      </c>
    </row>
    <row r="438" spans="1:17" s="22" customFormat="1" ht="24.95" customHeight="1">
      <c r="A438" s="951"/>
      <c r="B438" s="396"/>
      <c r="C438" s="396"/>
      <c r="D438" s="396"/>
      <c r="E438" s="400"/>
      <c r="F438" s="400"/>
      <c r="G438" s="399"/>
      <c r="H438" s="920"/>
      <c r="I438" s="920"/>
      <c r="J438" s="920"/>
      <c r="K438" s="398"/>
      <c r="L438" s="921"/>
      <c r="M438" s="922"/>
      <c r="N438" s="406"/>
    </row>
    <row r="439" spans="1:17" s="1534" customFormat="1" ht="24.95" customHeight="1">
      <c r="A439" s="1525" t="s">
        <v>2595</v>
      </c>
      <c r="B439" s="1526" t="s">
        <v>1145</v>
      </c>
      <c r="C439" s="1526"/>
      <c r="D439" s="1526" t="s">
        <v>282</v>
      </c>
      <c r="E439" s="1527" t="s">
        <v>272</v>
      </c>
      <c r="F439" s="1527" t="s">
        <v>15</v>
      </c>
      <c r="G439" s="1528">
        <v>0.01</v>
      </c>
      <c r="H439" s="1529">
        <v>1</v>
      </c>
      <c r="I439" s="1529">
        <v>1</v>
      </c>
      <c r="J439" s="1529">
        <v>1</v>
      </c>
      <c r="K439" s="1530">
        <f>VLOOKUP(F439,'8-5.2025하노임'!$A$6:$G$47,6,0)</f>
        <v>248856.63428999999</v>
      </c>
      <c r="L439" s="1531">
        <f>INT(G439*H439*I439*J439*K439)</f>
        <v>2488</v>
      </c>
      <c r="M439" s="1532">
        <f>SUM(L439)</f>
        <v>2488</v>
      </c>
      <c r="N439" s="1533" t="s">
        <v>920</v>
      </c>
    </row>
    <row r="440" spans="1:17" s="13" customFormat="1" ht="24.95" hidden="1" customHeight="1">
      <c r="A440" s="267"/>
      <c r="B440" s="396"/>
      <c r="C440" s="396"/>
      <c r="D440" s="396"/>
      <c r="E440" s="400"/>
      <c r="F440" s="400"/>
      <c r="G440" s="399"/>
      <c r="H440" s="399"/>
      <c r="I440" s="399"/>
      <c r="J440" s="399"/>
      <c r="K440" s="398"/>
      <c r="L440" s="940"/>
      <c r="M440" s="940"/>
      <c r="N440" s="406"/>
    </row>
    <row r="441" spans="1:17" ht="24.95" hidden="1" customHeight="1">
      <c r="A441" s="948"/>
      <c r="B441" s="396" t="s">
        <v>378</v>
      </c>
      <c r="C441" s="396" t="s">
        <v>379</v>
      </c>
      <c r="D441" s="396"/>
      <c r="E441" s="400" t="s">
        <v>271</v>
      </c>
      <c r="F441" s="400" t="s">
        <v>15</v>
      </c>
      <c r="G441" s="399">
        <v>0.03</v>
      </c>
      <c r="H441" s="920">
        <v>1</v>
      </c>
      <c r="I441" s="920">
        <v>1</v>
      </c>
      <c r="J441" s="920">
        <v>1</v>
      </c>
      <c r="K441" s="398">
        <f>VLOOKUP(F441,'8-5.2025하노임'!$A$6:$G$47,6,0)</f>
        <v>248856.63428999999</v>
      </c>
      <c r="L441" s="921">
        <f>INT(G441*H441*I441*J441*K441)</f>
        <v>7465</v>
      </c>
      <c r="M441" s="922">
        <f>SUM(L441)</f>
        <v>7465</v>
      </c>
      <c r="N441" s="581" t="s">
        <v>920</v>
      </c>
    </row>
    <row r="442" spans="1:17" ht="24.95" hidden="1" customHeight="1">
      <c r="A442" s="267"/>
      <c r="B442" s="396"/>
      <c r="C442" s="396"/>
      <c r="D442" s="396"/>
      <c r="E442" s="400"/>
      <c r="F442" s="400"/>
      <c r="G442" s="399"/>
      <c r="H442" s="399"/>
      <c r="I442" s="399"/>
      <c r="J442" s="399"/>
      <c r="K442" s="398"/>
      <c r="L442" s="399"/>
      <c r="M442" s="399"/>
      <c r="N442" s="406"/>
    </row>
    <row r="443" spans="1:17" ht="24.95" hidden="1" customHeight="1">
      <c r="A443" s="317"/>
      <c r="B443" s="416" t="s">
        <v>378</v>
      </c>
      <c r="C443" s="416" t="s">
        <v>619</v>
      </c>
      <c r="D443" s="416"/>
      <c r="E443" s="417" t="s">
        <v>271</v>
      </c>
      <c r="F443" s="417" t="s">
        <v>15</v>
      </c>
      <c r="G443" s="588">
        <v>0.1</v>
      </c>
      <c r="H443" s="949">
        <v>1</v>
      </c>
      <c r="I443" s="949">
        <v>1</v>
      </c>
      <c r="J443" s="949">
        <v>1</v>
      </c>
      <c r="K443" s="398">
        <f>VLOOKUP(F443,'8-5.2025하노임'!$A$6:$G$47,6,0)</f>
        <v>248856.63428999999</v>
      </c>
      <c r="L443" s="950">
        <f>INT(G443*H443*I443*J443*K443)</f>
        <v>24885</v>
      </c>
      <c r="M443" s="961">
        <f>SUM(L443)</f>
        <v>24885</v>
      </c>
      <c r="N443" s="581" t="s">
        <v>920</v>
      </c>
      <c r="P443" s="10"/>
    </row>
    <row r="444" spans="1:17" ht="24.95" customHeight="1">
      <c r="A444" s="317"/>
      <c r="B444" s="416"/>
      <c r="C444" s="416"/>
      <c r="D444" s="416"/>
      <c r="E444" s="417"/>
      <c r="F444" s="417"/>
      <c r="G444" s="588"/>
      <c r="H444" s="588"/>
      <c r="I444" s="588"/>
      <c r="J444" s="588"/>
      <c r="K444" s="398"/>
      <c r="L444" s="588"/>
      <c r="M444" s="588"/>
      <c r="N444" s="581"/>
    </row>
    <row r="445" spans="1:17" ht="24.95" customHeight="1">
      <c r="A445" s="948" t="s">
        <v>3309</v>
      </c>
      <c r="B445" s="416" t="s">
        <v>287</v>
      </c>
      <c r="C445" s="416" t="s">
        <v>291</v>
      </c>
      <c r="D445" s="416"/>
      <c r="E445" s="417" t="s">
        <v>272</v>
      </c>
      <c r="F445" s="417" t="s">
        <v>14</v>
      </c>
      <c r="G445" s="588">
        <v>1.4999999999999999E-2</v>
      </c>
      <c r="H445" s="949">
        <v>1</v>
      </c>
      <c r="I445" s="949">
        <v>1</v>
      </c>
      <c r="J445" s="949">
        <v>1</v>
      </c>
      <c r="K445" s="398">
        <f>VLOOKUP(F445,'8-5.2025하노임'!$A$6:$G$47,6,0)</f>
        <v>386848.44396</v>
      </c>
      <c r="L445" s="950">
        <f>INT(G445*H445*I445*J445*K445)</f>
        <v>5802</v>
      </c>
      <c r="M445" s="961">
        <f>SUM(L445)</f>
        <v>5802</v>
      </c>
      <c r="N445" s="581" t="s">
        <v>913</v>
      </c>
    </row>
    <row r="446" spans="1:17" ht="24.95" customHeight="1">
      <c r="A446" s="317"/>
      <c r="B446" s="416"/>
      <c r="C446" s="416"/>
      <c r="D446" s="416"/>
      <c r="E446" s="417"/>
      <c r="F446" s="417"/>
      <c r="G446" s="588"/>
      <c r="H446" s="588"/>
      <c r="I446" s="588"/>
      <c r="J446" s="588"/>
      <c r="K446" s="398"/>
      <c r="L446" s="954"/>
      <c r="M446" s="954"/>
      <c r="N446" s="581"/>
    </row>
    <row r="447" spans="1:17" ht="24.95" customHeight="1">
      <c r="A447" s="948"/>
      <c r="B447" s="416" t="s">
        <v>287</v>
      </c>
      <c r="C447" s="416" t="s">
        <v>787</v>
      </c>
      <c r="D447" s="416" t="s">
        <v>283</v>
      </c>
      <c r="E447" s="417" t="s">
        <v>272</v>
      </c>
      <c r="F447" s="417" t="s">
        <v>14</v>
      </c>
      <c r="G447" s="588">
        <v>1.4999999999999999E-2</v>
      </c>
      <c r="H447" s="949">
        <v>1.8</v>
      </c>
      <c r="I447" s="949">
        <v>1</v>
      </c>
      <c r="J447" s="949">
        <v>1</v>
      </c>
      <c r="K447" s="398">
        <f>VLOOKUP(F447,'8-5.2025하노임'!$A$6:$G$47,6,0)</f>
        <v>386848.44396</v>
      </c>
      <c r="L447" s="950">
        <f>INT(G447*H447*I447*J447*K447)</f>
        <v>10444</v>
      </c>
      <c r="M447" s="961">
        <f>SUM(L447)</f>
        <v>10444</v>
      </c>
      <c r="N447" s="581" t="s">
        <v>913</v>
      </c>
    </row>
    <row r="448" spans="1:17" ht="24.95" customHeight="1">
      <c r="A448" s="948"/>
      <c r="B448" s="416"/>
      <c r="C448" s="416"/>
      <c r="D448" s="416"/>
      <c r="E448" s="417"/>
      <c r="F448" s="417"/>
      <c r="G448" s="588"/>
      <c r="H448" s="949"/>
      <c r="I448" s="949"/>
      <c r="J448" s="949"/>
      <c r="K448" s="398"/>
      <c r="L448" s="950"/>
      <c r="M448" s="961"/>
      <c r="N448" s="581"/>
    </row>
    <row r="449" spans="1:18" ht="24.95" customHeight="1">
      <c r="A449" s="948" t="s">
        <v>3310</v>
      </c>
      <c r="B449" s="416" t="s">
        <v>287</v>
      </c>
      <c r="C449" s="416" t="s">
        <v>788</v>
      </c>
      <c r="D449" s="416" t="s">
        <v>280</v>
      </c>
      <c r="E449" s="417" t="s">
        <v>272</v>
      </c>
      <c r="F449" s="417" t="s">
        <v>14</v>
      </c>
      <c r="G449" s="588">
        <v>1.4999999999999999E-2</v>
      </c>
      <c r="H449" s="949">
        <v>2.6</v>
      </c>
      <c r="I449" s="949">
        <v>1</v>
      </c>
      <c r="J449" s="949">
        <v>1</v>
      </c>
      <c r="K449" s="398">
        <f>VLOOKUP(F449,'8-5.2025하노임'!$A$6:$G$47,6,0)</f>
        <v>386848.44396</v>
      </c>
      <c r="L449" s="950">
        <f>INT(G449*H449*I449*J449*K449)</f>
        <v>15087</v>
      </c>
      <c r="M449" s="961">
        <f>SUM(L449)</f>
        <v>15087</v>
      </c>
      <c r="N449" s="581" t="s">
        <v>913</v>
      </c>
    </row>
    <row r="450" spans="1:18" ht="24.95" hidden="1" customHeight="1">
      <c r="A450" s="948"/>
      <c r="B450" s="416"/>
      <c r="C450" s="416"/>
      <c r="D450" s="416"/>
      <c r="E450" s="417"/>
      <c r="F450" s="417"/>
      <c r="G450" s="588"/>
      <c r="H450" s="949"/>
      <c r="I450" s="949"/>
      <c r="J450" s="949"/>
      <c r="K450" s="398"/>
      <c r="L450" s="950"/>
      <c r="M450" s="961"/>
      <c r="N450" s="581"/>
    </row>
    <row r="451" spans="1:18" ht="24.95" hidden="1" customHeight="1">
      <c r="A451" s="948" t="s">
        <v>1029</v>
      </c>
      <c r="B451" s="416" t="s">
        <v>287</v>
      </c>
      <c r="C451" s="416" t="s">
        <v>1492</v>
      </c>
      <c r="D451" s="416" t="s">
        <v>284</v>
      </c>
      <c r="E451" s="417" t="s">
        <v>272</v>
      </c>
      <c r="F451" s="417" t="s">
        <v>14</v>
      </c>
      <c r="G451" s="588">
        <v>1.4999999999999999E-2</v>
      </c>
      <c r="H451" s="949">
        <v>3.4</v>
      </c>
      <c r="I451" s="949">
        <v>1</v>
      </c>
      <c r="J451" s="949">
        <v>1</v>
      </c>
      <c r="K451" s="398">
        <f>VLOOKUP(F451,'8-5.2025하노임'!$A$6:$G$47,6,0)</f>
        <v>386848.44396</v>
      </c>
      <c r="L451" s="950">
        <f>INT(G451*H451*I451*J451*K451)</f>
        <v>19729</v>
      </c>
      <c r="M451" s="961">
        <f>SUM(L451)</f>
        <v>19729</v>
      </c>
      <c r="N451" s="581" t="s">
        <v>913</v>
      </c>
    </row>
    <row r="452" spans="1:18" ht="24.95" customHeight="1">
      <c r="A452" s="317"/>
      <c r="B452" s="416"/>
      <c r="C452" s="416"/>
      <c r="D452" s="416"/>
      <c r="E452" s="417"/>
      <c r="F452" s="417"/>
      <c r="G452" s="588"/>
      <c r="H452" s="588"/>
      <c r="I452" s="588"/>
      <c r="J452" s="588"/>
      <c r="K452" s="398"/>
      <c r="L452" s="954"/>
      <c r="M452" s="954"/>
      <c r="N452" s="581"/>
    </row>
    <row r="453" spans="1:18" ht="24.95" customHeight="1">
      <c r="A453" s="317" t="s">
        <v>3311</v>
      </c>
      <c r="B453" s="416" t="s">
        <v>292</v>
      </c>
      <c r="C453" s="416" t="s">
        <v>293</v>
      </c>
      <c r="D453" s="416" t="s">
        <v>298</v>
      </c>
      <c r="E453" s="417" t="s">
        <v>272</v>
      </c>
      <c r="F453" s="417" t="s">
        <v>15</v>
      </c>
      <c r="G453" s="588">
        <v>4.3999999999999997E-2</v>
      </c>
      <c r="H453" s="949">
        <v>1.3</v>
      </c>
      <c r="I453" s="949">
        <v>1</v>
      </c>
      <c r="J453" s="949">
        <v>1</v>
      </c>
      <c r="K453" s="398">
        <f>VLOOKUP(F453,'8-5.2025하노임'!$A$6:$G$47,6,0)</f>
        <v>248856.63428999999</v>
      </c>
      <c r="L453" s="950">
        <f>INT(G453*H453*I453*J453*K453)</f>
        <v>14234</v>
      </c>
      <c r="M453" s="961">
        <f>SUM(L453)</f>
        <v>14234</v>
      </c>
      <c r="N453" s="581" t="s">
        <v>914</v>
      </c>
    </row>
    <row r="454" spans="1:18" ht="24.95" customHeight="1">
      <c r="A454" s="317"/>
      <c r="B454" s="416"/>
      <c r="C454" s="416"/>
      <c r="D454" s="416"/>
      <c r="E454" s="417"/>
      <c r="F454" s="417"/>
      <c r="G454" s="588"/>
      <c r="H454" s="949"/>
      <c r="I454" s="949"/>
      <c r="J454" s="949"/>
      <c r="K454" s="398"/>
      <c r="L454" s="950"/>
      <c r="M454" s="961"/>
      <c r="N454" s="581"/>
    </row>
    <row r="455" spans="1:18" s="1544" customFormat="1" ht="24.95" customHeight="1">
      <c r="A455" s="1535" t="s">
        <v>2602</v>
      </c>
      <c r="B455" s="1526" t="s">
        <v>292</v>
      </c>
      <c r="C455" s="1526"/>
      <c r="D455" s="1526" t="s">
        <v>298</v>
      </c>
      <c r="E455" s="1527" t="s">
        <v>272</v>
      </c>
      <c r="F455" s="1527" t="s">
        <v>15</v>
      </c>
      <c r="G455" s="1528">
        <v>4.3999999999999997E-2</v>
      </c>
      <c r="H455" s="1529">
        <v>1</v>
      </c>
      <c r="I455" s="1529">
        <v>1</v>
      </c>
      <c r="J455" s="1529">
        <v>1</v>
      </c>
      <c r="K455" s="1530">
        <f>VLOOKUP(F455,'8-5.2025하노임'!$A$6:$G$47,6,0)</f>
        <v>248856.63428999999</v>
      </c>
      <c r="L455" s="1531">
        <f>INT(G455*H455*I455*J455*K455)</f>
        <v>10949</v>
      </c>
      <c r="M455" s="1542">
        <f>SUM(L455)</f>
        <v>10949</v>
      </c>
      <c r="N455" s="1533" t="s">
        <v>914</v>
      </c>
    </row>
    <row r="456" spans="1:18" ht="24.95" hidden="1" customHeight="1">
      <c r="A456" s="317"/>
      <c r="B456" s="416"/>
      <c r="C456" s="416"/>
      <c r="D456" s="416"/>
      <c r="E456" s="417"/>
      <c r="F456" s="417"/>
      <c r="G456" s="588"/>
      <c r="H456" s="588"/>
      <c r="I456" s="588"/>
      <c r="J456" s="588"/>
      <c r="K456" s="398"/>
      <c r="L456" s="588"/>
      <c r="M456" s="588"/>
      <c r="N456" s="581"/>
    </row>
    <row r="457" spans="1:18" ht="24.95" hidden="1" customHeight="1">
      <c r="A457" s="317" t="s">
        <v>1802</v>
      </c>
      <c r="B457" s="416" t="s">
        <v>384</v>
      </c>
      <c r="C457" s="416" t="s">
        <v>385</v>
      </c>
      <c r="D457" s="416" t="s">
        <v>392</v>
      </c>
      <c r="E457" s="417" t="s">
        <v>271</v>
      </c>
      <c r="F457" s="417" t="s">
        <v>805</v>
      </c>
      <c r="G457" s="952">
        <v>0.08</v>
      </c>
      <c r="H457" s="949">
        <v>1.2</v>
      </c>
      <c r="I457" s="949">
        <v>1</v>
      </c>
      <c r="J457" s="949">
        <v>1</v>
      </c>
      <c r="K457" s="398">
        <f>VLOOKUP(F457,'8-5.2025하노임'!$A$6:$G$47,6,0)</f>
        <v>240022.26632999998</v>
      </c>
      <c r="L457" s="950">
        <f>INT(G457*H457*I457*J457*K457)</f>
        <v>23042</v>
      </c>
      <c r="M457" s="961">
        <f>SUM(L457:L457)</f>
        <v>23042</v>
      </c>
      <c r="N457" s="581" t="s">
        <v>808</v>
      </c>
    </row>
    <row r="458" spans="1:18" s="10" customFormat="1" ht="24.95" customHeight="1">
      <c r="A458" s="964"/>
      <c r="B458" s="965"/>
      <c r="C458" s="416"/>
      <c r="D458" s="416"/>
      <c r="E458" s="417"/>
      <c r="F458" s="417"/>
      <c r="G458" s="588"/>
      <c r="H458" s="949"/>
      <c r="I458" s="949"/>
      <c r="J458" s="949"/>
      <c r="K458" s="398"/>
      <c r="L458" s="950"/>
      <c r="M458" s="950"/>
      <c r="N458" s="581"/>
      <c r="O458" s="22"/>
      <c r="P458" s="939"/>
      <c r="Q458" s="22"/>
      <c r="R458" s="22"/>
    </row>
    <row r="459" spans="1:18" ht="24.95" customHeight="1">
      <c r="A459" s="317"/>
      <c r="B459" s="416"/>
      <c r="C459" s="416"/>
      <c r="D459" s="416"/>
      <c r="E459" s="417"/>
      <c r="F459" s="417"/>
      <c r="G459" s="588"/>
      <c r="H459" s="588"/>
      <c r="I459" s="588"/>
      <c r="J459" s="588"/>
      <c r="K459" s="398"/>
      <c r="L459" s="953"/>
      <c r="M459" s="953"/>
      <c r="N459" s="581"/>
    </row>
    <row r="460" spans="1:18" ht="24.95" customHeight="1">
      <c r="A460" s="545" t="s">
        <v>2945</v>
      </c>
      <c r="B460" s="969"/>
      <c r="C460" s="969"/>
      <c r="D460" s="969"/>
      <c r="E460" s="970"/>
      <c r="F460" s="970"/>
      <c r="G460" s="971"/>
      <c r="H460" s="971"/>
      <c r="I460" s="971"/>
      <c r="J460" s="971"/>
      <c r="K460" s="398"/>
      <c r="L460" s="972"/>
      <c r="M460" s="972"/>
      <c r="N460" s="973"/>
    </row>
    <row r="461" spans="1:18" ht="24.95" customHeight="1">
      <c r="A461" s="974" t="s">
        <v>3014</v>
      </c>
      <c r="B461" s="969" t="s">
        <v>1810</v>
      </c>
      <c r="C461" s="969" t="s">
        <v>1811</v>
      </c>
      <c r="D461" s="970"/>
      <c r="E461" s="970" t="s">
        <v>195</v>
      </c>
      <c r="F461" s="970" t="s">
        <v>209</v>
      </c>
      <c r="G461" s="971">
        <v>0.21</v>
      </c>
      <c r="H461" s="971">
        <v>1</v>
      </c>
      <c r="I461" s="971">
        <v>1</v>
      </c>
      <c r="J461" s="971">
        <v>1</v>
      </c>
      <c r="K461" s="398">
        <f>VLOOKUP(F461,'8-5.2025하노임'!$A$6:$G$47,6,0)</f>
        <v>391351.62</v>
      </c>
      <c r="L461" s="950">
        <f>INT(G461*H461*I461*J461*K461)</f>
        <v>82183</v>
      </c>
      <c r="M461" s="961">
        <f>SUM(L461:L462)</f>
        <v>92450</v>
      </c>
      <c r="N461" s="973" t="s">
        <v>911</v>
      </c>
    </row>
    <row r="462" spans="1:18" ht="24.95" customHeight="1">
      <c r="A462" s="974"/>
      <c r="B462" s="969"/>
      <c r="C462" s="969"/>
      <c r="D462" s="970"/>
      <c r="E462" s="970"/>
      <c r="F462" s="970" t="s">
        <v>208</v>
      </c>
      <c r="G462" s="971">
        <v>0.03</v>
      </c>
      <c r="H462" s="971">
        <v>1</v>
      </c>
      <c r="I462" s="971">
        <v>1</v>
      </c>
      <c r="J462" s="971">
        <v>1</v>
      </c>
      <c r="K462" s="398">
        <f>VLOOKUP(F462,'8-5.2025하노임'!$A$6:$G$47,6,0)</f>
        <v>342255.41855999996</v>
      </c>
      <c r="L462" s="950">
        <f t="shared" ref="L462:L529" si="2">INT(G462*H462*I462*J462*K462)</f>
        <v>10267</v>
      </c>
      <c r="M462" s="922"/>
      <c r="N462" s="973"/>
    </row>
    <row r="463" spans="1:18" ht="24.95" customHeight="1">
      <c r="A463" s="974"/>
      <c r="B463" s="969"/>
      <c r="C463" s="969"/>
      <c r="D463" s="970"/>
      <c r="E463" s="970"/>
      <c r="F463" s="970"/>
      <c r="G463" s="971"/>
      <c r="H463" s="971"/>
      <c r="I463" s="971"/>
      <c r="J463" s="971"/>
      <c r="K463" s="398"/>
      <c r="L463" s="950"/>
      <c r="M463" s="922"/>
      <c r="N463" s="973"/>
    </row>
    <row r="464" spans="1:18" ht="24.95" customHeight="1">
      <c r="A464" s="974" t="s">
        <v>3015</v>
      </c>
      <c r="B464" s="969" t="s">
        <v>1812</v>
      </c>
      <c r="C464" s="969" t="s">
        <v>1813</v>
      </c>
      <c r="D464" s="970"/>
      <c r="E464" s="970" t="s">
        <v>195</v>
      </c>
      <c r="F464" s="970" t="s">
        <v>17</v>
      </c>
      <c r="G464" s="971">
        <v>0.18</v>
      </c>
      <c r="H464" s="971">
        <v>1</v>
      </c>
      <c r="I464" s="971">
        <v>1</v>
      </c>
      <c r="J464" s="971">
        <v>1</v>
      </c>
      <c r="K464" s="398">
        <f>VLOOKUP(F464,'8-5.2025하노임'!$A$6:$G$47,6,0)</f>
        <v>266103.30713999999</v>
      </c>
      <c r="L464" s="950">
        <f t="shared" si="2"/>
        <v>47898</v>
      </c>
      <c r="M464" s="961">
        <f>SUM(L464:L466)</f>
        <v>124630</v>
      </c>
      <c r="N464" s="973" t="s">
        <v>1585</v>
      </c>
    </row>
    <row r="465" spans="1:14" ht="24.95" customHeight="1">
      <c r="A465" s="974"/>
      <c r="B465" s="969"/>
      <c r="C465" s="969"/>
      <c r="D465" s="970"/>
      <c r="E465" s="970"/>
      <c r="F465" s="970" t="s">
        <v>3</v>
      </c>
      <c r="G465" s="971">
        <v>0.18</v>
      </c>
      <c r="H465" s="971">
        <v>1</v>
      </c>
      <c r="I465" s="971">
        <v>1</v>
      </c>
      <c r="J465" s="971">
        <v>1</v>
      </c>
      <c r="K465" s="398">
        <f>VLOOKUP(F465,'8-5.2025하노임'!$A$6:$G$47,6,0)</f>
        <v>276216.14889000001</v>
      </c>
      <c r="L465" s="950">
        <f t="shared" si="2"/>
        <v>49718</v>
      </c>
      <c r="M465" s="922"/>
      <c r="N465" s="973"/>
    </row>
    <row r="466" spans="1:14" ht="24.95" customHeight="1">
      <c r="A466" s="974"/>
      <c r="B466" s="969"/>
      <c r="C466" s="969"/>
      <c r="D466" s="970"/>
      <c r="E466" s="970"/>
      <c r="F466" s="970" t="s">
        <v>4</v>
      </c>
      <c r="G466" s="971">
        <v>0.18</v>
      </c>
      <c r="H466" s="971">
        <v>1</v>
      </c>
      <c r="I466" s="971">
        <v>1</v>
      </c>
      <c r="J466" s="971">
        <v>1</v>
      </c>
      <c r="K466" s="398">
        <f>VLOOKUP(F466,'8-5.2025하노임'!$A$6:$G$47,6,0)</f>
        <v>150079.83638999998</v>
      </c>
      <c r="L466" s="950">
        <f t="shared" si="2"/>
        <v>27014</v>
      </c>
      <c r="M466" s="922"/>
      <c r="N466" s="973"/>
    </row>
    <row r="467" spans="1:14" ht="24.95" customHeight="1">
      <c r="A467" s="974"/>
      <c r="B467" s="969"/>
      <c r="C467" s="969"/>
      <c r="D467" s="970"/>
      <c r="E467" s="970"/>
      <c r="F467" s="970"/>
      <c r="G467" s="971"/>
      <c r="H467" s="971"/>
      <c r="I467" s="971"/>
      <c r="J467" s="971"/>
      <c r="K467" s="398"/>
      <c r="L467" s="950"/>
      <c r="M467" s="922"/>
      <c r="N467" s="973"/>
    </row>
    <row r="468" spans="1:14" ht="24.95" customHeight="1">
      <c r="A468" s="974" t="s">
        <v>3016</v>
      </c>
      <c r="B468" s="969" t="s">
        <v>1814</v>
      </c>
      <c r="C468" s="969" t="s">
        <v>1815</v>
      </c>
      <c r="D468" s="970"/>
      <c r="E468" s="970" t="s">
        <v>195</v>
      </c>
      <c r="F468" s="970" t="s">
        <v>17</v>
      </c>
      <c r="G468" s="971">
        <v>0.18</v>
      </c>
      <c r="H468" s="971">
        <v>1</v>
      </c>
      <c r="I468" s="971">
        <v>1</v>
      </c>
      <c r="J468" s="971">
        <v>1</v>
      </c>
      <c r="K468" s="398">
        <f>VLOOKUP(F468,'8-5.2025하노임'!$A$6:$G$47,6,0)</f>
        <v>266103.30713999999</v>
      </c>
      <c r="L468" s="950">
        <f t="shared" si="2"/>
        <v>47898</v>
      </c>
      <c r="M468" s="961">
        <f>SUM(L468:L469)</f>
        <v>97616</v>
      </c>
      <c r="N468" s="973" t="s">
        <v>1587</v>
      </c>
    </row>
    <row r="469" spans="1:14" ht="24.95" customHeight="1">
      <c r="A469" s="974"/>
      <c r="B469" s="969"/>
      <c r="C469" s="969"/>
      <c r="D469" s="970"/>
      <c r="E469" s="970"/>
      <c r="F469" s="970" t="s">
        <v>3</v>
      </c>
      <c r="G469" s="971">
        <v>0.18</v>
      </c>
      <c r="H469" s="971">
        <v>1</v>
      </c>
      <c r="I469" s="971">
        <v>1</v>
      </c>
      <c r="J469" s="971">
        <v>1</v>
      </c>
      <c r="K469" s="398">
        <f>VLOOKUP(F469,'8-5.2025하노임'!$A$6:$G$47,6,0)</f>
        <v>276216.14889000001</v>
      </c>
      <c r="L469" s="950">
        <f t="shared" si="2"/>
        <v>49718</v>
      </c>
      <c r="M469" s="922"/>
      <c r="N469" s="973"/>
    </row>
    <row r="470" spans="1:14" ht="24.95" customHeight="1">
      <c r="A470" s="974"/>
      <c r="B470" s="969"/>
      <c r="C470" s="969"/>
      <c r="D470" s="970"/>
      <c r="E470" s="970"/>
      <c r="F470" s="970"/>
      <c r="G470" s="971"/>
      <c r="H470" s="971"/>
      <c r="I470" s="971"/>
      <c r="J470" s="971"/>
      <c r="K470" s="398"/>
      <c r="L470" s="950"/>
      <c r="M470" s="922"/>
      <c r="N470" s="973"/>
    </row>
    <row r="471" spans="1:14" ht="24.95" customHeight="1">
      <c r="A471" s="974" t="s">
        <v>3017</v>
      </c>
      <c r="B471" s="588" t="s">
        <v>3239</v>
      </c>
      <c r="C471" s="1714" t="s">
        <v>3240</v>
      </c>
      <c r="D471" s="1714"/>
      <c r="E471" s="417" t="s">
        <v>457</v>
      </c>
      <c r="F471" s="417" t="s">
        <v>3241</v>
      </c>
      <c r="G471" s="952">
        <v>0.52</v>
      </c>
      <c r="H471" s="1715">
        <v>1</v>
      </c>
      <c r="I471" s="1715">
        <v>1</v>
      </c>
      <c r="J471" s="1715">
        <v>1</v>
      </c>
      <c r="K471" s="398">
        <f>VLOOKUP(F471,'[198]8-5.2025상노임'!$A$6:$G$47,6,0)</f>
        <v>297137</v>
      </c>
      <c r="L471" s="950">
        <f t="shared" ref="L471:L472" si="3">INT(G471*H471*I471*J471*K471)</f>
        <v>154511</v>
      </c>
      <c r="M471" s="922">
        <f>SUM(L471:L472)</f>
        <v>315154</v>
      </c>
      <c r="N471" s="581" t="s">
        <v>3242</v>
      </c>
    </row>
    <row r="472" spans="1:14" ht="24.95" customHeight="1">
      <c r="A472" s="974"/>
      <c r="B472" s="588"/>
      <c r="C472" s="1714"/>
      <c r="D472" s="1714"/>
      <c r="E472" s="417"/>
      <c r="F472" s="417" t="s">
        <v>3243</v>
      </c>
      <c r="G472" s="952">
        <v>0.52</v>
      </c>
      <c r="H472" s="1715">
        <v>1</v>
      </c>
      <c r="I472" s="1715">
        <v>1</v>
      </c>
      <c r="J472" s="1715">
        <v>1</v>
      </c>
      <c r="K472" s="398">
        <f>VLOOKUP(F472,'[198]8-5.2025상노임'!$A$6:$G$47,6,0)</f>
        <v>308930</v>
      </c>
      <c r="L472" s="950">
        <f t="shared" si="3"/>
        <v>160643</v>
      </c>
      <c r="M472" s="922"/>
      <c r="N472" s="581"/>
    </row>
    <row r="473" spans="1:14" ht="24.95" customHeight="1">
      <c r="A473" s="974"/>
      <c r="B473" s="969"/>
      <c r="C473" s="969"/>
      <c r="D473" s="970"/>
      <c r="E473" s="970"/>
      <c r="F473" s="970"/>
      <c r="G473" s="971"/>
      <c r="H473" s="971"/>
      <c r="I473" s="971"/>
      <c r="J473" s="971"/>
      <c r="K473" s="398"/>
      <c r="L473" s="950"/>
      <c r="M473" s="922"/>
      <c r="N473" s="973"/>
    </row>
    <row r="474" spans="1:14" ht="24.95" customHeight="1">
      <c r="A474" s="974" t="s">
        <v>3018</v>
      </c>
      <c r="B474" s="969" t="s">
        <v>1817</v>
      </c>
      <c r="C474" s="969" t="s">
        <v>1816</v>
      </c>
      <c r="D474" s="970"/>
      <c r="E474" s="970" t="s">
        <v>195</v>
      </c>
      <c r="F474" s="970" t="s">
        <v>3</v>
      </c>
      <c r="G474" s="971">
        <v>0.32</v>
      </c>
      <c r="H474" s="971">
        <v>1</v>
      </c>
      <c r="I474" s="971">
        <v>1</v>
      </c>
      <c r="J474" s="971">
        <v>1</v>
      </c>
      <c r="K474" s="398">
        <f>VLOOKUP(F474,'8-5.2025하노임'!$A$6:$G$47,6,0)</f>
        <v>276216.14889000001</v>
      </c>
      <c r="L474" s="950">
        <f t="shared" si="2"/>
        <v>88389</v>
      </c>
      <c r="M474" s="961">
        <f>SUM(L474:L475)</f>
        <v>151423</v>
      </c>
      <c r="N474" s="973" t="s">
        <v>1585</v>
      </c>
    </row>
    <row r="475" spans="1:14" ht="24.95" customHeight="1">
      <c r="A475" s="974"/>
      <c r="B475" s="969"/>
      <c r="C475" s="969"/>
      <c r="D475" s="970"/>
      <c r="E475" s="970"/>
      <c r="F475" s="970" t="s">
        <v>16</v>
      </c>
      <c r="G475" s="971">
        <v>0.32</v>
      </c>
      <c r="H475" s="971">
        <v>1</v>
      </c>
      <c r="I475" s="971">
        <v>1</v>
      </c>
      <c r="J475" s="971">
        <v>1</v>
      </c>
      <c r="K475" s="398">
        <f>VLOOKUP(F475,'8-5.2025하노임'!$A$6:$G$47,6,0)</f>
        <v>196983.2403</v>
      </c>
      <c r="L475" s="950">
        <f t="shared" si="2"/>
        <v>63034</v>
      </c>
      <c r="M475" s="922"/>
      <c r="N475" s="973"/>
    </row>
    <row r="476" spans="1:14" ht="24.95" customHeight="1">
      <c r="A476" s="974"/>
      <c r="B476" s="969"/>
      <c r="C476" s="969"/>
      <c r="D476" s="970"/>
      <c r="E476" s="970"/>
      <c r="F476" s="970"/>
      <c r="G476" s="971"/>
      <c r="H476" s="971"/>
      <c r="I476" s="971"/>
      <c r="J476" s="971"/>
      <c r="K476" s="398"/>
      <c r="L476" s="950"/>
      <c r="M476" s="922"/>
      <c r="N476" s="973"/>
    </row>
    <row r="477" spans="1:14" ht="24.95" customHeight="1">
      <c r="A477" s="974" t="s">
        <v>3085</v>
      </c>
      <c r="B477" s="969" t="s">
        <v>1817</v>
      </c>
      <c r="C477" s="969" t="s">
        <v>1818</v>
      </c>
      <c r="D477" s="970"/>
      <c r="E477" s="970" t="s">
        <v>195</v>
      </c>
      <c r="F477" s="970" t="s">
        <v>3</v>
      </c>
      <c r="G477" s="971">
        <v>0.24</v>
      </c>
      <c r="H477" s="971">
        <v>0.8</v>
      </c>
      <c r="I477" s="971">
        <v>1</v>
      </c>
      <c r="J477" s="971">
        <v>1</v>
      </c>
      <c r="K477" s="398">
        <f>VLOOKUP(F477,'8-5.2025하노임'!$A$6:$G$47,6,0)</f>
        <v>276216.14889000001</v>
      </c>
      <c r="L477" s="950">
        <f t="shared" si="2"/>
        <v>53033</v>
      </c>
      <c r="M477" s="961">
        <f>SUM(L477:L478)</f>
        <v>90853</v>
      </c>
      <c r="N477" s="973" t="s">
        <v>1585</v>
      </c>
    </row>
    <row r="478" spans="1:14" ht="24.95" customHeight="1">
      <c r="A478" s="974"/>
      <c r="B478" s="969"/>
      <c r="C478" s="969"/>
      <c r="D478" s="970"/>
      <c r="E478" s="970"/>
      <c r="F478" s="970" t="s">
        <v>16</v>
      </c>
      <c r="G478" s="971">
        <v>0.24</v>
      </c>
      <c r="H478" s="971">
        <v>0.8</v>
      </c>
      <c r="I478" s="971">
        <v>1</v>
      </c>
      <c r="J478" s="971">
        <v>1</v>
      </c>
      <c r="K478" s="398">
        <f>VLOOKUP(F478,'8-5.2025하노임'!$A$6:$G$47,6,0)</f>
        <v>196983.2403</v>
      </c>
      <c r="L478" s="950">
        <f t="shared" si="2"/>
        <v>37820</v>
      </c>
      <c r="M478" s="922"/>
      <c r="N478" s="973"/>
    </row>
    <row r="479" spans="1:14" ht="24.95" customHeight="1">
      <c r="A479" s="974"/>
      <c r="B479" s="969"/>
      <c r="C479" s="969"/>
      <c r="D479" s="970"/>
      <c r="E479" s="970"/>
      <c r="F479" s="970"/>
      <c r="G479" s="971"/>
      <c r="H479" s="971"/>
      <c r="I479" s="971"/>
      <c r="J479" s="971"/>
      <c r="K479" s="398"/>
      <c r="L479" s="950"/>
      <c r="M479" s="922"/>
      <c r="N479" s="973"/>
    </row>
    <row r="480" spans="1:14" ht="24.95" customHeight="1">
      <c r="A480" s="974" t="s">
        <v>3087</v>
      </c>
      <c r="B480" s="969" t="s">
        <v>1819</v>
      </c>
      <c r="C480" s="969" t="s">
        <v>1820</v>
      </c>
      <c r="D480" s="970"/>
      <c r="E480" s="970" t="s">
        <v>1821</v>
      </c>
      <c r="F480" s="970" t="s">
        <v>17</v>
      </c>
      <c r="G480" s="971">
        <v>0.52</v>
      </c>
      <c r="H480" s="971">
        <v>1</v>
      </c>
      <c r="I480" s="971">
        <v>1</v>
      </c>
      <c r="J480" s="971">
        <v>1</v>
      </c>
      <c r="K480" s="398">
        <f>VLOOKUP(F480,'8-5.2025하노임'!$A$6:$G$47,6,0)</f>
        <v>266103.30713999999</v>
      </c>
      <c r="L480" s="950">
        <f t="shared" si="2"/>
        <v>138373</v>
      </c>
      <c r="M480" s="961">
        <f>SUM(L480:L481)</f>
        <v>317913</v>
      </c>
      <c r="N480" s="973" t="s">
        <v>1585</v>
      </c>
    </row>
    <row r="481" spans="1:14" ht="24.95" customHeight="1">
      <c r="A481" s="974"/>
      <c r="B481" s="969"/>
      <c r="C481" s="969"/>
      <c r="D481" s="970"/>
      <c r="E481" s="970"/>
      <c r="F481" s="970" t="s">
        <v>3</v>
      </c>
      <c r="G481" s="971">
        <v>0.65</v>
      </c>
      <c r="H481" s="971">
        <v>1</v>
      </c>
      <c r="I481" s="971">
        <v>1</v>
      </c>
      <c r="J481" s="971">
        <v>1</v>
      </c>
      <c r="K481" s="398">
        <f>VLOOKUP(F481,'8-5.2025하노임'!$A$6:$G$47,6,0)</f>
        <v>276216.14889000001</v>
      </c>
      <c r="L481" s="950">
        <f t="shared" si="2"/>
        <v>179540</v>
      </c>
      <c r="M481" s="922"/>
      <c r="N481" s="973"/>
    </row>
    <row r="482" spans="1:14" ht="24.95" customHeight="1">
      <c r="A482" s="974"/>
      <c r="B482" s="969"/>
      <c r="C482" s="969"/>
      <c r="D482" s="970"/>
      <c r="E482" s="970"/>
      <c r="F482" s="970"/>
      <c r="G482" s="971"/>
      <c r="H482" s="971"/>
      <c r="I482" s="971"/>
      <c r="J482" s="971"/>
      <c r="K482" s="398"/>
      <c r="L482" s="950"/>
      <c r="M482" s="922"/>
      <c r="N482" s="973"/>
    </row>
    <row r="483" spans="1:14" ht="24.95" customHeight="1">
      <c r="A483" s="974" t="s">
        <v>3089</v>
      </c>
      <c r="B483" s="969" t="s">
        <v>1822</v>
      </c>
      <c r="C483" s="969" t="s">
        <v>1823</v>
      </c>
      <c r="D483" s="970" t="s">
        <v>1824</v>
      </c>
      <c r="E483" s="970" t="s">
        <v>195</v>
      </c>
      <c r="F483" s="970" t="s">
        <v>17</v>
      </c>
      <c r="G483" s="971">
        <v>0.04</v>
      </c>
      <c r="H483" s="971">
        <v>1</v>
      </c>
      <c r="I483" s="971">
        <v>1</v>
      </c>
      <c r="J483" s="971">
        <v>1</v>
      </c>
      <c r="K483" s="398">
        <f>VLOOKUP(F483,'8-5.2025하노임'!$A$6:$G$47,6,0)</f>
        <v>266103.30713999999</v>
      </c>
      <c r="L483" s="950">
        <f t="shared" si="2"/>
        <v>10644</v>
      </c>
      <c r="M483" s="961">
        <f>SUM(L483:L484)</f>
        <v>32741</v>
      </c>
      <c r="N483" s="973" t="s">
        <v>1585</v>
      </c>
    </row>
    <row r="484" spans="1:14" ht="24.95" customHeight="1">
      <c r="A484" s="974"/>
      <c r="B484" s="969"/>
      <c r="C484" s="969"/>
      <c r="D484" s="970"/>
      <c r="E484" s="970"/>
      <c r="F484" s="970" t="s">
        <v>3</v>
      </c>
      <c r="G484" s="971">
        <v>0.08</v>
      </c>
      <c r="H484" s="971">
        <v>1</v>
      </c>
      <c r="I484" s="971">
        <v>1</v>
      </c>
      <c r="J484" s="971">
        <v>1</v>
      </c>
      <c r="K484" s="398">
        <f>VLOOKUP(F484,'8-5.2025하노임'!$A$6:$G$47,6,0)</f>
        <v>276216.14889000001</v>
      </c>
      <c r="L484" s="950">
        <f t="shared" si="2"/>
        <v>22097</v>
      </c>
      <c r="M484" s="922"/>
      <c r="N484" s="973"/>
    </row>
    <row r="485" spans="1:14" ht="24.95" customHeight="1">
      <c r="A485" s="974"/>
      <c r="B485" s="969"/>
      <c r="C485" s="969"/>
      <c r="D485" s="970"/>
      <c r="E485" s="970"/>
      <c r="F485" s="970"/>
      <c r="G485" s="971"/>
      <c r="H485" s="971"/>
      <c r="I485" s="971"/>
      <c r="J485" s="971"/>
      <c r="K485" s="398"/>
      <c r="L485" s="950"/>
      <c r="M485" s="922"/>
      <c r="N485" s="973"/>
    </row>
    <row r="486" spans="1:14" ht="24.95" customHeight="1">
      <c r="A486" s="974" t="s">
        <v>3091</v>
      </c>
      <c r="B486" s="969" t="s">
        <v>1822</v>
      </c>
      <c r="C486" s="969" t="s">
        <v>1825</v>
      </c>
      <c r="D486" s="970" t="s">
        <v>1826</v>
      </c>
      <c r="E486" s="970" t="s">
        <v>195</v>
      </c>
      <c r="F486" s="970" t="s">
        <v>17</v>
      </c>
      <c r="G486" s="971">
        <v>0.04</v>
      </c>
      <c r="H486" s="971">
        <v>0.06</v>
      </c>
      <c r="I486" s="971">
        <v>1</v>
      </c>
      <c r="J486" s="971">
        <v>1</v>
      </c>
      <c r="K486" s="398">
        <f>VLOOKUP(F486,'8-5.2025하노임'!$A$6:$G$47,6,0)</f>
        <v>266103.30713999999</v>
      </c>
      <c r="L486" s="950">
        <f t="shared" si="2"/>
        <v>638</v>
      </c>
      <c r="M486" s="961">
        <f>SUM(L486:L487)</f>
        <v>1963</v>
      </c>
      <c r="N486" s="973" t="s">
        <v>1585</v>
      </c>
    </row>
    <row r="487" spans="1:14" ht="24.95" customHeight="1">
      <c r="A487" s="974"/>
      <c r="B487" s="969"/>
      <c r="C487" s="969"/>
      <c r="D487" s="970" t="s">
        <v>1827</v>
      </c>
      <c r="E487" s="970"/>
      <c r="F487" s="970" t="s">
        <v>3</v>
      </c>
      <c r="G487" s="971">
        <v>0.08</v>
      </c>
      <c r="H487" s="971">
        <v>0.06</v>
      </c>
      <c r="I487" s="971">
        <v>1</v>
      </c>
      <c r="J487" s="971">
        <v>1</v>
      </c>
      <c r="K487" s="398">
        <f>VLOOKUP(F487,'8-5.2025하노임'!$A$6:$G$47,6,0)</f>
        <v>276216.14889000001</v>
      </c>
      <c r="L487" s="950">
        <f t="shared" si="2"/>
        <v>1325</v>
      </c>
      <c r="M487" s="922"/>
      <c r="N487" s="973"/>
    </row>
    <row r="488" spans="1:14" ht="24.95" customHeight="1">
      <c r="A488" s="974"/>
      <c r="B488" s="969"/>
      <c r="C488" s="969"/>
      <c r="D488" s="970"/>
      <c r="E488" s="970"/>
      <c r="F488" s="970"/>
      <c r="G488" s="971"/>
      <c r="H488" s="971"/>
      <c r="I488" s="971"/>
      <c r="J488" s="971"/>
      <c r="K488" s="398"/>
      <c r="L488" s="950"/>
      <c r="M488" s="922"/>
      <c r="N488" s="973"/>
    </row>
    <row r="489" spans="1:14" ht="24.95" customHeight="1">
      <c r="A489" s="974" t="s">
        <v>3020</v>
      </c>
      <c r="B489" s="969" t="s">
        <v>1828</v>
      </c>
      <c r="C489" s="969" t="s">
        <v>1813</v>
      </c>
      <c r="D489" s="970"/>
      <c r="E489" s="970" t="s">
        <v>195</v>
      </c>
      <c r="F489" s="970" t="s">
        <v>17</v>
      </c>
      <c r="G489" s="971">
        <v>0.18</v>
      </c>
      <c r="H489" s="971">
        <v>1</v>
      </c>
      <c r="I489" s="971">
        <v>1</v>
      </c>
      <c r="J489" s="971">
        <v>1</v>
      </c>
      <c r="K489" s="398">
        <f>VLOOKUP(F489,'8-5.2025하노임'!$A$6:$G$47,6,0)</f>
        <v>266103.30713999999</v>
      </c>
      <c r="L489" s="950">
        <f t="shared" si="2"/>
        <v>47898</v>
      </c>
      <c r="M489" s="961">
        <f>SUM(L489:L491)</f>
        <v>124630</v>
      </c>
      <c r="N489" s="973" t="s">
        <v>1585</v>
      </c>
    </row>
    <row r="490" spans="1:14" ht="24.95" customHeight="1">
      <c r="A490" s="974"/>
      <c r="B490" s="969"/>
      <c r="C490" s="969"/>
      <c r="D490" s="970"/>
      <c r="E490" s="970"/>
      <c r="F490" s="970" t="s">
        <v>3</v>
      </c>
      <c r="G490" s="971">
        <v>0.18</v>
      </c>
      <c r="H490" s="971">
        <v>1</v>
      </c>
      <c r="I490" s="971">
        <v>1</v>
      </c>
      <c r="J490" s="971">
        <v>1</v>
      </c>
      <c r="K490" s="398">
        <f>VLOOKUP(F490,'8-5.2025하노임'!$A$6:$G$47,6,0)</f>
        <v>276216.14889000001</v>
      </c>
      <c r="L490" s="950">
        <f t="shared" si="2"/>
        <v>49718</v>
      </c>
      <c r="M490" s="922"/>
      <c r="N490" s="973"/>
    </row>
    <row r="491" spans="1:14" ht="24.95" customHeight="1">
      <c r="A491" s="974"/>
      <c r="B491" s="969"/>
      <c r="C491" s="969"/>
      <c r="D491" s="970"/>
      <c r="E491" s="970"/>
      <c r="F491" s="970" t="s">
        <v>4</v>
      </c>
      <c r="G491" s="971">
        <v>0.18</v>
      </c>
      <c r="H491" s="971">
        <v>1</v>
      </c>
      <c r="I491" s="971">
        <v>1</v>
      </c>
      <c r="J491" s="971">
        <v>1</v>
      </c>
      <c r="K491" s="398">
        <f>VLOOKUP(F491,'8-5.2025하노임'!$A$6:$G$47,6,0)</f>
        <v>150079.83638999998</v>
      </c>
      <c r="L491" s="950">
        <f t="shared" si="2"/>
        <v>27014</v>
      </c>
      <c r="M491" s="922"/>
      <c r="N491" s="973"/>
    </row>
    <row r="492" spans="1:14" ht="24.95" customHeight="1">
      <c r="A492" s="974"/>
      <c r="B492" s="969"/>
      <c r="C492" s="969"/>
      <c r="D492" s="970"/>
      <c r="E492" s="970"/>
      <c r="F492" s="970"/>
      <c r="G492" s="971"/>
      <c r="H492" s="971"/>
      <c r="I492" s="971"/>
      <c r="J492" s="971"/>
      <c r="K492" s="398"/>
      <c r="L492" s="950"/>
      <c r="M492" s="922"/>
      <c r="N492" s="973"/>
    </row>
    <row r="493" spans="1:14" ht="24.95" customHeight="1">
      <c r="A493" s="974" t="s">
        <v>3021</v>
      </c>
      <c r="B493" s="969" t="s">
        <v>1829</v>
      </c>
      <c r="C493" s="969" t="s">
        <v>1829</v>
      </c>
      <c r="D493" s="970"/>
      <c r="E493" s="970" t="s">
        <v>195</v>
      </c>
      <c r="F493" s="970"/>
      <c r="G493" s="971"/>
      <c r="H493" s="971"/>
      <c r="I493" s="971"/>
      <c r="J493" s="971"/>
      <c r="K493" s="398"/>
      <c r="L493" s="950"/>
      <c r="M493" s="922">
        <f>M494+M497</f>
        <v>252964</v>
      </c>
      <c r="N493" s="973" t="s">
        <v>908</v>
      </c>
    </row>
    <row r="494" spans="1:14" ht="24.95" customHeight="1">
      <c r="A494" s="974"/>
      <c r="B494" s="969" t="s">
        <v>1830</v>
      </c>
      <c r="C494" s="969" t="s">
        <v>1754</v>
      </c>
      <c r="D494" s="970"/>
      <c r="E494" s="970" t="s">
        <v>1755</v>
      </c>
      <c r="F494" s="970" t="s">
        <v>3</v>
      </c>
      <c r="G494" s="971">
        <v>0.5</v>
      </c>
      <c r="H494" s="971">
        <v>1</v>
      </c>
      <c r="I494" s="971">
        <v>1</v>
      </c>
      <c r="J494" s="971">
        <v>1</v>
      </c>
      <c r="K494" s="398">
        <f>VLOOKUP(F494,'8-5.2025하노임'!$A$6:$G$47,6,0)</f>
        <v>276216.14889000001</v>
      </c>
      <c r="L494" s="950">
        <f t="shared" si="2"/>
        <v>138108</v>
      </c>
      <c r="M494" s="961">
        <f>SUM(L494:L495)</f>
        <v>213147</v>
      </c>
      <c r="N494" s="973" t="s">
        <v>908</v>
      </c>
    </row>
    <row r="495" spans="1:14" ht="24.95" customHeight="1">
      <c r="A495" s="974"/>
      <c r="B495" s="969" t="s">
        <v>2</v>
      </c>
      <c r="C495" s="969"/>
      <c r="D495" s="970"/>
      <c r="E495" s="970"/>
      <c r="F495" s="970" t="s">
        <v>4</v>
      </c>
      <c r="G495" s="971">
        <v>0.5</v>
      </c>
      <c r="H495" s="971">
        <v>1</v>
      </c>
      <c r="I495" s="971">
        <v>1</v>
      </c>
      <c r="J495" s="971">
        <v>1</v>
      </c>
      <c r="K495" s="398">
        <f>VLOOKUP(F495,'8-5.2025하노임'!$A$6:$G$47,6,0)</f>
        <v>150079.83638999998</v>
      </c>
      <c r="L495" s="950">
        <f t="shared" si="2"/>
        <v>75039</v>
      </c>
      <c r="M495" s="922"/>
      <c r="N495" s="973"/>
    </row>
    <row r="496" spans="1:14" ht="24.95" customHeight="1">
      <c r="A496" s="974"/>
      <c r="B496" s="969"/>
      <c r="C496" s="969"/>
      <c r="D496" s="970"/>
      <c r="E496" s="970"/>
      <c r="F496" s="970"/>
      <c r="G496" s="971"/>
      <c r="H496" s="971"/>
      <c r="I496" s="971"/>
      <c r="J496" s="971"/>
      <c r="K496" s="398"/>
      <c r="L496" s="950"/>
      <c r="M496" s="922"/>
      <c r="N496" s="973"/>
    </row>
    <row r="497" spans="1:14" ht="24.95" customHeight="1">
      <c r="A497" s="974"/>
      <c r="B497" s="969" t="s">
        <v>1831</v>
      </c>
      <c r="C497" s="969" t="s">
        <v>1832</v>
      </c>
      <c r="D497" s="970"/>
      <c r="E497" s="970" t="s">
        <v>1833</v>
      </c>
      <c r="F497" s="970" t="s">
        <v>30</v>
      </c>
      <c r="G497" s="971">
        <v>0.16</v>
      </c>
      <c r="H497" s="971">
        <v>1</v>
      </c>
      <c r="I497" s="971">
        <v>1</v>
      </c>
      <c r="J497" s="971">
        <v>1</v>
      </c>
      <c r="K497" s="398">
        <f>VLOOKUP(F497,'8-5.2025하노임'!$A$6:$G$47,6,0)</f>
        <v>248856.63428999999</v>
      </c>
      <c r="L497" s="950">
        <f t="shared" si="2"/>
        <v>39817</v>
      </c>
      <c r="M497" s="922">
        <f>L497</f>
        <v>39817</v>
      </c>
      <c r="N497" s="973" t="s">
        <v>909</v>
      </c>
    </row>
    <row r="498" spans="1:14" ht="24.95" customHeight="1">
      <c r="A498" s="974"/>
      <c r="B498" s="969"/>
      <c r="C498" s="969"/>
      <c r="D498" s="970"/>
      <c r="E498" s="970"/>
      <c r="F498" s="970"/>
      <c r="G498" s="971"/>
      <c r="H498" s="971"/>
      <c r="I498" s="971"/>
      <c r="J498" s="971"/>
      <c r="K498" s="398"/>
      <c r="L498" s="950"/>
      <c r="M498" s="922"/>
      <c r="N498" s="973"/>
    </row>
    <row r="499" spans="1:14" ht="24.95" customHeight="1">
      <c r="A499" s="974" t="s">
        <v>3022</v>
      </c>
      <c r="B499" s="969" t="s">
        <v>1834</v>
      </c>
      <c r="C499" s="969" t="s">
        <v>1813</v>
      </c>
      <c r="D499" s="970"/>
      <c r="E499" s="970" t="s">
        <v>1821</v>
      </c>
      <c r="F499" s="970" t="s">
        <v>17</v>
      </c>
      <c r="G499" s="971">
        <v>0.18</v>
      </c>
      <c r="H499" s="971">
        <v>1</v>
      </c>
      <c r="I499" s="971">
        <v>1</v>
      </c>
      <c r="J499" s="971">
        <v>1</v>
      </c>
      <c r="K499" s="398">
        <f>VLOOKUP(F499,'8-5.2025하노임'!$A$6:$G$47,6,0)</f>
        <v>266103.30713999999</v>
      </c>
      <c r="L499" s="950">
        <f t="shared" si="2"/>
        <v>47898</v>
      </c>
      <c r="M499" s="961">
        <f>SUM(L499:L501)</f>
        <v>124630</v>
      </c>
      <c r="N499" s="973" t="s">
        <v>1585</v>
      </c>
    </row>
    <row r="500" spans="1:14" ht="24.95" customHeight="1">
      <c r="A500" s="974"/>
      <c r="B500" s="969"/>
      <c r="C500" s="969"/>
      <c r="D500" s="970"/>
      <c r="E500" s="970"/>
      <c r="F500" s="970" t="s">
        <v>3</v>
      </c>
      <c r="G500" s="971">
        <v>0.18</v>
      </c>
      <c r="H500" s="971">
        <v>1</v>
      </c>
      <c r="I500" s="971">
        <v>1</v>
      </c>
      <c r="J500" s="971">
        <v>1</v>
      </c>
      <c r="K500" s="398">
        <f>VLOOKUP(F500,'8-5.2025하노임'!$A$6:$G$47,6,0)</f>
        <v>276216.14889000001</v>
      </c>
      <c r="L500" s="950">
        <f t="shared" si="2"/>
        <v>49718</v>
      </c>
      <c r="M500" s="922"/>
      <c r="N500" s="973"/>
    </row>
    <row r="501" spans="1:14" ht="24.95" customHeight="1">
      <c r="A501" s="974"/>
      <c r="B501" s="969"/>
      <c r="C501" s="969"/>
      <c r="D501" s="970"/>
      <c r="E501" s="970"/>
      <c r="F501" s="970" t="s">
        <v>4</v>
      </c>
      <c r="G501" s="971">
        <v>0.18</v>
      </c>
      <c r="H501" s="971">
        <v>1</v>
      </c>
      <c r="I501" s="971">
        <v>1</v>
      </c>
      <c r="J501" s="971">
        <v>1</v>
      </c>
      <c r="K501" s="398">
        <f>VLOOKUP(F501,'8-5.2025하노임'!$A$6:$G$47,6,0)</f>
        <v>150079.83638999998</v>
      </c>
      <c r="L501" s="950">
        <f t="shared" si="2"/>
        <v>27014</v>
      </c>
      <c r="M501" s="922"/>
      <c r="N501" s="973"/>
    </row>
    <row r="502" spans="1:14" ht="24.95" customHeight="1">
      <c r="A502" s="974"/>
      <c r="B502" s="969"/>
      <c r="C502" s="969"/>
      <c r="D502" s="970"/>
      <c r="E502" s="970"/>
      <c r="F502" s="970"/>
      <c r="G502" s="971"/>
      <c r="H502" s="971"/>
      <c r="I502" s="971"/>
      <c r="J502" s="971"/>
      <c r="K502" s="398"/>
      <c r="L502" s="950"/>
      <c r="M502" s="922"/>
      <c r="N502" s="973"/>
    </row>
    <row r="503" spans="1:14" ht="24.95" customHeight="1">
      <c r="A503" s="974" t="s">
        <v>3023</v>
      </c>
      <c r="B503" s="969" t="s">
        <v>1835</v>
      </c>
      <c r="C503" s="969" t="s">
        <v>1836</v>
      </c>
      <c r="D503" s="970" t="s">
        <v>1837</v>
      </c>
      <c r="E503" s="970" t="s">
        <v>195</v>
      </c>
      <c r="F503" s="970" t="s">
        <v>17</v>
      </c>
      <c r="G503" s="971">
        <v>0.34</v>
      </c>
      <c r="H503" s="971">
        <v>1.8</v>
      </c>
      <c r="I503" s="971">
        <v>1</v>
      </c>
      <c r="J503" s="971">
        <v>1</v>
      </c>
      <c r="K503" s="398">
        <f>VLOOKUP(F503,'8-5.2025하노임'!$A$6:$G$47,6,0)</f>
        <v>266103.30713999999</v>
      </c>
      <c r="L503" s="950">
        <f t="shared" si="2"/>
        <v>162855</v>
      </c>
      <c r="M503" s="961">
        <f>SUM(L503:L504)</f>
        <v>331899</v>
      </c>
      <c r="N503" s="973" t="s">
        <v>1585</v>
      </c>
    </row>
    <row r="504" spans="1:14" ht="24.95" customHeight="1">
      <c r="A504" s="974"/>
      <c r="B504" s="969"/>
      <c r="C504" s="969"/>
      <c r="D504" s="970"/>
      <c r="E504" s="970"/>
      <c r="F504" s="970" t="s">
        <v>3</v>
      </c>
      <c r="G504" s="971">
        <v>0.34</v>
      </c>
      <c r="H504" s="971">
        <v>1.8</v>
      </c>
      <c r="I504" s="971">
        <v>1</v>
      </c>
      <c r="J504" s="971">
        <v>1</v>
      </c>
      <c r="K504" s="398">
        <f>VLOOKUP(F504,'8-5.2025하노임'!$A$6:$G$47,6,0)</f>
        <v>276216.14889000001</v>
      </c>
      <c r="L504" s="950">
        <f t="shared" si="2"/>
        <v>169044</v>
      </c>
      <c r="M504" s="922"/>
      <c r="N504" s="973"/>
    </row>
    <row r="505" spans="1:14" ht="24.95" customHeight="1">
      <c r="A505" s="974"/>
      <c r="B505" s="969"/>
      <c r="C505" s="969"/>
      <c r="D505" s="970"/>
      <c r="E505" s="970"/>
      <c r="F505" s="970"/>
      <c r="G505" s="971"/>
      <c r="H505" s="971"/>
      <c r="I505" s="971"/>
      <c r="J505" s="971"/>
      <c r="K505" s="398"/>
      <c r="L505" s="950"/>
      <c r="M505" s="922"/>
      <c r="N505" s="973"/>
    </row>
    <row r="506" spans="1:14" s="1544" customFormat="1" ht="24.95" customHeight="1">
      <c r="A506" s="1545" t="s">
        <v>2598</v>
      </c>
      <c r="B506" s="1546" t="s">
        <v>1835</v>
      </c>
      <c r="C506" s="1546"/>
      <c r="D506" s="1547" t="s">
        <v>1837</v>
      </c>
      <c r="E506" s="1547" t="s">
        <v>195</v>
      </c>
      <c r="F506" s="1547" t="s">
        <v>17</v>
      </c>
      <c r="G506" s="1548">
        <v>0.34</v>
      </c>
      <c r="H506" s="1548">
        <v>1</v>
      </c>
      <c r="I506" s="1548">
        <v>1</v>
      </c>
      <c r="J506" s="1548">
        <v>1</v>
      </c>
      <c r="K506" s="1530">
        <f>VLOOKUP(F506,'8-5.2025하노임'!$A$6:$G$47,6,0)</f>
        <v>266103.30713999999</v>
      </c>
      <c r="L506" s="1531">
        <f t="shared" ref="L506:L507" si="4">INT(G506*H506*I506*J506*K506)</f>
        <v>90475</v>
      </c>
      <c r="M506" s="1542">
        <f>SUM(L506:L507)</f>
        <v>184388</v>
      </c>
      <c r="N506" s="1549" t="s">
        <v>1585</v>
      </c>
    </row>
    <row r="507" spans="1:14" s="1544" customFormat="1" ht="24.95" customHeight="1">
      <c r="A507" s="1545"/>
      <c r="B507" s="1546"/>
      <c r="C507" s="1546"/>
      <c r="D507" s="1547"/>
      <c r="E507" s="1547"/>
      <c r="F507" s="1547" t="s">
        <v>3</v>
      </c>
      <c r="G507" s="1548">
        <v>0.34</v>
      </c>
      <c r="H507" s="1548">
        <v>1</v>
      </c>
      <c r="I507" s="1548">
        <v>1</v>
      </c>
      <c r="J507" s="1548">
        <v>1</v>
      </c>
      <c r="K507" s="1530">
        <f>VLOOKUP(F507,'8-5.2025하노임'!$A$6:$G$47,6,0)</f>
        <v>276216.14889000001</v>
      </c>
      <c r="L507" s="1531">
        <f t="shared" si="4"/>
        <v>93913</v>
      </c>
      <c r="M507" s="1532"/>
      <c r="N507" s="1549"/>
    </row>
    <row r="508" spans="1:14" ht="24.95" customHeight="1">
      <c r="A508" s="974"/>
      <c r="B508" s="969"/>
      <c r="C508" s="969"/>
      <c r="D508" s="970"/>
      <c r="E508" s="970"/>
      <c r="F508" s="970"/>
      <c r="G508" s="971"/>
      <c r="H508" s="971"/>
      <c r="I508" s="971"/>
      <c r="J508" s="971"/>
      <c r="K508" s="398"/>
      <c r="L508" s="950"/>
      <c r="M508" s="922"/>
      <c r="N508" s="973"/>
    </row>
    <row r="509" spans="1:14" ht="24.95" customHeight="1">
      <c r="A509" s="974"/>
      <c r="B509" s="969"/>
      <c r="C509" s="969"/>
      <c r="D509" s="970"/>
      <c r="E509" s="970"/>
      <c r="F509" s="970"/>
      <c r="G509" s="971"/>
      <c r="H509" s="971"/>
      <c r="I509" s="971"/>
      <c r="J509" s="971"/>
      <c r="K509" s="398"/>
      <c r="L509" s="950"/>
      <c r="M509" s="922"/>
      <c r="N509" s="973"/>
    </row>
    <row r="510" spans="1:14" ht="24.95" customHeight="1">
      <c r="A510" s="974" t="s">
        <v>3024</v>
      </c>
      <c r="B510" s="969" t="s">
        <v>1835</v>
      </c>
      <c r="C510" s="969" t="s">
        <v>3365</v>
      </c>
      <c r="D510" s="970"/>
      <c r="E510" s="970" t="s">
        <v>195</v>
      </c>
      <c r="F510" s="970" t="s">
        <v>17</v>
      </c>
      <c r="G510" s="971">
        <v>0.34</v>
      </c>
      <c r="H510" s="971">
        <v>1</v>
      </c>
      <c r="I510" s="971">
        <v>1</v>
      </c>
      <c r="J510" s="971">
        <v>1</v>
      </c>
      <c r="K510" s="398">
        <f>VLOOKUP(F510,'8-5.2025하노임'!$A$6:$G$47,6,0)</f>
        <v>266103.30713999999</v>
      </c>
      <c r="L510" s="950">
        <f t="shared" si="2"/>
        <v>90475</v>
      </c>
      <c r="M510" s="961">
        <f>SUM(L510:L511)</f>
        <v>184388</v>
      </c>
      <c r="N510" s="973" t="s">
        <v>3366</v>
      </c>
    </row>
    <row r="511" spans="1:14" ht="24.95" customHeight="1">
      <c r="A511" s="974"/>
      <c r="B511" s="969"/>
      <c r="C511" s="969"/>
      <c r="D511" s="970"/>
      <c r="E511" s="970"/>
      <c r="F511" s="970" t="s">
        <v>3</v>
      </c>
      <c r="G511" s="971">
        <v>0.34</v>
      </c>
      <c r="H511" s="971">
        <v>1</v>
      </c>
      <c r="I511" s="971">
        <v>1</v>
      </c>
      <c r="J511" s="971">
        <v>1</v>
      </c>
      <c r="K511" s="398">
        <f>VLOOKUP(F511,'8-5.2025하노임'!$A$6:$G$47,6,0)</f>
        <v>276216.14889000001</v>
      </c>
      <c r="L511" s="950">
        <f t="shared" si="2"/>
        <v>93913</v>
      </c>
      <c r="M511" s="922"/>
      <c r="N511" s="973"/>
    </row>
    <row r="512" spans="1:14" ht="24.95" customHeight="1">
      <c r="A512" s="974"/>
      <c r="B512" s="969"/>
      <c r="C512" s="969"/>
      <c r="D512" s="970"/>
      <c r="E512" s="970"/>
      <c r="F512" s="970"/>
      <c r="G512" s="971"/>
      <c r="H512" s="971"/>
      <c r="I512" s="971"/>
      <c r="J512" s="971"/>
      <c r="K512" s="398"/>
      <c r="L512" s="950"/>
      <c r="M512" s="922"/>
      <c r="N512" s="973"/>
    </row>
    <row r="513" spans="1:14" ht="24.95" customHeight="1">
      <c r="A513" s="974" t="s">
        <v>3025</v>
      </c>
      <c r="B513" s="969" t="s">
        <v>1838</v>
      </c>
      <c r="C513" s="969" t="s">
        <v>1839</v>
      </c>
      <c r="D513" s="970" t="s">
        <v>1840</v>
      </c>
      <c r="E513" s="970" t="s">
        <v>337</v>
      </c>
      <c r="F513" s="970" t="s">
        <v>30</v>
      </c>
      <c r="G513" s="971">
        <v>0.24</v>
      </c>
      <c r="H513" s="971">
        <v>0.8</v>
      </c>
      <c r="I513" s="971">
        <v>1</v>
      </c>
      <c r="J513" s="971">
        <v>1</v>
      </c>
      <c r="K513" s="398">
        <f>VLOOKUP(F513,'8-5.2025하노임'!$A$6:$G$47,6,0)</f>
        <v>248856.63428999999</v>
      </c>
      <c r="L513" s="950">
        <f t="shared" si="2"/>
        <v>47780</v>
      </c>
      <c r="M513" s="961">
        <f>SUM(L513:L514)</f>
        <v>47780</v>
      </c>
      <c r="N513" s="973" t="s">
        <v>1841</v>
      </c>
    </row>
    <row r="514" spans="1:14" ht="24.95" customHeight="1">
      <c r="A514" s="974"/>
      <c r="B514" s="969"/>
      <c r="C514" s="969"/>
      <c r="D514" s="970"/>
      <c r="E514" s="970"/>
      <c r="F514" s="970"/>
      <c r="G514" s="971"/>
      <c r="H514" s="971"/>
      <c r="I514" s="971"/>
      <c r="J514" s="971"/>
      <c r="K514" s="398"/>
      <c r="L514" s="950"/>
      <c r="M514" s="922"/>
      <c r="N514" s="973"/>
    </row>
    <row r="515" spans="1:14" ht="24.95" customHeight="1">
      <c r="A515" s="974"/>
      <c r="B515" s="969"/>
      <c r="C515" s="969"/>
      <c r="D515" s="970"/>
      <c r="E515" s="970"/>
      <c r="F515" s="970"/>
      <c r="G515" s="971"/>
      <c r="H515" s="971"/>
      <c r="I515" s="971"/>
      <c r="J515" s="971"/>
      <c r="K515" s="398"/>
      <c r="L515" s="950"/>
      <c r="M515" s="922"/>
      <c r="N515" s="973"/>
    </row>
    <row r="516" spans="1:14" ht="24.95" customHeight="1">
      <c r="A516" s="974" t="s">
        <v>3026</v>
      </c>
      <c r="B516" s="969" t="s">
        <v>1842</v>
      </c>
      <c r="C516" s="969" t="s">
        <v>1843</v>
      </c>
      <c r="D516" s="970"/>
      <c r="E516" s="970" t="s">
        <v>195</v>
      </c>
      <c r="F516" s="970" t="s">
        <v>3</v>
      </c>
      <c r="G516" s="971">
        <v>0.18</v>
      </c>
      <c r="H516" s="971">
        <v>1</v>
      </c>
      <c r="I516" s="971">
        <v>1</v>
      </c>
      <c r="J516" s="971">
        <v>1</v>
      </c>
      <c r="K516" s="398">
        <f>VLOOKUP(F516,'8-5.2025하노임'!$A$6:$G$47,6,0)</f>
        <v>276216.14889000001</v>
      </c>
      <c r="L516" s="950">
        <f>INT(G516*H516*I516*J516*K516)</f>
        <v>49718</v>
      </c>
      <c r="M516" s="961">
        <f>SUM(L516:L523)</f>
        <v>468023</v>
      </c>
      <c r="N516" s="973" t="s">
        <v>1844</v>
      </c>
    </row>
    <row r="517" spans="1:14" ht="24.95" customHeight="1">
      <c r="A517" s="974"/>
      <c r="B517" s="969"/>
      <c r="C517" s="969"/>
      <c r="D517" s="970"/>
      <c r="E517" s="970"/>
      <c r="F517" s="970" t="s">
        <v>31</v>
      </c>
      <c r="G517" s="971">
        <v>0.18</v>
      </c>
      <c r="H517" s="971">
        <v>1</v>
      </c>
      <c r="I517" s="971">
        <v>1</v>
      </c>
      <c r="J517" s="971">
        <v>1</v>
      </c>
      <c r="K517" s="398">
        <f>VLOOKUP(F517,'8-5.2025하노임'!$A$6:$G$47,6,0)</f>
        <v>386848.44396</v>
      </c>
      <c r="L517" s="950">
        <f>INT(G517*H517*I517*J517*K517)</f>
        <v>69632</v>
      </c>
      <c r="M517" s="922"/>
      <c r="N517" s="973"/>
    </row>
    <row r="518" spans="1:14" ht="24.95" customHeight="1">
      <c r="A518" s="974"/>
      <c r="B518" s="969"/>
      <c r="C518" s="969" t="s">
        <v>1845</v>
      </c>
      <c r="D518" s="970"/>
      <c r="E518" s="970"/>
      <c r="F518" s="970" t="s">
        <v>3</v>
      </c>
      <c r="G518" s="971">
        <v>0.11</v>
      </c>
      <c r="H518" s="971">
        <v>1</v>
      </c>
      <c r="I518" s="971">
        <v>1</v>
      </c>
      <c r="J518" s="971">
        <v>1</v>
      </c>
      <c r="K518" s="398">
        <f>VLOOKUP(F518,'8-5.2025하노임'!$A$6:$G$47,6,0)</f>
        <v>276216.14889000001</v>
      </c>
      <c r="L518" s="950">
        <f t="shared" si="2"/>
        <v>30383</v>
      </c>
      <c r="M518" s="922"/>
      <c r="N518" s="973"/>
    </row>
    <row r="519" spans="1:14" ht="24.95" customHeight="1">
      <c r="A519" s="974"/>
      <c r="B519" s="969"/>
      <c r="C519" s="969"/>
      <c r="D519" s="970"/>
      <c r="E519" s="970"/>
      <c r="F519" s="970" t="s">
        <v>31</v>
      </c>
      <c r="G519" s="971">
        <v>0.22</v>
      </c>
      <c r="H519" s="971">
        <v>1</v>
      </c>
      <c r="I519" s="971">
        <v>1</v>
      </c>
      <c r="J519" s="971">
        <v>1</v>
      </c>
      <c r="K519" s="398">
        <f>VLOOKUP(F519,'8-5.2025하노임'!$A$6:$G$47,6,0)</f>
        <v>386848.44396</v>
      </c>
      <c r="L519" s="950">
        <f t="shared" si="2"/>
        <v>85106</v>
      </c>
      <c r="M519" s="922"/>
      <c r="N519" s="973"/>
    </row>
    <row r="520" spans="1:14" ht="24.95" customHeight="1">
      <c r="A520" s="974"/>
      <c r="B520" s="969"/>
      <c r="C520" s="969" t="s">
        <v>1846</v>
      </c>
      <c r="D520" s="970"/>
      <c r="E520" s="970"/>
      <c r="F520" s="970" t="s">
        <v>3</v>
      </c>
      <c r="G520" s="971">
        <v>0.12</v>
      </c>
      <c r="H520" s="971">
        <v>1</v>
      </c>
      <c r="I520" s="971">
        <v>1</v>
      </c>
      <c r="J520" s="971">
        <v>1</v>
      </c>
      <c r="K520" s="398">
        <f>VLOOKUP(F520,'8-5.2025하노임'!$A$6:$G$47,6,0)</f>
        <v>276216.14889000001</v>
      </c>
      <c r="L520" s="950">
        <f t="shared" si="2"/>
        <v>33145</v>
      </c>
      <c r="M520" s="922"/>
      <c r="N520" s="973"/>
    </row>
    <row r="521" spans="1:14" ht="24.95" customHeight="1">
      <c r="A521" s="974"/>
      <c r="B521" s="969"/>
      <c r="C521" s="969"/>
      <c r="D521" s="970"/>
      <c r="E521" s="970"/>
      <c r="F521" s="970" t="s">
        <v>31</v>
      </c>
      <c r="G521" s="971">
        <v>0.12</v>
      </c>
      <c r="H521" s="971">
        <v>1</v>
      </c>
      <c r="I521" s="971">
        <v>1</v>
      </c>
      <c r="J521" s="971">
        <v>1</v>
      </c>
      <c r="K521" s="398">
        <f>VLOOKUP(F521,'8-5.2025하노임'!$A$6:$G$47,6,0)</f>
        <v>386848.44396</v>
      </c>
      <c r="L521" s="950">
        <f t="shared" si="2"/>
        <v>46421</v>
      </c>
      <c r="M521" s="922"/>
      <c r="N521" s="973"/>
    </row>
    <row r="522" spans="1:14" ht="24.95" customHeight="1">
      <c r="A522" s="974"/>
      <c r="B522" s="969"/>
      <c r="C522" s="969" t="s">
        <v>1847</v>
      </c>
      <c r="D522" s="970"/>
      <c r="E522" s="970"/>
      <c r="F522" s="970" t="s">
        <v>3</v>
      </c>
      <c r="G522" s="971">
        <v>0.15</v>
      </c>
      <c r="H522" s="971">
        <v>1</v>
      </c>
      <c r="I522" s="971">
        <v>1</v>
      </c>
      <c r="J522" s="971">
        <v>1</v>
      </c>
      <c r="K522" s="398">
        <f>VLOOKUP(F522,'8-5.2025하노임'!$A$6:$G$47,6,0)</f>
        <v>276216.14889000001</v>
      </c>
      <c r="L522" s="950">
        <f t="shared" si="2"/>
        <v>41432</v>
      </c>
      <c r="M522" s="922"/>
      <c r="N522" s="973"/>
    </row>
    <row r="523" spans="1:14" ht="24.95" customHeight="1">
      <c r="A523" s="974"/>
      <c r="B523" s="969"/>
      <c r="C523" s="969"/>
      <c r="D523" s="970"/>
      <c r="E523" s="970"/>
      <c r="F523" s="970" t="s">
        <v>31</v>
      </c>
      <c r="G523" s="971">
        <v>0.28999999999999998</v>
      </c>
      <c r="H523" s="971">
        <v>1</v>
      </c>
      <c r="I523" s="971">
        <v>1</v>
      </c>
      <c r="J523" s="971">
        <v>1</v>
      </c>
      <c r="K523" s="398">
        <f>VLOOKUP(F523,'8-5.2025하노임'!$A$6:$G$47,6,0)</f>
        <v>386848.44396</v>
      </c>
      <c r="L523" s="950">
        <f t="shared" si="2"/>
        <v>112186</v>
      </c>
      <c r="M523" s="922"/>
      <c r="N523" s="973"/>
    </row>
    <row r="524" spans="1:14" ht="24.95" customHeight="1">
      <c r="A524" s="974"/>
      <c r="B524" s="969"/>
      <c r="C524" s="969"/>
      <c r="D524" s="970"/>
      <c r="E524" s="970"/>
      <c r="F524" s="970"/>
      <c r="G524" s="971"/>
      <c r="H524" s="971"/>
      <c r="I524" s="971"/>
      <c r="J524" s="971"/>
      <c r="K524" s="398"/>
      <c r="L524" s="950"/>
      <c r="M524" s="922"/>
      <c r="N524" s="973"/>
    </row>
    <row r="525" spans="1:14" ht="24.95" customHeight="1">
      <c r="A525" s="974" t="s">
        <v>3027</v>
      </c>
      <c r="B525" s="969" t="s">
        <v>1848</v>
      </c>
      <c r="C525" s="969" t="s">
        <v>1849</v>
      </c>
      <c r="D525" s="970" t="s">
        <v>1850</v>
      </c>
      <c r="E525" s="970" t="s">
        <v>337</v>
      </c>
      <c r="F525" s="970" t="s">
        <v>30</v>
      </c>
      <c r="G525" s="971">
        <v>0.66</v>
      </c>
      <c r="H525" s="971">
        <v>1.2</v>
      </c>
      <c r="I525" s="971">
        <v>1</v>
      </c>
      <c r="J525" s="971">
        <v>1</v>
      </c>
      <c r="K525" s="398">
        <f>VLOOKUP(F525,'8-5.2025하노임'!$A$6:$G$47,6,0)</f>
        <v>248856.63428999999</v>
      </c>
      <c r="L525" s="950">
        <f t="shared" si="2"/>
        <v>197094</v>
      </c>
      <c r="M525" s="961">
        <f>SUM(L525:L526)</f>
        <v>197094</v>
      </c>
      <c r="N525" s="973" t="s">
        <v>1851</v>
      </c>
    </row>
    <row r="526" spans="1:14" ht="24.95" customHeight="1">
      <c r="A526" s="974"/>
      <c r="B526" s="969" t="s">
        <v>1852</v>
      </c>
      <c r="C526" s="969"/>
      <c r="D526" s="970"/>
      <c r="E526" s="970"/>
      <c r="F526" s="970"/>
      <c r="G526" s="971"/>
      <c r="H526" s="971"/>
      <c r="I526" s="971"/>
      <c r="J526" s="971"/>
      <c r="K526" s="398"/>
      <c r="L526" s="950"/>
      <c r="M526" s="922"/>
      <c r="N526" s="973"/>
    </row>
    <row r="527" spans="1:14" ht="24.95" customHeight="1">
      <c r="A527" s="974"/>
      <c r="B527" s="969"/>
      <c r="C527" s="969"/>
      <c r="D527" s="970"/>
      <c r="E527" s="970"/>
      <c r="F527" s="970"/>
      <c r="G527" s="971"/>
      <c r="H527" s="971"/>
      <c r="I527" s="971"/>
      <c r="J527" s="971"/>
      <c r="K527" s="398"/>
      <c r="L527" s="950"/>
      <c r="M527" s="922"/>
      <c r="N527" s="973"/>
    </row>
    <row r="528" spans="1:14" ht="24.95" customHeight="1">
      <c r="A528" s="974" t="s">
        <v>3028</v>
      </c>
      <c r="B528" s="969" t="s">
        <v>1853</v>
      </c>
      <c r="C528" s="969" t="s">
        <v>1854</v>
      </c>
      <c r="D528" s="970"/>
      <c r="E528" s="970" t="s">
        <v>195</v>
      </c>
      <c r="F528" s="970" t="s">
        <v>31</v>
      </c>
      <c r="G528" s="971">
        <v>0.61</v>
      </c>
      <c r="H528" s="971">
        <v>1</v>
      </c>
      <c r="I528" s="971">
        <v>1</v>
      </c>
      <c r="J528" s="971">
        <v>1</v>
      </c>
      <c r="K528" s="398">
        <f>VLOOKUP(F528,'8-5.2025하노임'!$A$6:$G$47,6,0)</f>
        <v>386848.44396</v>
      </c>
      <c r="L528" s="950">
        <f t="shared" si="2"/>
        <v>235977</v>
      </c>
      <c r="M528" s="961">
        <f>SUM(L528:L529)</f>
        <v>404468</v>
      </c>
      <c r="N528" s="973" t="s">
        <v>1855</v>
      </c>
    </row>
    <row r="529" spans="1:14" ht="24.95" customHeight="1">
      <c r="A529" s="974"/>
      <c r="B529" s="969"/>
      <c r="C529" s="969"/>
      <c r="D529" s="970"/>
      <c r="E529" s="970"/>
      <c r="F529" s="970" t="s">
        <v>3</v>
      </c>
      <c r="G529" s="971">
        <v>0.61</v>
      </c>
      <c r="H529" s="971">
        <v>1</v>
      </c>
      <c r="I529" s="971">
        <v>1</v>
      </c>
      <c r="J529" s="971">
        <v>1</v>
      </c>
      <c r="K529" s="398">
        <f>VLOOKUP(F529,'8-5.2025하노임'!$A$6:$G$47,6,0)</f>
        <v>276216.14889000001</v>
      </c>
      <c r="L529" s="950">
        <f t="shared" si="2"/>
        <v>168491</v>
      </c>
      <c r="M529" s="922"/>
      <c r="N529" s="973"/>
    </row>
    <row r="530" spans="1:14" ht="24.95" customHeight="1">
      <c r="A530" s="974"/>
      <c r="B530" s="969"/>
      <c r="C530" s="969"/>
      <c r="D530" s="970"/>
      <c r="E530" s="970"/>
      <c r="F530" s="970"/>
      <c r="G530" s="971"/>
      <c r="H530" s="971"/>
      <c r="I530" s="971"/>
      <c r="J530" s="971"/>
      <c r="K530" s="398"/>
      <c r="L530" s="950"/>
      <c r="M530" s="922"/>
      <c r="N530" s="973"/>
    </row>
    <row r="531" spans="1:14" ht="24.95" customHeight="1">
      <c r="A531" s="974" t="s">
        <v>3029</v>
      </c>
      <c r="B531" s="969" t="s">
        <v>1856</v>
      </c>
      <c r="C531" s="969" t="s">
        <v>1857</v>
      </c>
      <c r="D531" s="970" t="s">
        <v>1850</v>
      </c>
      <c r="E531" s="970" t="s">
        <v>337</v>
      </c>
      <c r="F531" s="970" t="s">
        <v>30</v>
      </c>
      <c r="G531" s="971">
        <v>0.66</v>
      </c>
      <c r="H531" s="971">
        <v>1.2</v>
      </c>
      <c r="I531" s="971">
        <v>1</v>
      </c>
      <c r="J531" s="971">
        <v>1</v>
      </c>
      <c r="K531" s="398">
        <f>VLOOKUP(F531,'8-5.2025하노임'!$A$6:$G$47,6,0)</f>
        <v>248856.63428999999</v>
      </c>
      <c r="L531" s="950">
        <f t="shared" ref="L531:L592" si="5">INT(G531*H531*I531*J531*K531)</f>
        <v>197094</v>
      </c>
      <c r="M531" s="961">
        <f>SUM(L531)</f>
        <v>197094</v>
      </c>
      <c r="N531" s="973" t="s">
        <v>1851</v>
      </c>
    </row>
    <row r="532" spans="1:14" ht="24.95" customHeight="1">
      <c r="A532" s="974"/>
      <c r="B532" s="969" t="s">
        <v>1858</v>
      </c>
      <c r="C532" s="969"/>
      <c r="D532" s="970"/>
      <c r="E532" s="970"/>
      <c r="F532" s="970"/>
      <c r="G532" s="971"/>
      <c r="H532" s="971"/>
      <c r="I532" s="971"/>
      <c r="J532" s="971"/>
      <c r="K532" s="398"/>
      <c r="L532" s="950"/>
      <c r="M532" s="922"/>
      <c r="N532" s="973"/>
    </row>
    <row r="533" spans="1:14" ht="24.95" customHeight="1">
      <c r="A533" s="974"/>
      <c r="B533" s="969"/>
      <c r="C533" s="969"/>
      <c r="D533" s="970"/>
      <c r="E533" s="970"/>
      <c r="F533" s="970"/>
      <c r="G533" s="971"/>
      <c r="H533" s="971"/>
      <c r="I533" s="971"/>
      <c r="J533" s="971"/>
      <c r="K533" s="398"/>
      <c r="L533" s="950"/>
      <c r="M533" s="922"/>
      <c r="N533" s="973"/>
    </row>
    <row r="534" spans="1:14" ht="24.95" customHeight="1">
      <c r="A534" s="974" t="s">
        <v>3093</v>
      </c>
      <c r="B534" s="969" t="s">
        <v>1859</v>
      </c>
      <c r="C534" s="969" t="s">
        <v>2582</v>
      </c>
      <c r="D534" s="970"/>
      <c r="E534" s="970" t="s">
        <v>195</v>
      </c>
      <c r="F534" s="970" t="s">
        <v>31</v>
      </c>
      <c r="G534" s="971">
        <v>0.48</v>
      </c>
      <c r="H534" s="971">
        <v>1</v>
      </c>
      <c r="I534" s="971">
        <v>1</v>
      </c>
      <c r="J534" s="971">
        <v>1</v>
      </c>
      <c r="K534" s="398">
        <f>VLOOKUP(F534,'8-5.2025하노임'!$A$6:$G$47,6,0)</f>
        <v>386848.44396</v>
      </c>
      <c r="L534" s="950">
        <f t="shared" si="5"/>
        <v>185687</v>
      </c>
      <c r="M534" s="961">
        <f>SUM(L534:L535)</f>
        <v>318270</v>
      </c>
      <c r="N534" s="973" t="s">
        <v>1855</v>
      </c>
    </row>
    <row r="535" spans="1:14" ht="24.95" customHeight="1">
      <c r="A535" s="974"/>
      <c r="B535" s="969"/>
      <c r="C535" s="969"/>
      <c r="D535" s="970"/>
      <c r="E535" s="970"/>
      <c r="F535" s="970" t="s">
        <v>3</v>
      </c>
      <c r="G535" s="971">
        <v>0.48</v>
      </c>
      <c r="H535" s="971">
        <v>1</v>
      </c>
      <c r="I535" s="971">
        <v>1</v>
      </c>
      <c r="J535" s="971">
        <v>1</v>
      </c>
      <c r="K535" s="398">
        <f>VLOOKUP(F535,'8-5.2025하노임'!$A$6:$G$47,6,0)</f>
        <v>276216.14889000001</v>
      </c>
      <c r="L535" s="950">
        <f t="shared" si="5"/>
        <v>132583</v>
      </c>
      <c r="M535" s="922"/>
      <c r="N535" s="973"/>
    </row>
    <row r="536" spans="1:14" ht="24.95" customHeight="1">
      <c r="A536" s="974"/>
      <c r="B536" s="969"/>
      <c r="C536" s="969"/>
      <c r="D536" s="970"/>
      <c r="E536" s="970"/>
      <c r="F536" s="970"/>
      <c r="G536" s="971"/>
      <c r="H536" s="971"/>
      <c r="I536" s="971"/>
      <c r="J536" s="971"/>
      <c r="K536" s="398"/>
      <c r="L536" s="950"/>
      <c r="M536" s="922"/>
      <c r="N536" s="973"/>
    </row>
    <row r="537" spans="1:14" ht="24.95" customHeight="1">
      <c r="A537" s="974" t="s">
        <v>3030</v>
      </c>
      <c r="B537" s="969" t="s">
        <v>1860</v>
      </c>
      <c r="C537" s="969"/>
      <c r="D537" s="970"/>
      <c r="E537" s="970" t="s">
        <v>337</v>
      </c>
      <c r="F537" s="970" t="s">
        <v>31</v>
      </c>
      <c r="G537" s="971">
        <v>0.42</v>
      </c>
      <c r="H537" s="971">
        <v>1</v>
      </c>
      <c r="I537" s="971">
        <v>1</v>
      </c>
      <c r="J537" s="971">
        <v>1</v>
      </c>
      <c r="K537" s="398">
        <f>VLOOKUP(F537,'8-5.2025하노임'!$A$6:$G$47,6,0)</f>
        <v>386848.44396</v>
      </c>
      <c r="L537" s="950">
        <f t="shared" si="5"/>
        <v>162476</v>
      </c>
      <c r="M537" s="961">
        <f>SUM(L537:L538)</f>
        <v>278486</v>
      </c>
      <c r="N537" s="973" t="s">
        <v>1855</v>
      </c>
    </row>
    <row r="538" spans="1:14" ht="24.95" customHeight="1">
      <c r="A538" s="974"/>
      <c r="B538" s="969"/>
      <c r="C538" s="969"/>
      <c r="D538" s="970"/>
      <c r="E538" s="970"/>
      <c r="F538" s="970" t="s">
        <v>3</v>
      </c>
      <c r="G538" s="971">
        <v>0.42</v>
      </c>
      <c r="H538" s="971">
        <v>1</v>
      </c>
      <c r="I538" s="971">
        <v>1</v>
      </c>
      <c r="J538" s="971">
        <v>1</v>
      </c>
      <c r="K538" s="398">
        <f>VLOOKUP(F538,'8-5.2025하노임'!$A$6:$G$47,6,0)</f>
        <v>276216.14889000001</v>
      </c>
      <c r="L538" s="950">
        <f t="shared" si="5"/>
        <v>116010</v>
      </c>
      <c r="M538" s="922"/>
      <c r="N538" s="973"/>
    </row>
    <row r="539" spans="1:14" ht="24.95" customHeight="1">
      <c r="A539" s="974"/>
      <c r="B539" s="969"/>
      <c r="C539" s="969"/>
      <c r="D539" s="970"/>
      <c r="E539" s="970"/>
      <c r="F539" s="970"/>
      <c r="G539" s="971"/>
      <c r="H539" s="971"/>
      <c r="I539" s="971"/>
      <c r="J539" s="971"/>
      <c r="K539" s="398"/>
      <c r="L539" s="950"/>
      <c r="M539" s="922"/>
      <c r="N539" s="973"/>
    </row>
    <row r="540" spans="1:14" ht="24.95" customHeight="1">
      <c r="A540" s="974" t="s">
        <v>3031</v>
      </c>
      <c r="B540" s="969" t="s">
        <v>1861</v>
      </c>
      <c r="C540" s="969" t="s">
        <v>1862</v>
      </c>
      <c r="D540" s="970"/>
      <c r="E540" s="970" t="s">
        <v>195</v>
      </c>
      <c r="F540" s="970" t="s">
        <v>3</v>
      </c>
      <c r="G540" s="971">
        <v>0.12</v>
      </c>
      <c r="H540" s="971">
        <v>1</v>
      </c>
      <c r="I540" s="971">
        <v>1</v>
      </c>
      <c r="J540" s="971">
        <v>1</v>
      </c>
      <c r="K540" s="398">
        <f>VLOOKUP(F540,'8-5.2025하노임'!$A$6:$G$47,6,0)</f>
        <v>276216.14889000001</v>
      </c>
      <c r="L540" s="950">
        <f t="shared" si="5"/>
        <v>33145</v>
      </c>
      <c r="M540" s="961">
        <f>SUM(L540:L541)</f>
        <v>79566</v>
      </c>
      <c r="N540" s="973" t="s">
        <v>1863</v>
      </c>
    </row>
    <row r="541" spans="1:14" ht="24.95" customHeight="1">
      <c r="A541" s="974"/>
      <c r="B541" s="969" t="s">
        <v>1864</v>
      </c>
      <c r="C541" s="969"/>
      <c r="D541" s="970"/>
      <c r="E541" s="970"/>
      <c r="F541" s="970" t="s">
        <v>31</v>
      </c>
      <c r="G541" s="971">
        <v>0.12</v>
      </c>
      <c r="H541" s="971">
        <v>1</v>
      </c>
      <c r="I541" s="971">
        <v>1</v>
      </c>
      <c r="J541" s="971">
        <v>1</v>
      </c>
      <c r="K541" s="398">
        <f>VLOOKUP(F541,'8-5.2025하노임'!$A$6:$G$47,6,0)</f>
        <v>386848.44396</v>
      </c>
      <c r="L541" s="950">
        <f t="shared" si="5"/>
        <v>46421</v>
      </c>
      <c r="M541" s="922"/>
      <c r="N541" s="973"/>
    </row>
    <row r="542" spans="1:14" ht="24.95" customHeight="1">
      <c r="A542" s="974"/>
      <c r="B542" s="969"/>
      <c r="C542" s="969"/>
      <c r="D542" s="970"/>
      <c r="E542" s="970"/>
      <c r="F542" s="970"/>
      <c r="G542" s="971"/>
      <c r="H542" s="971"/>
      <c r="I542" s="971"/>
      <c r="J542" s="971"/>
      <c r="K542" s="398"/>
      <c r="L542" s="950"/>
      <c r="M542" s="922"/>
      <c r="N542" s="973"/>
    </row>
    <row r="543" spans="1:14" ht="24.95" customHeight="1">
      <c r="A543" s="974" t="s">
        <v>3032</v>
      </c>
      <c r="B543" s="969" t="s">
        <v>1865</v>
      </c>
      <c r="C543" s="969" t="s">
        <v>1866</v>
      </c>
      <c r="D543" s="970"/>
      <c r="E543" s="970" t="s">
        <v>337</v>
      </c>
      <c r="F543" s="970" t="s">
        <v>3</v>
      </c>
      <c r="G543" s="971">
        <v>7.0000000000000007E-2</v>
      </c>
      <c r="H543" s="971">
        <v>1</v>
      </c>
      <c r="I543" s="971">
        <v>1</v>
      </c>
      <c r="J543" s="971">
        <v>1</v>
      </c>
      <c r="K543" s="398">
        <f>VLOOKUP(F543,'8-5.2025하노임'!$A$6:$G$47,6,0)</f>
        <v>276216.14889000001</v>
      </c>
      <c r="L543" s="950">
        <f t="shared" si="5"/>
        <v>19335</v>
      </c>
      <c r="M543" s="961">
        <f>SUM(L543)</f>
        <v>19335</v>
      </c>
      <c r="N543" s="973" t="s">
        <v>1867</v>
      </c>
    </row>
    <row r="544" spans="1:14" ht="24.95" customHeight="1">
      <c r="A544" s="974"/>
      <c r="B544" s="969"/>
      <c r="C544" s="969"/>
      <c r="D544" s="970"/>
      <c r="E544" s="970"/>
      <c r="F544" s="970"/>
      <c r="G544" s="971"/>
      <c r="H544" s="971"/>
      <c r="I544" s="971"/>
      <c r="J544" s="971"/>
      <c r="K544" s="398"/>
      <c r="L544" s="950"/>
      <c r="M544" s="922"/>
      <c r="N544" s="973"/>
    </row>
    <row r="545" spans="1:14" ht="24.95" customHeight="1">
      <c r="A545" s="974" t="s">
        <v>3033</v>
      </c>
      <c r="B545" s="969" t="s">
        <v>1868</v>
      </c>
      <c r="C545" s="969" t="s">
        <v>1866</v>
      </c>
      <c r="D545" s="970"/>
      <c r="E545" s="970" t="s">
        <v>337</v>
      </c>
      <c r="F545" s="970" t="s">
        <v>3</v>
      </c>
      <c r="G545" s="971">
        <v>7.0000000000000007E-2</v>
      </c>
      <c r="H545" s="971">
        <v>1</v>
      </c>
      <c r="I545" s="971">
        <v>1</v>
      </c>
      <c r="J545" s="971">
        <v>1</v>
      </c>
      <c r="K545" s="398">
        <f>VLOOKUP(F545,'8-5.2025하노임'!$A$6:$G$47,6,0)</f>
        <v>276216.14889000001</v>
      </c>
      <c r="L545" s="950">
        <f t="shared" si="5"/>
        <v>19335</v>
      </c>
      <c r="M545" s="961">
        <f>SUM(L545)</f>
        <v>19335</v>
      </c>
      <c r="N545" s="973" t="s">
        <v>1867</v>
      </c>
    </row>
    <row r="546" spans="1:14" ht="24.95" customHeight="1">
      <c r="A546" s="974"/>
      <c r="B546" s="969"/>
      <c r="C546" s="969"/>
      <c r="D546" s="970"/>
      <c r="E546" s="970"/>
      <c r="F546" s="970"/>
      <c r="G546" s="971"/>
      <c r="H546" s="971"/>
      <c r="I546" s="971"/>
      <c r="J546" s="971"/>
      <c r="K546" s="398"/>
      <c r="L546" s="950"/>
      <c r="M546" s="922"/>
      <c r="N546" s="973"/>
    </row>
    <row r="547" spans="1:14" ht="24.95" customHeight="1">
      <c r="A547" s="974" t="s">
        <v>3034</v>
      </c>
      <c r="B547" s="969" t="s">
        <v>1869</v>
      </c>
      <c r="C547" s="969" t="s">
        <v>1866</v>
      </c>
      <c r="D547" s="970"/>
      <c r="E547" s="970" t="s">
        <v>337</v>
      </c>
      <c r="F547" s="970" t="s">
        <v>3</v>
      </c>
      <c r="G547" s="971">
        <v>0.09</v>
      </c>
      <c r="H547" s="971">
        <v>1</v>
      </c>
      <c r="I547" s="971">
        <v>1</v>
      </c>
      <c r="J547" s="971">
        <v>1</v>
      </c>
      <c r="K547" s="398">
        <f>VLOOKUP(F547,'8-5.2025하노임'!$A$6:$G$47,6,0)</f>
        <v>276216.14889000001</v>
      </c>
      <c r="L547" s="950">
        <f t="shared" si="5"/>
        <v>24859</v>
      </c>
      <c r="M547" s="961">
        <f>SUM(L547)</f>
        <v>24859</v>
      </c>
      <c r="N547" s="973" t="s">
        <v>1867</v>
      </c>
    </row>
    <row r="548" spans="1:14" ht="24.95" customHeight="1">
      <c r="A548" s="974"/>
      <c r="B548" s="969"/>
      <c r="C548" s="969"/>
      <c r="D548" s="970"/>
      <c r="E548" s="970"/>
      <c r="F548" s="970"/>
      <c r="G548" s="971"/>
      <c r="H548" s="971"/>
      <c r="I548" s="971"/>
      <c r="J548" s="971"/>
      <c r="K548" s="398"/>
      <c r="L548" s="950"/>
      <c r="M548" s="922"/>
      <c r="N548" s="973"/>
    </row>
    <row r="549" spans="1:14" ht="24.95" customHeight="1">
      <c r="A549" s="974" t="s">
        <v>3035</v>
      </c>
      <c r="B549" s="969" t="s">
        <v>1870</v>
      </c>
      <c r="C549" s="969"/>
      <c r="D549" s="970"/>
      <c r="E549" s="970" t="s">
        <v>823</v>
      </c>
      <c r="F549" s="970" t="s">
        <v>3</v>
      </c>
      <c r="G549" s="971">
        <v>0.14000000000000001</v>
      </c>
      <c r="H549" s="971">
        <v>1</v>
      </c>
      <c r="I549" s="971">
        <v>1</v>
      </c>
      <c r="J549" s="971">
        <v>1</v>
      </c>
      <c r="K549" s="398">
        <f>VLOOKUP(F549,'8-5.2025하노임'!$A$6:$G$47,6,0)</f>
        <v>276216.14889000001</v>
      </c>
      <c r="L549" s="950">
        <f t="shared" si="5"/>
        <v>38670</v>
      </c>
      <c r="M549" s="961">
        <f>SUM(L549)</f>
        <v>38670</v>
      </c>
      <c r="N549" s="973" t="s">
        <v>1867</v>
      </c>
    </row>
    <row r="550" spans="1:14" ht="24.95" customHeight="1">
      <c r="A550" s="974"/>
      <c r="B550" s="969"/>
      <c r="C550" s="969"/>
      <c r="D550" s="970"/>
      <c r="E550" s="970"/>
      <c r="F550" s="970"/>
      <c r="G550" s="971"/>
      <c r="H550" s="971"/>
      <c r="I550" s="971"/>
      <c r="J550" s="971"/>
      <c r="K550" s="398"/>
      <c r="L550" s="950"/>
      <c r="M550" s="922"/>
      <c r="N550" s="973"/>
    </row>
    <row r="551" spans="1:14" ht="24.95" customHeight="1">
      <c r="A551" s="974" t="s">
        <v>3036</v>
      </c>
      <c r="B551" s="969" t="s">
        <v>1871</v>
      </c>
      <c r="C551" s="969" t="s">
        <v>1872</v>
      </c>
      <c r="D551" s="970"/>
      <c r="E551" s="970" t="s">
        <v>195</v>
      </c>
      <c r="F551" s="970" t="s">
        <v>209</v>
      </c>
      <c r="G551" s="971">
        <v>0.36</v>
      </c>
      <c r="H551" s="971">
        <v>1</v>
      </c>
      <c r="I551" s="971">
        <v>1</v>
      </c>
      <c r="J551" s="971">
        <v>1</v>
      </c>
      <c r="K551" s="398">
        <f>VLOOKUP(F551,'8-5.2025하노임'!$A$6:$G$47,6,0)</f>
        <v>391351.62</v>
      </c>
      <c r="L551" s="950">
        <f t="shared" si="5"/>
        <v>140886</v>
      </c>
      <c r="M551" s="961">
        <f>SUM(L551:L552)</f>
        <v>216182</v>
      </c>
      <c r="N551" s="973" t="s">
        <v>1873</v>
      </c>
    </row>
    <row r="552" spans="1:14" ht="24.95" customHeight="1">
      <c r="A552" s="974"/>
      <c r="B552" s="969" t="s">
        <v>1874</v>
      </c>
      <c r="C552" s="969"/>
      <c r="D552" s="970"/>
      <c r="E552" s="970"/>
      <c r="F552" s="970" t="s">
        <v>208</v>
      </c>
      <c r="G552" s="971">
        <v>0.22</v>
      </c>
      <c r="H552" s="971">
        <v>1</v>
      </c>
      <c r="I552" s="971">
        <v>1</v>
      </c>
      <c r="J552" s="971">
        <v>1</v>
      </c>
      <c r="K552" s="398">
        <f>VLOOKUP(F552,'8-5.2025하노임'!$A$6:$G$47,6,0)</f>
        <v>342255.41855999996</v>
      </c>
      <c r="L552" s="950">
        <f t="shared" si="5"/>
        <v>75296</v>
      </c>
      <c r="M552" s="922"/>
      <c r="N552" s="973"/>
    </row>
    <row r="553" spans="1:14" ht="24.95" customHeight="1">
      <c r="A553" s="974"/>
      <c r="B553" s="969"/>
      <c r="C553" s="969"/>
      <c r="D553" s="970"/>
      <c r="E553" s="970"/>
      <c r="F553" s="970"/>
      <c r="G553" s="971"/>
      <c r="H553" s="971"/>
      <c r="I553" s="971"/>
      <c r="J553" s="971"/>
      <c r="K553" s="398"/>
      <c r="L553" s="950"/>
      <c r="M553" s="922"/>
      <c r="N553" s="973"/>
    </row>
    <row r="554" spans="1:14" ht="24.95" customHeight="1">
      <c r="A554" s="974" t="s">
        <v>3037</v>
      </c>
      <c r="B554" s="969" t="s">
        <v>1871</v>
      </c>
      <c r="C554" s="969" t="s">
        <v>1875</v>
      </c>
      <c r="D554" s="970"/>
      <c r="E554" s="970" t="s">
        <v>195</v>
      </c>
      <c r="F554" s="970" t="s">
        <v>209</v>
      </c>
      <c r="G554" s="971">
        <v>0.09</v>
      </c>
      <c r="H554" s="971">
        <v>1</v>
      </c>
      <c r="I554" s="971">
        <v>1</v>
      </c>
      <c r="J554" s="971">
        <v>1</v>
      </c>
      <c r="K554" s="398">
        <f>VLOOKUP(F554,'8-5.2025하노임'!$A$6:$G$47,6,0)</f>
        <v>391351.62</v>
      </c>
      <c r="L554" s="950">
        <f t="shared" si="5"/>
        <v>35221</v>
      </c>
      <c r="M554" s="961">
        <f>SUM(L554:L555)</f>
        <v>66023</v>
      </c>
      <c r="N554" s="973" t="s">
        <v>1873</v>
      </c>
    </row>
    <row r="555" spans="1:14" ht="24.95" customHeight="1">
      <c r="A555" s="974"/>
      <c r="B555" s="969"/>
      <c r="C555" s="969"/>
      <c r="D555" s="970"/>
      <c r="E555" s="970"/>
      <c r="F555" s="970" t="s">
        <v>208</v>
      </c>
      <c r="G555" s="971">
        <v>0.09</v>
      </c>
      <c r="H555" s="971">
        <v>1</v>
      </c>
      <c r="I555" s="971">
        <v>1</v>
      </c>
      <c r="J555" s="971">
        <v>1</v>
      </c>
      <c r="K555" s="398">
        <f>VLOOKUP(F555,'8-5.2025하노임'!$A$6:$G$47,6,0)</f>
        <v>342255.41855999996</v>
      </c>
      <c r="L555" s="950">
        <f t="shared" si="5"/>
        <v>30802</v>
      </c>
      <c r="M555" s="922"/>
      <c r="N555" s="973"/>
    </row>
    <row r="556" spans="1:14" ht="24.95" customHeight="1">
      <c r="A556" s="974"/>
      <c r="B556" s="969"/>
      <c r="C556" s="969"/>
      <c r="D556" s="970"/>
      <c r="E556" s="970"/>
      <c r="F556" s="970"/>
      <c r="G556" s="971"/>
      <c r="H556" s="971"/>
      <c r="I556" s="971"/>
      <c r="J556" s="971"/>
      <c r="K556" s="398"/>
      <c r="L556" s="950"/>
      <c r="M556" s="922"/>
      <c r="N556" s="973"/>
    </row>
    <row r="557" spans="1:14" ht="24.95" customHeight="1">
      <c r="A557" s="974" t="s">
        <v>3038</v>
      </c>
      <c r="B557" s="969" t="s">
        <v>1876</v>
      </c>
      <c r="C557" s="969" t="s">
        <v>1877</v>
      </c>
      <c r="D557" s="970"/>
      <c r="E557" s="970" t="s">
        <v>337</v>
      </c>
      <c r="F557" s="970" t="s">
        <v>3</v>
      </c>
      <c r="G557" s="971">
        <v>0.11</v>
      </c>
      <c r="H557" s="971">
        <v>1</v>
      </c>
      <c r="I557" s="971">
        <v>1</v>
      </c>
      <c r="J557" s="971">
        <v>1</v>
      </c>
      <c r="K557" s="398">
        <f>VLOOKUP(F557,'8-5.2025하노임'!$A$6:$G$47,6,0)</f>
        <v>276216.14889000001</v>
      </c>
      <c r="L557" s="950">
        <f t="shared" si="5"/>
        <v>30383</v>
      </c>
      <c r="M557" s="961">
        <f>SUM(L557:L558)</f>
        <v>100062</v>
      </c>
      <c r="N557" s="973" t="s">
        <v>1878</v>
      </c>
    </row>
    <row r="558" spans="1:14" ht="24.95" customHeight="1">
      <c r="A558" s="974"/>
      <c r="B558" s="969"/>
      <c r="C558" s="969"/>
      <c r="D558" s="970"/>
      <c r="E558" s="970"/>
      <c r="F558" s="970" t="s">
        <v>30</v>
      </c>
      <c r="G558" s="971">
        <v>0.28000000000000003</v>
      </c>
      <c r="H558" s="971">
        <v>1</v>
      </c>
      <c r="I558" s="971">
        <v>1</v>
      </c>
      <c r="J558" s="971">
        <v>1</v>
      </c>
      <c r="K558" s="398">
        <f>VLOOKUP(F558,'8-5.2025하노임'!$A$6:$G$47,6,0)</f>
        <v>248856.63428999999</v>
      </c>
      <c r="L558" s="950">
        <f t="shared" si="5"/>
        <v>69679</v>
      </c>
      <c r="M558" s="922"/>
      <c r="N558" s="973"/>
    </row>
    <row r="559" spans="1:14" ht="24.95" customHeight="1">
      <c r="A559" s="974"/>
      <c r="B559" s="969"/>
      <c r="C559" s="969"/>
      <c r="D559" s="970"/>
      <c r="E559" s="970"/>
      <c r="F559" s="970"/>
      <c r="G559" s="971"/>
      <c r="H559" s="971"/>
      <c r="I559" s="971"/>
      <c r="J559" s="971"/>
      <c r="K559" s="398"/>
      <c r="L559" s="950"/>
      <c r="M559" s="922"/>
      <c r="N559" s="973"/>
    </row>
    <row r="560" spans="1:14" ht="24.95" customHeight="1">
      <c r="A560" s="974" t="s">
        <v>3039</v>
      </c>
      <c r="B560" s="969" t="s">
        <v>1879</v>
      </c>
      <c r="C560" s="969" t="s">
        <v>1880</v>
      </c>
      <c r="D560" s="970" t="s">
        <v>1881</v>
      </c>
      <c r="E560" s="970" t="s">
        <v>195</v>
      </c>
      <c r="F560" s="970" t="s">
        <v>3</v>
      </c>
      <c r="G560" s="971">
        <v>0.32</v>
      </c>
      <c r="H560" s="971">
        <v>0.6</v>
      </c>
      <c r="I560" s="971">
        <v>1</v>
      </c>
      <c r="J560" s="971">
        <v>1</v>
      </c>
      <c r="K560" s="398">
        <f>VLOOKUP(F560,'8-5.2025하노임'!$A$6:$G$47,6,0)</f>
        <v>276216.14889000001</v>
      </c>
      <c r="L560" s="950">
        <f t="shared" si="5"/>
        <v>53033</v>
      </c>
      <c r="M560" s="961">
        <f>SUM(L560)</f>
        <v>53033</v>
      </c>
      <c r="N560" s="973" t="s">
        <v>1882</v>
      </c>
    </row>
    <row r="561" spans="1:14" ht="24.95" customHeight="1">
      <c r="A561" s="974"/>
      <c r="B561" s="969"/>
      <c r="C561" s="969"/>
      <c r="D561" s="970"/>
      <c r="E561" s="970"/>
      <c r="F561" s="970"/>
      <c r="G561" s="971"/>
      <c r="H561" s="971"/>
      <c r="I561" s="971"/>
      <c r="J561" s="971"/>
      <c r="K561" s="398"/>
      <c r="L561" s="950"/>
      <c r="M561" s="922"/>
      <c r="N561" s="973"/>
    </row>
    <row r="562" spans="1:14" ht="24.95" customHeight="1">
      <c r="A562" s="974" t="s">
        <v>3095</v>
      </c>
      <c r="B562" s="969" t="s">
        <v>1883</v>
      </c>
      <c r="C562" s="969" t="s">
        <v>1884</v>
      </c>
      <c r="D562" s="970"/>
      <c r="E562" s="970" t="s">
        <v>195</v>
      </c>
      <c r="F562" s="970" t="s">
        <v>3</v>
      </c>
      <c r="G562" s="971">
        <v>0.23</v>
      </c>
      <c r="H562" s="971">
        <v>1</v>
      </c>
      <c r="I562" s="971">
        <v>1</v>
      </c>
      <c r="J562" s="971">
        <v>1</v>
      </c>
      <c r="K562" s="398">
        <f>VLOOKUP(F562,'8-5.2025하노임'!$A$6:$G$47,6,0)</f>
        <v>276216.14889000001</v>
      </c>
      <c r="L562" s="950">
        <f t="shared" si="5"/>
        <v>63529</v>
      </c>
      <c r="M562" s="961">
        <f>SUM(L562:L563)</f>
        <v>98047</v>
      </c>
      <c r="N562" s="973" t="s">
        <v>1585</v>
      </c>
    </row>
    <row r="563" spans="1:14" ht="24.95" customHeight="1">
      <c r="A563" s="974"/>
      <c r="B563" s="969"/>
      <c r="C563" s="969"/>
      <c r="D563" s="970"/>
      <c r="E563" s="970"/>
      <c r="F563" s="970" t="s">
        <v>4</v>
      </c>
      <c r="G563" s="971">
        <v>0.23</v>
      </c>
      <c r="H563" s="971">
        <v>1</v>
      </c>
      <c r="I563" s="971">
        <v>1</v>
      </c>
      <c r="J563" s="971">
        <v>1</v>
      </c>
      <c r="K563" s="398">
        <f>VLOOKUP(F563,'8-5.2025하노임'!$A$6:$G$47,6,0)</f>
        <v>150079.83638999998</v>
      </c>
      <c r="L563" s="950">
        <f t="shared" si="5"/>
        <v>34518</v>
      </c>
      <c r="M563" s="922"/>
      <c r="N563" s="973"/>
    </row>
    <row r="564" spans="1:14" ht="24.95" customHeight="1">
      <c r="A564" s="974"/>
      <c r="B564" s="969"/>
      <c r="C564" s="969"/>
      <c r="D564" s="970"/>
      <c r="E564" s="970"/>
      <c r="F564" s="970"/>
      <c r="G564" s="971"/>
      <c r="H564" s="971"/>
      <c r="I564" s="971"/>
      <c r="J564" s="971"/>
      <c r="K564" s="398"/>
      <c r="L564" s="950"/>
      <c r="M564" s="922"/>
      <c r="N564" s="973"/>
    </row>
    <row r="565" spans="1:14" ht="24.95" customHeight="1">
      <c r="A565" s="974" t="s">
        <v>3097</v>
      </c>
      <c r="B565" s="969" t="s">
        <v>1883</v>
      </c>
      <c r="C565" s="969" t="s">
        <v>1885</v>
      </c>
      <c r="D565" s="970"/>
      <c r="E565" s="970" t="s">
        <v>195</v>
      </c>
      <c r="F565" s="970" t="s">
        <v>3</v>
      </c>
      <c r="G565" s="971">
        <v>0.31</v>
      </c>
      <c r="H565" s="971">
        <v>1</v>
      </c>
      <c r="I565" s="971">
        <v>1</v>
      </c>
      <c r="J565" s="971">
        <v>1</v>
      </c>
      <c r="K565" s="398">
        <f>VLOOKUP(F565,'8-5.2025하노임'!$A$6:$G$47,6,0)</f>
        <v>276216.14889000001</v>
      </c>
      <c r="L565" s="950">
        <f t="shared" si="5"/>
        <v>85627</v>
      </c>
      <c r="M565" s="961">
        <f>SUM(L565:L566)</f>
        <v>132151</v>
      </c>
      <c r="N565" s="973" t="s">
        <v>1585</v>
      </c>
    </row>
    <row r="566" spans="1:14" ht="24.95" customHeight="1">
      <c r="A566" s="974"/>
      <c r="B566" s="969"/>
      <c r="C566" s="969"/>
      <c r="D566" s="970"/>
      <c r="E566" s="970"/>
      <c r="F566" s="970" t="s">
        <v>4</v>
      </c>
      <c r="G566" s="971">
        <v>0.31</v>
      </c>
      <c r="H566" s="971">
        <v>1</v>
      </c>
      <c r="I566" s="971">
        <v>1</v>
      </c>
      <c r="J566" s="971">
        <v>1</v>
      </c>
      <c r="K566" s="398">
        <f>VLOOKUP(F566,'8-5.2025하노임'!$A$6:$G$47,6,0)</f>
        <v>150079.83638999998</v>
      </c>
      <c r="L566" s="950">
        <f t="shared" si="5"/>
        <v>46524</v>
      </c>
      <c r="M566" s="922"/>
      <c r="N566" s="973"/>
    </row>
    <row r="567" spans="1:14" ht="24.95" customHeight="1">
      <c r="A567" s="974"/>
      <c r="B567" s="969"/>
      <c r="C567" s="969"/>
      <c r="D567" s="970"/>
      <c r="E567" s="970"/>
      <c r="F567" s="970"/>
      <c r="G567" s="971"/>
      <c r="H567" s="971"/>
      <c r="I567" s="971"/>
      <c r="J567" s="971"/>
      <c r="K567" s="398"/>
      <c r="L567" s="950"/>
      <c r="M567" s="922"/>
      <c r="N567" s="973"/>
    </row>
    <row r="568" spans="1:14" ht="24.95" customHeight="1">
      <c r="A568" s="974" t="s">
        <v>3040</v>
      </c>
      <c r="B568" s="969" t="s">
        <v>1886</v>
      </c>
      <c r="C568" s="969" t="s">
        <v>1760</v>
      </c>
      <c r="D568" s="970" t="s">
        <v>1761</v>
      </c>
      <c r="E568" s="970" t="s">
        <v>337</v>
      </c>
      <c r="F568" s="970" t="s">
        <v>30</v>
      </c>
      <c r="G568" s="971">
        <v>0.7</v>
      </c>
      <c r="H568" s="971">
        <v>1.2</v>
      </c>
      <c r="I568" s="971">
        <v>1</v>
      </c>
      <c r="J568" s="971">
        <v>1</v>
      </c>
      <c r="K568" s="398">
        <f>VLOOKUP(F568,'8-5.2025하노임'!$A$6:$G$47,6,0)</f>
        <v>248856.63428999999</v>
      </c>
      <c r="L568" s="950">
        <f t="shared" si="5"/>
        <v>209039</v>
      </c>
      <c r="M568" s="961">
        <f>SUM(L568:L569)</f>
        <v>335106</v>
      </c>
      <c r="N568" s="973" t="s">
        <v>1887</v>
      </c>
    </row>
    <row r="569" spans="1:14" ht="24.95" customHeight="1">
      <c r="A569" s="974"/>
      <c r="B569" s="969" t="s">
        <v>1888</v>
      </c>
      <c r="C569" s="969"/>
      <c r="D569" s="970"/>
      <c r="E569" s="970"/>
      <c r="F569" s="970" t="s">
        <v>4</v>
      </c>
      <c r="G569" s="971">
        <v>0.7</v>
      </c>
      <c r="H569" s="971">
        <v>1.2</v>
      </c>
      <c r="I569" s="971">
        <v>1</v>
      </c>
      <c r="J569" s="971">
        <v>1</v>
      </c>
      <c r="K569" s="398">
        <f>VLOOKUP(F569,'8-5.2025하노임'!$A$6:$G$47,6,0)</f>
        <v>150079.83638999998</v>
      </c>
      <c r="L569" s="950">
        <f t="shared" si="5"/>
        <v>126067</v>
      </c>
      <c r="M569" s="922"/>
      <c r="N569" s="973"/>
    </row>
    <row r="570" spans="1:14" ht="24.95" customHeight="1">
      <c r="A570" s="974"/>
      <c r="B570" s="969"/>
      <c r="C570" s="969"/>
      <c r="D570" s="970"/>
      <c r="E570" s="970"/>
      <c r="F570" s="970"/>
      <c r="G570" s="971"/>
      <c r="H570" s="971"/>
      <c r="I570" s="971"/>
      <c r="J570" s="971"/>
      <c r="K570" s="398"/>
      <c r="L570" s="950"/>
      <c r="M570" s="922"/>
      <c r="N570" s="973"/>
    </row>
    <row r="571" spans="1:14" ht="24.95" customHeight="1">
      <c r="A571" s="974" t="s">
        <v>3041</v>
      </c>
      <c r="B571" s="969" t="s">
        <v>1889</v>
      </c>
      <c r="C571" s="969" t="s">
        <v>1890</v>
      </c>
      <c r="D571" s="970" t="s">
        <v>1891</v>
      </c>
      <c r="E571" s="970" t="s">
        <v>1892</v>
      </c>
      <c r="F571" s="970" t="s">
        <v>29</v>
      </c>
      <c r="G571" s="971">
        <v>0.72</v>
      </c>
      <c r="H571" s="971">
        <v>1</v>
      </c>
      <c r="I571" s="971">
        <v>1</v>
      </c>
      <c r="J571" s="971">
        <v>1</v>
      </c>
      <c r="K571" s="398">
        <f>VLOOKUP(F571,'8-5.2025하노임'!$A$6:$G$47,6,0)</f>
        <v>357430.38474000001</v>
      </c>
      <c r="L571" s="950">
        <f t="shared" si="5"/>
        <v>257349</v>
      </c>
      <c r="M571" s="961">
        <f>SUM(L571:L574)</f>
        <v>645174</v>
      </c>
      <c r="N571" s="973" t="s">
        <v>1893</v>
      </c>
    </row>
    <row r="572" spans="1:14" ht="24.95" customHeight="1">
      <c r="A572" s="974"/>
      <c r="B572" s="969"/>
      <c r="C572" s="969"/>
      <c r="D572" s="970"/>
      <c r="E572" s="970"/>
      <c r="F572" s="970" t="s">
        <v>4</v>
      </c>
      <c r="G572" s="971">
        <v>0.81</v>
      </c>
      <c r="H572" s="971">
        <v>1</v>
      </c>
      <c r="I572" s="971">
        <v>1</v>
      </c>
      <c r="J572" s="971">
        <v>1</v>
      </c>
      <c r="K572" s="398">
        <f>VLOOKUP(F572,'8-5.2025하노임'!$A$6:$G$47,6,0)</f>
        <v>150079.83638999998</v>
      </c>
      <c r="L572" s="950">
        <f t="shared" si="5"/>
        <v>121564</v>
      </c>
      <c r="M572" s="922"/>
      <c r="N572" s="973"/>
    </row>
    <row r="573" spans="1:14" ht="24.95" customHeight="1">
      <c r="A573" s="974"/>
      <c r="B573" s="969"/>
      <c r="C573" s="969" t="s">
        <v>1894</v>
      </c>
      <c r="D573" s="970"/>
      <c r="E573" s="970"/>
      <c r="F573" s="970" t="s">
        <v>29</v>
      </c>
      <c r="G573" s="971">
        <v>0.53</v>
      </c>
      <c r="H573" s="971">
        <v>1</v>
      </c>
      <c r="I573" s="971">
        <v>1</v>
      </c>
      <c r="J573" s="971">
        <v>1</v>
      </c>
      <c r="K573" s="398">
        <f>VLOOKUP(F573,'8-5.2025하노임'!$A$6:$G$47,6,0)</f>
        <v>357430.38474000001</v>
      </c>
      <c r="L573" s="950">
        <f t="shared" si="5"/>
        <v>189438</v>
      </c>
      <c r="M573" s="922"/>
      <c r="N573" s="973" t="s">
        <v>1895</v>
      </c>
    </row>
    <row r="574" spans="1:14" ht="24.95" customHeight="1">
      <c r="A574" s="974"/>
      <c r="B574" s="969"/>
      <c r="C574" s="969"/>
      <c r="D574" s="970"/>
      <c r="E574" s="970"/>
      <c r="F574" s="970" t="s">
        <v>16</v>
      </c>
      <c r="G574" s="971">
        <v>0.39</v>
      </c>
      <c r="H574" s="971">
        <v>1</v>
      </c>
      <c r="I574" s="971">
        <v>1</v>
      </c>
      <c r="J574" s="971">
        <v>1</v>
      </c>
      <c r="K574" s="398">
        <f>VLOOKUP(F574,'8-5.2025하노임'!$A$6:$G$47,6,0)</f>
        <v>196983.2403</v>
      </c>
      <c r="L574" s="950">
        <f t="shared" si="5"/>
        <v>76823</v>
      </c>
      <c r="M574" s="922"/>
      <c r="N574" s="973"/>
    </row>
    <row r="575" spans="1:14" ht="24.95" customHeight="1">
      <c r="A575" s="974"/>
      <c r="B575" s="969"/>
      <c r="C575" s="969"/>
      <c r="D575" s="970"/>
      <c r="E575" s="970"/>
      <c r="F575" s="970"/>
      <c r="G575" s="971"/>
      <c r="H575" s="971"/>
      <c r="I575" s="971"/>
      <c r="J575" s="971"/>
      <c r="K575" s="398"/>
      <c r="L575" s="950"/>
      <c r="M575" s="922"/>
      <c r="N575" s="973"/>
    </row>
    <row r="576" spans="1:14" ht="24.95" customHeight="1">
      <c r="A576" s="974" t="s">
        <v>3324</v>
      </c>
      <c r="B576" s="969" t="s">
        <v>1889</v>
      </c>
      <c r="C576" s="969" t="s">
        <v>3327</v>
      </c>
      <c r="D576" s="970" t="s">
        <v>1896</v>
      </c>
      <c r="E576" s="970" t="s">
        <v>1892</v>
      </c>
      <c r="F576" s="970" t="s">
        <v>29</v>
      </c>
      <c r="G576" s="971">
        <v>0.28999999999999998</v>
      </c>
      <c r="H576" s="971">
        <v>1</v>
      </c>
      <c r="I576" s="971">
        <v>1</v>
      </c>
      <c r="J576" s="971">
        <v>1</v>
      </c>
      <c r="K576" s="398">
        <f>VLOOKUP(F576,'8-5.2025하노임'!$A$6:$G$47,6,0)</f>
        <v>357430.38474000001</v>
      </c>
      <c r="L576" s="950">
        <f t="shared" si="5"/>
        <v>103654</v>
      </c>
      <c r="M576" s="961">
        <f>SUM(L576:L577)</f>
        <v>187698</v>
      </c>
      <c r="N576" s="973" t="s">
        <v>1897</v>
      </c>
    </row>
    <row r="577" spans="1:14" ht="24.95" customHeight="1">
      <c r="A577" s="974"/>
      <c r="B577" s="969"/>
      <c r="C577" s="969"/>
      <c r="D577" s="970"/>
      <c r="E577" s="970"/>
      <c r="F577" s="970" t="s">
        <v>4</v>
      </c>
      <c r="G577" s="971">
        <v>0.56000000000000005</v>
      </c>
      <c r="H577" s="971">
        <v>1</v>
      </c>
      <c r="I577" s="971">
        <v>1</v>
      </c>
      <c r="J577" s="971">
        <v>1</v>
      </c>
      <c r="K577" s="398">
        <f>VLOOKUP(F577,'8-5.2025하노임'!$A$6:$G$47,6,0)</f>
        <v>150079.83638999998</v>
      </c>
      <c r="L577" s="950">
        <f t="shared" si="5"/>
        <v>84044</v>
      </c>
      <c r="M577" s="922"/>
      <c r="N577" s="973"/>
    </row>
    <row r="578" spans="1:14" ht="24.95" customHeight="1">
      <c r="A578" s="974"/>
      <c r="B578" s="969"/>
      <c r="C578" s="969"/>
      <c r="D578" s="970"/>
      <c r="E578" s="970"/>
      <c r="F578" s="970"/>
      <c r="G578" s="971"/>
      <c r="H578" s="971"/>
      <c r="I578" s="971"/>
      <c r="J578" s="971"/>
      <c r="K578" s="398"/>
      <c r="L578" s="950"/>
      <c r="M578" s="922"/>
      <c r="N578" s="973"/>
    </row>
    <row r="579" spans="1:14" ht="24.95" customHeight="1">
      <c r="A579" s="974" t="s">
        <v>3042</v>
      </c>
      <c r="B579" s="969" t="s">
        <v>1898</v>
      </c>
      <c r="C579" s="969" t="s">
        <v>1760</v>
      </c>
      <c r="D579" s="970" t="s">
        <v>1761</v>
      </c>
      <c r="E579" s="970" t="s">
        <v>337</v>
      </c>
      <c r="F579" s="970" t="s">
        <v>30</v>
      </c>
      <c r="G579" s="971">
        <v>0.7</v>
      </c>
      <c r="H579" s="971">
        <v>1.2</v>
      </c>
      <c r="I579" s="971">
        <v>1</v>
      </c>
      <c r="J579" s="971">
        <v>1</v>
      </c>
      <c r="K579" s="398">
        <f>VLOOKUP(F579,'8-5.2025하노임'!$A$6:$G$47,6,0)</f>
        <v>248856.63428999999</v>
      </c>
      <c r="L579" s="950">
        <f t="shared" si="5"/>
        <v>209039</v>
      </c>
      <c r="M579" s="961">
        <f>SUM(L579:L580)</f>
        <v>335106</v>
      </c>
      <c r="N579" s="973" t="s">
        <v>1887</v>
      </c>
    </row>
    <row r="580" spans="1:14" ht="24.95" customHeight="1">
      <c r="A580" s="974"/>
      <c r="B580" s="969" t="s">
        <v>1888</v>
      </c>
      <c r="C580" s="969"/>
      <c r="D580" s="970"/>
      <c r="E580" s="970"/>
      <c r="F580" s="970" t="s">
        <v>4</v>
      </c>
      <c r="G580" s="971">
        <v>0.7</v>
      </c>
      <c r="H580" s="971">
        <v>1.2</v>
      </c>
      <c r="I580" s="971">
        <v>1</v>
      </c>
      <c r="J580" s="971">
        <v>1</v>
      </c>
      <c r="K580" s="398">
        <f>VLOOKUP(F580,'8-5.2025하노임'!$A$6:$G$47,6,0)</f>
        <v>150079.83638999998</v>
      </c>
      <c r="L580" s="950">
        <f t="shared" si="5"/>
        <v>126067</v>
      </c>
      <c r="M580" s="922"/>
      <c r="N580" s="973"/>
    </row>
    <row r="581" spans="1:14" ht="24.95" customHeight="1">
      <c r="A581" s="974"/>
      <c r="B581" s="969"/>
      <c r="C581" s="969"/>
      <c r="D581" s="970"/>
      <c r="E581" s="970"/>
      <c r="F581" s="970"/>
      <c r="G581" s="971"/>
      <c r="H581" s="971"/>
      <c r="I581" s="971"/>
      <c r="J581" s="971"/>
      <c r="K581" s="398"/>
      <c r="L581" s="950"/>
      <c r="M581" s="922"/>
      <c r="N581" s="973"/>
    </row>
    <row r="582" spans="1:14" ht="24.95" customHeight="1">
      <c r="A582" s="974" t="s">
        <v>3043</v>
      </c>
      <c r="B582" s="969" t="s">
        <v>1899</v>
      </c>
      <c r="C582" s="969" t="s">
        <v>1900</v>
      </c>
      <c r="D582" s="970"/>
      <c r="E582" s="970" t="s">
        <v>337</v>
      </c>
      <c r="F582" s="970" t="s">
        <v>3</v>
      </c>
      <c r="G582" s="971">
        <v>0.09</v>
      </c>
      <c r="H582" s="971">
        <v>1</v>
      </c>
      <c r="I582" s="971">
        <v>1</v>
      </c>
      <c r="J582" s="971">
        <v>1</v>
      </c>
      <c r="K582" s="398">
        <f>VLOOKUP(F582,'8-5.2025하노임'!$A$6:$G$47,6,0)</f>
        <v>276216.14889000001</v>
      </c>
      <c r="L582" s="950">
        <f t="shared" si="5"/>
        <v>24859</v>
      </c>
      <c r="M582" s="961">
        <f>SUM(L582:L583)</f>
        <v>38366</v>
      </c>
      <c r="N582" s="973" t="s">
        <v>1901</v>
      </c>
    </row>
    <row r="583" spans="1:14" ht="24.95" customHeight="1">
      <c r="A583" s="974"/>
      <c r="B583" s="969"/>
      <c r="C583" s="969"/>
      <c r="D583" s="970"/>
      <c r="E583" s="970"/>
      <c r="F583" s="970" t="s">
        <v>4</v>
      </c>
      <c r="G583" s="971">
        <v>0.09</v>
      </c>
      <c r="H583" s="971">
        <v>1</v>
      </c>
      <c r="I583" s="971">
        <v>1</v>
      </c>
      <c r="J583" s="971">
        <v>1</v>
      </c>
      <c r="K583" s="398">
        <f>VLOOKUP(F583,'8-5.2025하노임'!$A$6:$G$47,6,0)</f>
        <v>150079.83638999998</v>
      </c>
      <c r="L583" s="950">
        <f t="shared" si="5"/>
        <v>13507</v>
      </c>
      <c r="M583" s="922"/>
      <c r="N583" s="973"/>
    </row>
    <row r="584" spans="1:14" ht="24.95" customHeight="1">
      <c r="A584" s="974"/>
      <c r="B584" s="969"/>
      <c r="C584" s="969"/>
      <c r="D584" s="970"/>
      <c r="E584" s="970"/>
      <c r="F584" s="970"/>
      <c r="G584" s="971"/>
      <c r="H584" s="971"/>
      <c r="I584" s="971"/>
      <c r="J584" s="971"/>
      <c r="K584" s="398"/>
      <c r="L584" s="950"/>
      <c r="M584" s="922"/>
      <c r="N584" s="973"/>
    </row>
    <row r="585" spans="1:14" ht="24.95" customHeight="1">
      <c r="A585" s="974" t="s">
        <v>3044</v>
      </c>
      <c r="B585" s="969" t="s">
        <v>1902</v>
      </c>
      <c r="C585" s="969" t="s">
        <v>1903</v>
      </c>
      <c r="D585" s="970"/>
      <c r="E585" s="970" t="s">
        <v>814</v>
      </c>
      <c r="F585" s="970" t="s">
        <v>31</v>
      </c>
      <c r="G585" s="971">
        <v>7.0000000000000001E-3</v>
      </c>
      <c r="H585" s="971">
        <v>1</v>
      </c>
      <c r="I585" s="971">
        <v>1</v>
      </c>
      <c r="J585" s="971">
        <v>1</v>
      </c>
      <c r="K585" s="398">
        <f>VLOOKUP(F585,'8-5.2025하노임'!$A$6:$G$47,6,0)</f>
        <v>386848.44396</v>
      </c>
      <c r="L585" s="950">
        <f t="shared" si="5"/>
        <v>2707</v>
      </c>
      <c r="M585" s="961">
        <f>SUM(L585:L586)</f>
        <v>4916</v>
      </c>
      <c r="N585" s="973" t="s">
        <v>908</v>
      </c>
    </row>
    <row r="586" spans="1:14" ht="24.95" customHeight="1">
      <c r="A586" s="974"/>
      <c r="B586" s="969"/>
      <c r="C586" s="969"/>
      <c r="D586" s="970"/>
      <c r="E586" s="970"/>
      <c r="F586" s="970" t="s">
        <v>3</v>
      </c>
      <c r="G586" s="971">
        <v>8.0000000000000002E-3</v>
      </c>
      <c r="H586" s="971">
        <v>1</v>
      </c>
      <c r="I586" s="971">
        <v>1</v>
      </c>
      <c r="J586" s="971">
        <v>1</v>
      </c>
      <c r="K586" s="398">
        <f>VLOOKUP(F586,'8-5.2025하노임'!$A$6:$G$47,6,0)</f>
        <v>276216.14889000001</v>
      </c>
      <c r="L586" s="950">
        <f t="shared" si="5"/>
        <v>2209</v>
      </c>
      <c r="M586" s="922"/>
      <c r="N586" s="973"/>
    </row>
    <row r="587" spans="1:14" ht="24.95" customHeight="1">
      <c r="A587" s="974"/>
      <c r="B587" s="969"/>
      <c r="C587" s="969"/>
      <c r="D587" s="970"/>
      <c r="E587" s="970"/>
      <c r="F587" s="970"/>
      <c r="G587" s="971"/>
      <c r="H587" s="971"/>
      <c r="I587" s="971"/>
      <c r="J587" s="971"/>
      <c r="K587" s="398"/>
      <c r="L587" s="950"/>
      <c r="M587" s="922"/>
      <c r="N587" s="973"/>
    </row>
    <row r="588" spans="1:14" ht="24.95" customHeight="1">
      <c r="A588" s="974" t="s">
        <v>3045</v>
      </c>
      <c r="B588" s="969" t="s">
        <v>1904</v>
      </c>
      <c r="C588" s="969" t="s">
        <v>1905</v>
      </c>
      <c r="D588" s="970"/>
      <c r="E588" s="970" t="s">
        <v>1136</v>
      </c>
      <c r="F588" s="970" t="s">
        <v>9</v>
      </c>
      <c r="G588" s="971">
        <v>0.06</v>
      </c>
      <c r="H588" s="971">
        <v>1</v>
      </c>
      <c r="I588" s="971">
        <v>1</v>
      </c>
      <c r="J588" s="971">
        <v>1</v>
      </c>
      <c r="K588" s="398">
        <f>VLOOKUP(F588,'8-5.2025하노임'!$A$6:$G$47,6,0)</f>
        <v>410351.47791000002</v>
      </c>
      <c r="L588" s="950">
        <f t="shared" si="5"/>
        <v>24621</v>
      </c>
      <c r="M588" s="961">
        <f>SUM(L588:L589)</f>
        <v>34470</v>
      </c>
      <c r="N588" s="973" t="s">
        <v>1906</v>
      </c>
    </row>
    <row r="589" spans="1:14" ht="24.95" customHeight="1">
      <c r="A589" s="974"/>
      <c r="B589" s="969"/>
      <c r="C589" s="969"/>
      <c r="D589" s="970"/>
      <c r="E589" s="970"/>
      <c r="F589" s="970" t="s">
        <v>16</v>
      </c>
      <c r="G589" s="971">
        <v>0.05</v>
      </c>
      <c r="H589" s="971">
        <v>1</v>
      </c>
      <c r="I589" s="971">
        <v>1</v>
      </c>
      <c r="J589" s="971">
        <v>1</v>
      </c>
      <c r="K589" s="398">
        <f>VLOOKUP(F589,'8-5.2025하노임'!$A$6:$G$47,6,0)</f>
        <v>196983.2403</v>
      </c>
      <c r="L589" s="950">
        <f t="shared" si="5"/>
        <v>9849</v>
      </c>
      <c r="M589" s="922"/>
      <c r="N589" s="973"/>
    </row>
    <row r="590" spans="1:14" ht="24.95" customHeight="1">
      <c r="A590" s="974"/>
      <c r="B590" s="969"/>
      <c r="C590" s="969"/>
      <c r="D590" s="970"/>
      <c r="E590" s="970"/>
      <c r="F590" s="970"/>
      <c r="G590" s="971"/>
      <c r="H590" s="971"/>
      <c r="I590" s="971"/>
      <c r="J590" s="971"/>
      <c r="K590" s="398"/>
      <c r="L590" s="950"/>
      <c r="M590" s="922"/>
      <c r="N590" s="973"/>
    </row>
    <row r="591" spans="1:14" ht="24.95" customHeight="1">
      <c r="A591" s="974" t="s">
        <v>3046</v>
      </c>
      <c r="B591" s="969" t="s">
        <v>1907</v>
      </c>
      <c r="C591" s="969" t="s">
        <v>2583</v>
      </c>
      <c r="D591" s="970"/>
      <c r="E591" s="970" t="s">
        <v>1136</v>
      </c>
      <c r="F591" s="970" t="s">
        <v>9</v>
      </c>
      <c r="G591" s="971">
        <v>0.05</v>
      </c>
      <c r="H591" s="971">
        <v>1</v>
      </c>
      <c r="I591" s="971">
        <v>1</v>
      </c>
      <c r="J591" s="971">
        <v>1</v>
      </c>
      <c r="K591" s="398">
        <f>VLOOKUP(F591,'8-5.2025하노임'!$A$6:$G$47,6,0)</f>
        <v>410351.47791000002</v>
      </c>
      <c r="L591" s="950">
        <f t="shared" si="5"/>
        <v>20517</v>
      </c>
      <c r="M591" s="961">
        <f>SUM(L591:L592)</f>
        <v>24456</v>
      </c>
      <c r="N591" s="973" t="s">
        <v>930</v>
      </c>
    </row>
    <row r="592" spans="1:14" ht="24.95" customHeight="1">
      <c r="A592" s="974"/>
      <c r="B592" s="969"/>
      <c r="C592" s="969"/>
      <c r="D592" s="970"/>
      <c r="E592" s="970"/>
      <c r="F592" s="970" t="s">
        <v>16</v>
      </c>
      <c r="G592" s="971">
        <v>0.02</v>
      </c>
      <c r="H592" s="971">
        <v>1</v>
      </c>
      <c r="I592" s="971">
        <v>1</v>
      </c>
      <c r="J592" s="971">
        <v>1</v>
      </c>
      <c r="K592" s="398">
        <f>VLOOKUP(F592,'8-5.2025하노임'!$A$6:$G$47,6,0)</f>
        <v>196983.2403</v>
      </c>
      <c r="L592" s="950">
        <f t="shared" si="5"/>
        <v>3939</v>
      </c>
      <c r="M592" s="922"/>
      <c r="N592" s="973"/>
    </row>
    <row r="593" spans="1:14" ht="24.95" customHeight="1">
      <c r="A593" s="974"/>
      <c r="B593" s="969"/>
      <c r="C593" s="969"/>
      <c r="D593" s="970"/>
      <c r="E593" s="970"/>
      <c r="F593" s="970"/>
      <c r="G593" s="971"/>
      <c r="H593" s="971"/>
      <c r="I593" s="971"/>
      <c r="J593" s="971"/>
      <c r="K593" s="398"/>
      <c r="L593" s="950"/>
      <c r="M593" s="922"/>
      <c r="N593" s="973"/>
    </row>
    <row r="594" spans="1:14" ht="24.95" customHeight="1">
      <c r="A594" s="974" t="s">
        <v>3047</v>
      </c>
      <c r="B594" s="969" t="s">
        <v>1908</v>
      </c>
      <c r="C594" s="969" t="s">
        <v>1909</v>
      </c>
      <c r="D594" s="970"/>
      <c r="E594" s="970" t="s">
        <v>814</v>
      </c>
      <c r="F594" s="970" t="s">
        <v>9</v>
      </c>
      <c r="G594" s="971">
        <v>9.1999999999999998E-3</v>
      </c>
      <c r="H594" s="971">
        <v>1</v>
      </c>
      <c r="I594" s="971">
        <v>1</v>
      </c>
      <c r="J594" s="971">
        <v>1</v>
      </c>
      <c r="K594" s="398">
        <f>VLOOKUP(F594,'8-5.2025하노임'!$A$6:$G$47,6,0)</f>
        <v>410351.47791000002</v>
      </c>
      <c r="L594" s="950">
        <f t="shared" ref="L594:L672" si="6">INT(G594*H594*I594*J594*K594)</f>
        <v>3775</v>
      </c>
      <c r="M594" s="961">
        <f>SUM(L594:L595)</f>
        <v>4681</v>
      </c>
      <c r="N594" s="973" t="s">
        <v>930</v>
      </c>
    </row>
    <row r="595" spans="1:14" ht="24.95" customHeight="1">
      <c r="A595" s="974"/>
      <c r="B595" s="969"/>
      <c r="C595" s="969"/>
      <c r="D595" s="970"/>
      <c r="E595" s="970"/>
      <c r="F595" s="970" t="s">
        <v>16</v>
      </c>
      <c r="G595" s="971">
        <v>4.5999999999999999E-3</v>
      </c>
      <c r="H595" s="971">
        <v>1</v>
      </c>
      <c r="I595" s="971">
        <v>1</v>
      </c>
      <c r="J595" s="971">
        <v>1</v>
      </c>
      <c r="K595" s="398">
        <f>VLOOKUP(F595,'8-5.2025하노임'!$A$6:$G$47,6,0)</f>
        <v>196983.2403</v>
      </c>
      <c r="L595" s="950">
        <f t="shared" si="6"/>
        <v>906</v>
      </c>
      <c r="M595" s="922"/>
      <c r="N595" s="973"/>
    </row>
    <row r="596" spans="1:14" ht="24.95" customHeight="1">
      <c r="A596" s="974"/>
      <c r="B596" s="969"/>
      <c r="C596" s="969"/>
      <c r="D596" s="970"/>
      <c r="E596" s="970"/>
      <c r="F596" s="970"/>
      <c r="G596" s="971"/>
      <c r="H596" s="971"/>
      <c r="I596" s="971"/>
      <c r="J596" s="971"/>
      <c r="K596" s="398"/>
      <c r="L596" s="950"/>
      <c r="M596" s="922"/>
      <c r="N596" s="973"/>
    </row>
    <row r="597" spans="1:14" ht="24.95" customHeight="1">
      <c r="A597" s="974" t="s">
        <v>3048</v>
      </c>
      <c r="B597" s="969" t="s">
        <v>1910</v>
      </c>
      <c r="C597" s="969" t="s">
        <v>1911</v>
      </c>
      <c r="D597" s="970" t="s">
        <v>1912</v>
      </c>
      <c r="E597" s="970" t="s">
        <v>814</v>
      </c>
      <c r="F597" s="970" t="s">
        <v>31</v>
      </c>
      <c r="G597" s="971">
        <v>2.3E-2</v>
      </c>
      <c r="H597" s="971">
        <v>1.4</v>
      </c>
      <c r="I597" s="971">
        <v>1.2</v>
      </c>
      <c r="J597" s="971">
        <v>1</v>
      </c>
      <c r="K597" s="398">
        <f>VLOOKUP(F597,'8-5.2025하노임'!$A$6:$G$47,6,0)</f>
        <v>386848.44396</v>
      </c>
      <c r="L597" s="950">
        <f t="shared" si="6"/>
        <v>14947</v>
      </c>
      <c r="M597" s="961">
        <f>SUM(L597)</f>
        <v>14947</v>
      </c>
      <c r="N597" s="973" t="s">
        <v>1913</v>
      </c>
    </row>
    <row r="598" spans="1:14" ht="24.95" customHeight="1">
      <c r="A598" s="974"/>
      <c r="B598" s="969"/>
      <c r="C598" s="969"/>
      <c r="D598" s="970"/>
      <c r="E598" s="970"/>
      <c r="F598" s="970"/>
      <c r="G598" s="971"/>
      <c r="H598" s="971"/>
      <c r="I598" s="971"/>
      <c r="J598" s="971"/>
      <c r="K598" s="398"/>
      <c r="L598" s="950"/>
      <c r="M598" s="961"/>
      <c r="N598" s="973"/>
    </row>
    <row r="599" spans="1:14" s="1544" customFormat="1" ht="24.95" customHeight="1">
      <c r="A599" s="1545" t="s">
        <v>2598</v>
      </c>
      <c r="B599" s="1546" t="s">
        <v>1910</v>
      </c>
      <c r="C599" s="1546"/>
      <c r="D599" s="1547" t="s">
        <v>2605</v>
      </c>
      <c r="E599" s="1547" t="s">
        <v>814</v>
      </c>
      <c r="F599" s="1547" t="s">
        <v>31</v>
      </c>
      <c r="G599" s="1548">
        <v>2.3E-2</v>
      </c>
      <c r="H599" s="1548">
        <v>1.4</v>
      </c>
      <c r="I599" s="1548">
        <v>1</v>
      </c>
      <c r="J599" s="1548">
        <v>1</v>
      </c>
      <c r="K599" s="1530">
        <f>VLOOKUP(F599,'8-5.2025하노임'!$A$6:$G$47,6,0)</f>
        <v>386848.44396</v>
      </c>
      <c r="L599" s="1531">
        <f t="shared" ref="L599" si="7">INT(G599*H599*I599*J599*K599)</f>
        <v>12456</v>
      </c>
      <c r="M599" s="1542">
        <f>SUM(L599)</f>
        <v>12456</v>
      </c>
      <c r="N599" s="1549" t="s">
        <v>1913</v>
      </c>
    </row>
    <row r="600" spans="1:14" ht="24.95" customHeight="1">
      <c r="A600" s="974"/>
      <c r="B600" s="969"/>
      <c r="C600" s="969"/>
      <c r="D600" s="970"/>
      <c r="E600" s="970"/>
      <c r="F600" s="970"/>
      <c r="G600" s="971"/>
      <c r="H600" s="971"/>
      <c r="I600" s="971"/>
      <c r="J600" s="971"/>
      <c r="K600" s="398"/>
      <c r="L600" s="950"/>
      <c r="M600" s="922"/>
      <c r="N600" s="973"/>
    </row>
    <row r="601" spans="1:14" ht="24.95" customHeight="1">
      <c r="A601" s="974" t="s">
        <v>3099</v>
      </c>
      <c r="B601" s="969" t="s">
        <v>1910</v>
      </c>
      <c r="C601" s="969" t="s">
        <v>1914</v>
      </c>
      <c r="D601" s="970"/>
      <c r="E601" s="970" t="s">
        <v>814</v>
      </c>
      <c r="F601" s="970" t="s">
        <v>31</v>
      </c>
      <c r="G601" s="971">
        <v>1.4E-2</v>
      </c>
      <c r="H601" s="971">
        <v>1.2</v>
      </c>
      <c r="I601" s="971">
        <v>1</v>
      </c>
      <c r="J601" s="971">
        <v>1</v>
      </c>
      <c r="K601" s="398">
        <f>VLOOKUP(F601,'8-5.2025하노임'!$A$6:$G$47,6,0)</f>
        <v>386848.44396</v>
      </c>
      <c r="L601" s="950">
        <f t="shared" si="6"/>
        <v>6499</v>
      </c>
      <c r="M601" s="961">
        <f>SUM(L601)</f>
        <v>6499</v>
      </c>
      <c r="N601" s="973" t="s">
        <v>1915</v>
      </c>
    </row>
    <row r="602" spans="1:14" ht="24.95" customHeight="1">
      <c r="A602" s="974"/>
      <c r="B602" s="969"/>
      <c r="C602" s="969"/>
      <c r="D602" s="970"/>
      <c r="E602" s="970"/>
      <c r="F602" s="970"/>
      <c r="G602" s="971"/>
      <c r="H602" s="971"/>
      <c r="I602" s="971"/>
      <c r="J602" s="971"/>
      <c r="K602" s="398"/>
      <c r="L602" s="950"/>
      <c r="M602" s="961"/>
      <c r="N602" s="973"/>
    </row>
    <row r="603" spans="1:14" s="1544" customFormat="1" ht="24.95" customHeight="1">
      <c r="A603" s="1545" t="s">
        <v>2598</v>
      </c>
      <c r="B603" s="1546" t="s">
        <v>1910</v>
      </c>
      <c r="C603" s="1546"/>
      <c r="D603" s="1547" t="s">
        <v>2596</v>
      </c>
      <c r="E603" s="1547" t="s">
        <v>814</v>
      </c>
      <c r="F603" s="1547" t="s">
        <v>31</v>
      </c>
      <c r="G603" s="1548">
        <v>1.4E-2</v>
      </c>
      <c r="H603" s="1548">
        <v>1</v>
      </c>
      <c r="I603" s="1548">
        <v>1</v>
      </c>
      <c r="J603" s="1548">
        <v>1</v>
      </c>
      <c r="K603" s="1530">
        <f>VLOOKUP(F603,'8-5.2025하노임'!$A$6:$G$47,6,0)</f>
        <v>386848.44396</v>
      </c>
      <c r="L603" s="1531">
        <f t="shared" ref="L603" si="8">INT(G603*H603*I603*J603*K603)</f>
        <v>5415</v>
      </c>
      <c r="M603" s="1542">
        <f>SUM(L603)</f>
        <v>5415</v>
      </c>
      <c r="N603" s="1549" t="s">
        <v>1915</v>
      </c>
    </row>
    <row r="604" spans="1:14" ht="24.95" customHeight="1">
      <c r="A604" s="974"/>
      <c r="B604" s="969"/>
      <c r="C604" s="969"/>
      <c r="D604" s="970"/>
      <c r="E604" s="970"/>
      <c r="F604" s="970"/>
      <c r="G604" s="971"/>
      <c r="H604" s="971"/>
      <c r="I604" s="971"/>
      <c r="J604" s="971"/>
      <c r="K604" s="398"/>
      <c r="L604" s="950"/>
      <c r="M604" s="922"/>
      <c r="N604" s="973"/>
    </row>
    <row r="605" spans="1:14" ht="24.95" customHeight="1">
      <c r="A605" s="974" t="s">
        <v>3101</v>
      </c>
      <c r="B605" s="969" t="s">
        <v>1910</v>
      </c>
      <c r="C605" s="969" t="s">
        <v>1916</v>
      </c>
      <c r="D605" s="970" t="s">
        <v>1917</v>
      </c>
      <c r="E605" s="970" t="s">
        <v>814</v>
      </c>
      <c r="F605" s="970" t="s">
        <v>31</v>
      </c>
      <c r="G605" s="971">
        <v>1.4E-2</v>
      </c>
      <c r="H605" s="971">
        <v>1.2</v>
      </c>
      <c r="I605" s="971">
        <v>1.8</v>
      </c>
      <c r="J605" s="971">
        <v>1</v>
      </c>
      <c r="K605" s="398">
        <f>VLOOKUP(F605,'8-5.2025하노임'!$A$6:$G$47,6,0)</f>
        <v>386848.44396</v>
      </c>
      <c r="L605" s="950">
        <f t="shared" si="6"/>
        <v>11698</v>
      </c>
      <c r="M605" s="961">
        <f>SUM(L605)</f>
        <v>11698</v>
      </c>
      <c r="N605" s="973" t="s">
        <v>1915</v>
      </c>
    </row>
    <row r="606" spans="1:14" ht="24.95" customHeight="1">
      <c r="A606" s="974"/>
      <c r="B606" s="969"/>
      <c r="C606" s="969"/>
      <c r="D606" s="970"/>
      <c r="E606" s="970"/>
      <c r="F606" s="970"/>
      <c r="G606" s="971"/>
      <c r="H606" s="971"/>
      <c r="I606" s="971"/>
      <c r="J606" s="971"/>
      <c r="K606" s="398"/>
      <c r="L606" s="950"/>
      <c r="M606" s="961"/>
      <c r="N606" s="973"/>
    </row>
    <row r="607" spans="1:14" s="1544" customFormat="1" ht="24.95" customHeight="1">
      <c r="A607" s="1545" t="s">
        <v>2602</v>
      </c>
      <c r="B607" s="1546" t="s">
        <v>1910</v>
      </c>
      <c r="C607" s="1546"/>
      <c r="D607" s="1547" t="s">
        <v>2603</v>
      </c>
      <c r="E607" s="1547" t="s">
        <v>814</v>
      </c>
      <c r="F607" s="1547" t="s">
        <v>31</v>
      </c>
      <c r="G607" s="1548">
        <v>1.4E-2</v>
      </c>
      <c r="H607" s="1548">
        <v>1</v>
      </c>
      <c r="I607" s="1548">
        <v>1.8</v>
      </c>
      <c r="J607" s="1548">
        <v>1</v>
      </c>
      <c r="K607" s="1530">
        <f>VLOOKUP(F607,'8-5.2025하노임'!$A$6:$G$47,6,0)</f>
        <v>386848.44396</v>
      </c>
      <c r="L607" s="1531">
        <f t="shared" ref="L607" si="9">INT(G607*H607*I607*J607*K607)</f>
        <v>9748</v>
      </c>
      <c r="M607" s="1542">
        <f>SUM(L607)</f>
        <v>9748</v>
      </c>
      <c r="N607" s="1549" t="s">
        <v>1915</v>
      </c>
    </row>
    <row r="608" spans="1:14" ht="24.95" customHeight="1">
      <c r="A608" s="974"/>
      <c r="B608" s="969"/>
      <c r="C608" s="969"/>
      <c r="D608" s="970"/>
      <c r="E608" s="970"/>
      <c r="F608" s="970"/>
      <c r="G608" s="971"/>
      <c r="H608" s="971"/>
      <c r="I608" s="971"/>
      <c r="J608" s="971"/>
      <c r="K608" s="398"/>
      <c r="L608" s="950"/>
      <c r="M608" s="922"/>
      <c r="N608" s="973"/>
    </row>
    <row r="609" spans="1:14" ht="24.95" customHeight="1">
      <c r="A609" s="974" t="s">
        <v>3103</v>
      </c>
      <c r="B609" s="969" t="s">
        <v>1910</v>
      </c>
      <c r="C609" s="969" t="s">
        <v>1918</v>
      </c>
      <c r="D609" s="970" t="s">
        <v>1919</v>
      </c>
      <c r="E609" s="970" t="s">
        <v>814</v>
      </c>
      <c r="F609" s="970" t="s">
        <v>31</v>
      </c>
      <c r="G609" s="971">
        <v>1.4E-2</v>
      </c>
      <c r="H609" s="971">
        <v>1.2</v>
      </c>
      <c r="I609" s="971">
        <v>2.6</v>
      </c>
      <c r="J609" s="971">
        <v>1</v>
      </c>
      <c r="K609" s="398">
        <f>VLOOKUP(F609,'8-5.2025하노임'!$A$6:$G$47,6,0)</f>
        <v>386848.44396</v>
      </c>
      <c r="L609" s="950">
        <f t="shared" si="6"/>
        <v>16897</v>
      </c>
      <c r="M609" s="961">
        <f>SUM(L609)</f>
        <v>16897</v>
      </c>
      <c r="N609" s="973" t="s">
        <v>1915</v>
      </c>
    </row>
    <row r="610" spans="1:14" ht="24.95" customHeight="1">
      <c r="A610" s="974"/>
      <c r="B610" s="969"/>
      <c r="C610" s="969"/>
      <c r="D610" s="970"/>
      <c r="E610" s="970"/>
      <c r="F610" s="970"/>
      <c r="G610" s="971"/>
      <c r="H610" s="971"/>
      <c r="I610" s="971"/>
      <c r="J610" s="971"/>
      <c r="K610" s="398"/>
      <c r="L610" s="950"/>
      <c r="M610" s="961"/>
      <c r="N610" s="973"/>
    </row>
    <row r="611" spans="1:14" ht="24.95" customHeight="1">
      <c r="A611" s="1545" t="s">
        <v>2595</v>
      </c>
      <c r="B611" s="1546" t="s">
        <v>1910</v>
      </c>
      <c r="C611" s="1546"/>
      <c r="D611" s="1547" t="s">
        <v>3236</v>
      </c>
      <c r="E611" s="1547" t="s">
        <v>814</v>
      </c>
      <c r="F611" s="1547" t="s">
        <v>31</v>
      </c>
      <c r="G611" s="1548">
        <v>1.4E-2</v>
      </c>
      <c r="H611" s="1548">
        <v>1</v>
      </c>
      <c r="I611" s="1548">
        <v>2.6</v>
      </c>
      <c r="J611" s="1548">
        <v>1</v>
      </c>
      <c r="K611" s="1530">
        <f>VLOOKUP(F611,'8-5.2025하노임'!$A$6:$G$47,6,0)</f>
        <v>386848.44396</v>
      </c>
      <c r="L611" s="1531">
        <f t="shared" ref="L611" si="10">INT(G611*H611*I611*J611*K611)</f>
        <v>14081</v>
      </c>
      <c r="M611" s="1542">
        <f>SUM(L611)</f>
        <v>14081</v>
      </c>
      <c r="N611" s="1549" t="s">
        <v>1915</v>
      </c>
    </row>
    <row r="612" spans="1:14" ht="24.95" customHeight="1">
      <c r="A612" s="974"/>
      <c r="B612" s="969"/>
      <c r="C612" s="969"/>
      <c r="D612" s="970"/>
      <c r="E612" s="970"/>
      <c r="F612" s="970"/>
      <c r="G612" s="971"/>
      <c r="H612" s="971"/>
      <c r="I612" s="971"/>
      <c r="J612" s="971"/>
      <c r="K612" s="398"/>
      <c r="L612" s="950"/>
      <c r="M612" s="922"/>
      <c r="N612" s="973"/>
    </row>
    <row r="613" spans="1:14" ht="24.95" customHeight="1">
      <c r="A613" s="974" t="s">
        <v>3105</v>
      </c>
      <c r="B613" s="969" t="s">
        <v>1910</v>
      </c>
      <c r="C613" s="969" t="s">
        <v>1920</v>
      </c>
      <c r="D613" s="970" t="s">
        <v>1921</v>
      </c>
      <c r="E613" s="970" t="s">
        <v>814</v>
      </c>
      <c r="F613" s="970" t="s">
        <v>31</v>
      </c>
      <c r="G613" s="971">
        <v>1.4E-2</v>
      </c>
      <c r="H613" s="971">
        <v>1.2</v>
      </c>
      <c r="I613" s="971">
        <v>3.4</v>
      </c>
      <c r="J613" s="971">
        <v>1</v>
      </c>
      <c r="K613" s="398">
        <f>VLOOKUP(F613,'8-5.2025하노임'!$A$6:$G$47,6,0)</f>
        <v>386848.44396</v>
      </c>
      <c r="L613" s="950">
        <f t="shared" si="6"/>
        <v>22096</v>
      </c>
      <c r="M613" s="961">
        <f>SUM(L613)</f>
        <v>22096</v>
      </c>
      <c r="N613" s="973" t="s">
        <v>1915</v>
      </c>
    </row>
    <row r="614" spans="1:14" ht="24.95" customHeight="1">
      <c r="A614" s="974"/>
      <c r="B614" s="969"/>
      <c r="C614" s="969"/>
      <c r="D614" s="970"/>
      <c r="E614" s="970"/>
      <c r="F614" s="970"/>
      <c r="G614" s="971"/>
      <c r="H614" s="971"/>
      <c r="I614" s="971"/>
      <c r="J614" s="971"/>
      <c r="K614" s="398"/>
      <c r="L614" s="950"/>
      <c r="M614" s="961"/>
      <c r="N614" s="973"/>
    </row>
    <row r="615" spans="1:14" ht="24.95" customHeight="1">
      <c r="A615" s="1545" t="s">
        <v>2595</v>
      </c>
      <c r="B615" s="1546" t="s">
        <v>1910</v>
      </c>
      <c r="C615" s="1546"/>
      <c r="D615" s="1547" t="s">
        <v>3237</v>
      </c>
      <c r="E615" s="1547" t="s">
        <v>814</v>
      </c>
      <c r="F615" s="1547" t="s">
        <v>31</v>
      </c>
      <c r="G615" s="1548">
        <v>1.4E-2</v>
      </c>
      <c r="H615" s="1548">
        <v>1</v>
      </c>
      <c r="I615" s="1548">
        <v>3.4</v>
      </c>
      <c r="J615" s="1548">
        <v>1</v>
      </c>
      <c r="K615" s="1530">
        <f>VLOOKUP(F615,'8-5.2025하노임'!$A$6:$G$47,6,0)</f>
        <v>386848.44396</v>
      </c>
      <c r="L615" s="1531">
        <f t="shared" ref="L615" si="11">INT(G615*H615*I615*J615*K615)</f>
        <v>18413</v>
      </c>
      <c r="M615" s="1542">
        <f>SUM(L615)</f>
        <v>18413</v>
      </c>
      <c r="N615" s="1549" t="s">
        <v>1915</v>
      </c>
    </row>
    <row r="616" spans="1:14" ht="24.95" customHeight="1">
      <c r="A616" s="974"/>
      <c r="B616" s="969"/>
      <c r="C616" s="969"/>
      <c r="D616" s="970"/>
      <c r="E616" s="970"/>
      <c r="F616" s="970"/>
      <c r="G616" s="971"/>
      <c r="H616" s="971"/>
      <c r="I616" s="971"/>
      <c r="J616" s="971"/>
      <c r="K616" s="398"/>
      <c r="L616" s="950"/>
      <c r="M616" s="922"/>
      <c r="N616" s="973"/>
    </row>
    <row r="617" spans="1:14" ht="24.95" customHeight="1">
      <c r="A617" s="974" t="s">
        <v>3049</v>
      </c>
      <c r="B617" s="969" t="s">
        <v>1910</v>
      </c>
      <c r="C617" s="969" t="s">
        <v>1922</v>
      </c>
      <c r="D617" s="970"/>
      <c r="E617" s="970" t="s">
        <v>814</v>
      </c>
      <c r="F617" s="970" t="s">
        <v>31</v>
      </c>
      <c r="G617" s="971">
        <v>1.2E-2</v>
      </c>
      <c r="H617" s="971">
        <v>1.2</v>
      </c>
      <c r="I617" s="971">
        <v>1</v>
      </c>
      <c r="J617" s="971">
        <v>1</v>
      </c>
      <c r="K617" s="398">
        <f>VLOOKUP(F617,'8-5.2025하노임'!$A$6:$G$47,6,0)</f>
        <v>386848.44396</v>
      </c>
      <c r="L617" s="950">
        <f t="shared" si="6"/>
        <v>5570</v>
      </c>
      <c r="M617" s="961">
        <f>SUM(L617)</f>
        <v>5570</v>
      </c>
      <c r="N617" s="973" t="s">
        <v>1915</v>
      </c>
    </row>
    <row r="618" spans="1:14" ht="24.95" customHeight="1">
      <c r="A618" s="974"/>
      <c r="B618" s="969"/>
      <c r="C618" s="969"/>
      <c r="D618" s="970"/>
      <c r="E618" s="970"/>
      <c r="F618" s="970"/>
      <c r="G618" s="971"/>
      <c r="H618" s="971"/>
      <c r="I618" s="971"/>
      <c r="J618" s="971"/>
      <c r="K618" s="398"/>
      <c r="L618" s="950"/>
      <c r="M618" s="922"/>
      <c r="N618" s="973"/>
    </row>
    <row r="619" spans="1:14" ht="24.95" customHeight="1">
      <c r="A619" s="974" t="s">
        <v>2571</v>
      </c>
      <c r="B619" s="969" t="s">
        <v>1910</v>
      </c>
      <c r="C619" s="969" t="s">
        <v>1923</v>
      </c>
      <c r="D619" s="970" t="s">
        <v>1917</v>
      </c>
      <c r="E619" s="970" t="s">
        <v>814</v>
      </c>
      <c r="F619" s="970" t="s">
        <v>31</v>
      </c>
      <c r="G619" s="971">
        <v>1.2E-2</v>
      </c>
      <c r="H619" s="971">
        <v>1.2</v>
      </c>
      <c r="I619" s="971">
        <v>1.8</v>
      </c>
      <c r="J619" s="971">
        <v>1</v>
      </c>
      <c r="K619" s="398">
        <f>VLOOKUP(F619,'8-5.2025하노임'!$A$6:$G$47,6,0)</f>
        <v>386848.44396</v>
      </c>
      <c r="L619" s="950">
        <f t="shared" si="6"/>
        <v>10027</v>
      </c>
      <c r="M619" s="961">
        <f>SUM(L619)</f>
        <v>10027</v>
      </c>
      <c r="N619" s="973" t="s">
        <v>1915</v>
      </c>
    </row>
    <row r="620" spans="1:14" ht="24.95" customHeight="1">
      <c r="A620" s="974"/>
      <c r="B620" s="969"/>
      <c r="C620" s="969"/>
      <c r="D620" s="970"/>
      <c r="E620" s="970"/>
      <c r="F620" s="970"/>
      <c r="G620" s="971"/>
      <c r="H620" s="971"/>
      <c r="I620" s="971"/>
      <c r="J620" s="971"/>
      <c r="K620" s="398"/>
      <c r="L620" s="950"/>
      <c r="M620" s="922"/>
      <c r="N620" s="973"/>
    </row>
    <row r="621" spans="1:14" ht="24.95" customHeight="1">
      <c r="A621" s="974" t="s">
        <v>2572</v>
      </c>
      <c r="B621" s="969" t="s">
        <v>1910</v>
      </c>
      <c r="C621" s="969" t="s">
        <v>1924</v>
      </c>
      <c r="D621" s="970" t="s">
        <v>1925</v>
      </c>
      <c r="E621" s="970" t="s">
        <v>814</v>
      </c>
      <c r="F621" s="970" t="s">
        <v>31</v>
      </c>
      <c r="G621" s="971">
        <v>1.2E-2</v>
      </c>
      <c r="H621" s="971">
        <v>1.2</v>
      </c>
      <c r="I621" s="971">
        <v>2.6</v>
      </c>
      <c r="J621" s="971">
        <v>1</v>
      </c>
      <c r="K621" s="398">
        <f>VLOOKUP(F621,'8-5.2025하노임'!$A$6:$G$47,6,0)</f>
        <v>386848.44396</v>
      </c>
      <c r="L621" s="950">
        <f t="shared" si="6"/>
        <v>14483</v>
      </c>
      <c r="M621" s="961">
        <f>SUM(L621)</f>
        <v>14483</v>
      </c>
      <c r="N621" s="973" t="s">
        <v>1915</v>
      </c>
    </row>
    <row r="622" spans="1:14" ht="24.95" customHeight="1">
      <c r="A622" s="974"/>
      <c r="B622" s="969"/>
      <c r="C622" s="969"/>
      <c r="D622" s="970"/>
      <c r="E622" s="970"/>
      <c r="F622" s="970"/>
      <c r="G622" s="971"/>
      <c r="H622" s="971"/>
      <c r="I622" s="971"/>
      <c r="J622" s="971"/>
      <c r="K622" s="398"/>
      <c r="L622" s="950"/>
      <c r="M622" s="922"/>
      <c r="N622" s="973"/>
    </row>
    <row r="623" spans="1:14" ht="24.95" customHeight="1">
      <c r="A623" s="974" t="s">
        <v>2573</v>
      </c>
      <c r="B623" s="969" t="s">
        <v>1910</v>
      </c>
      <c r="C623" s="969" t="s">
        <v>1926</v>
      </c>
      <c r="D623" s="970" t="s">
        <v>1927</v>
      </c>
      <c r="E623" s="970" t="s">
        <v>814</v>
      </c>
      <c r="F623" s="970" t="s">
        <v>31</v>
      </c>
      <c r="G623" s="971">
        <v>1.2E-2</v>
      </c>
      <c r="H623" s="971">
        <v>1.2</v>
      </c>
      <c r="I623" s="971">
        <v>3.4</v>
      </c>
      <c r="J623" s="971">
        <v>1</v>
      </c>
      <c r="K623" s="398">
        <f>VLOOKUP(F623,'8-5.2025하노임'!$A$6:$G$47,6,0)</f>
        <v>386848.44396</v>
      </c>
      <c r="L623" s="950">
        <f t="shared" si="6"/>
        <v>18940</v>
      </c>
      <c r="M623" s="961">
        <f>SUM(L623)</f>
        <v>18940</v>
      </c>
      <c r="N623" s="973" t="s">
        <v>1915</v>
      </c>
    </row>
    <row r="624" spans="1:14" ht="24.95" customHeight="1">
      <c r="A624" s="974"/>
      <c r="B624" s="969"/>
      <c r="C624" s="969"/>
      <c r="D624" s="970"/>
      <c r="E624" s="970"/>
      <c r="F624" s="970"/>
      <c r="G624" s="971"/>
      <c r="H624" s="971"/>
      <c r="I624" s="971"/>
      <c r="J624" s="971"/>
      <c r="K624" s="398"/>
      <c r="L624" s="950"/>
      <c r="M624" s="922"/>
      <c r="N624" s="973"/>
    </row>
    <row r="625" spans="1:14" ht="24.95" customHeight="1">
      <c r="A625" s="974" t="s">
        <v>3050</v>
      </c>
      <c r="B625" s="969" t="s">
        <v>1928</v>
      </c>
      <c r="C625" s="969" t="s">
        <v>1929</v>
      </c>
      <c r="D625" s="970" t="s">
        <v>2604</v>
      </c>
      <c r="E625" s="970" t="s">
        <v>814</v>
      </c>
      <c r="F625" s="970" t="s">
        <v>31</v>
      </c>
      <c r="G625" s="971">
        <v>2.3E-2</v>
      </c>
      <c r="H625" s="971">
        <v>1.2</v>
      </c>
      <c r="I625" s="971">
        <v>1</v>
      </c>
      <c r="J625" s="971">
        <v>1</v>
      </c>
      <c r="K625" s="398">
        <f>VLOOKUP(F625,'8-5.2025하노임'!$A$6:$G$47,6,0)</f>
        <v>386848.44396</v>
      </c>
      <c r="L625" s="950">
        <f t="shared" si="6"/>
        <v>10677</v>
      </c>
      <c r="M625" s="961">
        <f>SUM(L625)</f>
        <v>10677</v>
      </c>
      <c r="N625" s="973" t="s">
        <v>1915</v>
      </c>
    </row>
    <row r="626" spans="1:14" ht="24.95" customHeight="1">
      <c r="A626" s="974"/>
      <c r="B626" s="969"/>
      <c r="C626" s="969"/>
      <c r="D626" s="970"/>
      <c r="E626" s="970"/>
      <c r="F626" s="970"/>
      <c r="G626" s="971"/>
      <c r="H626" s="971"/>
      <c r="I626" s="971"/>
      <c r="J626" s="971"/>
      <c r="K626" s="398"/>
      <c r="L626" s="950"/>
      <c r="M626" s="961"/>
      <c r="N626" s="973"/>
    </row>
    <row r="627" spans="1:14" s="1544" customFormat="1" ht="24.95" customHeight="1">
      <c r="A627" s="1545" t="s">
        <v>2598</v>
      </c>
      <c r="B627" s="1546" t="s">
        <v>1928</v>
      </c>
      <c r="C627" s="1546"/>
      <c r="D627" s="1547" t="s">
        <v>2604</v>
      </c>
      <c r="E627" s="1547" t="s">
        <v>814</v>
      </c>
      <c r="F627" s="1547" t="s">
        <v>31</v>
      </c>
      <c r="G627" s="1548">
        <v>2.3E-2</v>
      </c>
      <c r="H627" s="1548">
        <v>1</v>
      </c>
      <c r="I627" s="1548">
        <v>1</v>
      </c>
      <c r="J627" s="1548">
        <v>1</v>
      </c>
      <c r="K627" s="1530">
        <f>VLOOKUP(F627,'8-5.2025하노임'!$A$6:$G$47,6,0)</f>
        <v>386848.44396</v>
      </c>
      <c r="L627" s="1531">
        <f t="shared" ref="L627" si="12">INT(G627*H627*I627*J627*K627)</f>
        <v>8897</v>
      </c>
      <c r="M627" s="1542">
        <f>SUM(L627)</f>
        <v>8897</v>
      </c>
      <c r="N627" s="1549" t="s">
        <v>1915</v>
      </c>
    </row>
    <row r="628" spans="1:14" ht="24.95" customHeight="1">
      <c r="A628" s="974"/>
      <c r="B628" s="969"/>
      <c r="C628" s="969"/>
      <c r="D628" s="970"/>
      <c r="E628" s="970"/>
      <c r="F628" s="970"/>
      <c r="G628" s="971"/>
      <c r="H628" s="971"/>
      <c r="I628" s="971"/>
      <c r="J628" s="971"/>
      <c r="K628" s="398"/>
      <c r="L628" s="950"/>
      <c r="M628" s="961"/>
      <c r="N628" s="973"/>
    </row>
    <row r="629" spans="1:14" ht="24.95" customHeight="1">
      <c r="A629" s="974" t="s">
        <v>3051</v>
      </c>
      <c r="B629" s="969" t="s">
        <v>1928</v>
      </c>
      <c r="C629" s="969" t="s">
        <v>1930</v>
      </c>
      <c r="D629" s="1550" t="s">
        <v>2604</v>
      </c>
      <c r="E629" s="970" t="s">
        <v>814</v>
      </c>
      <c r="F629" s="970" t="s">
        <v>31</v>
      </c>
      <c r="G629" s="971">
        <v>5.2999999999999999E-2</v>
      </c>
      <c r="H629" s="971">
        <v>1.2</v>
      </c>
      <c r="I629" s="971">
        <v>1</v>
      </c>
      <c r="J629" s="971">
        <v>1</v>
      </c>
      <c r="K629" s="398">
        <f>VLOOKUP(F629,'8-5.2025하노임'!$A$6:$G$47,6,0)</f>
        <v>386848.44396</v>
      </c>
      <c r="L629" s="950">
        <f t="shared" si="6"/>
        <v>24603</v>
      </c>
      <c r="M629" s="961">
        <f>SUM(L629)</f>
        <v>24603</v>
      </c>
      <c r="N629" s="973" t="s">
        <v>1915</v>
      </c>
    </row>
    <row r="630" spans="1:14" ht="24.95" customHeight="1">
      <c r="A630" s="974"/>
      <c r="B630" s="969"/>
      <c r="C630" s="969"/>
      <c r="D630" s="970"/>
      <c r="E630" s="970"/>
      <c r="F630" s="970"/>
      <c r="G630" s="971"/>
      <c r="H630" s="971"/>
      <c r="I630" s="971"/>
      <c r="J630" s="971"/>
      <c r="K630" s="398"/>
      <c r="L630" s="950"/>
      <c r="M630" s="961"/>
      <c r="N630" s="973"/>
    </row>
    <row r="631" spans="1:14" s="1544" customFormat="1" ht="24.95" customHeight="1">
      <c r="A631" s="1545" t="s">
        <v>2598</v>
      </c>
      <c r="B631" s="1546" t="s">
        <v>1928</v>
      </c>
      <c r="C631" s="1546"/>
      <c r="D631" s="1547" t="s">
        <v>2604</v>
      </c>
      <c r="E631" s="1547" t="s">
        <v>814</v>
      </c>
      <c r="F631" s="1547" t="s">
        <v>31</v>
      </c>
      <c r="G631" s="1548">
        <v>5.2999999999999999E-2</v>
      </c>
      <c r="H631" s="1548">
        <v>1</v>
      </c>
      <c r="I631" s="1548">
        <v>1</v>
      </c>
      <c r="J631" s="1548">
        <v>1</v>
      </c>
      <c r="K631" s="1530">
        <f>VLOOKUP(F631,'8-5.2025하노임'!$A$6:$G$47,6,0)</f>
        <v>386848.44396</v>
      </c>
      <c r="L631" s="1531">
        <f t="shared" ref="L631" si="13">INT(G631*H631*I631*J631*K631)</f>
        <v>20502</v>
      </c>
      <c r="M631" s="1542">
        <f>SUM(L631)</f>
        <v>20502</v>
      </c>
      <c r="N631" s="1549" t="s">
        <v>1915</v>
      </c>
    </row>
    <row r="632" spans="1:14" ht="24.95" customHeight="1">
      <c r="A632" s="974"/>
      <c r="B632" s="969"/>
      <c r="C632" s="969"/>
      <c r="D632" s="970"/>
      <c r="E632" s="970"/>
      <c r="F632" s="970"/>
      <c r="G632" s="971"/>
      <c r="H632" s="971"/>
      <c r="I632" s="971"/>
      <c r="J632" s="971"/>
      <c r="K632" s="398"/>
      <c r="L632" s="950"/>
      <c r="M632" s="922"/>
      <c r="N632" s="973"/>
    </row>
    <row r="633" spans="1:14" ht="24.95" customHeight="1">
      <c r="A633" s="974" t="s">
        <v>3052</v>
      </c>
      <c r="B633" s="969" t="s">
        <v>1931</v>
      </c>
      <c r="C633" s="969" t="s">
        <v>1932</v>
      </c>
      <c r="D633" s="970"/>
      <c r="E633" s="970" t="s">
        <v>814</v>
      </c>
      <c r="F633" s="970" t="s">
        <v>31</v>
      </c>
      <c r="G633" s="971">
        <v>1.7000000000000001E-2</v>
      </c>
      <c r="H633" s="971">
        <v>1</v>
      </c>
      <c r="I633" s="971">
        <v>1</v>
      </c>
      <c r="J633" s="971">
        <v>1</v>
      </c>
      <c r="K633" s="398">
        <f>VLOOKUP(F633,'8-5.2025하노임'!$A$6:$G$47,6,0)</f>
        <v>386848.44396</v>
      </c>
      <c r="L633" s="950">
        <f t="shared" si="6"/>
        <v>6576</v>
      </c>
      <c r="M633" s="961">
        <f>SUM(L633)</f>
        <v>6576</v>
      </c>
      <c r="N633" s="973" t="s">
        <v>1933</v>
      </c>
    </row>
    <row r="634" spans="1:14" ht="24.95" customHeight="1">
      <c r="A634" s="974"/>
      <c r="B634" s="969"/>
      <c r="C634" s="969"/>
      <c r="D634" s="970"/>
      <c r="E634" s="970"/>
      <c r="F634" s="970"/>
      <c r="G634" s="971"/>
      <c r="H634" s="971"/>
      <c r="I634" s="971"/>
      <c r="J634" s="971"/>
      <c r="K634" s="398"/>
      <c r="L634" s="950"/>
      <c r="M634" s="922"/>
      <c r="N634" s="973"/>
    </row>
    <row r="635" spans="1:14" ht="24.95" customHeight="1">
      <c r="A635" s="974" t="s">
        <v>3053</v>
      </c>
      <c r="B635" s="969" t="s">
        <v>1934</v>
      </c>
      <c r="C635" s="969" t="s">
        <v>1935</v>
      </c>
      <c r="D635" s="970"/>
      <c r="E635" s="970" t="s">
        <v>814</v>
      </c>
      <c r="F635" s="970" t="s">
        <v>31</v>
      </c>
      <c r="G635" s="971">
        <v>1.4999999999999999E-2</v>
      </c>
      <c r="H635" s="971">
        <v>1</v>
      </c>
      <c r="I635" s="971">
        <v>1</v>
      </c>
      <c r="J635" s="971">
        <v>1</v>
      </c>
      <c r="K635" s="398">
        <f>VLOOKUP(F635,'8-5.2025하노임'!$A$6:$G$47,6,0)</f>
        <v>386848.44396</v>
      </c>
      <c r="L635" s="950">
        <f t="shared" si="6"/>
        <v>5802</v>
      </c>
      <c r="M635" s="961">
        <f>SUM(L635)</f>
        <v>5802</v>
      </c>
      <c r="N635" s="973" t="s">
        <v>913</v>
      </c>
    </row>
    <row r="636" spans="1:14" ht="24.95" customHeight="1">
      <c r="A636" s="974"/>
      <c r="B636" s="969"/>
      <c r="C636" s="969"/>
      <c r="D636" s="970"/>
      <c r="E636" s="970"/>
      <c r="F636" s="970"/>
      <c r="G636" s="971"/>
      <c r="H636" s="971"/>
      <c r="I636" s="971"/>
      <c r="J636" s="971"/>
      <c r="K636" s="398"/>
      <c r="L636" s="950"/>
      <c r="M636" s="922"/>
      <c r="N636" s="973"/>
    </row>
    <row r="637" spans="1:14" ht="24.95" customHeight="1">
      <c r="A637" s="974" t="s">
        <v>3054</v>
      </c>
      <c r="B637" s="969" t="s">
        <v>1936</v>
      </c>
      <c r="C637" s="969" t="s">
        <v>1937</v>
      </c>
      <c r="D637" s="970"/>
      <c r="E637" s="970" t="s">
        <v>814</v>
      </c>
      <c r="F637" s="970" t="s">
        <v>31</v>
      </c>
      <c r="G637" s="971">
        <v>1.7999999999999999E-2</v>
      </c>
      <c r="H637" s="971">
        <v>1</v>
      </c>
      <c r="I637" s="971">
        <v>1</v>
      </c>
      <c r="J637" s="971">
        <v>1</v>
      </c>
      <c r="K637" s="398">
        <f>VLOOKUP(F637,'8-5.2025하노임'!$A$6:$G$47,6,0)</f>
        <v>386848.44396</v>
      </c>
      <c r="L637" s="950">
        <f t="shared" si="6"/>
        <v>6963</v>
      </c>
      <c r="M637" s="961">
        <f>SUM(L637)</f>
        <v>6963</v>
      </c>
      <c r="N637" s="973" t="s">
        <v>913</v>
      </c>
    </row>
    <row r="638" spans="1:14" ht="24.95" customHeight="1">
      <c r="A638" s="975" t="s">
        <v>2574</v>
      </c>
      <c r="B638" s="969" t="s">
        <v>1936</v>
      </c>
      <c r="C638" s="969" t="s">
        <v>1938</v>
      </c>
      <c r="D638" s="970"/>
      <c r="E638" s="970" t="s">
        <v>814</v>
      </c>
      <c r="F638" s="970" t="s">
        <v>31</v>
      </c>
      <c r="G638" s="971">
        <v>1.7999999999999999E-2</v>
      </c>
      <c r="H638" s="971">
        <v>1.8</v>
      </c>
      <c r="I638" s="971">
        <v>1</v>
      </c>
      <c r="J638" s="971">
        <v>1</v>
      </c>
      <c r="K638" s="398">
        <f>VLOOKUP(F638,'8-5.2025하노임'!$A$6:$G$47,6,0)</f>
        <v>386848.44396</v>
      </c>
      <c r="L638" s="950">
        <f t="shared" si="6"/>
        <v>12533</v>
      </c>
      <c r="M638" s="961">
        <f>SUM(L638)</f>
        <v>12533</v>
      </c>
      <c r="N638" s="973" t="s">
        <v>913</v>
      </c>
    </row>
    <row r="639" spans="1:14" ht="24.95" customHeight="1">
      <c r="A639" s="974" t="s">
        <v>2575</v>
      </c>
      <c r="B639" s="969" t="s">
        <v>1936</v>
      </c>
      <c r="C639" s="969" t="s">
        <v>1939</v>
      </c>
      <c r="D639" s="970"/>
      <c r="E639" s="970" t="s">
        <v>814</v>
      </c>
      <c r="F639" s="970" t="s">
        <v>31</v>
      </c>
      <c r="G639" s="971">
        <v>1.7999999999999999E-2</v>
      </c>
      <c r="H639" s="971">
        <v>2.6</v>
      </c>
      <c r="I639" s="971">
        <v>1</v>
      </c>
      <c r="J639" s="971">
        <v>1</v>
      </c>
      <c r="K639" s="398">
        <f>VLOOKUP(F639,'8-5.2025하노임'!$A$6:$G$47,6,0)</f>
        <v>386848.44396</v>
      </c>
      <c r="L639" s="950">
        <f t="shared" si="6"/>
        <v>18104</v>
      </c>
      <c r="M639" s="961">
        <f>SUM(L639)</f>
        <v>18104</v>
      </c>
      <c r="N639" s="973" t="s">
        <v>913</v>
      </c>
    </row>
    <row r="640" spans="1:14" ht="24.95" customHeight="1">
      <c r="A640" s="974"/>
      <c r="B640" s="969"/>
      <c r="C640" s="969"/>
      <c r="D640" s="970"/>
      <c r="E640" s="970"/>
      <c r="F640" s="970"/>
      <c r="G640" s="971"/>
      <c r="H640" s="971"/>
      <c r="I640" s="971"/>
      <c r="J640" s="971"/>
      <c r="K640" s="398"/>
      <c r="L640" s="950"/>
      <c r="M640" s="922"/>
      <c r="N640" s="973"/>
    </row>
    <row r="641" spans="1:14" ht="24.95" customHeight="1">
      <c r="A641" s="974" t="s">
        <v>3055</v>
      </c>
      <c r="B641" s="969" t="s">
        <v>1940</v>
      </c>
      <c r="C641" s="969" t="s">
        <v>1941</v>
      </c>
      <c r="D641" s="970"/>
      <c r="E641" s="970" t="s">
        <v>814</v>
      </c>
      <c r="F641" s="970" t="s">
        <v>31</v>
      </c>
      <c r="G641" s="971">
        <v>1.4999999999999999E-2</v>
      </c>
      <c r="H641" s="971">
        <v>1</v>
      </c>
      <c r="I641" s="971">
        <v>1</v>
      </c>
      <c r="J641" s="971">
        <v>1</v>
      </c>
      <c r="K641" s="398">
        <f>VLOOKUP(F641,'8-5.2025하노임'!$A$6:$G$47,6,0)</f>
        <v>386848.44396</v>
      </c>
      <c r="L641" s="950">
        <f t="shared" si="6"/>
        <v>5802</v>
      </c>
      <c r="M641" s="961">
        <f>SUM(L641)</f>
        <v>5802</v>
      </c>
      <c r="N641" s="973" t="s">
        <v>913</v>
      </c>
    </row>
    <row r="642" spans="1:14" ht="24.95" customHeight="1">
      <c r="A642" s="974"/>
      <c r="B642" s="969"/>
      <c r="C642" s="969"/>
      <c r="D642" s="970"/>
      <c r="E642" s="970"/>
      <c r="F642" s="970"/>
      <c r="G642" s="971"/>
      <c r="H642" s="971"/>
      <c r="I642" s="971"/>
      <c r="J642" s="971"/>
      <c r="K642" s="398"/>
      <c r="L642" s="950"/>
      <c r="M642" s="922"/>
      <c r="N642" s="973"/>
    </row>
    <row r="643" spans="1:14" ht="24.95" customHeight="1">
      <c r="A643" s="974" t="s">
        <v>3056</v>
      </c>
      <c r="B643" s="969" t="s">
        <v>1940</v>
      </c>
      <c r="C643" s="969" t="s">
        <v>1942</v>
      </c>
      <c r="D643" s="970" t="s">
        <v>1917</v>
      </c>
      <c r="E643" s="970" t="s">
        <v>814</v>
      </c>
      <c r="F643" s="970" t="s">
        <v>31</v>
      </c>
      <c r="G643" s="971">
        <v>1.4999999999999999E-2</v>
      </c>
      <c r="H643" s="971">
        <v>1</v>
      </c>
      <c r="I643" s="971">
        <v>1.8</v>
      </c>
      <c r="J643" s="971">
        <v>1</v>
      </c>
      <c r="K643" s="398">
        <f>VLOOKUP(F643,'8-5.2025하노임'!$A$6:$G$47,6,0)</f>
        <v>386848.44396</v>
      </c>
      <c r="L643" s="950">
        <f t="shared" si="6"/>
        <v>10444</v>
      </c>
      <c r="M643" s="961">
        <f>SUM(L643)</f>
        <v>10444</v>
      </c>
      <c r="N643" s="973" t="s">
        <v>913</v>
      </c>
    </row>
    <row r="644" spans="1:14" ht="24.95" customHeight="1">
      <c r="A644" s="974"/>
      <c r="B644" s="969"/>
      <c r="C644" s="969"/>
      <c r="D644" s="970"/>
      <c r="E644" s="970"/>
      <c r="F644" s="970"/>
      <c r="G644" s="971"/>
      <c r="H644" s="971"/>
      <c r="I644" s="971"/>
      <c r="J644" s="971"/>
      <c r="K644" s="398"/>
      <c r="L644" s="950"/>
      <c r="M644" s="922"/>
      <c r="N644" s="973"/>
    </row>
    <row r="645" spans="1:14" ht="24.95" customHeight="1">
      <c r="A645" s="974" t="s">
        <v>2576</v>
      </c>
      <c r="B645" s="969" t="s">
        <v>1940</v>
      </c>
      <c r="C645" s="969" t="s">
        <v>1943</v>
      </c>
      <c r="D645" s="970" t="s">
        <v>1919</v>
      </c>
      <c r="E645" s="970" t="s">
        <v>814</v>
      </c>
      <c r="F645" s="970" t="s">
        <v>31</v>
      </c>
      <c r="G645" s="971">
        <v>1.4999999999999999E-2</v>
      </c>
      <c r="H645" s="971">
        <v>1</v>
      </c>
      <c r="I645" s="971">
        <v>2.6</v>
      </c>
      <c r="J645" s="971">
        <v>1</v>
      </c>
      <c r="K645" s="398">
        <f>VLOOKUP(F645,'8-5.2025하노임'!$A$6:$G$47,6,0)</f>
        <v>386848.44396</v>
      </c>
      <c r="L645" s="950">
        <f t="shared" si="6"/>
        <v>15087</v>
      </c>
      <c r="M645" s="961">
        <f>SUM(L645)</f>
        <v>15087</v>
      </c>
      <c r="N645" s="973" t="s">
        <v>913</v>
      </c>
    </row>
    <row r="646" spans="1:14" ht="24.95" customHeight="1">
      <c r="A646" s="974"/>
      <c r="B646" s="969"/>
      <c r="C646" s="969"/>
      <c r="D646" s="970"/>
      <c r="E646" s="970"/>
      <c r="F646" s="970"/>
      <c r="G646" s="971"/>
      <c r="H646" s="971"/>
      <c r="I646" s="971"/>
      <c r="J646" s="971"/>
      <c r="K646" s="398"/>
      <c r="L646" s="950"/>
      <c r="M646" s="922"/>
      <c r="N646" s="973"/>
    </row>
    <row r="647" spans="1:14" ht="24.95" customHeight="1">
      <c r="A647" s="974" t="s">
        <v>2577</v>
      </c>
      <c r="B647" s="969" t="s">
        <v>1940</v>
      </c>
      <c r="C647" s="969" t="s">
        <v>1944</v>
      </c>
      <c r="D647" s="970" t="s">
        <v>1927</v>
      </c>
      <c r="E647" s="970" t="s">
        <v>814</v>
      </c>
      <c r="F647" s="970" t="s">
        <v>31</v>
      </c>
      <c r="G647" s="971">
        <v>1.4999999999999999E-2</v>
      </c>
      <c r="H647" s="971">
        <v>1</v>
      </c>
      <c r="I647" s="971">
        <v>3.4</v>
      </c>
      <c r="J647" s="971">
        <v>1</v>
      </c>
      <c r="K647" s="398">
        <f>VLOOKUP(F647,'8-5.2025하노임'!$A$6:$G$47,6,0)</f>
        <v>386848.44396</v>
      </c>
      <c r="L647" s="950">
        <f t="shared" si="6"/>
        <v>19729</v>
      </c>
      <c r="M647" s="961">
        <f>SUM(L647)</f>
        <v>19729</v>
      </c>
      <c r="N647" s="973" t="s">
        <v>913</v>
      </c>
    </row>
    <row r="648" spans="1:14" ht="24.95" customHeight="1">
      <c r="A648" s="974"/>
      <c r="B648" s="969"/>
      <c r="C648" s="969"/>
      <c r="D648" s="970"/>
      <c r="E648" s="970"/>
      <c r="F648" s="970"/>
      <c r="G648" s="971"/>
      <c r="H648" s="971"/>
      <c r="I648" s="971"/>
      <c r="J648" s="971"/>
      <c r="K648" s="398"/>
      <c r="L648" s="950"/>
      <c r="M648" s="922"/>
      <c r="N648" s="973"/>
    </row>
    <row r="649" spans="1:14" ht="24.95" customHeight="1">
      <c r="A649" s="974" t="s">
        <v>3057</v>
      </c>
      <c r="B649" s="969" t="s">
        <v>1945</v>
      </c>
      <c r="C649" s="969" t="s">
        <v>1946</v>
      </c>
      <c r="D649" s="970" t="s">
        <v>1756</v>
      </c>
      <c r="E649" s="970" t="s">
        <v>814</v>
      </c>
      <c r="F649" s="970" t="s">
        <v>30</v>
      </c>
      <c r="G649" s="971">
        <v>0.01</v>
      </c>
      <c r="H649" s="971">
        <v>1.5</v>
      </c>
      <c r="I649" s="971">
        <v>1</v>
      </c>
      <c r="J649" s="971">
        <v>1</v>
      </c>
      <c r="K649" s="398">
        <f>VLOOKUP(F649,'8-5.2025하노임'!$A$6:$G$47,6,0)</f>
        <v>248856.63428999999</v>
      </c>
      <c r="L649" s="950">
        <f t="shared" si="6"/>
        <v>3732</v>
      </c>
      <c r="M649" s="961">
        <f>SUM(L649)</f>
        <v>3732</v>
      </c>
      <c r="N649" s="973" t="s">
        <v>1947</v>
      </c>
    </row>
    <row r="650" spans="1:14" ht="24.95" customHeight="1">
      <c r="A650" s="974"/>
      <c r="B650" s="969"/>
      <c r="C650" s="969"/>
      <c r="D650" s="970"/>
      <c r="E650" s="970"/>
      <c r="F650" s="970"/>
      <c r="G650" s="971"/>
      <c r="H650" s="971"/>
      <c r="I650" s="971"/>
      <c r="J650" s="971"/>
      <c r="K650" s="398"/>
      <c r="L650" s="950"/>
      <c r="M650" s="961"/>
      <c r="N650" s="973"/>
    </row>
    <row r="651" spans="1:14" s="1544" customFormat="1" ht="24.95" customHeight="1">
      <c r="A651" s="1545" t="s">
        <v>2598</v>
      </c>
      <c r="B651" s="1546" t="s">
        <v>1945</v>
      </c>
      <c r="C651" s="1546"/>
      <c r="D651" s="1547"/>
      <c r="E651" s="1547" t="s">
        <v>814</v>
      </c>
      <c r="F651" s="1547" t="s">
        <v>30</v>
      </c>
      <c r="G651" s="1548">
        <v>0.01</v>
      </c>
      <c r="H651" s="1548">
        <v>1</v>
      </c>
      <c r="I651" s="1548">
        <v>1</v>
      </c>
      <c r="J651" s="1548">
        <v>1</v>
      </c>
      <c r="K651" s="1530">
        <f>VLOOKUP(F651,'8-5.2025하노임'!$A$6:$G$47,6,0)</f>
        <v>248856.63428999999</v>
      </c>
      <c r="L651" s="1531">
        <f t="shared" ref="L651" si="14">INT(G651*H651*I651*J651*K651)</f>
        <v>2488</v>
      </c>
      <c r="M651" s="1542">
        <f>SUM(L651)</f>
        <v>2488</v>
      </c>
      <c r="N651" s="1549" t="s">
        <v>1947</v>
      </c>
    </row>
    <row r="652" spans="1:14" ht="24.95" customHeight="1">
      <c r="A652" s="974"/>
      <c r="B652" s="969"/>
      <c r="C652" s="969"/>
      <c r="D652" s="970"/>
      <c r="E652" s="970"/>
      <c r="F652" s="970"/>
      <c r="G652" s="971"/>
      <c r="H652" s="971"/>
      <c r="I652" s="971"/>
      <c r="J652" s="971"/>
      <c r="K652" s="398"/>
      <c r="L652" s="950"/>
      <c r="M652" s="922"/>
      <c r="N652" s="973"/>
    </row>
    <row r="653" spans="1:14" ht="24.95" customHeight="1">
      <c r="A653" s="974" t="s">
        <v>3058</v>
      </c>
      <c r="B653" s="969" t="s">
        <v>1945</v>
      </c>
      <c r="C653" s="969" t="s">
        <v>1948</v>
      </c>
      <c r="D653" s="970" t="s">
        <v>1756</v>
      </c>
      <c r="E653" s="970" t="s">
        <v>814</v>
      </c>
      <c r="F653" s="970" t="s">
        <v>30</v>
      </c>
      <c r="G653" s="971">
        <v>1.2E-2</v>
      </c>
      <c r="H653" s="971">
        <v>1.5</v>
      </c>
      <c r="I653" s="971">
        <v>1</v>
      </c>
      <c r="J653" s="971">
        <v>1</v>
      </c>
      <c r="K653" s="398">
        <f>VLOOKUP(F653,'8-5.2025하노임'!$A$6:$G$47,6,0)</f>
        <v>248856.63428999999</v>
      </c>
      <c r="L653" s="950">
        <f t="shared" si="6"/>
        <v>4479</v>
      </c>
      <c r="M653" s="961">
        <f>SUM(L653)</f>
        <v>4479</v>
      </c>
      <c r="N653" s="973" t="s">
        <v>1947</v>
      </c>
    </row>
    <row r="654" spans="1:14" ht="24.95" customHeight="1">
      <c r="A654" s="974"/>
      <c r="B654" s="969"/>
      <c r="C654" s="969"/>
      <c r="D654" s="970"/>
      <c r="E654" s="970"/>
      <c r="F654" s="970"/>
      <c r="G654" s="971"/>
      <c r="H654" s="971"/>
      <c r="I654" s="971"/>
      <c r="J654" s="971"/>
      <c r="K654" s="398"/>
      <c r="L654" s="950"/>
      <c r="M654" s="922"/>
      <c r="N654" s="973"/>
    </row>
    <row r="655" spans="1:14" ht="24.95" customHeight="1">
      <c r="A655" s="974" t="s">
        <v>3107</v>
      </c>
      <c r="B655" s="969" t="s">
        <v>1945</v>
      </c>
      <c r="C655" s="969" t="s">
        <v>1949</v>
      </c>
      <c r="D655" s="970" t="s">
        <v>1756</v>
      </c>
      <c r="E655" s="970" t="s">
        <v>814</v>
      </c>
      <c r="F655" s="970" t="s">
        <v>30</v>
      </c>
      <c r="G655" s="971">
        <v>1.4999999999999999E-2</v>
      </c>
      <c r="H655" s="971">
        <v>1.5</v>
      </c>
      <c r="I655" s="971">
        <v>1</v>
      </c>
      <c r="J655" s="971">
        <v>1</v>
      </c>
      <c r="K655" s="398">
        <f>VLOOKUP(F655,'8-5.2025하노임'!$A$6:$G$47,6,0)</f>
        <v>248856.63428999999</v>
      </c>
      <c r="L655" s="950">
        <f t="shared" si="6"/>
        <v>5599</v>
      </c>
      <c r="M655" s="961">
        <f>SUM(L655)</f>
        <v>5599</v>
      </c>
      <c r="N655" s="973" t="s">
        <v>1947</v>
      </c>
    </row>
    <row r="656" spans="1:14" ht="24.95" customHeight="1">
      <c r="A656" s="974"/>
      <c r="B656" s="969"/>
      <c r="C656" s="969"/>
      <c r="D656" s="970"/>
      <c r="E656" s="970"/>
      <c r="F656" s="970"/>
      <c r="G656" s="971"/>
      <c r="H656" s="971"/>
      <c r="I656" s="971"/>
      <c r="J656" s="971"/>
      <c r="K656" s="398"/>
      <c r="L656" s="950"/>
      <c r="M656" s="922"/>
      <c r="N656" s="973"/>
    </row>
    <row r="657" spans="1:14" ht="24.95" customHeight="1">
      <c r="A657" s="974" t="s">
        <v>3059</v>
      </c>
      <c r="B657" s="969" t="s">
        <v>1950</v>
      </c>
      <c r="C657" s="969" t="s">
        <v>1951</v>
      </c>
      <c r="D657" s="970"/>
      <c r="E657" s="970" t="s">
        <v>814</v>
      </c>
      <c r="F657" s="970" t="s">
        <v>29</v>
      </c>
      <c r="G657" s="971">
        <v>1.2E-2</v>
      </c>
      <c r="H657" s="971">
        <v>1</v>
      </c>
      <c r="I657" s="971">
        <v>1</v>
      </c>
      <c r="J657" s="971">
        <v>1</v>
      </c>
      <c r="K657" s="398">
        <f>VLOOKUP(F657,'8-5.2025하노임'!$A$6:$G$47,6,0)</f>
        <v>357430.38474000001</v>
      </c>
      <c r="L657" s="950">
        <f t="shared" si="6"/>
        <v>4289</v>
      </c>
      <c r="M657" s="961">
        <f>SUM(L657:L658)</f>
        <v>8641</v>
      </c>
      <c r="N657" s="973" t="s">
        <v>1952</v>
      </c>
    </row>
    <row r="658" spans="1:14" ht="24.95" customHeight="1">
      <c r="A658" s="974"/>
      <c r="B658" s="969"/>
      <c r="C658" s="969"/>
      <c r="D658" s="970"/>
      <c r="E658" s="970"/>
      <c r="F658" s="970" t="s">
        <v>4</v>
      </c>
      <c r="G658" s="971">
        <v>2.9000000000000001E-2</v>
      </c>
      <c r="H658" s="971">
        <v>1</v>
      </c>
      <c r="I658" s="971">
        <v>1</v>
      </c>
      <c r="J658" s="971">
        <v>1</v>
      </c>
      <c r="K658" s="398">
        <f>VLOOKUP(F658,'8-5.2025하노임'!$A$6:$G$47,6,0)</f>
        <v>150079.83638999998</v>
      </c>
      <c r="L658" s="950">
        <f t="shared" si="6"/>
        <v>4352</v>
      </c>
      <c r="M658" s="922"/>
      <c r="N658" s="973"/>
    </row>
    <row r="659" spans="1:14" ht="24.95" customHeight="1">
      <c r="A659" s="974"/>
      <c r="B659" s="969"/>
      <c r="C659" s="969"/>
      <c r="D659" s="970"/>
      <c r="E659" s="970"/>
      <c r="F659" s="970"/>
      <c r="G659" s="971"/>
      <c r="H659" s="971"/>
      <c r="I659" s="971"/>
      <c r="J659" s="971"/>
      <c r="K659" s="398"/>
      <c r="L659" s="950"/>
      <c r="M659" s="922"/>
      <c r="N659" s="973"/>
    </row>
    <row r="660" spans="1:14" ht="24.95" customHeight="1">
      <c r="A660" s="974" t="s">
        <v>3060</v>
      </c>
      <c r="B660" s="969" t="s">
        <v>1953</v>
      </c>
      <c r="C660" s="969" t="s">
        <v>1954</v>
      </c>
      <c r="D660" s="970" t="s">
        <v>1850</v>
      </c>
      <c r="E660" s="970" t="s">
        <v>814</v>
      </c>
      <c r="F660" s="970" t="s">
        <v>30</v>
      </c>
      <c r="G660" s="971">
        <v>0.11</v>
      </c>
      <c r="H660" s="971">
        <v>1.2</v>
      </c>
      <c r="I660" s="971">
        <v>1</v>
      </c>
      <c r="J660" s="971">
        <v>1</v>
      </c>
      <c r="K660" s="398">
        <f>VLOOKUP(F660,'8-5.2025하노임'!$A$6:$G$47,6,0)</f>
        <v>248856.63428999999</v>
      </c>
      <c r="L660" s="950">
        <f t="shared" si="6"/>
        <v>32849</v>
      </c>
      <c r="M660" s="961">
        <f>SUM(L660)</f>
        <v>32849</v>
      </c>
      <c r="N660" s="973" t="s">
        <v>914</v>
      </c>
    </row>
    <row r="661" spans="1:14" ht="24.95" customHeight="1">
      <c r="A661" s="974"/>
      <c r="B661" s="969"/>
      <c r="C661" s="969"/>
      <c r="D661" s="970"/>
      <c r="E661" s="970"/>
      <c r="F661" s="970"/>
      <c r="G661" s="971"/>
      <c r="H661" s="971"/>
      <c r="I661" s="971"/>
      <c r="J661" s="971"/>
      <c r="K661" s="398"/>
      <c r="L661" s="950"/>
      <c r="M661" s="922"/>
      <c r="N661" s="973"/>
    </row>
    <row r="662" spans="1:14" ht="24.95" customHeight="1">
      <c r="A662" s="974" t="s">
        <v>3061</v>
      </c>
      <c r="B662" s="969" t="s">
        <v>1953</v>
      </c>
      <c r="C662" s="969" t="s">
        <v>1955</v>
      </c>
      <c r="D662" s="970" t="s">
        <v>1850</v>
      </c>
      <c r="E662" s="970" t="s">
        <v>814</v>
      </c>
      <c r="F662" s="970" t="s">
        <v>30</v>
      </c>
      <c r="G662" s="971">
        <v>0.14000000000000001</v>
      </c>
      <c r="H662" s="971">
        <v>1.2</v>
      </c>
      <c r="I662" s="971">
        <v>1</v>
      </c>
      <c r="J662" s="971">
        <v>1</v>
      </c>
      <c r="K662" s="398">
        <f>VLOOKUP(F662,'8-5.2025하노임'!$A$6:$G$47,6,0)</f>
        <v>248856.63428999999</v>
      </c>
      <c r="L662" s="950">
        <f t="shared" si="6"/>
        <v>41807</v>
      </c>
      <c r="M662" s="961">
        <f>SUM(L662)</f>
        <v>41807</v>
      </c>
      <c r="N662" s="973" t="s">
        <v>914</v>
      </c>
    </row>
    <row r="663" spans="1:14" ht="24.95" customHeight="1">
      <c r="A663" s="974"/>
      <c r="B663" s="969"/>
      <c r="C663" s="969"/>
      <c r="D663" s="970"/>
      <c r="E663" s="970"/>
      <c r="F663" s="970"/>
      <c r="G663" s="971"/>
      <c r="H663" s="971"/>
      <c r="I663" s="971"/>
      <c r="J663" s="971"/>
      <c r="K663" s="398"/>
      <c r="L663" s="950"/>
      <c r="M663" s="922"/>
      <c r="N663" s="973"/>
    </row>
    <row r="664" spans="1:14" ht="24.95" customHeight="1">
      <c r="A664" s="974" t="s">
        <v>3062</v>
      </c>
      <c r="B664" s="969" t="s">
        <v>1956</v>
      </c>
      <c r="C664" s="969" t="s">
        <v>1957</v>
      </c>
      <c r="D664" s="970" t="s">
        <v>1958</v>
      </c>
      <c r="E664" s="970" t="s">
        <v>814</v>
      </c>
      <c r="F664" s="970" t="s">
        <v>30</v>
      </c>
      <c r="G664" s="971">
        <v>5.8999999999999997E-2</v>
      </c>
      <c r="H664" s="971">
        <v>1.3</v>
      </c>
      <c r="I664" s="971">
        <v>1</v>
      </c>
      <c r="J664" s="971">
        <v>1</v>
      </c>
      <c r="K664" s="398">
        <f>VLOOKUP(F664,'8-5.2025하노임'!$A$6:$G$47,6,0)</f>
        <v>248856.63428999999</v>
      </c>
      <c r="L664" s="950">
        <f t="shared" si="6"/>
        <v>19087</v>
      </c>
      <c r="M664" s="961">
        <f>SUM(L664)</f>
        <v>19087</v>
      </c>
      <c r="N664" s="973" t="s">
        <v>914</v>
      </c>
    </row>
    <row r="665" spans="1:14" ht="24.95" customHeight="1">
      <c r="A665" s="974"/>
      <c r="B665" s="969"/>
      <c r="C665" s="969"/>
      <c r="D665" s="970"/>
      <c r="E665" s="970"/>
      <c r="F665" s="970"/>
      <c r="G665" s="971"/>
      <c r="H665" s="971"/>
      <c r="I665" s="971"/>
      <c r="J665" s="971"/>
      <c r="K665" s="398"/>
      <c r="L665" s="950"/>
      <c r="M665" s="922"/>
      <c r="N665" s="973"/>
    </row>
    <row r="666" spans="1:14" ht="24.95" customHeight="1">
      <c r="A666" s="974" t="s">
        <v>3063</v>
      </c>
      <c r="B666" s="969" t="s">
        <v>1956</v>
      </c>
      <c r="C666" s="969" t="s">
        <v>1959</v>
      </c>
      <c r="D666" s="970" t="s">
        <v>1958</v>
      </c>
      <c r="E666" s="970" t="s">
        <v>814</v>
      </c>
      <c r="F666" s="970" t="s">
        <v>30</v>
      </c>
      <c r="G666" s="971">
        <v>7.1999999999999995E-2</v>
      </c>
      <c r="H666" s="971">
        <v>1.3</v>
      </c>
      <c r="I666" s="971">
        <v>1</v>
      </c>
      <c r="J666" s="971">
        <v>1</v>
      </c>
      <c r="K666" s="398">
        <f>VLOOKUP(F666,'8-5.2025하노임'!$A$6:$G$47,6,0)</f>
        <v>248856.63428999999</v>
      </c>
      <c r="L666" s="950">
        <f t="shared" si="6"/>
        <v>23292</v>
      </c>
      <c r="M666" s="961">
        <f>SUM(L666)</f>
        <v>23292</v>
      </c>
      <c r="N666" s="973" t="s">
        <v>914</v>
      </c>
    </row>
    <row r="667" spans="1:14" ht="24.95" customHeight="1">
      <c r="A667" s="974"/>
      <c r="B667" s="969"/>
      <c r="C667" s="969"/>
      <c r="D667" s="970"/>
      <c r="E667" s="970"/>
      <c r="F667" s="970"/>
      <c r="G667" s="971"/>
      <c r="H667" s="971"/>
      <c r="I667" s="971"/>
      <c r="J667" s="971"/>
      <c r="K667" s="398"/>
      <c r="L667" s="950"/>
      <c r="M667" s="922"/>
      <c r="N667" s="973"/>
    </row>
    <row r="668" spans="1:14" ht="24.95" customHeight="1">
      <c r="A668" s="974" t="s">
        <v>3064</v>
      </c>
      <c r="B668" s="969" t="s">
        <v>1960</v>
      </c>
      <c r="C668" s="969" t="s">
        <v>1961</v>
      </c>
      <c r="D668" s="970"/>
      <c r="E668" s="970" t="s">
        <v>814</v>
      </c>
      <c r="F668" s="970" t="s">
        <v>30</v>
      </c>
      <c r="G668" s="971">
        <v>0.4</v>
      </c>
      <c r="H668" s="971">
        <v>1</v>
      </c>
      <c r="I668" s="971">
        <v>1</v>
      </c>
      <c r="J668" s="971">
        <v>1</v>
      </c>
      <c r="K668" s="398">
        <f>VLOOKUP(F668,'8-5.2025하노임'!$A$6:$G$47,6,0)</f>
        <v>248856.63428999999</v>
      </c>
      <c r="L668" s="950">
        <f t="shared" si="6"/>
        <v>99542</v>
      </c>
      <c r="M668" s="961">
        <f>SUM(L668)</f>
        <v>99542</v>
      </c>
      <c r="N668" s="973" t="s">
        <v>1962</v>
      </c>
    </row>
    <row r="669" spans="1:14" ht="24.95" customHeight="1">
      <c r="A669" s="974"/>
      <c r="B669" s="969"/>
      <c r="C669" s="969"/>
      <c r="D669" s="970"/>
      <c r="E669" s="970"/>
      <c r="F669" s="970"/>
      <c r="G669" s="971"/>
      <c r="H669" s="971"/>
      <c r="I669" s="971"/>
      <c r="J669" s="971"/>
      <c r="K669" s="398"/>
      <c r="L669" s="950"/>
      <c r="M669" s="922"/>
      <c r="N669" s="973"/>
    </row>
    <row r="670" spans="1:14" ht="24.95" customHeight="1">
      <c r="A670" s="974" t="s">
        <v>3065</v>
      </c>
      <c r="B670" s="969" t="s">
        <v>1963</v>
      </c>
      <c r="C670" s="969" t="s">
        <v>1964</v>
      </c>
      <c r="D670" s="970" t="s">
        <v>1965</v>
      </c>
      <c r="E670" s="970" t="s">
        <v>337</v>
      </c>
      <c r="F670" s="970" t="s">
        <v>30</v>
      </c>
      <c r="G670" s="971">
        <v>0.04</v>
      </c>
      <c r="H670" s="971">
        <v>1</v>
      </c>
      <c r="I670" s="971">
        <v>1</v>
      </c>
      <c r="J670" s="971">
        <v>1</v>
      </c>
      <c r="K670" s="398">
        <f>VLOOKUP(F670,'8-5.2025하노임'!$A$6:$G$47,6,0)</f>
        <v>248856.63428999999</v>
      </c>
      <c r="L670" s="950">
        <f t="shared" si="6"/>
        <v>9954</v>
      </c>
      <c r="M670" s="961">
        <f>SUM(L670)</f>
        <v>9954</v>
      </c>
      <c r="N670" s="973" t="s">
        <v>909</v>
      </c>
    </row>
    <row r="671" spans="1:14" ht="24.95" customHeight="1">
      <c r="A671" s="974"/>
      <c r="B671" s="969"/>
      <c r="C671" s="969"/>
      <c r="D671" s="970"/>
      <c r="E671" s="970"/>
      <c r="F671" s="970"/>
      <c r="G671" s="971"/>
      <c r="H671" s="971"/>
      <c r="I671" s="971"/>
      <c r="J671" s="971"/>
      <c r="K671" s="398"/>
      <c r="L671" s="950"/>
      <c r="M671" s="922"/>
      <c r="N671" s="973"/>
    </row>
    <row r="672" spans="1:14" ht="24.95" customHeight="1">
      <c r="A672" s="974" t="s">
        <v>3066</v>
      </c>
      <c r="B672" s="969" t="s">
        <v>1966</v>
      </c>
      <c r="C672" s="969" t="s">
        <v>1967</v>
      </c>
      <c r="D672" s="970" t="s">
        <v>1968</v>
      </c>
      <c r="E672" s="970" t="s">
        <v>337</v>
      </c>
      <c r="F672" s="970" t="s">
        <v>30</v>
      </c>
      <c r="G672" s="971">
        <v>1.2999999999999999E-2</v>
      </c>
      <c r="H672" s="971">
        <v>1.3</v>
      </c>
      <c r="I672" s="971">
        <v>1</v>
      </c>
      <c r="J672" s="971">
        <v>1</v>
      </c>
      <c r="K672" s="398">
        <f>VLOOKUP(F672,'8-5.2025하노임'!$A$6:$G$47,6,0)</f>
        <v>248856.63428999999</v>
      </c>
      <c r="L672" s="950">
        <f t="shared" si="6"/>
        <v>4205</v>
      </c>
      <c r="M672" s="961">
        <f>SUM(L672)</f>
        <v>4205</v>
      </c>
      <c r="N672" s="973" t="s">
        <v>1969</v>
      </c>
    </row>
    <row r="673" spans="1:14" ht="24.95" customHeight="1">
      <c r="A673" s="974"/>
      <c r="B673" s="969"/>
      <c r="C673" s="969"/>
      <c r="D673" s="970"/>
      <c r="E673" s="970"/>
      <c r="F673" s="970"/>
      <c r="G673" s="971"/>
      <c r="H673" s="971"/>
      <c r="I673" s="971"/>
      <c r="J673" s="971"/>
      <c r="K673" s="398"/>
      <c r="L673" s="950"/>
      <c r="M673" s="922"/>
      <c r="N673" s="973"/>
    </row>
    <row r="674" spans="1:14" ht="24.95" customHeight="1">
      <c r="A674" s="974" t="s">
        <v>3067</v>
      </c>
      <c r="B674" s="969" t="s">
        <v>1970</v>
      </c>
      <c r="C674" s="969" t="s">
        <v>1971</v>
      </c>
      <c r="D674" s="970"/>
      <c r="E674" s="970" t="s">
        <v>337</v>
      </c>
      <c r="F674" s="970" t="s">
        <v>30</v>
      </c>
      <c r="G674" s="971">
        <v>0.02</v>
      </c>
      <c r="H674" s="971">
        <v>1</v>
      </c>
      <c r="I674" s="971">
        <v>1</v>
      </c>
      <c r="J674" s="971">
        <v>1</v>
      </c>
      <c r="K674" s="398">
        <f>VLOOKUP(F674,'8-5.2025하노임'!$A$6:$G$47,6,0)</f>
        <v>248856.63428999999</v>
      </c>
      <c r="L674" s="950">
        <f t="shared" ref="L674:L720" si="15">INT(G674*H674*I674*J674*K674)</f>
        <v>4977</v>
      </c>
      <c r="M674" s="961">
        <f>SUM(L674)</f>
        <v>4977</v>
      </c>
      <c r="N674" s="973" t="s">
        <v>1972</v>
      </c>
    </row>
    <row r="675" spans="1:14" ht="24.95" customHeight="1">
      <c r="A675" s="974"/>
      <c r="B675" s="969"/>
      <c r="C675" s="969"/>
      <c r="D675" s="970"/>
      <c r="E675" s="970"/>
      <c r="F675" s="970"/>
      <c r="G675" s="971"/>
      <c r="H675" s="971"/>
      <c r="I675" s="971"/>
      <c r="J675" s="971"/>
      <c r="K675" s="398"/>
      <c r="L675" s="950"/>
      <c r="M675" s="922"/>
      <c r="N675" s="973"/>
    </row>
    <row r="676" spans="1:14" ht="24.95" customHeight="1">
      <c r="A676" s="974" t="s">
        <v>3084</v>
      </c>
      <c r="B676" s="969" t="s">
        <v>1973</v>
      </c>
      <c r="C676" s="969" t="s">
        <v>1974</v>
      </c>
      <c r="D676" s="970" t="s">
        <v>1850</v>
      </c>
      <c r="E676" s="970" t="s">
        <v>337</v>
      </c>
      <c r="F676" s="970" t="s">
        <v>30</v>
      </c>
      <c r="G676" s="971">
        <v>0.04</v>
      </c>
      <c r="H676" s="971">
        <v>1.2</v>
      </c>
      <c r="I676" s="971">
        <v>1</v>
      </c>
      <c r="J676" s="971">
        <v>1</v>
      </c>
      <c r="K676" s="398">
        <f>VLOOKUP(F676,'8-5.2025하노임'!$A$6:$G$47,6,0)</f>
        <v>248856.63428999999</v>
      </c>
      <c r="L676" s="950">
        <f t="shared" si="15"/>
        <v>11945</v>
      </c>
      <c r="M676" s="961">
        <f>SUM(L676)</f>
        <v>11945</v>
      </c>
      <c r="N676" s="973" t="s">
        <v>1851</v>
      </c>
    </row>
    <row r="677" spans="1:14" ht="24.95" customHeight="1">
      <c r="A677" s="974"/>
      <c r="B677" s="969"/>
      <c r="C677" s="969"/>
      <c r="D677" s="970"/>
      <c r="E677" s="970"/>
      <c r="F677" s="970"/>
      <c r="G677" s="971"/>
      <c r="H677" s="971"/>
      <c r="I677" s="971"/>
      <c r="J677" s="971"/>
      <c r="K677" s="398"/>
      <c r="L677" s="950"/>
      <c r="M677" s="922"/>
      <c r="N677" s="973"/>
    </row>
    <row r="678" spans="1:14" ht="24.95" customHeight="1">
      <c r="A678" s="974" t="s">
        <v>3082</v>
      </c>
      <c r="B678" s="969" t="s">
        <v>1973</v>
      </c>
      <c r="C678" s="969" t="s">
        <v>1975</v>
      </c>
      <c r="D678" s="970" t="s">
        <v>1850</v>
      </c>
      <c r="E678" s="970" t="s">
        <v>337</v>
      </c>
      <c r="F678" s="970" t="s">
        <v>30</v>
      </c>
      <c r="G678" s="971">
        <v>0.17</v>
      </c>
      <c r="H678" s="971">
        <v>1.2</v>
      </c>
      <c r="I678" s="971">
        <v>1</v>
      </c>
      <c r="J678" s="971">
        <v>1</v>
      </c>
      <c r="K678" s="398">
        <f>VLOOKUP(F678,'8-5.2025하노임'!$A$6:$G$47,6,0)</f>
        <v>248856.63428999999</v>
      </c>
      <c r="L678" s="950">
        <f t="shared" si="15"/>
        <v>50766</v>
      </c>
      <c r="M678" s="961">
        <f>SUM(L678)</f>
        <v>50766</v>
      </c>
      <c r="N678" s="973" t="s">
        <v>1851</v>
      </c>
    </row>
    <row r="679" spans="1:14" ht="24.95" customHeight="1">
      <c r="A679" s="974"/>
      <c r="B679" s="969"/>
      <c r="C679" s="969"/>
      <c r="D679" s="970"/>
      <c r="E679" s="970"/>
      <c r="F679" s="970"/>
      <c r="G679" s="971"/>
      <c r="H679" s="971"/>
      <c r="I679" s="971"/>
      <c r="J679" s="971"/>
      <c r="K679" s="398"/>
      <c r="L679" s="950"/>
      <c r="M679" s="922"/>
      <c r="N679" s="973"/>
    </row>
    <row r="680" spans="1:14" ht="24.95" customHeight="1">
      <c r="A680" s="974" t="s">
        <v>3080</v>
      </c>
      <c r="B680" s="969" t="s">
        <v>1973</v>
      </c>
      <c r="C680" s="969" t="s">
        <v>1976</v>
      </c>
      <c r="D680" s="970" t="s">
        <v>1850</v>
      </c>
      <c r="E680" s="970" t="s">
        <v>337</v>
      </c>
      <c r="F680" s="970" t="s">
        <v>30</v>
      </c>
      <c r="G680" s="971">
        <v>0.55000000000000004</v>
      </c>
      <c r="H680" s="971">
        <v>1.2</v>
      </c>
      <c r="I680" s="971">
        <v>1</v>
      </c>
      <c r="J680" s="971">
        <v>1</v>
      </c>
      <c r="K680" s="398">
        <f>VLOOKUP(F680,'8-5.2025하노임'!$A$6:$G$47,6,0)</f>
        <v>248856.63428999999</v>
      </c>
      <c r="L680" s="950">
        <f t="shared" si="15"/>
        <v>164245</v>
      </c>
      <c r="M680" s="961">
        <f>SUM(L680)</f>
        <v>164245</v>
      </c>
      <c r="N680" s="973" t="s">
        <v>1851</v>
      </c>
    </row>
    <row r="681" spans="1:14" ht="24.95" customHeight="1">
      <c r="A681" s="974"/>
      <c r="B681" s="969"/>
      <c r="C681" s="969"/>
      <c r="D681" s="970"/>
      <c r="E681" s="970"/>
      <c r="F681" s="970"/>
      <c r="G681" s="971"/>
      <c r="H681" s="971"/>
      <c r="I681" s="971"/>
      <c r="J681" s="971"/>
      <c r="K681" s="398"/>
      <c r="L681" s="950"/>
      <c r="M681" s="922"/>
      <c r="N681" s="973"/>
    </row>
    <row r="682" spans="1:14" ht="24.95" customHeight="1">
      <c r="A682" s="974" t="s">
        <v>3078</v>
      </c>
      <c r="B682" s="969" t="s">
        <v>1973</v>
      </c>
      <c r="C682" s="969" t="s">
        <v>1977</v>
      </c>
      <c r="D682" s="970" t="s">
        <v>1850</v>
      </c>
      <c r="E682" s="970" t="s">
        <v>337</v>
      </c>
      <c r="F682" s="970" t="s">
        <v>30</v>
      </c>
      <c r="G682" s="971">
        <v>0.6</v>
      </c>
      <c r="H682" s="971">
        <v>1.2</v>
      </c>
      <c r="I682" s="971">
        <v>1</v>
      </c>
      <c r="J682" s="971">
        <v>1</v>
      </c>
      <c r="K682" s="398">
        <f>VLOOKUP(F682,'8-5.2025하노임'!$A$6:$G$47,6,0)</f>
        <v>248856.63428999999</v>
      </c>
      <c r="L682" s="950">
        <f t="shared" si="15"/>
        <v>179176</v>
      </c>
      <c r="M682" s="961">
        <f>SUM(L682)</f>
        <v>179176</v>
      </c>
      <c r="N682" s="973" t="s">
        <v>1851</v>
      </c>
    </row>
    <row r="683" spans="1:14" ht="24.95" customHeight="1">
      <c r="A683" s="974"/>
      <c r="B683" s="969"/>
      <c r="C683" s="969"/>
      <c r="D683" s="970"/>
      <c r="E683" s="970"/>
      <c r="F683" s="970"/>
      <c r="G683" s="971"/>
      <c r="H683" s="971"/>
      <c r="I683" s="971"/>
      <c r="J683" s="971"/>
      <c r="K683" s="398"/>
      <c r="L683" s="950"/>
      <c r="M683" s="922"/>
      <c r="N683" s="973"/>
    </row>
    <row r="684" spans="1:14" ht="24.95" customHeight="1">
      <c r="A684" s="974" t="s">
        <v>3256</v>
      </c>
      <c r="B684" s="969" t="s">
        <v>3258</v>
      </c>
      <c r="C684" s="969" t="s">
        <v>1979</v>
      </c>
      <c r="D684" s="970" t="s">
        <v>1980</v>
      </c>
      <c r="E684" s="970" t="s">
        <v>337</v>
      </c>
      <c r="F684" s="970" t="s">
        <v>4</v>
      </c>
      <c r="G684" s="971">
        <v>0.88</v>
      </c>
      <c r="H684" s="971">
        <v>1</v>
      </c>
      <c r="I684" s="971">
        <v>1</v>
      </c>
      <c r="J684" s="971">
        <v>1</v>
      </c>
      <c r="K684" s="398">
        <f>VLOOKUP(F684,'8-5.2025하노임'!$A$6:$G$47,6,0)</f>
        <v>150079.83638999998</v>
      </c>
      <c r="L684" s="950">
        <f t="shared" si="15"/>
        <v>132070</v>
      </c>
      <c r="M684" s="961">
        <f>SUM(L684:L685)</f>
        <v>224879</v>
      </c>
      <c r="N684" s="973" t="s">
        <v>909</v>
      </c>
    </row>
    <row r="685" spans="1:14" ht="24.95" customHeight="1">
      <c r="A685" s="974"/>
      <c r="B685" s="969"/>
      <c r="C685" s="969"/>
      <c r="D685" s="970"/>
      <c r="E685" s="970"/>
      <c r="F685" s="970" t="s">
        <v>571</v>
      </c>
      <c r="G685" s="971">
        <v>0.48</v>
      </c>
      <c r="H685" s="971">
        <v>1</v>
      </c>
      <c r="I685" s="971">
        <v>1</v>
      </c>
      <c r="J685" s="971">
        <v>1</v>
      </c>
      <c r="K685" s="398">
        <f>VLOOKUP(F685,'8-5.2025하노임'!$A$6:$G$47,6,0)</f>
        <v>193354.02437999999</v>
      </c>
      <c r="L685" s="950">
        <f t="shared" si="15"/>
        <v>92809</v>
      </c>
      <c r="M685" s="922"/>
      <c r="N685" s="973"/>
    </row>
    <row r="686" spans="1:14" ht="24.95" customHeight="1">
      <c r="A686" s="974"/>
      <c r="B686" s="969"/>
      <c r="C686" s="969"/>
      <c r="D686" s="970"/>
      <c r="E686" s="970"/>
      <c r="F686" s="970"/>
      <c r="G686" s="971"/>
      <c r="H686" s="971"/>
      <c r="I686" s="971"/>
      <c r="J686" s="971"/>
      <c r="K686" s="398"/>
      <c r="L686" s="950"/>
      <c r="M686" s="922"/>
      <c r="N686" s="973"/>
    </row>
    <row r="687" spans="1:14" ht="24.95" hidden="1" customHeight="1">
      <c r="A687" s="974" t="s">
        <v>3257</v>
      </c>
      <c r="B687" s="969" t="s">
        <v>1978</v>
      </c>
      <c r="C687" s="969" t="s">
        <v>1981</v>
      </c>
      <c r="D687" s="970" t="s">
        <v>1982</v>
      </c>
      <c r="E687" s="970" t="s">
        <v>337</v>
      </c>
      <c r="F687" s="970" t="s">
        <v>4</v>
      </c>
      <c r="G687" s="971">
        <v>0.22</v>
      </c>
      <c r="H687" s="971">
        <v>1</v>
      </c>
      <c r="I687" s="971">
        <v>1</v>
      </c>
      <c r="J687" s="971">
        <v>1</v>
      </c>
      <c r="K687" s="398">
        <f>VLOOKUP(F687,'8-5.2025하노임'!$A$6:$G$47,6,0)</f>
        <v>150079.83638999998</v>
      </c>
      <c r="L687" s="950">
        <f t="shared" si="15"/>
        <v>33017</v>
      </c>
      <c r="M687" s="961">
        <f>SUM(L687:L688)</f>
        <v>56219</v>
      </c>
      <c r="N687" s="973" t="s">
        <v>909</v>
      </c>
    </row>
    <row r="688" spans="1:14" ht="24.95" hidden="1" customHeight="1">
      <c r="A688" s="974"/>
      <c r="B688" s="969"/>
      <c r="C688" s="969"/>
      <c r="D688" s="970"/>
      <c r="E688" s="970"/>
      <c r="F688" s="970" t="s">
        <v>571</v>
      </c>
      <c r="G688" s="971">
        <v>0.12</v>
      </c>
      <c r="H688" s="971">
        <v>1</v>
      </c>
      <c r="I688" s="971">
        <v>1</v>
      </c>
      <c r="J688" s="971">
        <v>1</v>
      </c>
      <c r="K688" s="398">
        <f>VLOOKUP(F688,'8-5.2025하노임'!$A$6:$G$47,6,0)</f>
        <v>193354.02437999999</v>
      </c>
      <c r="L688" s="950">
        <f t="shared" si="15"/>
        <v>23202</v>
      </c>
      <c r="M688" s="922"/>
      <c r="N688" s="973"/>
    </row>
    <row r="689" spans="1:14" ht="24.95" hidden="1" customHeight="1">
      <c r="A689" s="974"/>
      <c r="B689" s="969"/>
      <c r="C689" s="969"/>
      <c r="D689" s="970"/>
      <c r="E689" s="970"/>
      <c r="F689" s="970"/>
      <c r="G689" s="971"/>
      <c r="H689" s="971"/>
      <c r="I689" s="971"/>
      <c r="J689" s="971"/>
      <c r="K689" s="398"/>
      <c r="L689" s="950"/>
      <c r="M689" s="922"/>
      <c r="N689" s="973"/>
    </row>
    <row r="690" spans="1:14" ht="24.95" customHeight="1">
      <c r="A690" s="974" t="s">
        <v>3068</v>
      </c>
      <c r="B690" s="969" t="s">
        <v>1983</v>
      </c>
      <c r="C690" s="969" t="s">
        <v>1984</v>
      </c>
      <c r="D690" s="970"/>
      <c r="E690" s="970" t="s">
        <v>337</v>
      </c>
      <c r="F690" s="970" t="s">
        <v>30</v>
      </c>
      <c r="G690" s="971">
        <v>0.04</v>
      </c>
      <c r="H690" s="971">
        <v>1</v>
      </c>
      <c r="I690" s="971">
        <v>1</v>
      </c>
      <c r="J690" s="971">
        <v>1</v>
      </c>
      <c r="K690" s="398">
        <f>VLOOKUP(F690,'8-5.2025하노임'!$A$6:$G$47,6,0)</f>
        <v>248856.63428999999</v>
      </c>
      <c r="L690" s="950">
        <f t="shared" si="15"/>
        <v>9954</v>
      </c>
      <c r="M690" s="961">
        <f>SUM(L690)</f>
        <v>9954</v>
      </c>
      <c r="N690" s="973" t="s">
        <v>1851</v>
      </c>
    </row>
    <row r="691" spans="1:14" ht="24.95" customHeight="1">
      <c r="A691" s="974"/>
      <c r="B691" s="969"/>
      <c r="C691" s="969"/>
      <c r="D691" s="970"/>
      <c r="E691" s="970"/>
      <c r="F691" s="970"/>
      <c r="G691" s="971"/>
      <c r="H691" s="971"/>
      <c r="I691" s="971"/>
      <c r="J691" s="971"/>
      <c r="K691" s="398"/>
      <c r="L691" s="950"/>
      <c r="M691" s="922"/>
      <c r="N691" s="973"/>
    </row>
    <row r="692" spans="1:14" ht="24.95" customHeight="1">
      <c r="A692" s="974" t="s">
        <v>3069</v>
      </c>
      <c r="B692" s="969" t="s">
        <v>1985</v>
      </c>
      <c r="C692" s="969" t="s">
        <v>1985</v>
      </c>
      <c r="D692" s="970"/>
      <c r="E692" s="970" t="s">
        <v>337</v>
      </c>
      <c r="F692" s="970" t="s">
        <v>3</v>
      </c>
      <c r="G692" s="971">
        <v>0.09</v>
      </c>
      <c r="H692" s="971">
        <v>1</v>
      </c>
      <c r="I692" s="971">
        <v>1</v>
      </c>
      <c r="J692" s="971">
        <v>1</v>
      </c>
      <c r="K692" s="398">
        <f>VLOOKUP(F692,'8-5.2025하노임'!$A$6:$G$47,6,0)</f>
        <v>276216.14889000001</v>
      </c>
      <c r="L692" s="950">
        <f t="shared" si="15"/>
        <v>24859</v>
      </c>
      <c r="M692" s="961">
        <f>SUM(L692:L693)</f>
        <v>38366</v>
      </c>
      <c r="N692" s="973" t="s">
        <v>1585</v>
      </c>
    </row>
    <row r="693" spans="1:14" ht="24.95" customHeight="1">
      <c r="A693" s="974"/>
      <c r="B693" s="969"/>
      <c r="C693" s="969"/>
      <c r="D693" s="970"/>
      <c r="E693" s="970"/>
      <c r="F693" s="970" t="s">
        <v>4</v>
      </c>
      <c r="G693" s="971">
        <v>0.09</v>
      </c>
      <c r="H693" s="971">
        <v>1</v>
      </c>
      <c r="I693" s="971">
        <v>1</v>
      </c>
      <c r="J693" s="971">
        <v>1</v>
      </c>
      <c r="K693" s="398">
        <f>VLOOKUP(F693,'8-5.2025하노임'!$A$6:$G$47,6,0)</f>
        <v>150079.83638999998</v>
      </c>
      <c r="L693" s="950">
        <f t="shared" si="15"/>
        <v>13507</v>
      </c>
      <c r="M693" s="922"/>
      <c r="N693" s="973"/>
    </row>
    <row r="694" spans="1:14" ht="24.95" customHeight="1">
      <c r="A694" s="974"/>
      <c r="B694" s="969"/>
      <c r="C694" s="969"/>
      <c r="D694" s="970"/>
      <c r="E694" s="970"/>
      <c r="F694" s="970"/>
      <c r="G694" s="971"/>
      <c r="H694" s="971"/>
      <c r="I694" s="971"/>
      <c r="J694" s="971"/>
      <c r="K694" s="398"/>
      <c r="L694" s="950"/>
      <c r="M694" s="922"/>
      <c r="N694" s="973"/>
    </row>
    <row r="695" spans="1:14" ht="24.95" customHeight="1">
      <c r="A695" s="974" t="s">
        <v>3070</v>
      </c>
      <c r="B695" s="969" t="s">
        <v>1986</v>
      </c>
      <c r="C695" s="969" t="s">
        <v>1987</v>
      </c>
      <c r="D695" s="970"/>
      <c r="E695" s="970" t="s">
        <v>337</v>
      </c>
      <c r="F695" s="970" t="s">
        <v>29</v>
      </c>
      <c r="G695" s="971">
        <v>0.1</v>
      </c>
      <c r="H695" s="971">
        <v>1</v>
      </c>
      <c r="I695" s="971">
        <v>1</v>
      </c>
      <c r="J695" s="971">
        <v>1</v>
      </c>
      <c r="K695" s="398">
        <f>VLOOKUP(F695,'8-5.2025하노임'!$A$6:$G$47,6,0)</f>
        <v>357430.38474000001</v>
      </c>
      <c r="L695" s="950">
        <f t="shared" si="15"/>
        <v>35743</v>
      </c>
      <c r="M695" s="961">
        <f>SUM(L695)</f>
        <v>35743</v>
      </c>
      <c r="N695" s="973" t="s">
        <v>915</v>
      </c>
    </row>
    <row r="696" spans="1:14" ht="24.95" customHeight="1">
      <c r="A696" s="974"/>
      <c r="B696" s="969"/>
      <c r="C696" s="969"/>
      <c r="D696" s="970"/>
      <c r="E696" s="970"/>
      <c r="F696" s="970"/>
      <c r="G696" s="971"/>
      <c r="H696" s="971"/>
      <c r="I696" s="971"/>
      <c r="J696" s="971"/>
      <c r="K696" s="398"/>
      <c r="L696" s="950"/>
      <c r="M696" s="922"/>
      <c r="N696" s="973"/>
    </row>
    <row r="697" spans="1:14" ht="24.95" customHeight="1">
      <c r="A697" s="974" t="s">
        <v>3071</v>
      </c>
      <c r="B697" s="969" t="s">
        <v>1988</v>
      </c>
      <c r="C697" s="969" t="s">
        <v>1813</v>
      </c>
      <c r="D697" s="970"/>
      <c r="E697" s="970" t="s">
        <v>195</v>
      </c>
      <c r="F697" s="970" t="s">
        <v>17</v>
      </c>
      <c r="G697" s="971">
        <v>0.18</v>
      </c>
      <c r="H697" s="971">
        <v>1</v>
      </c>
      <c r="I697" s="971">
        <v>1</v>
      </c>
      <c r="J697" s="971">
        <v>1</v>
      </c>
      <c r="K697" s="398">
        <f>VLOOKUP(F697,'8-5.2025하노임'!$A$6:$G$47,6,0)</f>
        <v>266103.30713999999</v>
      </c>
      <c r="L697" s="950">
        <f t="shared" si="15"/>
        <v>47898</v>
      </c>
      <c r="M697" s="961">
        <f>SUM(L697:L699)</f>
        <v>124630</v>
      </c>
      <c r="N697" s="973" t="s">
        <v>1585</v>
      </c>
    </row>
    <row r="698" spans="1:14" ht="24.95" customHeight="1">
      <c r="A698" s="974"/>
      <c r="B698" s="969"/>
      <c r="C698" s="969"/>
      <c r="D698" s="970"/>
      <c r="E698" s="970"/>
      <c r="F698" s="970" t="s">
        <v>3</v>
      </c>
      <c r="G698" s="971">
        <v>0.18</v>
      </c>
      <c r="H698" s="971">
        <v>1</v>
      </c>
      <c r="I698" s="971">
        <v>1</v>
      </c>
      <c r="J698" s="971">
        <v>1</v>
      </c>
      <c r="K698" s="398">
        <f>VLOOKUP(F698,'8-5.2025하노임'!$A$6:$G$47,6,0)</f>
        <v>276216.14889000001</v>
      </c>
      <c r="L698" s="950">
        <f t="shared" si="15"/>
        <v>49718</v>
      </c>
      <c r="M698" s="922"/>
      <c r="N698" s="973"/>
    </row>
    <row r="699" spans="1:14" ht="24.95" customHeight="1">
      <c r="A699" s="974"/>
      <c r="B699" s="969"/>
      <c r="C699" s="969"/>
      <c r="D699" s="970"/>
      <c r="E699" s="970"/>
      <c r="F699" s="970" t="s">
        <v>4</v>
      </c>
      <c r="G699" s="971">
        <v>0.18</v>
      </c>
      <c r="H699" s="971">
        <v>1</v>
      </c>
      <c r="I699" s="971">
        <v>1</v>
      </c>
      <c r="J699" s="971">
        <v>1</v>
      </c>
      <c r="K699" s="398">
        <f>VLOOKUP(F699,'8-5.2025하노임'!$A$6:$G$47,6,0)</f>
        <v>150079.83638999998</v>
      </c>
      <c r="L699" s="950">
        <f t="shared" si="15"/>
        <v>27014</v>
      </c>
      <c r="M699" s="922"/>
      <c r="N699" s="973"/>
    </row>
    <row r="700" spans="1:14" ht="24.95" customHeight="1">
      <c r="A700" s="974"/>
      <c r="B700" s="969"/>
      <c r="C700" s="969"/>
      <c r="D700" s="970"/>
      <c r="E700" s="970"/>
      <c r="F700" s="970"/>
      <c r="G700" s="971"/>
      <c r="H700" s="971"/>
      <c r="I700" s="971"/>
      <c r="J700" s="971"/>
      <c r="K700" s="398"/>
      <c r="L700" s="950"/>
      <c r="M700" s="922"/>
      <c r="N700" s="973"/>
    </row>
    <row r="701" spans="1:14" ht="24.95" customHeight="1">
      <c r="A701" s="974" t="s">
        <v>3072</v>
      </c>
      <c r="B701" s="969" t="s">
        <v>1910</v>
      </c>
      <c r="C701" s="969" t="s">
        <v>1989</v>
      </c>
      <c r="D701" s="970"/>
      <c r="E701" s="970" t="s">
        <v>814</v>
      </c>
      <c r="F701" s="970" t="s">
        <v>31</v>
      </c>
      <c r="G701" s="971">
        <v>1.6E-2</v>
      </c>
      <c r="H701" s="971">
        <v>1.2</v>
      </c>
      <c r="I701" s="971">
        <v>1</v>
      </c>
      <c r="J701" s="971">
        <v>1</v>
      </c>
      <c r="K701" s="398">
        <f>VLOOKUP(F701,'8-5.2025하노임'!$A$6:$G$47,6,0)</f>
        <v>386848.44396</v>
      </c>
      <c r="L701" s="950">
        <f t="shared" si="15"/>
        <v>7427</v>
      </c>
      <c r="M701" s="961">
        <f>SUM(L701)</f>
        <v>7427</v>
      </c>
      <c r="N701" s="973" t="s">
        <v>1915</v>
      </c>
    </row>
    <row r="702" spans="1:14" ht="24.95" customHeight="1">
      <c r="A702" s="974"/>
      <c r="B702" s="969"/>
      <c r="C702" s="969"/>
      <c r="D702" s="970"/>
      <c r="E702" s="970"/>
      <c r="F702" s="970"/>
      <c r="G702" s="971"/>
      <c r="H702" s="971"/>
      <c r="I702" s="971"/>
      <c r="J702" s="971"/>
      <c r="K702" s="398"/>
      <c r="L702" s="950"/>
      <c r="M702" s="922"/>
      <c r="N702" s="973"/>
    </row>
    <row r="703" spans="1:14" ht="24.95" customHeight="1">
      <c r="A703" s="974" t="s">
        <v>3132</v>
      </c>
      <c r="B703" s="969" t="s">
        <v>1910</v>
      </c>
      <c r="C703" s="969" t="s">
        <v>1990</v>
      </c>
      <c r="D703" s="970" t="s">
        <v>1917</v>
      </c>
      <c r="E703" s="970" t="s">
        <v>814</v>
      </c>
      <c r="F703" s="970" t="s">
        <v>31</v>
      </c>
      <c r="G703" s="971">
        <v>1.6E-2</v>
      </c>
      <c r="H703" s="971">
        <v>1.2</v>
      </c>
      <c r="I703" s="971">
        <v>1.8</v>
      </c>
      <c r="J703" s="971">
        <v>1</v>
      </c>
      <c r="K703" s="398">
        <f>VLOOKUP(F703,'8-5.2025하노임'!$A$6:$G$47,6,0)</f>
        <v>386848.44396</v>
      </c>
      <c r="L703" s="950">
        <f t="shared" si="15"/>
        <v>13369</v>
      </c>
      <c r="M703" s="961">
        <f>SUM(L703)</f>
        <v>13369</v>
      </c>
      <c r="N703" s="973" t="s">
        <v>1915</v>
      </c>
    </row>
    <row r="704" spans="1:14" ht="24.95" customHeight="1">
      <c r="A704" s="974"/>
      <c r="B704" s="969"/>
      <c r="C704" s="969"/>
      <c r="D704" s="970"/>
      <c r="E704" s="970"/>
      <c r="F704" s="970"/>
      <c r="G704" s="971"/>
      <c r="H704" s="971"/>
      <c r="I704" s="971"/>
      <c r="J704" s="971"/>
      <c r="K704" s="398"/>
      <c r="L704" s="950"/>
      <c r="M704" s="922"/>
      <c r="N704" s="973"/>
    </row>
    <row r="705" spans="1:14" ht="24.95" customHeight="1">
      <c r="A705" s="974" t="s">
        <v>3133</v>
      </c>
      <c r="B705" s="969" t="s">
        <v>1910</v>
      </c>
      <c r="C705" s="969" t="s">
        <v>1991</v>
      </c>
      <c r="D705" s="970" t="s">
        <v>1919</v>
      </c>
      <c r="E705" s="970" t="s">
        <v>814</v>
      </c>
      <c r="F705" s="970" t="s">
        <v>31</v>
      </c>
      <c r="G705" s="971">
        <v>1.6E-2</v>
      </c>
      <c r="H705" s="971">
        <v>1.2</v>
      </c>
      <c r="I705" s="971">
        <v>2.6</v>
      </c>
      <c r="J705" s="971">
        <v>1</v>
      </c>
      <c r="K705" s="398">
        <f>VLOOKUP(F705,'8-5.2025하노임'!$A$6:$G$47,6,0)</f>
        <v>386848.44396</v>
      </c>
      <c r="L705" s="950">
        <f t="shared" si="15"/>
        <v>19311</v>
      </c>
      <c r="M705" s="961">
        <f>SUM(L705)</f>
        <v>19311</v>
      </c>
      <c r="N705" s="973" t="s">
        <v>1915</v>
      </c>
    </row>
    <row r="706" spans="1:14" ht="24.95" customHeight="1">
      <c r="A706" s="974"/>
      <c r="B706" s="969"/>
      <c r="C706" s="969"/>
      <c r="D706" s="970"/>
      <c r="E706" s="970"/>
      <c r="F706" s="970"/>
      <c r="G706" s="971"/>
      <c r="H706" s="971"/>
      <c r="I706" s="971"/>
      <c r="J706" s="971"/>
      <c r="K706" s="398"/>
      <c r="L706" s="950"/>
      <c r="M706" s="922"/>
      <c r="N706" s="973"/>
    </row>
    <row r="707" spans="1:14" ht="24.95" customHeight="1">
      <c r="A707" s="974" t="s">
        <v>3134</v>
      </c>
      <c r="B707" s="969" t="s">
        <v>1910</v>
      </c>
      <c r="C707" s="969" t="s">
        <v>1992</v>
      </c>
      <c r="D707" s="976" t="s">
        <v>1921</v>
      </c>
      <c r="E707" s="970" t="s">
        <v>814</v>
      </c>
      <c r="F707" s="970" t="s">
        <v>31</v>
      </c>
      <c r="G707" s="971">
        <v>1.6E-2</v>
      </c>
      <c r="H707" s="971">
        <v>1.2</v>
      </c>
      <c r="I707" s="971">
        <v>3.4</v>
      </c>
      <c r="J707" s="971">
        <v>1</v>
      </c>
      <c r="K707" s="398">
        <f>VLOOKUP(F707,'8-5.2025하노임'!$A$6:$G$47,6,0)</f>
        <v>386848.44396</v>
      </c>
      <c r="L707" s="950">
        <f t="shared" si="15"/>
        <v>25253</v>
      </c>
      <c r="M707" s="961">
        <f>SUM(L707)</f>
        <v>25253</v>
      </c>
      <c r="N707" s="973" t="s">
        <v>1915</v>
      </c>
    </row>
    <row r="708" spans="1:14" ht="24.95" customHeight="1">
      <c r="A708" s="974"/>
      <c r="B708" s="969"/>
      <c r="C708" s="969"/>
      <c r="D708" s="976"/>
      <c r="E708" s="970"/>
      <c r="F708" s="970"/>
      <c r="G708" s="971"/>
      <c r="H708" s="971"/>
      <c r="I708" s="971"/>
      <c r="J708" s="971"/>
      <c r="K708" s="398"/>
      <c r="L708" s="950"/>
      <c r="M708" s="922"/>
      <c r="N708" s="973"/>
    </row>
    <row r="709" spans="1:14" ht="24.95" customHeight="1">
      <c r="A709" s="974" t="s">
        <v>3073</v>
      </c>
      <c r="B709" s="969" t="s">
        <v>1993</v>
      </c>
      <c r="C709" s="969" t="s">
        <v>1994</v>
      </c>
      <c r="D709" s="976" t="s">
        <v>1995</v>
      </c>
      <c r="E709" s="970" t="s">
        <v>1996</v>
      </c>
      <c r="F709" s="970" t="s">
        <v>30</v>
      </c>
      <c r="G709" s="971">
        <v>0.06</v>
      </c>
      <c r="H709" s="971">
        <v>0.8</v>
      </c>
      <c r="I709" s="971">
        <v>1.3</v>
      </c>
      <c r="J709" s="971">
        <v>1</v>
      </c>
      <c r="K709" s="398">
        <f>VLOOKUP(F709,'8-5.2025하노임'!$A$6:$G$47,6,0)</f>
        <v>248856.63428999999</v>
      </c>
      <c r="L709" s="950">
        <f t="shared" si="15"/>
        <v>15528</v>
      </c>
      <c r="M709" s="961">
        <f>SUM(L709:L710)</f>
        <v>15528</v>
      </c>
      <c r="N709" s="973" t="s">
        <v>914</v>
      </c>
    </row>
    <row r="710" spans="1:14" ht="24.95" customHeight="1">
      <c r="A710" s="974"/>
      <c r="B710" s="969"/>
      <c r="C710" s="969"/>
      <c r="D710" s="970"/>
      <c r="E710" s="970"/>
      <c r="F710" s="970"/>
      <c r="G710" s="971"/>
      <c r="H710" s="971"/>
      <c r="I710" s="971"/>
      <c r="J710" s="971"/>
      <c r="K710" s="398"/>
      <c r="L710" s="950"/>
      <c r="M710" s="922"/>
      <c r="N710" s="973"/>
    </row>
    <row r="711" spans="1:14" ht="24.95" customHeight="1">
      <c r="A711" s="974"/>
      <c r="B711" s="969"/>
      <c r="C711" s="969"/>
      <c r="D711" s="970"/>
      <c r="E711" s="970"/>
      <c r="F711" s="970"/>
      <c r="G711" s="971"/>
      <c r="H711" s="971"/>
      <c r="I711" s="971"/>
      <c r="J711" s="971"/>
      <c r="K711" s="398"/>
      <c r="L711" s="950"/>
      <c r="M711" s="922"/>
      <c r="N711" s="973"/>
    </row>
    <row r="712" spans="1:14" ht="24.95" customHeight="1">
      <c r="A712" s="974" t="s">
        <v>3108</v>
      </c>
      <c r="B712" s="969" t="s">
        <v>1997</v>
      </c>
      <c r="C712" s="969" t="s">
        <v>1757</v>
      </c>
      <c r="D712" s="970" t="s">
        <v>1758</v>
      </c>
      <c r="E712" s="970" t="s">
        <v>8</v>
      </c>
      <c r="F712" s="970" t="s">
        <v>16</v>
      </c>
      <c r="G712" s="971">
        <v>0.4</v>
      </c>
      <c r="H712" s="971">
        <v>1</v>
      </c>
      <c r="I712" s="971">
        <v>0.5</v>
      </c>
      <c r="J712" s="971">
        <v>1</v>
      </c>
      <c r="K712" s="398">
        <f>VLOOKUP(F712,'8-5.2025하노임'!$A$6:$G$47,6,0)</f>
        <v>196983.2403</v>
      </c>
      <c r="L712" s="950">
        <f t="shared" si="15"/>
        <v>39396</v>
      </c>
      <c r="M712" s="961">
        <f>SUM(L712)</f>
        <v>39396</v>
      </c>
      <c r="N712" s="973" t="s">
        <v>1998</v>
      </c>
    </row>
    <row r="713" spans="1:14" ht="24.95" customHeight="1">
      <c r="A713" s="974"/>
      <c r="B713" s="969"/>
      <c r="C713" s="969"/>
      <c r="D713" s="970"/>
      <c r="E713" s="970"/>
      <c r="F713" s="970"/>
      <c r="G713" s="971"/>
      <c r="H713" s="971"/>
      <c r="I713" s="971"/>
      <c r="J713" s="971"/>
      <c r="K713" s="398"/>
      <c r="L713" s="950"/>
      <c r="M713" s="922"/>
      <c r="N713" s="973"/>
    </row>
    <row r="714" spans="1:14" ht="24.95" customHeight="1">
      <c r="A714" s="974" t="s">
        <v>3135</v>
      </c>
      <c r="B714" s="969" t="s">
        <v>1999</v>
      </c>
      <c r="C714" s="969" t="s">
        <v>2000</v>
      </c>
      <c r="D714" s="970" t="s">
        <v>2001</v>
      </c>
      <c r="E714" s="970" t="s">
        <v>8</v>
      </c>
      <c r="F714" s="970" t="s">
        <v>571</v>
      </c>
      <c r="G714" s="971">
        <v>0.17</v>
      </c>
      <c r="H714" s="971">
        <v>1</v>
      </c>
      <c r="I714" s="971">
        <v>1</v>
      </c>
      <c r="J714" s="971">
        <v>1</v>
      </c>
      <c r="K714" s="398">
        <f>VLOOKUP(F714,'8-5.2025하노임'!$A$6:$G$47,6,0)</f>
        <v>193354.02437999999</v>
      </c>
      <c r="L714" s="950">
        <f t="shared" si="15"/>
        <v>32870</v>
      </c>
      <c r="M714" s="961">
        <f>SUM(L714:L715)</f>
        <v>58383</v>
      </c>
      <c r="N714" s="973" t="s">
        <v>2002</v>
      </c>
    </row>
    <row r="715" spans="1:14" ht="24.95" customHeight="1">
      <c r="A715" s="974"/>
      <c r="B715" s="969"/>
      <c r="C715" s="969"/>
      <c r="D715" s="970"/>
      <c r="E715" s="970"/>
      <c r="F715" s="970" t="s">
        <v>4</v>
      </c>
      <c r="G715" s="971">
        <v>0.17</v>
      </c>
      <c r="H715" s="971">
        <v>1</v>
      </c>
      <c r="I715" s="971">
        <v>1</v>
      </c>
      <c r="J715" s="971">
        <v>1</v>
      </c>
      <c r="K715" s="398">
        <f>VLOOKUP(F715,'8-5.2025하노임'!$A$6:$G$47,6,0)</f>
        <v>150079.83638999998</v>
      </c>
      <c r="L715" s="950">
        <f t="shared" si="15"/>
        <v>25513</v>
      </c>
      <c r="M715" s="922"/>
      <c r="N715" s="973"/>
    </row>
    <row r="716" spans="1:14" ht="24.95" customHeight="1">
      <c r="A716" s="974"/>
      <c r="B716" s="969"/>
      <c r="C716" s="969"/>
      <c r="D716" s="970"/>
      <c r="E716" s="970"/>
      <c r="F716" s="970"/>
      <c r="G716" s="971"/>
      <c r="H716" s="971"/>
      <c r="I716" s="971"/>
      <c r="J716" s="971"/>
      <c r="K716" s="398"/>
      <c r="L716" s="950"/>
      <c r="M716" s="922"/>
      <c r="N716" s="973"/>
    </row>
    <row r="717" spans="1:14" ht="24.95" customHeight="1">
      <c r="A717" s="974" t="s">
        <v>3136</v>
      </c>
      <c r="B717" s="969" t="s">
        <v>1999</v>
      </c>
      <c r="C717" s="969" t="s">
        <v>2003</v>
      </c>
      <c r="D717" s="970" t="s">
        <v>2004</v>
      </c>
      <c r="E717" s="970" t="s">
        <v>8</v>
      </c>
      <c r="F717" s="970" t="s">
        <v>571</v>
      </c>
      <c r="G717" s="971">
        <v>0.22</v>
      </c>
      <c r="H717" s="971">
        <v>1</v>
      </c>
      <c r="I717" s="971">
        <v>1</v>
      </c>
      <c r="J717" s="971">
        <v>1</v>
      </c>
      <c r="K717" s="398">
        <f>VLOOKUP(F717,'8-5.2025하노임'!$A$6:$G$47,6,0)</f>
        <v>193354.02437999999</v>
      </c>
      <c r="L717" s="950">
        <f t="shared" si="15"/>
        <v>42537</v>
      </c>
      <c r="M717" s="961">
        <f>SUM(L717:L718)</f>
        <v>75554</v>
      </c>
      <c r="N717" s="973" t="s">
        <v>2002</v>
      </c>
    </row>
    <row r="718" spans="1:14" ht="24.95" customHeight="1">
      <c r="A718" s="974"/>
      <c r="B718" s="969"/>
      <c r="C718" s="969"/>
      <c r="D718" s="970"/>
      <c r="E718" s="970"/>
      <c r="F718" s="970" t="s">
        <v>4</v>
      </c>
      <c r="G718" s="971">
        <v>0.22</v>
      </c>
      <c r="H718" s="971">
        <v>1</v>
      </c>
      <c r="I718" s="971">
        <v>1</v>
      </c>
      <c r="J718" s="971">
        <v>1</v>
      </c>
      <c r="K718" s="398">
        <f>VLOOKUP(F718,'8-5.2025하노임'!$A$6:$G$47,6,0)</f>
        <v>150079.83638999998</v>
      </c>
      <c r="L718" s="950">
        <f t="shared" si="15"/>
        <v>33017</v>
      </c>
      <c r="M718" s="922"/>
      <c r="N718" s="973"/>
    </row>
    <row r="719" spans="1:14" ht="24.95" customHeight="1">
      <c r="A719" s="974"/>
      <c r="B719" s="969"/>
      <c r="C719" s="969"/>
      <c r="D719" s="970"/>
      <c r="E719" s="970"/>
      <c r="F719" s="970"/>
      <c r="G719" s="971"/>
      <c r="H719" s="971"/>
      <c r="I719" s="971"/>
      <c r="J719" s="971"/>
      <c r="K719" s="398"/>
      <c r="L719" s="950"/>
      <c r="M719" s="922"/>
      <c r="N719" s="973"/>
    </row>
    <row r="720" spans="1:14" ht="24.95" customHeight="1">
      <c r="A720" s="974" t="s">
        <v>3075</v>
      </c>
      <c r="B720" s="969" t="s">
        <v>2005</v>
      </c>
      <c r="C720" s="969" t="s">
        <v>2006</v>
      </c>
      <c r="D720" s="970"/>
      <c r="E720" s="970" t="s">
        <v>337</v>
      </c>
      <c r="F720" s="970" t="s">
        <v>4</v>
      </c>
      <c r="G720" s="971">
        <v>0.01</v>
      </c>
      <c r="H720" s="971">
        <v>1</v>
      </c>
      <c r="I720" s="971">
        <v>1</v>
      </c>
      <c r="J720" s="971">
        <v>1</v>
      </c>
      <c r="K720" s="398">
        <f>VLOOKUP(F720,'8-5.2025하노임'!$A$6:$G$47,6,0)</f>
        <v>150079.83638999998</v>
      </c>
      <c r="L720" s="950">
        <f t="shared" si="15"/>
        <v>1500</v>
      </c>
      <c r="M720" s="961">
        <f>SUM(L720)</f>
        <v>1500</v>
      </c>
      <c r="N720" s="973" t="s">
        <v>909</v>
      </c>
    </row>
    <row r="721" spans="1:14" ht="24.95" customHeight="1">
      <c r="A721" s="1741"/>
      <c r="B721" s="1742"/>
      <c r="C721" s="1742"/>
      <c r="D721" s="1743"/>
      <c r="E721" s="1743"/>
      <c r="F721" s="1743"/>
      <c r="G721" s="1744"/>
      <c r="H721" s="1744"/>
      <c r="I721" s="1744"/>
      <c r="J721" s="1744"/>
      <c r="K721" s="398"/>
      <c r="L721" s="1745"/>
      <c r="M721" s="1746"/>
      <c r="N721" s="1747"/>
    </row>
    <row r="722" spans="1:14" ht="24.95" customHeight="1">
      <c r="A722" s="355" t="s">
        <v>3355</v>
      </c>
      <c r="B722" s="404" t="s">
        <v>3352</v>
      </c>
      <c r="C722" s="404" t="s">
        <v>119</v>
      </c>
      <c r="D722" s="404"/>
      <c r="E722" s="1748" t="s">
        <v>3360</v>
      </c>
      <c r="F722" s="1748" t="s">
        <v>878</v>
      </c>
      <c r="G722" s="1749">
        <v>1</v>
      </c>
      <c r="H722" s="971">
        <v>1</v>
      </c>
      <c r="I722" s="971">
        <v>1</v>
      </c>
      <c r="J722" s="971">
        <v>1</v>
      </c>
      <c r="K722" s="398">
        <f>VLOOKUP(F722,'8-5.2025하노임'!$A$6:$G$47,6,0)</f>
        <v>150079.83638999998</v>
      </c>
      <c r="L722" s="1751">
        <f>INT(G722*H722*I722*J722*K722)</f>
        <v>150079</v>
      </c>
      <c r="M722" s="1752">
        <f>SUM(L722:L722)</f>
        <v>150079</v>
      </c>
      <c r="N722" s="406" t="s">
        <v>3353</v>
      </c>
    </row>
    <row r="723" spans="1:14" ht="24.95" customHeight="1">
      <c r="A723" s="355"/>
      <c r="B723" s="404"/>
      <c r="C723" s="404"/>
      <c r="D723" s="404"/>
      <c r="E723" s="1748"/>
      <c r="F723" s="1748"/>
      <c r="G723" s="1749"/>
      <c r="H723" s="1750"/>
      <c r="I723" s="1750"/>
      <c r="J723" s="1750"/>
      <c r="K723" s="398"/>
      <c r="L723" s="1751"/>
      <c r="M723" s="404"/>
      <c r="N723" s="406"/>
    </row>
  </sheetData>
  <autoFilter ref="A3:WVV723" xr:uid="{7BC4B554-2460-48B0-8BDB-7FF7E928DA94}"/>
  <phoneticPr fontId="60" type="noConversion"/>
  <printOptions horizontalCentered="1"/>
  <pageMargins left="0.19685039370078741" right="0.19685039370078741" top="0.39370078740157483" bottom="0.31496062992125984" header="0.31496062992125984" footer="0.15748031496062992"/>
  <pageSetup paperSize="9" scale="70" orientation="landscape" r:id="rId1"/>
  <headerFooter>
    <oddFooter>&amp;C&amp;P / &amp;N</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6"/>
  <dimension ref="A1:AA49"/>
  <sheetViews>
    <sheetView view="pageBreakPreview" topLeftCell="A10" zoomScale="85" zoomScaleNormal="100" zoomScaleSheetLayoutView="85" workbookViewId="0">
      <selection activeCell="K34" sqref="K34"/>
    </sheetView>
  </sheetViews>
  <sheetFormatPr defaultColWidth="9" defaultRowHeight="12"/>
  <cols>
    <col min="1" max="1" width="15.75" style="14" customWidth="1"/>
    <col min="2" max="6" width="12.625" style="14" customWidth="1"/>
    <col min="7" max="7" width="11.625" style="14" customWidth="1"/>
    <col min="8" max="256" width="9" style="14"/>
    <col min="257" max="257" width="16.375" style="14" customWidth="1"/>
    <col min="258" max="262" width="12.625" style="14" customWidth="1"/>
    <col min="263" max="263" width="11.625" style="14" customWidth="1"/>
    <col min="264" max="512" width="9" style="14"/>
    <col min="513" max="513" width="16.375" style="14" customWidth="1"/>
    <col min="514" max="518" width="12.625" style="14" customWidth="1"/>
    <col min="519" max="519" width="11.625" style="14" customWidth="1"/>
    <col min="520" max="768" width="9" style="14"/>
    <col min="769" max="769" width="16.375" style="14" customWidth="1"/>
    <col min="770" max="774" width="12.625" style="14" customWidth="1"/>
    <col min="775" max="775" width="11.625" style="14" customWidth="1"/>
    <col min="776" max="1024" width="9" style="14"/>
    <col min="1025" max="1025" width="16.375" style="14" customWidth="1"/>
    <col min="1026" max="1030" width="12.625" style="14" customWidth="1"/>
    <col min="1031" max="1031" width="11.625" style="14" customWidth="1"/>
    <col min="1032" max="1280" width="9" style="14"/>
    <col min="1281" max="1281" width="16.375" style="14" customWidth="1"/>
    <col min="1282" max="1286" width="12.625" style="14" customWidth="1"/>
    <col min="1287" max="1287" width="11.625" style="14" customWidth="1"/>
    <col min="1288" max="1536" width="9" style="14"/>
    <col min="1537" max="1537" width="16.375" style="14" customWidth="1"/>
    <col min="1538" max="1542" width="12.625" style="14" customWidth="1"/>
    <col min="1543" max="1543" width="11.625" style="14" customWidth="1"/>
    <col min="1544" max="1792" width="9" style="14"/>
    <col min="1793" max="1793" width="16.375" style="14" customWidth="1"/>
    <col min="1794" max="1798" width="12.625" style="14" customWidth="1"/>
    <col min="1799" max="1799" width="11.625" style="14" customWidth="1"/>
    <col min="1800" max="2048" width="9" style="14"/>
    <col min="2049" max="2049" width="16.375" style="14" customWidth="1"/>
    <col min="2050" max="2054" width="12.625" style="14" customWidth="1"/>
    <col min="2055" max="2055" width="11.625" style="14" customWidth="1"/>
    <col min="2056" max="2304" width="9" style="14"/>
    <col min="2305" max="2305" width="16.375" style="14" customWidth="1"/>
    <col min="2306" max="2310" width="12.625" style="14" customWidth="1"/>
    <col min="2311" max="2311" width="11.625" style="14" customWidth="1"/>
    <col min="2312" max="2560" width="9" style="14"/>
    <col min="2561" max="2561" width="16.375" style="14" customWidth="1"/>
    <col min="2562" max="2566" width="12.625" style="14" customWidth="1"/>
    <col min="2567" max="2567" width="11.625" style="14" customWidth="1"/>
    <col min="2568" max="2816" width="9" style="14"/>
    <col min="2817" max="2817" width="16.375" style="14" customWidth="1"/>
    <col min="2818" max="2822" width="12.625" style="14" customWidth="1"/>
    <col min="2823" max="2823" width="11.625" style="14" customWidth="1"/>
    <col min="2824" max="3072" width="9" style="14"/>
    <col min="3073" max="3073" width="16.375" style="14" customWidth="1"/>
    <col min="3074" max="3078" width="12.625" style="14" customWidth="1"/>
    <col min="3079" max="3079" width="11.625" style="14" customWidth="1"/>
    <col min="3080" max="3328" width="9" style="14"/>
    <col min="3329" max="3329" width="16.375" style="14" customWidth="1"/>
    <col min="3330" max="3334" width="12.625" style="14" customWidth="1"/>
    <col min="3335" max="3335" width="11.625" style="14" customWidth="1"/>
    <col min="3336" max="3584" width="9" style="14"/>
    <col min="3585" max="3585" width="16.375" style="14" customWidth="1"/>
    <col min="3586" max="3590" width="12.625" style="14" customWidth="1"/>
    <col min="3591" max="3591" width="11.625" style="14" customWidth="1"/>
    <col min="3592" max="3840" width="9" style="14"/>
    <col min="3841" max="3841" width="16.375" style="14" customWidth="1"/>
    <col min="3842" max="3846" width="12.625" style="14" customWidth="1"/>
    <col min="3847" max="3847" width="11.625" style="14" customWidth="1"/>
    <col min="3848" max="4096" width="9" style="14"/>
    <col min="4097" max="4097" width="16.375" style="14" customWidth="1"/>
    <col min="4098" max="4102" width="12.625" style="14" customWidth="1"/>
    <col min="4103" max="4103" width="11.625" style="14" customWidth="1"/>
    <col min="4104" max="4352" width="9" style="14"/>
    <col min="4353" max="4353" width="16.375" style="14" customWidth="1"/>
    <col min="4354" max="4358" width="12.625" style="14" customWidth="1"/>
    <col min="4359" max="4359" width="11.625" style="14" customWidth="1"/>
    <col min="4360" max="4608" width="9" style="14"/>
    <col min="4609" max="4609" width="16.375" style="14" customWidth="1"/>
    <col min="4610" max="4614" width="12.625" style="14" customWidth="1"/>
    <col min="4615" max="4615" width="11.625" style="14" customWidth="1"/>
    <col min="4616" max="4864" width="9" style="14"/>
    <col min="4865" max="4865" width="16.375" style="14" customWidth="1"/>
    <col min="4866" max="4870" width="12.625" style="14" customWidth="1"/>
    <col min="4871" max="4871" width="11.625" style="14" customWidth="1"/>
    <col min="4872" max="5120" width="9" style="14"/>
    <col min="5121" max="5121" width="16.375" style="14" customWidth="1"/>
    <col min="5122" max="5126" width="12.625" style="14" customWidth="1"/>
    <col min="5127" max="5127" width="11.625" style="14" customWidth="1"/>
    <col min="5128" max="5376" width="9" style="14"/>
    <col min="5377" max="5377" width="16.375" style="14" customWidth="1"/>
    <col min="5378" max="5382" width="12.625" style="14" customWidth="1"/>
    <col min="5383" max="5383" width="11.625" style="14" customWidth="1"/>
    <col min="5384" max="5632" width="9" style="14"/>
    <col min="5633" max="5633" width="16.375" style="14" customWidth="1"/>
    <col min="5634" max="5638" width="12.625" style="14" customWidth="1"/>
    <col min="5639" max="5639" width="11.625" style="14" customWidth="1"/>
    <col min="5640" max="5888" width="9" style="14"/>
    <col min="5889" max="5889" width="16.375" style="14" customWidth="1"/>
    <col min="5890" max="5894" width="12.625" style="14" customWidth="1"/>
    <col min="5895" max="5895" width="11.625" style="14" customWidth="1"/>
    <col min="5896" max="6144" width="9" style="14"/>
    <col min="6145" max="6145" width="16.375" style="14" customWidth="1"/>
    <col min="6146" max="6150" width="12.625" style="14" customWidth="1"/>
    <col min="6151" max="6151" width="11.625" style="14" customWidth="1"/>
    <col min="6152" max="6400" width="9" style="14"/>
    <col min="6401" max="6401" width="16.375" style="14" customWidth="1"/>
    <col min="6402" max="6406" width="12.625" style="14" customWidth="1"/>
    <col min="6407" max="6407" width="11.625" style="14" customWidth="1"/>
    <col min="6408" max="6656" width="9" style="14"/>
    <col min="6657" max="6657" width="16.375" style="14" customWidth="1"/>
    <col min="6658" max="6662" width="12.625" style="14" customWidth="1"/>
    <col min="6663" max="6663" width="11.625" style="14" customWidth="1"/>
    <col min="6664" max="6912" width="9" style="14"/>
    <col min="6913" max="6913" width="16.375" style="14" customWidth="1"/>
    <col min="6914" max="6918" width="12.625" style="14" customWidth="1"/>
    <col min="6919" max="6919" width="11.625" style="14" customWidth="1"/>
    <col min="6920" max="7168" width="9" style="14"/>
    <col min="7169" max="7169" width="16.375" style="14" customWidth="1"/>
    <col min="7170" max="7174" width="12.625" style="14" customWidth="1"/>
    <col min="7175" max="7175" width="11.625" style="14" customWidth="1"/>
    <col min="7176" max="7424" width="9" style="14"/>
    <col min="7425" max="7425" width="16.375" style="14" customWidth="1"/>
    <col min="7426" max="7430" width="12.625" style="14" customWidth="1"/>
    <col min="7431" max="7431" width="11.625" style="14" customWidth="1"/>
    <col min="7432" max="7680" width="9" style="14"/>
    <col min="7681" max="7681" width="16.375" style="14" customWidth="1"/>
    <col min="7682" max="7686" width="12.625" style="14" customWidth="1"/>
    <col min="7687" max="7687" width="11.625" style="14" customWidth="1"/>
    <col min="7688" max="7936" width="9" style="14"/>
    <col min="7937" max="7937" width="16.375" style="14" customWidth="1"/>
    <col min="7938" max="7942" width="12.625" style="14" customWidth="1"/>
    <col min="7943" max="7943" width="11.625" style="14" customWidth="1"/>
    <col min="7944" max="8192" width="9" style="14"/>
    <col min="8193" max="8193" width="16.375" style="14" customWidth="1"/>
    <col min="8194" max="8198" width="12.625" style="14" customWidth="1"/>
    <col min="8199" max="8199" width="11.625" style="14" customWidth="1"/>
    <col min="8200" max="8448" width="9" style="14"/>
    <col min="8449" max="8449" width="16.375" style="14" customWidth="1"/>
    <col min="8450" max="8454" width="12.625" style="14" customWidth="1"/>
    <col min="8455" max="8455" width="11.625" style="14" customWidth="1"/>
    <col min="8456" max="8704" width="9" style="14"/>
    <col min="8705" max="8705" width="16.375" style="14" customWidth="1"/>
    <col min="8706" max="8710" width="12.625" style="14" customWidth="1"/>
    <col min="8711" max="8711" width="11.625" style="14" customWidth="1"/>
    <col min="8712" max="8960" width="9" style="14"/>
    <col min="8961" max="8961" width="16.375" style="14" customWidth="1"/>
    <col min="8962" max="8966" width="12.625" style="14" customWidth="1"/>
    <col min="8967" max="8967" width="11.625" style="14" customWidth="1"/>
    <col min="8968" max="9216" width="9" style="14"/>
    <col min="9217" max="9217" width="16.375" style="14" customWidth="1"/>
    <col min="9218" max="9222" width="12.625" style="14" customWidth="1"/>
    <col min="9223" max="9223" width="11.625" style="14" customWidth="1"/>
    <col min="9224" max="9472" width="9" style="14"/>
    <col min="9473" max="9473" width="16.375" style="14" customWidth="1"/>
    <col min="9474" max="9478" width="12.625" style="14" customWidth="1"/>
    <col min="9479" max="9479" width="11.625" style="14" customWidth="1"/>
    <col min="9480" max="9728" width="9" style="14"/>
    <col min="9729" max="9729" width="16.375" style="14" customWidth="1"/>
    <col min="9730" max="9734" width="12.625" style="14" customWidth="1"/>
    <col min="9735" max="9735" width="11.625" style="14" customWidth="1"/>
    <col min="9736" max="9984" width="9" style="14"/>
    <col min="9985" max="9985" width="16.375" style="14" customWidth="1"/>
    <col min="9986" max="9990" width="12.625" style="14" customWidth="1"/>
    <col min="9991" max="9991" width="11.625" style="14" customWidth="1"/>
    <col min="9992" max="10240" width="9" style="14"/>
    <col min="10241" max="10241" width="16.375" style="14" customWidth="1"/>
    <col min="10242" max="10246" width="12.625" style="14" customWidth="1"/>
    <col min="10247" max="10247" width="11.625" style="14" customWidth="1"/>
    <col min="10248" max="10496" width="9" style="14"/>
    <col min="10497" max="10497" width="16.375" style="14" customWidth="1"/>
    <col min="10498" max="10502" width="12.625" style="14" customWidth="1"/>
    <col min="10503" max="10503" width="11.625" style="14" customWidth="1"/>
    <col min="10504" max="10752" width="9" style="14"/>
    <col min="10753" max="10753" width="16.375" style="14" customWidth="1"/>
    <col min="10754" max="10758" width="12.625" style="14" customWidth="1"/>
    <col min="10759" max="10759" width="11.625" style="14" customWidth="1"/>
    <col min="10760" max="11008" width="9" style="14"/>
    <col min="11009" max="11009" width="16.375" style="14" customWidth="1"/>
    <col min="11010" max="11014" width="12.625" style="14" customWidth="1"/>
    <col min="11015" max="11015" width="11.625" style="14" customWidth="1"/>
    <col min="11016" max="11264" width="9" style="14"/>
    <col min="11265" max="11265" width="16.375" style="14" customWidth="1"/>
    <col min="11266" max="11270" width="12.625" style="14" customWidth="1"/>
    <col min="11271" max="11271" width="11.625" style="14" customWidth="1"/>
    <col min="11272" max="11520" width="9" style="14"/>
    <col min="11521" max="11521" width="16.375" style="14" customWidth="1"/>
    <col min="11522" max="11526" width="12.625" style="14" customWidth="1"/>
    <col min="11527" max="11527" width="11.625" style="14" customWidth="1"/>
    <col min="11528" max="11776" width="9" style="14"/>
    <col min="11777" max="11777" width="16.375" style="14" customWidth="1"/>
    <col min="11778" max="11782" width="12.625" style="14" customWidth="1"/>
    <col min="11783" max="11783" width="11.625" style="14" customWidth="1"/>
    <col min="11784" max="12032" width="9" style="14"/>
    <col min="12033" max="12033" width="16.375" style="14" customWidth="1"/>
    <col min="12034" max="12038" width="12.625" style="14" customWidth="1"/>
    <col min="12039" max="12039" width="11.625" style="14" customWidth="1"/>
    <col min="12040" max="12288" width="9" style="14"/>
    <col min="12289" max="12289" width="16.375" style="14" customWidth="1"/>
    <col min="12290" max="12294" width="12.625" style="14" customWidth="1"/>
    <col min="12295" max="12295" width="11.625" style="14" customWidth="1"/>
    <col min="12296" max="12544" width="9" style="14"/>
    <col min="12545" max="12545" width="16.375" style="14" customWidth="1"/>
    <col min="12546" max="12550" width="12.625" style="14" customWidth="1"/>
    <col min="12551" max="12551" width="11.625" style="14" customWidth="1"/>
    <col min="12552" max="12800" width="9" style="14"/>
    <col min="12801" max="12801" width="16.375" style="14" customWidth="1"/>
    <col min="12802" max="12806" width="12.625" style="14" customWidth="1"/>
    <col min="12807" max="12807" width="11.625" style="14" customWidth="1"/>
    <col min="12808" max="13056" width="9" style="14"/>
    <col min="13057" max="13057" width="16.375" style="14" customWidth="1"/>
    <col min="13058" max="13062" width="12.625" style="14" customWidth="1"/>
    <col min="13063" max="13063" width="11.625" style="14" customWidth="1"/>
    <col min="13064" max="13312" width="9" style="14"/>
    <col min="13313" max="13313" width="16.375" style="14" customWidth="1"/>
    <col min="13314" max="13318" width="12.625" style="14" customWidth="1"/>
    <col min="13319" max="13319" width="11.625" style="14" customWidth="1"/>
    <col min="13320" max="13568" width="9" style="14"/>
    <col min="13569" max="13569" width="16.375" style="14" customWidth="1"/>
    <col min="13570" max="13574" width="12.625" style="14" customWidth="1"/>
    <col min="13575" max="13575" width="11.625" style="14" customWidth="1"/>
    <col min="13576" max="13824" width="9" style="14"/>
    <col min="13825" max="13825" width="16.375" style="14" customWidth="1"/>
    <col min="13826" max="13830" width="12.625" style="14" customWidth="1"/>
    <col min="13831" max="13831" width="11.625" style="14" customWidth="1"/>
    <col min="13832" max="14080" width="9" style="14"/>
    <col min="14081" max="14081" width="16.375" style="14" customWidth="1"/>
    <col min="14082" max="14086" width="12.625" style="14" customWidth="1"/>
    <col min="14087" max="14087" width="11.625" style="14" customWidth="1"/>
    <col min="14088" max="14336" width="9" style="14"/>
    <col min="14337" max="14337" width="16.375" style="14" customWidth="1"/>
    <col min="14338" max="14342" width="12.625" style="14" customWidth="1"/>
    <col min="14343" max="14343" width="11.625" style="14" customWidth="1"/>
    <col min="14344" max="14592" width="9" style="14"/>
    <col min="14593" max="14593" width="16.375" style="14" customWidth="1"/>
    <col min="14594" max="14598" width="12.625" style="14" customWidth="1"/>
    <col min="14599" max="14599" width="11.625" style="14" customWidth="1"/>
    <col min="14600" max="14848" width="9" style="14"/>
    <col min="14849" max="14849" width="16.375" style="14" customWidth="1"/>
    <col min="14850" max="14854" width="12.625" style="14" customWidth="1"/>
    <col min="14855" max="14855" width="11.625" style="14" customWidth="1"/>
    <col min="14856" max="15104" width="9" style="14"/>
    <col min="15105" max="15105" width="16.375" style="14" customWidth="1"/>
    <col min="15106" max="15110" width="12.625" style="14" customWidth="1"/>
    <col min="15111" max="15111" width="11.625" style="14" customWidth="1"/>
    <col min="15112" max="15360" width="9" style="14"/>
    <col min="15361" max="15361" width="16.375" style="14" customWidth="1"/>
    <col min="15362" max="15366" width="12.625" style="14" customWidth="1"/>
    <col min="15367" max="15367" width="11.625" style="14" customWidth="1"/>
    <col min="15368" max="15616" width="9" style="14"/>
    <col min="15617" max="15617" width="16.375" style="14" customWidth="1"/>
    <col min="15618" max="15622" width="12.625" style="14" customWidth="1"/>
    <col min="15623" max="15623" width="11.625" style="14" customWidth="1"/>
    <col min="15624" max="15872" width="9" style="14"/>
    <col min="15873" max="15873" width="16.375" style="14" customWidth="1"/>
    <col min="15874" max="15878" width="12.625" style="14" customWidth="1"/>
    <col min="15879" max="15879" width="11.625" style="14" customWidth="1"/>
    <col min="15880" max="16128" width="9" style="14"/>
    <col min="16129" max="16129" width="16.375" style="14" customWidth="1"/>
    <col min="16130" max="16134" width="12.625" style="14" customWidth="1"/>
    <col min="16135" max="16135" width="11.625" style="14" customWidth="1"/>
    <col min="16136" max="16384" width="9" style="14"/>
  </cols>
  <sheetData>
    <row r="1" spans="1:27" ht="30" customHeight="1">
      <c r="A1" s="1959" t="s">
        <v>3247</v>
      </c>
      <c r="B1" s="1959"/>
      <c r="C1" s="1959"/>
      <c r="D1" s="1959"/>
      <c r="E1" s="1959"/>
      <c r="F1" s="1959"/>
      <c r="G1" s="1959"/>
      <c r="H1" s="1959"/>
    </row>
    <row r="2" spans="1:27" ht="11.25" customHeight="1">
      <c r="A2" s="314"/>
      <c r="B2" s="314"/>
      <c r="C2" s="314"/>
      <c r="D2" s="314"/>
      <c r="E2" s="314"/>
      <c r="F2" s="314"/>
      <c r="G2" s="314"/>
    </row>
    <row r="3" spans="1:27" ht="20.25" customHeight="1">
      <c r="A3" s="315" t="str">
        <f>표지!A13</f>
        <v>공사명 : 동해안#1 변환소 전력통신설비 시설공사</v>
      </c>
      <c r="B3" s="15"/>
      <c r="C3" s="15"/>
      <c r="D3" s="15"/>
      <c r="E3" s="15"/>
      <c r="F3" s="15"/>
      <c r="G3" s="15"/>
    </row>
    <row r="4" spans="1:27" s="17" customFormat="1" ht="17.100000000000001" customHeight="1">
      <c r="A4" s="1957" t="s">
        <v>2357</v>
      </c>
      <c r="B4" s="1960"/>
      <c r="C4" s="1960"/>
      <c r="D4" s="1960"/>
      <c r="E4" s="1961"/>
      <c r="F4" s="1955" t="s">
        <v>3248</v>
      </c>
      <c r="G4" s="1957" t="s">
        <v>19</v>
      </c>
      <c r="H4" s="16"/>
      <c r="I4" s="16"/>
      <c r="J4" s="16"/>
      <c r="K4" s="16"/>
      <c r="L4" s="16"/>
      <c r="M4" s="16"/>
      <c r="N4" s="16"/>
      <c r="O4" s="16"/>
      <c r="P4" s="16"/>
      <c r="Q4" s="16"/>
      <c r="R4" s="16"/>
      <c r="S4" s="16"/>
      <c r="T4" s="16"/>
      <c r="U4" s="16"/>
      <c r="V4" s="16"/>
      <c r="W4" s="16"/>
      <c r="X4" s="16"/>
      <c r="Y4" s="16"/>
      <c r="Z4" s="16"/>
      <c r="AA4" s="16"/>
    </row>
    <row r="5" spans="1:27" s="17" customFormat="1" ht="39.950000000000003" customHeight="1" thickBot="1">
      <c r="A5" s="1958"/>
      <c r="B5" s="346" t="s">
        <v>2630</v>
      </c>
      <c r="C5" s="346" t="s">
        <v>2631</v>
      </c>
      <c r="D5" s="346" t="s">
        <v>3249</v>
      </c>
      <c r="E5" s="621" t="s">
        <v>887</v>
      </c>
      <c r="F5" s="1956"/>
      <c r="G5" s="1958"/>
      <c r="H5" s="16"/>
      <c r="I5" s="16"/>
      <c r="J5" s="2397">
        <v>0.87746999999999997</v>
      </c>
      <c r="K5" s="16"/>
      <c r="L5" s="16"/>
      <c r="M5" s="16"/>
      <c r="N5" s="16"/>
      <c r="O5" s="16"/>
      <c r="P5" s="16"/>
      <c r="Q5" s="16"/>
      <c r="R5" s="16"/>
      <c r="S5" s="16"/>
      <c r="T5" s="16"/>
      <c r="U5" s="16"/>
      <c r="V5" s="16"/>
      <c r="W5" s="16"/>
      <c r="X5" s="16"/>
      <c r="Y5" s="16"/>
      <c r="Z5" s="16"/>
      <c r="AA5" s="16"/>
    </row>
    <row r="6" spans="1:27" s="16" customFormat="1" ht="18" customHeight="1" thickTop="1">
      <c r="A6" s="1189" t="s">
        <v>1543</v>
      </c>
      <c r="B6" s="1190"/>
      <c r="C6" s="1190"/>
      <c r="D6" s="1190"/>
      <c r="E6" s="1190"/>
      <c r="F6" s="1191"/>
      <c r="G6" s="1192"/>
    </row>
    <row r="7" spans="1:27" s="16" customFormat="1" ht="18" customHeight="1">
      <c r="A7" s="622" t="s">
        <v>4</v>
      </c>
      <c r="B7" s="398">
        <v>167081</v>
      </c>
      <c r="C7" s="398">
        <v>169804</v>
      </c>
      <c r="D7" s="398">
        <v>171037</v>
      </c>
      <c r="E7" s="623">
        <f>ROUND((D7-C7)/C7, 4)</f>
        <v>7.3000000000000001E-3</v>
      </c>
      <c r="F7" s="624">
        <f>I7*$J$5</f>
        <v>150079.83638999998</v>
      </c>
      <c r="G7" s="1193"/>
      <c r="I7" s="16">
        <v>171037</v>
      </c>
    </row>
    <row r="8" spans="1:27" s="16" customFormat="1" ht="18" customHeight="1">
      <c r="A8" s="622" t="s">
        <v>16</v>
      </c>
      <c r="B8" s="398">
        <v>219321</v>
      </c>
      <c r="C8" s="398">
        <v>221506</v>
      </c>
      <c r="D8" s="398">
        <v>224490</v>
      </c>
      <c r="E8" s="623">
        <f t="shared" ref="E8:E34" si="0">ROUND((D8-C8)/C8, 4)</f>
        <v>1.35E-2</v>
      </c>
      <c r="F8" s="624">
        <f t="shared" ref="F8:F45" si="1">I8*$J$5</f>
        <v>196983.2403</v>
      </c>
      <c r="G8" s="1193"/>
      <c r="I8" s="16">
        <v>224490</v>
      </c>
    </row>
    <row r="9" spans="1:27" s="16" customFormat="1" ht="18" customHeight="1">
      <c r="A9" s="622" t="s">
        <v>20</v>
      </c>
      <c r="B9" s="398">
        <v>282352</v>
      </c>
      <c r="C9" s="398">
        <v>279433</v>
      </c>
      <c r="D9" s="398">
        <v>279613</v>
      </c>
      <c r="E9" s="623">
        <f t="shared" si="0"/>
        <v>5.9999999999999995E-4</v>
      </c>
      <c r="F9" s="624">
        <f t="shared" si="1"/>
        <v>245352.01910999999</v>
      </c>
      <c r="G9" s="1193"/>
      <c r="I9" s="16">
        <v>279613</v>
      </c>
    </row>
    <row r="10" spans="1:27" s="16" customFormat="1" ht="18" customHeight="1">
      <c r="A10" s="622" t="s">
        <v>810</v>
      </c>
      <c r="B10" s="398">
        <v>264080</v>
      </c>
      <c r="C10" s="398">
        <v>266361</v>
      </c>
      <c r="D10" s="398">
        <v>271064</v>
      </c>
      <c r="E10" s="623">
        <f t="shared" si="0"/>
        <v>1.77E-2</v>
      </c>
      <c r="F10" s="624">
        <f t="shared" si="1"/>
        <v>237850.52807999999</v>
      </c>
      <c r="G10" s="1193"/>
      <c r="I10" s="16">
        <v>271064</v>
      </c>
    </row>
    <row r="11" spans="1:27" s="16" customFormat="1" ht="18" customHeight="1">
      <c r="A11" s="622" t="s">
        <v>571</v>
      </c>
      <c r="B11" s="398">
        <v>212500</v>
      </c>
      <c r="C11" s="398">
        <v>220081</v>
      </c>
      <c r="D11" s="398">
        <v>220354</v>
      </c>
      <c r="E11" s="623">
        <f t="shared" si="0"/>
        <v>1.1999999999999999E-3</v>
      </c>
      <c r="F11" s="624">
        <f t="shared" si="1"/>
        <v>193354.02437999999</v>
      </c>
      <c r="G11" s="1193"/>
      <c r="I11" s="16">
        <v>220354</v>
      </c>
    </row>
    <row r="12" spans="1:27" s="16" customFormat="1" ht="18" customHeight="1">
      <c r="A12" s="622" t="s">
        <v>1385</v>
      </c>
      <c r="B12" s="398">
        <v>219996</v>
      </c>
      <c r="C12" s="398">
        <v>220722</v>
      </c>
      <c r="D12" s="398">
        <v>226204</v>
      </c>
      <c r="E12" s="623">
        <f t="shared" si="0"/>
        <v>2.4799999999999999E-2</v>
      </c>
      <c r="F12" s="624">
        <f t="shared" si="1"/>
        <v>198487.22388000001</v>
      </c>
      <c r="G12" s="1193"/>
      <c r="I12" s="16">
        <v>226204</v>
      </c>
    </row>
    <row r="13" spans="1:27" s="16" customFormat="1" ht="18" customHeight="1">
      <c r="A13" s="622" t="s">
        <v>207</v>
      </c>
      <c r="B13" s="398">
        <v>274502</v>
      </c>
      <c r="C13" s="398">
        <v>272354</v>
      </c>
      <c r="D13" s="398">
        <v>278998</v>
      </c>
      <c r="E13" s="623">
        <f t="shared" si="0"/>
        <v>2.4400000000000002E-2</v>
      </c>
      <c r="F13" s="624">
        <f t="shared" si="1"/>
        <v>244812.37505999999</v>
      </c>
      <c r="G13" s="1193"/>
      <c r="I13" s="16">
        <v>278998</v>
      </c>
    </row>
    <row r="14" spans="1:27" s="16" customFormat="1" ht="18" customHeight="1">
      <c r="A14" s="622" t="s">
        <v>1386</v>
      </c>
      <c r="B14" s="398">
        <v>245524</v>
      </c>
      <c r="C14" s="398">
        <v>252249</v>
      </c>
      <c r="D14" s="398">
        <v>255231</v>
      </c>
      <c r="E14" s="623">
        <f t="shared" si="0"/>
        <v>1.18E-2</v>
      </c>
      <c r="F14" s="624">
        <f t="shared" si="1"/>
        <v>223957.54556999999</v>
      </c>
      <c r="G14" s="1193"/>
      <c r="I14" s="16">
        <v>255231</v>
      </c>
    </row>
    <row r="15" spans="1:27" s="16" customFormat="1" ht="18" customHeight="1">
      <c r="A15" s="622" t="s">
        <v>21</v>
      </c>
      <c r="B15" s="398">
        <v>229664</v>
      </c>
      <c r="C15" s="398">
        <v>238145</v>
      </c>
      <c r="D15" s="398">
        <v>239439</v>
      </c>
      <c r="E15" s="623">
        <f t="shared" si="0"/>
        <v>5.4000000000000003E-3</v>
      </c>
      <c r="F15" s="624">
        <f t="shared" si="1"/>
        <v>210100.53933</v>
      </c>
      <c r="G15" s="1193"/>
      <c r="I15" s="16">
        <v>239439</v>
      </c>
    </row>
    <row r="16" spans="1:27" s="16" customFormat="1" ht="18" customHeight="1">
      <c r="A16" s="622" t="s">
        <v>1384</v>
      </c>
      <c r="B16" s="398">
        <v>233960</v>
      </c>
      <c r="C16" s="398">
        <v>237500</v>
      </c>
      <c r="D16" s="398">
        <v>240685</v>
      </c>
      <c r="E16" s="623">
        <f t="shared" si="0"/>
        <v>1.34E-2</v>
      </c>
      <c r="F16" s="624">
        <f t="shared" si="1"/>
        <v>211193.86695</v>
      </c>
      <c r="G16" s="1193"/>
      <c r="I16" s="16">
        <v>240685</v>
      </c>
    </row>
    <row r="17" spans="1:9" s="16" customFormat="1" ht="18" customHeight="1">
      <c r="A17" s="622" t="s">
        <v>206</v>
      </c>
      <c r="B17" s="398">
        <v>242281</v>
      </c>
      <c r="C17" s="398">
        <v>237652</v>
      </c>
      <c r="D17" s="398">
        <v>241550</v>
      </c>
      <c r="E17" s="623">
        <f t="shared" si="0"/>
        <v>1.6400000000000001E-2</v>
      </c>
      <c r="F17" s="624">
        <f t="shared" si="1"/>
        <v>211952.87849999999</v>
      </c>
      <c r="G17" s="1193" t="s">
        <v>570</v>
      </c>
      <c r="I17" s="16">
        <v>241550</v>
      </c>
    </row>
    <row r="18" spans="1:9" s="16" customFormat="1" ht="18" customHeight="1">
      <c r="A18" s="622" t="s">
        <v>1387</v>
      </c>
      <c r="B18" s="398">
        <v>238910</v>
      </c>
      <c r="C18" s="398">
        <v>236640</v>
      </c>
      <c r="D18" s="398">
        <v>238846</v>
      </c>
      <c r="E18" s="623">
        <f t="shared" si="0"/>
        <v>9.2999999999999992E-3</v>
      </c>
      <c r="F18" s="624">
        <f t="shared" si="1"/>
        <v>209580.19962</v>
      </c>
      <c r="G18" s="1193"/>
      <c r="I18" s="16">
        <v>238846</v>
      </c>
    </row>
    <row r="19" spans="1:9" s="16" customFormat="1" ht="18" customHeight="1">
      <c r="A19" s="622" t="s">
        <v>33</v>
      </c>
      <c r="B19" s="398">
        <v>256260</v>
      </c>
      <c r="C19" s="398">
        <v>263991</v>
      </c>
      <c r="D19" s="398">
        <v>274286</v>
      </c>
      <c r="E19" s="623">
        <f t="shared" si="0"/>
        <v>3.9E-2</v>
      </c>
      <c r="F19" s="624">
        <f t="shared" si="1"/>
        <v>240677.73642</v>
      </c>
      <c r="G19" s="1193"/>
      <c r="I19" s="16">
        <v>274286</v>
      </c>
    </row>
    <row r="20" spans="1:9" s="16" customFormat="1" ht="18" customHeight="1">
      <c r="A20" s="622" t="s">
        <v>34</v>
      </c>
      <c r="B20" s="398">
        <v>234723</v>
      </c>
      <c r="C20" s="398">
        <v>236718</v>
      </c>
      <c r="D20" s="398">
        <v>242724</v>
      </c>
      <c r="E20" s="623">
        <f t="shared" si="0"/>
        <v>2.5399999999999999E-2</v>
      </c>
      <c r="F20" s="624">
        <f t="shared" si="1"/>
        <v>212983.02828</v>
      </c>
      <c r="G20" s="1193"/>
      <c r="I20" s="16">
        <v>242724</v>
      </c>
    </row>
    <row r="21" spans="1:9" s="16" customFormat="1" ht="18" customHeight="1">
      <c r="A21" s="622" t="s">
        <v>35</v>
      </c>
      <c r="B21" s="398">
        <v>185830</v>
      </c>
      <c r="C21" s="398">
        <v>181822</v>
      </c>
      <c r="D21" s="398">
        <v>180875</v>
      </c>
      <c r="E21" s="623">
        <f t="shared" si="0"/>
        <v>-5.1999999999999998E-3</v>
      </c>
      <c r="F21" s="624">
        <f t="shared" si="1"/>
        <v>158712.38624999998</v>
      </c>
      <c r="G21" s="1193"/>
      <c r="I21" s="16">
        <v>180875</v>
      </c>
    </row>
    <row r="22" spans="1:9" s="16" customFormat="1" ht="18" customHeight="1">
      <c r="A22" s="622" t="s">
        <v>25</v>
      </c>
      <c r="B22" s="398">
        <v>272860</v>
      </c>
      <c r="C22" s="398">
        <v>268915</v>
      </c>
      <c r="D22" s="398">
        <v>273539</v>
      </c>
      <c r="E22" s="623">
        <f t="shared" si="0"/>
        <v>1.72E-2</v>
      </c>
      <c r="F22" s="624">
        <f t="shared" si="1"/>
        <v>240022.26632999998</v>
      </c>
      <c r="G22" s="1193"/>
      <c r="I22" s="16">
        <v>273539</v>
      </c>
    </row>
    <row r="23" spans="1:9" s="16" customFormat="1" ht="18" customHeight="1">
      <c r="A23" s="622" t="s">
        <v>811</v>
      </c>
      <c r="B23" s="398">
        <v>414989</v>
      </c>
      <c r="C23" s="398">
        <v>436458</v>
      </c>
      <c r="D23" s="398">
        <v>439248</v>
      </c>
      <c r="E23" s="623">
        <f t="shared" si="0"/>
        <v>6.4000000000000003E-3</v>
      </c>
      <c r="F23" s="624">
        <f t="shared" si="1"/>
        <v>385426.94256</v>
      </c>
      <c r="G23" s="1193"/>
      <c r="I23" s="16">
        <v>439248</v>
      </c>
    </row>
    <row r="24" spans="1:9" s="16" customFormat="1" ht="18" customHeight="1">
      <c r="A24" s="622" t="s">
        <v>26</v>
      </c>
      <c r="B24" s="398">
        <v>354400</v>
      </c>
      <c r="C24" s="398">
        <v>370529</v>
      </c>
      <c r="D24" s="398">
        <v>372997</v>
      </c>
      <c r="E24" s="623">
        <f t="shared" si="0"/>
        <v>6.7000000000000002E-3</v>
      </c>
      <c r="F24" s="624">
        <f t="shared" si="1"/>
        <v>327293.67758999998</v>
      </c>
      <c r="G24" s="1193"/>
      <c r="I24" s="16">
        <v>372997</v>
      </c>
    </row>
    <row r="25" spans="1:9" s="16" customFormat="1" ht="18" customHeight="1">
      <c r="A25" s="622" t="s">
        <v>27</v>
      </c>
      <c r="B25" s="398">
        <v>301374</v>
      </c>
      <c r="C25" s="398">
        <v>300337</v>
      </c>
      <c r="D25" s="398">
        <v>303632</v>
      </c>
      <c r="E25" s="623">
        <f t="shared" si="0"/>
        <v>1.0999999999999999E-2</v>
      </c>
      <c r="F25" s="624">
        <f t="shared" si="1"/>
        <v>266427.97103999997</v>
      </c>
      <c r="G25" s="1193"/>
      <c r="I25" s="16">
        <v>303632</v>
      </c>
    </row>
    <row r="26" spans="1:9" s="16" customFormat="1" ht="18" customHeight="1">
      <c r="A26" s="622" t="s">
        <v>22</v>
      </c>
      <c r="B26" s="398">
        <v>621630</v>
      </c>
      <c r="C26" s="398">
        <v>627960</v>
      </c>
      <c r="D26" s="398">
        <v>637453</v>
      </c>
      <c r="E26" s="623">
        <f t="shared" si="0"/>
        <v>1.5100000000000001E-2</v>
      </c>
      <c r="F26" s="624">
        <f t="shared" si="1"/>
        <v>559345.88390999998</v>
      </c>
      <c r="G26" s="1193"/>
      <c r="I26" s="16">
        <v>637453</v>
      </c>
    </row>
    <row r="27" spans="1:9" s="16" customFormat="1" ht="18" customHeight="1">
      <c r="A27" s="622" t="s">
        <v>23</v>
      </c>
      <c r="B27" s="398">
        <v>402995</v>
      </c>
      <c r="C27" s="398">
        <v>408559</v>
      </c>
      <c r="D27" s="398">
        <v>413173</v>
      </c>
      <c r="E27" s="623">
        <f t="shared" si="0"/>
        <v>1.1299999999999999E-2</v>
      </c>
      <c r="F27" s="624">
        <f t="shared" si="1"/>
        <v>362546.91230999999</v>
      </c>
      <c r="G27" s="1193"/>
      <c r="I27" s="16">
        <v>413173</v>
      </c>
    </row>
    <row r="28" spans="1:9" s="16" customFormat="1" ht="18" customHeight="1">
      <c r="A28" s="622" t="s">
        <v>24</v>
      </c>
      <c r="B28" s="398">
        <v>262536</v>
      </c>
      <c r="C28" s="398">
        <v>266062</v>
      </c>
      <c r="D28" s="398">
        <v>271800</v>
      </c>
      <c r="E28" s="623">
        <f t="shared" si="0"/>
        <v>2.1600000000000001E-2</v>
      </c>
      <c r="F28" s="624">
        <f t="shared" si="1"/>
        <v>238496.34599999999</v>
      </c>
      <c r="G28" s="1193"/>
      <c r="I28" s="16">
        <v>271800</v>
      </c>
    </row>
    <row r="29" spans="1:9" s="16" customFormat="1" ht="18" customHeight="1">
      <c r="A29" s="622" t="s">
        <v>28</v>
      </c>
      <c r="B29" s="398">
        <v>310890</v>
      </c>
      <c r="C29" s="398">
        <v>315484</v>
      </c>
      <c r="D29" s="398">
        <v>318902</v>
      </c>
      <c r="E29" s="623">
        <f t="shared" si="0"/>
        <v>1.0800000000000001E-2</v>
      </c>
      <c r="F29" s="624">
        <f t="shared" si="1"/>
        <v>279826.93793999997</v>
      </c>
      <c r="G29" s="1193"/>
      <c r="I29" s="16">
        <v>318902</v>
      </c>
    </row>
    <row r="30" spans="1:9" s="16" customFormat="1" ht="18" customHeight="1">
      <c r="A30" s="622" t="s">
        <v>30</v>
      </c>
      <c r="B30" s="398">
        <v>275107</v>
      </c>
      <c r="C30" s="398">
        <v>278565</v>
      </c>
      <c r="D30" s="398">
        <v>283607</v>
      </c>
      <c r="E30" s="623">
        <f t="shared" si="0"/>
        <v>1.8100000000000002E-2</v>
      </c>
      <c r="F30" s="624">
        <f t="shared" si="1"/>
        <v>248856.63428999999</v>
      </c>
      <c r="G30" s="1193"/>
      <c r="I30" s="16">
        <v>283607</v>
      </c>
    </row>
    <row r="31" spans="1:9" s="16" customFormat="1" ht="18" customHeight="1">
      <c r="A31" s="622" t="s">
        <v>3</v>
      </c>
      <c r="B31" s="398">
        <v>305050</v>
      </c>
      <c r="C31" s="398">
        <v>308930</v>
      </c>
      <c r="D31" s="398">
        <v>314787</v>
      </c>
      <c r="E31" s="623">
        <f t="shared" si="0"/>
        <v>1.9E-2</v>
      </c>
      <c r="F31" s="624">
        <f t="shared" si="1"/>
        <v>276216.14889000001</v>
      </c>
      <c r="G31" s="1193"/>
      <c r="I31" s="16">
        <v>314787</v>
      </c>
    </row>
    <row r="32" spans="1:9" s="16" customFormat="1" ht="18" customHeight="1">
      <c r="A32" s="622" t="s">
        <v>29</v>
      </c>
      <c r="B32" s="398">
        <v>397952</v>
      </c>
      <c r="C32" s="398">
        <v>405235</v>
      </c>
      <c r="D32" s="398">
        <v>407342</v>
      </c>
      <c r="E32" s="623">
        <f t="shared" si="0"/>
        <v>5.1999999999999998E-3</v>
      </c>
      <c r="F32" s="624">
        <f t="shared" si="1"/>
        <v>357430.38474000001</v>
      </c>
      <c r="G32" s="1193"/>
      <c r="I32" s="16">
        <v>407342</v>
      </c>
    </row>
    <row r="33" spans="1:11" s="16" customFormat="1" ht="18" customHeight="1">
      <c r="A33" s="622" t="s">
        <v>31</v>
      </c>
      <c r="B33" s="398">
        <v>423830</v>
      </c>
      <c r="C33" s="398">
        <v>433400</v>
      </c>
      <c r="D33" s="398">
        <v>440868</v>
      </c>
      <c r="E33" s="623">
        <f t="shared" si="0"/>
        <v>1.72E-2</v>
      </c>
      <c r="F33" s="624">
        <f t="shared" si="1"/>
        <v>386848.44396</v>
      </c>
      <c r="G33" s="1193"/>
      <c r="I33" s="16">
        <v>440868</v>
      </c>
    </row>
    <row r="34" spans="1:11" s="16" customFormat="1" ht="18" customHeight="1">
      <c r="A34" s="622" t="s">
        <v>32</v>
      </c>
      <c r="B34" s="398">
        <v>347927</v>
      </c>
      <c r="C34" s="398">
        <v>350908</v>
      </c>
      <c r="D34" s="398">
        <v>354977</v>
      </c>
      <c r="E34" s="623">
        <f t="shared" si="0"/>
        <v>1.1599999999999999E-2</v>
      </c>
      <c r="F34" s="624">
        <f t="shared" si="1"/>
        <v>311481.66819</v>
      </c>
      <c r="G34" s="1193"/>
      <c r="I34" s="16">
        <v>354977</v>
      </c>
    </row>
    <row r="35" spans="1:11" s="16" customFormat="1" ht="18" customHeight="1">
      <c r="A35" s="625" t="s">
        <v>36</v>
      </c>
      <c r="B35" s="626"/>
      <c r="C35" s="626"/>
      <c r="D35" s="626"/>
      <c r="E35" s="623">
        <f>AVERAGE(E7:E34)</f>
        <v>1.3435714285714285E-2</v>
      </c>
      <c r="F35" s="624">
        <f t="shared" si="1"/>
        <v>0</v>
      </c>
      <c r="G35" s="1194"/>
    </row>
    <row r="36" spans="1:11" s="16" customFormat="1" ht="18" customHeight="1">
      <c r="A36" s="627" t="s">
        <v>572</v>
      </c>
      <c r="B36" s="626"/>
      <c r="C36" s="626"/>
      <c r="D36" s="626"/>
      <c r="E36" s="399"/>
      <c r="F36" s="624">
        <f t="shared" si="1"/>
        <v>0</v>
      </c>
      <c r="G36" s="1193"/>
    </row>
    <row r="37" spans="1:11" s="16" customFormat="1" ht="18" customHeight="1">
      <c r="A37" s="622" t="s">
        <v>9</v>
      </c>
      <c r="B37" s="398">
        <v>455593</v>
      </c>
      <c r="C37" s="398">
        <v>460429</v>
      </c>
      <c r="D37" s="398">
        <v>467653</v>
      </c>
      <c r="E37" s="623">
        <f t="shared" ref="E37:E39" si="2">ROUND((D37-C37)/C37, 4)</f>
        <v>1.5699999999999999E-2</v>
      </c>
      <c r="F37" s="624">
        <f t="shared" si="1"/>
        <v>410351.47791000002</v>
      </c>
      <c r="G37" s="1193"/>
      <c r="I37" s="16">
        <v>467653</v>
      </c>
    </row>
    <row r="38" spans="1:11" s="16" customFormat="1" ht="18" customHeight="1">
      <c r="A38" s="622" t="s">
        <v>208</v>
      </c>
      <c r="B38" s="398">
        <v>381052</v>
      </c>
      <c r="C38" s="398">
        <v>384609</v>
      </c>
      <c r="D38" s="398">
        <v>390048</v>
      </c>
      <c r="E38" s="623">
        <f t="shared" si="2"/>
        <v>1.41E-2</v>
      </c>
      <c r="F38" s="624">
        <f t="shared" si="1"/>
        <v>342255.41855999996</v>
      </c>
      <c r="G38" s="1193"/>
      <c r="I38" s="16">
        <v>390048</v>
      </c>
    </row>
    <row r="39" spans="1:11" s="16" customFormat="1" ht="18" customHeight="1">
      <c r="A39" s="622" t="s">
        <v>209</v>
      </c>
      <c r="B39" s="398">
        <v>444532</v>
      </c>
      <c r="C39" s="398">
        <v>445000</v>
      </c>
      <c r="D39" s="398">
        <v>446000</v>
      </c>
      <c r="E39" s="623">
        <f t="shared" si="2"/>
        <v>2.2000000000000001E-3</v>
      </c>
      <c r="F39" s="624">
        <f t="shared" si="1"/>
        <v>391351.62</v>
      </c>
      <c r="G39" s="1193"/>
      <c r="I39" s="16">
        <v>446000</v>
      </c>
    </row>
    <row r="40" spans="1:11" s="16" customFormat="1" ht="18" customHeight="1">
      <c r="A40" s="625" t="s">
        <v>36</v>
      </c>
      <c r="B40" s="398"/>
      <c r="C40" s="398"/>
      <c r="D40" s="398"/>
      <c r="E40" s="623">
        <f>AVERAGE(E37:E39)</f>
        <v>1.0666666666666666E-2</v>
      </c>
      <c r="F40" s="624">
        <f t="shared" si="1"/>
        <v>0</v>
      </c>
      <c r="G40" s="1193"/>
    </row>
    <row r="41" spans="1:11" s="16" customFormat="1" ht="18" customHeight="1">
      <c r="A41" s="627" t="s">
        <v>573</v>
      </c>
      <c r="B41" s="398"/>
      <c r="C41" s="398"/>
      <c r="D41" s="398"/>
      <c r="E41" s="628"/>
      <c r="F41" s="624">
        <f t="shared" si="1"/>
        <v>0</v>
      </c>
      <c r="G41" s="1193"/>
    </row>
    <row r="42" spans="1:11" s="16" customFormat="1" ht="18" customHeight="1">
      <c r="A42" s="622" t="s">
        <v>210</v>
      </c>
      <c r="B42" s="398">
        <v>315804</v>
      </c>
      <c r="C42" s="398">
        <v>316183</v>
      </c>
      <c r="D42" s="398">
        <v>318479</v>
      </c>
      <c r="E42" s="623">
        <f t="shared" ref="E42:E45" si="3">ROUND((D42-C42)/C42, 4)</f>
        <v>7.3000000000000001E-3</v>
      </c>
      <c r="F42" s="624">
        <f t="shared" si="1"/>
        <v>279455.76812999998</v>
      </c>
      <c r="G42" s="1193"/>
      <c r="I42" s="16">
        <v>318479</v>
      </c>
    </row>
    <row r="43" spans="1:11" s="16" customFormat="1" ht="18" customHeight="1">
      <c r="A43" s="622" t="s">
        <v>17</v>
      </c>
      <c r="B43" s="398">
        <v>296036</v>
      </c>
      <c r="C43" s="398">
        <v>297137</v>
      </c>
      <c r="D43" s="398">
        <v>303262</v>
      </c>
      <c r="E43" s="623">
        <f t="shared" si="3"/>
        <v>2.06E-2</v>
      </c>
      <c r="F43" s="624">
        <f t="shared" si="1"/>
        <v>266103.30713999999</v>
      </c>
      <c r="G43" s="1193"/>
      <c r="I43" s="16">
        <v>303262</v>
      </c>
    </row>
    <row r="44" spans="1:11" s="16" customFormat="1" ht="18" customHeight="1">
      <c r="A44" s="622" t="s">
        <v>211</v>
      </c>
      <c r="B44" s="398">
        <v>243776</v>
      </c>
      <c r="C44" s="398">
        <v>244717</v>
      </c>
      <c r="D44" s="398">
        <v>249360</v>
      </c>
      <c r="E44" s="623">
        <f t="shared" si="3"/>
        <v>1.9E-2</v>
      </c>
      <c r="F44" s="624">
        <f t="shared" si="1"/>
        <v>218805.9192</v>
      </c>
      <c r="G44" s="1193"/>
      <c r="I44" s="16">
        <v>249360</v>
      </c>
    </row>
    <row r="45" spans="1:11" s="16" customFormat="1" ht="18" customHeight="1">
      <c r="A45" s="622" t="s">
        <v>37</v>
      </c>
      <c r="B45" s="398">
        <v>322514</v>
      </c>
      <c r="C45" s="398">
        <v>327381</v>
      </c>
      <c r="D45" s="398">
        <v>333866</v>
      </c>
      <c r="E45" s="623">
        <f t="shared" si="3"/>
        <v>1.9800000000000002E-2</v>
      </c>
      <c r="F45" s="624">
        <f t="shared" si="1"/>
        <v>292957.39902000001</v>
      </c>
      <c r="G45" s="1193"/>
      <c r="I45" s="16">
        <v>333866</v>
      </c>
    </row>
    <row r="46" spans="1:11" s="16" customFormat="1" ht="18" customHeight="1">
      <c r="A46" s="625" t="s">
        <v>36</v>
      </c>
      <c r="B46" s="626"/>
      <c r="C46" s="626"/>
      <c r="D46" s="626"/>
      <c r="E46" s="623">
        <f>AVERAGE(E42:E45)</f>
        <v>1.6674999999999999E-2</v>
      </c>
      <c r="F46" s="624"/>
      <c r="G46" s="1193"/>
    </row>
    <row r="47" spans="1:11" ht="17.100000000000001" customHeight="1">
      <c r="A47" s="1195"/>
      <c r="B47" s="1196"/>
      <c r="C47" s="1196"/>
      <c r="D47" s="1196"/>
      <c r="E47" s="1197"/>
      <c r="F47" s="1198"/>
      <c r="G47" s="1199"/>
      <c r="K47" s="16"/>
    </row>
    <row r="49" spans="6:6">
      <c r="F49" s="629">
        <f>SUM(F7:F48)</f>
        <v>9587578.5558299981</v>
      </c>
    </row>
  </sheetData>
  <mergeCells count="5">
    <mergeCell ref="F4:F5"/>
    <mergeCell ref="A4:A5"/>
    <mergeCell ref="G4:G5"/>
    <mergeCell ref="A1:H1"/>
    <mergeCell ref="B4:E4"/>
  </mergeCells>
  <phoneticPr fontId="21" type="noConversion"/>
  <printOptions horizontalCentered="1"/>
  <pageMargins left="0.39370078740157483" right="0.39370078740157483" top="0.59055118110236227" bottom="0.31496062992125984" header="0.31496062992125984" footer="0.19685039370078741"/>
  <pageSetup paperSize="9" scale="88"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7"/>
  <dimension ref="A1:R334"/>
  <sheetViews>
    <sheetView view="pageBreakPreview" zoomScale="70" zoomScaleNormal="100" zoomScaleSheetLayoutView="70" workbookViewId="0">
      <pane ySplit="6" topLeftCell="A7" activePane="bottomLeft" state="frozen"/>
      <selection activeCell="K18" sqref="K18"/>
      <selection pane="bottomLeft" activeCell="R3" sqref="R3"/>
    </sheetView>
  </sheetViews>
  <sheetFormatPr defaultRowHeight="13.5"/>
  <cols>
    <col min="1" max="1" width="9" style="149" customWidth="1"/>
    <col min="2" max="2" width="20.75" style="148" bestFit="1" customWidth="1"/>
    <col min="3" max="3" width="60.5" style="148" bestFit="1" customWidth="1"/>
    <col min="4" max="4" width="5.875" style="149" bestFit="1" customWidth="1"/>
    <col min="5" max="5" width="10.875" style="149" bestFit="1" customWidth="1"/>
    <col min="6" max="6" width="10.5" style="149" customWidth="1"/>
    <col min="7" max="7" width="9.625" style="148" customWidth="1"/>
    <col min="8" max="8" width="8.5" style="149" customWidth="1"/>
    <col min="9" max="9" width="9.625" style="148" customWidth="1"/>
    <col min="10" max="10" width="8.5" style="148" customWidth="1"/>
    <col min="11" max="11" width="11" style="796" bestFit="1" customWidth="1"/>
    <col min="12" max="12" width="10.875" style="796" customWidth="1"/>
    <col min="13" max="13" width="11" style="796" bestFit="1" customWidth="1"/>
    <col min="14" max="14" width="11.625" style="148" customWidth="1"/>
    <col min="15" max="16" width="13.75" style="148" customWidth="1"/>
    <col min="17" max="17" width="13" style="148" customWidth="1"/>
    <col min="18" max="18" width="14.25" style="148" bestFit="1" customWidth="1"/>
    <col min="19" max="260" width="9" style="148"/>
    <col min="261" max="261" width="9" style="148" bestFit="1" customWidth="1"/>
    <col min="262" max="262" width="21.125" style="148" customWidth="1"/>
    <col min="263" max="263" width="25" style="148" customWidth="1"/>
    <col min="264" max="264" width="4.75" style="148" bestFit="1" customWidth="1"/>
    <col min="265" max="265" width="10.5" style="148" customWidth="1"/>
    <col min="266" max="266" width="6.375" style="148" bestFit="1" customWidth="1"/>
    <col min="267" max="267" width="10.5" style="148" customWidth="1"/>
    <col min="268" max="268" width="6.375" style="148" bestFit="1" customWidth="1"/>
    <col min="269" max="269" width="13" style="148" customWidth="1"/>
    <col min="270" max="516" width="9" style="148"/>
    <col min="517" max="517" width="9" style="148" bestFit="1" customWidth="1"/>
    <col min="518" max="518" width="21.125" style="148" customWidth="1"/>
    <col min="519" max="519" width="25" style="148" customWidth="1"/>
    <col min="520" max="520" width="4.75" style="148" bestFit="1" customWidth="1"/>
    <col min="521" max="521" width="10.5" style="148" customWidth="1"/>
    <col min="522" max="522" width="6.375" style="148" bestFit="1" customWidth="1"/>
    <col min="523" max="523" width="10.5" style="148" customWidth="1"/>
    <col min="524" max="524" width="6.375" style="148" bestFit="1" customWidth="1"/>
    <col min="525" max="525" width="13" style="148" customWidth="1"/>
    <col min="526" max="772" width="9" style="148"/>
    <col min="773" max="773" width="9" style="148" bestFit="1" customWidth="1"/>
    <col min="774" max="774" width="21.125" style="148" customWidth="1"/>
    <col min="775" max="775" width="25" style="148" customWidth="1"/>
    <col min="776" max="776" width="4.75" style="148" bestFit="1" customWidth="1"/>
    <col min="777" max="777" width="10.5" style="148" customWidth="1"/>
    <col min="778" max="778" width="6.375" style="148" bestFit="1" customWidth="1"/>
    <col min="779" max="779" width="10.5" style="148" customWidth="1"/>
    <col min="780" max="780" width="6.375" style="148" bestFit="1" customWidth="1"/>
    <col min="781" max="781" width="13" style="148" customWidth="1"/>
    <col min="782" max="1028" width="9" style="148"/>
    <col min="1029" max="1029" width="9" style="148" bestFit="1" customWidth="1"/>
    <col min="1030" max="1030" width="21.125" style="148" customWidth="1"/>
    <col min="1031" max="1031" width="25" style="148" customWidth="1"/>
    <col min="1032" max="1032" width="4.75" style="148" bestFit="1" customWidth="1"/>
    <col min="1033" max="1033" width="10.5" style="148" customWidth="1"/>
    <col min="1034" max="1034" width="6.375" style="148" bestFit="1" customWidth="1"/>
    <col min="1035" max="1035" width="10.5" style="148" customWidth="1"/>
    <col min="1036" max="1036" width="6.375" style="148" bestFit="1" customWidth="1"/>
    <col min="1037" max="1037" width="13" style="148" customWidth="1"/>
    <col min="1038" max="1284" width="9" style="148"/>
    <col min="1285" max="1285" width="9" style="148" bestFit="1" customWidth="1"/>
    <col min="1286" max="1286" width="21.125" style="148" customWidth="1"/>
    <col min="1287" max="1287" width="25" style="148" customWidth="1"/>
    <col min="1288" max="1288" width="4.75" style="148" bestFit="1" customWidth="1"/>
    <col min="1289" max="1289" width="10.5" style="148" customWidth="1"/>
    <col min="1290" max="1290" width="6.375" style="148" bestFit="1" customWidth="1"/>
    <col min="1291" max="1291" width="10.5" style="148" customWidth="1"/>
    <col min="1292" max="1292" width="6.375" style="148" bestFit="1" customWidth="1"/>
    <col min="1293" max="1293" width="13" style="148" customWidth="1"/>
    <col min="1294" max="1540" width="9" style="148"/>
    <col min="1541" max="1541" width="9" style="148" bestFit="1" customWidth="1"/>
    <col min="1542" max="1542" width="21.125" style="148" customWidth="1"/>
    <col min="1543" max="1543" width="25" style="148" customWidth="1"/>
    <col min="1544" max="1544" width="4.75" style="148" bestFit="1" customWidth="1"/>
    <col min="1545" max="1545" width="10.5" style="148" customWidth="1"/>
    <col min="1546" max="1546" width="6.375" style="148" bestFit="1" customWidth="1"/>
    <col min="1547" max="1547" width="10.5" style="148" customWidth="1"/>
    <col min="1548" max="1548" width="6.375" style="148" bestFit="1" customWidth="1"/>
    <col min="1549" max="1549" width="13" style="148" customWidth="1"/>
    <col min="1550" max="1796" width="9" style="148"/>
    <col min="1797" max="1797" width="9" style="148" bestFit="1" customWidth="1"/>
    <col min="1798" max="1798" width="21.125" style="148" customWidth="1"/>
    <col min="1799" max="1799" width="25" style="148" customWidth="1"/>
    <col min="1800" max="1800" width="4.75" style="148" bestFit="1" customWidth="1"/>
    <col min="1801" max="1801" width="10.5" style="148" customWidth="1"/>
    <col min="1802" max="1802" width="6.375" style="148" bestFit="1" customWidth="1"/>
    <col min="1803" max="1803" width="10.5" style="148" customWidth="1"/>
    <col min="1804" max="1804" width="6.375" style="148" bestFit="1" customWidth="1"/>
    <col min="1805" max="1805" width="13" style="148" customWidth="1"/>
    <col min="1806" max="2052" width="9" style="148"/>
    <col min="2053" max="2053" width="9" style="148" bestFit="1" customWidth="1"/>
    <col min="2054" max="2054" width="21.125" style="148" customWidth="1"/>
    <col min="2055" max="2055" width="25" style="148" customWidth="1"/>
    <col min="2056" max="2056" width="4.75" style="148" bestFit="1" customWidth="1"/>
    <col min="2057" max="2057" width="10.5" style="148" customWidth="1"/>
    <col min="2058" max="2058" width="6.375" style="148" bestFit="1" customWidth="1"/>
    <col min="2059" max="2059" width="10.5" style="148" customWidth="1"/>
    <col min="2060" max="2060" width="6.375" style="148" bestFit="1" customWidth="1"/>
    <col min="2061" max="2061" width="13" style="148" customWidth="1"/>
    <col min="2062" max="2308" width="9" style="148"/>
    <col min="2309" max="2309" width="9" style="148" bestFit="1" customWidth="1"/>
    <col min="2310" max="2310" width="21.125" style="148" customWidth="1"/>
    <col min="2311" max="2311" width="25" style="148" customWidth="1"/>
    <col min="2312" max="2312" width="4.75" style="148" bestFit="1" customWidth="1"/>
    <col min="2313" max="2313" width="10.5" style="148" customWidth="1"/>
    <col min="2314" max="2314" width="6.375" style="148" bestFit="1" customWidth="1"/>
    <col min="2315" max="2315" width="10.5" style="148" customWidth="1"/>
    <col min="2316" max="2316" width="6.375" style="148" bestFit="1" customWidth="1"/>
    <col min="2317" max="2317" width="13" style="148" customWidth="1"/>
    <col min="2318" max="2564" width="9" style="148"/>
    <col min="2565" max="2565" width="9" style="148" bestFit="1" customWidth="1"/>
    <col min="2566" max="2566" width="21.125" style="148" customWidth="1"/>
    <col min="2567" max="2567" width="25" style="148" customWidth="1"/>
    <col min="2568" max="2568" width="4.75" style="148" bestFit="1" customWidth="1"/>
    <col min="2569" max="2569" width="10.5" style="148" customWidth="1"/>
    <col min="2570" max="2570" width="6.375" style="148" bestFit="1" customWidth="1"/>
    <col min="2571" max="2571" width="10.5" style="148" customWidth="1"/>
    <col min="2572" max="2572" width="6.375" style="148" bestFit="1" customWidth="1"/>
    <col min="2573" max="2573" width="13" style="148" customWidth="1"/>
    <col min="2574" max="2820" width="9" style="148"/>
    <col min="2821" max="2821" width="9" style="148" bestFit="1" customWidth="1"/>
    <col min="2822" max="2822" width="21.125" style="148" customWidth="1"/>
    <col min="2823" max="2823" width="25" style="148" customWidth="1"/>
    <col min="2824" max="2824" width="4.75" style="148" bestFit="1" customWidth="1"/>
    <col min="2825" max="2825" width="10.5" style="148" customWidth="1"/>
    <col min="2826" max="2826" width="6.375" style="148" bestFit="1" customWidth="1"/>
    <col min="2827" max="2827" width="10.5" style="148" customWidth="1"/>
    <col min="2828" max="2828" width="6.375" style="148" bestFit="1" customWidth="1"/>
    <col min="2829" max="2829" width="13" style="148" customWidth="1"/>
    <col min="2830" max="3076" width="9" style="148"/>
    <col min="3077" max="3077" width="9" style="148" bestFit="1" customWidth="1"/>
    <col min="3078" max="3078" width="21.125" style="148" customWidth="1"/>
    <col min="3079" max="3079" width="25" style="148" customWidth="1"/>
    <col min="3080" max="3080" width="4.75" style="148" bestFit="1" customWidth="1"/>
    <col min="3081" max="3081" width="10.5" style="148" customWidth="1"/>
    <col min="3082" max="3082" width="6.375" style="148" bestFit="1" customWidth="1"/>
    <col min="3083" max="3083" width="10.5" style="148" customWidth="1"/>
    <col min="3084" max="3084" width="6.375" style="148" bestFit="1" customWidth="1"/>
    <col min="3085" max="3085" width="13" style="148" customWidth="1"/>
    <col min="3086" max="3332" width="9" style="148"/>
    <col min="3333" max="3333" width="9" style="148" bestFit="1" customWidth="1"/>
    <col min="3334" max="3334" width="21.125" style="148" customWidth="1"/>
    <col min="3335" max="3335" width="25" style="148" customWidth="1"/>
    <col min="3336" max="3336" width="4.75" style="148" bestFit="1" customWidth="1"/>
    <col min="3337" max="3337" width="10.5" style="148" customWidth="1"/>
    <col min="3338" max="3338" width="6.375" style="148" bestFit="1" customWidth="1"/>
    <col min="3339" max="3339" width="10.5" style="148" customWidth="1"/>
    <col min="3340" max="3340" width="6.375" style="148" bestFit="1" customWidth="1"/>
    <col min="3341" max="3341" width="13" style="148" customWidth="1"/>
    <col min="3342" max="3588" width="9" style="148"/>
    <col min="3589" max="3589" width="9" style="148" bestFit="1" customWidth="1"/>
    <col min="3590" max="3590" width="21.125" style="148" customWidth="1"/>
    <col min="3591" max="3591" width="25" style="148" customWidth="1"/>
    <col min="3592" max="3592" width="4.75" style="148" bestFit="1" customWidth="1"/>
    <col min="3593" max="3593" width="10.5" style="148" customWidth="1"/>
    <col min="3594" max="3594" width="6.375" style="148" bestFit="1" customWidth="1"/>
    <col min="3595" max="3595" width="10.5" style="148" customWidth="1"/>
    <col min="3596" max="3596" width="6.375" style="148" bestFit="1" customWidth="1"/>
    <col min="3597" max="3597" width="13" style="148" customWidth="1"/>
    <col min="3598" max="3844" width="9" style="148"/>
    <col min="3845" max="3845" width="9" style="148" bestFit="1" customWidth="1"/>
    <col min="3846" max="3846" width="21.125" style="148" customWidth="1"/>
    <col min="3847" max="3847" width="25" style="148" customWidth="1"/>
    <col min="3848" max="3848" width="4.75" style="148" bestFit="1" customWidth="1"/>
    <col min="3849" max="3849" width="10.5" style="148" customWidth="1"/>
    <col min="3850" max="3850" width="6.375" style="148" bestFit="1" customWidth="1"/>
    <col min="3851" max="3851" width="10.5" style="148" customWidth="1"/>
    <col min="3852" max="3852" width="6.375" style="148" bestFit="1" customWidth="1"/>
    <col min="3853" max="3853" width="13" style="148" customWidth="1"/>
    <col min="3854" max="4100" width="9" style="148"/>
    <col min="4101" max="4101" width="9" style="148" bestFit="1" customWidth="1"/>
    <col min="4102" max="4102" width="21.125" style="148" customWidth="1"/>
    <col min="4103" max="4103" width="25" style="148" customWidth="1"/>
    <col min="4104" max="4104" width="4.75" style="148" bestFit="1" customWidth="1"/>
    <col min="4105" max="4105" width="10.5" style="148" customWidth="1"/>
    <col min="4106" max="4106" width="6.375" style="148" bestFit="1" customWidth="1"/>
    <col min="4107" max="4107" width="10.5" style="148" customWidth="1"/>
    <col min="4108" max="4108" width="6.375" style="148" bestFit="1" customWidth="1"/>
    <col min="4109" max="4109" width="13" style="148" customWidth="1"/>
    <col min="4110" max="4356" width="9" style="148"/>
    <col min="4357" max="4357" width="9" style="148" bestFit="1" customWidth="1"/>
    <col min="4358" max="4358" width="21.125" style="148" customWidth="1"/>
    <col min="4359" max="4359" width="25" style="148" customWidth="1"/>
    <col min="4360" max="4360" width="4.75" style="148" bestFit="1" customWidth="1"/>
    <col min="4361" max="4361" width="10.5" style="148" customWidth="1"/>
    <col min="4362" max="4362" width="6.375" style="148" bestFit="1" customWidth="1"/>
    <col min="4363" max="4363" width="10.5" style="148" customWidth="1"/>
    <col min="4364" max="4364" width="6.375" style="148" bestFit="1" customWidth="1"/>
    <col min="4365" max="4365" width="13" style="148" customWidth="1"/>
    <col min="4366" max="4612" width="9" style="148"/>
    <col min="4613" max="4613" width="9" style="148" bestFit="1" customWidth="1"/>
    <col min="4614" max="4614" width="21.125" style="148" customWidth="1"/>
    <col min="4615" max="4615" width="25" style="148" customWidth="1"/>
    <col min="4616" max="4616" width="4.75" style="148" bestFit="1" customWidth="1"/>
    <col min="4617" max="4617" width="10.5" style="148" customWidth="1"/>
    <col min="4618" max="4618" width="6.375" style="148" bestFit="1" customWidth="1"/>
    <col min="4619" max="4619" width="10.5" style="148" customWidth="1"/>
    <col min="4620" max="4620" width="6.375" style="148" bestFit="1" customWidth="1"/>
    <col min="4621" max="4621" width="13" style="148" customWidth="1"/>
    <col min="4622" max="4868" width="9" style="148"/>
    <col min="4869" max="4869" width="9" style="148" bestFit="1" customWidth="1"/>
    <col min="4870" max="4870" width="21.125" style="148" customWidth="1"/>
    <col min="4871" max="4871" width="25" style="148" customWidth="1"/>
    <col min="4872" max="4872" width="4.75" style="148" bestFit="1" customWidth="1"/>
    <col min="4873" max="4873" width="10.5" style="148" customWidth="1"/>
    <col min="4874" max="4874" width="6.375" style="148" bestFit="1" customWidth="1"/>
    <col min="4875" max="4875" width="10.5" style="148" customWidth="1"/>
    <col min="4876" max="4876" width="6.375" style="148" bestFit="1" customWidth="1"/>
    <col min="4877" max="4877" width="13" style="148" customWidth="1"/>
    <col min="4878" max="5124" width="9" style="148"/>
    <col min="5125" max="5125" width="9" style="148" bestFit="1" customWidth="1"/>
    <col min="5126" max="5126" width="21.125" style="148" customWidth="1"/>
    <col min="5127" max="5127" width="25" style="148" customWidth="1"/>
    <col min="5128" max="5128" width="4.75" style="148" bestFit="1" customWidth="1"/>
    <col min="5129" max="5129" width="10.5" style="148" customWidth="1"/>
    <col min="5130" max="5130" width="6.375" style="148" bestFit="1" customWidth="1"/>
    <col min="5131" max="5131" width="10.5" style="148" customWidth="1"/>
    <col min="5132" max="5132" width="6.375" style="148" bestFit="1" customWidth="1"/>
    <col min="5133" max="5133" width="13" style="148" customWidth="1"/>
    <col min="5134" max="5380" width="9" style="148"/>
    <col min="5381" max="5381" width="9" style="148" bestFit="1" customWidth="1"/>
    <col min="5382" max="5382" width="21.125" style="148" customWidth="1"/>
    <col min="5383" max="5383" width="25" style="148" customWidth="1"/>
    <col min="5384" max="5384" width="4.75" style="148" bestFit="1" customWidth="1"/>
    <col min="5385" max="5385" width="10.5" style="148" customWidth="1"/>
    <col min="5386" max="5386" width="6.375" style="148" bestFit="1" customWidth="1"/>
    <col min="5387" max="5387" width="10.5" style="148" customWidth="1"/>
    <col min="5388" max="5388" width="6.375" style="148" bestFit="1" customWidth="1"/>
    <col min="5389" max="5389" width="13" style="148" customWidth="1"/>
    <col min="5390" max="5636" width="9" style="148"/>
    <col min="5637" max="5637" width="9" style="148" bestFit="1" customWidth="1"/>
    <col min="5638" max="5638" width="21.125" style="148" customWidth="1"/>
    <col min="5639" max="5639" width="25" style="148" customWidth="1"/>
    <col min="5640" max="5640" width="4.75" style="148" bestFit="1" customWidth="1"/>
    <col min="5641" max="5641" width="10.5" style="148" customWidth="1"/>
    <col min="5642" max="5642" width="6.375" style="148" bestFit="1" customWidth="1"/>
    <col min="5643" max="5643" width="10.5" style="148" customWidth="1"/>
    <col min="5644" max="5644" width="6.375" style="148" bestFit="1" customWidth="1"/>
    <col min="5645" max="5645" width="13" style="148" customWidth="1"/>
    <col min="5646" max="5892" width="9" style="148"/>
    <col min="5893" max="5893" width="9" style="148" bestFit="1" customWidth="1"/>
    <col min="5894" max="5894" width="21.125" style="148" customWidth="1"/>
    <col min="5895" max="5895" width="25" style="148" customWidth="1"/>
    <col min="5896" max="5896" width="4.75" style="148" bestFit="1" customWidth="1"/>
    <col min="5897" max="5897" width="10.5" style="148" customWidth="1"/>
    <col min="5898" max="5898" width="6.375" style="148" bestFit="1" customWidth="1"/>
    <col min="5899" max="5899" width="10.5" style="148" customWidth="1"/>
    <col min="5900" max="5900" width="6.375" style="148" bestFit="1" customWidth="1"/>
    <col min="5901" max="5901" width="13" style="148" customWidth="1"/>
    <col min="5902" max="6148" width="9" style="148"/>
    <col min="6149" max="6149" width="9" style="148" bestFit="1" customWidth="1"/>
    <col min="6150" max="6150" width="21.125" style="148" customWidth="1"/>
    <col min="6151" max="6151" width="25" style="148" customWidth="1"/>
    <col min="6152" max="6152" width="4.75" style="148" bestFit="1" customWidth="1"/>
    <col min="6153" max="6153" width="10.5" style="148" customWidth="1"/>
    <col min="6154" max="6154" width="6.375" style="148" bestFit="1" customWidth="1"/>
    <col min="6155" max="6155" width="10.5" style="148" customWidth="1"/>
    <col min="6156" max="6156" width="6.375" style="148" bestFit="1" customWidth="1"/>
    <col min="6157" max="6157" width="13" style="148" customWidth="1"/>
    <col min="6158" max="6404" width="9" style="148"/>
    <col min="6405" max="6405" width="9" style="148" bestFit="1" customWidth="1"/>
    <col min="6406" max="6406" width="21.125" style="148" customWidth="1"/>
    <col min="6407" max="6407" width="25" style="148" customWidth="1"/>
    <col min="6408" max="6408" width="4.75" style="148" bestFit="1" customWidth="1"/>
    <col min="6409" max="6409" width="10.5" style="148" customWidth="1"/>
    <col min="6410" max="6410" width="6.375" style="148" bestFit="1" customWidth="1"/>
    <col min="6411" max="6411" width="10.5" style="148" customWidth="1"/>
    <col min="6412" max="6412" width="6.375" style="148" bestFit="1" customWidth="1"/>
    <col min="6413" max="6413" width="13" style="148" customWidth="1"/>
    <col min="6414" max="6660" width="9" style="148"/>
    <col min="6661" max="6661" width="9" style="148" bestFit="1" customWidth="1"/>
    <col min="6662" max="6662" width="21.125" style="148" customWidth="1"/>
    <col min="6663" max="6663" width="25" style="148" customWidth="1"/>
    <col min="6664" max="6664" width="4.75" style="148" bestFit="1" customWidth="1"/>
    <col min="6665" max="6665" width="10.5" style="148" customWidth="1"/>
    <col min="6666" max="6666" width="6.375" style="148" bestFit="1" customWidth="1"/>
    <col min="6667" max="6667" width="10.5" style="148" customWidth="1"/>
    <col min="6668" max="6668" width="6.375" style="148" bestFit="1" customWidth="1"/>
    <col min="6669" max="6669" width="13" style="148" customWidth="1"/>
    <col min="6670" max="6916" width="9" style="148"/>
    <col min="6917" max="6917" width="9" style="148" bestFit="1" customWidth="1"/>
    <col min="6918" max="6918" width="21.125" style="148" customWidth="1"/>
    <col min="6919" max="6919" width="25" style="148" customWidth="1"/>
    <col min="6920" max="6920" width="4.75" style="148" bestFit="1" customWidth="1"/>
    <col min="6921" max="6921" width="10.5" style="148" customWidth="1"/>
    <col min="6922" max="6922" width="6.375" style="148" bestFit="1" customWidth="1"/>
    <col min="6923" max="6923" width="10.5" style="148" customWidth="1"/>
    <col min="6924" max="6924" width="6.375" style="148" bestFit="1" customWidth="1"/>
    <col min="6925" max="6925" width="13" style="148" customWidth="1"/>
    <col min="6926" max="7172" width="9" style="148"/>
    <col min="7173" max="7173" width="9" style="148" bestFit="1" customWidth="1"/>
    <col min="7174" max="7174" width="21.125" style="148" customWidth="1"/>
    <col min="7175" max="7175" width="25" style="148" customWidth="1"/>
    <col min="7176" max="7176" width="4.75" style="148" bestFit="1" customWidth="1"/>
    <col min="7177" max="7177" width="10.5" style="148" customWidth="1"/>
    <col min="7178" max="7178" width="6.375" style="148" bestFit="1" customWidth="1"/>
    <col min="7179" max="7179" width="10.5" style="148" customWidth="1"/>
    <col min="7180" max="7180" width="6.375" style="148" bestFit="1" customWidth="1"/>
    <col min="7181" max="7181" width="13" style="148" customWidth="1"/>
    <col min="7182" max="7428" width="9" style="148"/>
    <col min="7429" max="7429" width="9" style="148" bestFit="1" customWidth="1"/>
    <col min="7430" max="7430" width="21.125" style="148" customWidth="1"/>
    <col min="7431" max="7431" width="25" style="148" customWidth="1"/>
    <col min="7432" max="7432" width="4.75" style="148" bestFit="1" customWidth="1"/>
    <col min="7433" max="7433" width="10.5" style="148" customWidth="1"/>
    <col min="7434" max="7434" width="6.375" style="148" bestFit="1" customWidth="1"/>
    <col min="7435" max="7435" width="10.5" style="148" customWidth="1"/>
    <col min="7436" max="7436" width="6.375" style="148" bestFit="1" customWidth="1"/>
    <col min="7437" max="7437" width="13" style="148" customWidth="1"/>
    <col min="7438" max="7684" width="9" style="148"/>
    <col min="7685" max="7685" width="9" style="148" bestFit="1" customWidth="1"/>
    <col min="7686" max="7686" width="21.125" style="148" customWidth="1"/>
    <col min="7687" max="7687" width="25" style="148" customWidth="1"/>
    <col min="7688" max="7688" width="4.75" style="148" bestFit="1" customWidth="1"/>
    <col min="7689" max="7689" width="10.5" style="148" customWidth="1"/>
    <col min="7690" max="7690" width="6.375" style="148" bestFit="1" customWidth="1"/>
    <col min="7691" max="7691" width="10.5" style="148" customWidth="1"/>
    <col min="7692" max="7692" width="6.375" style="148" bestFit="1" customWidth="1"/>
    <col min="7693" max="7693" width="13" style="148" customWidth="1"/>
    <col min="7694" max="7940" width="9" style="148"/>
    <col min="7941" max="7941" width="9" style="148" bestFit="1" customWidth="1"/>
    <col min="7942" max="7942" width="21.125" style="148" customWidth="1"/>
    <col min="7943" max="7943" width="25" style="148" customWidth="1"/>
    <col min="7944" max="7944" width="4.75" style="148" bestFit="1" customWidth="1"/>
    <col min="7945" max="7945" width="10.5" style="148" customWidth="1"/>
    <col min="7946" max="7946" width="6.375" style="148" bestFit="1" customWidth="1"/>
    <col min="7947" max="7947" width="10.5" style="148" customWidth="1"/>
    <col min="7948" max="7948" width="6.375" style="148" bestFit="1" customWidth="1"/>
    <col min="7949" max="7949" width="13" style="148" customWidth="1"/>
    <col min="7950" max="8196" width="9" style="148"/>
    <col min="8197" max="8197" width="9" style="148" bestFit="1" customWidth="1"/>
    <col min="8198" max="8198" width="21.125" style="148" customWidth="1"/>
    <col min="8199" max="8199" width="25" style="148" customWidth="1"/>
    <col min="8200" max="8200" width="4.75" style="148" bestFit="1" customWidth="1"/>
    <col min="8201" max="8201" width="10.5" style="148" customWidth="1"/>
    <col min="8202" max="8202" width="6.375" style="148" bestFit="1" customWidth="1"/>
    <col min="8203" max="8203" width="10.5" style="148" customWidth="1"/>
    <col min="8204" max="8204" width="6.375" style="148" bestFit="1" customWidth="1"/>
    <col min="8205" max="8205" width="13" style="148" customWidth="1"/>
    <col min="8206" max="8452" width="9" style="148"/>
    <col min="8453" max="8453" width="9" style="148" bestFit="1" customWidth="1"/>
    <col min="8454" max="8454" width="21.125" style="148" customWidth="1"/>
    <col min="8455" max="8455" width="25" style="148" customWidth="1"/>
    <col min="8456" max="8456" width="4.75" style="148" bestFit="1" customWidth="1"/>
    <col min="8457" max="8457" width="10.5" style="148" customWidth="1"/>
    <col min="8458" max="8458" width="6.375" style="148" bestFit="1" customWidth="1"/>
    <col min="8459" max="8459" width="10.5" style="148" customWidth="1"/>
    <col min="8460" max="8460" width="6.375" style="148" bestFit="1" customWidth="1"/>
    <col min="8461" max="8461" width="13" style="148" customWidth="1"/>
    <col min="8462" max="8708" width="9" style="148"/>
    <col min="8709" max="8709" width="9" style="148" bestFit="1" customWidth="1"/>
    <col min="8710" max="8710" width="21.125" style="148" customWidth="1"/>
    <col min="8711" max="8711" width="25" style="148" customWidth="1"/>
    <col min="8712" max="8712" width="4.75" style="148" bestFit="1" customWidth="1"/>
    <col min="8713" max="8713" width="10.5" style="148" customWidth="1"/>
    <col min="8714" max="8714" width="6.375" style="148" bestFit="1" customWidth="1"/>
    <col min="8715" max="8715" width="10.5" style="148" customWidth="1"/>
    <col min="8716" max="8716" width="6.375" style="148" bestFit="1" customWidth="1"/>
    <col min="8717" max="8717" width="13" style="148" customWidth="1"/>
    <col min="8718" max="8964" width="9" style="148"/>
    <col min="8965" max="8965" width="9" style="148" bestFit="1" customWidth="1"/>
    <col min="8966" max="8966" width="21.125" style="148" customWidth="1"/>
    <col min="8967" max="8967" width="25" style="148" customWidth="1"/>
    <col min="8968" max="8968" width="4.75" style="148" bestFit="1" customWidth="1"/>
    <col min="8969" max="8969" width="10.5" style="148" customWidth="1"/>
    <col min="8970" max="8970" width="6.375" style="148" bestFit="1" customWidth="1"/>
    <col min="8971" max="8971" width="10.5" style="148" customWidth="1"/>
    <col min="8972" max="8972" width="6.375" style="148" bestFit="1" customWidth="1"/>
    <col min="8973" max="8973" width="13" style="148" customWidth="1"/>
    <col min="8974" max="9220" width="9" style="148"/>
    <col min="9221" max="9221" width="9" style="148" bestFit="1" customWidth="1"/>
    <col min="9222" max="9222" width="21.125" style="148" customWidth="1"/>
    <col min="9223" max="9223" width="25" style="148" customWidth="1"/>
    <col min="9224" max="9224" width="4.75" style="148" bestFit="1" customWidth="1"/>
    <col min="9225" max="9225" width="10.5" style="148" customWidth="1"/>
    <col min="9226" max="9226" width="6.375" style="148" bestFit="1" customWidth="1"/>
    <col min="9227" max="9227" width="10.5" style="148" customWidth="1"/>
    <col min="9228" max="9228" width="6.375" style="148" bestFit="1" customWidth="1"/>
    <col min="9229" max="9229" width="13" style="148" customWidth="1"/>
    <col min="9230" max="9476" width="9" style="148"/>
    <col min="9477" max="9477" width="9" style="148" bestFit="1" customWidth="1"/>
    <col min="9478" max="9478" width="21.125" style="148" customWidth="1"/>
    <col min="9479" max="9479" width="25" style="148" customWidth="1"/>
    <col min="9480" max="9480" width="4.75" style="148" bestFit="1" customWidth="1"/>
    <col min="9481" max="9481" width="10.5" style="148" customWidth="1"/>
    <col min="9482" max="9482" width="6.375" style="148" bestFit="1" customWidth="1"/>
    <col min="9483" max="9483" width="10.5" style="148" customWidth="1"/>
    <col min="9484" max="9484" width="6.375" style="148" bestFit="1" customWidth="1"/>
    <col min="9485" max="9485" width="13" style="148" customWidth="1"/>
    <col min="9486" max="9732" width="9" style="148"/>
    <col min="9733" max="9733" width="9" style="148" bestFit="1" customWidth="1"/>
    <col min="9734" max="9734" width="21.125" style="148" customWidth="1"/>
    <col min="9735" max="9735" width="25" style="148" customWidth="1"/>
    <col min="9736" max="9736" width="4.75" style="148" bestFit="1" customWidth="1"/>
    <col min="9737" max="9737" width="10.5" style="148" customWidth="1"/>
    <col min="9738" max="9738" width="6.375" style="148" bestFit="1" customWidth="1"/>
    <col min="9739" max="9739" width="10.5" style="148" customWidth="1"/>
    <col min="9740" max="9740" width="6.375" style="148" bestFit="1" customWidth="1"/>
    <col min="9741" max="9741" width="13" style="148" customWidth="1"/>
    <col min="9742" max="9988" width="9" style="148"/>
    <col min="9989" max="9989" width="9" style="148" bestFit="1" customWidth="1"/>
    <col min="9990" max="9990" width="21.125" style="148" customWidth="1"/>
    <col min="9991" max="9991" width="25" style="148" customWidth="1"/>
    <col min="9992" max="9992" width="4.75" style="148" bestFit="1" customWidth="1"/>
    <col min="9993" max="9993" width="10.5" style="148" customWidth="1"/>
    <col min="9994" max="9994" width="6.375" style="148" bestFit="1" customWidth="1"/>
    <col min="9995" max="9995" width="10.5" style="148" customWidth="1"/>
    <col min="9996" max="9996" width="6.375" style="148" bestFit="1" customWidth="1"/>
    <col min="9997" max="9997" width="13" style="148" customWidth="1"/>
    <col min="9998" max="10244" width="9" style="148"/>
    <col min="10245" max="10245" width="9" style="148" bestFit="1" customWidth="1"/>
    <col min="10246" max="10246" width="21.125" style="148" customWidth="1"/>
    <col min="10247" max="10247" width="25" style="148" customWidth="1"/>
    <col min="10248" max="10248" width="4.75" style="148" bestFit="1" customWidth="1"/>
    <col min="10249" max="10249" width="10.5" style="148" customWidth="1"/>
    <col min="10250" max="10250" width="6.375" style="148" bestFit="1" customWidth="1"/>
    <col min="10251" max="10251" width="10.5" style="148" customWidth="1"/>
    <col min="10252" max="10252" width="6.375" style="148" bestFit="1" customWidth="1"/>
    <col min="10253" max="10253" width="13" style="148" customWidth="1"/>
    <col min="10254" max="10500" width="9" style="148"/>
    <col min="10501" max="10501" width="9" style="148" bestFit="1" customWidth="1"/>
    <col min="10502" max="10502" width="21.125" style="148" customWidth="1"/>
    <col min="10503" max="10503" width="25" style="148" customWidth="1"/>
    <col min="10504" max="10504" width="4.75" style="148" bestFit="1" customWidth="1"/>
    <col min="10505" max="10505" width="10.5" style="148" customWidth="1"/>
    <col min="10506" max="10506" width="6.375" style="148" bestFit="1" customWidth="1"/>
    <col min="10507" max="10507" width="10.5" style="148" customWidth="1"/>
    <col min="10508" max="10508" width="6.375" style="148" bestFit="1" customWidth="1"/>
    <col min="10509" max="10509" width="13" style="148" customWidth="1"/>
    <col min="10510" max="10756" width="9" style="148"/>
    <col min="10757" max="10757" width="9" style="148" bestFit="1" customWidth="1"/>
    <col min="10758" max="10758" width="21.125" style="148" customWidth="1"/>
    <col min="10759" max="10759" width="25" style="148" customWidth="1"/>
    <col min="10760" max="10760" width="4.75" style="148" bestFit="1" customWidth="1"/>
    <col min="10761" max="10761" width="10.5" style="148" customWidth="1"/>
    <col min="10762" max="10762" width="6.375" style="148" bestFit="1" customWidth="1"/>
    <col min="10763" max="10763" width="10.5" style="148" customWidth="1"/>
    <col min="10764" max="10764" width="6.375" style="148" bestFit="1" customWidth="1"/>
    <col min="10765" max="10765" width="13" style="148" customWidth="1"/>
    <col min="10766" max="11012" width="9" style="148"/>
    <col min="11013" max="11013" width="9" style="148" bestFit="1" customWidth="1"/>
    <col min="11014" max="11014" width="21.125" style="148" customWidth="1"/>
    <col min="11015" max="11015" width="25" style="148" customWidth="1"/>
    <col min="11016" max="11016" width="4.75" style="148" bestFit="1" customWidth="1"/>
    <col min="11017" max="11017" width="10.5" style="148" customWidth="1"/>
    <col min="11018" max="11018" width="6.375" style="148" bestFit="1" customWidth="1"/>
    <col min="11019" max="11019" width="10.5" style="148" customWidth="1"/>
    <col min="11020" max="11020" width="6.375" style="148" bestFit="1" customWidth="1"/>
    <col min="11021" max="11021" width="13" style="148" customWidth="1"/>
    <col min="11022" max="11268" width="9" style="148"/>
    <col min="11269" max="11269" width="9" style="148" bestFit="1" customWidth="1"/>
    <col min="11270" max="11270" width="21.125" style="148" customWidth="1"/>
    <col min="11271" max="11271" width="25" style="148" customWidth="1"/>
    <col min="11272" max="11272" width="4.75" style="148" bestFit="1" customWidth="1"/>
    <col min="11273" max="11273" width="10.5" style="148" customWidth="1"/>
    <col min="11274" max="11274" width="6.375" style="148" bestFit="1" customWidth="1"/>
    <col min="11275" max="11275" width="10.5" style="148" customWidth="1"/>
    <col min="11276" max="11276" width="6.375" style="148" bestFit="1" customWidth="1"/>
    <col min="11277" max="11277" width="13" style="148" customWidth="1"/>
    <col min="11278" max="11524" width="9" style="148"/>
    <col min="11525" max="11525" width="9" style="148" bestFit="1" customWidth="1"/>
    <col min="11526" max="11526" width="21.125" style="148" customWidth="1"/>
    <col min="11527" max="11527" width="25" style="148" customWidth="1"/>
    <col min="11528" max="11528" width="4.75" style="148" bestFit="1" customWidth="1"/>
    <col min="11529" max="11529" width="10.5" style="148" customWidth="1"/>
    <col min="11530" max="11530" width="6.375" style="148" bestFit="1" customWidth="1"/>
    <col min="11531" max="11531" width="10.5" style="148" customWidth="1"/>
    <col min="11532" max="11532" width="6.375" style="148" bestFit="1" customWidth="1"/>
    <col min="11533" max="11533" width="13" style="148" customWidth="1"/>
    <col min="11534" max="11780" width="9" style="148"/>
    <col min="11781" max="11781" width="9" style="148" bestFit="1" customWidth="1"/>
    <col min="11782" max="11782" width="21.125" style="148" customWidth="1"/>
    <col min="11783" max="11783" width="25" style="148" customWidth="1"/>
    <col min="11784" max="11784" width="4.75" style="148" bestFit="1" customWidth="1"/>
    <col min="11785" max="11785" width="10.5" style="148" customWidth="1"/>
    <col min="11786" max="11786" width="6.375" style="148" bestFit="1" customWidth="1"/>
    <col min="11787" max="11787" width="10.5" style="148" customWidth="1"/>
    <col min="11788" max="11788" width="6.375" style="148" bestFit="1" customWidth="1"/>
    <col min="11789" max="11789" width="13" style="148" customWidth="1"/>
    <col min="11790" max="12036" width="9" style="148"/>
    <col min="12037" max="12037" width="9" style="148" bestFit="1" customWidth="1"/>
    <col min="12038" max="12038" width="21.125" style="148" customWidth="1"/>
    <col min="12039" max="12039" width="25" style="148" customWidth="1"/>
    <col min="12040" max="12040" width="4.75" style="148" bestFit="1" customWidth="1"/>
    <col min="12041" max="12041" width="10.5" style="148" customWidth="1"/>
    <col min="12042" max="12042" width="6.375" style="148" bestFit="1" customWidth="1"/>
    <col min="12043" max="12043" width="10.5" style="148" customWidth="1"/>
    <col min="12044" max="12044" width="6.375" style="148" bestFit="1" customWidth="1"/>
    <col min="12045" max="12045" width="13" style="148" customWidth="1"/>
    <col min="12046" max="12292" width="9" style="148"/>
    <col min="12293" max="12293" width="9" style="148" bestFit="1" customWidth="1"/>
    <col min="12294" max="12294" width="21.125" style="148" customWidth="1"/>
    <col min="12295" max="12295" width="25" style="148" customWidth="1"/>
    <col min="12296" max="12296" width="4.75" style="148" bestFit="1" customWidth="1"/>
    <col min="12297" max="12297" width="10.5" style="148" customWidth="1"/>
    <col min="12298" max="12298" width="6.375" style="148" bestFit="1" customWidth="1"/>
    <col min="12299" max="12299" width="10.5" style="148" customWidth="1"/>
    <col min="12300" max="12300" width="6.375" style="148" bestFit="1" customWidth="1"/>
    <col min="12301" max="12301" width="13" style="148" customWidth="1"/>
    <col min="12302" max="12548" width="9" style="148"/>
    <col min="12549" max="12549" width="9" style="148" bestFit="1" customWidth="1"/>
    <col min="12550" max="12550" width="21.125" style="148" customWidth="1"/>
    <col min="12551" max="12551" width="25" style="148" customWidth="1"/>
    <col min="12552" max="12552" width="4.75" style="148" bestFit="1" customWidth="1"/>
    <col min="12553" max="12553" width="10.5" style="148" customWidth="1"/>
    <col min="12554" max="12554" width="6.375" style="148" bestFit="1" customWidth="1"/>
    <col min="12555" max="12555" width="10.5" style="148" customWidth="1"/>
    <col min="12556" max="12556" width="6.375" style="148" bestFit="1" customWidth="1"/>
    <col min="12557" max="12557" width="13" style="148" customWidth="1"/>
    <col min="12558" max="12804" width="9" style="148"/>
    <col min="12805" max="12805" width="9" style="148" bestFit="1" customWidth="1"/>
    <col min="12806" max="12806" width="21.125" style="148" customWidth="1"/>
    <col min="12807" max="12807" width="25" style="148" customWidth="1"/>
    <col min="12808" max="12808" width="4.75" style="148" bestFit="1" customWidth="1"/>
    <col min="12809" max="12809" width="10.5" style="148" customWidth="1"/>
    <col min="12810" max="12810" width="6.375" style="148" bestFit="1" customWidth="1"/>
    <col min="12811" max="12811" width="10.5" style="148" customWidth="1"/>
    <col min="12812" max="12812" width="6.375" style="148" bestFit="1" customWidth="1"/>
    <col min="12813" max="12813" width="13" style="148" customWidth="1"/>
    <col min="12814" max="13060" width="9" style="148"/>
    <col min="13061" max="13061" width="9" style="148" bestFit="1" customWidth="1"/>
    <col min="13062" max="13062" width="21.125" style="148" customWidth="1"/>
    <col min="13063" max="13063" width="25" style="148" customWidth="1"/>
    <col min="13064" max="13064" width="4.75" style="148" bestFit="1" customWidth="1"/>
    <col min="13065" max="13065" width="10.5" style="148" customWidth="1"/>
    <col min="13066" max="13066" width="6.375" style="148" bestFit="1" customWidth="1"/>
    <col min="13067" max="13067" width="10.5" style="148" customWidth="1"/>
    <col min="13068" max="13068" width="6.375" style="148" bestFit="1" customWidth="1"/>
    <col min="13069" max="13069" width="13" style="148" customWidth="1"/>
    <col min="13070" max="13316" width="9" style="148"/>
    <col min="13317" max="13317" width="9" style="148" bestFit="1" customWidth="1"/>
    <col min="13318" max="13318" width="21.125" style="148" customWidth="1"/>
    <col min="13319" max="13319" width="25" style="148" customWidth="1"/>
    <col min="13320" max="13320" width="4.75" style="148" bestFit="1" customWidth="1"/>
    <col min="13321" max="13321" width="10.5" style="148" customWidth="1"/>
    <col min="13322" max="13322" width="6.375" style="148" bestFit="1" customWidth="1"/>
    <col min="13323" max="13323" width="10.5" style="148" customWidth="1"/>
    <col min="13324" max="13324" width="6.375" style="148" bestFit="1" customWidth="1"/>
    <col min="13325" max="13325" width="13" style="148" customWidth="1"/>
    <col min="13326" max="13572" width="9" style="148"/>
    <col min="13573" max="13573" width="9" style="148" bestFit="1" customWidth="1"/>
    <col min="13574" max="13574" width="21.125" style="148" customWidth="1"/>
    <col min="13575" max="13575" width="25" style="148" customWidth="1"/>
    <col min="13576" max="13576" width="4.75" style="148" bestFit="1" customWidth="1"/>
    <col min="13577" max="13577" width="10.5" style="148" customWidth="1"/>
    <col min="13578" max="13578" width="6.375" style="148" bestFit="1" customWidth="1"/>
    <col min="13579" max="13579" width="10.5" style="148" customWidth="1"/>
    <col min="13580" max="13580" width="6.375" style="148" bestFit="1" customWidth="1"/>
    <col min="13581" max="13581" width="13" style="148" customWidth="1"/>
    <col min="13582" max="13828" width="9" style="148"/>
    <col min="13829" max="13829" width="9" style="148" bestFit="1" customWidth="1"/>
    <col min="13830" max="13830" width="21.125" style="148" customWidth="1"/>
    <col min="13831" max="13831" width="25" style="148" customWidth="1"/>
    <col min="13832" max="13832" width="4.75" style="148" bestFit="1" customWidth="1"/>
    <col min="13833" max="13833" width="10.5" style="148" customWidth="1"/>
    <col min="13834" max="13834" width="6.375" style="148" bestFit="1" customWidth="1"/>
    <col min="13835" max="13835" width="10.5" style="148" customWidth="1"/>
    <col min="13836" max="13836" width="6.375" style="148" bestFit="1" customWidth="1"/>
    <col min="13837" max="13837" width="13" style="148" customWidth="1"/>
    <col min="13838" max="14084" width="9" style="148"/>
    <col min="14085" max="14085" width="9" style="148" bestFit="1" customWidth="1"/>
    <col min="14086" max="14086" width="21.125" style="148" customWidth="1"/>
    <col min="14087" max="14087" width="25" style="148" customWidth="1"/>
    <col min="14088" max="14088" width="4.75" style="148" bestFit="1" customWidth="1"/>
    <col min="14089" max="14089" width="10.5" style="148" customWidth="1"/>
    <col min="14090" max="14090" width="6.375" style="148" bestFit="1" customWidth="1"/>
    <col min="14091" max="14091" width="10.5" style="148" customWidth="1"/>
    <col min="14092" max="14092" width="6.375" style="148" bestFit="1" customWidth="1"/>
    <col min="14093" max="14093" width="13" style="148" customWidth="1"/>
    <col min="14094" max="14340" width="9" style="148"/>
    <col min="14341" max="14341" width="9" style="148" bestFit="1" customWidth="1"/>
    <col min="14342" max="14342" width="21.125" style="148" customWidth="1"/>
    <col min="14343" max="14343" width="25" style="148" customWidth="1"/>
    <col min="14344" max="14344" width="4.75" style="148" bestFit="1" customWidth="1"/>
    <col min="14345" max="14345" width="10.5" style="148" customWidth="1"/>
    <col min="14346" max="14346" width="6.375" style="148" bestFit="1" customWidth="1"/>
    <col min="14347" max="14347" width="10.5" style="148" customWidth="1"/>
    <col min="14348" max="14348" width="6.375" style="148" bestFit="1" customWidth="1"/>
    <col min="14349" max="14349" width="13" style="148" customWidth="1"/>
    <col min="14350" max="14596" width="9" style="148"/>
    <col min="14597" max="14597" width="9" style="148" bestFit="1" customWidth="1"/>
    <col min="14598" max="14598" width="21.125" style="148" customWidth="1"/>
    <col min="14599" max="14599" width="25" style="148" customWidth="1"/>
    <col min="14600" max="14600" width="4.75" style="148" bestFit="1" customWidth="1"/>
    <col min="14601" max="14601" width="10.5" style="148" customWidth="1"/>
    <col min="14602" max="14602" width="6.375" style="148" bestFit="1" customWidth="1"/>
    <col min="14603" max="14603" width="10.5" style="148" customWidth="1"/>
    <col min="14604" max="14604" width="6.375" style="148" bestFit="1" customWidth="1"/>
    <col min="14605" max="14605" width="13" style="148" customWidth="1"/>
    <col min="14606" max="14852" width="9" style="148"/>
    <col min="14853" max="14853" width="9" style="148" bestFit="1" customWidth="1"/>
    <col min="14854" max="14854" width="21.125" style="148" customWidth="1"/>
    <col min="14855" max="14855" width="25" style="148" customWidth="1"/>
    <col min="14856" max="14856" width="4.75" style="148" bestFit="1" customWidth="1"/>
    <col min="14857" max="14857" width="10.5" style="148" customWidth="1"/>
    <col min="14858" max="14858" width="6.375" style="148" bestFit="1" customWidth="1"/>
    <col min="14859" max="14859" width="10.5" style="148" customWidth="1"/>
    <col min="14860" max="14860" width="6.375" style="148" bestFit="1" customWidth="1"/>
    <col min="14861" max="14861" width="13" style="148" customWidth="1"/>
    <col min="14862" max="15108" width="9" style="148"/>
    <col min="15109" max="15109" width="9" style="148" bestFit="1" customWidth="1"/>
    <col min="15110" max="15110" width="21.125" style="148" customWidth="1"/>
    <col min="15111" max="15111" width="25" style="148" customWidth="1"/>
    <col min="15112" max="15112" width="4.75" style="148" bestFit="1" customWidth="1"/>
    <col min="15113" max="15113" width="10.5" style="148" customWidth="1"/>
    <col min="15114" max="15114" width="6.375" style="148" bestFit="1" customWidth="1"/>
    <col min="15115" max="15115" width="10.5" style="148" customWidth="1"/>
    <col min="15116" max="15116" width="6.375" style="148" bestFit="1" customWidth="1"/>
    <col min="15117" max="15117" width="13" style="148" customWidth="1"/>
    <col min="15118" max="15364" width="9" style="148"/>
    <col min="15365" max="15365" width="9" style="148" bestFit="1" customWidth="1"/>
    <col min="15366" max="15366" width="21.125" style="148" customWidth="1"/>
    <col min="15367" max="15367" width="25" style="148" customWidth="1"/>
    <col min="15368" max="15368" width="4.75" style="148" bestFit="1" customWidth="1"/>
    <col min="15369" max="15369" width="10.5" style="148" customWidth="1"/>
    <col min="15370" max="15370" width="6.375" style="148" bestFit="1" customWidth="1"/>
    <col min="15371" max="15371" width="10.5" style="148" customWidth="1"/>
    <col min="15372" max="15372" width="6.375" style="148" bestFit="1" customWidth="1"/>
    <col min="15373" max="15373" width="13" style="148" customWidth="1"/>
    <col min="15374" max="15620" width="9" style="148"/>
    <col min="15621" max="15621" width="9" style="148" bestFit="1" customWidth="1"/>
    <col min="15622" max="15622" width="21.125" style="148" customWidth="1"/>
    <col min="15623" max="15623" width="25" style="148" customWidth="1"/>
    <col min="15624" max="15624" width="4.75" style="148" bestFit="1" customWidth="1"/>
    <col min="15625" max="15625" width="10.5" style="148" customWidth="1"/>
    <col min="15626" max="15626" width="6.375" style="148" bestFit="1" customWidth="1"/>
    <col min="15627" max="15627" width="10.5" style="148" customWidth="1"/>
    <col min="15628" max="15628" width="6.375" style="148" bestFit="1" customWidth="1"/>
    <col min="15629" max="15629" width="13" style="148" customWidth="1"/>
    <col min="15630" max="15876" width="9" style="148"/>
    <col min="15877" max="15877" width="9" style="148" bestFit="1" customWidth="1"/>
    <col min="15878" max="15878" width="21.125" style="148" customWidth="1"/>
    <col min="15879" max="15879" width="25" style="148" customWidth="1"/>
    <col min="15880" max="15880" width="4.75" style="148" bestFit="1" customWidth="1"/>
    <col min="15881" max="15881" width="10.5" style="148" customWidth="1"/>
    <col min="15882" max="15882" width="6.375" style="148" bestFit="1" customWidth="1"/>
    <col min="15883" max="15883" width="10.5" style="148" customWidth="1"/>
    <col min="15884" max="15884" width="6.375" style="148" bestFit="1" customWidth="1"/>
    <col min="15885" max="15885" width="13" style="148" customWidth="1"/>
    <col min="15886" max="16132" width="9" style="148"/>
    <col min="16133" max="16133" width="9" style="148" bestFit="1" customWidth="1"/>
    <col min="16134" max="16134" width="21.125" style="148" customWidth="1"/>
    <col min="16135" max="16135" width="25" style="148" customWidth="1"/>
    <col min="16136" max="16136" width="4.75" style="148" bestFit="1" customWidth="1"/>
    <col min="16137" max="16137" width="10.5" style="148" customWidth="1"/>
    <col min="16138" max="16138" width="6.375" style="148" bestFit="1" customWidth="1"/>
    <col min="16139" max="16139" width="10.5" style="148" customWidth="1"/>
    <col min="16140" max="16140" width="6.375" style="148" bestFit="1" customWidth="1"/>
    <col min="16141" max="16141" width="13" style="148" customWidth="1"/>
    <col min="16142" max="16384" width="9" style="148"/>
  </cols>
  <sheetData>
    <row r="1" spans="1:18" ht="5.0999999999999996" customHeight="1"/>
    <row r="2" spans="1:18" ht="35.1" customHeight="1">
      <c r="A2" s="1962" t="s">
        <v>1612</v>
      </c>
      <c r="B2" s="1962"/>
      <c r="C2" s="1962"/>
      <c r="D2" s="1962"/>
      <c r="E2" s="1962"/>
      <c r="F2" s="1962"/>
      <c r="G2" s="1962"/>
      <c r="H2" s="1962"/>
      <c r="I2" s="1962"/>
      <c r="J2" s="1962"/>
      <c r="K2" s="1962"/>
      <c r="L2" s="1962"/>
      <c r="M2" s="1962"/>
      <c r="N2" s="1962"/>
      <c r="O2" s="1962"/>
    </row>
    <row r="3" spans="1:18" ht="24.95" customHeight="1">
      <c r="A3" s="444" t="str">
        <f>표지!A13</f>
        <v>공사명 : 동해안#1 변환소 전력통신설비 시설공사</v>
      </c>
      <c r="R3" s="2396">
        <v>0.87746999999999997</v>
      </c>
    </row>
    <row r="4" spans="1:18" s="25" customFormat="1" ht="24.95" customHeight="1">
      <c r="A4" s="1963" t="s">
        <v>461</v>
      </c>
      <c r="B4" s="1965" t="s">
        <v>462</v>
      </c>
      <c r="C4" s="1965" t="s">
        <v>463</v>
      </c>
      <c r="D4" s="1965" t="s">
        <v>465</v>
      </c>
      <c r="E4" s="1967" t="s">
        <v>466</v>
      </c>
      <c r="F4" s="1967"/>
      <c r="G4" s="1965" t="s">
        <v>467</v>
      </c>
      <c r="H4" s="1965"/>
      <c r="I4" s="1965"/>
      <c r="J4" s="1965"/>
      <c r="K4" s="1965"/>
      <c r="L4" s="1965"/>
      <c r="M4" s="1965"/>
      <c r="N4" s="1965" t="s">
        <v>468</v>
      </c>
      <c r="O4" s="1970" t="s">
        <v>469</v>
      </c>
      <c r="P4" s="1971"/>
    </row>
    <row r="5" spans="1:18" s="25" customFormat="1" ht="24.95" customHeight="1">
      <c r="A5" s="1964"/>
      <c r="B5" s="1966"/>
      <c r="C5" s="1966"/>
      <c r="D5" s="1966"/>
      <c r="E5" s="1969" t="s">
        <v>2587</v>
      </c>
      <c r="F5" s="1969" t="s">
        <v>470</v>
      </c>
      <c r="G5" s="1966" t="s">
        <v>3171</v>
      </c>
      <c r="H5" s="1966"/>
      <c r="I5" s="1966" t="s">
        <v>3172</v>
      </c>
      <c r="J5" s="1966"/>
      <c r="K5" s="1968" t="s">
        <v>471</v>
      </c>
      <c r="L5" s="1968"/>
      <c r="M5" s="1968"/>
      <c r="N5" s="1966"/>
      <c r="O5" s="1972"/>
      <c r="P5" s="1973"/>
    </row>
    <row r="6" spans="1:18" s="25" customFormat="1" ht="24.95" customHeight="1">
      <c r="A6" s="1964"/>
      <c r="B6" s="1966"/>
      <c r="C6" s="1966"/>
      <c r="D6" s="1966"/>
      <c r="E6" s="1969"/>
      <c r="F6" s="1969"/>
      <c r="G6" s="777" t="s">
        <v>472</v>
      </c>
      <c r="H6" s="777" t="s">
        <v>473</v>
      </c>
      <c r="I6" s="777" t="s">
        <v>472</v>
      </c>
      <c r="J6" s="777" t="s">
        <v>473</v>
      </c>
      <c r="K6" s="797" t="s">
        <v>474</v>
      </c>
      <c r="L6" s="797" t="s">
        <v>475</v>
      </c>
      <c r="M6" s="797" t="s">
        <v>476</v>
      </c>
      <c r="N6" s="1966"/>
      <c r="O6" s="1974"/>
      <c r="P6" s="1975"/>
    </row>
    <row r="7" spans="1:18" s="18" customFormat="1" ht="24.95" customHeight="1">
      <c r="A7" s="1436" t="s">
        <v>2953</v>
      </c>
      <c r="B7" s="841"/>
      <c r="C7" s="841"/>
      <c r="D7" s="842"/>
      <c r="E7" s="645"/>
      <c r="F7" s="645"/>
      <c r="G7" s="582"/>
      <c r="H7" s="645"/>
      <c r="I7" s="582"/>
      <c r="J7" s="582"/>
      <c r="K7" s="582"/>
      <c r="L7" s="582"/>
      <c r="M7" s="582"/>
      <c r="N7" s="582"/>
      <c r="O7" s="643"/>
      <c r="P7" s="643"/>
      <c r="R7" s="644"/>
    </row>
    <row r="8" spans="1:18" s="18" customFormat="1" ht="24.95" customHeight="1">
      <c r="A8" s="443">
        <f>'8-1.설비자재산출(전력통신)'!B7</f>
        <v>126546</v>
      </c>
      <c r="B8" s="235" t="str">
        <f>'8-1.설비자재산출(전력통신)'!C7</f>
        <v>주셀프</v>
      </c>
      <c r="C8" s="235" t="str">
        <f>'8-1.설비자재산출(전력통신)'!D7</f>
        <v>MAIN-S</v>
      </c>
      <c r="D8" s="234" t="str">
        <f>'8-1.설비자재산출(전력통신)'!I7</f>
        <v>EA</v>
      </c>
      <c r="E8" s="234">
        <v>3690187</v>
      </c>
      <c r="F8" s="645"/>
      <c r="G8" s="227"/>
      <c r="H8" s="234"/>
      <c r="I8" s="227"/>
      <c r="J8" s="227"/>
      <c r="K8" s="839">
        <v>3800000</v>
      </c>
      <c r="L8" s="839">
        <v>3990000</v>
      </c>
      <c r="M8" s="227"/>
      <c r="N8" s="227">
        <f>R8*$R$3</f>
        <v>3238028.3868899997</v>
      </c>
      <c r="O8" s="643" t="s">
        <v>2588</v>
      </c>
      <c r="P8" s="643">
        <v>0</v>
      </c>
      <c r="R8" s="644">
        <v>3690187</v>
      </c>
    </row>
    <row r="9" spans="1:18" s="18" customFormat="1" ht="24.95" hidden="1" customHeight="1">
      <c r="A9" s="443">
        <f>'8-1.설비자재산출(전력통신)'!B8</f>
        <v>126547</v>
      </c>
      <c r="B9" s="235" t="str">
        <f>'8-1.설비자재산출(전력통신)'!C8</f>
        <v>확장셀프</v>
      </c>
      <c r="C9" s="235" t="str">
        <f>'8-1.설비자재산출(전력통신)'!D8</f>
        <v>EXT-S</v>
      </c>
      <c r="D9" s="234" t="str">
        <f>'8-1.설비자재산출(전력통신)'!I8</f>
        <v>EA</v>
      </c>
      <c r="E9" s="234">
        <v>3414455</v>
      </c>
      <c r="F9" s="645"/>
      <c r="G9" s="227"/>
      <c r="H9" s="234"/>
      <c r="I9" s="227"/>
      <c r="J9" s="227"/>
      <c r="K9" s="839"/>
      <c r="L9" s="839"/>
      <c r="M9" s="227"/>
      <c r="N9" s="227">
        <f t="shared" ref="N9:N72" si="0">R9*$R$3</f>
        <v>2996081.8288499997</v>
      </c>
      <c r="O9" s="643" t="s">
        <v>2588</v>
      </c>
      <c r="P9" s="643">
        <v>0</v>
      </c>
      <c r="R9" s="644">
        <v>3414455</v>
      </c>
    </row>
    <row r="10" spans="1:18" s="18" customFormat="1" ht="24.95" customHeight="1">
      <c r="A10" s="443">
        <f>'8-1.설비자재산출(전력통신)'!B9</f>
        <v>126548</v>
      </c>
      <c r="B10" s="235" t="str">
        <f>'8-1.설비자재산출(전력통신)'!C9</f>
        <v>광전송유니트(A)</v>
      </c>
      <c r="C10" s="235" t="str">
        <f>'8-1.설비자재산출(전력통신)'!D9</f>
        <v>CTRU(A)</v>
      </c>
      <c r="D10" s="234" t="str">
        <f>'8-1.설비자재산출(전력통신)'!I9</f>
        <v>EA</v>
      </c>
      <c r="E10" s="234">
        <v>17669568</v>
      </c>
      <c r="F10" s="645"/>
      <c r="G10" s="227"/>
      <c r="H10" s="234"/>
      <c r="I10" s="227"/>
      <c r="J10" s="227"/>
      <c r="K10" s="839">
        <v>18250000</v>
      </c>
      <c r="L10" s="839">
        <v>75520000</v>
      </c>
      <c r="M10" s="227"/>
      <c r="N10" s="227">
        <f t="shared" si="0"/>
        <v>15504515.83296</v>
      </c>
      <c r="O10" s="643" t="s">
        <v>2588</v>
      </c>
      <c r="P10" s="643">
        <v>0</v>
      </c>
      <c r="R10" s="644">
        <v>17669568</v>
      </c>
    </row>
    <row r="11" spans="1:18" s="18" customFormat="1" ht="24.95" hidden="1" customHeight="1">
      <c r="A11" s="1577">
        <f>'8-1.설비자재산출(전력통신)'!B10</f>
        <v>126549</v>
      </c>
      <c r="B11" s="1578" t="str">
        <f>'8-1.설비자재산출(전력통신)'!C10</f>
        <v>광전송유니트(B)</v>
      </c>
      <c r="C11" s="1578" t="str">
        <f>'8-1.설비자재산출(전력통신)'!D10</f>
        <v>CTRU(B)</v>
      </c>
      <c r="D11" s="1576" t="str">
        <f>'8-1.설비자재산출(전력통신)'!I10</f>
        <v>대</v>
      </c>
      <c r="E11" s="234">
        <v>18195150</v>
      </c>
      <c r="F11" s="645"/>
      <c r="G11" s="227"/>
      <c r="H11" s="234"/>
      <c r="I11" s="227"/>
      <c r="J11" s="227"/>
      <c r="K11" s="839"/>
      <c r="L11" s="839"/>
      <c r="M11" s="227"/>
      <c r="N11" s="227">
        <f t="shared" si="0"/>
        <v>15965698.270499999</v>
      </c>
      <c r="O11" s="643" t="s">
        <v>2588</v>
      </c>
      <c r="P11" s="643">
        <v>0</v>
      </c>
      <c r="R11" s="644">
        <v>18195150</v>
      </c>
    </row>
    <row r="12" spans="1:18" s="18" customFormat="1" ht="24.95" customHeight="1">
      <c r="A12" s="443">
        <f>'8-1.설비자재산출(전력통신)'!B11</f>
        <v>126550</v>
      </c>
      <c r="B12" s="235" t="str">
        <f>'8-1.설비자재산출(전력통신)'!C11</f>
        <v>광전송유니트(C)</v>
      </c>
      <c r="C12" s="235" t="str">
        <f>'8-1.설비자재산출(전력통신)'!D11</f>
        <v xml:space="preserve"> CTRU(C)</v>
      </c>
      <c r="D12" s="234" t="str">
        <f>'8-1.설비자재산출(전력통신)'!I11</f>
        <v>EA</v>
      </c>
      <c r="E12" s="234">
        <v>21757464</v>
      </c>
      <c r="F12" s="645"/>
      <c r="G12" s="227"/>
      <c r="H12" s="234"/>
      <c r="I12" s="227"/>
      <c r="J12" s="227"/>
      <c r="K12" s="839">
        <v>23000000</v>
      </c>
      <c r="L12" s="839">
        <v>23650000</v>
      </c>
      <c r="M12" s="227"/>
      <c r="N12" s="227">
        <f t="shared" si="0"/>
        <v>19091521.936079998</v>
      </c>
      <c r="O12" s="643" t="s">
        <v>2588</v>
      </c>
      <c r="P12" s="643">
        <v>0</v>
      </c>
      <c r="R12" s="644">
        <v>21757464</v>
      </c>
    </row>
    <row r="13" spans="1:18" s="18" customFormat="1" ht="24.95" customHeight="1">
      <c r="A13" s="443">
        <f>'8-1.설비자재산출(전력통신)'!B12</f>
        <v>126551</v>
      </c>
      <c r="B13" s="235" t="str">
        <f>'8-1.설비자재산출(전력통신)'!C12</f>
        <v>제어유니트</v>
      </c>
      <c r="C13" s="235" t="str">
        <f>'8-1.설비자재산출(전력통신)'!D12</f>
        <v>MCU</v>
      </c>
      <c r="D13" s="234" t="str">
        <f>'8-1.설비자재산출(전력통신)'!I12</f>
        <v>EA</v>
      </c>
      <c r="E13" s="234">
        <v>2632123</v>
      </c>
      <c r="F13" s="645"/>
      <c r="G13" s="227"/>
      <c r="H13" s="234"/>
      <c r="I13" s="227"/>
      <c r="J13" s="227"/>
      <c r="K13" s="839">
        <v>2700000</v>
      </c>
      <c r="L13" s="839">
        <v>2840000</v>
      </c>
      <c r="M13" s="227"/>
      <c r="N13" s="227">
        <f t="shared" si="0"/>
        <v>2309608.96881</v>
      </c>
      <c r="O13" s="643" t="s">
        <v>2588</v>
      </c>
      <c r="P13" s="643">
        <v>0</v>
      </c>
      <c r="R13" s="644">
        <v>2632123</v>
      </c>
    </row>
    <row r="14" spans="1:18" s="18" customFormat="1" ht="24.95" customHeight="1">
      <c r="A14" s="443">
        <f>'8-1.설비자재산출(전력통신)'!B13</f>
        <v>126552</v>
      </c>
      <c r="B14" s="235" t="str">
        <f>'8-1.설비자재산출(전력통신)'!C13</f>
        <v>DS-1/E 회선유니트</v>
      </c>
      <c r="C14" s="235" t="str">
        <f>'8-1.설비자재산출(전력통신)'!D13</f>
        <v>LIU</v>
      </c>
      <c r="D14" s="234" t="str">
        <f>'8-1.설비자재산출(전력통신)'!I13</f>
        <v>EA</v>
      </c>
      <c r="E14" s="234">
        <v>3293935</v>
      </c>
      <c r="F14" s="645"/>
      <c r="G14" s="227"/>
      <c r="H14" s="234"/>
      <c r="I14" s="227"/>
      <c r="J14" s="227"/>
      <c r="K14" s="839">
        <v>3500000</v>
      </c>
      <c r="L14" s="839">
        <v>3560000</v>
      </c>
      <c r="M14" s="227"/>
      <c r="N14" s="227">
        <f t="shared" si="0"/>
        <v>2890329.14445</v>
      </c>
      <c r="O14" s="643" t="s">
        <v>2588</v>
      </c>
      <c r="P14" s="643">
        <v>0</v>
      </c>
      <c r="R14" s="644">
        <v>3293935</v>
      </c>
    </row>
    <row r="15" spans="1:18" s="18" customFormat="1" ht="24.95" hidden="1" customHeight="1">
      <c r="A15" s="443">
        <f>'8-1.설비자재산출(전력통신)'!B14</f>
        <v>126553</v>
      </c>
      <c r="B15" s="235" t="str">
        <f>'8-1.설비자재산출(전력통신)'!C14</f>
        <v>계통보호 회선유니트</v>
      </c>
      <c r="C15" s="235" t="str">
        <f>'8-1.설비자재산출(전력통신)'!D14</f>
        <v>PIU</v>
      </c>
      <c r="D15" s="234" t="str">
        <f>'8-1.설비자재산출(전력통신)'!I14</f>
        <v>EA</v>
      </c>
      <c r="E15" s="234"/>
      <c r="F15" s="645"/>
      <c r="G15" s="227"/>
      <c r="H15" s="234"/>
      <c r="I15" s="227"/>
      <c r="J15" s="227"/>
      <c r="K15" s="839"/>
      <c r="L15" s="839"/>
      <c r="M15" s="227"/>
      <c r="N15" s="227">
        <f t="shared" si="0"/>
        <v>0</v>
      </c>
      <c r="O15" s="643" t="s">
        <v>2588</v>
      </c>
      <c r="P15" s="643">
        <v>0</v>
      </c>
      <c r="R15" s="644">
        <v>0</v>
      </c>
    </row>
    <row r="16" spans="1:18" s="18" customFormat="1" ht="24.95" hidden="1" customHeight="1">
      <c r="A16" s="443">
        <f>'8-1.설비자재산출(전력통신)'!B15</f>
        <v>126554</v>
      </c>
      <c r="B16" s="235" t="str">
        <f>'8-1.설비자재산출(전력통신)'!C15</f>
        <v>확장셀프 데이터
집선유니트</v>
      </c>
      <c r="C16" s="235" t="str">
        <f>'8-1.설비자재산출(전력통신)'!D15</f>
        <v>ECU</v>
      </c>
      <c r="D16" s="234" t="str">
        <f>'8-1.설비자재산출(전력통신)'!I15</f>
        <v>EA</v>
      </c>
      <c r="E16" s="234">
        <v>1853969</v>
      </c>
      <c r="F16" s="645"/>
      <c r="G16" s="227"/>
      <c r="H16" s="234"/>
      <c r="I16" s="227"/>
      <c r="J16" s="227"/>
      <c r="K16" s="839"/>
      <c r="L16" s="839"/>
      <c r="M16" s="227"/>
      <c r="N16" s="227">
        <f t="shared" si="0"/>
        <v>1626802.1784299999</v>
      </c>
      <c r="O16" s="643" t="s">
        <v>2588</v>
      </c>
      <c r="P16" s="643">
        <v>0</v>
      </c>
      <c r="R16" s="644">
        <v>1853969</v>
      </c>
    </row>
    <row r="17" spans="1:18" s="18" customFormat="1" ht="24.95" hidden="1" customHeight="1">
      <c r="A17" s="443">
        <f>'8-1.설비자재산출(전력통신)'!B16</f>
        <v>127955</v>
      </c>
      <c r="B17" s="235" t="str">
        <f>'8-1.설비자재산출(전력통신)'!C16</f>
        <v>채널급 유니트</v>
      </c>
      <c r="C17" s="235" t="str">
        <f>'8-1.설비자재산출(전력통신)'!D16</f>
        <v>4W E&amp;M</v>
      </c>
      <c r="D17" s="234" t="str">
        <f>'8-1.설비자재산출(전력통신)'!I16</f>
        <v>EA</v>
      </c>
      <c r="E17" s="645">
        <v>2618713</v>
      </c>
      <c r="F17" s="645"/>
      <c r="G17" s="582"/>
      <c r="H17" s="645"/>
      <c r="I17" s="582"/>
      <c r="J17" s="582"/>
      <c r="K17" s="839"/>
      <c r="L17" s="839"/>
      <c r="M17" s="582"/>
      <c r="N17" s="227">
        <f t="shared" si="0"/>
        <v>2297842.0961099998</v>
      </c>
      <c r="O17" s="643" t="s">
        <v>2588</v>
      </c>
      <c r="P17" s="643"/>
      <c r="R17" s="644">
        <v>2618713</v>
      </c>
    </row>
    <row r="18" spans="1:18" s="18" customFormat="1" ht="24.95" hidden="1" customHeight="1">
      <c r="A18" s="443">
        <f>'8-1.설비자재산출(전력통신)'!B17</f>
        <v>126555</v>
      </c>
      <c r="B18" s="235" t="str">
        <f>'8-1.설비자재산출(전력통신)'!C17</f>
        <v>P-to-P(A) 광전송장치</v>
      </c>
      <c r="C18" s="235" t="str">
        <f>'8-1.설비자재산출(전력통신)'!D17</f>
        <v>PTPU(A)</v>
      </c>
      <c r="D18" s="234" t="str">
        <f>'8-1.설비자재산출(전력통신)'!I17</f>
        <v>EA</v>
      </c>
      <c r="E18" s="234">
        <v>3906362</v>
      </c>
      <c r="F18" s="645"/>
      <c r="G18" s="227"/>
      <c r="H18" s="234"/>
      <c r="I18" s="227"/>
      <c r="J18" s="227"/>
      <c r="K18" s="839"/>
      <c r="L18" s="839"/>
      <c r="M18" s="227"/>
      <c r="N18" s="227">
        <f t="shared" si="0"/>
        <v>3427715.4641399998</v>
      </c>
      <c r="O18" s="643" t="s">
        <v>2588</v>
      </c>
      <c r="P18" s="643">
        <v>0</v>
      </c>
      <c r="R18" s="644">
        <v>3906362</v>
      </c>
    </row>
    <row r="19" spans="1:18" s="18" customFormat="1" ht="24.95" hidden="1" customHeight="1">
      <c r="A19" s="443">
        <f>'8-1.설비자재산출(전력통신)'!B18</f>
        <v>126556</v>
      </c>
      <c r="B19" s="235" t="str">
        <f>'8-1.설비자재산출(전력통신)'!C18</f>
        <v>P-to-P(B) 광전송장치</v>
      </c>
      <c r="C19" s="235" t="str">
        <f>'8-1.설비자재산출(전력통신)'!D18</f>
        <v>PTPU(B)</v>
      </c>
      <c r="D19" s="234" t="str">
        <f>'8-1.설비자재산출(전력통신)'!I18</f>
        <v>EA</v>
      </c>
      <c r="E19" s="234">
        <v>4556334</v>
      </c>
      <c r="F19" s="645"/>
      <c r="G19" s="227"/>
      <c r="H19" s="234"/>
      <c r="I19" s="227"/>
      <c r="J19" s="227"/>
      <c r="K19" s="839"/>
      <c r="L19" s="839"/>
      <c r="M19" s="227"/>
      <c r="N19" s="227">
        <f t="shared" si="0"/>
        <v>3998046.3949799999</v>
      </c>
      <c r="O19" s="643" t="s">
        <v>2588</v>
      </c>
      <c r="P19" s="643">
        <v>0</v>
      </c>
      <c r="R19" s="644">
        <v>4556334</v>
      </c>
    </row>
    <row r="20" spans="1:18" s="18" customFormat="1" ht="24.95" customHeight="1">
      <c r="A20" s="443">
        <f>'8-1.설비자재산출(전력통신)'!B19</f>
        <v>126557</v>
      </c>
      <c r="B20" s="235" t="str">
        <f>'8-1.설비자재산출(전력통신)'!C19</f>
        <v>P-to-P(C) 광전송장치</v>
      </c>
      <c r="C20" s="235" t="str">
        <f>'8-1.설비자재산출(전력통신)'!D19</f>
        <v>PTPU(C)</v>
      </c>
      <c r="D20" s="234" t="str">
        <f>'8-1.설비자재산출(전력통신)'!I19</f>
        <v>EA</v>
      </c>
      <c r="E20" s="234">
        <v>5429475</v>
      </c>
      <c r="F20" s="645"/>
      <c r="G20" s="233"/>
      <c r="H20" s="234"/>
      <c r="I20" s="227"/>
      <c r="J20" s="227"/>
      <c r="K20" s="839">
        <v>5500000</v>
      </c>
      <c r="L20" s="839">
        <v>5670000</v>
      </c>
      <c r="M20" s="227"/>
      <c r="N20" s="227">
        <f t="shared" si="0"/>
        <v>4764201.4282499999</v>
      </c>
      <c r="O20" s="643" t="s">
        <v>2588</v>
      </c>
      <c r="P20" s="643">
        <v>0</v>
      </c>
      <c r="R20" s="644">
        <v>5429475</v>
      </c>
    </row>
    <row r="21" spans="1:18" s="18" customFormat="1" ht="24.95" customHeight="1">
      <c r="A21" s="443">
        <f>'8-1.설비자재산출(전력통신)'!B20</f>
        <v>126558</v>
      </c>
      <c r="B21" s="235" t="str">
        <f>'8-1.설비자재산출(전력통신)'!C20</f>
        <v>전용랙(내진)</v>
      </c>
      <c r="C21" s="235" t="str">
        <f>'8-1.설비자재산출(전력통신)'!D20</f>
        <v>19"-내진랙</v>
      </c>
      <c r="D21" s="234" t="str">
        <f>'8-1.설비자재산출(전력통신)'!I20</f>
        <v>EA</v>
      </c>
      <c r="E21" s="234">
        <v>6821881</v>
      </c>
      <c r="F21" s="645"/>
      <c r="G21" s="233"/>
      <c r="H21" s="234"/>
      <c r="I21" s="227"/>
      <c r="J21" s="227"/>
      <c r="K21" s="839">
        <v>7200000</v>
      </c>
      <c r="L21" s="839">
        <v>7340000</v>
      </c>
      <c r="M21" s="227"/>
      <c r="N21" s="227">
        <f t="shared" si="0"/>
        <v>5985995.9210700002</v>
      </c>
      <c r="O21" s="643" t="s">
        <v>2588</v>
      </c>
      <c r="P21" s="643">
        <v>0</v>
      </c>
      <c r="R21" s="644">
        <v>6821881</v>
      </c>
    </row>
    <row r="22" spans="1:18" s="18" customFormat="1" ht="24.95" customHeight="1">
      <c r="A22" s="443">
        <f>'8-1.설비자재산출(전력통신)'!B21</f>
        <v>120544</v>
      </c>
      <c r="B22" s="235" t="str">
        <f>'8-1.설비자재산출(전력통신)'!C21</f>
        <v>챔프케이블(송광치)</v>
      </c>
      <c r="C22" s="235" t="str">
        <f>'8-1.설비자재산출(전력통신)'!D21</f>
        <v>CH-SM-15(송광치)</v>
      </c>
      <c r="D22" s="234" t="str">
        <f>'8-1.설비자재산출(전력통신)'!I21</f>
        <v>EA</v>
      </c>
      <c r="E22" s="232">
        <v>108106</v>
      </c>
      <c r="F22" s="666"/>
      <c r="G22" s="233"/>
      <c r="H22" s="234"/>
      <c r="I22" s="227"/>
      <c r="J22" s="227"/>
      <c r="K22" s="839">
        <v>127000</v>
      </c>
      <c r="L22" s="839">
        <v>135000</v>
      </c>
      <c r="M22" s="227"/>
      <c r="N22" s="227">
        <f t="shared" si="0"/>
        <v>94859.771819999994</v>
      </c>
      <c r="O22" s="643" t="s">
        <v>2588</v>
      </c>
      <c r="P22" s="643">
        <v>0</v>
      </c>
      <c r="R22" s="644">
        <v>108106</v>
      </c>
    </row>
    <row r="23" spans="1:18" s="18" customFormat="1" ht="24.95" customHeight="1">
      <c r="A23" s="443">
        <f>'8-1.설비자재산출(전력통신)'!B22</f>
        <v>120669</v>
      </c>
      <c r="B23" s="235" t="str">
        <f>'8-1.설비자재산출(전력통신)'!C22</f>
        <v>집중배선반</v>
      </c>
      <c r="C23" s="235" t="str">
        <f>'8-1.설비자재산출(전력통신)'!D22</f>
        <v>QDF</v>
      </c>
      <c r="D23" s="234" t="str">
        <f>'8-1.설비자재산출(전력통신)'!I22</f>
        <v>EA</v>
      </c>
      <c r="E23" s="232">
        <v>163945</v>
      </c>
      <c r="F23" s="666"/>
      <c r="G23" s="233"/>
      <c r="H23" s="234"/>
      <c r="I23" s="227"/>
      <c r="J23" s="227"/>
      <c r="K23" s="839">
        <v>312000</v>
      </c>
      <c r="L23" s="839">
        <v>340000</v>
      </c>
      <c r="M23" s="227"/>
      <c r="N23" s="227">
        <f t="shared" si="0"/>
        <v>143856.81915</v>
      </c>
      <c r="O23" s="643" t="s">
        <v>2588</v>
      </c>
      <c r="P23" s="643">
        <v>0</v>
      </c>
      <c r="R23" s="644">
        <v>163945</v>
      </c>
    </row>
    <row r="24" spans="1:18" s="18" customFormat="1" ht="24.95" hidden="1" customHeight="1">
      <c r="A24" s="443">
        <f>'8-1.설비자재산출(전력통신)'!B23</f>
        <v>109725</v>
      </c>
      <c r="B24" s="235" t="str">
        <f>'8-1.설비자재산출(전력통신)'!C23</f>
        <v>중간배선반</v>
      </c>
      <c r="C24" s="235" t="str">
        <f>'8-1.설비자재산출(전력통신)'!D23</f>
        <v>IDF</v>
      </c>
      <c r="D24" s="234" t="str">
        <f>'8-1.설비자재산출(전력통신)'!I23</f>
        <v>EA</v>
      </c>
      <c r="E24" s="232">
        <v>125286</v>
      </c>
      <c r="F24" s="666"/>
      <c r="G24" s="227"/>
      <c r="H24" s="234"/>
      <c r="I24" s="227"/>
      <c r="J24" s="227"/>
      <c r="K24" s="839"/>
      <c r="L24" s="839"/>
      <c r="M24" s="227"/>
      <c r="N24" s="227">
        <f t="shared" si="0"/>
        <v>109934.70642</v>
      </c>
      <c r="O24" s="643" t="s">
        <v>2588</v>
      </c>
      <c r="P24" s="643">
        <v>0</v>
      </c>
      <c r="R24" s="644">
        <v>125286</v>
      </c>
    </row>
    <row r="25" spans="1:18" s="18" customFormat="1" ht="24.95" customHeight="1">
      <c r="A25" s="443">
        <f>'8-1.설비자재산출(전력통신)'!B24</f>
        <v>127037</v>
      </c>
      <c r="B25" s="235" t="str">
        <f>'8-1.설비자재산출(전력통신)'!C24</f>
        <v>송변전용스위치(A)</v>
      </c>
      <c r="C25" s="235" t="str">
        <f>'8-1.설비자재산출(전력통신)'!D24</f>
        <v>L3SWU(A)</v>
      </c>
      <c r="D25" s="234" t="str">
        <f>'8-1.설비자재산출(전력통신)'!I24</f>
        <v>EA</v>
      </c>
      <c r="E25" s="232">
        <v>4136787</v>
      </c>
      <c r="F25" s="666"/>
      <c r="G25" s="233"/>
      <c r="H25" s="234"/>
      <c r="I25" s="227"/>
      <c r="J25" s="227"/>
      <c r="K25" s="839">
        <v>4000000</v>
      </c>
      <c r="L25" s="839">
        <v>4430000</v>
      </c>
      <c r="M25" s="227"/>
      <c r="N25" s="227">
        <f t="shared" si="0"/>
        <v>3509880</v>
      </c>
      <c r="O25" s="643" t="s">
        <v>2588</v>
      </c>
      <c r="P25" s="643">
        <v>0</v>
      </c>
      <c r="R25" s="644">
        <v>4000000</v>
      </c>
    </row>
    <row r="26" spans="1:18" s="18" customFormat="1" ht="24.95" hidden="1" customHeight="1">
      <c r="A26" s="443">
        <f>'8-1.설비자재산출(전력통신)'!B26</f>
        <v>127038</v>
      </c>
      <c r="B26" s="235" t="str">
        <f>'8-1.설비자재산출(전력통신)'!C26</f>
        <v>송변전용스위치(B)</v>
      </c>
      <c r="C26" s="235" t="str">
        <f>'8-1.설비자재산출(전력통신)'!D26</f>
        <v>L3SWU(B)
IRIG-B신호 수신</v>
      </c>
      <c r="D26" s="234" t="str">
        <f>'8-1.설비자재산출(전력통신)'!I26</f>
        <v>EA</v>
      </c>
      <c r="E26" s="232"/>
      <c r="F26" s="666"/>
      <c r="G26" s="233"/>
      <c r="H26" s="234"/>
      <c r="I26" s="227"/>
      <c r="J26" s="227"/>
      <c r="K26" s="839">
        <v>4500000</v>
      </c>
      <c r="L26" s="839">
        <v>4940000</v>
      </c>
      <c r="M26" s="227"/>
      <c r="N26" s="227">
        <f t="shared" si="0"/>
        <v>3948615</v>
      </c>
      <c r="O26" s="643" t="s">
        <v>1692</v>
      </c>
      <c r="P26" s="643">
        <v>0</v>
      </c>
      <c r="R26" s="644">
        <v>4500000</v>
      </c>
    </row>
    <row r="27" spans="1:18" s="18" customFormat="1" ht="24.95" hidden="1" customHeight="1">
      <c r="A27" s="443">
        <f>'8-1.설비자재산출(전력통신)'!B27</f>
        <v>124668</v>
      </c>
      <c r="B27" s="235" t="str">
        <f>'8-1.설비자재산출(전력통신)'!C27</f>
        <v>통합단말 부속장비</v>
      </c>
      <c r="C27" s="235" t="str">
        <f>'8-1.설비자재산출(전력통신)'!D27</f>
        <v>PTPU(A), 40km</v>
      </c>
      <c r="D27" s="234" t="str">
        <f>'8-1.설비자재산출(전력통신)'!I27</f>
        <v>EA</v>
      </c>
      <c r="E27" s="232"/>
      <c r="F27" s="232"/>
      <c r="G27" s="233"/>
      <c r="H27" s="234"/>
      <c r="I27" s="227"/>
      <c r="J27" s="227"/>
      <c r="K27" s="582"/>
      <c r="L27" s="582"/>
      <c r="M27" s="227"/>
      <c r="N27" s="227">
        <f t="shared" si="0"/>
        <v>0</v>
      </c>
      <c r="O27" s="643"/>
      <c r="P27" s="643">
        <v>0</v>
      </c>
      <c r="R27" s="18">
        <v>0</v>
      </c>
    </row>
    <row r="28" spans="1:18" s="18" customFormat="1" ht="24.95" hidden="1" customHeight="1">
      <c r="A28" s="443">
        <f>'8-1.설비자재산출(전력통신)'!B28</f>
        <v>124669</v>
      </c>
      <c r="B28" s="235" t="str">
        <f>'8-1.설비자재산출(전력통신)'!C28</f>
        <v>통합단말 부속장비</v>
      </c>
      <c r="C28" s="235" t="str">
        <f>'8-1.설비자재산출(전력통신)'!D28</f>
        <v>PTPU(B), 100km</v>
      </c>
      <c r="D28" s="234" t="str">
        <f>'8-1.설비자재산출(전력통신)'!I28</f>
        <v>EA</v>
      </c>
      <c r="E28" s="232"/>
      <c r="F28" s="232"/>
      <c r="G28" s="233"/>
      <c r="H28" s="234"/>
      <c r="I28" s="227"/>
      <c r="J28" s="227"/>
      <c r="K28" s="582"/>
      <c r="L28" s="582"/>
      <c r="M28" s="227"/>
      <c r="N28" s="227">
        <f t="shared" si="0"/>
        <v>0</v>
      </c>
      <c r="O28" s="643"/>
      <c r="P28" s="643">
        <v>0</v>
      </c>
      <c r="R28" s="18">
        <v>0</v>
      </c>
    </row>
    <row r="29" spans="1:18" s="18" customFormat="1" ht="24.95" hidden="1" customHeight="1">
      <c r="A29" s="443">
        <f>'8-1.설비자재산출(전력통신)'!B29</f>
        <v>109726</v>
      </c>
      <c r="B29" s="235" t="str">
        <f>'8-1.설비자재산출(전력통신)'!C29</f>
        <v>통화로분선반</v>
      </c>
      <c r="C29" s="235" t="str">
        <f>'8-1.설비자재산출(전력통신)'!D29</f>
        <v>VDF</v>
      </c>
      <c r="D29" s="234" t="str">
        <f>'8-1.설비자재산출(전력통신)'!I29</f>
        <v>EA</v>
      </c>
      <c r="E29" s="232"/>
      <c r="F29" s="232"/>
      <c r="G29" s="233"/>
      <c r="H29" s="234"/>
      <c r="I29" s="227"/>
      <c r="J29" s="227"/>
      <c r="K29" s="839">
        <v>1200000</v>
      </c>
      <c r="L29" s="839">
        <v>1090000</v>
      </c>
      <c r="M29" s="839"/>
      <c r="N29" s="227">
        <f t="shared" si="0"/>
        <v>956442.29999999993</v>
      </c>
      <c r="O29" s="270" t="s">
        <v>471</v>
      </c>
      <c r="P29" s="270">
        <v>0</v>
      </c>
      <c r="R29" s="18">
        <v>1090000</v>
      </c>
    </row>
    <row r="30" spans="1:18" s="18" customFormat="1" ht="24.95" hidden="1" customHeight="1">
      <c r="A30" s="443">
        <f>'8-1.설비자재산출(전력통신)'!B30</f>
        <v>120544</v>
      </c>
      <c r="B30" s="235" t="str">
        <f>'8-1.설비자재산출(전력통신)'!C30</f>
        <v>챔프케이블(구형 PTP)</v>
      </c>
      <c r="C30" s="235" t="str">
        <f>'8-1.설비자재산출(전력통신)'!D30</f>
        <v>CH-SM-15(구형 PTP)</v>
      </c>
      <c r="D30" s="234" t="str">
        <f>'8-1.설비자재산출(전력통신)'!I30</f>
        <v>EA</v>
      </c>
      <c r="E30" s="232"/>
      <c r="F30" s="666"/>
      <c r="G30" s="233"/>
      <c r="H30" s="234"/>
      <c r="I30" s="227"/>
      <c r="J30" s="227"/>
      <c r="K30" s="227"/>
      <c r="L30" s="227"/>
      <c r="M30" s="227"/>
      <c r="N30" s="227">
        <f t="shared" si="0"/>
        <v>0</v>
      </c>
      <c r="O30" s="643"/>
      <c r="P30" s="643"/>
      <c r="R30" s="644">
        <v>0</v>
      </c>
    </row>
    <row r="31" spans="1:18" s="18" customFormat="1" ht="24.95" hidden="1" customHeight="1">
      <c r="A31" s="443">
        <f>'8-1.설비자재산출(전력통신)'!B31</f>
        <v>120543</v>
      </c>
      <c r="B31" s="235" t="str">
        <f>'8-1.설비자재산출(전력통신)'!C31</f>
        <v>LIU-DS</v>
      </c>
      <c r="C31" s="235" t="str">
        <f>'8-1.설비자재산출(전력통신)'!D31</f>
        <v>LIU-DS</v>
      </c>
      <c r="D31" s="234" t="str">
        <f>'8-1.설비자재산출(전력통신)'!I31</f>
        <v>EA</v>
      </c>
      <c r="E31" s="232"/>
      <c r="F31" s="232"/>
      <c r="G31" s="233"/>
      <c r="H31" s="234"/>
      <c r="I31" s="227"/>
      <c r="J31" s="227"/>
      <c r="K31" s="227"/>
      <c r="L31" s="227"/>
      <c r="M31" s="227"/>
      <c r="N31" s="227">
        <f t="shared" si="0"/>
        <v>0</v>
      </c>
      <c r="O31" s="643"/>
      <c r="P31" s="643">
        <v>0</v>
      </c>
      <c r="R31" s="18">
        <v>0</v>
      </c>
    </row>
    <row r="32" spans="1:18" s="18" customFormat="1" ht="24.95" customHeight="1">
      <c r="A32" s="443"/>
      <c r="B32" s="841" t="str">
        <f>'8-1.설비자재산출(전력통신)'!C32</f>
        <v>컨테이너</v>
      </c>
      <c r="C32" s="841" t="str">
        <f>'8-1.설비자재산출(전력통신)'!D32</f>
        <v>ICT실용, 냉방기, 단열재, 운송 설치 포함</v>
      </c>
      <c r="D32" s="645" t="str">
        <f>'8-1.설비자재산출(전력통신)'!I32</f>
        <v>EA</v>
      </c>
      <c r="E32" s="1643"/>
      <c r="F32" s="1643"/>
      <c r="G32" s="1644"/>
      <c r="H32" s="1645"/>
      <c r="I32" s="1635"/>
      <c r="J32" s="1635"/>
      <c r="K32" s="1635">
        <v>30242082</v>
      </c>
      <c r="L32" s="1635">
        <v>34300000</v>
      </c>
      <c r="M32" s="1635"/>
      <c r="N32" s="227">
        <f t="shared" si="0"/>
        <v>26536519.692539997</v>
      </c>
      <c r="O32" s="898" t="s">
        <v>471</v>
      </c>
      <c r="P32" s="643"/>
      <c r="R32" s="18">
        <v>30242082</v>
      </c>
    </row>
    <row r="33" spans="1:18" s="18" customFormat="1" ht="24.95" customHeight="1">
      <c r="A33" s="443"/>
      <c r="B33" s="841" t="str">
        <f>'8-1.설비자재산출(전력통신)'!C25</f>
        <v>광증폭기</v>
      </c>
      <c r="C33" s="841" t="str">
        <f>'8-1.설비자재산출(전력통신)'!D25</f>
        <v>8CH</v>
      </c>
      <c r="D33" s="645" t="str">
        <f>'8-1.설비자재산출(전력통신)'!I25</f>
        <v>EA</v>
      </c>
      <c r="E33" s="1643"/>
      <c r="F33" s="1643"/>
      <c r="G33" s="1644"/>
      <c r="H33" s="1645"/>
      <c r="I33" s="1635"/>
      <c r="J33" s="1635"/>
      <c r="K33" s="1635">
        <v>25000000</v>
      </c>
      <c r="L33" s="1635">
        <v>26000000</v>
      </c>
      <c r="M33" s="1635"/>
      <c r="N33" s="227">
        <f t="shared" si="0"/>
        <v>21936750</v>
      </c>
      <c r="O33" s="898" t="s">
        <v>471</v>
      </c>
      <c r="P33" s="643"/>
      <c r="R33" s="18">
        <v>25000000</v>
      </c>
    </row>
    <row r="34" spans="1:18" s="18" customFormat="1" ht="24.95" customHeight="1">
      <c r="A34" s="443"/>
      <c r="B34" s="841" t="str">
        <f>'8-1.설비자재산출(전력통신)'!C33</f>
        <v>난연성제어케이블</v>
      </c>
      <c r="C34" s="841" t="str">
        <f>'8-1.설비자재산출(전력통신)'!D33</f>
        <v>FR-CVV-S, 6SQ/2C</v>
      </c>
      <c r="D34" s="645" t="str">
        <f>'8-1.설비자재산출(전력통신)'!I33</f>
        <v>m</v>
      </c>
      <c r="E34" s="1643"/>
      <c r="F34" s="1643"/>
      <c r="G34" s="1646"/>
      <c r="H34" s="1647"/>
      <c r="I34" s="897"/>
      <c r="J34" s="1647"/>
      <c r="K34" s="1213">
        <v>5080</v>
      </c>
      <c r="L34" s="1213">
        <v>5440</v>
      </c>
      <c r="M34" s="493"/>
      <c r="N34" s="227">
        <f t="shared" si="0"/>
        <v>4457.5475999999999</v>
      </c>
      <c r="O34" s="898" t="s">
        <v>471</v>
      </c>
      <c r="P34" s="643"/>
      <c r="R34" s="18">
        <v>5080</v>
      </c>
    </row>
    <row r="35" spans="1:18" s="18" customFormat="1" ht="24.95" hidden="1" customHeight="1">
      <c r="A35" s="443"/>
      <c r="B35" s="841" t="str">
        <f>'8-1.설비자재산출(전력통신)'!C34</f>
        <v>난연성제어케이블</v>
      </c>
      <c r="C35" s="841" t="str">
        <f>'8-1.설비자재산출(전력통신)'!D34</f>
        <v>FR-CVV-S, 6SQ/2C</v>
      </c>
      <c r="D35" s="645" t="str">
        <f>'8-1.설비자재산출(전력통신)'!I34</f>
        <v>m</v>
      </c>
      <c r="E35" s="1643"/>
      <c r="F35" s="1643"/>
      <c r="G35" s="1646"/>
      <c r="H35" s="1647"/>
      <c r="I35" s="897"/>
      <c r="J35" s="1647"/>
      <c r="K35" s="1213">
        <v>5080</v>
      </c>
      <c r="L35" s="1213">
        <v>5440</v>
      </c>
      <c r="M35" s="493"/>
      <c r="N35" s="227">
        <f t="shared" si="0"/>
        <v>4457.5475999999999</v>
      </c>
      <c r="O35" s="898" t="s">
        <v>471</v>
      </c>
      <c r="P35" s="643"/>
      <c r="R35" s="18">
        <v>5080</v>
      </c>
    </row>
    <row r="36" spans="1:18" s="18" customFormat="1" ht="24.95" hidden="1" customHeight="1">
      <c r="A36" s="443"/>
      <c r="B36" s="841" t="str">
        <f>'8-1.설비자재산출(전력통신)'!C35</f>
        <v>난연성제어케이블</v>
      </c>
      <c r="C36" s="841" t="str">
        <f>'8-1.설비자재산출(전력통신)'!D35</f>
        <v>FR-CVV-S, 6SQ/2C</v>
      </c>
      <c r="D36" s="645" t="str">
        <f>'8-1.설비자재산출(전력통신)'!I35</f>
        <v>m</v>
      </c>
      <c r="E36" s="1643"/>
      <c r="F36" s="1643"/>
      <c r="G36" s="1646"/>
      <c r="H36" s="1647"/>
      <c r="I36" s="897"/>
      <c r="J36" s="1647"/>
      <c r="K36" s="1213">
        <v>5080</v>
      </c>
      <c r="L36" s="1213">
        <v>5440</v>
      </c>
      <c r="M36" s="493"/>
      <c r="N36" s="227">
        <f t="shared" si="0"/>
        <v>4457.5475999999999</v>
      </c>
      <c r="O36" s="898" t="s">
        <v>471</v>
      </c>
      <c r="P36" s="643"/>
      <c r="R36" s="18">
        <v>5080</v>
      </c>
    </row>
    <row r="37" spans="1:18" s="18" customFormat="1" ht="24.95" customHeight="1">
      <c r="A37" s="443"/>
      <c r="B37" s="841" t="str">
        <f>'8-1.설비자재산출(전력통신)'!C44</f>
        <v>접지케이블</v>
      </c>
      <c r="C37" s="841" t="str">
        <f>'8-1.설비자재산출(전력통신)'!D44</f>
        <v>F-GV, 6SQ</v>
      </c>
      <c r="D37" s="645" t="str">
        <f>'8-1.설비자재산출(전력통신)'!I44</f>
        <v>m</v>
      </c>
      <c r="E37" s="666"/>
      <c r="F37" s="666"/>
      <c r="G37" s="493">
        <v>1567</v>
      </c>
      <c r="H37" s="394">
        <v>1075</v>
      </c>
      <c r="I37" s="493">
        <v>1290</v>
      </c>
      <c r="J37" s="394">
        <v>1165</v>
      </c>
      <c r="K37" s="1213">
        <v>1230</v>
      </c>
      <c r="L37" s="1213">
        <v>1320</v>
      </c>
      <c r="M37" s="1213">
        <v>1277</v>
      </c>
      <c r="N37" s="227">
        <f t="shared" si="0"/>
        <v>1079.2881</v>
      </c>
      <c r="O37" s="269" t="s">
        <v>3169</v>
      </c>
      <c r="P37" s="643"/>
      <c r="R37" s="18">
        <v>1230</v>
      </c>
    </row>
    <row r="38" spans="1:18" s="18" customFormat="1" ht="24.95" customHeight="1">
      <c r="A38" s="443"/>
      <c r="B38" s="841" t="str">
        <f>'8-1.설비자재산출(전력통신)'!C36</f>
        <v>광점퍼코드</v>
      </c>
      <c r="C38" s="841" t="str">
        <f>'8-1.설비자재산출(전력통신)'!D36</f>
        <v>SC/APC-SC/APC, 15m, 1C</v>
      </c>
      <c r="D38" s="645" t="str">
        <f>'8-1.설비자재산출(전력통신)'!I36</f>
        <v>EA</v>
      </c>
      <c r="E38" s="666"/>
      <c r="F38" s="666"/>
      <c r="G38" s="583"/>
      <c r="H38" s="645"/>
      <c r="I38" s="582"/>
      <c r="J38" s="582"/>
      <c r="K38" s="582">
        <v>15000</v>
      </c>
      <c r="L38" s="582">
        <v>17000</v>
      </c>
      <c r="M38" s="582"/>
      <c r="N38" s="227">
        <f t="shared" si="0"/>
        <v>13162.05</v>
      </c>
      <c r="O38" s="643"/>
      <c r="P38" s="643"/>
      <c r="R38" s="18">
        <v>15000</v>
      </c>
    </row>
    <row r="39" spans="1:18" s="18" customFormat="1" ht="24.95" hidden="1" customHeight="1">
      <c r="A39" s="443"/>
      <c r="B39" s="841" t="str">
        <f>'8-1.설비자재산출(전력통신)'!C37</f>
        <v>UTP케이블</v>
      </c>
      <c r="C39" s="841" t="str">
        <f>'8-1.설비자재산출(전력통신)'!D37</f>
        <v>UTP CAT.5E 100P</v>
      </c>
      <c r="D39" s="645" t="str">
        <f>'8-1.설비자재산출(전력통신)'!I37</f>
        <v>m</v>
      </c>
      <c r="E39" s="666"/>
      <c r="F39" s="666"/>
      <c r="G39" s="583"/>
      <c r="H39" s="645"/>
      <c r="I39" s="582"/>
      <c r="J39" s="582"/>
      <c r="K39" s="582"/>
      <c r="L39" s="582"/>
      <c r="M39" s="582"/>
      <c r="N39" s="227">
        <f t="shared" si="0"/>
        <v>0</v>
      </c>
      <c r="O39" s="643"/>
      <c r="P39" s="643"/>
      <c r="R39" s="18">
        <v>0</v>
      </c>
    </row>
    <row r="40" spans="1:18" s="18" customFormat="1" ht="24.95" hidden="1" customHeight="1">
      <c r="A40" s="443"/>
      <c r="B40" s="841" t="str">
        <f>'8-1.설비자재산출(전력통신)'!C38</f>
        <v>UTP케이블</v>
      </c>
      <c r="C40" s="841" t="str">
        <f>'8-1.설비자재산출(전력통신)'!D38</f>
        <v>UTP CAT.5E 25P</v>
      </c>
      <c r="D40" s="645" t="str">
        <f>'8-1.설비자재산출(전력통신)'!I38</f>
        <v>m</v>
      </c>
      <c r="E40" s="666"/>
      <c r="F40" s="666"/>
      <c r="G40" s="583"/>
      <c r="H40" s="645"/>
      <c r="I40" s="582"/>
      <c r="J40" s="582"/>
      <c r="K40" s="582"/>
      <c r="L40" s="582"/>
      <c r="M40" s="582"/>
      <c r="N40" s="227">
        <f t="shared" si="0"/>
        <v>0</v>
      </c>
      <c r="O40" s="643"/>
      <c r="P40" s="643"/>
      <c r="R40" s="18">
        <v>0</v>
      </c>
    </row>
    <row r="41" spans="1:18" s="18" customFormat="1" ht="24.95" customHeight="1">
      <c r="A41" s="443"/>
      <c r="B41" s="841" t="str">
        <f>'8-1.설비자재산출(전력통신)'!C39</f>
        <v>UTP케이블</v>
      </c>
      <c r="C41" s="841" t="str">
        <f>'8-1.설비자재산출(전력통신)'!D39</f>
        <v>CAT.5E 4P</v>
      </c>
      <c r="D41" s="645" t="str">
        <f>'8-1.설비자재산출(전력통신)'!I39</f>
        <v>m</v>
      </c>
      <c r="E41" s="666"/>
      <c r="F41" s="666"/>
      <c r="G41" s="493">
        <v>790</v>
      </c>
      <c r="H41" s="394">
        <v>1083</v>
      </c>
      <c r="I41" s="493">
        <v>1100</v>
      </c>
      <c r="J41" s="394">
        <v>1177</v>
      </c>
      <c r="K41" s="1213">
        <v>790</v>
      </c>
      <c r="L41" s="1213">
        <v>800</v>
      </c>
      <c r="M41" s="582"/>
      <c r="N41" s="227">
        <f t="shared" si="0"/>
        <v>693.20129999999995</v>
      </c>
      <c r="O41" s="269" t="s">
        <v>3170</v>
      </c>
      <c r="P41" s="643"/>
      <c r="R41" s="18">
        <v>790</v>
      </c>
    </row>
    <row r="42" spans="1:18" s="18" customFormat="1" ht="24.95" hidden="1" customHeight="1">
      <c r="A42" s="443"/>
      <c r="B42" s="841" t="str">
        <f>'8-1.설비자재산출(전력통신)'!C40</f>
        <v>UTP케이블</v>
      </c>
      <c r="C42" s="841" t="str">
        <f>'8-1.설비자재산출(전력통신)'!D40</f>
        <v>CAT.5E 4P</v>
      </c>
      <c r="D42" s="645" t="str">
        <f>'8-1.설비자재산출(전력통신)'!I40</f>
        <v>m</v>
      </c>
      <c r="E42" s="666"/>
      <c r="F42" s="666"/>
      <c r="G42" s="493">
        <v>790</v>
      </c>
      <c r="H42" s="394">
        <v>1083</v>
      </c>
      <c r="I42" s="493">
        <v>1100</v>
      </c>
      <c r="J42" s="394">
        <v>1177</v>
      </c>
      <c r="K42" s="1213">
        <v>790</v>
      </c>
      <c r="L42" s="1213">
        <v>800</v>
      </c>
      <c r="M42" s="582"/>
      <c r="N42" s="227">
        <f t="shared" si="0"/>
        <v>693.20129999999995</v>
      </c>
      <c r="O42" s="269" t="s">
        <v>3170</v>
      </c>
      <c r="P42" s="643"/>
      <c r="R42" s="18">
        <v>790</v>
      </c>
    </row>
    <row r="43" spans="1:18" s="18" customFormat="1" ht="24.95" customHeight="1">
      <c r="A43" s="443"/>
      <c r="B43" s="841" t="str">
        <f>'8-1.설비자재산출(전력통신)'!C41</f>
        <v>후렉시블전선관</v>
      </c>
      <c r="C43" s="841" t="str">
        <f>'8-1.설비자재산출(전력통신)'!D41</f>
        <v>22㎜, 일반방수(GW-22)</v>
      </c>
      <c r="D43" s="645" t="str">
        <f>'8-1.설비자재산출(전력통신)'!I41</f>
        <v>m</v>
      </c>
      <c r="E43" s="666"/>
      <c r="F43" s="666"/>
      <c r="G43" s="493">
        <v>2880</v>
      </c>
      <c r="H43" s="394">
        <v>1103</v>
      </c>
      <c r="I43" s="1213">
        <v>935</v>
      </c>
      <c r="J43" s="1700">
        <v>1204</v>
      </c>
      <c r="K43" s="1213">
        <v>3250</v>
      </c>
      <c r="L43" s="1213">
        <v>3550</v>
      </c>
      <c r="M43" s="582"/>
      <c r="N43" s="227">
        <f t="shared" si="0"/>
        <v>820.43444999999997</v>
      </c>
      <c r="O43" s="269" t="s">
        <v>3170</v>
      </c>
      <c r="P43" s="643"/>
      <c r="R43" s="18">
        <v>935</v>
      </c>
    </row>
    <row r="44" spans="1:18" s="18" customFormat="1" ht="24.95" hidden="1" customHeight="1">
      <c r="A44" s="443"/>
      <c r="B44" s="841" t="str">
        <f>'8-1.설비자재산출(전력통신)'!C42</f>
        <v>후렉시블전선관</v>
      </c>
      <c r="C44" s="841" t="str">
        <f>'8-1.설비자재산출(전력통신)'!D42</f>
        <v>16㎜, 일반방수(GW-16)</v>
      </c>
      <c r="D44" s="645" t="str">
        <f>'8-1.설비자재산출(전력통신)'!I42</f>
        <v>m</v>
      </c>
      <c r="E44" s="666"/>
      <c r="F44" s="666"/>
      <c r="G44" s="583">
        <v>2260</v>
      </c>
      <c r="H44" s="645">
        <v>1141</v>
      </c>
      <c r="I44" s="582"/>
      <c r="J44" s="582"/>
      <c r="K44" s="582"/>
      <c r="L44" s="582"/>
      <c r="M44" s="582"/>
      <c r="N44" s="227">
        <f t="shared" si="0"/>
        <v>1983.0821999999998</v>
      </c>
      <c r="O44" s="643"/>
      <c r="P44" s="643"/>
      <c r="R44" s="18">
        <v>2260</v>
      </c>
    </row>
    <row r="45" spans="1:18" s="18" customFormat="1" ht="24.95" customHeight="1">
      <c r="A45" s="443"/>
      <c r="B45" s="841" t="str">
        <f>'8-1.설비자재산출(전력통신)'!C43</f>
        <v>후렉시블전선관</v>
      </c>
      <c r="C45" s="841" t="str">
        <f>'8-1.설비자재산출(전력통신)'!D43</f>
        <v>16㎜, 일반방수(GW-16)</v>
      </c>
      <c r="D45" s="645" t="str">
        <f>'8-1.설비자재산출(전력통신)'!I43</f>
        <v>m</v>
      </c>
      <c r="E45" s="666"/>
      <c r="F45" s="666"/>
      <c r="G45" s="583">
        <v>2260</v>
      </c>
      <c r="H45" s="645">
        <v>1103</v>
      </c>
      <c r="I45" s="582">
        <v>715</v>
      </c>
      <c r="J45" s="1700">
        <v>1204</v>
      </c>
      <c r="K45" s="582"/>
      <c r="L45" s="582"/>
      <c r="M45" s="582"/>
      <c r="N45" s="227">
        <f t="shared" si="0"/>
        <v>627.39104999999995</v>
      </c>
      <c r="O45" s="269" t="s">
        <v>3170</v>
      </c>
      <c r="P45" s="643"/>
      <c r="R45" s="18">
        <v>715</v>
      </c>
    </row>
    <row r="46" spans="1:18" s="18" customFormat="1" ht="24.95" hidden="1" customHeight="1">
      <c r="A46" s="443"/>
      <c r="B46" s="841" t="str">
        <f>'8-1.설비자재산출(전력통신)'!C45</f>
        <v>19" RACK(경하중/내진)</v>
      </c>
      <c r="C46" s="841" t="str">
        <f>'8-1.설비자재산출(전력통신)'!D45</f>
        <v>19"-단자대 내진랙</v>
      </c>
      <c r="D46" s="645" t="str">
        <f>'8-1.설비자재산출(전력통신)'!I45</f>
        <v>대</v>
      </c>
      <c r="E46" s="563">
        <v>2019739</v>
      </c>
      <c r="F46" s="563"/>
      <c r="G46" s="563"/>
      <c r="H46" s="1200"/>
      <c r="I46" s="1700"/>
      <c r="J46" s="1200"/>
      <c r="K46" s="1700"/>
      <c r="L46" s="1">
        <v>2940000</v>
      </c>
      <c r="M46" s="1213">
        <v>3020000</v>
      </c>
      <c r="N46" s="227">
        <f t="shared" si="0"/>
        <v>1772260.3803299998</v>
      </c>
      <c r="O46" s="270" t="s">
        <v>471</v>
      </c>
      <c r="P46" s="643"/>
      <c r="R46" s="18">
        <v>2019739</v>
      </c>
    </row>
    <row r="47" spans="1:18" s="18" customFormat="1" ht="24.95" hidden="1" customHeight="1">
      <c r="A47" s="443"/>
      <c r="B47" s="841" t="str">
        <f>'8-1.설비자재산출(전력통신)'!C46</f>
        <v>광OFD</v>
      </c>
      <c r="C47" s="841" t="str">
        <f>'8-1.설비자재산출(전력통신)'!D46</f>
        <v>3U, ST-24C</v>
      </c>
      <c r="D47" s="645" t="str">
        <f>'8-1.설비자재산출(전력통신)'!I46</f>
        <v>EA</v>
      </c>
      <c r="E47" s="666"/>
      <c r="F47" s="666"/>
      <c r="G47" s="899"/>
      <c r="H47" s="840"/>
      <c r="I47" s="839"/>
      <c r="J47" s="839"/>
      <c r="K47" s="839"/>
      <c r="L47" s="839"/>
      <c r="M47" s="839"/>
      <c r="N47" s="227">
        <f t="shared" si="0"/>
        <v>0</v>
      </c>
      <c r="O47" s="643">
        <f>'8-1.설비자재산출(전력통신)'!N46</f>
        <v>0</v>
      </c>
      <c r="P47" s="643"/>
      <c r="R47" s="18">
        <v>0</v>
      </c>
    </row>
    <row r="48" spans="1:18" s="18" customFormat="1" ht="24.95" hidden="1" customHeight="1">
      <c r="A48" s="443"/>
      <c r="B48" s="841" t="str">
        <f>'8-1.설비자재산출(전력통신)'!C47</f>
        <v>광점퍼케이블</v>
      </c>
      <c r="C48" s="841" t="str">
        <f>'8-1.설비자재산출(전력통신)'!D47</f>
        <v>OJC-MM 4C, ST-ST, 3M</v>
      </c>
      <c r="D48" s="645" t="str">
        <f>'8-1.설비자재산출(전력통신)'!I47</f>
        <v>EA</v>
      </c>
      <c r="E48" s="666"/>
      <c r="F48" s="666"/>
      <c r="G48" s="899"/>
      <c r="H48" s="840"/>
      <c r="I48" s="839"/>
      <c r="J48" s="839"/>
      <c r="K48" s="839"/>
      <c r="L48" s="839"/>
      <c r="M48" s="839"/>
      <c r="N48" s="227">
        <f t="shared" si="0"/>
        <v>0</v>
      </c>
      <c r="O48" s="643">
        <f>'8-1.설비자재산출(전력통신)'!N47</f>
        <v>0</v>
      </c>
      <c r="P48" s="643"/>
      <c r="R48" s="18">
        <v>0</v>
      </c>
    </row>
    <row r="49" spans="1:18" s="18" customFormat="1" ht="24.95" customHeight="1">
      <c r="A49" s="443"/>
      <c r="B49" s="841" t="str">
        <f>'8-1.설비자재산출(전력통신)'!C48</f>
        <v>광감쇄기</v>
      </c>
      <c r="C49" s="841" t="str">
        <f>'8-1.설비자재산출(전력통신)'!D48</f>
        <v>SM-SC/PC 10dB</v>
      </c>
      <c r="D49" s="645" t="str">
        <f>'8-1.설비자재산출(전력통신)'!I48</f>
        <v>EA</v>
      </c>
      <c r="E49" s="666"/>
      <c r="F49" s="666"/>
      <c r="G49" s="900"/>
      <c r="H49" s="901"/>
      <c r="I49" s="900"/>
      <c r="J49" s="901"/>
      <c r="K49" s="645">
        <v>15000</v>
      </c>
      <c r="L49" s="582">
        <v>20000</v>
      </c>
      <c r="M49" s="582">
        <v>14000</v>
      </c>
      <c r="N49" s="227">
        <f t="shared" si="0"/>
        <v>12284.58</v>
      </c>
      <c r="O49" s="270" t="s">
        <v>471</v>
      </c>
      <c r="P49" s="643"/>
      <c r="R49" s="18">
        <v>14000</v>
      </c>
    </row>
    <row r="50" spans="1:18" s="18" customFormat="1" ht="24.95" hidden="1" customHeight="1">
      <c r="A50" s="443"/>
      <c r="B50" s="841" t="str">
        <f>'8-1.설비자재산출(전력통신)'!C49</f>
        <v>블럭단자(레핑)</v>
      </c>
      <c r="C50" s="841" t="str">
        <f>'8-1.설비자재산출(전력통신)'!D49</f>
        <v>6*30</v>
      </c>
      <c r="D50" s="645" t="str">
        <f>'8-1.설비자재산출(전력통신)'!I49</f>
        <v>EA</v>
      </c>
      <c r="E50" s="666"/>
      <c r="F50" s="666"/>
      <c r="G50" s="899"/>
      <c r="H50" s="840"/>
      <c r="I50" s="839"/>
      <c r="J50" s="839"/>
      <c r="K50" s="839"/>
      <c r="L50" s="839"/>
      <c r="M50" s="839"/>
      <c r="N50" s="227">
        <f t="shared" si="0"/>
        <v>0</v>
      </c>
      <c r="O50" s="643">
        <f>'8-1.설비자재산출(전력통신)'!N49</f>
        <v>0</v>
      </c>
      <c r="P50" s="643"/>
      <c r="R50" s="18">
        <v>0</v>
      </c>
    </row>
    <row r="51" spans="1:18" s="18" customFormat="1" ht="24.95" hidden="1" customHeight="1">
      <c r="A51" s="443"/>
      <c r="B51" s="841" t="str">
        <f>'8-1.설비자재산출(전력통신)'!C50</f>
        <v>QDF 단자대</v>
      </c>
      <c r="C51" s="841" t="str">
        <f>'8-1.설비자재산출(전력통신)'!D50</f>
        <v>60P, 19"랙 실장용</v>
      </c>
      <c r="D51" s="645" t="str">
        <f>'8-1.설비자재산출(전력통신)'!I50</f>
        <v>EA</v>
      </c>
      <c r="E51" s="666"/>
      <c r="F51" s="666"/>
      <c r="G51" s="899"/>
      <c r="H51" s="840"/>
      <c r="I51" s="839"/>
      <c r="J51" s="839"/>
      <c r="K51" s="839"/>
      <c r="L51" s="839"/>
      <c r="M51" s="839"/>
      <c r="N51" s="227">
        <f t="shared" si="0"/>
        <v>0</v>
      </c>
      <c r="O51" s="643">
        <f>'8-1.설비자재산출(전력통신)'!N50</f>
        <v>0</v>
      </c>
      <c r="P51" s="643"/>
      <c r="R51" s="18">
        <v>0</v>
      </c>
    </row>
    <row r="52" spans="1:18" s="18" customFormat="1" ht="24.95" hidden="1" customHeight="1">
      <c r="A52" s="443"/>
      <c r="B52" s="841" t="str">
        <f>'8-1.설비자재산출(전력통신)'!C51</f>
        <v>QDF</v>
      </c>
      <c r="C52" s="841" t="str">
        <f>'8-1.설비자재산출(전력통신)'!D51</f>
        <v>10P</v>
      </c>
      <c r="D52" s="645" t="str">
        <f>'8-1.설비자재산출(전력통신)'!I51</f>
        <v>EA</v>
      </c>
      <c r="E52" s="666"/>
      <c r="F52" s="666"/>
      <c r="G52" s="899"/>
      <c r="H52" s="840"/>
      <c r="I52" s="839"/>
      <c r="J52" s="839"/>
      <c r="K52" s="839"/>
      <c r="L52" s="839"/>
      <c r="M52" s="839"/>
      <c r="N52" s="227">
        <f t="shared" si="0"/>
        <v>0</v>
      </c>
      <c r="O52" s="643">
        <f>'8-1.설비자재산출(전력통신)'!N51</f>
        <v>0</v>
      </c>
      <c r="P52" s="643"/>
      <c r="R52" s="18">
        <v>0</v>
      </c>
    </row>
    <row r="53" spans="1:18" s="18" customFormat="1" ht="24.95" hidden="1" customHeight="1">
      <c r="A53" s="443"/>
      <c r="B53" s="841" t="str">
        <f>'8-1.설비자재산출(전력통신)'!C52</f>
        <v>PIU IDF</v>
      </c>
      <c r="C53" s="841" t="str">
        <f>'8-1.설비자재산출(전력통신)'!D52</f>
        <v>2CH, 1U, 19"랙 실장, LINE LOOP기능</v>
      </c>
      <c r="D53" s="645" t="str">
        <f>'8-1.설비자재산출(전력통신)'!I52</f>
        <v>EA</v>
      </c>
      <c r="E53" s="666"/>
      <c r="F53" s="666"/>
      <c r="G53" s="899"/>
      <c r="H53" s="840"/>
      <c r="I53" s="839"/>
      <c r="J53" s="839"/>
      <c r="K53" s="839"/>
      <c r="L53" s="839"/>
      <c r="M53" s="839"/>
      <c r="N53" s="227">
        <f t="shared" si="0"/>
        <v>0</v>
      </c>
      <c r="O53" s="643">
        <f>'8-1.설비자재산출(전력통신)'!N52</f>
        <v>0</v>
      </c>
      <c r="P53" s="643"/>
      <c r="R53" s="18">
        <v>0</v>
      </c>
    </row>
    <row r="54" spans="1:18" s="18" customFormat="1" ht="24.95" hidden="1" customHeight="1">
      <c r="A54" s="443"/>
      <c r="B54" s="841" t="str">
        <f>'8-1.설비자재산출(전력통신)'!C53</f>
        <v>난연성제어케이블</v>
      </c>
      <c r="C54" s="841" t="str">
        <f>'8-1.설비자재산출(전력통신)'!D53</f>
        <v>FR-CVV-S, 1.5SQ/4C</v>
      </c>
      <c r="D54" s="645" t="str">
        <f>'8-1.설비자재산출(전력통신)'!I53</f>
        <v>m</v>
      </c>
      <c r="E54" s="666"/>
      <c r="F54" s="666"/>
      <c r="G54" s="899"/>
      <c r="H54" s="840"/>
      <c r="I54" s="839"/>
      <c r="J54" s="839"/>
      <c r="K54" s="839"/>
      <c r="L54" s="839"/>
      <c r="M54" s="839"/>
      <c r="N54" s="227">
        <f t="shared" si="0"/>
        <v>0</v>
      </c>
      <c r="O54" s="643">
        <f>'8-1.설비자재산출(전력통신)'!N53</f>
        <v>0</v>
      </c>
      <c r="P54" s="643"/>
      <c r="R54" s="18">
        <v>0</v>
      </c>
    </row>
    <row r="55" spans="1:18" s="18" customFormat="1" ht="24.95" hidden="1" customHeight="1">
      <c r="A55" s="443"/>
      <c r="B55" s="841" t="str">
        <f>'8-1.설비자재산출(전력통신)'!C54</f>
        <v>난연성제어케이블</v>
      </c>
      <c r="C55" s="841" t="str">
        <f>'8-1.설비자재산출(전력통신)'!D54</f>
        <v>FR-CVV-S, 1.5SQ/2C</v>
      </c>
      <c r="D55" s="645" t="str">
        <f>'8-1.설비자재산출(전력통신)'!I54</f>
        <v>m</v>
      </c>
      <c r="E55" s="666"/>
      <c r="F55" s="666"/>
      <c r="G55" s="899"/>
      <c r="H55" s="840"/>
      <c r="I55" s="839"/>
      <c r="J55" s="839"/>
      <c r="K55" s="839"/>
      <c r="L55" s="839"/>
      <c r="M55" s="839"/>
      <c r="N55" s="227">
        <f t="shared" si="0"/>
        <v>0</v>
      </c>
      <c r="O55" s="643">
        <f>'8-1.설비자재산출(전력통신)'!N54</f>
        <v>0</v>
      </c>
      <c r="P55" s="643"/>
      <c r="R55" s="18">
        <v>0</v>
      </c>
    </row>
    <row r="56" spans="1:18" s="18" customFormat="1" ht="24.95" hidden="1" customHeight="1">
      <c r="A56" s="443"/>
      <c r="B56" s="841" t="str">
        <f>'8-1.설비자재산출(전력통신)'!C55</f>
        <v>광케이블</v>
      </c>
      <c r="C56" s="841" t="str">
        <f>'8-1.설비자재산출(전력통신)'!D55</f>
        <v>FOFC-MM-48C</v>
      </c>
      <c r="D56" s="645" t="str">
        <f>'8-1.설비자재산출(전력통신)'!I55</f>
        <v>m</v>
      </c>
      <c r="E56" s="666"/>
      <c r="F56" s="666"/>
      <c r="G56" s="899"/>
      <c r="H56" s="840"/>
      <c r="I56" s="839"/>
      <c r="J56" s="839"/>
      <c r="K56" s="839"/>
      <c r="L56" s="839"/>
      <c r="M56" s="839"/>
      <c r="N56" s="227">
        <f t="shared" si="0"/>
        <v>0</v>
      </c>
      <c r="O56" s="643">
        <f>'8-1.설비자재산출(전력통신)'!N55</f>
        <v>0</v>
      </c>
      <c r="P56" s="643"/>
      <c r="R56" s="18">
        <v>0</v>
      </c>
    </row>
    <row r="57" spans="1:18" s="18" customFormat="1" ht="24.95" hidden="1" customHeight="1">
      <c r="A57" s="443"/>
      <c r="B57" s="841" t="str">
        <f>'8-1.설비자재산출(전력통신)'!C56</f>
        <v>광점퍼코드(B/O)</v>
      </c>
      <c r="C57" s="841" t="str">
        <f>'8-1.설비자재산출(전력통신)'!D56</f>
        <v>ST(SC)-ST -MM-4C</v>
      </c>
      <c r="D57" s="645" t="str">
        <f>'8-1.설비자재산출(전력통신)'!I56</f>
        <v>m</v>
      </c>
      <c r="E57" s="666"/>
      <c r="F57" s="666"/>
      <c r="G57" s="899"/>
      <c r="H57" s="840"/>
      <c r="I57" s="839"/>
      <c r="J57" s="839"/>
      <c r="K57" s="839"/>
      <c r="L57" s="839"/>
      <c r="M57" s="839"/>
      <c r="N57" s="227">
        <f t="shared" si="0"/>
        <v>0</v>
      </c>
      <c r="O57" s="643">
        <f>'8-1.설비자재산출(전력통신)'!N56</f>
        <v>0</v>
      </c>
      <c r="P57" s="643"/>
      <c r="R57" s="18">
        <v>0</v>
      </c>
    </row>
    <row r="58" spans="1:18" s="18" customFormat="1" ht="24.95" hidden="1" customHeight="1">
      <c r="A58" s="443"/>
      <c r="B58" s="841" t="str">
        <f>'8-1.설비자재산출(전력통신)'!C57</f>
        <v>광점퍼코드(B/O)</v>
      </c>
      <c r="C58" s="841" t="str">
        <f>'8-1.설비자재산출(전력통신)'!D57</f>
        <v>ST-ST -MM-4C, 15m</v>
      </c>
      <c r="D58" s="645" t="str">
        <f>'8-1.설비자재산출(전력통신)'!I57</f>
        <v>개</v>
      </c>
      <c r="E58" s="666"/>
      <c r="F58" s="666"/>
      <c r="G58" s="899"/>
      <c r="H58" s="840"/>
      <c r="I58" s="839"/>
      <c r="J58" s="839"/>
      <c r="K58" s="839"/>
      <c r="L58" s="839"/>
      <c r="M58" s="839"/>
      <c r="N58" s="227">
        <f t="shared" si="0"/>
        <v>0</v>
      </c>
      <c r="O58" s="643">
        <f>'8-1.설비자재산출(전력통신)'!N57</f>
        <v>0</v>
      </c>
      <c r="P58" s="643"/>
      <c r="R58" s="18">
        <v>0</v>
      </c>
    </row>
    <row r="59" spans="1:18" s="18" customFormat="1" ht="24.95" hidden="1" customHeight="1">
      <c r="A59" s="443"/>
      <c r="B59" s="841" t="str">
        <f>'8-1.설비자재산출(전력통신)'!C58</f>
        <v>광점퍼코드(B/O)</v>
      </c>
      <c r="C59" s="841" t="str">
        <f>'8-1.설비자재산출(전력통신)'!D58</f>
        <v>ST-ST -MM-4C, 35m</v>
      </c>
      <c r="D59" s="645" t="str">
        <f>'8-1.설비자재산출(전력통신)'!I58</f>
        <v>개</v>
      </c>
      <c r="E59" s="666"/>
      <c r="F59" s="666"/>
      <c r="G59" s="899"/>
      <c r="H59" s="840"/>
      <c r="I59" s="839"/>
      <c r="J59" s="839"/>
      <c r="K59" s="839"/>
      <c r="L59" s="839"/>
      <c r="M59" s="839"/>
      <c r="N59" s="227">
        <f t="shared" si="0"/>
        <v>0</v>
      </c>
      <c r="O59" s="643">
        <f>'8-1.설비자재산출(전력통신)'!N58</f>
        <v>0</v>
      </c>
      <c r="P59" s="643"/>
      <c r="R59" s="18">
        <v>0</v>
      </c>
    </row>
    <row r="60" spans="1:18" s="18" customFormat="1" ht="24.95" hidden="1" customHeight="1">
      <c r="A60" s="443"/>
      <c r="B60" s="841" t="str">
        <f>'8-1.설비자재산출(전력통신)'!C59</f>
        <v>광점퍼코드(B/O)</v>
      </c>
      <c r="C60" s="841" t="str">
        <f>'8-1.설비자재산출(전력통신)'!D59</f>
        <v>ST-ST -MM-4C, 40m</v>
      </c>
      <c r="D60" s="645" t="str">
        <f>'8-1.설비자재산출(전력통신)'!I59</f>
        <v>개</v>
      </c>
      <c r="E60" s="666"/>
      <c r="F60" s="666"/>
      <c r="G60" s="899"/>
      <c r="H60" s="840"/>
      <c r="I60" s="839"/>
      <c r="J60" s="839"/>
      <c r="K60" s="839"/>
      <c r="L60" s="839"/>
      <c r="M60" s="839"/>
      <c r="N60" s="227">
        <f t="shared" si="0"/>
        <v>0</v>
      </c>
      <c r="O60" s="643">
        <f>'8-1.설비자재산출(전력통신)'!N59</f>
        <v>0</v>
      </c>
      <c r="P60" s="643"/>
      <c r="R60" s="18">
        <v>0</v>
      </c>
    </row>
    <row r="61" spans="1:18" s="18" customFormat="1" ht="24.95" hidden="1" customHeight="1">
      <c r="A61" s="443"/>
      <c r="B61" s="841" t="str">
        <f>'8-1.설비자재산출(전력통신)'!C60</f>
        <v>광점퍼코드(B/O)</v>
      </c>
      <c r="C61" s="841" t="str">
        <f>'8-1.설비자재산출(전력통신)'!D60</f>
        <v>ST-ST -MM-4C, 50m</v>
      </c>
      <c r="D61" s="645" t="str">
        <f>'8-1.설비자재산출(전력통신)'!I60</f>
        <v>개</v>
      </c>
      <c r="E61" s="666"/>
      <c r="F61" s="666"/>
      <c r="G61" s="899"/>
      <c r="H61" s="840"/>
      <c r="I61" s="839"/>
      <c r="J61" s="839"/>
      <c r="K61" s="839"/>
      <c r="L61" s="839"/>
      <c r="M61" s="839"/>
      <c r="N61" s="227">
        <f t="shared" si="0"/>
        <v>0</v>
      </c>
      <c r="O61" s="643">
        <f>'8-1.설비자재산출(전력통신)'!N60</f>
        <v>0</v>
      </c>
      <c r="P61" s="643"/>
      <c r="R61" s="18">
        <v>0</v>
      </c>
    </row>
    <row r="62" spans="1:18" s="18" customFormat="1" ht="24.95" hidden="1" customHeight="1">
      <c r="A62" s="443"/>
      <c r="B62" s="841" t="str">
        <f>'8-1.설비자재산출(전력통신)'!C61</f>
        <v>광점퍼코드(B/O)</v>
      </c>
      <c r="C62" s="841" t="str">
        <f>'8-1.설비자재산출(전력통신)'!D61</f>
        <v>ST-ST -MM-4C, 55m</v>
      </c>
      <c r="D62" s="645" t="str">
        <f>'8-1.설비자재산출(전력통신)'!I61</f>
        <v>개</v>
      </c>
      <c r="E62" s="666"/>
      <c r="F62" s="666"/>
      <c r="G62" s="899"/>
      <c r="H62" s="840"/>
      <c r="I62" s="839"/>
      <c r="J62" s="839"/>
      <c r="K62" s="839"/>
      <c r="L62" s="839"/>
      <c r="M62" s="839"/>
      <c r="N62" s="227">
        <f t="shared" si="0"/>
        <v>0</v>
      </c>
      <c r="O62" s="643">
        <f>'8-1.설비자재산출(전력통신)'!N61</f>
        <v>0</v>
      </c>
      <c r="P62" s="643"/>
      <c r="R62" s="18">
        <v>0</v>
      </c>
    </row>
    <row r="63" spans="1:18" s="18" customFormat="1" ht="24.95" hidden="1" customHeight="1">
      <c r="A63" s="443"/>
      <c r="B63" s="841" t="str">
        <f>'8-1.설비자재산출(전력통신)'!C62</f>
        <v>광점퍼코드(B/O)</v>
      </c>
      <c r="C63" s="841" t="str">
        <f>'8-1.설비자재산출(전력통신)'!D62</f>
        <v>ST-ST -MM-4C, 60m</v>
      </c>
      <c r="D63" s="645" t="str">
        <f>'8-1.설비자재산출(전력통신)'!I62</f>
        <v>개</v>
      </c>
      <c r="E63" s="666"/>
      <c r="F63" s="666"/>
      <c r="G63" s="899"/>
      <c r="H63" s="840"/>
      <c r="I63" s="839"/>
      <c r="J63" s="839"/>
      <c r="K63" s="839"/>
      <c r="L63" s="839"/>
      <c r="M63" s="839"/>
      <c r="N63" s="227">
        <f t="shared" si="0"/>
        <v>0</v>
      </c>
      <c r="O63" s="643">
        <f>'8-1.설비자재산출(전력통신)'!N62</f>
        <v>0</v>
      </c>
      <c r="P63" s="643"/>
      <c r="R63" s="18">
        <v>0</v>
      </c>
    </row>
    <row r="64" spans="1:18" s="18" customFormat="1" ht="24.95" hidden="1" customHeight="1">
      <c r="A64" s="443"/>
      <c r="B64" s="841" t="str">
        <f>'8-1.설비자재산출(전력통신)'!C63</f>
        <v>광점퍼코드(B/O)</v>
      </c>
      <c r="C64" s="841" t="str">
        <f>'8-1.설비자재산출(전력통신)'!D63</f>
        <v>ST-ST -MM-4C, 65m</v>
      </c>
      <c r="D64" s="645" t="str">
        <f>'8-1.설비자재산출(전력통신)'!I63</f>
        <v>개</v>
      </c>
      <c r="E64" s="666"/>
      <c r="F64" s="666"/>
      <c r="G64" s="899"/>
      <c r="H64" s="840"/>
      <c r="I64" s="839"/>
      <c r="J64" s="839"/>
      <c r="K64" s="839"/>
      <c r="L64" s="839"/>
      <c r="M64" s="839"/>
      <c r="N64" s="227">
        <f t="shared" si="0"/>
        <v>0</v>
      </c>
      <c r="O64" s="643">
        <f>'8-1.설비자재산출(전력통신)'!N63</f>
        <v>0</v>
      </c>
      <c r="P64" s="643"/>
      <c r="R64" s="18">
        <v>0</v>
      </c>
    </row>
    <row r="65" spans="1:18" s="18" customFormat="1" ht="24.95" hidden="1" customHeight="1">
      <c r="A65" s="443"/>
      <c r="B65" s="841" t="str">
        <f>'8-1.설비자재산출(전력통신)'!C64</f>
        <v>광점퍼코드(B/O)</v>
      </c>
      <c r="C65" s="841" t="str">
        <f>'8-1.설비자재산출(전력통신)'!D64</f>
        <v>ST-ST -MM-4C, 70m</v>
      </c>
      <c r="D65" s="645" t="str">
        <f>'8-1.설비자재산출(전력통신)'!I64</f>
        <v>개</v>
      </c>
      <c r="E65" s="666"/>
      <c r="F65" s="666"/>
      <c r="G65" s="899"/>
      <c r="H65" s="840"/>
      <c r="I65" s="839"/>
      <c r="J65" s="839"/>
      <c r="K65" s="839"/>
      <c r="L65" s="839"/>
      <c r="M65" s="839"/>
      <c r="N65" s="227">
        <f t="shared" si="0"/>
        <v>0</v>
      </c>
      <c r="O65" s="643">
        <f>'8-1.설비자재산출(전력통신)'!N64</f>
        <v>0</v>
      </c>
      <c r="P65" s="643"/>
      <c r="R65" s="18">
        <v>0</v>
      </c>
    </row>
    <row r="66" spans="1:18" s="18" customFormat="1" ht="24.95" hidden="1" customHeight="1">
      <c r="A66" s="443"/>
      <c r="B66" s="841" t="str">
        <f>'8-1.설비자재산출(전력통신)'!C65</f>
        <v>광점퍼코드(B/O)</v>
      </c>
      <c r="C66" s="841" t="str">
        <f>'8-1.설비자재산출(전력통신)'!D65</f>
        <v>ST-ST -MM-4C, 75m</v>
      </c>
      <c r="D66" s="645" t="str">
        <f>'8-1.설비자재산출(전력통신)'!I65</f>
        <v>개</v>
      </c>
      <c r="E66" s="666"/>
      <c r="F66" s="666"/>
      <c r="G66" s="899"/>
      <c r="H66" s="840"/>
      <c r="I66" s="839"/>
      <c r="J66" s="839"/>
      <c r="K66" s="839"/>
      <c r="L66" s="839"/>
      <c r="M66" s="839"/>
      <c r="N66" s="227">
        <f t="shared" si="0"/>
        <v>0</v>
      </c>
      <c r="O66" s="643">
        <f>'8-1.설비자재산출(전력통신)'!N65</f>
        <v>0</v>
      </c>
      <c r="P66" s="643"/>
      <c r="R66" s="18">
        <v>0</v>
      </c>
    </row>
    <row r="67" spans="1:18" s="18" customFormat="1" ht="24.95" hidden="1" customHeight="1">
      <c r="A67" s="443"/>
      <c r="B67" s="841" t="str">
        <f>'8-1.설비자재산출(전력통신)'!C66</f>
        <v>광점퍼코드(B/O)</v>
      </c>
      <c r="C67" s="841" t="str">
        <f>'8-1.설비자재산출(전력통신)'!D66</f>
        <v>ST-ST -MM-4C, 80m</v>
      </c>
      <c r="D67" s="645" t="str">
        <f>'8-1.설비자재산출(전력통신)'!I66</f>
        <v>개</v>
      </c>
      <c r="E67" s="666"/>
      <c r="F67" s="666"/>
      <c r="G67" s="899"/>
      <c r="H67" s="840"/>
      <c r="I67" s="839"/>
      <c r="J67" s="839"/>
      <c r="K67" s="839"/>
      <c r="L67" s="839"/>
      <c r="M67" s="839"/>
      <c r="N67" s="227">
        <f t="shared" si="0"/>
        <v>0</v>
      </c>
      <c r="O67" s="643">
        <f>'8-1.설비자재산출(전력통신)'!N66</f>
        <v>0</v>
      </c>
      <c r="P67" s="643"/>
      <c r="R67" s="18">
        <v>0</v>
      </c>
    </row>
    <row r="68" spans="1:18" s="18" customFormat="1" ht="24.95" hidden="1" customHeight="1">
      <c r="A68" s="443"/>
      <c r="B68" s="841" t="str">
        <f>'8-1.설비자재산출(전력통신)'!C67</f>
        <v>광점퍼코드(B/O)</v>
      </c>
      <c r="C68" s="841" t="str">
        <f>'8-1.설비자재산출(전력통신)'!D67</f>
        <v>ST-ST -MM-4C, 85m</v>
      </c>
      <c r="D68" s="645" t="str">
        <f>'8-1.설비자재산출(전력통신)'!I67</f>
        <v>개</v>
      </c>
      <c r="E68" s="666"/>
      <c r="F68" s="666"/>
      <c r="G68" s="899"/>
      <c r="H68" s="840"/>
      <c r="I68" s="839"/>
      <c r="J68" s="839"/>
      <c r="K68" s="839"/>
      <c r="L68" s="839"/>
      <c r="M68" s="839"/>
      <c r="N68" s="227">
        <f t="shared" si="0"/>
        <v>0</v>
      </c>
      <c r="O68" s="643">
        <f>'8-1.설비자재산출(전력통신)'!N67</f>
        <v>0</v>
      </c>
      <c r="P68" s="643"/>
      <c r="R68" s="18">
        <v>0</v>
      </c>
    </row>
    <row r="69" spans="1:18" s="18" customFormat="1" ht="24.95" hidden="1" customHeight="1">
      <c r="A69" s="443"/>
      <c r="B69" s="841" t="str">
        <f>'8-1.설비자재산출(전력통신)'!C68</f>
        <v>광점퍼코드(B/O)</v>
      </c>
      <c r="C69" s="841" t="str">
        <f>'8-1.설비자재산출(전력통신)'!D68</f>
        <v>ST-ST -MM-4C, 90m</v>
      </c>
      <c r="D69" s="645" t="str">
        <f>'8-1.설비자재산출(전력통신)'!I68</f>
        <v>개</v>
      </c>
      <c r="E69" s="666"/>
      <c r="F69" s="666"/>
      <c r="G69" s="899"/>
      <c r="H69" s="840"/>
      <c r="I69" s="839"/>
      <c r="J69" s="839"/>
      <c r="K69" s="839"/>
      <c r="L69" s="839"/>
      <c r="M69" s="839"/>
      <c r="N69" s="227">
        <f t="shared" si="0"/>
        <v>0</v>
      </c>
      <c r="O69" s="643">
        <f>'8-1.설비자재산출(전력통신)'!N68</f>
        <v>0</v>
      </c>
      <c r="P69" s="643"/>
      <c r="R69" s="18">
        <v>0</v>
      </c>
    </row>
    <row r="70" spans="1:18" s="18" customFormat="1" ht="24.95" hidden="1" customHeight="1">
      <c r="A70" s="443"/>
      <c r="B70" s="841" t="str">
        <f>'8-1.설비자재산출(전력통신)'!C69</f>
        <v>광점퍼코드(B/O)</v>
      </c>
      <c r="C70" s="841" t="str">
        <f>'8-1.설비자재산출(전력통신)'!D69</f>
        <v>ST-ST -MM-4C, 95m</v>
      </c>
      <c r="D70" s="645" t="str">
        <f>'8-1.설비자재산출(전력통신)'!I69</f>
        <v>개</v>
      </c>
      <c r="E70" s="666"/>
      <c r="F70" s="666"/>
      <c r="G70" s="899"/>
      <c r="H70" s="840"/>
      <c r="I70" s="839"/>
      <c r="J70" s="839"/>
      <c r="K70" s="839"/>
      <c r="L70" s="839"/>
      <c r="M70" s="839"/>
      <c r="N70" s="227">
        <f t="shared" si="0"/>
        <v>0</v>
      </c>
      <c r="O70" s="643">
        <f>'8-1.설비자재산출(전력통신)'!N69</f>
        <v>0</v>
      </c>
      <c r="P70" s="643"/>
      <c r="R70" s="18">
        <v>0</v>
      </c>
    </row>
    <row r="71" spans="1:18" s="18" customFormat="1" ht="24.95" hidden="1" customHeight="1">
      <c r="A71" s="443"/>
      <c r="B71" s="841" t="str">
        <f>'8-1.설비자재산출(전력통신)'!C70</f>
        <v>후렉시블전선관</v>
      </c>
      <c r="C71" s="841" t="str">
        <f>'8-1.설비자재산출(전력통신)'!D70</f>
        <v>22㎜, 일반방수(GW-22)</v>
      </c>
      <c r="D71" s="645" t="str">
        <f>'8-1.설비자재산출(전력통신)'!I70</f>
        <v>m</v>
      </c>
      <c r="E71" s="666"/>
      <c r="F71" s="666"/>
      <c r="G71" s="899"/>
      <c r="H71" s="840"/>
      <c r="I71" s="839"/>
      <c r="J71" s="839"/>
      <c r="K71" s="839"/>
      <c r="L71" s="839"/>
      <c r="M71" s="839"/>
      <c r="N71" s="227">
        <f t="shared" si="0"/>
        <v>0</v>
      </c>
      <c r="O71" s="643">
        <f>'8-1.설비자재산출(전력통신)'!N70</f>
        <v>0</v>
      </c>
      <c r="P71" s="643"/>
      <c r="R71" s="18">
        <v>0</v>
      </c>
    </row>
    <row r="72" spans="1:18" s="18" customFormat="1" ht="24.95" hidden="1" customHeight="1">
      <c r="A72" s="443"/>
      <c r="B72" s="841" t="str">
        <f>'8-1.설비자재산출(전력통신)'!C71</f>
        <v>PCM케이블</v>
      </c>
      <c r="C72" s="841" t="str">
        <f>'8-1.설비자재산출(전력통신)'!D71</f>
        <v>0.65/1P</v>
      </c>
      <c r="D72" s="645" t="str">
        <f>'8-1.설비자재산출(전력통신)'!I71</f>
        <v>m</v>
      </c>
      <c r="E72" s="666"/>
      <c r="F72" s="666"/>
      <c r="G72" s="899"/>
      <c r="H72" s="840"/>
      <c r="I72" s="839"/>
      <c r="J72" s="839"/>
      <c r="K72" s="839"/>
      <c r="L72" s="839"/>
      <c r="M72" s="839"/>
      <c r="N72" s="227">
        <f t="shared" si="0"/>
        <v>0</v>
      </c>
      <c r="O72" s="643">
        <f>'8-1.설비자재산출(전력통신)'!N71</f>
        <v>0</v>
      </c>
      <c r="P72" s="643"/>
      <c r="R72" s="18">
        <v>0</v>
      </c>
    </row>
    <row r="73" spans="1:18" s="18" customFormat="1" ht="24.95" hidden="1" customHeight="1">
      <c r="A73" s="443"/>
      <c r="B73" s="841" t="str">
        <f>'8-1.설비자재산출(전력통신)'!C72</f>
        <v>동축케이블</v>
      </c>
      <c r="C73" s="841" t="str">
        <f>'8-1.설비자재산출(전력통신)'!D72</f>
        <v>RG58</v>
      </c>
      <c r="D73" s="645" t="str">
        <f>'8-1.설비자재산출(전력통신)'!I72</f>
        <v>m</v>
      </c>
      <c r="E73" s="666"/>
      <c r="F73" s="666"/>
      <c r="G73" s="899"/>
      <c r="H73" s="840"/>
      <c r="I73" s="839"/>
      <c r="J73" s="839"/>
      <c r="K73" s="839"/>
      <c r="L73" s="839"/>
      <c r="M73" s="839"/>
      <c r="N73" s="227">
        <f t="shared" ref="N73:N136" si="1">R73*$R$3</f>
        <v>0</v>
      </c>
      <c r="O73" s="643">
        <f>'8-1.설비자재산출(전력통신)'!N72</f>
        <v>0</v>
      </c>
      <c r="P73" s="643"/>
      <c r="R73" s="18">
        <v>0</v>
      </c>
    </row>
    <row r="74" spans="1:18" s="18" customFormat="1" ht="24.95" hidden="1" customHeight="1">
      <c r="A74" s="443"/>
      <c r="B74" s="841" t="str">
        <f>'8-1.설비자재산출(전력통신)'!C73</f>
        <v>후렉시블전선관</v>
      </c>
      <c r="C74" s="841" t="str">
        <f>'8-1.설비자재산출(전력통신)'!D73</f>
        <v>16㎜, 일반방수(GW-16)</v>
      </c>
      <c r="D74" s="645" t="str">
        <f>'8-1.설비자재산출(전력통신)'!I73</f>
        <v>m</v>
      </c>
      <c r="E74" s="666"/>
      <c r="F74" s="666"/>
      <c r="G74" s="899"/>
      <c r="H74" s="840"/>
      <c r="I74" s="839"/>
      <c r="J74" s="839"/>
      <c r="K74" s="839"/>
      <c r="L74" s="839"/>
      <c r="M74" s="839"/>
      <c r="N74" s="227">
        <f t="shared" si="1"/>
        <v>0</v>
      </c>
      <c r="O74" s="643">
        <f>'8-1.설비자재산출(전력통신)'!N73</f>
        <v>0</v>
      </c>
      <c r="P74" s="643"/>
      <c r="R74" s="18">
        <v>0</v>
      </c>
    </row>
    <row r="75" spans="1:18" s="18" customFormat="1" ht="24.95" hidden="1" customHeight="1">
      <c r="A75" s="443"/>
      <c r="B75" s="841" t="str">
        <f>'8-1.설비자재산출(전력통신)'!C74</f>
        <v>UTP케이블</v>
      </c>
      <c r="C75" s="841" t="str">
        <f>'8-1.설비자재산출(전력통신)'!D74</f>
        <v>CAT.5E 4P</v>
      </c>
      <c r="D75" s="645" t="str">
        <f>'8-1.설비자재산출(전력통신)'!I74</f>
        <v>m</v>
      </c>
      <c r="E75" s="666"/>
      <c r="F75" s="666"/>
      <c r="G75" s="899"/>
      <c r="H75" s="840"/>
      <c r="I75" s="839"/>
      <c r="J75" s="839"/>
      <c r="K75" s="839"/>
      <c r="L75" s="839"/>
      <c r="M75" s="839"/>
      <c r="N75" s="227">
        <f t="shared" si="1"/>
        <v>0</v>
      </c>
      <c r="O75" s="643">
        <f>'8-1.설비자재산출(전력통신)'!N74</f>
        <v>0</v>
      </c>
      <c r="P75" s="643"/>
      <c r="R75" s="18">
        <v>0</v>
      </c>
    </row>
    <row r="76" spans="1:18" s="18" customFormat="1" ht="24.95" hidden="1" customHeight="1">
      <c r="A76" s="443"/>
      <c r="B76" s="841" t="str">
        <f>'8-1.설비자재산출(전력통신)'!C75</f>
        <v>UTP케이블</v>
      </c>
      <c r="C76" s="841" t="str">
        <f>'8-1.설비자재산출(전력통신)'!D75</f>
        <v>CAT.5E 4P</v>
      </c>
      <c r="D76" s="645" t="str">
        <f>'8-1.설비자재산출(전력통신)'!I75</f>
        <v>m</v>
      </c>
      <c r="E76" s="666"/>
      <c r="F76" s="666"/>
      <c r="G76" s="899"/>
      <c r="H76" s="840"/>
      <c r="I76" s="839"/>
      <c r="J76" s="839"/>
      <c r="K76" s="839"/>
      <c r="L76" s="839"/>
      <c r="M76" s="839"/>
      <c r="N76" s="227">
        <f t="shared" si="1"/>
        <v>0</v>
      </c>
      <c r="O76" s="643">
        <f>'8-1.설비자재산출(전력통신)'!N75</f>
        <v>0</v>
      </c>
      <c r="P76" s="643"/>
      <c r="R76" s="18">
        <v>0</v>
      </c>
    </row>
    <row r="77" spans="1:18" s="18" customFormat="1" ht="24.95" hidden="1" customHeight="1">
      <c r="A77" s="443"/>
      <c r="B77" s="841" t="str">
        <f>'8-1.설비자재산출(전력통신)'!C76</f>
        <v>후렉시블전선관</v>
      </c>
      <c r="C77" s="841" t="str">
        <f>'8-1.설비자재산출(전력통신)'!D76</f>
        <v>16㎜, 일반방수(GW-16)</v>
      </c>
      <c r="D77" s="645" t="str">
        <f>'8-1.설비자재산출(전력통신)'!I76</f>
        <v>m</v>
      </c>
      <c r="E77" s="666"/>
      <c r="F77" s="666"/>
      <c r="G77" s="899"/>
      <c r="H77" s="840"/>
      <c r="I77" s="839"/>
      <c r="J77" s="839"/>
      <c r="K77" s="839"/>
      <c r="L77" s="839"/>
      <c r="M77" s="839"/>
      <c r="N77" s="227">
        <f t="shared" si="1"/>
        <v>0</v>
      </c>
      <c r="O77" s="643">
        <f>'8-1.설비자재산출(전력통신)'!N76</f>
        <v>0</v>
      </c>
      <c r="P77" s="643"/>
      <c r="R77" s="18">
        <v>0</v>
      </c>
    </row>
    <row r="78" spans="1:18" s="18" customFormat="1" ht="24.95" hidden="1" customHeight="1">
      <c r="A78" s="443"/>
      <c r="B78" s="841" t="str">
        <f>'8-1.설비자재산출(전력통신)'!C77</f>
        <v>OFD셀프</v>
      </c>
      <c r="C78" s="841" t="str">
        <f>'8-1.설비자재산출(전력통신)'!D77</f>
        <v>96C</v>
      </c>
      <c r="D78" s="645" t="str">
        <f>'8-1.설비자재산출(전력통신)'!I77</f>
        <v>개</v>
      </c>
      <c r="E78" s="666"/>
      <c r="F78" s="666"/>
      <c r="G78" s="899"/>
      <c r="H78" s="840"/>
      <c r="I78" s="839"/>
      <c r="J78" s="839"/>
      <c r="K78" s="839"/>
      <c r="L78" s="839"/>
      <c r="M78" s="839"/>
      <c r="N78" s="227">
        <f t="shared" si="1"/>
        <v>0</v>
      </c>
      <c r="O78" s="643">
        <f>'8-1.설비자재산출(전력통신)'!N77</f>
        <v>0</v>
      </c>
      <c r="P78" s="643"/>
      <c r="R78" s="18">
        <v>0</v>
      </c>
    </row>
    <row r="79" spans="1:18" s="18" customFormat="1" ht="24.95" hidden="1" customHeight="1">
      <c r="A79" s="443"/>
      <c r="B79" s="841" t="str">
        <f>'8-1.설비자재산출(전력통신)'!C78</f>
        <v>광점퍼코드(성단)</v>
      </c>
      <c r="C79" s="841" t="str">
        <f>'8-1.설비자재산출(전력통신)'!D78</f>
        <v>OJC-SM-3</v>
      </c>
      <c r="D79" s="645" t="str">
        <f>'8-1.설비자재산출(전력통신)'!I78</f>
        <v>개</v>
      </c>
      <c r="E79" s="666"/>
      <c r="F79" s="666"/>
      <c r="G79" s="899"/>
      <c r="H79" s="840"/>
      <c r="I79" s="839"/>
      <c r="J79" s="839"/>
      <c r="K79" s="839"/>
      <c r="L79" s="839"/>
      <c r="M79" s="839"/>
      <c r="N79" s="227">
        <f t="shared" si="1"/>
        <v>0</v>
      </c>
      <c r="O79" s="643">
        <f>'8-1.설비자재산출(전력통신)'!N78</f>
        <v>0</v>
      </c>
      <c r="P79" s="643"/>
      <c r="R79" s="18">
        <v>0</v>
      </c>
    </row>
    <row r="80" spans="1:18" s="18" customFormat="1" ht="24.95" hidden="1" customHeight="1">
      <c r="A80" s="443"/>
      <c r="B80" s="841" t="str">
        <f>'8-1.설비자재산출(전력통신)'!C79</f>
        <v>광아답타</v>
      </c>
      <c r="C80" s="841" t="str">
        <f>'8-1.설비자재산출(전력통신)'!D79</f>
        <v>OFA-SC/APC</v>
      </c>
      <c r="D80" s="645" t="str">
        <f>'8-1.설비자재산출(전력통신)'!I79</f>
        <v>개</v>
      </c>
      <c r="E80" s="666"/>
      <c r="F80" s="666"/>
      <c r="G80" s="899"/>
      <c r="H80" s="840"/>
      <c r="I80" s="839"/>
      <c r="J80" s="839"/>
      <c r="K80" s="839"/>
      <c r="L80" s="839"/>
      <c r="M80" s="839"/>
      <c r="N80" s="227">
        <f t="shared" si="1"/>
        <v>0</v>
      </c>
      <c r="O80" s="643">
        <f>'8-1.설비자재산출(전력통신)'!N79</f>
        <v>0</v>
      </c>
      <c r="P80" s="643"/>
      <c r="R80" s="18">
        <v>0</v>
      </c>
    </row>
    <row r="81" spans="1:18" s="18" customFormat="1" ht="24.95" hidden="1" customHeight="1">
      <c r="A81" s="443"/>
      <c r="B81" s="841" t="str">
        <f>'8-1.설비자재산출(전력통신)'!C80</f>
        <v>케이블명찰</v>
      </c>
      <c r="C81" s="841" t="str">
        <f>'8-1.설비자재산출(전력통신)'!D80</f>
        <v>120*70(포맥스)</v>
      </c>
      <c r="D81" s="645" t="str">
        <f>'8-1.설비자재산출(전력통신)'!I80</f>
        <v>개</v>
      </c>
      <c r="E81" s="666"/>
      <c r="F81" s="666"/>
      <c r="G81" s="899"/>
      <c r="H81" s="840"/>
      <c r="I81" s="839"/>
      <c r="J81" s="839"/>
      <c r="K81" s="839"/>
      <c r="L81" s="839"/>
      <c r="M81" s="839"/>
      <c r="N81" s="227">
        <f t="shared" si="1"/>
        <v>0</v>
      </c>
      <c r="O81" s="643">
        <f>'8-1.설비자재산출(전력통신)'!N80</f>
        <v>0</v>
      </c>
      <c r="P81" s="643"/>
      <c r="R81" s="18">
        <v>0</v>
      </c>
    </row>
    <row r="82" spans="1:18" s="18" customFormat="1" ht="24.95" hidden="1" customHeight="1">
      <c r="A82" s="443"/>
      <c r="B82" s="841" t="str">
        <f>'8-1.설비자재산출(전력통신)'!C81</f>
        <v>이동형콘솔</v>
      </c>
      <c r="C82" s="841" t="str">
        <f>'8-1.설비자재산출(전력통신)'!D81</f>
        <v>H970*360*550</v>
      </c>
      <c r="D82" s="645" t="str">
        <f>'8-1.설비자재산출(전력통신)'!I81</f>
        <v>EA</v>
      </c>
      <c r="E82" s="666"/>
      <c r="F82" s="666"/>
      <c r="G82" s="899"/>
      <c r="H82" s="840"/>
      <c r="I82" s="839"/>
      <c r="J82" s="839"/>
      <c r="K82" s="839"/>
      <c r="L82" s="839"/>
      <c r="M82" s="839"/>
      <c r="N82" s="227">
        <f t="shared" si="1"/>
        <v>0</v>
      </c>
      <c r="O82" s="643">
        <f>'8-1.설비자재산출(전력통신)'!N81</f>
        <v>0</v>
      </c>
      <c r="P82" s="643"/>
      <c r="R82" s="18">
        <v>0</v>
      </c>
    </row>
    <row r="83" spans="1:18" s="18" customFormat="1" ht="24.95" customHeight="1">
      <c r="A83" s="443"/>
      <c r="B83" s="841" t="str">
        <f>'8-1.설비자재산출(전력통신)'!C82</f>
        <v>셋트앙카(STS)</v>
      </c>
      <c r="C83" s="841" t="str">
        <f>'8-1.설비자재산출(전력통신)'!D82</f>
        <v>Φ3/8, 75㎜</v>
      </c>
      <c r="D83" s="645" t="str">
        <f>'8-1.설비자재산출(전력통신)'!I82</f>
        <v>EA</v>
      </c>
      <c r="E83" s="666"/>
      <c r="F83" s="666"/>
      <c r="G83" s="582">
        <v>710</v>
      </c>
      <c r="H83" s="645">
        <v>53</v>
      </c>
      <c r="I83" s="582">
        <v>800</v>
      </c>
      <c r="J83" s="582">
        <v>1386</v>
      </c>
      <c r="K83" s="839"/>
      <c r="L83" s="839"/>
      <c r="M83" s="839"/>
      <c r="N83" s="227">
        <f t="shared" si="1"/>
        <v>623.00369999999998</v>
      </c>
      <c r="O83" s="269" t="s">
        <v>3170</v>
      </c>
      <c r="P83" s="643"/>
      <c r="R83" s="18">
        <v>710</v>
      </c>
    </row>
    <row r="84" spans="1:18" s="18" customFormat="1" ht="24.95" hidden="1" customHeight="1">
      <c r="A84" s="443"/>
      <c r="B84" s="841" t="str">
        <f>'8-1.설비자재산출(전력통신)'!C83</f>
        <v>전산볼트</v>
      </c>
      <c r="C84" s="841" t="str">
        <f>'8-1.설비자재산출(전력통신)'!D83</f>
        <v>M10,철</v>
      </c>
      <c r="D84" s="645" t="str">
        <f>'8-1.설비자재산출(전력통신)'!I83</f>
        <v>EA</v>
      </c>
      <c r="E84" s="666"/>
      <c r="F84" s="666"/>
      <c r="G84" s="899"/>
      <c r="H84" s="840"/>
      <c r="I84" s="839"/>
      <c r="J84" s="839"/>
      <c r="K84" s="839"/>
      <c r="L84" s="839"/>
      <c r="M84" s="839"/>
      <c r="N84" s="227">
        <f t="shared" si="1"/>
        <v>0</v>
      </c>
      <c r="O84" s="643">
        <f>'8-1.설비자재산출(전력통신)'!N83</f>
        <v>0</v>
      </c>
      <c r="P84" s="643"/>
      <c r="R84" s="18">
        <v>0</v>
      </c>
    </row>
    <row r="85" spans="1:18" s="18" customFormat="1" ht="24.95" hidden="1" customHeight="1">
      <c r="A85" s="443"/>
      <c r="B85" s="841" t="str">
        <f>'8-1.설비자재산출(전력통신)'!C84</f>
        <v>19" RACK(IDF/내진)</v>
      </c>
      <c r="C85" s="841" t="str">
        <f>'8-1.설비자재산출(전력통신)'!D84</f>
        <v>경하중,IDF,내진, 600(W)*750(D)*2000(H)</v>
      </c>
      <c r="D85" s="645" t="str">
        <f>'8-1.설비자재산출(전력통신)'!I84</f>
        <v>EA</v>
      </c>
      <c r="E85" s="666"/>
      <c r="F85" s="666"/>
      <c r="G85" s="899"/>
      <c r="H85" s="840"/>
      <c r="I85" s="839"/>
      <c r="J85" s="839"/>
      <c r="K85" s="839"/>
      <c r="L85" s="839"/>
      <c r="M85" s="839"/>
      <c r="N85" s="227">
        <f t="shared" si="1"/>
        <v>0</v>
      </c>
      <c r="O85" s="643">
        <f>'8-1.설비자재산출(전력통신)'!N84</f>
        <v>0</v>
      </c>
      <c r="P85" s="643"/>
      <c r="R85" s="18">
        <v>0</v>
      </c>
    </row>
    <row r="86" spans="1:18" s="18" customFormat="1" ht="24.95" hidden="1" customHeight="1">
      <c r="A86" s="443"/>
      <c r="B86" s="841" t="str">
        <f>'8-1.설비자재산출(전력통신)'!C85</f>
        <v xml:space="preserve"> 내진가대</v>
      </c>
      <c r="C86" s="841" t="str">
        <f>'8-1.설비자재산출(전력통신)'!D85</f>
        <v>600*750*270-330</v>
      </c>
      <c r="D86" s="645" t="str">
        <f>'8-1.설비자재산출(전력통신)'!I85</f>
        <v>EA</v>
      </c>
      <c r="E86" s="666"/>
      <c r="F86" s="666"/>
      <c r="G86" s="899"/>
      <c r="H86" s="840"/>
      <c r="I86" s="839"/>
      <c r="J86" s="839"/>
      <c r="K86" s="839"/>
      <c r="L86" s="839"/>
      <c r="M86" s="839"/>
      <c r="N86" s="227">
        <f t="shared" si="1"/>
        <v>0</v>
      </c>
      <c r="O86" s="643">
        <f>'8-1.설비자재산출(전력통신)'!N85</f>
        <v>0</v>
      </c>
      <c r="P86" s="643"/>
      <c r="R86" s="18">
        <v>0</v>
      </c>
    </row>
    <row r="87" spans="1:18" s="18" customFormat="1" ht="24.95" hidden="1" customHeight="1">
      <c r="A87" s="443"/>
      <c r="B87" s="841" t="str">
        <f>'8-1.설비자재산출(전력통신)'!C86</f>
        <v>바닥고정브라켓(평마루용)</v>
      </c>
      <c r="C87" s="841" t="str">
        <f>'8-1.설비자재산출(전력통신)'!D86</f>
        <v>600*750*25</v>
      </c>
      <c r="D87" s="645" t="str">
        <f>'8-1.설비자재산출(전력통신)'!I86</f>
        <v>EA</v>
      </c>
      <c r="E87" s="666"/>
      <c r="F87" s="666"/>
      <c r="G87" s="899"/>
      <c r="H87" s="840"/>
      <c r="I87" s="839"/>
      <c r="J87" s="839"/>
      <c r="K87" s="839"/>
      <c r="L87" s="839"/>
      <c r="M87" s="839"/>
      <c r="N87" s="227">
        <f t="shared" si="1"/>
        <v>0</v>
      </c>
      <c r="O87" s="643">
        <f>'8-1.설비자재산출(전력통신)'!N86</f>
        <v>0</v>
      </c>
      <c r="P87" s="643"/>
      <c r="R87" s="18">
        <v>0</v>
      </c>
    </row>
    <row r="88" spans="1:18" s="18" customFormat="1" ht="24.95" customHeight="1">
      <c r="A88" s="443"/>
      <c r="B88" s="841" t="str">
        <f>'8-1.설비자재산출(전력통신)'!C87</f>
        <v>랙명판</v>
      </c>
      <c r="C88" s="841" t="str">
        <f>'8-1.설비자재산출(전력통신)'!D87</f>
        <v>AL,190*75*1t,헤어라인/검정색도색후 실크인쇄,후면 벨크로</v>
      </c>
      <c r="D88" s="645" t="str">
        <f>'8-1.설비자재산출(전력통신)'!I87</f>
        <v>EA</v>
      </c>
      <c r="E88" s="645"/>
      <c r="F88" s="645"/>
      <c r="G88" s="582"/>
      <c r="H88" s="645"/>
      <c r="I88" s="582"/>
      <c r="J88" s="582"/>
      <c r="K88" s="493">
        <v>38000</v>
      </c>
      <c r="L88" s="493">
        <v>35000</v>
      </c>
      <c r="M88" s="430"/>
      <c r="N88" s="227">
        <f t="shared" si="1"/>
        <v>30711.45</v>
      </c>
      <c r="O88" s="643" t="s">
        <v>471</v>
      </c>
      <c r="P88" s="643"/>
      <c r="R88" s="18">
        <v>35000</v>
      </c>
    </row>
    <row r="89" spans="1:18" s="18" customFormat="1" ht="24.95" hidden="1" customHeight="1">
      <c r="A89" s="443"/>
      <c r="B89" s="841" t="str">
        <f>'8-1.설비자재산출(전력통신)'!C88</f>
        <v>콘센트</v>
      </c>
      <c r="C89" s="841" t="str">
        <f>'8-1.설비자재산출(전력통신)'!D88</f>
        <v>노출, 접지 2구</v>
      </c>
      <c r="D89" s="645" t="str">
        <f>'8-1.설비자재산출(전력통신)'!I88</f>
        <v>EA</v>
      </c>
      <c r="E89" s="666"/>
      <c r="F89" s="666"/>
      <c r="G89" s="1701">
        <v>2880</v>
      </c>
      <c r="H89" s="394">
        <v>1205</v>
      </c>
      <c r="I89" s="493">
        <v>2898</v>
      </c>
      <c r="J89" s="394">
        <v>1280</v>
      </c>
      <c r="K89" s="1213">
        <v>2000</v>
      </c>
      <c r="L89" s="1213">
        <v>2000</v>
      </c>
      <c r="M89" s="839"/>
      <c r="N89" s="227">
        <f t="shared" si="1"/>
        <v>1754.94</v>
      </c>
      <c r="O89" s="269" t="s">
        <v>3170</v>
      </c>
      <c r="P89" s="643"/>
      <c r="R89" s="18">
        <v>2000</v>
      </c>
    </row>
    <row r="90" spans="1:18" s="18" customFormat="1" ht="24.75" hidden="1" customHeight="1">
      <c r="A90" s="443"/>
      <c r="B90" s="841" t="str">
        <f>'8-1.설비자재산출(전력통신)'!C89</f>
        <v>LAN Port Lock</v>
      </c>
      <c r="C90" s="841" t="str">
        <f>'8-1.설비자재산출(전력통신)'!D89</f>
        <v>Lan RJ-45</v>
      </c>
      <c r="D90" s="645" t="str">
        <f>'8-1.설비자재산출(전력통신)'!I89</f>
        <v>EA</v>
      </c>
      <c r="E90" s="666"/>
      <c r="F90" s="666"/>
      <c r="G90" s="899"/>
      <c r="H90" s="901"/>
      <c r="I90" s="839"/>
      <c r="J90" s="901"/>
      <c r="K90" s="1437"/>
      <c r="L90" s="839"/>
      <c r="M90" s="839"/>
      <c r="N90" s="227">
        <f t="shared" si="1"/>
        <v>0</v>
      </c>
      <c r="O90" s="269" t="s">
        <v>471</v>
      </c>
      <c r="P90" s="643"/>
      <c r="R90" s="18">
        <v>0</v>
      </c>
    </row>
    <row r="91" spans="1:18" s="18" customFormat="1" ht="24.95" hidden="1" customHeight="1">
      <c r="A91" s="443"/>
      <c r="B91" s="841" t="str">
        <f>'8-1.설비자재산출(전력통신)'!C90</f>
        <v>LAN Port Lock 제거키</v>
      </c>
      <c r="C91" s="841" t="str">
        <f>'8-1.설비자재산출(전력통신)'!D90</f>
        <v>제거키(Removal Key)</v>
      </c>
      <c r="D91" s="645" t="str">
        <f>'8-1.설비자재산출(전력통신)'!I90</f>
        <v>EA</v>
      </c>
      <c r="E91" s="904"/>
      <c r="F91" s="904"/>
      <c r="G91" s="905"/>
      <c r="H91" s="906"/>
      <c r="I91" s="907"/>
      <c r="J91" s="906"/>
      <c r="K91" s="1648"/>
      <c r="L91" s="907"/>
      <c r="M91" s="907"/>
      <c r="N91" s="227">
        <f t="shared" si="1"/>
        <v>0</v>
      </c>
      <c r="O91" s="672" t="s">
        <v>471</v>
      </c>
      <c r="P91" s="643"/>
      <c r="R91" s="18">
        <v>0</v>
      </c>
    </row>
    <row r="92" spans="1:18" s="18" customFormat="1" ht="24.95" hidden="1" customHeight="1">
      <c r="A92" s="443"/>
      <c r="B92" s="841" t="str">
        <f>'8-1.설비자재산출(전력통신)'!C91</f>
        <v>DC/DC 컨버터</v>
      </c>
      <c r="C92" s="841" t="str">
        <f>'8-1.설비자재산출(전력통신)'!D91</f>
        <v>19", 1U, DC125/DC48V</v>
      </c>
      <c r="D92" s="645" t="str">
        <f>'8-1.설비자재산출(전력통신)'!I91</f>
        <v>개</v>
      </c>
      <c r="E92" s="666"/>
      <c r="F92" s="666"/>
      <c r="G92" s="899"/>
      <c r="H92" s="840"/>
      <c r="I92" s="839"/>
      <c r="J92" s="839"/>
      <c r="K92" s="839">
        <v>1728000</v>
      </c>
      <c r="L92" s="839">
        <v>1831000</v>
      </c>
      <c r="M92" s="839"/>
      <c r="N92" s="227">
        <f t="shared" si="1"/>
        <v>1516268.16</v>
      </c>
      <c r="O92" s="643" t="s">
        <v>1752</v>
      </c>
      <c r="P92" s="643"/>
      <c r="R92" s="18">
        <v>1728000</v>
      </c>
    </row>
    <row r="93" spans="1:18" s="18" customFormat="1" ht="24.95" hidden="1" customHeight="1">
      <c r="A93" s="443"/>
      <c r="B93" s="841" t="str">
        <f>'8-1.설비자재산출(전력통신)'!C92</f>
        <v>통화로분선반</v>
      </c>
      <c r="C93" s="841" t="str">
        <f>'8-1.설비자재산출(전력통신)'!D92</f>
        <v>VDF</v>
      </c>
      <c r="D93" s="645" t="str">
        <f>'8-1.설비자재산출(전력통신)'!I92</f>
        <v>EA</v>
      </c>
      <c r="E93" s="666"/>
      <c r="F93" s="666"/>
      <c r="G93" s="899"/>
      <c r="H93" s="840"/>
      <c r="I93" s="839"/>
      <c r="J93" s="839"/>
      <c r="K93" s="839"/>
      <c r="L93" s="839"/>
      <c r="M93" s="839"/>
      <c r="N93" s="227">
        <f t="shared" si="1"/>
        <v>0</v>
      </c>
      <c r="O93" s="643">
        <f>'8-1.설비자재산출(전력통신)'!N92</f>
        <v>0</v>
      </c>
      <c r="P93" s="643"/>
      <c r="R93" s="18">
        <v>0</v>
      </c>
    </row>
    <row r="94" spans="1:18" s="18" customFormat="1" ht="24.95" hidden="1" customHeight="1">
      <c r="A94" s="443"/>
      <c r="B94" s="841" t="str">
        <f>'8-1.설비자재산출(전력통신)'!C93</f>
        <v>잡자재</v>
      </c>
      <c r="C94" s="841" t="str">
        <f>'8-1.설비자재산출(전력통신)'!D93</f>
        <v>전선, 케이블 배관자재의 2~5%</v>
      </c>
      <c r="D94" s="645" t="str">
        <f>'8-1.설비자재산출(전력통신)'!I93</f>
        <v>식</v>
      </c>
      <c r="E94" s="666"/>
      <c r="F94" s="666"/>
      <c r="G94" s="899"/>
      <c r="H94" s="840"/>
      <c r="I94" s="839"/>
      <c r="J94" s="839"/>
      <c r="K94" s="839"/>
      <c r="L94" s="839"/>
      <c r="M94" s="839"/>
      <c r="N94" s="227">
        <f t="shared" si="1"/>
        <v>0</v>
      </c>
      <c r="O94" s="643"/>
      <c r="P94" s="643"/>
    </row>
    <row r="95" spans="1:18" s="18" customFormat="1" ht="24.95" customHeight="1">
      <c r="A95" s="443"/>
      <c r="B95" s="841"/>
      <c r="C95" s="841"/>
      <c r="D95" s="645"/>
      <c r="E95" s="666"/>
      <c r="F95" s="666"/>
      <c r="G95" s="899"/>
      <c r="H95" s="840"/>
      <c r="I95" s="839"/>
      <c r="J95" s="839"/>
      <c r="K95" s="839"/>
      <c r="L95" s="839"/>
      <c r="M95" s="839"/>
      <c r="N95" s="227">
        <f t="shared" si="1"/>
        <v>0</v>
      </c>
      <c r="O95" s="643"/>
      <c r="P95" s="643"/>
    </row>
    <row r="96" spans="1:18" s="18" customFormat="1" ht="24.95" customHeight="1">
      <c r="A96" s="1438" t="str">
        <f>'8-1.설비자재산출(전력통신)'!A95</f>
        <v>2. 전원설비</v>
      </c>
      <c r="B96" s="841"/>
      <c r="C96" s="841"/>
      <c r="D96" s="842"/>
      <c r="E96" s="645"/>
      <c r="F96" s="645"/>
      <c r="G96" s="582"/>
      <c r="H96" s="645"/>
      <c r="I96" s="582"/>
      <c r="J96" s="582"/>
      <c r="K96" s="582"/>
      <c r="L96" s="582"/>
      <c r="M96" s="582"/>
      <c r="N96" s="227">
        <f t="shared" si="1"/>
        <v>0</v>
      </c>
      <c r="O96" s="643"/>
      <c r="P96" s="643"/>
      <c r="R96" s="644"/>
    </row>
    <row r="97" spans="1:18" s="18" customFormat="1" ht="24.95" customHeight="1">
      <c r="A97" s="443">
        <f>'8-1.설비자재산출(전력통신)'!B98</f>
        <v>127046</v>
      </c>
      <c r="B97" s="235" t="str">
        <f>'8-1.설비자재산출(전력통신)'!C98</f>
        <v>UPS</v>
      </c>
      <c r="C97" s="235" t="str">
        <f>'8-1.설비자재산출(전력통신)'!D98</f>
        <v>15kVA 입력 3상4선 출력 단상, 내진랙(19")</v>
      </c>
      <c r="D97" s="234" t="str">
        <f>'8-1.설비자재산출(전력통신)'!I98</f>
        <v>대</v>
      </c>
      <c r="E97" s="666">
        <v>9597944</v>
      </c>
      <c r="F97" s="666"/>
      <c r="G97" s="900"/>
      <c r="H97" s="900"/>
      <c r="I97" s="900"/>
      <c r="J97" s="900"/>
      <c r="K97" s="840">
        <v>15000000</v>
      </c>
      <c r="L97" s="839">
        <v>15500000</v>
      </c>
      <c r="M97" s="839"/>
      <c r="N97" s="227">
        <f t="shared" si="1"/>
        <v>8421907.9216799997</v>
      </c>
      <c r="O97" s="269" t="s">
        <v>2588</v>
      </c>
      <c r="P97" s="643"/>
      <c r="R97" s="18">
        <v>9597944</v>
      </c>
    </row>
    <row r="98" spans="1:18" s="18" customFormat="1" ht="24.95" customHeight="1">
      <c r="A98" s="443">
        <f>'8-1.설비자재산출(전력통신)'!B99</f>
        <v>124375</v>
      </c>
      <c r="B98" s="841" t="str">
        <f>'8-1.설비자재산출(전력통신)'!C99</f>
        <v>UPS</v>
      </c>
      <c r="C98" s="841" t="str">
        <f>'8-1.설비자재산출(전력통신)'!D99</f>
        <v>5kVA 입력 3상4선 출력 단상, 내진랙(19")</v>
      </c>
      <c r="D98" s="645" t="str">
        <f>'8-1.설비자재산출(전력통신)'!I99</f>
        <v>대</v>
      </c>
      <c r="E98" s="666">
        <v>9343862</v>
      </c>
      <c r="F98" s="666"/>
      <c r="G98" s="900"/>
      <c r="H98" s="900"/>
      <c r="I98" s="900"/>
      <c r="J98" s="900"/>
      <c r="K98" s="840"/>
      <c r="L98" s="839"/>
      <c r="M98" s="839"/>
      <c r="N98" s="227">
        <f t="shared" si="1"/>
        <v>8198958.5891399998</v>
      </c>
      <c r="O98" s="269" t="s">
        <v>2588</v>
      </c>
      <c r="P98" s="643"/>
      <c r="R98" s="18">
        <v>9343862</v>
      </c>
    </row>
    <row r="99" spans="1:18" s="18" customFormat="1" ht="24.95" customHeight="1">
      <c r="A99" s="443">
        <f>'8-1.설비자재산출(전력통신)'!B100</f>
        <v>125497</v>
      </c>
      <c r="B99" s="235" t="str">
        <f>'8-1.설비자재산출(전력통신)'!C100</f>
        <v>통신용충전기</v>
      </c>
      <c r="C99" s="235" t="str">
        <f>'8-1.설비자재산출(전력통신)'!D100</f>
        <v>48V 100A(50A * 2), 단독형, 내진랙(19")</v>
      </c>
      <c r="D99" s="234" t="str">
        <f>'8-1.설비자재산출(전력통신)'!I100</f>
        <v>대</v>
      </c>
      <c r="E99" s="666">
        <v>8719387</v>
      </c>
      <c r="F99" s="666"/>
      <c r="G99" s="900"/>
      <c r="H99" s="900"/>
      <c r="I99" s="900"/>
      <c r="J99" s="900"/>
      <c r="K99" s="840">
        <v>9800000</v>
      </c>
      <c r="L99" s="839">
        <v>13700000</v>
      </c>
      <c r="M99" s="839"/>
      <c r="N99" s="227">
        <f t="shared" si="1"/>
        <v>7651000.5108899996</v>
      </c>
      <c r="O99" s="269" t="s">
        <v>2588</v>
      </c>
      <c r="P99" s="643"/>
      <c r="R99" s="18">
        <v>8719387</v>
      </c>
    </row>
    <row r="100" spans="1:18" s="18" customFormat="1" ht="24.95" customHeight="1">
      <c r="A100" s="443">
        <f>'8-1.설비자재산출(전력통신)'!B101</f>
        <v>125498</v>
      </c>
      <c r="B100" s="235" t="str">
        <f>'8-1.설비자재산출(전력통신)'!C101</f>
        <v>통신용충전기</v>
      </c>
      <c r="C100" s="235" t="str">
        <f>'8-1.설비자재산출(전력통신)'!D101</f>
        <v>48V 100A(50A * 3), 단독형, 내진랙(19")</v>
      </c>
      <c r="D100" s="234" t="str">
        <f>'8-1.설비자재산출(전력통신)'!I101</f>
        <v>대</v>
      </c>
      <c r="E100" s="666">
        <v>9334909</v>
      </c>
      <c r="F100" s="666"/>
      <c r="G100" s="900"/>
      <c r="H100" s="900"/>
      <c r="I100" s="900"/>
      <c r="J100" s="900"/>
      <c r="K100" s="840">
        <v>12500000</v>
      </c>
      <c r="L100" s="839">
        <v>14800000</v>
      </c>
      <c r="M100" s="839"/>
      <c r="N100" s="227">
        <f t="shared" si="1"/>
        <v>8191102.60023</v>
      </c>
      <c r="O100" s="269" t="s">
        <v>2588</v>
      </c>
      <c r="P100" s="643"/>
      <c r="R100" s="18">
        <v>9334909</v>
      </c>
    </row>
    <row r="101" spans="1:18" s="18" customFormat="1" ht="24.95" customHeight="1">
      <c r="A101" s="443">
        <f>'8-1.설비자재산출(전력통신)'!B102</f>
        <v>124379</v>
      </c>
      <c r="B101" s="235" t="str">
        <f>'8-1.설비자재산출(전력통신)'!C102</f>
        <v>AC/UPS/DC분전반</v>
      </c>
      <c r="C101" s="235" t="str">
        <f>'8-1.설비자재산출(전력통신)'!D102</f>
        <v>AC 2회로, UPS 20회로, DC 16회로</v>
      </c>
      <c r="D101" s="234" t="str">
        <f>'8-1.설비자재산출(전력통신)'!I102</f>
        <v>대</v>
      </c>
      <c r="E101" s="666">
        <v>7123502</v>
      </c>
      <c r="F101" s="666"/>
      <c r="G101" s="900"/>
      <c r="H101" s="900"/>
      <c r="I101" s="900"/>
      <c r="J101" s="900"/>
      <c r="K101" s="840">
        <v>14500000</v>
      </c>
      <c r="L101" s="839">
        <v>14900000</v>
      </c>
      <c r="M101" s="839">
        <v>10450000</v>
      </c>
      <c r="N101" s="227">
        <f t="shared" si="1"/>
        <v>6250659.2999399994</v>
      </c>
      <c r="O101" s="269" t="s">
        <v>2588</v>
      </c>
      <c r="P101" s="643"/>
      <c r="R101" s="18">
        <v>7123502</v>
      </c>
    </row>
    <row r="102" spans="1:18" s="18" customFormat="1" ht="24.95" hidden="1" customHeight="1">
      <c r="A102" s="443"/>
      <c r="B102" s="235" t="str">
        <f>'8-1.설비자재산출(전력통신)'!C103</f>
        <v>DC분전반</v>
      </c>
      <c r="C102" s="235" t="str">
        <f>'8-1.설비자재산출(전력통신)'!D103</f>
        <v>DC 20+20회로</v>
      </c>
      <c r="D102" s="234" t="str">
        <f>'8-1.설비자재산출(전력통신)'!I103</f>
        <v>대</v>
      </c>
      <c r="E102" s="232" t="s">
        <v>1</v>
      </c>
      <c r="F102" s="232"/>
      <c r="G102" s="227"/>
      <c r="H102" s="227"/>
      <c r="I102" s="227"/>
      <c r="J102" s="227"/>
      <c r="K102" s="234"/>
      <c r="L102" s="227"/>
      <c r="M102" s="227"/>
      <c r="N102" s="227">
        <f t="shared" si="1"/>
        <v>0</v>
      </c>
      <c r="O102" s="643">
        <f>'8-1.설비자재산출(전력통신)'!N103</f>
        <v>0</v>
      </c>
      <c r="P102" s="643"/>
      <c r="R102" s="18">
        <v>0</v>
      </c>
    </row>
    <row r="103" spans="1:18" s="18" customFormat="1" ht="24.95" customHeight="1">
      <c r="A103" s="443">
        <f>'8-1.설비자재산출(전력통신)'!B104</f>
        <v>111126</v>
      </c>
      <c r="B103" s="1649" t="str">
        <f>'8-1.설비자재산출(전력통신)'!C104</f>
        <v>축전지</v>
      </c>
      <c r="C103" s="1649" t="str">
        <f>'8-1.설비자재산출(전력통신)'!D104</f>
        <v>12V/150AH, UPS용</v>
      </c>
      <c r="D103" s="1650" t="str">
        <f>'8-1.설비자재산출(전력통신)'!I104</f>
        <v>개</v>
      </c>
      <c r="E103" s="1651">
        <v>297390</v>
      </c>
      <c r="F103" s="1651"/>
      <c r="G103" s="1652"/>
      <c r="H103" s="1652"/>
      <c r="I103" s="1652"/>
      <c r="J103" s="1652"/>
      <c r="K103" s="1213">
        <v>350000</v>
      </c>
      <c r="L103" s="1213">
        <v>390000</v>
      </c>
      <c r="M103" s="582"/>
      <c r="N103" s="227">
        <f t="shared" si="1"/>
        <v>260950.8033</v>
      </c>
      <c r="O103" s="269" t="s">
        <v>2588</v>
      </c>
      <c r="P103" s="643"/>
      <c r="R103" s="18">
        <v>297390</v>
      </c>
    </row>
    <row r="104" spans="1:18" s="18" customFormat="1" ht="24.95" customHeight="1">
      <c r="A104" s="443">
        <f>'8-1.설비자재산출(전력통신)'!B105</f>
        <v>111125</v>
      </c>
      <c r="B104" s="1649" t="str">
        <f>'8-1.설비자재산출(전력통신)'!C105</f>
        <v>축전지</v>
      </c>
      <c r="C104" s="1649" t="str">
        <f>'8-1.설비자재산출(전력통신)'!D105</f>
        <v>12V/100AH, UPS용</v>
      </c>
      <c r="D104" s="1650" t="str">
        <f>'8-1.설비자재산출(전력통신)'!I105</f>
        <v>개</v>
      </c>
      <c r="E104" s="1653">
        <v>221797</v>
      </c>
      <c r="F104" s="1653"/>
      <c r="G104" s="1654"/>
      <c r="H104" s="1654"/>
      <c r="I104" s="1654"/>
      <c r="J104" s="1654"/>
      <c r="K104" s="1213">
        <v>280000</v>
      </c>
      <c r="L104" s="1213">
        <v>330000</v>
      </c>
      <c r="M104" s="582"/>
      <c r="N104" s="227">
        <f t="shared" si="1"/>
        <v>194620.21359</v>
      </c>
      <c r="O104" s="269" t="s">
        <v>2588</v>
      </c>
      <c r="P104" s="643"/>
      <c r="R104" s="18">
        <v>221797</v>
      </c>
    </row>
    <row r="105" spans="1:18" s="18" customFormat="1" ht="24.95" customHeight="1">
      <c r="A105" s="443">
        <f>'8-1.설비자재산출(전력통신)'!B106</f>
        <v>111127</v>
      </c>
      <c r="B105" s="1649" t="str">
        <f>'8-1.설비자재산출(전력통신)'!C106</f>
        <v>축전지</v>
      </c>
      <c r="C105" s="1649" t="str">
        <f>'8-1.설비자재산출(전력통신)'!D106</f>
        <v>12V/200AH, 충전기용</v>
      </c>
      <c r="D105" s="1650" t="str">
        <f>'8-1.설비자재산출(전력통신)'!I106</f>
        <v>개</v>
      </c>
      <c r="E105" s="1653">
        <v>398374</v>
      </c>
      <c r="F105" s="1653"/>
      <c r="G105" s="1654"/>
      <c r="H105" s="1654"/>
      <c r="I105" s="1654"/>
      <c r="J105" s="1654"/>
      <c r="K105" s="1655">
        <v>390000</v>
      </c>
      <c r="L105" s="1654">
        <v>420000</v>
      </c>
      <c r="M105" s="1654"/>
      <c r="N105" s="227">
        <f t="shared" si="1"/>
        <v>342213.3</v>
      </c>
      <c r="O105" s="643" t="s">
        <v>1752</v>
      </c>
      <c r="P105" s="643"/>
      <c r="R105" s="18">
        <v>390000</v>
      </c>
    </row>
    <row r="106" spans="1:18" s="18" customFormat="1" ht="24.95" customHeight="1">
      <c r="A106" s="443">
        <v>111126</v>
      </c>
      <c r="B106" s="1649" t="str">
        <f>'8-1.설비자재산출(전력통신)'!C107</f>
        <v>축전지</v>
      </c>
      <c r="C106" s="1649" t="str">
        <f>'8-1.설비자재산출(전력통신)'!D107</f>
        <v>12V/150AH, 충전기용</v>
      </c>
      <c r="D106" s="1650" t="str">
        <f>'8-1.설비자재산출(전력통신)'!I107</f>
        <v>개</v>
      </c>
      <c r="E106" s="1653">
        <v>297390</v>
      </c>
      <c r="F106" s="1653"/>
      <c r="G106" s="1654"/>
      <c r="H106" s="1654"/>
      <c r="I106" s="1654"/>
      <c r="J106" s="1654"/>
      <c r="K106" s="1213">
        <v>350000</v>
      </c>
      <c r="L106" s="1213">
        <v>390000</v>
      </c>
      <c r="M106" s="582"/>
      <c r="N106" s="227">
        <f t="shared" si="1"/>
        <v>260950.8033</v>
      </c>
      <c r="O106" s="269" t="s">
        <v>2588</v>
      </c>
      <c r="P106" s="643"/>
      <c r="R106" s="18">
        <v>297390</v>
      </c>
    </row>
    <row r="107" spans="1:18" s="18" customFormat="1" ht="24.95" customHeight="1">
      <c r="A107" s="443"/>
      <c r="B107" s="235" t="str">
        <f>'8-1.설비자재산출(전력통신)'!C108</f>
        <v>축전지함체</v>
      </c>
      <c r="C107" s="235" t="str">
        <f>'8-1.설비자재산출(전력통신)'!D108</f>
        <v>UPS용, 내진랙(19")</v>
      </c>
      <c r="D107" s="234" t="str">
        <f>'8-1.설비자재산출(전력통신)'!I108</f>
        <v>대</v>
      </c>
      <c r="E107" s="666" t="s">
        <v>2</v>
      </c>
      <c r="F107" s="666"/>
      <c r="G107" s="899"/>
      <c r="H107" s="901"/>
      <c r="I107" s="899"/>
      <c r="J107" s="899"/>
      <c r="K107" s="1702">
        <v>1900000</v>
      </c>
      <c r="L107" s="839">
        <v>1900000</v>
      </c>
      <c r="M107" s="1702">
        <v>2500000</v>
      </c>
      <c r="N107" s="227">
        <f t="shared" si="1"/>
        <v>1667193</v>
      </c>
      <c r="O107" s="269" t="s">
        <v>471</v>
      </c>
      <c r="P107" s="643"/>
      <c r="R107" s="18">
        <v>1900000</v>
      </c>
    </row>
    <row r="108" spans="1:18" s="18" customFormat="1" ht="24.95" customHeight="1">
      <c r="A108" s="443"/>
      <c r="B108" s="235" t="str">
        <f>'8-1.설비자재산출(전력통신)'!C109</f>
        <v>축전지함체</v>
      </c>
      <c r="C108" s="235" t="str">
        <f>'8-1.설비자재산출(전력통신)'!D109</f>
        <v>충전기용, 내진랙(19")</v>
      </c>
      <c r="D108" s="234" t="str">
        <f>'8-1.설비자재산출(전력통신)'!I109</f>
        <v>대</v>
      </c>
      <c r="E108" s="666" t="s">
        <v>2</v>
      </c>
      <c r="F108" s="666"/>
      <c r="G108" s="899"/>
      <c r="H108" s="901"/>
      <c r="I108" s="899"/>
      <c r="J108" s="899"/>
      <c r="K108" s="1702">
        <v>1900000</v>
      </c>
      <c r="L108" s="839">
        <v>1900000</v>
      </c>
      <c r="M108" s="1702">
        <v>2500000</v>
      </c>
      <c r="N108" s="227">
        <f t="shared" si="1"/>
        <v>1667193</v>
      </c>
      <c r="O108" s="269" t="s">
        <v>471</v>
      </c>
      <c r="P108" s="643"/>
      <c r="R108" s="18">
        <v>1900000</v>
      </c>
    </row>
    <row r="109" spans="1:18" s="18" customFormat="1" ht="24.95" customHeight="1">
      <c r="A109" s="443"/>
      <c r="B109" s="235" t="str">
        <f>'8-1.설비자재산출(전력통신)'!C110</f>
        <v>난연성전원케이블</v>
      </c>
      <c r="C109" s="235" t="str">
        <f>'8-1.설비자재산출(전력통신)'!D110</f>
        <v>FR-CVV-S, 25SQ/4C</v>
      </c>
      <c r="D109" s="234" t="str">
        <f>'8-1.설비자재산출(전력통신)'!I110</f>
        <v>m</v>
      </c>
      <c r="E109" s="232"/>
      <c r="F109" s="232"/>
      <c r="G109" s="227"/>
      <c r="H109" s="227"/>
      <c r="I109" s="227"/>
      <c r="J109" s="227"/>
      <c r="K109" s="234">
        <v>27120</v>
      </c>
      <c r="L109" s="227">
        <v>29020</v>
      </c>
      <c r="M109" s="227"/>
      <c r="N109" s="227">
        <f t="shared" si="1"/>
        <v>23796.986399999998</v>
      </c>
      <c r="O109" s="269" t="s">
        <v>471</v>
      </c>
      <c r="P109" s="643"/>
      <c r="R109" s="18">
        <v>27120</v>
      </c>
    </row>
    <row r="110" spans="1:18" s="18" customFormat="1" ht="24.95" customHeight="1">
      <c r="A110" s="443"/>
      <c r="B110" s="235" t="str">
        <f>'8-1.설비자재산출(전력통신)'!C111</f>
        <v>난연성전원케이블</v>
      </c>
      <c r="C110" s="235" t="str">
        <f>'8-1.설비자재산출(전력통신)'!D111</f>
        <v>FR-CVV-S, 16SQ/4C</v>
      </c>
      <c r="D110" s="234" t="str">
        <f>'8-1.설비자재산출(전력통신)'!I111</f>
        <v>m</v>
      </c>
      <c r="E110" s="666"/>
      <c r="F110" s="666"/>
      <c r="G110" s="900"/>
      <c r="H110" s="901"/>
      <c r="I110" s="900"/>
      <c r="J110" s="901"/>
      <c r="K110" s="840">
        <v>17830</v>
      </c>
      <c r="L110" s="840">
        <v>19100</v>
      </c>
      <c r="M110" s="840"/>
      <c r="N110" s="227">
        <f t="shared" si="1"/>
        <v>15645.2901</v>
      </c>
      <c r="O110" s="269" t="s">
        <v>471</v>
      </c>
      <c r="P110" s="643"/>
      <c r="R110" s="18">
        <v>17830</v>
      </c>
    </row>
    <row r="111" spans="1:18" s="18" customFormat="1" ht="24.95" customHeight="1">
      <c r="A111" s="443"/>
      <c r="B111" s="235" t="str">
        <f>'8-1.설비자재산출(전력통신)'!C112</f>
        <v>난연성전원케이블</v>
      </c>
      <c r="C111" s="235" t="str">
        <f>'8-1.설비자재산출(전력통신)'!D112</f>
        <v>FR-CVV-S, 16SQ/3C</v>
      </c>
      <c r="D111" s="234" t="str">
        <f>'8-1.설비자재산출(전력통신)'!I112</f>
        <v>m</v>
      </c>
      <c r="E111" s="666" t="s">
        <v>2</v>
      </c>
      <c r="F111" s="666"/>
      <c r="G111" s="900"/>
      <c r="H111" s="901"/>
      <c r="I111" s="900"/>
      <c r="J111" s="901"/>
      <c r="K111" s="840">
        <v>17830</v>
      </c>
      <c r="L111" s="840">
        <v>19100</v>
      </c>
      <c r="M111" s="840"/>
      <c r="N111" s="227">
        <f t="shared" si="1"/>
        <v>15645.2901</v>
      </c>
      <c r="O111" s="269" t="s">
        <v>471</v>
      </c>
      <c r="P111" s="643"/>
      <c r="R111" s="18">
        <v>17830</v>
      </c>
    </row>
    <row r="112" spans="1:18" s="18" customFormat="1" ht="24.95" customHeight="1">
      <c r="A112" s="443"/>
      <c r="B112" s="235" t="str">
        <f>'8-1.설비자재산출(전력통신)'!C113</f>
        <v>난연성전원케이블</v>
      </c>
      <c r="C112" s="235" t="str">
        <f>'8-1.설비자재산출(전력통신)'!D113</f>
        <v>FR-CVV-S, 16SQ/2C</v>
      </c>
      <c r="D112" s="234" t="str">
        <f>'8-1.설비자재산출(전력통신)'!I113</f>
        <v>m</v>
      </c>
      <c r="E112" s="666"/>
      <c r="F112" s="666"/>
      <c r="G112" s="900"/>
      <c r="H112" s="901"/>
      <c r="I112" s="900"/>
      <c r="J112" s="901"/>
      <c r="K112" s="840">
        <v>17830</v>
      </c>
      <c r="L112" s="840">
        <v>19100</v>
      </c>
      <c r="M112" s="840"/>
      <c r="N112" s="227">
        <f t="shared" si="1"/>
        <v>15645.2901</v>
      </c>
      <c r="O112" s="269" t="s">
        <v>471</v>
      </c>
      <c r="P112" s="643"/>
      <c r="R112" s="18">
        <v>17830</v>
      </c>
    </row>
    <row r="113" spans="1:18" s="18" customFormat="1" ht="24.95" customHeight="1">
      <c r="A113" s="443"/>
      <c r="B113" s="235" t="str">
        <f>'8-1.설비자재산출(전력통신)'!C114</f>
        <v>접지케이블</v>
      </c>
      <c r="C113" s="235" t="str">
        <f>'8-1.설비자재산출(전력통신)'!D114</f>
        <v>F-GV, 16SQ</v>
      </c>
      <c r="D113" s="234" t="str">
        <f>'8-1.설비자재산출(전력통신)'!I114</f>
        <v>m</v>
      </c>
      <c r="E113" s="232"/>
      <c r="F113" s="232"/>
      <c r="G113" s="227">
        <v>3341</v>
      </c>
      <c r="H113" s="227">
        <v>1075</v>
      </c>
      <c r="I113" s="227">
        <v>2995</v>
      </c>
      <c r="J113" s="227">
        <v>1165</v>
      </c>
      <c r="K113" s="234"/>
      <c r="L113" s="227"/>
      <c r="M113" s="227"/>
      <c r="N113" s="227">
        <f t="shared" si="1"/>
        <v>2628.0226499999999</v>
      </c>
      <c r="O113" s="269" t="s">
        <v>3173</v>
      </c>
      <c r="P113" s="643"/>
      <c r="R113" s="18">
        <v>2995</v>
      </c>
    </row>
    <row r="114" spans="1:18" s="18" customFormat="1" ht="24.95" customHeight="1">
      <c r="A114" s="443"/>
      <c r="B114" s="235" t="str">
        <f>'8-1.설비자재산출(전력통신)'!C115</f>
        <v>UTP케이블</v>
      </c>
      <c r="C114" s="235" t="str">
        <f>'8-1.설비자재산출(전력통신)'!D115</f>
        <v>CAT.5E 4P</v>
      </c>
      <c r="D114" s="234" t="str">
        <f>'8-1.설비자재산출(전력통신)'!I115</f>
        <v>m</v>
      </c>
      <c r="E114" s="232"/>
      <c r="F114" s="232"/>
      <c r="G114" s="583">
        <v>790</v>
      </c>
      <c r="H114" s="645">
        <v>1083</v>
      </c>
      <c r="I114" s="582">
        <v>1100</v>
      </c>
      <c r="J114" s="582">
        <v>1173</v>
      </c>
      <c r="K114" s="234"/>
      <c r="L114" s="227">
        <v>800</v>
      </c>
      <c r="M114" s="227">
        <v>790</v>
      </c>
      <c r="N114" s="227">
        <f t="shared" si="1"/>
        <v>693.20129999999995</v>
      </c>
      <c r="O114" s="269" t="s">
        <v>3170</v>
      </c>
      <c r="P114" s="643"/>
      <c r="R114" s="18">
        <v>790</v>
      </c>
    </row>
    <row r="115" spans="1:18" s="18" customFormat="1" ht="24.95" customHeight="1">
      <c r="A115" s="443"/>
      <c r="B115" s="235" t="str">
        <f>'8-1.설비자재산출(전력통신)'!C116</f>
        <v>후렉시블전선관</v>
      </c>
      <c r="C115" s="235" t="str">
        <f>'8-1.설비자재산출(전력통신)'!D116</f>
        <v>16㎜, 일반방수(GW-16)</v>
      </c>
      <c r="D115" s="234" t="str">
        <f>'8-1.설비자재산출(전력통신)'!I116</f>
        <v>m</v>
      </c>
      <c r="E115" s="232" t="s">
        <v>1</v>
      </c>
      <c r="F115" s="232"/>
      <c r="G115" s="583">
        <v>2260</v>
      </c>
      <c r="H115" s="645">
        <v>1103</v>
      </c>
      <c r="I115" s="582">
        <v>715</v>
      </c>
      <c r="J115" s="1700">
        <v>1204</v>
      </c>
      <c r="K115" s="234"/>
      <c r="L115" s="227"/>
      <c r="M115" s="227"/>
      <c r="N115" s="227">
        <f t="shared" si="1"/>
        <v>627.39104999999995</v>
      </c>
      <c r="O115" s="269" t="s">
        <v>3170</v>
      </c>
      <c r="P115" s="643"/>
      <c r="R115" s="18">
        <v>715</v>
      </c>
    </row>
    <row r="116" spans="1:18" s="18" customFormat="1" ht="24.95" customHeight="1">
      <c r="A116" s="443"/>
      <c r="B116" s="235" t="str">
        <f>'8-1.설비자재산출(전력통신)'!C117</f>
        <v>셋트앙카(STS)</v>
      </c>
      <c r="C116" s="235" t="str">
        <f>'8-1.설비자재산출(전력통신)'!D117</f>
        <v>Φ3/8, 75㎜</v>
      </c>
      <c r="D116" s="234" t="str">
        <f>'8-1.설비자재산출(전력통신)'!I117</f>
        <v>개</v>
      </c>
      <c r="E116" s="232" t="s">
        <v>1</v>
      </c>
      <c r="F116" s="232"/>
      <c r="G116" s="582">
        <v>710</v>
      </c>
      <c r="H116" s="645">
        <v>53</v>
      </c>
      <c r="I116" s="582">
        <v>800</v>
      </c>
      <c r="J116" s="582">
        <v>1386</v>
      </c>
      <c r="K116" s="234"/>
      <c r="L116" s="227"/>
      <c r="M116" s="227"/>
      <c r="N116" s="227">
        <f t="shared" si="1"/>
        <v>623.00369999999998</v>
      </c>
      <c r="O116" s="269" t="s">
        <v>3170</v>
      </c>
      <c r="P116" s="643"/>
      <c r="R116" s="18">
        <v>710</v>
      </c>
    </row>
    <row r="117" spans="1:18" s="18" customFormat="1" ht="24.95" hidden="1" customHeight="1">
      <c r="A117" s="443"/>
      <c r="B117" s="235" t="str">
        <f>'8-1.설비자재산출(전력통신)'!C118</f>
        <v>전산볼트</v>
      </c>
      <c r="C117" s="235" t="str">
        <f>'8-1.설비자재산출(전력통신)'!D118</f>
        <v>M10,철</v>
      </c>
      <c r="D117" s="234" t="str">
        <f>'8-1.설비자재산출(전력통신)'!I118</f>
        <v>개</v>
      </c>
      <c r="E117" s="232" t="s">
        <v>1</v>
      </c>
      <c r="F117" s="232"/>
      <c r="G117" s="582">
        <v>1017</v>
      </c>
      <c r="H117" s="645">
        <v>86</v>
      </c>
      <c r="I117" s="582">
        <v>1226</v>
      </c>
      <c r="J117" s="582">
        <v>43</v>
      </c>
      <c r="K117" s="234"/>
      <c r="L117" s="227"/>
      <c r="M117" s="227"/>
      <c r="N117" s="227">
        <f t="shared" si="1"/>
        <v>892.38698999999997</v>
      </c>
      <c r="O117" s="643">
        <f>'8-1.설비자재산출(전력통신)'!N118</f>
        <v>24</v>
      </c>
      <c r="P117" s="643"/>
      <c r="R117" s="18">
        <v>1017</v>
      </c>
    </row>
    <row r="118" spans="1:18" s="18" customFormat="1" ht="24.95" hidden="1" customHeight="1">
      <c r="A118" s="443"/>
      <c r="B118" s="235" t="str">
        <f>'8-1.설비자재산출(전력통신)'!C119</f>
        <v>바닥고정브라켓(평마루용)</v>
      </c>
      <c r="C118" s="235" t="str">
        <f>'8-1.설비자재산출(전력통신)'!D119</f>
        <v>600*750*25</v>
      </c>
      <c r="D118" s="234" t="str">
        <f>'8-1.설비자재산출(전력통신)'!I119</f>
        <v>EA</v>
      </c>
      <c r="E118" s="232" t="s">
        <v>1</v>
      </c>
      <c r="F118" s="232"/>
      <c r="G118" s="227"/>
      <c r="H118" s="227"/>
      <c r="I118" s="227"/>
      <c r="J118" s="227"/>
      <c r="K118" s="234"/>
      <c r="L118" s="227"/>
      <c r="M118" s="227"/>
      <c r="N118" s="227">
        <f t="shared" si="1"/>
        <v>0</v>
      </c>
      <c r="O118" s="643">
        <f>'8-1.설비자재산출(전력통신)'!N119</f>
        <v>18</v>
      </c>
      <c r="P118" s="643"/>
      <c r="R118" s="18">
        <v>0</v>
      </c>
    </row>
    <row r="119" spans="1:18" s="18" customFormat="1" ht="24.95" customHeight="1">
      <c r="A119" s="443"/>
      <c r="B119" s="235" t="str">
        <f>'8-1.설비자재산출(전력통신)'!C120</f>
        <v>랙명판</v>
      </c>
      <c r="C119" s="235" t="str">
        <f>'8-1.설비자재산출(전력통신)'!D120</f>
        <v>AL,190*75*1t,헤어라인/검정색도색후 실크인쇄,후면 벨크로</v>
      </c>
      <c r="D119" s="234" t="str">
        <f>'8-1.설비자재산출(전력통신)'!I120</f>
        <v>EA</v>
      </c>
      <c r="E119" s="645"/>
      <c r="F119" s="645"/>
      <c r="G119" s="582"/>
      <c r="H119" s="645"/>
      <c r="I119" s="582"/>
      <c r="J119" s="582"/>
      <c r="K119" s="493">
        <v>38000</v>
      </c>
      <c r="L119" s="493">
        <v>35000</v>
      </c>
      <c r="M119" s="582"/>
      <c r="N119" s="227">
        <f t="shared" si="1"/>
        <v>30711.45</v>
      </c>
      <c r="O119" s="643" t="s">
        <v>471</v>
      </c>
      <c r="P119" s="643"/>
      <c r="R119" s="18">
        <v>35000</v>
      </c>
    </row>
    <row r="120" spans="1:18" s="18" customFormat="1" ht="24.95" customHeight="1">
      <c r="A120" s="443"/>
      <c r="B120" s="235" t="str">
        <f>'8-1.설비자재산출(전력통신)'!C121</f>
        <v>동관단자</v>
      </c>
      <c r="C120" s="235" t="str">
        <f>'8-1.설비자재산출(전력통신)'!D121</f>
        <v>16㎟*2C</v>
      </c>
      <c r="D120" s="234" t="str">
        <f>'8-1.설비자재산출(전력통신)'!I121</f>
        <v>개</v>
      </c>
      <c r="E120" s="232" t="s">
        <v>1</v>
      </c>
      <c r="F120" s="232"/>
      <c r="G120" s="227">
        <v>680</v>
      </c>
      <c r="H120" s="227">
        <v>1100</v>
      </c>
      <c r="I120" s="227">
        <v>815</v>
      </c>
      <c r="J120" s="227">
        <v>1231</v>
      </c>
      <c r="K120" s="234"/>
      <c r="L120" s="227"/>
      <c r="M120" s="227"/>
      <c r="N120" s="227">
        <f t="shared" si="1"/>
        <v>596.67959999999994</v>
      </c>
      <c r="O120" s="269" t="s">
        <v>3170</v>
      </c>
      <c r="P120" s="643"/>
      <c r="R120" s="18">
        <v>680</v>
      </c>
    </row>
    <row r="121" spans="1:18" s="18" customFormat="1" ht="24.95" customHeight="1">
      <c r="A121" s="443"/>
      <c r="B121" s="235" t="str">
        <f>'8-1.설비자재산출(전력통신)'!C122</f>
        <v>동관단자</v>
      </c>
      <c r="C121" s="235" t="str">
        <f>'8-1.설비자재산출(전력통신)'!D122</f>
        <v>16㎟*3C</v>
      </c>
      <c r="D121" s="234" t="str">
        <f>'8-1.설비자재산출(전력통신)'!I122</f>
        <v>개</v>
      </c>
      <c r="E121" s="232" t="s">
        <v>1</v>
      </c>
      <c r="F121" s="232"/>
      <c r="G121" s="227">
        <v>680</v>
      </c>
      <c r="H121" s="227">
        <v>1100</v>
      </c>
      <c r="I121" s="227">
        <v>815</v>
      </c>
      <c r="J121" s="227">
        <v>1231</v>
      </c>
      <c r="K121" s="234"/>
      <c r="L121" s="227"/>
      <c r="M121" s="227"/>
      <c r="N121" s="227">
        <f t="shared" si="1"/>
        <v>596.67959999999994</v>
      </c>
      <c r="O121" s="269" t="s">
        <v>3170</v>
      </c>
      <c r="P121" s="643"/>
      <c r="R121" s="18">
        <v>680</v>
      </c>
    </row>
    <row r="122" spans="1:18" s="18" customFormat="1" ht="24.95" customHeight="1">
      <c r="A122" s="443"/>
      <c r="B122" s="235" t="str">
        <f>'8-1.설비자재산출(전력통신)'!C123</f>
        <v>동관단자</v>
      </c>
      <c r="C122" s="235" t="str">
        <f>'8-1.설비자재산출(전력통신)'!D123</f>
        <v>16㎟*4C</v>
      </c>
      <c r="D122" s="234" t="str">
        <f>'8-1.설비자재산출(전력통신)'!I123</f>
        <v>개</v>
      </c>
      <c r="E122" s="232" t="s">
        <v>1</v>
      </c>
      <c r="F122" s="232"/>
      <c r="G122" s="227">
        <v>680</v>
      </c>
      <c r="H122" s="227">
        <v>1100</v>
      </c>
      <c r="I122" s="227">
        <v>815</v>
      </c>
      <c r="J122" s="227">
        <v>1231</v>
      </c>
      <c r="K122" s="234">
        <v>370</v>
      </c>
      <c r="L122" s="227">
        <v>390</v>
      </c>
      <c r="M122" s="227"/>
      <c r="N122" s="227">
        <f t="shared" si="1"/>
        <v>324.66390000000001</v>
      </c>
      <c r="O122" s="269" t="s">
        <v>3170</v>
      </c>
      <c r="P122" s="643"/>
      <c r="R122" s="18">
        <v>370</v>
      </c>
    </row>
    <row r="123" spans="1:18" s="18" customFormat="1" ht="24.95" customHeight="1">
      <c r="A123" s="443"/>
      <c r="B123" s="235" t="str">
        <f>'8-1.설비자재산출(전력통신)'!C124</f>
        <v>동관단자</v>
      </c>
      <c r="C123" s="235" t="str">
        <f>'8-1.설비자재산출(전력통신)'!D124</f>
        <v>35㎟*4C</v>
      </c>
      <c r="D123" s="234" t="str">
        <f>'8-1.설비자재산출(전력통신)'!I124</f>
        <v>개</v>
      </c>
      <c r="E123" s="232" t="s">
        <v>1</v>
      </c>
      <c r="F123" s="232"/>
      <c r="G123" s="227">
        <v>1210</v>
      </c>
      <c r="H123" s="227">
        <v>1100</v>
      </c>
      <c r="I123" s="227">
        <v>1590</v>
      </c>
      <c r="J123" s="227">
        <v>1231</v>
      </c>
      <c r="K123" s="234">
        <v>440</v>
      </c>
      <c r="L123" s="227">
        <v>470</v>
      </c>
      <c r="M123" s="227"/>
      <c r="N123" s="227">
        <f t="shared" si="1"/>
        <v>386.08679999999998</v>
      </c>
      <c r="O123" s="269" t="s">
        <v>3170</v>
      </c>
      <c r="P123" s="643"/>
      <c r="R123" s="18">
        <v>440</v>
      </c>
    </row>
    <row r="124" spans="1:18" s="18" customFormat="1" ht="24.95" customHeight="1">
      <c r="A124" s="443"/>
      <c r="B124" s="235" t="str">
        <f>'8-1.설비자재산출(전력통신)'!C125</f>
        <v>난연성제어케이블</v>
      </c>
      <c r="C124" s="235" t="str">
        <f>'8-1.설비자재산출(전력통신)'!D125</f>
        <v>FR-CVV-S, 2.5SQ/2C</v>
      </c>
      <c r="D124" s="234" t="str">
        <f>'8-1.설비자재산출(전력통신)'!I125</f>
        <v>m</v>
      </c>
      <c r="E124" s="666"/>
      <c r="F124" s="666"/>
      <c r="G124" s="899"/>
      <c r="H124" s="901"/>
      <c r="I124" s="899"/>
      <c r="J124" s="901"/>
      <c r="K124" s="839">
        <v>3120</v>
      </c>
      <c r="L124" s="1702">
        <v>3340</v>
      </c>
      <c r="M124" s="839"/>
      <c r="N124" s="227">
        <f t="shared" si="1"/>
        <v>2737.7064</v>
      </c>
      <c r="O124" s="269" t="s">
        <v>471</v>
      </c>
      <c r="P124" s="643"/>
      <c r="R124" s="18">
        <v>3120</v>
      </c>
    </row>
    <row r="125" spans="1:18" s="18" customFormat="1" ht="24.95" hidden="1" customHeight="1">
      <c r="A125" s="443"/>
      <c r="B125" s="235" t="str">
        <f>'8-1.설비자재산출(전력통신)'!C126</f>
        <v>잡자재</v>
      </c>
      <c r="C125" s="235" t="str">
        <f>'8-1.설비자재산출(전력통신)'!D126</f>
        <v>전선, 케이블 배관자재의 2~5%</v>
      </c>
      <c r="D125" s="234" t="str">
        <f>'8-1.설비자재산출(전력통신)'!I126</f>
        <v>식</v>
      </c>
      <c r="E125" s="232" t="s">
        <v>1</v>
      </c>
      <c r="F125" s="232"/>
      <c r="G125" s="227"/>
      <c r="H125" s="227"/>
      <c r="I125" s="227"/>
      <c r="J125" s="227"/>
      <c r="K125" s="234"/>
      <c r="L125" s="227"/>
      <c r="M125" s="227"/>
      <c r="N125" s="227">
        <f t="shared" si="1"/>
        <v>0</v>
      </c>
      <c r="O125" s="643"/>
      <c r="P125" s="643"/>
      <c r="R125" s="18">
        <v>0</v>
      </c>
    </row>
    <row r="126" spans="1:18" s="18" customFormat="1" ht="24.95" customHeight="1">
      <c r="A126" s="443"/>
      <c r="B126" s="235"/>
      <c r="C126" s="235"/>
      <c r="D126" s="236"/>
      <c r="E126" s="232"/>
      <c r="F126" s="232"/>
      <c r="G126" s="227"/>
      <c r="H126" s="227"/>
      <c r="I126" s="227"/>
      <c r="J126" s="227"/>
      <c r="K126" s="227"/>
      <c r="L126" s="227"/>
      <c r="M126" s="227"/>
      <c r="N126" s="227">
        <f t="shared" si="1"/>
        <v>0</v>
      </c>
      <c r="O126" s="269"/>
      <c r="P126" s="269"/>
    </row>
    <row r="127" spans="1:18" s="18" customFormat="1" ht="24.95" customHeight="1">
      <c r="A127" s="1438" t="str">
        <f>'8-1.설비자재산출(전력통신)'!A128</f>
        <v>3. LAN, EPIA, 정보보호</v>
      </c>
      <c r="B127" s="686"/>
      <c r="C127" s="686"/>
      <c r="D127" s="843"/>
      <c r="E127" s="686"/>
      <c r="F127" s="686"/>
      <c r="G127" s="686"/>
      <c r="H127" s="686"/>
      <c r="I127" s="686"/>
      <c r="J127" s="686"/>
      <c r="K127" s="686"/>
      <c r="L127" s="686"/>
      <c r="M127" s="686"/>
      <c r="N127" s="227">
        <f t="shared" si="1"/>
        <v>0</v>
      </c>
      <c r="O127" s="705"/>
      <c r="P127" s="705"/>
    </row>
    <row r="128" spans="1:18" s="18" customFormat="1" ht="24.95" hidden="1" customHeight="1">
      <c r="A128" s="443"/>
      <c r="B128" s="235" t="str">
        <f>'8-1.설비자재산출(전력통신)'!C131</f>
        <v>광모뎀단말장치</v>
      </c>
      <c r="C128" s="235" t="str">
        <f>'8-1.설비자재산출(전력통신)'!D131</f>
        <v>40km(RT)</v>
      </c>
      <c r="D128" s="236" t="str">
        <f>'8-1.설비자재산출(전력통신)'!I131</f>
        <v>EA</v>
      </c>
      <c r="E128" s="232"/>
      <c r="F128" s="232"/>
      <c r="G128" s="227"/>
      <c r="H128" s="226"/>
      <c r="I128" s="582"/>
      <c r="J128" s="584"/>
      <c r="K128" s="582"/>
      <c r="L128" s="582"/>
      <c r="M128" s="645"/>
      <c r="N128" s="227">
        <f t="shared" si="1"/>
        <v>0</v>
      </c>
      <c r="O128" s="269">
        <f>'8-1.설비자재산출(전력통신)'!N131</f>
        <v>0</v>
      </c>
      <c r="P128" s="269"/>
      <c r="R128" s="18">
        <v>0</v>
      </c>
    </row>
    <row r="129" spans="1:18" s="18" customFormat="1" ht="25.5" customHeight="1">
      <c r="A129" s="443"/>
      <c r="B129" s="235" t="str">
        <f>'8-1.설비자재산출(전력통신)'!C132</f>
        <v>EPIA</v>
      </c>
      <c r="C129" s="235" t="str">
        <f>'8-1.설비자재산출(전력통신)'!D132</f>
        <v>AI 16, DI 48 카드 포함</v>
      </c>
      <c r="D129" s="236" t="str">
        <f>'8-1.설비자재산출(전력통신)'!I132</f>
        <v>대</v>
      </c>
      <c r="E129" s="666"/>
      <c r="F129" s="666"/>
      <c r="G129" s="899"/>
      <c r="H129" s="901"/>
      <c r="I129" s="839"/>
      <c r="J129" s="901"/>
      <c r="K129" s="839">
        <v>4920000</v>
      </c>
      <c r="L129" s="839">
        <v>5100000</v>
      </c>
      <c r="M129" s="839"/>
      <c r="N129" s="227">
        <f t="shared" si="1"/>
        <v>4317152.3999999994</v>
      </c>
      <c r="O129" s="269" t="s">
        <v>471</v>
      </c>
      <c r="P129" s="269"/>
      <c r="R129" s="18">
        <v>4920000</v>
      </c>
    </row>
    <row r="130" spans="1:18" s="18" customFormat="1" ht="24.95" hidden="1" customHeight="1">
      <c r="A130" s="443"/>
      <c r="B130" s="235" t="str">
        <f>'8-1.설비자재산출(전력통신)'!C133</f>
        <v>PIA DI카드</v>
      </c>
      <c r="C130" s="235" t="str">
        <f>'8-1.설비자재산출(전력통신)'!D133</f>
        <v>DI 8PORT</v>
      </c>
      <c r="D130" s="236" t="str">
        <f>'8-1.설비자재산출(전력통신)'!I133</f>
        <v>매</v>
      </c>
      <c r="E130" s="666"/>
      <c r="F130" s="666"/>
      <c r="G130" s="899"/>
      <c r="H130" s="901"/>
      <c r="I130" s="839"/>
      <c r="J130" s="901"/>
      <c r="K130" s="839"/>
      <c r="L130" s="839"/>
      <c r="M130" s="839"/>
      <c r="N130" s="227">
        <f t="shared" si="1"/>
        <v>0</v>
      </c>
      <c r="O130" s="269" t="s">
        <v>471</v>
      </c>
      <c r="P130" s="269"/>
      <c r="R130" s="18">
        <v>0</v>
      </c>
    </row>
    <row r="131" spans="1:18" s="18" customFormat="1" ht="24.95" hidden="1" customHeight="1">
      <c r="A131" s="443"/>
      <c r="B131" s="235" t="str">
        <f>'8-1.설비자재산출(전력통신)'!C134</f>
        <v>온도센서</v>
      </c>
      <c r="C131" s="235" t="str">
        <f>'8-1.설비자재산출(전력통신)'!D134</f>
        <v>EPIA용 온도</v>
      </c>
      <c r="D131" s="236" t="str">
        <f>'8-1.설비자재산출(전력통신)'!I134</f>
        <v>개</v>
      </c>
      <c r="E131" s="666"/>
      <c r="F131" s="666"/>
      <c r="G131" s="899"/>
      <c r="H131" s="901"/>
      <c r="I131" s="839"/>
      <c r="J131" s="901"/>
      <c r="K131" s="839"/>
      <c r="L131" s="839"/>
      <c r="M131" s="839"/>
      <c r="N131" s="227">
        <f t="shared" si="1"/>
        <v>0</v>
      </c>
      <c r="O131" s="269" t="s">
        <v>471</v>
      </c>
      <c r="P131" s="269"/>
      <c r="R131" s="18">
        <v>0</v>
      </c>
    </row>
    <row r="132" spans="1:18" s="18" customFormat="1" ht="24.95" hidden="1" customHeight="1">
      <c r="A132" s="443"/>
      <c r="B132" s="235" t="str">
        <f>'8-1.설비자재산출(전력통신)'!C135</f>
        <v>AC전압 검출기</v>
      </c>
      <c r="C132" s="235" t="str">
        <f>'8-1.설비자재산출(전력통신)'!D135</f>
        <v>전원검출</v>
      </c>
      <c r="D132" s="236" t="str">
        <f>'8-1.설비자재산출(전력통신)'!I135</f>
        <v>개</v>
      </c>
      <c r="E132" s="666"/>
      <c r="F132" s="666"/>
      <c r="G132" s="899"/>
      <c r="H132" s="901"/>
      <c r="I132" s="839"/>
      <c r="J132" s="901"/>
      <c r="K132" s="839"/>
      <c r="L132" s="839"/>
      <c r="M132" s="839"/>
      <c r="N132" s="227">
        <f t="shared" si="1"/>
        <v>0</v>
      </c>
      <c r="O132" s="269" t="s">
        <v>471</v>
      </c>
      <c r="P132" s="269"/>
      <c r="R132" s="18">
        <v>0</v>
      </c>
    </row>
    <row r="133" spans="1:18" s="18" customFormat="1" ht="24.95" hidden="1" customHeight="1">
      <c r="A133" s="443"/>
      <c r="B133" s="235" t="str">
        <f>'8-1.설비자재산출(전력통신)'!C136</f>
        <v>PADPA</v>
      </c>
      <c r="C133" s="235" t="str">
        <f>'8-1.설비자재산출(전력통신)'!D136</f>
        <v>송변전광단말장치랙용, DC48V to DC48V</v>
      </c>
      <c r="D133" s="236" t="str">
        <f>'8-1.설비자재산출(전력통신)'!I136</f>
        <v>대</v>
      </c>
      <c r="E133" s="232"/>
      <c r="F133" s="232"/>
      <c r="G133" s="227"/>
      <c r="H133" s="226"/>
      <c r="I133" s="582"/>
      <c r="J133" s="584"/>
      <c r="K133" s="582"/>
      <c r="L133" s="582"/>
      <c r="M133" s="645"/>
      <c r="N133" s="227">
        <f t="shared" si="1"/>
        <v>0</v>
      </c>
      <c r="O133" s="269">
        <f>'8-1.설비자재산출(전력통신)'!N136</f>
        <v>0</v>
      </c>
      <c r="P133" s="269"/>
      <c r="R133" s="18">
        <v>0</v>
      </c>
    </row>
    <row r="134" spans="1:18" s="18" customFormat="1" ht="24.95" hidden="1" customHeight="1">
      <c r="A134" s="443"/>
      <c r="B134" s="235" t="str">
        <f>'8-1.설비자재산출(전력통신)'!C137</f>
        <v>PADPB</v>
      </c>
      <c r="C134" s="235" t="str">
        <f>'8-1.설비자재산출(전력통신)'!D137</f>
        <v>송변전광단말장치랙용, AC220V to DC48V</v>
      </c>
      <c r="D134" s="236" t="str">
        <f>'8-1.설비자재산출(전력통신)'!I137</f>
        <v>대</v>
      </c>
      <c r="E134" s="232"/>
      <c r="F134" s="232"/>
      <c r="G134" s="227"/>
      <c r="H134" s="226"/>
      <c r="I134" s="582"/>
      <c r="J134" s="584"/>
      <c r="K134" s="582"/>
      <c r="L134" s="582"/>
      <c r="M134" s="645"/>
      <c r="N134" s="227">
        <f t="shared" si="1"/>
        <v>0</v>
      </c>
      <c r="O134" s="269">
        <f>'8-1.설비자재산출(전력통신)'!N137</f>
        <v>0</v>
      </c>
      <c r="P134" s="269"/>
      <c r="R134" s="18">
        <v>0</v>
      </c>
    </row>
    <row r="135" spans="1:18" s="18" customFormat="1" ht="24.95" customHeight="1">
      <c r="A135" s="443"/>
      <c r="B135" s="235" t="str">
        <f>'8-1.설비자재산출(전력통신)'!C138</f>
        <v>NAC</v>
      </c>
      <c r="C135" s="235" t="str">
        <f>'8-1.설비자재산출(전력통신)'!D138</f>
        <v>10/100/1000 24포트</v>
      </c>
      <c r="D135" s="236" t="str">
        <f>'8-1.설비자재산출(전력통신)'!I138</f>
        <v>대</v>
      </c>
      <c r="E135" s="666"/>
      <c r="F135" s="666"/>
      <c r="G135" s="899"/>
      <c r="H135" s="901"/>
      <c r="I135" s="839"/>
      <c r="J135" s="901"/>
      <c r="K135" s="839">
        <v>3000000</v>
      </c>
      <c r="L135" s="1437">
        <v>3300000</v>
      </c>
      <c r="M135" s="839"/>
      <c r="N135" s="227">
        <f t="shared" si="1"/>
        <v>2632410</v>
      </c>
      <c r="O135" s="269" t="s">
        <v>471</v>
      </c>
      <c r="P135" s="269"/>
      <c r="R135" s="18">
        <v>3000000</v>
      </c>
    </row>
    <row r="136" spans="1:18" s="18" customFormat="1" ht="24.95" hidden="1" customHeight="1">
      <c r="A136" s="443"/>
      <c r="B136" s="235" t="str">
        <f>'8-1.설비자재산출(전력통신)'!C139</f>
        <v>PDAS 외함</v>
      </c>
      <c r="C136" s="235" t="str">
        <f>'8-1.설비자재산출(전력통신)'!D139</f>
        <v>700(W)*600(D)*2350(H)
3.2T, 5Y 7/1</v>
      </c>
      <c r="D136" s="236" t="str">
        <f>'8-1.설비자재산출(전력통신)'!I139</f>
        <v xml:space="preserve"> 개 </v>
      </c>
      <c r="E136" s="232"/>
      <c r="F136" s="232"/>
      <c r="G136" s="227"/>
      <c r="H136" s="226"/>
      <c r="I136" s="582"/>
      <c r="J136" s="584"/>
      <c r="K136" s="582"/>
      <c r="L136" s="582"/>
      <c r="M136" s="645"/>
      <c r="N136" s="227">
        <f t="shared" si="1"/>
        <v>0</v>
      </c>
      <c r="O136" s="269">
        <f>'8-1.설비자재산출(전력통신)'!N139</f>
        <v>0</v>
      </c>
      <c r="P136" s="269"/>
      <c r="R136" s="644">
        <v>0</v>
      </c>
    </row>
    <row r="137" spans="1:18" s="18" customFormat="1" ht="24.95" hidden="1" customHeight="1">
      <c r="A137" s="443"/>
      <c r="B137" s="235" t="str">
        <f>'8-1.설비자재산출(전력통신)'!C140</f>
        <v>PDAS</v>
      </c>
      <c r="C137" s="235" t="str">
        <f>'8-1.설비자재산출(전력통신)'!D140</f>
        <v>LAN 8P, Serial 16port</v>
      </c>
      <c r="D137" s="236" t="str">
        <f>'8-1.설비자재산출(전력통신)'!I140</f>
        <v>대</v>
      </c>
      <c r="E137" s="232"/>
      <c r="F137" s="232"/>
      <c r="G137" s="227"/>
      <c r="H137" s="226"/>
      <c r="I137" s="582"/>
      <c r="J137" s="584"/>
      <c r="K137" s="582"/>
      <c r="L137" s="582"/>
      <c r="M137" s="645"/>
      <c r="N137" s="227">
        <f t="shared" ref="N137:N200" si="2">R137*$R$3</f>
        <v>0</v>
      </c>
      <c r="O137" s="269">
        <f>'8-1.설비자재산출(전력통신)'!N140</f>
        <v>0</v>
      </c>
      <c r="P137" s="269"/>
      <c r="R137" s="18">
        <v>0</v>
      </c>
    </row>
    <row r="138" spans="1:18" s="18" customFormat="1" ht="24.95" hidden="1" customHeight="1">
      <c r="A138" s="443"/>
      <c r="B138" s="235" t="str">
        <f>'8-1.설비자재산출(전력통신)'!C141</f>
        <v>PDAS</v>
      </c>
      <c r="C138" s="235" t="str">
        <f>'8-1.설비자재산출(전력통신)'!D141</f>
        <v>광링Type-COT(LAN 4P, 16port)</v>
      </c>
      <c r="D138" s="236" t="str">
        <f>'8-1.설비자재산출(전력통신)'!I141</f>
        <v>대</v>
      </c>
      <c r="E138" s="232"/>
      <c r="F138" s="232"/>
      <c r="G138" s="227"/>
      <c r="H138" s="226"/>
      <c r="I138" s="582"/>
      <c r="J138" s="584"/>
      <c r="K138" s="582"/>
      <c r="L138" s="582"/>
      <c r="M138" s="645"/>
      <c r="N138" s="227">
        <f t="shared" si="2"/>
        <v>0</v>
      </c>
      <c r="O138" s="269">
        <f>'8-1.설비자재산출(전력통신)'!N141</f>
        <v>0</v>
      </c>
      <c r="P138" s="269"/>
      <c r="R138" s="18">
        <v>0</v>
      </c>
    </row>
    <row r="139" spans="1:18" s="18" customFormat="1" ht="24.95" hidden="1" customHeight="1">
      <c r="A139" s="443"/>
      <c r="B139" s="235" t="str">
        <f>'8-1.설비자재산출(전력통신)'!C142</f>
        <v>PDAS</v>
      </c>
      <c r="C139" s="235" t="str">
        <f>'8-1.설비자재산출(전력통신)'!D142</f>
        <v>광링Type-RT(LAN 2, Serial 2Port)</v>
      </c>
      <c r="D139" s="236" t="str">
        <f>'8-1.설비자재산출(전력통신)'!I142</f>
        <v>대</v>
      </c>
      <c r="E139" s="232"/>
      <c r="F139" s="232"/>
      <c r="G139" s="227"/>
      <c r="H139" s="226"/>
      <c r="I139" s="582"/>
      <c r="J139" s="584"/>
      <c r="K139" s="582"/>
      <c r="L139" s="582"/>
      <c r="M139" s="645"/>
      <c r="N139" s="227">
        <f t="shared" si="2"/>
        <v>0</v>
      </c>
      <c r="O139" s="269">
        <f>'8-1.설비자재산출(전력통신)'!N142</f>
        <v>0</v>
      </c>
      <c r="P139" s="269"/>
      <c r="R139" s="18">
        <v>0</v>
      </c>
    </row>
    <row r="140" spans="1:18" s="18" customFormat="1" ht="24.95" hidden="1" customHeight="1">
      <c r="A140" s="443"/>
      <c r="B140" s="235" t="str">
        <f>'8-1.설비자재산출(전력통신)'!C143</f>
        <v>HUB</v>
      </c>
      <c r="C140" s="235" t="str">
        <f>'8-1.설비자재산출(전력통신)'!D143</f>
        <v>10/100 24포트</v>
      </c>
      <c r="D140" s="236" t="str">
        <f>'8-1.설비자재산출(전력통신)'!I143</f>
        <v>대</v>
      </c>
      <c r="E140" s="232"/>
      <c r="F140" s="232"/>
      <c r="G140" s="227"/>
      <c r="H140" s="226"/>
      <c r="I140" s="582"/>
      <c r="J140" s="584"/>
      <c r="K140" s="582"/>
      <c r="L140" s="582"/>
      <c r="M140" s="645"/>
      <c r="N140" s="227">
        <f t="shared" si="2"/>
        <v>0</v>
      </c>
      <c r="O140" s="269">
        <f>'8-1.설비자재산출(전력통신)'!N143</f>
        <v>0</v>
      </c>
      <c r="P140" s="269"/>
      <c r="R140" s="18">
        <v>0</v>
      </c>
    </row>
    <row r="141" spans="1:18" s="18" customFormat="1" ht="24.95" hidden="1" customHeight="1">
      <c r="A141" s="443"/>
      <c r="B141" s="235" t="str">
        <f>'8-1.설비자재산출(전력통신)'!C144</f>
        <v>UTP케이블</v>
      </c>
      <c r="C141" s="235" t="str">
        <f>'8-1.설비자재산출(전력통신)'!D144</f>
        <v>CAT.5E 4P</v>
      </c>
      <c r="D141" s="236" t="str">
        <f>'8-1.설비자재산출(전력통신)'!I144</f>
        <v>m</v>
      </c>
      <c r="E141" s="232"/>
      <c r="F141" s="232"/>
      <c r="G141" s="227"/>
      <c r="H141" s="226"/>
      <c r="I141" s="582"/>
      <c r="J141" s="584"/>
      <c r="K141" s="582"/>
      <c r="L141" s="582"/>
      <c r="M141" s="645"/>
      <c r="N141" s="227">
        <f t="shared" si="2"/>
        <v>0</v>
      </c>
      <c r="O141" s="269">
        <f>'8-1.설비자재산출(전력통신)'!N144</f>
        <v>0</v>
      </c>
      <c r="P141" s="269"/>
      <c r="R141" s="18">
        <v>0</v>
      </c>
    </row>
    <row r="142" spans="1:18" s="18" customFormat="1" ht="24.95" hidden="1" customHeight="1">
      <c r="A142" s="443"/>
      <c r="B142" s="235" t="str">
        <f>'8-1.설비자재산출(전력통신)'!C145</f>
        <v>UTP케이블</v>
      </c>
      <c r="C142" s="235" t="str">
        <f>'8-1.설비자재산출(전력통신)'!D145</f>
        <v>CAT.5E 4P</v>
      </c>
      <c r="D142" s="236" t="str">
        <f>'8-1.설비자재산출(전력통신)'!I145</f>
        <v>m</v>
      </c>
      <c r="E142" s="232"/>
      <c r="F142" s="232"/>
      <c r="G142" s="227"/>
      <c r="H142" s="226"/>
      <c r="I142" s="582"/>
      <c r="J142" s="584"/>
      <c r="K142" s="582"/>
      <c r="L142" s="582"/>
      <c r="M142" s="645"/>
      <c r="N142" s="227">
        <f t="shared" si="2"/>
        <v>0</v>
      </c>
      <c r="O142" s="269">
        <f>'8-1.설비자재산출(전력통신)'!N145</f>
        <v>0</v>
      </c>
      <c r="P142" s="269"/>
      <c r="R142" s="18">
        <v>0</v>
      </c>
    </row>
    <row r="143" spans="1:18" s="18" customFormat="1" ht="24.95" hidden="1" customHeight="1">
      <c r="A143" s="443"/>
      <c r="B143" s="235" t="str">
        <f>'8-1.설비자재산출(전력통신)'!C146</f>
        <v>UTP케이블</v>
      </c>
      <c r="C143" s="235" t="str">
        <f>'8-1.설비자재산출(전력통신)'!D146</f>
        <v>CAT.5E 4P</v>
      </c>
      <c r="D143" s="236" t="str">
        <f>'8-1.설비자재산출(전력통신)'!I146</f>
        <v>m</v>
      </c>
      <c r="E143" s="232"/>
      <c r="F143" s="232"/>
      <c r="G143" s="227"/>
      <c r="H143" s="226"/>
      <c r="I143" s="582"/>
      <c r="J143" s="584"/>
      <c r="K143" s="582"/>
      <c r="L143" s="582"/>
      <c r="M143" s="645"/>
      <c r="N143" s="227">
        <f t="shared" si="2"/>
        <v>0</v>
      </c>
      <c r="O143" s="269">
        <f>'8-1.설비자재산출(전력통신)'!N146</f>
        <v>0</v>
      </c>
      <c r="P143" s="269"/>
      <c r="R143" s="18">
        <v>0</v>
      </c>
    </row>
    <row r="144" spans="1:18" s="18" customFormat="1" ht="24.95" hidden="1" customHeight="1">
      <c r="A144" s="443"/>
      <c r="B144" s="235" t="str">
        <f>'8-1.설비자재산출(전력통신)'!C147</f>
        <v>UTP케이블</v>
      </c>
      <c r="C144" s="235" t="str">
        <f>'8-1.설비자재산출(전력통신)'!D147</f>
        <v>CAT.5E 4P</v>
      </c>
      <c r="D144" s="236" t="str">
        <f>'8-1.설비자재산출(전력통신)'!I147</f>
        <v>m</v>
      </c>
      <c r="E144" s="232"/>
      <c r="F144" s="232"/>
      <c r="G144" s="227"/>
      <c r="H144" s="226"/>
      <c r="I144" s="582"/>
      <c r="J144" s="584"/>
      <c r="K144" s="582"/>
      <c r="L144" s="582"/>
      <c r="M144" s="645"/>
      <c r="N144" s="227">
        <f t="shared" si="2"/>
        <v>0</v>
      </c>
      <c r="O144" s="269">
        <f>'8-1.설비자재산출(전력통신)'!N147</f>
        <v>0</v>
      </c>
      <c r="P144" s="269"/>
      <c r="R144" s="18">
        <v>0</v>
      </c>
    </row>
    <row r="145" spans="1:18" s="18" customFormat="1" ht="24.95" hidden="1" customHeight="1">
      <c r="A145" s="443"/>
      <c r="B145" s="235" t="str">
        <f>'8-1.설비자재산출(전력통신)'!C148</f>
        <v>UTP케이블</v>
      </c>
      <c r="C145" s="235" t="str">
        <f>'8-1.설비자재산출(전력통신)'!D148</f>
        <v>CAT.5E 4P</v>
      </c>
      <c r="D145" s="236" t="str">
        <f>'8-1.설비자재산출(전력통신)'!I148</f>
        <v>m</v>
      </c>
      <c r="E145" s="232"/>
      <c r="F145" s="232"/>
      <c r="G145" s="227"/>
      <c r="H145" s="226"/>
      <c r="I145" s="582"/>
      <c r="J145" s="584"/>
      <c r="K145" s="582"/>
      <c r="L145" s="582"/>
      <c r="M145" s="645"/>
      <c r="N145" s="227">
        <f t="shared" si="2"/>
        <v>0</v>
      </c>
      <c r="O145" s="269">
        <f>'8-1.설비자재산출(전력통신)'!N148</f>
        <v>0</v>
      </c>
      <c r="P145" s="269"/>
      <c r="R145" s="18">
        <v>0</v>
      </c>
    </row>
    <row r="146" spans="1:18" s="18" customFormat="1" ht="24.95" hidden="1" customHeight="1">
      <c r="A146" s="443"/>
      <c r="B146" s="235" t="str">
        <f>'8-1.설비자재산출(전력통신)'!C149</f>
        <v>UTP케이블</v>
      </c>
      <c r="C146" s="235" t="str">
        <f>'8-1.설비자재산출(전력통신)'!D149</f>
        <v>CAT.5E 4P</v>
      </c>
      <c r="D146" s="236" t="str">
        <f>'8-1.설비자재산출(전력통신)'!I149</f>
        <v>m</v>
      </c>
      <c r="E146" s="232"/>
      <c r="F146" s="232"/>
      <c r="G146" s="227"/>
      <c r="H146" s="226"/>
      <c r="I146" s="582"/>
      <c r="J146" s="584"/>
      <c r="K146" s="582"/>
      <c r="L146" s="582"/>
      <c r="M146" s="645"/>
      <c r="N146" s="227">
        <f t="shared" si="2"/>
        <v>0</v>
      </c>
      <c r="O146" s="269">
        <f>'8-1.설비자재산출(전력통신)'!N149</f>
        <v>0</v>
      </c>
      <c r="P146" s="269"/>
      <c r="R146" s="18">
        <v>0</v>
      </c>
    </row>
    <row r="147" spans="1:18" s="18" customFormat="1" ht="24.95" hidden="1" customHeight="1">
      <c r="A147" s="443"/>
      <c r="B147" s="235" t="str">
        <f>'8-1.설비자재산출(전력통신)'!C150</f>
        <v>UTP케이블</v>
      </c>
      <c r="C147" s="235" t="str">
        <f>'8-1.설비자재산출(전력통신)'!D150</f>
        <v>CAT.5E 4P</v>
      </c>
      <c r="D147" s="236" t="str">
        <f>'8-1.설비자재산출(전력통신)'!I150</f>
        <v>m</v>
      </c>
      <c r="E147" s="232"/>
      <c r="F147" s="232"/>
      <c r="G147" s="227"/>
      <c r="H147" s="226"/>
      <c r="I147" s="582"/>
      <c r="J147" s="584"/>
      <c r="K147" s="582"/>
      <c r="L147" s="582"/>
      <c r="M147" s="645"/>
      <c r="N147" s="227">
        <f t="shared" si="2"/>
        <v>0</v>
      </c>
      <c r="O147" s="269">
        <f>'8-1.설비자재산출(전력통신)'!N150</f>
        <v>0</v>
      </c>
      <c r="P147" s="269"/>
      <c r="Q147" s="644"/>
      <c r="R147" s="18">
        <v>0</v>
      </c>
    </row>
    <row r="148" spans="1:18" s="18" customFormat="1" ht="24.95" hidden="1" customHeight="1">
      <c r="A148" s="443"/>
      <c r="B148" s="235" t="str">
        <f>'8-1.설비자재산출(전력통신)'!C151</f>
        <v>광점퍼코드(B.O)</v>
      </c>
      <c r="C148" s="235" t="str">
        <f>'8-1.설비자재산출(전력통신)'!D151</f>
        <v xml:space="preserve"> 1CORE</v>
      </c>
      <c r="D148" s="236" t="str">
        <f>'8-1.설비자재산출(전력통신)'!I151</f>
        <v>m</v>
      </c>
      <c r="E148" s="232"/>
      <c r="F148" s="232"/>
      <c r="G148" s="227"/>
      <c r="H148" s="226"/>
      <c r="I148" s="582"/>
      <c r="J148" s="584"/>
      <c r="K148" s="582"/>
      <c r="L148" s="582"/>
      <c r="M148" s="645"/>
      <c r="N148" s="227">
        <f t="shared" si="2"/>
        <v>0</v>
      </c>
      <c r="O148" s="269">
        <f>'8-1.설비자재산출(전력통신)'!N151</f>
        <v>0</v>
      </c>
      <c r="P148" s="269"/>
      <c r="Q148" s="644"/>
      <c r="R148" s="18">
        <v>0</v>
      </c>
    </row>
    <row r="149" spans="1:18" s="18" customFormat="1" ht="24.95" hidden="1" customHeight="1">
      <c r="A149" s="443"/>
      <c r="B149" s="235" t="str">
        <f>'8-1.설비자재산출(전력통신)'!C152</f>
        <v>후렉시블전선관</v>
      </c>
      <c r="C149" s="235" t="str">
        <f>'8-1.설비자재산출(전력통신)'!D152</f>
        <v>16㎜, 일반방수(GW-16)</v>
      </c>
      <c r="D149" s="236" t="str">
        <f>'8-1.설비자재산출(전력통신)'!I152</f>
        <v>m</v>
      </c>
      <c r="E149" s="232"/>
      <c r="F149" s="232"/>
      <c r="G149" s="227"/>
      <c r="H149" s="226"/>
      <c r="I149" s="582"/>
      <c r="J149" s="584"/>
      <c r="K149" s="582"/>
      <c r="L149" s="582"/>
      <c r="M149" s="645"/>
      <c r="N149" s="227">
        <f t="shared" si="2"/>
        <v>0</v>
      </c>
      <c r="O149" s="269">
        <f>'8-1.설비자재산출(전력통신)'!N152</f>
        <v>0</v>
      </c>
      <c r="P149" s="269"/>
      <c r="Q149" s="644"/>
      <c r="R149" s="18">
        <v>0</v>
      </c>
    </row>
    <row r="150" spans="1:18" s="18" customFormat="1" ht="24.95" hidden="1" customHeight="1">
      <c r="A150" s="443"/>
      <c r="B150" s="235" t="str">
        <f>'8-1.설비자재산출(전력통신)'!C153</f>
        <v>후렉시블전선관</v>
      </c>
      <c r="C150" s="235" t="str">
        <f>'8-1.설비자재산출(전력통신)'!D153</f>
        <v>16㎜, 일반방수(GW-16)</v>
      </c>
      <c r="D150" s="236" t="str">
        <f>'8-1.설비자재산출(전력통신)'!I153</f>
        <v>m</v>
      </c>
      <c r="E150" s="232"/>
      <c r="F150" s="232"/>
      <c r="G150" s="227"/>
      <c r="H150" s="226"/>
      <c r="I150" s="582"/>
      <c r="J150" s="584"/>
      <c r="K150" s="582"/>
      <c r="L150" s="582"/>
      <c r="M150" s="645"/>
      <c r="N150" s="227">
        <f t="shared" si="2"/>
        <v>0</v>
      </c>
      <c r="O150" s="269">
        <f>'8-1.설비자재산출(전력통신)'!N153</f>
        <v>0</v>
      </c>
      <c r="P150" s="269"/>
      <c r="Q150" s="644"/>
      <c r="R150" s="18">
        <v>0</v>
      </c>
    </row>
    <row r="151" spans="1:18" s="18" customFormat="1" ht="24.95" hidden="1" customHeight="1">
      <c r="A151" s="443"/>
      <c r="B151" s="235" t="str">
        <f>'8-1.설비자재산출(전력통신)'!C154</f>
        <v>후렉시블전선관</v>
      </c>
      <c r="C151" s="235" t="str">
        <f>'8-1.설비자재산출(전력통신)'!D154</f>
        <v>16㎜, 일반방수(GW-16)</v>
      </c>
      <c r="D151" s="236" t="str">
        <f>'8-1.설비자재산출(전력통신)'!I154</f>
        <v>m</v>
      </c>
      <c r="E151" s="232"/>
      <c r="F151" s="232"/>
      <c r="G151" s="227"/>
      <c r="H151" s="226"/>
      <c r="I151" s="582"/>
      <c r="J151" s="584"/>
      <c r="K151" s="582"/>
      <c r="L151" s="582"/>
      <c r="M151" s="645"/>
      <c r="N151" s="227">
        <f t="shared" si="2"/>
        <v>0</v>
      </c>
      <c r="O151" s="269">
        <f>'8-1.설비자재산출(전력통신)'!N154</f>
        <v>0</v>
      </c>
      <c r="P151" s="269"/>
      <c r="Q151" s="644"/>
      <c r="R151" s="18">
        <v>0</v>
      </c>
    </row>
    <row r="152" spans="1:18" s="18" customFormat="1" ht="24.95" hidden="1" customHeight="1">
      <c r="A152" s="443"/>
      <c r="B152" s="235" t="str">
        <f>'8-1.설비자재산출(전력통신)'!C155</f>
        <v>후렉시블전선관</v>
      </c>
      <c r="C152" s="235" t="str">
        <f>'8-1.설비자재산출(전력통신)'!D155</f>
        <v>22㎜, 일반방수(GW-22)</v>
      </c>
      <c r="D152" s="236" t="str">
        <f>'8-1.설비자재산출(전력통신)'!I155</f>
        <v>m</v>
      </c>
      <c r="E152" s="232"/>
      <c r="F152" s="232"/>
      <c r="G152" s="227"/>
      <c r="H152" s="226"/>
      <c r="I152" s="582"/>
      <c r="J152" s="584"/>
      <c r="K152" s="582"/>
      <c r="L152" s="582"/>
      <c r="M152" s="645"/>
      <c r="N152" s="227">
        <f t="shared" si="2"/>
        <v>0</v>
      </c>
      <c r="O152" s="269">
        <f>'8-1.설비자재산출(전력통신)'!N155</f>
        <v>0</v>
      </c>
      <c r="P152" s="269"/>
      <c r="Q152" s="644"/>
      <c r="R152" s="18">
        <v>0</v>
      </c>
    </row>
    <row r="153" spans="1:18" s="18" customFormat="1" ht="24.95" hidden="1" customHeight="1">
      <c r="A153" s="443"/>
      <c r="B153" s="235" t="str">
        <f>'8-1.설비자재산출(전력통신)'!C156</f>
        <v>후렉시블전선관</v>
      </c>
      <c r="C153" s="235" t="str">
        <f>'8-1.설비자재산출(전력통신)'!D156</f>
        <v>22㎜, 일반방수(GW-22)</v>
      </c>
      <c r="D153" s="236" t="str">
        <f>'8-1.설비자재산출(전력통신)'!I156</f>
        <v>m</v>
      </c>
      <c r="E153" s="232"/>
      <c r="F153" s="232"/>
      <c r="G153" s="227"/>
      <c r="H153" s="226"/>
      <c r="I153" s="582"/>
      <c r="J153" s="584"/>
      <c r="K153" s="582"/>
      <c r="L153" s="582"/>
      <c r="M153" s="645"/>
      <c r="N153" s="227">
        <f t="shared" si="2"/>
        <v>0</v>
      </c>
      <c r="O153" s="269">
        <f>'8-1.설비자재산출(전력통신)'!N156</f>
        <v>0</v>
      </c>
      <c r="P153" s="269"/>
      <c r="Q153" s="644"/>
      <c r="R153" s="18">
        <v>0</v>
      </c>
    </row>
    <row r="154" spans="1:18" s="18" customFormat="1" ht="24.95" hidden="1" customHeight="1">
      <c r="A154" s="443"/>
      <c r="B154" s="235" t="str">
        <f>'8-1.설비자재산출(전력통신)'!C157</f>
        <v>난연성전원케이블</v>
      </c>
      <c r="C154" s="235" t="str">
        <f>'8-1.설비자재산출(전력통신)'!D157</f>
        <v>FR-CVV-S, 2.5SQ/2C</v>
      </c>
      <c r="D154" s="236" t="str">
        <f>'8-1.설비자재산출(전력통신)'!I157</f>
        <v>m</v>
      </c>
      <c r="E154" s="232"/>
      <c r="F154" s="232"/>
      <c r="G154" s="227"/>
      <c r="H154" s="226"/>
      <c r="I154" s="582"/>
      <c r="J154" s="584"/>
      <c r="K154" s="582"/>
      <c r="L154" s="582"/>
      <c r="M154" s="645"/>
      <c r="N154" s="227">
        <f t="shared" si="2"/>
        <v>0</v>
      </c>
      <c r="O154" s="269">
        <f>'8-1.설비자재산출(전력통신)'!N157</f>
        <v>0</v>
      </c>
      <c r="P154" s="269"/>
      <c r="Q154" s="644"/>
      <c r="R154" s="18">
        <v>0</v>
      </c>
    </row>
    <row r="155" spans="1:18" s="18" customFormat="1" ht="24.95" hidden="1" customHeight="1">
      <c r="A155" s="443"/>
      <c r="B155" s="235" t="str">
        <f>'8-1.설비자재산출(전력통신)'!C158</f>
        <v>난연성전원케이블</v>
      </c>
      <c r="C155" s="235" t="str">
        <f>'8-1.설비자재산출(전력통신)'!D158</f>
        <v>FR-CVV-S, 6SQ/2C</v>
      </c>
      <c r="D155" s="236" t="str">
        <f>'8-1.설비자재산출(전력통신)'!I158</f>
        <v>m</v>
      </c>
      <c r="E155" s="232"/>
      <c r="F155" s="232"/>
      <c r="G155" s="227"/>
      <c r="H155" s="226"/>
      <c r="I155" s="582"/>
      <c r="J155" s="584"/>
      <c r="K155" s="582"/>
      <c r="L155" s="582"/>
      <c r="M155" s="645"/>
      <c r="N155" s="227">
        <f t="shared" si="2"/>
        <v>0</v>
      </c>
      <c r="O155" s="269">
        <f>'8-1.설비자재산출(전력통신)'!N158</f>
        <v>0</v>
      </c>
      <c r="P155" s="269"/>
      <c r="Q155" s="644"/>
      <c r="R155" s="18">
        <v>0</v>
      </c>
    </row>
    <row r="156" spans="1:18" s="18" customFormat="1" ht="24.95" hidden="1" customHeight="1">
      <c r="A156" s="443"/>
      <c r="B156" s="235" t="str">
        <f>'8-1.설비자재산출(전력통신)'!C159</f>
        <v>iPDAS-RT 함체</v>
      </c>
      <c r="C156" s="235" t="str">
        <f>'8-1.설비자재산출(전력통신)'!D159</f>
        <v>300*400*130(노출,SUS)</v>
      </c>
      <c r="D156" s="236" t="str">
        <f>'8-1.설비자재산출(전력통신)'!I159</f>
        <v>개</v>
      </c>
      <c r="E156" s="232"/>
      <c r="F156" s="232"/>
      <c r="G156" s="227"/>
      <c r="H156" s="226"/>
      <c r="I156" s="582"/>
      <c r="J156" s="584"/>
      <c r="K156" s="582"/>
      <c r="L156" s="582"/>
      <c r="M156" s="645"/>
      <c r="N156" s="227">
        <f t="shared" si="2"/>
        <v>0</v>
      </c>
      <c r="O156" s="269">
        <f>'8-1.설비자재산출(전력통신)'!N159</f>
        <v>0</v>
      </c>
      <c r="P156" s="269"/>
      <c r="Q156" s="644"/>
      <c r="R156" s="18">
        <v>0</v>
      </c>
    </row>
    <row r="157" spans="1:18" s="18" customFormat="1" ht="24.95" hidden="1" customHeight="1">
      <c r="A157" s="443"/>
      <c r="B157" s="235" t="str">
        <f>'8-1.설비자재산출(전력통신)'!C160</f>
        <v>RJ45</v>
      </c>
      <c r="C157" s="235" t="str">
        <f>'8-1.설비자재산출(전력통신)'!D160</f>
        <v>RJ45</v>
      </c>
      <c r="D157" s="236" t="str">
        <f>'8-1.설비자재산출(전력통신)'!I160</f>
        <v>개</v>
      </c>
      <c r="E157" s="232"/>
      <c r="F157" s="232"/>
      <c r="G157" s="227"/>
      <c r="H157" s="226"/>
      <c r="I157" s="582"/>
      <c r="J157" s="584"/>
      <c r="K157" s="582"/>
      <c r="L157" s="582"/>
      <c r="M157" s="645"/>
      <c r="N157" s="227">
        <f t="shared" si="2"/>
        <v>0</v>
      </c>
      <c r="O157" s="269">
        <f>'8-1.설비자재산출(전력통신)'!N160</f>
        <v>0</v>
      </c>
      <c r="P157" s="269"/>
      <c r="Q157" s="644"/>
      <c r="R157" s="18">
        <v>0</v>
      </c>
    </row>
    <row r="158" spans="1:18" s="18" customFormat="1" ht="24.95" hidden="1" customHeight="1">
      <c r="A158" s="443"/>
      <c r="B158" s="235" t="str">
        <f>'8-1.설비자재산출(전력통신)'!C161</f>
        <v>9핀</v>
      </c>
      <c r="C158" s="235" t="str">
        <f>'8-1.설비자재산출(전력통신)'!D161</f>
        <v>9핀</v>
      </c>
      <c r="D158" s="236" t="str">
        <f>'8-1.설비자재산출(전력통신)'!I161</f>
        <v>개</v>
      </c>
      <c r="E158" s="232"/>
      <c r="F158" s="232"/>
      <c r="G158" s="227"/>
      <c r="H158" s="226"/>
      <c r="I158" s="582"/>
      <c r="J158" s="584"/>
      <c r="K158" s="582"/>
      <c r="L158" s="582"/>
      <c r="M158" s="645"/>
      <c r="N158" s="227">
        <f t="shared" si="2"/>
        <v>0</v>
      </c>
      <c r="O158" s="269">
        <f>'8-1.설비자재산출(전력통신)'!N161</f>
        <v>0</v>
      </c>
      <c r="P158" s="269"/>
      <c r="Q158" s="644"/>
      <c r="R158" s="18">
        <v>0</v>
      </c>
    </row>
    <row r="159" spans="1:18" s="18" customFormat="1" ht="24.95" hidden="1" customHeight="1">
      <c r="A159" s="443"/>
      <c r="B159" s="235" t="str">
        <f>'8-1.설비자재산출(전력통신)'!C162</f>
        <v>19" RACK(MDF/내진)</v>
      </c>
      <c r="C159" s="235" t="str">
        <f>'8-1.설비자재산출(전력통신)'!D162</f>
        <v>경하중,MDF,내진, 600(W)*750(D)*2000(H)</v>
      </c>
      <c r="D159" s="236" t="str">
        <f>'8-1.설비자재산출(전력통신)'!I162</f>
        <v>EA</v>
      </c>
      <c r="E159" s="232"/>
      <c r="F159" s="232"/>
      <c r="G159" s="227"/>
      <c r="H159" s="226"/>
      <c r="I159" s="582"/>
      <c r="J159" s="584"/>
      <c r="K159" s="582"/>
      <c r="L159" s="582"/>
      <c r="M159" s="645"/>
      <c r="N159" s="227">
        <f t="shared" si="2"/>
        <v>0</v>
      </c>
      <c r="O159" s="269">
        <f>'8-1.설비자재산출(전력통신)'!N162</f>
        <v>0</v>
      </c>
      <c r="P159" s="269"/>
      <c r="Q159" s="644"/>
      <c r="R159" s="18">
        <v>0</v>
      </c>
    </row>
    <row r="160" spans="1:18" s="18" customFormat="1" ht="24.95" hidden="1" customHeight="1">
      <c r="A160" s="443"/>
      <c r="B160" s="235" t="str">
        <f>'8-1.설비자재산출(전력통신)'!C163</f>
        <v>19" RACK(LAN/내진)</v>
      </c>
      <c r="C160" s="235" t="str">
        <f>'8-1.설비자재산출(전력통신)'!D163</f>
        <v>경하중,LAN,내진, 600(W)*750(D)*2000(H)</v>
      </c>
      <c r="D160" s="236" t="str">
        <f>'8-1.설비자재산출(전력통신)'!I163</f>
        <v>EA</v>
      </c>
      <c r="E160" s="666"/>
      <c r="F160" s="666"/>
      <c r="G160" s="899"/>
      <c r="H160" s="901"/>
      <c r="I160" s="839"/>
      <c r="J160" s="901"/>
      <c r="K160" s="839">
        <v>2380000</v>
      </c>
      <c r="L160" s="839">
        <v>2600000</v>
      </c>
      <c r="M160" s="839"/>
      <c r="N160" s="227">
        <f t="shared" si="2"/>
        <v>2088378.5999999999</v>
      </c>
      <c r="O160" s="269" t="s">
        <v>471</v>
      </c>
      <c r="P160" s="269"/>
      <c r="Q160" s="644"/>
      <c r="R160" s="18">
        <v>2380000</v>
      </c>
    </row>
    <row r="161" spans="1:18" s="18" customFormat="1" ht="24.95" hidden="1" customHeight="1">
      <c r="A161" s="443"/>
      <c r="B161" s="235" t="str">
        <f>'8-1.설비자재산출(전력통신)'!C164</f>
        <v>셋트앙카(STS)</v>
      </c>
      <c r="C161" s="235" t="str">
        <f>'8-1.설비자재산출(전력통신)'!D164</f>
        <v>Φ3/8, 75㎜</v>
      </c>
      <c r="D161" s="236" t="str">
        <f>'8-1.설비자재산출(전력통신)'!I164</f>
        <v>개</v>
      </c>
      <c r="E161" s="232"/>
      <c r="F161" s="232"/>
      <c r="G161" s="582">
        <v>710</v>
      </c>
      <c r="H161" s="645">
        <v>53</v>
      </c>
      <c r="I161" s="582">
        <v>800</v>
      </c>
      <c r="J161" s="582">
        <v>1386</v>
      </c>
      <c r="K161" s="582"/>
      <c r="L161" s="582"/>
      <c r="M161" s="645"/>
      <c r="N161" s="227">
        <f t="shared" si="2"/>
        <v>623.00369999999998</v>
      </c>
      <c r="O161" s="269" t="s">
        <v>3170</v>
      </c>
      <c r="P161" s="269"/>
      <c r="R161" s="18">
        <v>710</v>
      </c>
    </row>
    <row r="162" spans="1:18" s="18" customFormat="1" ht="24.95" customHeight="1">
      <c r="A162" s="443"/>
      <c r="B162" s="235" t="str">
        <f>'8-1.설비자재산출(전력통신)'!C165</f>
        <v>접지케이블</v>
      </c>
      <c r="C162" s="235" t="str">
        <f>'8-1.설비자재산출(전력통신)'!D165</f>
        <v>F-GV, 6SQ</v>
      </c>
      <c r="D162" s="236" t="str">
        <f>'8-1.설비자재산출(전력통신)'!I165</f>
        <v>m</v>
      </c>
      <c r="E162" s="232"/>
      <c r="F162" s="232"/>
      <c r="G162" s="493">
        <v>1567</v>
      </c>
      <c r="H162" s="394">
        <v>1075</v>
      </c>
      <c r="I162" s="493">
        <v>1290</v>
      </c>
      <c r="J162" s="394">
        <v>1165</v>
      </c>
      <c r="K162" s="1213">
        <v>1230</v>
      </c>
      <c r="L162" s="1213">
        <v>1320</v>
      </c>
      <c r="M162" s="1213">
        <v>1277</v>
      </c>
      <c r="N162" s="227">
        <f t="shared" si="2"/>
        <v>1079.2881</v>
      </c>
      <c r="O162" s="269" t="s">
        <v>3169</v>
      </c>
      <c r="P162" s="269"/>
      <c r="Q162" s="644"/>
      <c r="R162" s="18">
        <v>1230</v>
      </c>
    </row>
    <row r="163" spans="1:18" s="18" customFormat="1" ht="24.95" hidden="1" customHeight="1">
      <c r="A163" s="443"/>
      <c r="B163" s="235" t="str">
        <f>'8-1.설비자재산출(전력통신)'!C166</f>
        <v>콘센트</v>
      </c>
      <c r="C163" s="235" t="str">
        <f>'8-1.설비자재산출(전력통신)'!D166</f>
        <v>노출, 접지 2구</v>
      </c>
      <c r="D163" s="236" t="str">
        <f>'8-1.설비자재산출(전력통신)'!I166</f>
        <v>개</v>
      </c>
      <c r="E163" s="232"/>
      <c r="F163" s="232"/>
      <c r="G163" s="1701">
        <v>2880</v>
      </c>
      <c r="H163" s="394">
        <v>1205</v>
      </c>
      <c r="I163" s="493">
        <v>2898</v>
      </c>
      <c r="J163" s="394">
        <v>1280</v>
      </c>
      <c r="K163" s="1213">
        <v>2000</v>
      </c>
      <c r="L163" s="1213">
        <v>2000</v>
      </c>
      <c r="M163" s="645"/>
      <c r="N163" s="227">
        <f t="shared" si="2"/>
        <v>1754.94</v>
      </c>
      <c r="O163" s="269" t="s">
        <v>3170</v>
      </c>
      <c r="P163" s="269"/>
      <c r="R163" s="18">
        <v>2000</v>
      </c>
    </row>
    <row r="164" spans="1:18" s="18" customFormat="1" ht="24.95" hidden="1" customHeight="1">
      <c r="A164" s="443"/>
      <c r="B164" s="235" t="str">
        <f>'8-1.설비자재산출(전력통신)'!C167</f>
        <v>바닥고정브라켓(평마루용)</v>
      </c>
      <c r="C164" s="235" t="str">
        <f>'8-1.설비자재산출(전력통신)'!D167</f>
        <v>600*750*25</v>
      </c>
      <c r="D164" s="236" t="str">
        <f>'8-1.설비자재산출(전력통신)'!I167</f>
        <v>EA</v>
      </c>
      <c r="E164" s="232"/>
      <c r="F164" s="232"/>
      <c r="G164" s="227"/>
      <c r="H164" s="226"/>
      <c r="I164" s="582"/>
      <c r="J164" s="584"/>
      <c r="K164" s="582"/>
      <c r="L164" s="582"/>
      <c r="M164" s="645"/>
      <c r="N164" s="227">
        <f t="shared" si="2"/>
        <v>0</v>
      </c>
      <c r="O164" s="269">
        <f>'8-1.설비자재산출(전력통신)'!N167</f>
        <v>0</v>
      </c>
      <c r="P164" s="269"/>
      <c r="R164" s="18">
        <v>0</v>
      </c>
    </row>
    <row r="165" spans="1:18" s="18" customFormat="1" ht="24.95" customHeight="1">
      <c r="A165" s="443"/>
      <c r="B165" s="235" t="str">
        <f>'8-1.설비자재산출(전력통신)'!C168</f>
        <v>랙명판</v>
      </c>
      <c r="C165" s="235" t="str">
        <f>'8-1.설비자재산출(전력통신)'!D168</f>
        <v>AL,190*75*1t,헤어라인/검정색도색후 실크인쇄,후면 벨크로</v>
      </c>
      <c r="D165" s="236" t="str">
        <f>'8-1.설비자재산출(전력통신)'!I168</f>
        <v>개</v>
      </c>
      <c r="E165" s="645"/>
      <c r="F165" s="645"/>
      <c r="G165" s="582"/>
      <c r="H165" s="645"/>
      <c r="I165" s="582"/>
      <c r="J165" s="582"/>
      <c r="K165" s="493">
        <v>35000</v>
      </c>
      <c r="L165" s="493">
        <v>42000</v>
      </c>
      <c r="M165" s="582"/>
      <c r="N165" s="227">
        <f t="shared" si="2"/>
        <v>30711.45</v>
      </c>
      <c r="O165" s="643" t="s">
        <v>471</v>
      </c>
      <c r="P165" s="643"/>
      <c r="R165" s="18">
        <v>35000</v>
      </c>
    </row>
    <row r="166" spans="1:18" s="18" customFormat="1" ht="24.95" customHeight="1">
      <c r="A166" s="443"/>
      <c r="B166" s="235" t="str">
        <f>'8-1.설비자재산출(전력통신)'!C169</f>
        <v>HUB</v>
      </c>
      <c r="C166" s="235" t="str">
        <f>'8-1.설비자재산출(전력통신)'!D169</f>
        <v>24포트 10/100</v>
      </c>
      <c r="D166" s="236" t="str">
        <f>'8-1.설비자재산출(전력통신)'!I169</f>
        <v>대</v>
      </c>
      <c r="E166" s="666"/>
      <c r="F166" s="666"/>
      <c r="G166" s="899"/>
      <c r="H166" s="901"/>
      <c r="I166" s="839"/>
      <c r="J166" s="901"/>
      <c r="K166" s="839">
        <v>370000</v>
      </c>
      <c r="L166" s="1437">
        <v>380000</v>
      </c>
      <c r="M166" s="839"/>
      <c r="N166" s="227">
        <f t="shared" si="2"/>
        <v>324663.89999999997</v>
      </c>
      <c r="O166" s="269" t="s">
        <v>471</v>
      </c>
      <c r="P166" s="269"/>
      <c r="R166" s="18">
        <v>370000</v>
      </c>
    </row>
    <row r="167" spans="1:18" s="18" customFormat="1" ht="24.95" customHeight="1">
      <c r="A167" s="443"/>
      <c r="B167" s="235" t="str">
        <f>'8-1.설비자재산출(전력통신)'!C170</f>
        <v>PADP</v>
      </c>
      <c r="C167" s="235" t="str">
        <f>'8-1.설비자재산출(전력통신)'!D170</f>
        <v>48V to 48V, 2채널</v>
      </c>
      <c r="D167" s="236" t="str">
        <f>'8-1.설비자재산출(전력통신)'!I170</f>
        <v>대</v>
      </c>
      <c r="E167" s="666"/>
      <c r="F167" s="666"/>
      <c r="G167" s="899"/>
      <c r="H167" s="901"/>
      <c r="I167" s="839"/>
      <c r="J167" s="901"/>
      <c r="K167" s="1703">
        <v>950000</v>
      </c>
      <c r="L167" s="1703">
        <v>1250000</v>
      </c>
      <c r="M167" s="839"/>
      <c r="N167" s="227">
        <f t="shared" si="2"/>
        <v>833596.5</v>
      </c>
      <c r="O167" s="269" t="s">
        <v>471</v>
      </c>
      <c r="P167" s="269"/>
      <c r="R167" s="18">
        <v>950000</v>
      </c>
    </row>
    <row r="168" spans="1:18" s="18" customFormat="1" ht="24.95" customHeight="1">
      <c r="A168" s="443"/>
      <c r="B168" s="235" t="str">
        <f>'8-1.설비자재산출(전력통신)'!C171</f>
        <v>난연성전원케이블</v>
      </c>
      <c r="C168" s="235" t="str">
        <f>'8-1.설비자재산출(전력통신)'!D171</f>
        <v>FR-CVV-S, 6SQ/2C</v>
      </c>
      <c r="D168" s="236" t="str">
        <f>'8-1.설비자재산출(전력통신)'!I171</f>
        <v>m</v>
      </c>
      <c r="E168" s="904"/>
      <c r="F168" s="1643"/>
      <c r="G168" s="1643"/>
      <c r="H168" s="1646"/>
      <c r="I168" s="1647"/>
      <c r="J168" s="897"/>
      <c r="K168" s="1647"/>
      <c r="L168" s="1213">
        <v>5080</v>
      </c>
      <c r="M168" s="1213">
        <v>5440</v>
      </c>
      <c r="N168" s="227">
        <f t="shared" si="2"/>
        <v>4457.5475999999999</v>
      </c>
      <c r="O168" s="672" t="s">
        <v>1752</v>
      </c>
      <c r="P168" s="269"/>
      <c r="R168" s="18">
        <v>5080</v>
      </c>
    </row>
    <row r="169" spans="1:18" s="18" customFormat="1" ht="24.95" hidden="1" customHeight="1">
      <c r="A169" s="443"/>
      <c r="B169" s="235" t="str">
        <f>'8-1.설비자재산출(전력통신)'!C172</f>
        <v>난연성전원케이블</v>
      </c>
      <c r="C169" s="235" t="str">
        <f>'8-1.설비자재산출(전력통신)'!D172</f>
        <v>FR-CVV-S, 6SQ/2C</v>
      </c>
      <c r="D169" s="236" t="str">
        <f>'8-1.설비자재산출(전력통신)'!I172</f>
        <v>m</v>
      </c>
      <c r="E169" s="904"/>
      <c r="F169" s="1643"/>
      <c r="G169" s="1643"/>
      <c r="H169" s="1646"/>
      <c r="I169" s="1647"/>
      <c r="J169" s="897"/>
      <c r="K169" s="1647"/>
      <c r="L169" s="1213">
        <v>5080</v>
      </c>
      <c r="M169" s="1213">
        <v>5440</v>
      </c>
      <c r="N169" s="227">
        <f t="shared" si="2"/>
        <v>4457.5475999999999</v>
      </c>
      <c r="O169" s="672" t="s">
        <v>1752</v>
      </c>
      <c r="P169" s="269"/>
      <c r="R169" s="18">
        <v>5080</v>
      </c>
    </row>
    <row r="170" spans="1:18" s="18" customFormat="1" ht="24.95" customHeight="1">
      <c r="A170" s="443"/>
      <c r="B170" s="235" t="str">
        <f>'8-1.설비자재산출(전력통신)'!C173</f>
        <v>UTP케이블</v>
      </c>
      <c r="C170" s="235" t="str">
        <f>'8-1.설비자재산출(전력통신)'!D173</f>
        <v>CAT.5E 4P</v>
      </c>
      <c r="D170" s="236" t="str">
        <f>'8-1.설비자재산출(전력통신)'!I173</f>
        <v>m</v>
      </c>
      <c r="E170" s="232"/>
      <c r="F170" s="232"/>
      <c r="G170" s="583">
        <v>790</v>
      </c>
      <c r="H170" s="645">
        <v>1083</v>
      </c>
      <c r="I170" s="582">
        <v>1100</v>
      </c>
      <c r="J170" s="582">
        <v>1173</v>
      </c>
      <c r="K170" s="582"/>
      <c r="L170" s="582"/>
      <c r="M170" s="645"/>
      <c r="N170" s="227">
        <f t="shared" si="2"/>
        <v>693.20129999999995</v>
      </c>
      <c r="O170" s="269" t="s">
        <v>3170</v>
      </c>
      <c r="P170" s="269"/>
      <c r="R170" s="18">
        <v>790</v>
      </c>
    </row>
    <row r="171" spans="1:18" s="18" customFormat="1" ht="24.95" customHeight="1">
      <c r="A171" s="443"/>
      <c r="B171" s="235" t="str">
        <f>'8-1.설비자재산출(전력통신)'!C174</f>
        <v>후렉시블전선관</v>
      </c>
      <c r="C171" s="235" t="str">
        <f>'8-1.설비자재산출(전력통신)'!D174</f>
        <v>16㎜, 일반방수(GW-16)</v>
      </c>
      <c r="D171" s="236" t="str">
        <f>'8-1.설비자재산출(전력통신)'!I174</f>
        <v>m</v>
      </c>
      <c r="E171" s="232"/>
      <c r="F171" s="232"/>
      <c r="G171" s="583">
        <v>2260</v>
      </c>
      <c r="H171" s="645">
        <v>1103</v>
      </c>
      <c r="I171" s="582">
        <v>715</v>
      </c>
      <c r="J171" s="1700">
        <v>1204</v>
      </c>
      <c r="K171" s="582"/>
      <c r="L171" s="582"/>
      <c r="M171" s="645"/>
      <c r="N171" s="227">
        <f t="shared" si="2"/>
        <v>627.39104999999995</v>
      </c>
      <c r="O171" s="269" t="s">
        <v>3170</v>
      </c>
      <c r="P171" s="269"/>
      <c r="R171" s="18">
        <v>715</v>
      </c>
    </row>
    <row r="172" spans="1:18" s="18" customFormat="1" ht="24.95" hidden="1" customHeight="1">
      <c r="A172" s="443"/>
      <c r="B172" s="235" t="str">
        <f>'8-1.설비자재산출(전력통신)'!C175</f>
        <v>광모뎀 전원2중화 장치</v>
      </c>
      <c r="C172" s="235" t="str">
        <f>'8-1.설비자재산출(전력통신)'!D175</f>
        <v>입력DC48/220V 출력DC 24V</v>
      </c>
      <c r="D172" s="236" t="str">
        <f>'8-1.설비자재산출(전력통신)'!I175</f>
        <v>대</v>
      </c>
      <c r="E172" s="666"/>
      <c r="F172" s="666"/>
      <c r="G172" s="899"/>
      <c r="H172" s="901"/>
      <c r="I172" s="839"/>
      <c r="J172" s="901"/>
      <c r="K172" s="839">
        <v>750000</v>
      </c>
      <c r="L172" s="1437">
        <v>600000</v>
      </c>
      <c r="M172" s="839"/>
      <c r="N172" s="227">
        <f t="shared" si="2"/>
        <v>526482</v>
      </c>
      <c r="O172" s="269" t="s">
        <v>471</v>
      </c>
      <c r="P172" s="269"/>
      <c r="R172" s="18">
        <v>600000</v>
      </c>
    </row>
    <row r="173" spans="1:18" s="18" customFormat="1" ht="24.95" hidden="1" customHeight="1">
      <c r="A173" s="443"/>
      <c r="B173" s="235" t="str">
        <f>'8-1.설비자재산출(전력통신)'!C176</f>
        <v>광점퍼코드</v>
      </c>
      <c r="C173" s="235" t="str">
        <f>'8-1.설비자재산출(전력통신)'!D176</f>
        <v>1C SC/APC-SC/APC, 15m</v>
      </c>
      <c r="D173" s="236" t="str">
        <f>'8-1.설비자재산출(전력통신)'!I176</f>
        <v>m</v>
      </c>
      <c r="E173" s="838"/>
      <c r="F173" s="838"/>
      <c r="G173" s="900"/>
      <c r="H173" s="901"/>
      <c r="I173" s="900"/>
      <c r="J173" s="900"/>
      <c r="K173" s="645">
        <v>15000</v>
      </c>
      <c r="L173" s="582">
        <v>16200</v>
      </c>
      <c r="M173" s="839"/>
      <c r="N173" s="227">
        <f t="shared" si="2"/>
        <v>13162.05</v>
      </c>
      <c r="O173" s="270" t="s">
        <v>471</v>
      </c>
      <c r="P173" s="269"/>
      <c r="R173" s="18">
        <v>15000</v>
      </c>
    </row>
    <row r="174" spans="1:18" s="18" customFormat="1" ht="24.95" hidden="1" customHeight="1">
      <c r="A174" s="443"/>
      <c r="B174" s="235" t="str">
        <f>'8-1.설비자재산출(전력통신)'!C177</f>
        <v>L2 연계장치</v>
      </c>
      <c r="C174" s="235" t="str">
        <f>'8-1.설비자재산출(전력통신)'!D177</f>
        <v>1Port-Gigabit Ring</v>
      </c>
      <c r="D174" s="236" t="str">
        <f>'8-1.설비자재산출(전력통신)'!I177</f>
        <v>대</v>
      </c>
      <c r="E174" s="232"/>
      <c r="F174" s="232"/>
      <c r="G174" s="227"/>
      <c r="H174" s="226"/>
      <c r="I174" s="582"/>
      <c r="J174" s="584"/>
      <c r="K174" s="582">
        <v>1800000</v>
      </c>
      <c r="L174" s="582">
        <v>1700000</v>
      </c>
      <c r="M174" s="645"/>
      <c r="N174" s="227">
        <f t="shared" si="2"/>
        <v>1491699</v>
      </c>
      <c r="O174" s="269" t="s">
        <v>471</v>
      </c>
      <c r="P174" s="269"/>
      <c r="R174" s="18">
        <v>1700000</v>
      </c>
    </row>
    <row r="175" spans="1:18" s="18" customFormat="1" ht="24.95" hidden="1" customHeight="1">
      <c r="A175" s="443"/>
      <c r="B175" s="235" t="str">
        <f>'8-1.설비자재산출(전력통신)'!C178</f>
        <v>문감지기</v>
      </c>
      <c r="C175" s="235" t="str">
        <f>'8-1.설비자재산출(전력통신)'!D178</f>
        <v>일반형</v>
      </c>
      <c r="D175" s="236" t="str">
        <f>'8-1.설비자재산출(전력통신)'!I178</f>
        <v>개</v>
      </c>
      <c r="E175" s="666"/>
      <c r="F175" s="666"/>
      <c r="G175" s="899"/>
      <c r="H175" s="901"/>
      <c r="I175" s="839"/>
      <c r="J175" s="901"/>
      <c r="K175" s="1213">
        <v>66000</v>
      </c>
      <c r="L175" s="1213">
        <v>60000</v>
      </c>
      <c r="M175" s="839"/>
      <c r="N175" s="227">
        <f t="shared" si="2"/>
        <v>52648.2</v>
      </c>
      <c r="O175" s="269" t="s">
        <v>471</v>
      </c>
      <c r="P175" s="269"/>
      <c r="R175" s="18">
        <v>60000</v>
      </c>
    </row>
    <row r="176" spans="1:18" s="18" customFormat="1" ht="24.95" customHeight="1">
      <c r="A176" s="443"/>
      <c r="B176" s="235" t="str">
        <f>'8-1.설비자재산출(전력통신)'!C179</f>
        <v>UTP케이블</v>
      </c>
      <c r="C176" s="235" t="str">
        <f>'8-1.설비자재산출(전력통신)'!D179</f>
        <v>CAT.5E 4P</v>
      </c>
      <c r="D176" s="236" t="str">
        <f>'8-1.설비자재산출(전력통신)'!I179</f>
        <v>m</v>
      </c>
      <c r="E176" s="232"/>
      <c r="F176" s="232"/>
      <c r="G176" s="583">
        <v>790</v>
      </c>
      <c r="H176" s="645">
        <v>1083</v>
      </c>
      <c r="I176" s="582">
        <v>1100</v>
      </c>
      <c r="J176" s="582">
        <v>1173</v>
      </c>
      <c r="K176" s="234"/>
      <c r="L176" s="227">
        <v>800</v>
      </c>
      <c r="M176" s="227">
        <v>790</v>
      </c>
      <c r="N176" s="227">
        <f t="shared" si="2"/>
        <v>693.20129999999995</v>
      </c>
      <c r="O176" s="269" t="s">
        <v>3170</v>
      </c>
      <c r="P176" s="269"/>
      <c r="R176" s="18">
        <v>790</v>
      </c>
    </row>
    <row r="177" spans="1:18" s="18" customFormat="1" ht="24.95" customHeight="1">
      <c r="A177" s="443"/>
      <c r="B177" s="235" t="str">
        <f>'8-1.설비자재산출(전력통신)'!C180</f>
        <v>후렉시블전선관</v>
      </c>
      <c r="C177" s="235" t="str">
        <f>'8-1.설비자재산출(전력통신)'!D180</f>
        <v>16㎜, 일반방수(GW-16)</v>
      </c>
      <c r="D177" s="236" t="str">
        <f>'8-1.설비자재산출(전력통신)'!I180</f>
        <v>m</v>
      </c>
      <c r="E177" s="232"/>
      <c r="F177" s="232"/>
      <c r="G177" s="583">
        <v>2260</v>
      </c>
      <c r="H177" s="645">
        <v>1103</v>
      </c>
      <c r="I177" s="582">
        <v>715</v>
      </c>
      <c r="J177" s="1700">
        <v>1204</v>
      </c>
      <c r="K177" s="582"/>
      <c r="L177" s="582"/>
      <c r="M177" s="645"/>
      <c r="N177" s="227">
        <f t="shared" si="2"/>
        <v>627.39104999999995</v>
      </c>
      <c r="O177" s="269" t="s">
        <v>3170</v>
      </c>
      <c r="P177" s="269"/>
      <c r="R177" s="18">
        <v>715</v>
      </c>
    </row>
    <row r="178" spans="1:18" s="18" customFormat="1" ht="24.95" hidden="1" customHeight="1">
      <c r="A178" s="443"/>
      <c r="B178" s="235" t="str">
        <f>'8-1.설비자재산출(전력통신)'!C181</f>
        <v>파워링</v>
      </c>
      <c r="C178" s="235" t="str">
        <f>'8-1.설비자재산출(전력통신)'!D181</f>
        <v>출력 30VAC이상, 100M용 방수형 전원선 포함</v>
      </c>
      <c r="D178" s="236" t="str">
        <f>'8-1.설비자재산출(전력통신)'!I181</f>
        <v>개</v>
      </c>
      <c r="E178" s="232"/>
      <c r="F178" s="232"/>
      <c r="G178" s="227"/>
      <c r="H178" s="226"/>
      <c r="I178" s="582"/>
      <c r="J178" s="584"/>
      <c r="K178" s="582"/>
      <c r="L178" s="582"/>
      <c r="M178" s="645"/>
      <c r="N178" s="227">
        <f t="shared" si="2"/>
        <v>0</v>
      </c>
      <c r="O178" s="269"/>
      <c r="P178" s="269"/>
      <c r="R178" s="18">
        <v>0</v>
      </c>
    </row>
    <row r="179" spans="1:18" s="18" customFormat="1" ht="24.95" hidden="1" customHeight="1">
      <c r="A179" s="443"/>
      <c r="B179" s="235" t="str">
        <f>'8-1.설비자재산출(전력통신)'!C182</f>
        <v>파워링전원장치</v>
      </c>
      <c r="C179" s="235" t="str">
        <f>'8-1.설비자재산출(전력통신)'!D182</f>
        <v>50W, 12Vdc/24Vdc 출력</v>
      </c>
      <c r="D179" s="236" t="str">
        <f>'8-1.설비자재산출(전력통신)'!I182</f>
        <v>개</v>
      </c>
      <c r="E179" s="232"/>
      <c r="F179" s="232"/>
      <c r="G179" s="227"/>
      <c r="H179" s="226"/>
      <c r="I179" s="582"/>
      <c r="J179" s="584"/>
      <c r="K179" s="582"/>
      <c r="L179" s="582"/>
      <c r="M179" s="645"/>
      <c r="N179" s="227">
        <f t="shared" si="2"/>
        <v>0</v>
      </c>
      <c r="O179" s="269"/>
      <c r="P179" s="269"/>
      <c r="R179" s="18">
        <v>0</v>
      </c>
    </row>
    <row r="180" spans="1:18" s="18" customFormat="1" ht="24.95" hidden="1" customHeight="1">
      <c r="A180" s="443"/>
      <c r="B180" s="235" t="str">
        <f>'8-1.설비자재산출(전력통신)'!C183</f>
        <v>PLC 송전용 커플러</v>
      </c>
      <c r="C180" s="235" t="str">
        <f>'8-1.설비자재산출(전력통신)'!D183</f>
        <v>비접촉식, 100M용 5C 케이블 포함</v>
      </c>
      <c r="D180" s="236" t="str">
        <f>'8-1.설비자재산출(전력통신)'!I183</f>
        <v>개</v>
      </c>
      <c r="E180" s="232"/>
      <c r="F180" s="232"/>
      <c r="G180" s="227"/>
      <c r="H180" s="226"/>
      <c r="I180" s="582"/>
      <c r="J180" s="584"/>
      <c r="K180" s="582"/>
      <c r="L180" s="582"/>
      <c r="M180" s="645"/>
      <c r="N180" s="227">
        <f t="shared" si="2"/>
        <v>0</v>
      </c>
      <c r="O180" s="269"/>
      <c r="P180" s="269"/>
      <c r="R180" s="18">
        <v>0</v>
      </c>
    </row>
    <row r="181" spans="1:18" s="18" customFormat="1" ht="24.95" hidden="1" customHeight="1">
      <c r="A181" s="443"/>
      <c r="B181" s="235" t="str">
        <f>'8-1.설비자재산출(전력통신)'!C184</f>
        <v>전력선모뎀</v>
      </c>
      <c r="C181" s="235" t="str">
        <f>'8-1.설비자재산출(전력통신)'!D184</f>
        <v>BNC connector, RJ45 *2, 10/100/1000Mbps지원</v>
      </c>
      <c r="D181" s="236" t="str">
        <f>'8-1.설비자재산출(전력통신)'!I184</f>
        <v>개</v>
      </c>
      <c r="E181" s="232"/>
      <c r="F181" s="232"/>
      <c r="G181" s="227"/>
      <c r="H181" s="226"/>
      <c r="I181" s="582"/>
      <c r="J181" s="584"/>
      <c r="K181" s="582"/>
      <c r="L181" s="582"/>
      <c r="M181" s="645"/>
      <c r="N181" s="227">
        <f t="shared" si="2"/>
        <v>0</v>
      </c>
      <c r="O181" s="269"/>
      <c r="P181" s="269"/>
      <c r="R181" s="18">
        <v>0</v>
      </c>
    </row>
    <row r="182" spans="1:18" s="18" customFormat="1" ht="24.95" hidden="1" customHeight="1">
      <c r="A182" s="443"/>
      <c r="B182" s="235" t="str">
        <f>'8-1.설비자재산출(전력통신)'!C185</f>
        <v>지능형전원장치</v>
      </c>
      <c r="C182" s="235" t="str">
        <f>'8-1.설비자재산출(전력통신)'!D185</f>
        <v>다중입력 및 출력지원, 원격제어</v>
      </c>
      <c r="D182" s="236" t="str">
        <f>'8-1.설비자재산출(전력통신)'!I185</f>
        <v>대</v>
      </c>
      <c r="E182" s="232"/>
      <c r="F182" s="232"/>
      <c r="G182" s="227"/>
      <c r="H182" s="226"/>
      <c r="I182" s="582"/>
      <c r="J182" s="584"/>
      <c r="K182" s="582"/>
      <c r="L182" s="582"/>
      <c r="M182" s="645"/>
      <c r="N182" s="227">
        <f t="shared" si="2"/>
        <v>0</v>
      </c>
      <c r="O182" s="269"/>
      <c r="P182" s="269"/>
      <c r="R182" s="18">
        <v>0</v>
      </c>
    </row>
    <row r="183" spans="1:18" s="18" customFormat="1" ht="24.95" hidden="1" customHeight="1">
      <c r="A183" s="443"/>
      <c r="B183" s="235" t="str">
        <f>'8-1.설비자재산출(전력통신)'!C186</f>
        <v>철탑용광전송장치</v>
      </c>
      <c r="C183" s="235" t="str">
        <f>'8-1.설비자재산출(전력통신)'!D186</f>
        <v>1core, cwdm 8파장</v>
      </c>
      <c r="D183" s="236" t="str">
        <f>'8-1.설비자재산출(전력통신)'!I186</f>
        <v>대</v>
      </c>
      <c r="E183" s="232"/>
      <c r="F183" s="232"/>
      <c r="G183" s="227"/>
      <c r="H183" s="226"/>
      <c r="I183" s="582"/>
      <c r="J183" s="584"/>
      <c r="K183" s="582"/>
      <c r="L183" s="582"/>
      <c r="M183" s="645"/>
      <c r="N183" s="227">
        <f t="shared" si="2"/>
        <v>0</v>
      </c>
      <c r="O183" s="269"/>
      <c r="P183" s="269"/>
      <c r="R183" s="18">
        <v>0</v>
      </c>
    </row>
    <row r="184" spans="1:18" s="18" customFormat="1" ht="24.95" hidden="1" customHeight="1">
      <c r="A184" s="443"/>
      <c r="B184" s="235" t="str">
        <f>'8-1.설비자재산출(전력통신)'!C187</f>
        <v>에너지 저장장치</v>
      </c>
      <c r="C184" s="235" t="str">
        <f>'8-1.설비자재산출(전력통신)'!D187</f>
        <v>DC12C 100Ah*2</v>
      </c>
      <c r="D184" s="236" t="str">
        <f>'8-1.설비자재산출(전력통신)'!I187</f>
        <v>식</v>
      </c>
      <c r="E184" s="232"/>
      <c r="F184" s="232"/>
      <c r="G184" s="227"/>
      <c r="H184" s="226"/>
      <c r="I184" s="582"/>
      <c r="J184" s="584"/>
      <c r="K184" s="582"/>
      <c r="L184" s="582"/>
      <c r="M184" s="645"/>
      <c r="N184" s="227">
        <f t="shared" si="2"/>
        <v>0</v>
      </c>
      <c r="O184" s="269"/>
      <c r="P184" s="269"/>
      <c r="Q184" s="227"/>
      <c r="R184" s="558">
        <v>0</v>
      </c>
    </row>
    <row r="185" spans="1:18" s="18" customFormat="1" ht="24.95" hidden="1" customHeight="1">
      <c r="A185" s="443"/>
      <c r="B185" s="235" t="str">
        <f>'8-1.설비자재산출(전력통신)'!C188</f>
        <v>옥외 함체</v>
      </c>
      <c r="C185" s="235" t="str">
        <f>'8-1.설비자재산출(전력통신)'!D188</f>
        <v>제작품</v>
      </c>
      <c r="D185" s="236" t="str">
        <f>'8-1.설비자재산출(전력통신)'!I188</f>
        <v>개</v>
      </c>
      <c r="E185" s="232"/>
      <c r="F185" s="232"/>
      <c r="G185" s="227"/>
      <c r="H185" s="226"/>
      <c r="I185" s="582"/>
      <c r="J185" s="584"/>
      <c r="K185" s="582"/>
      <c r="L185" s="582"/>
      <c r="M185" s="645"/>
      <c r="N185" s="227">
        <f t="shared" si="2"/>
        <v>0</v>
      </c>
      <c r="O185" s="269"/>
      <c r="P185" s="269"/>
      <c r="R185" s="18">
        <v>0</v>
      </c>
    </row>
    <row r="186" spans="1:18" s="18" customFormat="1" ht="24.95" hidden="1" customHeight="1">
      <c r="A186" s="443"/>
      <c r="B186" s="235" t="str">
        <f>'8-1.설비자재산출(전력통신)'!C189</f>
        <v>회전형 카메라</v>
      </c>
      <c r="C186" s="235" t="str">
        <f>'8-1.설비자재산출(전력통신)'!D189</f>
        <v>FHD, IR 100M 이상, 30배 이상</v>
      </c>
      <c r="D186" s="236" t="str">
        <f>'8-1.설비자재산출(전력통신)'!I189</f>
        <v>대</v>
      </c>
      <c r="E186" s="232"/>
      <c r="F186" s="232"/>
      <c r="G186" s="227"/>
      <c r="H186" s="226"/>
      <c r="I186" s="582"/>
      <c r="J186" s="584"/>
      <c r="K186" s="582"/>
      <c r="L186" s="582"/>
      <c r="M186" s="645"/>
      <c r="N186" s="227">
        <f t="shared" si="2"/>
        <v>0</v>
      </c>
      <c r="O186" s="269"/>
      <c r="P186" s="269"/>
      <c r="R186" s="18">
        <v>0</v>
      </c>
    </row>
    <row r="187" spans="1:18" s="18" customFormat="1" ht="24.95" hidden="1" customHeight="1">
      <c r="A187" s="443"/>
      <c r="B187" s="235" t="str">
        <f>'8-1.설비자재산출(전력통신)'!C190</f>
        <v>고정용 카메라</v>
      </c>
      <c r="C187" s="235" t="str">
        <f>'8-1.설비자재산출(전력통신)'!D190</f>
        <v>FHD, IR 20M이상, 4배 이상</v>
      </c>
      <c r="D187" s="236" t="str">
        <f>'8-1.설비자재산출(전력통신)'!I190</f>
        <v>대</v>
      </c>
      <c r="E187" s="232"/>
      <c r="F187" s="232"/>
      <c r="G187" s="227"/>
      <c r="H187" s="226"/>
      <c r="I187" s="582"/>
      <c r="J187" s="584"/>
      <c r="K187" s="582"/>
      <c r="L187" s="582"/>
      <c r="M187" s="645"/>
      <c r="N187" s="227">
        <f t="shared" si="2"/>
        <v>0</v>
      </c>
      <c r="O187" s="269"/>
      <c r="P187" s="269"/>
      <c r="Q187" s="227"/>
      <c r="R187" s="227">
        <v>0</v>
      </c>
    </row>
    <row r="188" spans="1:18" s="18" customFormat="1" ht="24.95" hidden="1" customHeight="1">
      <c r="A188" s="443"/>
      <c r="B188" s="235" t="str">
        <f>'8-1.설비자재산출(전력통신)'!C191</f>
        <v>시각감지모듈</v>
      </c>
      <c r="C188" s="235" t="str">
        <f>'8-1.설비자재산출(전력통신)'!D191</f>
        <v>송전탑접근감시</v>
      </c>
      <c r="D188" s="236" t="str">
        <f>'8-1.설비자재산출(전력통신)'!I191</f>
        <v>개</v>
      </c>
      <c r="E188" s="232"/>
      <c r="F188" s="232"/>
      <c r="G188" s="227"/>
      <c r="H188" s="226"/>
      <c r="I188" s="582"/>
      <c r="J188" s="584"/>
      <c r="K188" s="582"/>
      <c r="L188" s="582"/>
      <c r="M188" s="645"/>
      <c r="N188" s="227">
        <f t="shared" si="2"/>
        <v>0</v>
      </c>
      <c r="O188" s="269"/>
      <c r="P188" s="269"/>
      <c r="Q188" s="227"/>
      <c r="R188" s="227">
        <v>0</v>
      </c>
    </row>
    <row r="189" spans="1:18" s="18" customFormat="1" ht="24.95" hidden="1" customHeight="1">
      <c r="A189" s="443"/>
      <c r="B189" s="235" t="str">
        <f>'8-1.설비자재산출(전력통신)'!C192</f>
        <v>카메라 브라켓</v>
      </c>
      <c r="C189" s="235" t="str">
        <f>'8-1.설비자재산출(전력통신)'!D192</f>
        <v>SUS</v>
      </c>
      <c r="D189" s="236" t="str">
        <f>'8-1.설비자재산출(전력통신)'!I192</f>
        <v>개</v>
      </c>
      <c r="E189" s="232"/>
      <c r="F189" s="232"/>
      <c r="G189" s="227"/>
      <c r="H189" s="226"/>
      <c r="I189" s="582"/>
      <c r="J189" s="584"/>
      <c r="K189" s="582"/>
      <c r="L189" s="582"/>
      <c r="M189" s="645"/>
      <c r="N189" s="227">
        <f t="shared" si="2"/>
        <v>0</v>
      </c>
      <c r="O189" s="269"/>
      <c r="P189" s="269"/>
      <c r="Q189" s="227"/>
      <c r="R189" s="227">
        <v>0</v>
      </c>
    </row>
    <row r="190" spans="1:18" s="18" customFormat="1" ht="24.95" customHeight="1">
      <c r="A190" s="443"/>
      <c r="B190" s="235" t="str">
        <f>'8-1.설비자재산출(전력통신)'!C193</f>
        <v>잡자재</v>
      </c>
      <c r="C190" s="235" t="str">
        <f>'8-1.설비자재산출(전력통신)'!D193</f>
        <v>전선, 케이블 배관자재의 2~5%</v>
      </c>
      <c r="D190" s="236" t="str">
        <f>'8-1.설비자재산출(전력통신)'!I193</f>
        <v>식</v>
      </c>
      <c r="E190" s="232"/>
      <c r="F190" s="232"/>
      <c r="G190" s="227"/>
      <c r="H190" s="226"/>
      <c r="I190" s="582"/>
      <c r="J190" s="584"/>
      <c r="K190" s="582"/>
      <c r="L190" s="582"/>
      <c r="M190" s="645"/>
      <c r="N190" s="227">
        <f t="shared" si="2"/>
        <v>0</v>
      </c>
      <c r="O190" s="269"/>
      <c r="P190" s="269"/>
      <c r="Q190" s="227"/>
      <c r="R190" s="227">
        <v>0</v>
      </c>
    </row>
    <row r="191" spans="1:18" s="18" customFormat="1" ht="24.95" customHeight="1">
      <c r="A191" s="443"/>
      <c r="B191" s="235"/>
      <c r="C191" s="235"/>
      <c r="D191" s="236"/>
      <c r="E191" s="232"/>
      <c r="F191" s="232"/>
      <c r="G191" s="227"/>
      <c r="H191" s="226"/>
      <c r="I191" s="582"/>
      <c r="J191" s="584"/>
      <c r="K191" s="582"/>
      <c r="L191" s="582"/>
      <c r="M191" s="645"/>
      <c r="N191" s="227">
        <f t="shared" si="2"/>
        <v>0</v>
      </c>
      <c r="O191" s="269"/>
      <c r="P191" s="269"/>
    </row>
    <row r="192" spans="1:18" s="18" customFormat="1" ht="24.95" customHeight="1">
      <c r="A192" s="1438" t="str">
        <f>'8-1.설비자재산출(전력통신)'!A195</f>
        <v>4. IP계통운영통신시스템</v>
      </c>
      <c r="B192" s="235"/>
      <c r="C192" s="235"/>
      <c r="D192" s="236"/>
      <c r="E192" s="232"/>
      <c r="F192" s="232"/>
      <c r="G192" s="227"/>
      <c r="H192" s="226"/>
      <c r="I192" s="582"/>
      <c r="J192" s="584"/>
      <c r="K192" s="582"/>
      <c r="L192" s="582"/>
      <c r="M192" s="645"/>
      <c r="N192" s="227">
        <f t="shared" si="2"/>
        <v>0</v>
      </c>
      <c r="O192" s="269"/>
      <c r="P192" s="269"/>
    </row>
    <row r="193" spans="1:18" s="18" customFormat="1" ht="24.95" customHeight="1">
      <c r="A193" s="443"/>
      <c r="B193" s="235" t="str">
        <f>'8-1.설비자재산출(전력통신)'!C198</f>
        <v>IP사령원콘솔</v>
      </c>
      <c r="C193" s="235" t="str">
        <f>'8-1.설비자재산출(전력통신)'!D198</f>
        <v>IP사령원콘솔, 라이선스 포함</v>
      </c>
      <c r="D193" s="236" t="str">
        <f>'8-1.설비자재산출(전력통신)'!I198</f>
        <v>식</v>
      </c>
      <c r="E193" s="232"/>
      <c r="F193" s="232"/>
      <c r="G193" s="227"/>
      <c r="H193" s="226"/>
      <c r="I193" s="582"/>
      <c r="J193" s="584"/>
      <c r="K193" s="1213">
        <v>1200000</v>
      </c>
      <c r="L193" s="1213">
        <v>1300000</v>
      </c>
      <c r="M193" s="645"/>
      <c r="N193" s="227">
        <f t="shared" si="2"/>
        <v>1052964</v>
      </c>
      <c r="O193" s="269" t="s">
        <v>1752</v>
      </c>
      <c r="P193" s="269"/>
      <c r="R193" s="18">
        <v>1200000</v>
      </c>
    </row>
    <row r="194" spans="1:18" s="18" customFormat="1" ht="24.95" customHeight="1">
      <c r="A194" s="443"/>
      <c r="B194" s="235" t="str">
        <f>'8-1.설비자재산출(전력통신)'!C199</f>
        <v>AOM</v>
      </c>
      <c r="C194" s="235" t="str">
        <f>'8-1.설비자재산출(전력통신)'!D199</f>
        <v>AOM</v>
      </c>
      <c r="D194" s="236" t="str">
        <f>'8-1.설비자재산출(전력통신)'!I199</f>
        <v>식</v>
      </c>
      <c r="E194" s="232"/>
      <c r="F194" s="232"/>
      <c r="G194" s="227"/>
      <c r="H194" s="226"/>
      <c r="I194" s="582"/>
      <c r="J194" s="584"/>
      <c r="K194" s="582">
        <v>3400000</v>
      </c>
      <c r="L194" s="582">
        <v>3500000</v>
      </c>
      <c r="M194" s="645"/>
      <c r="N194" s="227">
        <f t="shared" si="2"/>
        <v>2983398</v>
      </c>
      <c r="O194" s="269" t="s">
        <v>1752</v>
      </c>
      <c r="P194" s="269"/>
      <c r="R194" s="18">
        <v>3400000</v>
      </c>
    </row>
    <row r="195" spans="1:18" s="18" customFormat="1" ht="24.95" customHeight="1">
      <c r="A195" s="443"/>
      <c r="B195" s="235" t="str">
        <f>'8-1.설비자재산출(전력통신)'!C200</f>
        <v>기술지원비</v>
      </c>
      <c r="C195" s="235" t="str">
        <f>'8-1.설비자재산출(전력통신)'!D200</f>
        <v>설정 및 테스트</v>
      </c>
      <c r="D195" s="236" t="str">
        <f>'8-1.설비자재산출(전력통신)'!I200</f>
        <v>식</v>
      </c>
      <c r="E195" s="232"/>
      <c r="F195" s="232"/>
      <c r="G195" s="227"/>
      <c r="H195" s="226"/>
      <c r="I195" s="582"/>
      <c r="J195" s="584"/>
      <c r="K195" s="493">
        <v>1200000</v>
      </c>
      <c r="L195" s="493">
        <v>1300000</v>
      </c>
      <c r="M195" s="645"/>
      <c r="N195" s="227">
        <f t="shared" si="2"/>
        <v>1052964</v>
      </c>
      <c r="O195" s="269" t="s">
        <v>1752</v>
      </c>
      <c r="P195" s="269"/>
      <c r="R195" s="18">
        <v>1200000</v>
      </c>
    </row>
    <row r="196" spans="1:18" s="18" customFormat="1" ht="24.95" hidden="1" customHeight="1">
      <c r="A196" s="443"/>
      <c r="B196" s="235" t="str">
        <f>'8-1.설비자재산출(전력통신)'!C201</f>
        <v>19" RACK(IP/내진)</v>
      </c>
      <c r="C196" s="235" t="str">
        <f>'8-1.설비자재산출(전력통신)'!D201</f>
        <v>경하중,IP,내진, 600(W)*750(D)*2000(H)</v>
      </c>
      <c r="D196" s="236" t="str">
        <f>'8-1.설비자재산출(전력통신)'!I201</f>
        <v>대</v>
      </c>
      <c r="E196" s="232"/>
      <c r="F196" s="232"/>
      <c r="G196" s="227"/>
      <c r="H196" s="226"/>
      <c r="I196" s="582"/>
      <c r="J196" s="584"/>
      <c r="K196" s="582"/>
      <c r="L196" s="582"/>
      <c r="M196" s="645"/>
      <c r="N196" s="227">
        <f t="shared" si="2"/>
        <v>0</v>
      </c>
      <c r="O196" s="269">
        <f>'8-1.설비자재산출(전력통신)'!N201</f>
        <v>0</v>
      </c>
      <c r="P196" s="269"/>
      <c r="R196" s="18">
        <v>0</v>
      </c>
    </row>
    <row r="197" spans="1:18" s="18" customFormat="1" ht="24.95" customHeight="1">
      <c r="A197" s="443"/>
      <c r="B197" s="235" t="str">
        <f>'8-1.설비자재산출(전력통신)'!C202</f>
        <v>HUB</v>
      </c>
      <c r="C197" s="235" t="str">
        <f>'8-1.설비자재산출(전력통신)'!D202</f>
        <v>10/100 24포트-POE</v>
      </c>
      <c r="D197" s="236" t="str">
        <f>'8-1.설비자재산출(전력통신)'!I202</f>
        <v>대</v>
      </c>
      <c r="E197" s="232"/>
      <c r="F197" s="232"/>
      <c r="G197" s="233"/>
      <c r="H197" s="226"/>
      <c r="I197" s="227"/>
      <c r="J197" s="226"/>
      <c r="K197" s="227">
        <v>1000000</v>
      </c>
      <c r="L197" s="1434">
        <v>950000</v>
      </c>
      <c r="M197" s="227"/>
      <c r="N197" s="227">
        <f t="shared" si="2"/>
        <v>833596.5</v>
      </c>
      <c r="O197" s="269" t="s">
        <v>1752</v>
      </c>
      <c r="P197" s="269"/>
      <c r="R197" s="18">
        <v>950000</v>
      </c>
    </row>
    <row r="198" spans="1:18" s="18" customFormat="1" ht="24.95" hidden="1" customHeight="1">
      <c r="A198" s="443"/>
      <c r="B198" s="235" t="str">
        <f>'8-1.설비자재산출(전력통신)'!C203</f>
        <v>유무선 전화기</v>
      </c>
      <c r="C198" s="235" t="str">
        <f>'8-1.설비자재산출(전력통신)'!D203</f>
        <v>1.7GHz DCP, CID</v>
      </c>
      <c r="D198" s="236" t="str">
        <f>'8-1.설비자재산출(전력통신)'!I203</f>
        <v>대</v>
      </c>
      <c r="E198" s="232"/>
      <c r="F198" s="232"/>
      <c r="G198" s="233"/>
      <c r="H198" s="226"/>
      <c r="I198" s="227"/>
      <c r="J198" s="226"/>
      <c r="K198" s="671"/>
      <c r="L198" s="582"/>
      <c r="M198" s="227"/>
      <c r="N198" s="227">
        <f t="shared" si="2"/>
        <v>0</v>
      </c>
      <c r="O198" s="269">
        <f>'8-1.설비자재산출(전력통신)'!N203</f>
        <v>0</v>
      </c>
      <c r="P198" s="269"/>
      <c r="R198" s="18">
        <v>0</v>
      </c>
    </row>
    <row r="199" spans="1:18" s="18" customFormat="1" ht="24.95" customHeight="1">
      <c r="A199" s="443"/>
      <c r="B199" s="235" t="str">
        <f>'8-1.설비자재산출(전력통신)'!C204</f>
        <v>UTP케이블</v>
      </c>
      <c r="C199" s="235" t="str">
        <f>'8-1.설비자재산출(전력통신)'!D204</f>
        <v>CAT.5E 4P</v>
      </c>
      <c r="D199" s="236" t="str">
        <f>'8-1.설비자재산출(전력통신)'!I204</f>
        <v>m</v>
      </c>
      <c r="E199" s="232"/>
      <c r="F199" s="232"/>
      <c r="G199" s="583">
        <v>790</v>
      </c>
      <c r="H199" s="645">
        <v>1083</v>
      </c>
      <c r="I199" s="582">
        <v>1100</v>
      </c>
      <c r="J199" s="582">
        <v>1173</v>
      </c>
      <c r="K199" s="671"/>
      <c r="L199" s="582"/>
      <c r="M199" s="227"/>
      <c r="N199" s="227">
        <f t="shared" si="2"/>
        <v>693.20129999999995</v>
      </c>
      <c r="O199" s="269" t="s">
        <v>3170</v>
      </c>
      <c r="P199" s="269"/>
      <c r="R199" s="18">
        <v>790</v>
      </c>
    </row>
    <row r="200" spans="1:18" s="18" customFormat="1" ht="24.95" customHeight="1">
      <c r="A200" s="443"/>
      <c r="B200" s="235" t="str">
        <f>'8-1.설비자재산출(전력통신)'!C205</f>
        <v>UTP케이블</v>
      </c>
      <c r="C200" s="235" t="str">
        <f>'8-1.설비자재산출(전력통신)'!D205</f>
        <v>CAT.5E 4P</v>
      </c>
      <c r="D200" s="236" t="str">
        <f>'8-1.설비자재산출(전력통신)'!I205</f>
        <v>m</v>
      </c>
      <c r="E200" s="232"/>
      <c r="F200" s="232"/>
      <c r="G200" s="583">
        <v>790</v>
      </c>
      <c r="H200" s="645">
        <v>1083</v>
      </c>
      <c r="I200" s="582">
        <v>1100</v>
      </c>
      <c r="J200" s="582">
        <v>1173</v>
      </c>
      <c r="K200" s="582"/>
      <c r="L200" s="671"/>
      <c r="M200" s="227"/>
      <c r="N200" s="227">
        <f t="shared" si="2"/>
        <v>693.20129999999995</v>
      </c>
      <c r="O200" s="269" t="s">
        <v>3170</v>
      </c>
      <c r="P200" s="269"/>
      <c r="Q200" s="582"/>
      <c r="R200" s="671">
        <v>790</v>
      </c>
    </row>
    <row r="201" spans="1:18" s="18" customFormat="1" ht="24.95" customHeight="1">
      <c r="A201" s="443"/>
      <c r="B201" s="235" t="str">
        <f>'8-1.설비자재산출(전력통신)'!C206</f>
        <v>UTP케이블</v>
      </c>
      <c r="C201" s="235" t="str">
        <f>'8-1.설비자재산출(전력통신)'!D206</f>
        <v>CAT.5E 4P</v>
      </c>
      <c r="D201" s="236" t="str">
        <f>'8-1.설비자재산출(전력통신)'!I206</f>
        <v>m</v>
      </c>
      <c r="E201" s="232"/>
      <c r="F201" s="232"/>
      <c r="G201" s="583">
        <v>790</v>
      </c>
      <c r="H201" s="645">
        <v>1083</v>
      </c>
      <c r="I201" s="582">
        <v>1100</v>
      </c>
      <c r="J201" s="582">
        <v>1173</v>
      </c>
      <c r="K201" s="227"/>
      <c r="L201" s="1434"/>
      <c r="M201" s="227"/>
      <c r="N201" s="227">
        <f t="shared" ref="N201:N264" si="3">R201*$R$3</f>
        <v>693.20129999999995</v>
      </c>
      <c r="O201" s="269" t="s">
        <v>3170</v>
      </c>
      <c r="P201" s="269"/>
      <c r="R201" s="18">
        <v>790</v>
      </c>
    </row>
    <row r="202" spans="1:18" s="18" customFormat="1" ht="24.95" hidden="1" customHeight="1">
      <c r="A202" s="443"/>
      <c r="B202" s="235" t="str">
        <f>'8-1.설비자재산출(전력통신)'!C207</f>
        <v>UTP케이블</v>
      </c>
      <c r="C202" s="235" t="str">
        <f>'8-1.설비자재산출(전력통신)'!D207</f>
        <v>CAT.5E 4P</v>
      </c>
      <c r="D202" s="236" t="str">
        <f>'8-1.설비자재산출(전력통신)'!I207</f>
        <v>m</v>
      </c>
      <c r="E202" s="666"/>
      <c r="F202" s="666"/>
      <c r="G202" s="583">
        <v>790</v>
      </c>
      <c r="H202" s="645">
        <v>1125</v>
      </c>
      <c r="I202" s="582">
        <v>1100</v>
      </c>
      <c r="J202" s="582">
        <v>1207</v>
      </c>
      <c r="K202" s="582"/>
      <c r="L202" s="671"/>
      <c r="M202" s="582"/>
      <c r="N202" s="227">
        <f t="shared" si="3"/>
        <v>693.20129999999995</v>
      </c>
      <c r="O202" s="269"/>
      <c r="P202" s="269"/>
      <c r="R202" s="18">
        <v>790</v>
      </c>
    </row>
    <row r="203" spans="1:18" s="18" customFormat="1" ht="24.95" customHeight="1">
      <c r="A203" s="443"/>
      <c r="B203" s="235" t="str">
        <f>'8-1.설비자재산출(전력통신)'!C208</f>
        <v>후렉시블전선관</v>
      </c>
      <c r="C203" s="235" t="str">
        <f>'8-1.설비자재산출(전력통신)'!D208</f>
        <v>16㎜, 일반방수(GW-16)</v>
      </c>
      <c r="D203" s="236" t="str">
        <f>'8-1.설비자재산출(전력통신)'!I208</f>
        <v>m</v>
      </c>
      <c r="E203" s="666"/>
      <c r="F203" s="666"/>
      <c r="G203" s="583">
        <v>2260</v>
      </c>
      <c r="H203" s="645">
        <v>1103</v>
      </c>
      <c r="I203" s="582">
        <v>715</v>
      </c>
      <c r="J203" s="1700">
        <v>1204</v>
      </c>
      <c r="K203" s="582"/>
      <c r="L203" s="671"/>
      <c r="M203" s="582"/>
      <c r="N203" s="227">
        <f t="shared" si="3"/>
        <v>627.39104999999995</v>
      </c>
      <c r="O203" s="269" t="s">
        <v>3170</v>
      </c>
      <c r="P203" s="269"/>
      <c r="R203" s="18">
        <v>715</v>
      </c>
    </row>
    <row r="204" spans="1:18" s="18" customFormat="1" ht="24.95" customHeight="1">
      <c r="A204" s="443"/>
      <c r="B204" s="235" t="str">
        <f>'8-1.설비자재산출(전력통신)'!C209</f>
        <v>후렉시블전선관</v>
      </c>
      <c r="C204" s="235" t="str">
        <f>'8-1.설비자재산출(전력통신)'!D209</f>
        <v>16㎜, 일반방수(GW-16)</v>
      </c>
      <c r="D204" s="236" t="str">
        <f>'8-1.설비자재산출(전력통신)'!I209</f>
        <v>m</v>
      </c>
      <c r="E204" s="666"/>
      <c r="F204" s="666"/>
      <c r="G204" s="583">
        <v>2260</v>
      </c>
      <c r="H204" s="645">
        <v>1103</v>
      </c>
      <c r="I204" s="582">
        <v>715</v>
      </c>
      <c r="J204" s="1700">
        <v>1204</v>
      </c>
      <c r="K204" s="582"/>
      <c r="L204" s="671"/>
      <c r="M204" s="582"/>
      <c r="N204" s="227">
        <f t="shared" si="3"/>
        <v>627.39104999999995</v>
      </c>
      <c r="O204" s="269" t="s">
        <v>3170</v>
      </c>
      <c r="P204" s="269"/>
      <c r="R204" s="18">
        <v>715</v>
      </c>
    </row>
    <row r="205" spans="1:18" s="18" customFormat="1" ht="24.95" hidden="1" customHeight="1">
      <c r="A205" s="443"/>
      <c r="B205" s="235" t="str">
        <f>'8-1.설비자재산출(전력통신)'!C210</f>
        <v>후렉시블전선관</v>
      </c>
      <c r="C205" s="235" t="str">
        <f>'8-1.설비자재산출(전력통신)'!D210</f>
        <v>16㎜, 일반방수(GW-16)</v>
      </c>
      <c r="D205" s="236" t="str">
        <f>'8-1.설비자재산출(전력통신)'!I210</f>
        <v>m</v>
      </c>
      <c r="E205" s="666"/>
      <c r="F205" s="666"/>
      <c r="G205" s="583">
        <v>2260</v>
      </c>
      <c r="H205" s="645">
        <v>1141</v>
      </c>
      <c r="I205" s="582"/>
      <c r="J205" s="584"/>
      <c r="K205" s="582"/>
      <c r="L205" s="671"/>
      <c r="M205" s="582"/>
      <c r="N205" s="227">
        <f t="shared" si="3"/>
        <v>1983.0821999999998</v>
      </c>
      <c r="O205" s="269">
        <f>'8-1.설비자재산출(전력통신)'!N210</f>
        <v>0</v>
      </c>
      <c r="P205" s="269"/>
      <c r="R205" s="18">
        <v>2260</v>
      </c>
    </row>
    <row r="206" spans="1:18" s="18" customFormat="1" ht="24.95" hidden="1" customHeight="1">
      <c r="A206" s="443"/>
      <c r="B206" s="235" t="str">
        <f>'8-1.설비자재산출(전력통신)'!C211</f>
        <v>난연성전원케이블</v>
      </c>
      <c r="C206" s="235" t="str">
        <f>'8-1.설비자재산출(전력통신)'!D211</f>
        <v>FR-CVV-S, 2.5SQ/2C</v>
      </c>
      <c r="D206" s="236" t="str">
        <f>'8-1.설비자재산출(전력통신)'!I211</f>
        <v>m</v>
      </c>
      <c r="E206" s="666"/>
      <c r="F206" s="666"/>
      <c r="G206" s="899"/>
      <c r="H206" s="901"/>
      <c r="I206" s="899"/>
      <c r="J206" s="901"/>
      <c r="K206" s="839"/>
      <c r="L206" s="839">
        <v>3120</v>
      </c>
      <c r="M206" s="1702">
        <v>3340</v>
      </c>
      <c r="N206" s="227">
        <f t="shared" si="3"/>
        <v>2737.7064</v>
      </c>
      <c r="O206" s="269" t="s">
        <v>1752</v>
      </c>
      <c r="P206" s="269"/>
      <c r="R206" s="18">
        <v>3120</v>
      </c>
    </row>
    <row r="207" spans="1:18" s="18" customFormat="1" ht="24.95" hidden="1" customHeight="1">
      <c r="A207" s="443"/>
      <c r="B207" s="235" t="str">
        <f>'8-1.설비자재산출(전력통신)'!C212</f>
        <v>콘센트(노출 접지 220V2구)</v>
      </c>
      <c r="C207" s="235" t="str">
        <f>'8-1.설비자재산출(전력통신)'!D212</f>
        <v>노출, 접지 2구</v>
      </c>
      <c r="D207" s="236" t="str">
        <f>'8-1.설비자재산출(전력통신)'!I212</f>
        <v>개</v>
      </c>
      <c r="E207" s="666"/>
      <c r="F207" s="666"/>
      <c r="G207" s="899">
        <v>2880</v>
      </c>
      <c r="H207" s="840">
        <v>1244</v>
      </c>
      <c r="I207" s="839">
        <v>2898</v>
      </c>
      <c r="J207" s="839">
        <v>1308</v>
      </c>
      <c r="K207" s="582"/>
      <c r="L207" s="671"/>
      <c r="M207" s="582"/>
      <c r="N207" s="227">
        <f t="shared" si="3"/>
        <v>2527.1136000000001</v>
      </c>
      <c r="O207" s="269">
        <f>'8-1.설비자재산출(전력통신)'!N212</f>
        <v>0</v>
      </c>
      <c r="P207" s="269"/>
      <c r="R207" s="18">
        <v>2880</v>
      </c>
    </row>
    <row r="208" spans="1:18" s="18" customFormat="1" ht="24.95" hidden="1" customHeight="1">
      <c r="A208" s="443"/>
      <c r="B208" s="235" t="str">
        <f>'8-1.설비자재산출(전력통신)'!C213</f>
        <v>난연성전원케이블</v>
      </c>
      <c r="C208" s="235" t="str">
        <f>'8-1.설비자재산출(전력통신)'!D213</f>
        <v>FR-CVV-S, 6SQ/2C</v>
      </c>
      <c r="D208" s="236" t="str">
        <f>'8-1.설비자재산출(전력통신)'!I213</f>
        <v>m</v>
      </c>
      <c r="E208" s="666"/>
      <c r="F208" s="666"/>
      <c r="G208" s="583"/>
      <c r="H208" s="584"/>
      <c r="I208" s="582"/>
      <c r="J208" s="584"/>
      <c r="K208" s="582"/>
      <c r="L208" s="1213">
        <v>5080</v>
      </c>
      <c r="M208" s="1213">
        <v>5440</v>
      </c>
      <c r="N208" s="227">
        <f t="shared" si="3"/>
        <v>4457.5475999999999</v>
      </c>
      <c r="O208" s="269" t="s">
        <v>1752</v>
      </c>
      <c r="P208" s="269"/>
      <c r="R208" s="18">
        <v>5080</v>
      </c>
    </row>
    <row r="209" spans="1:18" s="18" customFormat="1" ht="24.95" customHeight="1">
      <c r="A209" s="443"/>
      <c r="B209" s="235" t="str">
        <f>'8-1.설비자재산출(전력통신)'!C214</f>
        <v>접지케이블</v>
      </c>
      <c r="C209" s="235" t="str">
        <f>'8-1.설비자재산출(전력통신)'!D214</f>
        <v>F-GV, 6SQ</v>
      </c>
      <c r="D209" s="236" t="str">
        <f>'8-1.설비자재산출(전력통신)'!I214</f>
        <v>m</v>
      </c>
      <c r="E209" s="666"/>
      <c r="F209" s="666"/>
      <c r="G209" s="493">
        <v>1567</v>
      </c>
      <c r="H209" s="394">
        <v>1075</v>
      </c>
      <c r="I209" s="493">
        <v>1290</v>
      </c>
      <c r="J209" s="394">
        <v>1165</v>
      </c>
      <c r="K209" s="1213">
        <v>1230</v>
      </c>
      <c r="L209" s="1213">
        <v>1320</v>
      </c>
      <c r="M209" s="1213">
        <v>1277</v>
      </c>
      <c r="N209" s="227">
        <f t="shared" si="3"/>
        <v>1079.2881</v>
      </c>
      <c r="O209" s="269" t="s">
        <v>3169</v>
      </c>
      <c r="P209" s="269"/>
      <c r="R209" s="18">
        <v>1230</v>
      </c>
    </row>
    <row r="210" spans="1:18" s="18" customFormat="1" ht="24.95" hidden="1" customHeight="1">
      <c r="A210" s="443"/>
      <c r="B210" s="235" t="str">
        <f>'8-1.설비자재산출(전력통신)'!C215</f>
        <v>셋트앙카(STS)</v>
      </c>
      <c r="C210" s="235" t="str">
        <f>'8-1.설비자재산출(전력통신)'!D215</f>
        <v>Φ3/8, 75㎜</v>
      </c>
      <c r="D210" s="236" t="str">
        <f>'8-1.설비자재산출(전력통신)'!I215</f>
        <v>EA</v>
      </c>
      <c r="E210" s="666"/>
      <c r="F210" s="666"/>
      <c r="G210" s="582">
        <v>710</v>
      </c>
      <c r="H210" s="645">
        <v>53</v>
      </c>
      <c r="I210" s="582">
        <v>800</v>
      </c>
      <c r="J210" s="582">
        <v>1386</v>
      </c>
      <c r="K210" s="582"/>
      <c r="L210" s="671"/>
      <c r="M210" s="582"/>
      <c r="N210" s="227">
        <f t="shared" si="3"/>
        <v>623.00369999999998</v>
      </c>
      <c r="O210" s="269" t="s">
        <v>3170</v>
      </c>
      <c r="P210" s="269"/>
      <c r="R210" s="18">
        <v>710</v>
      </c>
    </row>
    <row r="211" spans="1:18" s="18" customFormat="1" ht="24.95" hidden="1" customHeight="1">
      <c r="A211" s="443"/>
      <c r="B211" s="235" t="str">
        <f>'8-1.설비자재산출(전력통신)'!C216</f>
        <v>전산볼트(M10,철)</v>
      </c>
      <c r="C211" s="235" t="str">
        <f>'8-1.설비자재산출(전력통신)'!D216</f>
        <v>M10,철</v>
      </c>
      <c r="D211" s="236" t="str">
        <f>'8-1.설비자재산출(전력통신)'!I216</f>
        <v>EA</v>
      </c>
      <c r="E211" s="666"/>
      <c r="F211" s="666"/>
      <c r="G211" s="583"/>
      <c r="H211" s="584"/>
      <c r="I211" s="582"/>
      <c r="J211" s="584"/>
      <c r="K211" s="582"/>
      <c r="L211" s="671"/>
      <c r="M211" s="582"/>
      <c r="N211" s="227">
        <f t="shared" si="3"/>
        <v>0</v>
      </c>
      <c r="O211" s="269">
        <f>'8-1.설비자재산출(전력통신)'!N216</f>
        <v>0</v>
      </c>
      <c r="P211" s="269"/>
      <c r="R211" s="18">
        <v>0</v>
      </c>
    </row>
    <row r="212" spans="1:18" s="18" customFormat="1" ht="24.95" hidden="1" customHeight="1">
      <c r="A212" s="443"/>
      <c r="B212" s="235" t="str">
        <f>'8-1.설비자재산출(전력통신)'!C217</f>
        <v>랙명판(AL,190*75*1t)</v>
      </c>
      <c r="C212" s="235" t="str">
        <f>'8-1.설비자재산출(전력통신)'!D217</f>
        <v>AL,190*75*1t,헤어라인/검정색도색후 실크인쇄,후면 벨크로</v>
      </c>
      <c r="D212" s="236" t="str">
        <f>'8-1.설비자재산출(전력통신)'!I217</f>
        <v>개</v>
      </c>
      <c r="E212" s="666"/>
      <c r="F212" s="666"/>
      <c r="G212" s="583"/>
      <c r="H212" s="584"/>
      <c r="I212" s="582"/>
      <c r="J212" s="584"/>
      <c r="K212" s="582"/>
      <c r="L212" s="671"/>
      <c r="M212" s="582"/>
      <c r="N212" s="227">
        <f t="shared" si="3"/>
        <v>0</v>
      </c>
      <c r="O212" s="269">
        <f>'8-1.설비자재산출(전력통신)'!N217</f>
        <v>0</v>
      </c>
      <c r="P212" s="269"/>
      <c r="R212" s="18">
        <v>0</v>
      </c>
    </row>
    <row r="213" spans="1:18" s="18" customFormat="1" ht="24.95" hidden="1" customHeight="1">
      <c r="A213" s="443"/>
      <c r="B213" s="235" t="str">
        <f>'8-1.설비자재산출(전력통신)'!C218</f>
        <v>콘센트(노출 접지 220V2구)</v>
      </c>
      <c r="C213" s="235" t="str">
        <f>'8-1.설비자재산출(전력통신)'!D218</f>
        <v>노출, 접지 2구</v>
      </c>
      <c r="D213" s="236" t="str">
        <f>'8-1.설비자재산출(전력통신)'!I218</f>
        <v>개</v>
      </c>
      <c r="E213" s="666"/>
      <c r="F213" s="666"/>
      <c r="G213" s="583"/>
      <c r="H213" s="584"/>
      <c r="I213" s="582"/>
      <c r="J213" s="584"/>
      <c r="K213" s="582"/>
      <c r="L213" s="671"/>
      <c r="M213" s="582"/>
      <c r="N213" s="227">
        <f t="shared" si="3"/>
        <v>0</v>
      </c>
      <c r="O213" s="269">
        <f>'8-1.설비자재산출(전력통신)'!N218</f>
        <v>0</v>
      </c>
      <c r="P213" s="269"/>
      <c r="R213" s="18">
        <v>0</v>
      </c>
    </row>
    <row r="214" spans="1:18" s="18" customFormat="1" ht="24.95" customHeight="1">
      <c r="A214" s="1227"/>
      <c r="B214" s="1228"/>
      <c r="C214" s="1228"/>
      <c r="D214" s="1229"/>
      <c r="E214" s="904"/>
      <c r="F214" s="904"/>
      <c r="G214" s="1230"/>
      <c r="H214" s="1231"/>
      <c r="I214" s="1232"/>
      <c r="J214" s="1231"/>
      <c r="K214" s="1232"/>
      <c r="L214" s="1435"/>
      <c r="M214" s="1232"/>
      <c r="N214" s="227">
        <f t="shared" si="3"/>
        <v>0</v>
      </c>
      <c r="O214" s="672"/>
      <c r="P214" s="1233"/>
    </row>
    <row r="215" spans="1:18" s="18" customFormat="1" ht="24.95" customHeight="1">
      <c r="A215" s="1438" t="s">
        <v>2945</v>
      </c>
      <c r="B215" s="1228"/>
      <c r="C215" s="1228"/>
      <c r="D215" s="1229"/>
      <c r="E215" s="904"/>
      <c r="F215" s="904"/>
      <c r="G215" s="1230"/>
      <c r="H215" s="1231"/>
      <c r="I215" s="1232"/>
      <c r="J215" s="1231"/>
      <c r="K215" s="1232"/>
      <c r="L215" s="1435"/>
      <c r="M215" s="1232"/>
      <c r="N215" s="227">
        <f t="shared" si="3"/>
        <v>0</v>
      </c>
      <c r="O215" s="672"/>
      <c r="P215" s="1233"/>
    </row>
    <row r="216" spans="1:18" s="18" customFormat="1" ht="24.95" customHeight="1">
      <c r="A216" s="443">
        <v>126571</v>
      </c>
      <c r="B216" s="235" t="str">
        <f>'8-2.설비자재산출(무인보안)'!D9</f>
        <v>녹화장치(동강C/H)</v>
      </c>
      <c r="C216" s="235" t="str">
        <f>'8-2.설비자재산출(무인보안)'!E9</f>
        <v>4core 2.4GHz*1EA이상,8GB이상, SSD256GB,스토리지4TB이하</v>
      </c>
      <c r="D216" s="236" t="str">
        <f>'8-2.설비자재산출(무인보안)'!G9</f>
        <v>대</v>
      </c>
      <c r="E216" s="666"/>
      <c r="F216" s="666"/>
      <c r="G216" s="899"/>
      <c r="H216" s="901"/>
      <c r="I216" s="839"/>
      <c r="J216" s="901"/>
      <c r="K216" s="839">
        <v>2300000</v>
      </c>
      <c r="L216" s="839"/>
      <c r="M216" s="839">
        <v>20000000</v>
      </c>
      <c r="N216" s="227">
        <f t="shared" si="3"/>
        <v>2018181</v>
      </c>
      <c r="O216" s="1642" t="s">
        <v>471</v>
      </c>
      <c r="P216" s="269"/>
      <c r="R216" s="18">
        <v>2300000</v>
      </c>
    </row>
    <row r="217" spans="1:18" s="18" customFormat="1" ht="24.95" customHeight="1">
      <c r="A217" s="443">
        <f>'8-2.설비자재산출(무인보안)'!C10</f>
        <v>126571</v>
      </c>
      <c r="B217" s="235" t="str">
        <f>'8-2.설비자재산출(무인보안)'!D10</f>
        <v>녹화장치</v>
      </c>
      <c r="C217" s="235" t="str">
        <f>'8-2.설비자재산출(무인보안)'!E10</f>
        <v>4core 2.4GHz*1EA이상,16GB이상, SSD512GB,스토리지80TB이상</v>
      </c>
      <c r="D217" s="236" t="str">
        <f>'8-2.설비자재산출(무인보안)'!G10</f>
        <v>대</v>
      </c>
      <c r="E217" s="1704"/>
      <c r="F217" s="1704"/>
      <c r="G217" s="1705"/>
      <c r="H217" s="1706"/>
      <c r="I217" s="1707"/>
      <c r="J217" s="1706"/>
      <c r="K217" s="1708">
        <v>37000000</v>
      </c>
      <c r="L217" s="1707">
        <v>26000000</v>
      </c>
      <c r="M217" s="1707">
        <v>25000000</v>
      </c>
      <c r="N217" s="227">
        <f t="shared" si="3"/>
        <v>21936750</v>
      </c>
      <c r="O217" s="1642" t="s">
        <v>471</v>
      </c>
      <c r="P217" s="1233"/>
      <c r="R217" s="18">
        <v>25000000</v>
      </c>
    </row>
    <row r="218" spans="1:18" s="18" customFormat="1" ht="24.95" customHeight="1">
      <c r="A218" s="443">
        <f>'8-2.설비자재산출(무인보안)'!C11</f>
        <v>126572</v>
      </c>
      <c r="B218" s="235" t="str">
        <f>'8-2.설비자재산출(무인보안)'!D11</f>
        <v>운영자 단말</v>
      </c>
      <c r="C218" s="235" t="str">
        <f>'8-2.설비자재산출(무인보안)'!E11</f>
        <v>2.9GHz, 16GB, Display 다중전송, 23인치 이상 LCD모니터 포함</v>
      </c>
      <c r="D218" s="236" t="str">
        <f>'8-2.설비자재산출(무인보안)'!G11</f>
        <v>대</v>
      </c>
      <c r="E218" s="1">
        <v>1868448</v>
      </c>
      <c r="F218" s="1"/>
      <c r="G218" s="1"/>
      <c r="H218" s="1"/>
      <c r="I218" s="1"/>
      <c r="J218" s="1"/>
      <c r="K218" s="1">
        <v>2360000</v>
      </c>
      <c r="L218" s="1">
        <v>2100000</v>
      </c>
      <c r="M218" s="1">
        <v>2000000</v>
      </c>
      <c r="N218" s="227">
        <f t="shared" si="3"/>
        <v>1639507.0665599999</v>
      </c>
      <c r="O218" s="1642" t="s">
        <v>3168</v>
      </c>
      <c r="P218" s="1233"/>
      <c r="R218" s="18">
        <v>1868448</v>
      </c>
    </row>
    <row r="219" spans="1:18" s="18" customFormat="1" ht="24.95" hidden="1" customHeight="1">
      <c r="A219" s="443">
        <f>'8-2.설비자재산출(무인보안)'!C12</f>
        <v>126573</v>
      </c>
      <c r="B219" s="235" t="str">
        <f>'8-2.설비자재산출(무인보안)'!D12</f>
        <v>멀티 모니터링장치</v>
      </c>
      <c r="C219" s="235" t="str">
        <f>'8-2.설비자재산출(무인보안)'!E12</f>
        <v>3.4GHz, 8GB, Display 다중전송</v>
      </c>
      <c r="D219" s="236" t="str">
        <f>'8-2.설비자재산출(무인보안)'!G12</f>
        <v>대</v>
      </c>
      <c r="E219" s="1"/>
      <c r="F219" s="1"/>
      <c r="G219" s="1"/>
      <c r="H219" s="1"/>
      <c r="I219" s="1"/>
      <c r="J219" s="1"/>
      <c r="K219" s="1"/>
      <c r="L219" s="1"/>
      <c r="M219" s="1"/>
      <c r="N219" s="227">
        <f t="shared" si="3"/>
        <v>0</v>
      </c>
      <c r="O219" s="269" t="s">
        <v>2589</v>
      </c>
      <c r="P219" s="1233"/>
      <c r="R219" s="18">
        <v>0</v>
      </c>
    </row>
    <row r="220" spans="1:18" s="18" customFormat="1" ht="24.95" customHeight="1">
      <c r="A220" s="443">
        <f>'8-2.설비자재산출(무인보안)'!C13</f>
        <v>126574</v>
      </c>
      <c r="B220" s="235" t="str">
        <f>'8-2.설비자재산출(무인보안)'!D13</f>
        <v>KVM스위치</v>
      </c>
      <c r="C220" s="235" t="str">
        <f>'8-2.설비자재산출(무인보안)'!E13</f>
        <v>8채널 이상, 19" 랙타입</v>
      </c>
      <c r="D220" s="236" t="str">
        <f>'8-2.설비자재산출(무인보안)'!G13</f>
        <v>대</v>
      </c>
      <c r="E220" s="1">
        <v>601684</v>
      </c>
      <c r="F220" s="1"/>
      <c r="G220" s="1"/>
      <c r="H220" s="1"/>
      <c r="I220" s="1"/>
      <c r="J220" s="1"/>
      <c r="K220" s="1">
        <v>565000</v>
      </c>
      <c r="L220" s="1">
        <v>900000</v>
      </c>
      <c r="M220" s="1">
        <v>780000</v>
      </c>
      <c r="N220" s="227">
        <f t="shared" si="3"/>
        <v>495770.55</v>
      </c>
      <c r="O220" s="1642" t="s">
        <v>471</v>
      </c>
      <c r="P220" s="1233"/>
      <c r="R220" s="18">
        <v>565000</v>
      </c>
    </row>
    <row r="221" spans="1:18" s="18" customFormat="1" ht="24.95" hidden="1" customHeight="1">
      <c r="A221" s="443">
        <f>'8-2.설비자재산출(무인보안)'!C14</f>
        <v>126575</v>
      </c>
      <c r="B221" s="235" t="str">
        <f>'8-2.설비자재산출(무인보안)'!D14</f>
        <v>42" LED모니터</v>
      </c>
      <c r="C221" s="235" t="str">
        <f>'8-2.설비자재산출(무인보안)'!E14</f>
        <v>42” 이상 (16:9 지원)</v>
      </c>
      <c r="D221" s="236" t="str">
        <f>'8-2.설비자재산출(무인보안)'!G14</f>
        <v>대</v>
      </c>
      <c r="E221" s="1">
        <v>969440</v>
      </c>
      <c r="F221" s="1"/>
      <c r="G221" s="1"/>
      <c r="H221" s="1"/>
      <c r="I221" s="1"/>
      <c r="J221" s="1"/>
      <c r="K221" s="1"/>
      <c r="L221" s="1"/>
      <c r="M221" s="1"/>
      <c r="N221" s="227">
        <f t="shared" si="3"/>
        <v>850654.51679999998</v>
      </c>
      <c r="O221" s="269" t="s">
        <v>2589</v>
      </c>
      <c r="P221" s="1233"/>
      <c r="R221" s="18">
        <v>969440</v>
      </c>
    </row>
    <row r="222" spans="1:18" s="18" customFormat="1" ht="24.95" customHeight="1">
      <c r="A222" s="443">
        <f>'8-2.설비자재산출(무인보안)'!C15</f>
        <v>126576</v>
      </c>
      <c r="B222" s="235" t="str">
        <f>'8-2.설비자재산출(무인보안)'!D15</f>
        <v>55" LED모니터</v>
      </c>
      <c r="C222" s="235" t="str">
        <f>'8-2.설비자재산출(무인보안)'!E15</f>
        <v>55” 이상 (16:9 지원)</v>
      </c>
      <c r="D222" s="236" t="str">
        <f>'8-2.설비자재산출(무인보안)'!G15</f>
        <v>대</v>
      </c>
      <c r="E222" s="1">
        <v>1627646</v>
      </c>
      <c r="F222" s="1"/>
      <c r="G222" s="1"/>
      <c r="H222" s="1"/>
      <c r="I222" s="1"/>
      <c r="J222" s="1"/>
      <c r="K222" s="1">
        <v>1535000</v>
      </c>
      <c r="L222" s="1">
        <v>1750000</v>
      </c>
      <c r="M222" s="1"/>
      <c r="N222" s="227">
        <f t="shared" si="3"/>
        <v>1346916.45</v>
      </c>
      <c r="O222" s="269" t="s">
        <v>2589</v>
      </c>
      <c r="P222" s="1233"/>
      <c r="R222" s="18">
        <v>1535000</v>
      </c>
    </row>
    <row r="223" spans="1:18" s="18" customFormat="1" ht="24.95" hidden="1" customHeight="1">
      <c r="A223" s="443">
        <f>'8-2.설비자재산출(무인보안)'!C16</f>
        <v>126577</v>
      </c>
      <c r="B223" s="235" t="str">
        <f>'8-2.설비자재산출(무인보안)'!D16</f>
        <v>영상추적서버</v>
      </c>
      <c r="C223" s="235" t="str">
        <f>'8-2.설비자재산출(무인보안)'!E16</f>
        <v>3.4GHz, 8GB, SATA 1TB</v>
      </c>
      <c r="D223" s="236" t="str">
        <f>'8-2.설비자재산출(무인보안)'!G16</f>
        <v>대</v>
      </c>
      <c r="E223" s="1"/>
      <c r="F223" s="1"/>
      <c r="G223" s="1"/>
      <c r="H223" s="1"/>
      <c r="I223" s="1"/>
      <c r="J223" s="1"/>
      <c r="K223" s="1"/>
      <c r="L223" s="1"/>
      <c r="M223" s="1"/>
      <c r="N223" s="227">
        <f t="shared" si="3"/>
        <v>0</v>
      </c>
      <c r="O223" s="269">
        <f>'8-2.설비자재산출(무인보안)'!J16</f>
        <v>0</v>
      </c>
      <c r="P223" s="1233"/>
      <c r="R223" s="18">
        <v>0</v>
      </c>
    </row>
    <row r="224" spans="1:18" s="18" customFormat="1" ht="24.95" hidden="1" customHeight="1">
      <c r="A224" s="443">
        <f>'8-2.설비자재산출(무인보안)'!C17</f>
        <v>126578</v>
      </c>
      <c r="B224" s="235" t="str">
        <f>'8-2.설비자재산출(무인보안)'!D17</f>
        <v>영상추적 소프트웨어</v>
      </c>
      <c r="C224" s="235" t="str">
        <f>'8-2.설비자재산출(무인보안)'!E17</f>
        <v>영상분석, 움직임추적</v>
      </c>
      <c r="D224" s="236" t="str">
        <f>'8-2.설비자재산출(무인보안)'!G17</f>
        <v>개</v>
      </c>
      <c r="E224" s="1"/>
      <c r="F224" s="1"/>
      <c r="G224" s="1"/>
      <c r="H224" s="1"/>
      <c r="I224" s="1"/>
      <c r="J224" s="1"/>
      <c r="K224" s="1"/>
      <c r="L224" s="1"/>
      <c r="M224" s="1"/>
      <c r="N224" s="227">
        <f t="shared" si="3"/>
        <v>0</v>
      </c>
      <c r="O224" s="269">
        <f>'8-2.설비자재산출(무인보안)'!J17</f>
        <v>0</v>
      </c>
      <c r="P224" s="1233"/>
      <c r="R224" s="18">
        <v>0</v>
      </c>
    </row>
    <row r="225" spans="1:18" s="18" customFormat="1" ht="24.95" hidden="1" customHeight="1">
      <c r="A225" s="443">
        <f>'8-2.설비자재산출(무인보안)'!C18</f>
        <v>126579</v>
      </c>
      <c r="B225" s="235" t="str">
        <f>'8-2.설비자재산출(무인보안)'!D18</f>
        <v>오디오앰프</v>
      </c>
      <c r="C225" s="235" t="str">
        <f>'8-2.설비자재산출(무인보안)'!E18</f>
        <v>30W, G.711 또는 G729a/b</v>
      </c>
      <c r="D225" s="236" t="str">
        <f>'8-2.설비자재산출(무인보안)'!G18</f>
        <v>개</v>
      </c>
      <c r="E225" s="1">
        <v>741495</v>
      </c>
      <c r="F225" s="1"/>
      <c r="G225" s="1"/>
      <c r="H225" s="1"/>
      <c r="I225" s="1"/>
      <c r="J225" s="1"/>
      <c r="K225" s="1"/>
      <c r="L225" s="1">
        <v>920000</v>
      </c>
      <c r="M225" s="1">
        <v>980000</v>
      </c>
      <c r="N225" s="227">
        <f t="shared" si="3"/>
        <v>650639.61765000003</v>
      </c>
      <c r="O225" s="1642" t="s">
        <v>3168</v>
      </c>
      <c r="P225" s="1233"/>
      <c r="R225" s="18">
        <v>741495</v>
      </c>
    </row>
    <row r="226" spans="1:18" s="18" customFormat="1" ht="24.95" hidden="1" customHeight="1">
      <c r="A226" s="443">
        <f>'8-2.설비자재산출(무인보안)'!C19</f>
        <v>126580</v>
      </c>
      <c r="B226" s="235" t="str">
        <f>'8-2.설비자재산출(무인보안)'!D19</f>
        <v>Full-HD PTZ IP카메라(30X)</v>
      </c>
      <c r="C226" s="235" t="str">
        <f>'8-2.설비자재산출(무인보안)'!E19</f>
        <v>30배줌, Onvif 2.0, TTA인증</v>
      </c>
      <c r="D226" s="236" t="str">
        <f>'8-2.설비자재산출(무인보안)'!G19</f>
        <v>대</v>
      </c>
      <c r="E226" s="1">
        <v>2087122</v>
      </c>
      <c r="F226" s="1"/>
      <c r="G226" s="1"/>
      <c r="H226" s="1"/>
      <c r="I226" s="1"/>
      <c r="J226" s="1"/>
      <c r="K226" s="1"/>
      <c r="L226" s="1"/>
      <c r="M226" s="1"/>
      <c r="N226" s="227">
        <f t="shared" si="3"/>
        <v>1831386.9413399999</v>
      </c>
      <c r="O226" s="269" t="s">
        <v>2589</v>
      </c>
      <c r="P226" s="1233"/>
      <c r="R226" s="18">
        <v>2087122</v>
      </c>
    </row>
    <row r="227" spans="1:18" s="18" customFormat="1" ht="24.95" customHeight="1">
      <c r="A227" s="443">
        <f>'8-2.설비자재산출(무인보안)'!C20</f>
        <v>126581</v>
      </c>
      <c r="B227" s="235" t="str">
        <f>'8-2.설비자재산출(무인보안)'!D20</f>
        <v>Full-HD PTZ IP카메라(20X)</v>
      </c>
      <c r="C227" s="235" t="str">
        <f>'8-2.설비자재산출(무인보안)'!E20</f>
        <v>20배줌, Onvif 2.0, TTA인증</v>
      </c>
      <c r="D227" s="236" t="str">
        <f>'8-2.설비자재산출(무인보안)'!G20</f>
        <v>대</v>
      </c>
      <c r="E227" s="1">
        <v>1957584</v>
      </c>
      <c r="F227" s="1"/>
      <c r="G227" s="1"/>
      <c r="H227" s="1"/>
      <c r="I227" s="1"/>
      <c r="J227" s="1"/>
      <c r="K227" s="1">
        <v>1840000</v>
      </c>
      <c r="L227" s="1">
        <v>2200000</v>
      </c>
      <c r="M227" s="1">
        <v>1950000</v>
      </c>
      <c r="N227" s="227">
        <f t="shared" si="3"/>
        <v>1614544.8</v>
      </c>
      <c r="O227" s="269" t="s">
        <v>2589</v>
      </c>
      <c r="P227" s="1233"/>
      <c r="R227" s="18">
        <v>1840000</v>
      </c>
    </row>
    <row r="228" spans="1:18" s="18" customFormat="1" ht="24.95" hidden="1" customHeight="1">
      <c r="A228" s="443">
        <f>'8-2.설비자재산출(무인보안)'!C21</f>
        <v>0</v>
      </c>
      <c r="B228" s="235" t="str">
        <f>'8-2.설비자재산출(무인보안)'!D21</f>
        <v>Full-HD PTZ IP카메라(20X)</v>
      </c>
      <c r="C228" s="235" t="str">
        <f>'8-2.설비자재산출(무인보안)'!E21</f>
        <v>20배줌, Onvif 2.0</v>
      </c>
      <c r="D228" s="236" t="str">
        <f>'8-2.설비자재산출(무인보안)'!G21</f>
        <v>대</v>
      </c>
      <c r="E228" s="1"/>
      <c r="F228" s="1"/>
      <c r="G228" s="1"/>
      <c r="H228" s="1"/>
      <c r="I228" s="1"/>
      <c r="J228" s="1"/>
      <c r="K228" s="1"/>
      <c r="L228" s="1"/>
      <c r="M228" s="1"/>
      <c r="N228" s="227">
        <f t="shared" si="3"/>
        <v>0</v>
      </c>
      <c r="O228" s="269">
        <f>'8-2.설비자재산출(무인보안)'!J21</f>
        <v>0</v>
      </c>
      <c r="P228" s="1233"/>
      <c r="R228" s="18">
        <v>0</v>
      </c>
    </row>
    <row r="229" spans="1:18" s="18" customFormat="1" ht="24.95" customHeight="1">
      <c r="A229" s="443">
        <f>'8-2.설비자재산출(무인보안)'!C22</f>
        <v>127781</v>
      </c>
      <c r="B229" s="235" t="str">
        <f>'8-2.설비자재산출(무인보안)'!D22</f>
        <v>Full-HD IP카메라(고정형)</v>
      </c>
      <c r="C229" s="235" t="str">
        <f>'8-2.설비자재산출(무인보안)'!E22</f>
        <v>4배줌, Onvif 2.0, TTA인증</v>
      </c>
      <c r="D229" s="236" t="str">
        <f>'8-2.설비자재산출(무인보안)'!G22</f>
        <v>대</v>
      </c>
      <c r="E229" s="1">
        <v>795303</v>
      </c>
      <c r="F229" s="1"/>
      <c r="G229" s="1"/>
      <c r="H229" s="1"/>
      <c r="I229" s="1"/>
      <c r="J229" s="1"/>
      <c r="K229" s="1">
        <v>820000</v>
      </c>
      <c r="L229" s="1">
        <v>1000000</v>
      </c>
      <c r="M229" s="1">
        <v>1100000</v>
      </c>
      <c r="N229" s="227">
        <f t="shared" si="3"/>
        <v>697854.52341000002</v>
      </c>
      <c r="O229" s="269" t="s">
        <v>2589</v>
      </c>
      <c r="P229" s="1233"/>
      <c r="R229" s="18">
        <v>795303</v>
      </c>
    </row>
    <row r="230" spans="1:18" s="18" customFormat="1" ht="24.95" customHeight="1">
      <c r="A230" s="443">
        <f>'8-2.설비자재산출(무인보안)'!C23</f>
        <v>126582</v>
      </c>
      <c r="B230" s="235" t="str">
        <f>'8-2.설비자재산출(무인보안)'!D23</f>
        <v>19인치 랙(내진형)</v>
      </c>
      <c r="C230" s="235" t="str">
        <f>'8-2.설비자재산출(무인보안)'!E23</f>
        <v>내진형, 600×750×2000</v>
      </c>
      <c r="D230" s="236" t="str">
        <f>'8-2.설비자재산출(무인보안)'!G23</f>
        <v>대</v>
      </c>
      <c r="E230" s="1">
        <v>2019739</v>
      </c>
      <c r="F230" s="1"/>
      <c r="G230" s="1"/>
      <c r="H230" s="1"/>
      <c r="I230" s="1"/>
      <c r="J230" s="1"/>
      <c r="K230" s="1">
        <v>2940000</v>
      </c>
      <c r="L230" s="1">
        <v>3020000</v>
      </c>
      <c r="M230" s="1">
        <v>2800000</v>
      </c>
      <c r="N230" s="227">
        <f t="shared" si="3"/>
        <v>1772260.3803299998</v>
      </c>
      <c r="O230" s="269" t="s">
        <v>2589</v>
      </c>
      <c r="P230" s="1233"/>
      <c r="R230" s="18">
        <v>2019739</v>
      </c>
    </row>
    <row r="231" spans="1:18" s="18" customFormat="1" ht="24.95" hidden="1" customHeight="1">
      <c r="A231" s="443">
        <f>'8-2.설비자재산출(무인보안)'!C24</f>
        <v>126583</v>
      </c>
      <c r="B231" s="235" t="str">
        <f>'8-2.설비자재산출(무인보안)'!D24</f>
        <v>카메라함체</v>
      </c>
      <c r="C231" s="235" t="str">
        <f>'8-2.설비자재산출(무인보안)'!E24</f>
        <v>방수형, Stainless</v>
      </c>
      <c r="D231" s="236" t="str">
        <f>'8-2.설비자재산출(무인보안)'!G24</f>
        <v>대</v>
      </c>
      <c r="E231" s="1">
        <v>380331</v>
      </c>
      <c r="F231" s="1"/>
      <c r="G231" s="1"/>
      <c r="H231" s="1"/>
      <c r="I231" s="1"/>
      <c r="J231" s="1"/>
      <c r="K231" s="1"/>
      <c r="L231" s="1"/>
      <c r="M231" s="1"/>
      <c r="N231" s="227">
        <f t="shared" si="3"/>
        <v>333729.04256999999</v>
      </c>
      <c r="O231" s="269" t="s">
        <v>2589</v>
      </c>
      <c r="P231" s="1233"/>
      <c r="R231" s="18">
        <v>380331</v>
      </c>
    </row>
    <row r="232" spans="1:18" s="18" customFormat="1" ht="24.95" hidden="1" customHeight="1">
      <c r="A232" s="443">
        <f>'8-2.설비자재산출(무인보안)'!C25</f>
        <v>126584</v>
      </c>
      <c r="B232" s="235" t="str">
        <f>'8-2.설비자재산출(무인보안)'!D25</f>
        <v>네트워크장치함체</v>
      </c>
      <c r="C232" s="235" t="str">
        <f>'8-2.설비자재산출(무인보안)'!E25</f>
        <v>네트웍 방수형, Stainless</v>
      </c>
      <c r="D232" s="236" t="str">
        <f>'8-2.설비자재산출(무인보안)'!G25</f>
        <v>대</v>
      </c>
      <c r="E232" s="1">
        <v>399188</v>
      </c>
      <c r="F232" s="1"/>
      <c r="G232" s="1"/>
      <c r="H232" s="1"/>
      <c r="I232" s="1"/>
      <c r="J232" s="1"/>
      <c r="K232" s="1"/>
      <c r="L232" s="1"/>
      <c r="M232" s="1"/>
      <c r="N232" s="227">
        <f t="shared" si="3"/>
        <v>350275.49436000001</v>
      </c>
      <c r="O232" s="269" t="s">
        <v>2589</v>
      </c>
      <c r="P232" s="1233"/>
      <c r="R232" s="18">
        <v>399188</v>
      </c>
    </row>
    <row r="233" spans="1:18" s="18" customFormat="1" ht="24.95" customHeight="1">
      <c r="A233" s="443">
        <f>'8-2.설비자재산출(무인보안)'!C26</f>
        <v>126585</v>
      </c>
      <c r="B233" s="235" t="str">
        <f>'8-2.설비자재산출(무인보안)'!D26</f>
        <v>카메라 지지대</v>
      </c>
      <c r="C233" s="235" t="str">
        <f>'8-2.설비자재산출(무인보안)'!E26</f>
        <v>일반형, W165 X H6000 X T5mm, 안전작업대 포함</v>
      </c>
      <c r="D233" s="236" t="str">
        <f>'8-2.설비자재산출(무인보안)'!G26</f>
        <v>대</v>
      </c>
      <c r="E233" s="1">
        <v>2124529</v>
      </c>
      <c r="F233" s="1"/>
      <c r="G233" s="1"/>
      <c r="H233" s="1"/>
      <c r="I233" s="1"/>
      <c r="J233" s="1"/>
      <c r="K233" s="1">
        <v>2250000</v>
      </c>
      <c r="L233" s="1">
        <v>2300000</v>
      </c>
      <c r="M233" s="1">
        <v>2500000</v>
      </c>
      <c r="N233" s="227">
        <f t="shared" si="3"/>
        <v>1864210.46163</v>
      </c>
      <c r="O233" s="269" t="s">
        <v>2589</v>
      </c>
      <c r="P233" s="1233"/>
      <c r="R233" s="18">
        <v>2124529</v>
      </c>
    </row>
    <row r="234" spans="1:18" s="18" customFormat="1" ht="24.95" hidden="1" customHeight="1">
      <c r="A234" s="443"/>
      <c r="B234" s="235" t="str">
        <f>'8-2.설비자재산출(무인보안)'!D27</f>
        <v>ㄷ'자 카메라 폴대</v>
      </c>
      <c r="C234" s="235" t="str">
        <f>'8-2.설비자재산출(무인보안)'!E27</f>
        <v>일반형, W700 X H700 X 200</v>
      </c>
      <c r="D234" s="236" t="str">
        <f>'8-2.설비자재산출(무인보안)'!G27</f>
        <v>대</v>
      </c>
      <c r="E234" s="1"/>
      <c r="F234" s="1"/>
      <c r="G234" s="1"/>
      <c r="H234" s="1"/>
      <c r="I234" s="1"/>
      <c r="J234" s="1"/>
      <c r="K234" s="1">
        <v>500000</v>
      </c>
      <c r="L234" s="1"/>
      <c r="M234" s="1"/>
      <c r="N234" s="227">
        <f t="shared" si="3"/>
        <v>438735</v>
      </c>
      <c r="O234" s="269" t="s">
        <v>1752</v>
      </c>
      <c r="P234" s="1233"/>
      <c r="R234" s="18">
        <v>500000</v>
      </c>
    </row>
    <row r="235" spans="1:18" s="18" customFormat="1" ht="24.95" hidden="1" customHeight="1">
      <c r="A235" s="443">
        <f>'8-2.설비자재산출(무인보안)'!C28</f>
        <v>0</v>
      </c>
      <c r="B235" s="235" t="str">
        <f>'8-2.설비자재산출(무인보안)'!D28</f>
        <v>스마트 카메라 지지대</v>
      </c>
      <c r="C235" s="235" t="str">
        <f>'8-2.설비자재산출(무인보안)'!E28</f>
        <v>일반형, W165 X H6000 X T5mm</v>
      </c>
      <c r="D235" s="236" t="str">
        <f>'8-2.설비자재산출(무인보안)'!G28</f>
        <v>대</v>
      </c>
      <c r="E235" s="1"/>
      <c r="F235" s="1"/>
      <c r="G235" s="1"/>
      <c r="H235" s="1"/>
      <c r="I235" s="1"/>
      <c r="J235" s="1"/>
      <c r="K235" s="1"/>
      <c r="L235" s="1"/>
      <c r="M235" s="1"/>
      <c r="N235" s="227">
        <f t="shared" si="3"/>
        <v>0</v>
      </c>
      <c r="O235" s="269" t="s">
        <v>1752</v>
      </c>
      <c r="P235" s="1233"/>
      <c r="R235" s="18">
        <v>0</v>
      </c>
    </row>
    <row r="236" spans="1:18" s="18" customFormat="1" ht="24.95" customHeight="1">
      <c r="A236" s="443">
        <f>'8-2.설비자재산출(무인보안)'!C29</f>
        <v>127030</v>
      </c>
      <c r="B236" s="235" t="str">
        <f>'8-2.설비자재산출(무인보안)'!D29</f>
        <v>카메라리프트(옥내)</v>
      </c>
      <c r="C236" s="235" t="str">
        <f>'8-2.설비자재산출(무인보안)'!E29</f>
        <v>카메라 승하강 동작, 자동, 수동</v>
      </c>
      <c r="D236" s="236" t="str">
        <f>'8-2.설비자재산출(무인보안)'!G29</f>
        <v>대</v>
      </c>
      <c r="E236" s="1">
        <v>3093701</v>
      </c>
      <c r="F236" s="1"/>
      <c r="G236" s="1"/>
      <c r="H236" s="1"/>
      <c r="I236" s="1"/>
      <c r="J236" s="1"/>
      <c r="K236" s="1">
        <v>4000000</v>
      </c>
      <c r="L236" s="1">
        <v>4100000</v>
      </c>
      <c r="M236" s="1">
        <v>3900000</v>
      </c>
      <c r="N236" s="227">
        <f t="shared" si="3"/>
        <v>2714629.81647</v>
      </c>
      <c r="O236" s="269" t="s">
        <v>2589</v>
      </c>
      <c r="P236" s="1233"/>
      <c r="R236" s="18">
        <v>3093701</v>
      </c>
    </row>
    <row r="237" spans="1:18" s="18" customFormat="1" ht="24.95" customHeight="1">
      <c r="A237" s="443">
        <v>127780</v>
      </c>
      <c r="B237" s="235" t="str">
        <f>'8-2.설비자재산출(무인보안)'!D30</f>
        <v>카메라리프트</v>
      </c>
      <c r="C237" s="235" t="str">
        <f>'8-2.설비자재산출(무인보안)'!E30</f>
        <v>카메라 승하강 동작, 자동, 수동, 방수, 6m 이하</v>
      </c>
      <c r="D237" s="236" t="str">
        <f>'8-2.설비자재산출(무인보안)'!G30</f>
        <v>대</v>
      </c>
      <c r="E237" s="1">
        <v>4876170</v>
      </c>
      <c r="F237" s="1"/>
      <c r="G237" s="1"/>
      <c r="H237" s="1"/>
      <c r="I237" s="1"/>
      <c r="J237" s="1"/>
      <c r="K237" s="1">
        <v>5600000</v>
      </c>
      <c r="L237" s="1">
        <v>5600000</v>
      </c>
      <c r="M237" s="1">
        <v>5600000</v>
      </c>
      <c r="N237" s="227">
        <f t="shared" si="3"/>
        <v>4278692.8898999998</v>
      </c>
      <c r="O237" s="269" t="s">
        <v>2589</v>
      </c>
      <c r="P237" s="1233"/>
      <c r="R237" s="18">
        <v>4876170</v>
      </c>
    </row>
    <row r="238" spans="1:18" s="18" customFormat="1" ht="24.95" customHeight="1">
      <c r="A238" s="443">
        <f>'8-2.설비자재산출(무인보안)'!C31</f>
        <v>126586</v>
      </c>
      <c r="B238" s="235" t="str">
        <f>'8-2.설비자재산출(무인보안)'!D31</f>
        <v>주전원공급장치</v>
      </c>
      <c r="C238" s="235" t="str">
        <f>'8-2.설비자재산출(무인보안)'!E31</f>
        <v>AC220V 60Hz, 8채널</v>
      </c>
      <c r="D238" s="236" t="str">
        <f>'8-2.설비자재산출(무인보안)'!G31</f>
        <v>대</v>
      </c>
      <c r="E238" s="1">
        <v>2086227</v>
      </c>
      <c r="F238" s="1"/>
      <c r="G238" s="1"/>
      <c r="H238" s="1"/>
      <c r="I238" s="1"/>
      <c r="J238" s="1"/>
      <c r="K238" s="1">
        <v>2200000</v>
      </c>
      <c r="L238" s="1">
        <v>2280000</v>
      </c>
      <c r="M238" s="1">
        <v>2300000</v>
      </c>
      <c r="N238" s="227">
        <f t="shared" si="3"/>
        <v>1830601.6056899999</v>
      </c>
      <c r="O238" s="269" t="s">
        <v>2589</v>
      </c>
      <c r="P238" s="1233"/>
      <c r="R238" s="18">
        <v>2086227</v>
      </c>
    </row>
    <row r="239" spans="1:18" s="18" customFormat="1" ht="24.95" hidden="1" customHeight="1">
      <c r="A239" s="443">
        <f>'8-2.설비자재산출(무인보안)'!C32</f>
        <v>126587</v>
      </c>
      <c r="B239" s="235" t="str">
        <f>'8-2.설비자재산출(무인보안)'!D32</f>
        <v>전원분배기</v>
      </c>
      <c r="C239" s="235" t="str">
        <f>'8-2.설비자재산출(무인보안)'!E32</f>
        <v>AC220V, 8채널</v>
      </c>
      <c r="D239" s="236" t="str">
        <f>'8-2.설비자재산출(무인보안)'!G32</f>
        <v>대</v>
      </c>
      <c r="E239" s="1">
        <v>869161</v>
      </c>
      <c r="F239" s="1"/>
      <c r="G239" s="1"/>
      <c r="H239" s="1"/>
      <c r="I239" s="1"/>
      <c r="J239" s="1"/>
      <c r="K239" s="1"/>
      <c r="L239" s="1"/>
      <c r="M239" s="1"/>
      <c r="N239" s="227">
        <f t="shared" si="3"/>
        <v>762662.70267000003</v>
      </c>
      <c r="O239" s="269" t="s">
        <v>2589</v>
      </c>
      <c r="P239" s="1233"/>
      <c r="R239" s="18">
        <v>869161</v>
      </c>
    </row>
    <row r="240" spans="1:18" s="18" customFormat="1" ht="24.95" customHeight="1">
      <c r="A240" s="443">
        <f>'8-2.설비자재산출(무인보안)'!C33</f>
        <v>126588</v>
      </c>
      <c r="B240" s="235" t="str">
        <f>'8-2.설비자재산출(무인보안)'!D33</f>
        <v>서지전원장치</v>
      </c>
      <c r="C240" s="235" t="str">
        <f>'8-2.설비자재산출(무인보안)'!E33</f>
        <v>AC220V, 60Hz, 40KA, KS인증제품</v>
      </c>
      <c r="D240" s="236" t="str">
        <f>'8-2.설비자재산출(무인보안)'!G33</f>
        <v>개</v>
      </c>
      <c r="E240" s="1">
        <v>675940</v>
      </c>
      <c r="F240" s="1"/>
      <c r="G240" s="1"/>
      <c r="H240" s="1"/>
      <c r="I240" s="1"/>
      <c r="J240" s="1"/>
      <c r="K240" s="1">
        <v>730000</v>
      </c>
      <c r="L240" s="1">
        <v>752000</v>
      </c>
      <c r="M240" s="1">
        <v>850000</v>
      </c>
      <c r="N240" s="227">
        <f t="shared" si="3"/>
        <v>593117.07180000003</v>
      </c>
      <c r="O240" s="269" t="s">
        <v>2589</v>
      </c>
      <c r="P240" s="1233"/>
      <c r="R240" s="18">
        <v>675940</v>
      </c>
    </row>
    <row r="241" spans="1:18" s="18" customFormat="1" ht="24.95" customHeight="1">
      <c r="A241" s="443">
        <f>'8-2.설비자재산출(무인보안)'!C34</f>
        <v>126589</v>
      </c>
      <c r="B241" s="235" t="str">
        <f>'8-2.설비자재산출(무인보안)'!D34</f>
        <v>경보주장치</v>
      </c>
      <c r="C241" s="235" t="str">
        <f>'8-2.설비자재산출(무인보안)'!E34</f>
        <v>터치형 7인치 LCD(16DI*1, 16DO*2)</v>
      </c>
      <c r="D241" s="236" t="str">
        <f>'8-2.설비자재산출(무인보안)'!G34</f>
        <v>대</v>
      </c>
      <c r="E241" s="1">
        <v>3689628</v>
      </c>
      <c r="F241" s="1"/>
      <c r="G241" s="1"/>
      <c r="H241" s="1"/>
      <c r="I241" s="1"/>
      <c r="J241" s="1"/>
      <c r="K241" s="1">
        <v>3800000</v>
      </c>
      <c r="L241" s="1">
        <v>3950000</v>
      </c>
      <c r="M241" s="1">
        <v>4800000</v>
      </c>
      <c r="N241" s="227">
        <f t="shared" si="3"/>
        <v>3237537.8811599999</v>
      </c>
      <c r="O241" s="269" t="s">
        <v>2589</v>
      </c>
      <c r="P241" s="1233"/>
      <c r="R241" s="18">
        <v>3689628</v>
      </c>
    </row>
    <row r="242" spans="1:18" s="18" customFormat="1" ht="24.95" customHeight="1">
      <c r="A242" s="443">
        <f>'8-2.설비자재산출(무인보안)'!C35</f>
        <v>128131</v>
      </c>
      <c r="B242" s="235" t="str">
        <f>'8-2.설비자재산출(무인보안)'!D35</f>
        <v>컴팩트 LCD 출입리더기</v>
      </c>
      <c r="C242" s="235" t="str">
        <f>'8-2.설비자재산출(무인보안)'!E35</f>
        <v>번호, RF카드, 지문인식(OR, AND인증 설정지원), 상태표시창</v>
      </c>
      <c r="D242" s="236" t="str">
        <f>'8-2.설비자재산출(무인보안)'!G35</f>
        <v>대</v>
      </c>
      <c r="E242" s="1">
        <v>1826943</v>
      </c>
      <c r="F242" s="1"/>
      <c r="G242" s="1"/>
      <c r="H242" s="1"/>
      <c r="I242" s="1"/>
      <c r="J242" s="1"/>
      <c r="K242" s="1">
        <v>1950000</v>
      </c>
      <c r="L242" s="1">
        <v>2070000</v>
      </c>
      <c r="M242" s="1">
        <v>1980000</v>
      </c>
      <c r="N242" s="227">
        <f t="shared" si="3"/>
        <v>1603087.6742099999</v>
      </c>
      <c r="O242" s="269" t="s">
        <v>2589</v>
      </c>
      <c r="P242" s="1233"/>
      <c r="R242" s="18">
        <v>1826943</v>
      </c>
    </row>
    <row r="243" spans="1:18" s="18" customFormat="1" ht="24.95" hidden="1" customHeight="1">
      <c r="A243" s="443">
        <f>'8-2.설비자재산출(무인보안)'!C36</f>
        <v>126591</v>
      </c>
      <c r="B243" s="235" t="str">
        <f>'8-2.설비자재산출(무인보안)'!D36</f>
        <v>출입리더기 함체</v>
      </c>
      <c r="C243" s="235" t="str">
        <f>'8-2.설비자재산출(무인보안)'!E36</f>
        <v>Stainless Steel, Window는 안전접합 유리</v>
      </c>
      <c r="D243" s="236" t="str">
        <f>'8-2.설비자재산출(무인보안)'!G36</f>
        <v>개</v>
      </c>
      <c r="E243" s="1">
        <v>359706</v>
      </c>
      <c r="F243" s="1"/>
      <c r="G243" s="1"/>
      <c r="H243" s="1"/>
      <c r="I243" s="1"/>
      <c r="J243" s="1"/>
      <c r="K243" s="1"/>
      <c r="L243" s="1"/>
      <c r="M243" s="1"/>
      <c r="N243" s="227">
        <f t="shared" si="3"/>
        <v>315631.22382000001</v>
      </c>
      <c r="O243" s="269" t="s">
        <v>2589</v>
      </c>
      <c r="P243" s="1233"/>
      <c r="R243" s="18">
        <v>359706</v>
      </c>
    </row>
    <row r="244" spans="1:18" s="18" customFormat="1" ht="24.95" hidden="1" customHeight="1">
      <c r="A244" s="443">
        <f>'8-2.설비자재산출(무인보안)'!C37</f>
        <v>126592</v>
      </c>
      <c r="B244" s="235" t="str">
        <f>'8-2.설비자재산출(무인보안)'!D37</f>
        <v>E/M Lock</v>
      </c>
      <c r="C244" s="235" t="str">
        <f>'8-2.설비자재산출(무인보안)'!E37</f>
        <v>500㎏ 이상, NO/NC, Com+</v>
      </c>
      <c r="D244" s="236" t="str">
        <f>'8-2.설비자재산출(무인보안)'!G37</f>
        <v>개</v>
      </c>
      <c r="E244" s="1">
        <v>471147</v>
      </c>
      <c r="F244" s="1"/>
      <c r="G244" s="1"/>
      <c r="H244" s="1"/>
      <c r="I244" s="1"/>
      <c r="J244" s="1"/>
      <c r="K244" s="1"/>
      <c r="L244" s="1"/>
      <c r="M244" s="1"/>
      <c r="N244" s="227">
        <f t="shared" si="3"/>
        <v>413417.35808999999</v>
      </c>
      <c r="O244" s="269" t="s">
        <v>2589</v>
      </c>
      <c r="P244" s="1233"/>
      <c r="R244" s="18">
        <v>471147</v>
      </c>
    </row>
    <row r="245" spans="1:18" s="18" customFormat="1" ht="24.95" hidden="1" customHeight="1">
      <c r="A245" s="443">
        <f>'8-2.설비자재산출(무인보안)'!C38</f>
        <v>126593</v>
      </c>
      <c r="B245" s="235" t="str">
        <f>'8-2.설비자재산출(무인보안)'!D38</f>
        <v>퇴실버튼</v>
      </c>
      <c r="C245" s="235" t="str">
        <f>'8-2.설비자재산출(무인보안)'!E38</f>
        <v>벽면부착형</v>
      </c>
      <c r="D245" s="236" t="str">
        <f>'8-2.설비자재산출(무인보안)'!G38</f>
        <v>개</v>
      </c>
      <c r="E245" s="1">
        <v>52524</v>
      </c>
      <c r="F245" s="1"/>
      <c r="G245" s="1"/>
      <c r="H245" s="1"/>
      <c r="I245" s="1"/>
      <c r="J245" s="1"/>
      <c r="K245" s="1"/>
      <c r="L245" s="1"/>
      <c r="M245" s="1"/>
      <c r="N245" s="227">
        <f t="shared" si="3"/>
        <v>46088.234279999997</v>
      </c>
      <c r="O245" s="269" t="s">
        <v>2589</v>
      </c>
      <c r="P245" s="1233"/>
      <c r="R245" s="18">
        <v>52524</v>
      </c>
    </row>
    <row r="246" spans="1:18" s="18" customFormat="1" ht="24.95" hidden="1" customHeight="1">
      <c r="A246" s="443">
        <f>'8-2.설비자재산출(무인보안)'!C39</f>
        <v>126594</v>
      </c>
      <c r="B246" s="235" t="str">
        <f>'8-2.설비자재산출(무인보안)'!D39</f>
        <v>지문등록기</v>
      </c>
      <c r="C246" s="235" t="str">
        <f>'8-2.설비자재산출(무인보안)'!E39</f>
        <v>지문등록</v>
      </c>
      <c r="D246" s="236" t="str">
        <f>'8-2.설비자재산출(무인보안)'!G39</f>
        <v>개</v>
      </c>
      <c r="E246" s="1"/>
      <c r="F246" s="1"/>
      <c r="G246" s="1"/>
      <c r="H246" s="1"/>
      <c r="I246" s="1"/>
      <c r="J246" s="1"/>
      <c r="K246" s="1"/>
      <c r="L246" s="1"/>
      <c r="M246" s="1"/>
      <c r="N246" s="227">
        <f t="shared" si="3"/>
        <v>0</v>
      </c>
      <c r="O246" s="269" t="s">
        <v>1752</v>
      </c>
      <c r="P246" s="1233"/>
      <c r="R246" s="18">
        <v>0</v>
      </c>
    </row>
    <row r="247" spans="1:18" s="18" customFormat="1" ht="24.95" hidden="1" customHeight="1">
      <c r="A247" s="443">
        <f>'8-2.설비자재산출(무인보안)'!C40</f>
        <v>126595</v>
      </c>
      <c r="B247" s="235" t="str">
        <f>'8-2.설비자재산출(무인보안)'!D40</f>
        <v>ID Card</v>
      </c>
      <c r="C247" s="235" t="str">
        <f>'8-2.설비자재산출(무인보안)'!E40</f>
        <v>비접촉 근접식</v>
      </c>
      <c r="D247" s="236" t="str">
        <f>'8-2.설비자재산출(무인보안)'!G40</f>
        <v>개</v>
      </c>
      <c r="E247" s="1"/>
      <c r="F247" s="1"/>
      <c r="G247" s="1"/>
      <c r="H247" s="1"/>
      <c r="I247" s="1"/>
      <c r="J247" s="1"/>
      <c r="K247" s="1"/>
      <c r="L247" s="1"/>
      <c r="M247" s="1"/>
      <c r="N247" s="227">
        <f t="shared" si="3"/>
        <v>0</v>
      </c>
      <c r="O247" s="269" t="s">
        <v>1752</v>
      </c>
      <c r="P247" s="1233"/>
      <c r="R247" s="18">
        <v>0</v>
      </c>
    </row>
    <row r="248" spans="1:18" s="18" customFormat="1" ht="24.95" hidden="1" customHeight="1">
      <c r="A248" s="443">
        <f>'8-2.설비자재산출(무인보안)'!C41</f>
        <v>126596</v>
      </c>
      <c r="B248" s="235" t="str">
        <f>'8-2.설비자재산출(무인보안)'!D41</f>
        <v>센서수신장치</v>
      </c>
      <c r="C248" s="235" t="str">
        <f>'8-2.설비자재산출(무인보안)'!E41</f>
        <v>자가진단형, 4i-node(4IN 4OUT)</v>
      </c>
      <c r="D248" s="236" t="str">
        <f>'8-2.설비자재산출(무인보안)'!G41</f>
        <v>개</v>
      </c>
      <c r="E248" s="1">
        <v>221118</v>
      </c>
      <c r="F248" s="1"/>
      <c r="G248" s="1"/>
      <c r="H248" s="1"/>
      <c r="I248" s="1"/>
      <c r="J248" s="1"/>
      <c r="K248" s="1"/>
      <c r="L248" s="1"/>
      <c r="M248" s="1"/>
      <c r="N248" s="227">
        <f t="shared" si="3"/>
        <v>194024.41146</v>
      </c>
      <c r="O248" s="269" t="s">
        <v>2589</v>
      </c>
      <c r="P248" s="1233"/>
      <c r="R248" s="18">
        <v>221118</v>
      </c>
    </row>
    <row r="249" spans="1:18" s="18" customFormat="1" ht="24.95" hidden="1" customHeight="1">
      <c r="A249" s="443">
        <f>'8-2.설비자재산출(무인보안)'!C42</f>
        <v>126597</v>
      </c>
      <c r="B249" s="235" t="str">
        <f>'8-2.설비자재산출(무인보안)'!D42</f>
        <v>문 감지기</v>
      </c>
      <c r="C249" s="235" t="str">
        <f>'8-2.설비자재산출(무인보안)'!E42</f>
        <v>(자가진단형)영구자석근접, 전자코일</v>
      </c>
      <c r="D249" s="236" t="str">
        <f>'8-2.설비자재산출(무인보안)'!G42</f>
        <v>조</v>
      </c>
      <c r="E249" s="1">
        <v>56646</v>
      </c>
      <c r="F249" s="1"/>
      <c r="G249" s="1"/>
      <c r="H249" s="1"/>
      <c r="I249" s="1"/>
      <c r="J249" s="1"/>
      <c r="K249" s="1"/>
      <c r="L249" s="1"/>
      <c r="M249" s="1"/>
      <c r="N249" s="227">
        <f t="shared" si="3"/>
        <v>49705.16562</v>
      </c>
      <c r="O249" s="269" t="s">
        <v>2589</v>
      </c>
      <c r="P249" s="1233"/>
      <c r="R249" s="18">
        <v>56646</v>
      </c>
    </row>
    <row r="250" spans="1:18" s="18" customFormat="1" ht="24.95" hidden="1" customHeight="1">
      <c r="A250" s="443"/>
      <c r="B250" s="235" t="str">
        <f>'8-2.설비자재산출(무인보안)'!D43</f>
        <v>문 감지기</v>
      </c>
      <c r="C250" s="235" t="str">
        <f>'8-2.설비자재산출(무인보안)'!E43</f>
        <v>자석근접</v>
      </c>
      <c r="D250" s="236" t="str">
        <f>'8-2.설비자재산출(무인보안)'!G43</f>
        <v>조</v>
      </c>
      <c r="E250" s="1"/>
      <c r="F250" s="1"/>
      <c r="G250" s="1"/>
      <c r="H250" s="1"/>
      <c r="I250" s="1"/>
      <c r="J250" s="1"/>
      <c r="K250" s="1"/>
      <c r="L250" s="1"/>
      <c r="M250" s="1"/>
      <c r="N250" s="227">
        <f t="shared" si="3"/>
        <v>0</v>
      </c>
      <c r="O250" s="269" t="s">
        <v>1752</v>
      </c>
      <c r="P250" s="1233"/>
      <c r="R250" s="18">
        <v>0</v>
      </c>
    </row>
    <row r="251" spans="1:18" s="18" customFormat="1" ht="24.95" hidden="1" customHeight="1">
      <c r="A251" s="443">
        <f>'8-2.설비자재산출(무인보안)'!C44</f>
        <v>126598</v>
      </c>
      <c r="B251" s="235" t="str">
        <f>'8-2.설비자재산출(무인보안)'!D44</f>
        <v>셔터 감지기</v>
      </c>
      <c r="C251" s="235" t="str">
        <f>'8-2.설비자재산출(무인보안)'!E44</f>
        <v>적외선반사, 5-20cm</v>
      </c>
      <c r="D251" s="236" t="str">
        <f>'8-2.설비자재산출(무인보안)'!G44</f>
        <v>조</v>
      </c>
      <c r="E251" s="1">
        <v>112665</v>
      </c>
      <c r="F251" s="1"/>
      <c r="G251" s="1"/>
      <c r="H251" s="1"/>
      <c r="I251" s="1"/>
      <c r="J251" s="1"/>
      <c r="K251" s="1"/>
      <c r="L251" s="1"/>
      <c r="M251" s="1"/>
      <c r="N251" s="227">
        <f t="shared" si="3"/>
        <v>98860.157550000004</v>
      </c>
      <c r="O251" s="269" t="s">
        <v>2589</v>
      </c>
      <c r="P251" s="1233"/>
      <c r="R251" s="18">
        <v>112665</v>
      </c>
    </row>
    <row r="252" spans="1:18" s="18" customFormat="1" ht="24.95" hidden="1" customHeight="1">
      <c r="A252" s="443">
        <f>'8-2.설비자재산출(무인보안)'!C45</f>
        <v>126599</v>
      </c>
      <c r="B252" s="235" t="str">
        <f>'8-2.설비자재산출(무인보안)'!D45</f>
        <v>열선감지기</v>
      </c>
      <c r="C252" s="235" t="str">
        <f>'8-2.설비자재산출(무인보안)'!E45</f>
        <v>(자가진단형)Wide angle 11m</v>
      </c>
      <c r="D252" s="236" t="str">
        <f>'8-2.설비자재산출(무인보안)'!G45</f>
        <v>개</v>
      </c>
      <c r="E252" s="1">
        <v>153635</v>
      </c>
      <c r="F252" s="1"/>
      <c r="G252" s="1"/>
      <c r="H252" s="1"/>
      <c r="I252" s="1"/>
      <c r="J252" s="1"/>
      <c r="K252" s="1"/>
      <c r="L252" s="1"/>
      <c r="M252" s="1"/>
      <c r="N252" s="227">
        <f t="shared" si="3"/>
        <v>134810.10345</v>
      </c>
      <c r="O252" s="269" t="s">
        <v>2589</v>
      </c>
      <c r="P252" s="1233"/>
      <c r="R252" s="18">
        <v>153635</v>
      </c>
    </row>
    <row r="253" spans="1:18" s="18" customFormat="1" ht="24.95" hidden="1" customHeight="1">
      <c r="A253" s="443"/>
      <c r="B253" s="235" t="str">
        <f>'8-2.설비자재산출(무인보안)'!D46</f>
        <v>열선감지기</v>
      </c>
      <c r="C253" s="235" t="str">
        <f>'8-2.설비자재산출(무인보안)'!E46</f>
        <v>Wide angle 11m</v>
      </c>
      <c r="D253" s="236" t="str">
        <f>'8-2.설비자재산출(무인보안)'!G46</f>
        <v>개</v>
      </c>
      <c r="E253" s="1"/>
      <c r="F253" s="1"/>
      <c r="G253" s="1"/>
      <c r="H253" s="1"/>
      <c r="I253" s="1"/>
      <c r="J253" s="1"/>
      <c r="K253" s="1"/>
      <c r="L253" s="1"/>
      <c r="M253" s="1"/>
      <c r="N253" s="227">
        <f t="shared" si="3"/>
        <v>0</v>
      </c>
      <c r="O253" s="269" t="s">
        <v>1752</v>
      </c>
      <c r="P253" s="1233"/>
      <c r="R253" s="18">
        <v>0</v>
      </c>
    </row>
    <row r="254" spans="1:18" s="18" customFormat="1" ht="24.95" hidden="1" customHeight="1">
      <c r="A254" s="443">
        <f>'8-2.설비자재산출(무인보안)'!C47</f>
        <v>126600</v>
      </c>
      <c r="B254" s="235" t="str">
        <f>'8-2.설비자재산출(무인보안)'!D47</f>
        <v>마이크로웨이브(단거리용)</v>
      </c>
      <c r="C254" s="235" t="str">
        <f>'8-2.설비자재산출(무인보안)'!E47</f>
        <v>단거리용_50m</v>
      </c>
      <c r="D254" s="236" t="str">
        <f>'8-2.설비자재산출(무인보안)'!G47</f>
        <v>조</v>
      </c>
      <c r="E254" s="1">
        <v>647818</v>
      </c>
      <c r="F254" s="1"/>
      <c r="G254" s="1"/>
      <c r="H254" s="1"/>
      <c r="I254" s="1"/>
      <c r="J254" s="1"/>
      <c r="K254" s="1"/>
      <c r="L254" s="1"/>
      <c r="M254" s="1"/>
      <c r="N254" s="227">
        <f t="shared" si="3"/>
        <v>568440.86046</v>
      </c>
      <c r="O254" s="269" t="s">
        <v>2589</v>
      </c>
      <c r="P254" s="1233"/>
      <c r="R254" s="18">
        <v>647818</v>
      </c>
    </row>
    <row r="255" spans="1:18" s="18" customFormat="1" ht="24.95" hidden="1" customHeight="1">
      <c r="A255" s="443">
        <f>'8-2.설비자재산출(무인보안)'!C48</f>
        <v>126601</v>
      </c>
      <c r="B255" s="235" t="str">
        <f>'8-2.설비자재산출(무인보안)'!D48</f>
        <v>마이크로웨이브(중장거리용)</v>
      </c>
      <c r="C255" s="235" t="str">
        <f>'8-2.설비자재산출(무인보안)'!E48</f>
        <v>중장거리용_100m</v>
      </c>
      <c r="D255" s="236" t="str">
        <f>'8-2.설비자재산출(무인보안)'!G48</f>
        <v>조</v>
      </c>
      <c r="E255" s="1">
        <v>704660</v>
      </c>
      <c r="F255" s="1"/>
      <c r="G255" s="1"/>
      <c r="H255" s="1"/>
      <c r="I255" s="1"/>
      <c r="J255" s="1"/>
      <c r="K255" s="1"/>
      <c r="L255" s="1"/>
      <c r="M255" s="1"/>
      <c r="N255" s="227">
        <f t="shared" si="3"/>
        <v>618318.01020000002</v>
      </c>
      <c r="O255" s="269" t="s">
        <v>2589</v>
      </c>
      <c r="P255" s="1233"/>
      <c r="R255" s="18">
        <v>704660</v>
      </c>
    </row>
    <row r="256" spans="1:18" s="18" customFormat="1" ht="24.95" hidden="1" customHeight="1">
      <c r="A256" s="443"/>
      <c r="B256" s="235" t="str">
        <f>'8-2.설비자재산출(무인보안)'!D49</f>
        <v>스마트레이더감지기(송,수)</v>
      </c>
      <c r="C256" s="235" t="str">
        <f>'8-2.설비자재산출(무인보안)'!E49</f>
        <v>송-감지거리 50m, 2CH/ 수-1CH</v>
      </c>
      <c r="D256" s="236" t="str">
        <f>'8-2.설비자재산출(무인보안)'!G49</f>
        <v>조</v>
      </c>
      <c r="E256" s="1"/>
      <c r="F256" s="1"/>
      <c r="G256" s="1"/>
      <c r="H256" s="1"/>
      <c r="I256" s="1"/>
      <c r="J256" s="1"/>
      <c r="K256" s="1"/>
      <c r="L256" s="1"/>
      <c r="M256" s="1"/>
      <c r="N256" s="227">
        <f t="shared" si="3"/>
        <v>0</v>
      </c>
      <c r="O256" s="269" t="s">
        <v>1752</v>
      </c>
      <c r="P256" s="1233"/>
      <c r="R256" s="18">
        <v>0</v>
      </c>
    </row>
    <row r="257" spans="1:18" s="18" customFormat="1" ht="24.95" hidden="1" customHeight="1">
      <c r="A257" s="443"/>
      <c r="B257" s="235" t="str">
        <f>'8-2.설비자재산출(무인보안)'!D50</f>
        <v>적외선감지기</v>
      </c>
      <c r="C257" s="235" t="str">
        <f>'8-2.설비자재산출(무인보안)'!E50</f>
        <v>2빔_30m</v>
      </c>
      <c r="D257" s="236" t="str">
        <f>'8-2.설비자재산출(무인보안)'!G50</f>
        <v>조</v>
      </c>
      <c r="E257" s="1"/>
      <c r="F257" s="1"/>
      <c r="G257" s="1"/>
      <c r="H257" s="1"/>
      <c r="I257" s="1"/>
      <c r="J257" s="1"/>
      <c r="K257" s="1"/>
      <c r="L257" s="1"/>
      <c r="M257" s="1"/>
      <c r="N257" s="227">
        <f t="shared" si="3"/>
        <v>0</v>
      </c>
      <c r="O257" s="269" t="s">
        <v>1752</v>
      </c>
      <c r="P257" s="1233"/>
      <c r="R257" s="18">
        <v>0</v>
      </c>
    </row>
    <row r="258" spans="1:18" s="18" customFormat="1" ht="24.95" hidden="1" customHeight="1">
      <c r="A258" s="443">
        <f>'8-2.설비자재산출(무인보안)'!C51</f>
        <v>124745</v>
      </c>
      <c r="B258" s="235" t="str">
        <f>'8-2.설비자재산출(무인보안)'!D51</f>
        <v>적외선감지기(단거리용)</v>
      </c>
      <c r="C258" s="235" t="str">
        <f>'8-2.설비자재산출(무인보안)'!E51</f>
        <v>단거리용_100m</v>
      </c>
      <c r="D258" s="236" t="str">
        <f>'8-2.설비자재산출(무인보안)'!G51</f>
        <v>조</v>
      </c>
      <c r="E258" s="1">
        <v>473382</v>
      </c>
      <c r="F258" s="1"/>
      <c r="G258" s="1"/>
      <c r="H258" s="1"/>
      <c r="I258" s="1"/>
      <c r="J258" s="1"/>
      <c r="K258" s="1"/>
      <c r="L258" s="1"/>
      <c r="M258" s="1"/>
      <c r="N258" s="227">
        <f t="shared" si="3"/>
        <v>415378.50354000001</v>
      </c>
      <c r="O258" s="269" t="s">
        <v>2589</v>
      </c>
      <c r="P258" s="1233"/>
      <c r="R258" s="18">
        <v>473382</v>
      </c>
    </row>
    <row r="259" spans="1:18" s="18" customFormat="1" ht="24.95" hidden="1" customHeight="1">
      <c r="A259" s="443">
        <f>'8-2.설비자재산출(무인보안)'!C52</f>
        <v>124746</v>
      </c>
      <c r="B259" s="235" t="str">
        <f>'8-2.설비자재산출(무인보안)'!D52</f>
        <v>적외선감지기(중장거리용)</v>
      </c>
      <c r="C259" s="235" t="str">
        <f>'8-2.설비자재산출(무인보안)'!E52</f>
        <v>중장거리용_200m</v>
      </c>
      <c r="D259" s="236" t="str">
        <f>'8-2.설비자재산출(무인보안)'!G52</f>
        <v>조</v>
      </c>
      <c r="E259" s="1">
        <v>487525</v>
      </c>
      <c r="F259" s="1"/>
      <c r="G259" s="1"/>
      <c r="H259" s="1"/>
      <c r="I259" s="1"/>
      <c r="J259" s="1"/>
      <c r="K259" s="1"/>
      <c r="L259" s="1"/>
      <c r="M259" s="1"/>
      <c r="N259" s="227">
        <f t="shared" si="3"/>
        <v>427788.56174999999</v>
      </c>
      <c r="O259" s="269" t="s">
        <v>2589</v>
      </c>
      <c r="P259" s="1233"/>
      <c r="R259" s="18">
        <v>487525</v>
      </c>
    </row>
    <row r="260" spans="1:18" s="18" customFormat="1" ht="24.95" customHeight="1">
      <c r="A260" s="443">
        <f>'8-2.설비자재산출(무인보안)'!C53</f>
        <v>126336</v>
      </c>
      <c r="B260" s="235" t="str">
        <f>'8-2.설비자재산출(무인보안)'!D53</f>
        <v xml:space="preserve">광이더넷스위치  </v>
      </c>
      <c r="C260" s="235" t="str">
        <f>'8-2.설비자재산출(무인보안)'!E53</f>
        <v>광4포트, LAN24포트, RACK Type, 광모듈포함</v>
      </c>
      <c r="D260" s="236" t="str">
        <f>'8-2.설비자재산출(무인보안)'!G53</f>
        <v>대</v>
      </c>
      <c r="E260" s="1">
        <v>1562311</v>
      </c>
      <c r="F260" s="1"/>
      <c r="G260" s="1"/>
      <c r="H260" s="1"/>
      <c r="I260" s="1"/>
      <c r="J260" s="1"/>
      <c r="K260" s="1">
        <v>1700000</v>
      </c>
      <c r="L260" s="1">
        <v>1880000</v>
      </c>
      <c r="M260" s="1">
        <v>1950000</v>
      </c>
      <c r="N260" s="227">
        <f t="shared" si="3"/>
        <v>1370881.03317</v>
      </c>
      <c r="O260" s="269" t="s">
        <v>2589</v>
      </c>
      <c r="P260" s="1233"/>
      <c r="R260" s="18">
        <v>1562311</v>
      </c>
    </row>
    <row r="261" spans="1:18" s="18" customFormat="1" ht="24.95" customHeight="1">
      <c r="A261" s="443">
        <f>'8-2.설비자재산출(무인보안)'!C54</f>
        <v>126335</v>
      </c>
      <c r="B261" s="235" t="str">
        <f>'8-2.설비자재산출(무인보안)'!D54</f>
        <v>광이더넷스위치</v>
      </c>
      <c r="C261" s="235" t="str">
        <f>'8-2.설비자재산출(무인보안)'!E54</f>
        <v>광4포트, LAN8포트, 광모듈포함(함체설치브라켓제작필요)</v>
      </c>
      <c r="D261" s="236" t="str">
        <f>'8-2.설비자재산출(무인보안)'!G54</f>
        <v>대</v>
      </c>
      <c r="E261" s="1">
        <v>767129</v>
      </c>
      <c r="F261" s="1"/>
      <c r="G261" s="1"/>
      <c r="H261" s="1"/>
      <c r="I261" s="1"/>
      <c r="J261" s="1"/>
      <c r="K261" s="1">
        <v>800000</v>
      </c>
      <c r="L261" s="1">
        <v>890000</v>
      </c>
      <c r="M261" s="1"/>
      <c r="N261" s="227">
        <f t="shared" si="3"/>
        <v>673132.68362999998</v>
      </c>
      <c r="O261" s="269" t="s">
        <v>2589</v>
      </c>
      <c r="P261" s="1233"/>
      <c r="R261" s="18">
        <v>767129</v>
      </c>
    </row>
    <row r="262" spans="1:18" s="18" customFormat="1" ht="24.95" hidden="1" customHeight="1">
      <c r="A262" s="443"/>
      <c r="B262" s="235" t="str">
        <f>'8-2.설비자재산출(무인보안)'!D55</f>
        <v>스위칭허브</v>
      </c>
      <c r="C262" s="235" t="str">
        <f>'8-2.설비자재산출(무인보안)'!E55</f>
        <v>미니기가허브, 8포트</v>
      </c>
      <c r="D262" s="236" t="str">
        <f>'8-2.설비자재산출(무인보안)'!G55</f>
        <v>대</v>
      </c>
      <c r="E262" s="1"/>
      <c r="F262" s="1"/>
      <c r="G262" s="1"/>
      <c r="H262" s="1"/>
      <c r="I262" s="1"/>
      <c r="J262" s="1"/>
      <c r="K262" s="1"/>
      <c r="L262" s="1"/>
      <c r="M262" s="1"/>
      <c r="N262" s="227">
        <f t="shared" si="3"/>
        <v>0</v>
      </c>
      <c r="O262" s="269"/>
      <c r="P262" s="1233"/>
      <c r="R262" s="18">
        <v>0</v>
      </c>
    </row>
    <row r="263" spans="1:18" s="18" customFormat="1" ht="24.95" hidden="1" customHeight="1">
      <c r="A263" s="443">
        <f>'8-2.설비자재산출(무인보안)'!C56</f>
        <v>124242</v>
      </c>
      <c r="B263" s="235" t="str">
        <f>'8-2.설비자재산출(무인보안)'!D56</f>
        <v xml:space="preserve">광이더넷스위치 COT  </v>
      </c>
      <c r="C263" s="235" t="str">
        <f>'8-2.설비자재산출(무인보안)'!E56</f>
        <v>COT, 1Gbps</v>
      </c>
      <c r="D263" s="236" t="str">
        <f>'8-2.설비자재산출(무인보안)'!G56</f>
        <v>대</v>
      </c>
      <c r="E263" s="1"/>
      <c r="F263" s="1"/>
      <c r="G263" s="1"/>
      <c r="H263" s="1"/>
      <c r="I263" s="1"/>
      <c r="J263" s="1"/>
      <c r="K263" s="1"/>
      <c r="L263" s="1"/>
      <c r="M263" s="1"/>
      <c r="N263" s="227">
        <f t="shared" si="3"/>
        <v>0</v>
      </c>
      <c r="O263" s="269"/>
      <c r="P263" s="1233"/>
      <c r="R263" s="18">
        <v>0</v>
      </c>
    </row>
    <row r="264" spans="1:18" s="18" customFormat="1" ht="24.95" hidden="1" customHeight="1">
      <c r="A264" s="443">
        <f>'8-2.설비자재산출(무인보안)'!C57</f>
        <v>124244</v>
      </c>
      <c r="B264" s="235" t="str">
        <f>'8-2.설비자재산출(무인보안)'!D57</f>
        <v xml:space="preserve">광이더넷스위치 RT  </v>
      </c>
      <c r="C264" s="235" t="str">
        <f>'8-2.설비자재산출(무인보안)'!E57</f>
        <v>RT, 1Gbps</v>
      </c>
      <c r="D264" s="236" t="str">
        <f>'8-2.설비자재산출(무인보안)'!G57</f>
        <v>대</v>
      </c>
      <c r="E264" s="1"/>
      <c r="F264" s="1"/>
      <c r="G264" s="1"/>
      <c r="H264" s="1"/>
      <c r="I264" s="1"/>
      <c r="J264" s="1"/>
      <c r="K264" s="1"/>
      <c r="L264" s="1"/>
      <c r="M264" s="1"/>
      <c r="N264" s="227">
        <f t="shared" si="3"/>
        <v>0</v>
      </c>
      <c r="O264" s="269"/>
      <c r="P264" s="1233"/>
      <c r="R264" s="18">
        <v>0</v>
      </c>
    </row>
    <row r="265" spans="1:18" s="18" customFormat="1" ht="24.95" hidden="1" customHeight="1">
      <c r="A265" s="443"/>
      <c r="B265" s="235" t="str">
        <f>'8-2.설비자재산출(무인보안)'!D58</f>
        <v>지문인식 리더기</v>
      </c>
      <c r="C265" s="235" t="str">
        <f>'8-2.설비자재산출(무인보안)'!E58</f>
        <v>전력제어시스템용,번호,카드,지문인식,스마트카드</v>
      </c>
      <c r="D265" s="236" t="str">
        <f>'8-2.설비자재산출(무인보안)'!G58</f>
        <v>대</v>
      </c>
      <c r="E265" s="1"/>
      <c r="F265" s="1"/>
      <c r="G265" s="1"/>
      <c r="H265" s="1"/>
      <c r="I265" s="1"/>
      <c r="J265" s="1"/>
      <c r="K265" s="1"/>
      <c r="L265" s="1"/>
      <c r="M265" s="1"/>
      <c r="N265" s="227">
        <f t="shared" ref="N265:N322" si="4">R265*$R$3</f>
        <v>0</v>
      </c>
      <c r="O265" s="269"/>
      <c r="P265" s="1233"/>
      <c r="R265" s="18">
        <v>0</v>
      </c>
    </row>
    <row r="266" spans="1:18" s="18" customFormat="1" ht="24.95" hidden="1" customHeight="1">
      <c r="A266" s="443"/>
      <c r="B266" s="235" t="str">
        <f>'8-2.설비자재산출(무인보안)'!D60</f>
        <v>카메라 지지대</v>
      </c>
      <c r="C266" s="235" t="str">
        <f>'8-2.설비자재산출(무인보안)'!E60</f>
        <v>환경친화형</v>
      </c>
      <c r="D266" s="236" t="str">
        <f>'8-2.설비자재산출(무인보안)'!G60</f>
        <v>대</v>
      </c>
      <c r="E266" s="1"/>
      <c r="F266" s="1"/>
      <c r="G266" s="1"/>
      <c r="H266" s="1"/>
      <c r="I266" s="1"/>
      <c r="J266" s="1"/>
      <c r="K266" s="1"/>
      <c r="L266" s="1"/>
      <c r="M266" s="1"/>
      <c r="N266" s="227">
        <f t="shared" si="4"/>
        <v>0</v>
      </c>
      <c r="O266" s="269"/>
      <c r="P266" s="1233"/>
      <c r="R266" s="18">
        <v>0</v>
      </c>
    </row>
    <row r="267" spans="1:18" s="18" customFormat="1" ht="24.95" hidden="1" customHeight="1">
      <c r="A267" s="443"/>
      <c r="B267" s="235" t="str">
        <f>'8-2.설비자재산출(무인보안)'!D62</f>
        <v>벽부형브라켓</v>
      </c>
      <c r="C267" s="235" t="str">
        <f>'8-2.설비자재산출(무인보안)'!E62</f>
        <v>벽부형</v>
      </c>
      <c r="D267" s="236" t="str">
        <f>'8-2.설비자재산출(무인보안)'!G62</f>
        <v>개</v>
      </c>
      <c r="E267" s="1"/>
      <c r="F267" s="1"/>
      <c r="G267" s="1"/>
      <c r="H267" s="1">
        <v>1309</v>
      </c>
      <c r="I267" s="1"/>
      <c r="J267" s="1"/>
      <c r="K267" s="1"/>
      <c r="L267" s="1"/>
      <c r="M267" s="1"/>
      <c r="N267" s="227">
        <f t="shared" si="4"/>
        <v>0</v>
      </c>
      <c r="O267" s="269"/>
      <c r="P267" s="1233"/>
      <c r="R267" s="18">
        <v>0</v>
      </c>
    </row>
    <row r="268" spans="1:18" s="18" customFormat="1" ht="24.95" hidden="1" customHeight="1">
      <c r="A268" s="443"/>
      <c r="B268" s="235" t="str">
        <f>'8-2.설비자재산출(무인보안)'!D63</f>
        <v>옥내용 스피커</v>
      </c>
      <c r="C268" s="235" t="str">
        <f>'8-2.설비자재산출(무인보안)'!E63</f>
        <v>컬럼, 20W</v>
      </c>
      <c r="D268" s="236" t="str">
        <f>'8-2.설비자재산출(무인보안)'!G63</f>
        <v>개</v>
      </c>
      <c r="E268" s="1"/>
      <c r="F268" s="1"/>
      <c r="G268" s="1"/>
      <c r="H268" s="1">
        <v>1292</v>
      </c>
      <c r="I268" s="1">
        <v>121000</v>
      </c>
      <c r="J268" s="1" t="s">
        <v>2367</v>
      </c>
      <c r="K268" s="1"/>
      <c r="L268" s="1"/>
      <c r="M268" s="1"/>
      <c r="N268" s="227">
        <f t="shared" si="4"/>
        <v>106173.87</v>
      </c>
      <c r="O268" s="269"/>
      <c r="P268" s="1233"/>
      <c r="R268" s="18">
        <v>121000</v>
      </c>
    </row>
    <row r="269" spans="1:18" s="18" customFormat="1" ht="24.95" customHeight="1">
      <c r="A269" s="443"/>
      <c r="B269" s="235" t="str">
        <f>'8-2.설비자재산출(무인보안)'!D64</f>
        <v>옥외용 스피커</v>
      </c>
      <c r="C269" s="235" t="str">
        <f>'8-2.설비자재산출(무인보안)'!E64</f>
        <v>컬럼, 30W</v>
      </c>
      <c r="D269" s="236" t="str">
        <f>'8-2.설비자재산출(무인보안)'!G64</f>
        <v>개</v>
      </c>
      <c r="E269" s="1"/>
      <c r="F269" s="1"/>
      <c r="G269" s="1"/>
      <c r="H269" s="1"/>
      <c r="I269" s="1"/>
      <c r="J269" s="1"/>
      <c r="K269" s="1">
        <v>170000</v>
      </c>
      <c r="L269" s="1">
        <v>168000</v>
      </c>
      <c r="M269" s="1">
        <v>250000</v>
      </c>
      <c r="N269" s="227">
        <f t="shared" si="4"/>
        <v>147414.96</v>
      </c>
      <c r="O269" s="269" t="s">
        <v>1752</v>
      </c>
      <c r="P269" s="1233"/>
      <c r="R269" s="18">
        <v>168000</v>
      </c>
    </row>
    <row r="270" spans="1:18" s="18" customFormat="1" ht="24.95" hidden="1" customHeight="1">
      <c r="A270" s="443"/>
      <c r="B270" s="235" t="str">
        <f>'8-2.설비자재산출(무인보안)'!D65</f>
        <v>카메라 지지대</v>
      </c>
      <c r="C270" s="235" t="str">
        <f>'8-2.설비자재산출(무인보안)'!E65</f>
        <v>스테인레스, 1.8m, 3T</v>
      </c>
      <c r="D270" s="236" t="str">
        <f>'8-2.설비자재산출(무인보안)'!G65</f>
        <v>개</v>
      </c>
      <c r="E270" s="1"/>
      <c r="F270" s="1"/>
      <c r="G270" s="1"/>
      <c r="H270" s="1"/>
      <c r="I270" s="1"/>
      <c r="J270" s="1"/>
      <c r="K270" s="1"/>
      <c r="L270" s="1"/>
      <c r="M270" s="1"/>
      <c r="N270" s="227">
        <f t="shared" si="4"/>
        <v>0</v>
      </c>
      <c r="O270" s="269"/>
      <c r="P270" s="1233"/>
      <c r="R270" s="18">
        <v>0</v>
      </c>
    </row>
    <row r="271" spans="1:18" s="18" customFormat="1" ht="24.95" hidden="1" customHeight="1">
      <c r="A271" s="443"/>
      <c r="B271" s="235" t="str">
        <f>'8-2.설비자재산출(무인보안)'!D66</f>
        <v>카메라 브라켓(폴부착형)</v>
      </c>
      <c r="C271" s="235" t="str">
        <f>'8-2.설비자재산출(무인보안)'!E66</f>
        <v>SUS 304, 600*89￠*2T</v>
      </c>
      <c r="D271" s="236" t="str">
        <f>'8-2.설비자재산출(무인보안)'!G66</f>
        <v>개</v>
      </c>
      <c r="E271" s="1"/>
      <c r="F271" s="1"/>
      <c r="G271" s="1"/>
      <c r="H271" s="1"/>
      <c r="I271" s="1"/>
      <c r="J271" s="1"/>
      <c r="K271" s="1">
        <v>240000</v>
      </c>
      <c r="L271" s="1">
        <v>320000</v>
      </c>
      <c r="M271" s="1"/>
      <c r="N271" s="227">
        <f t="shared" si="4"/>
        <v>210592.8</v>
      </c>
      <c r="O271" s="269" t="s">
        <v>1752</v>
      </c>
      <c r="P271" s="1233"/>
      <c r="R271" s="18">
        <v>240000</v>
      </c>
    </row>
    <row r="272" spans="1:18" s="18" customFormat="1" ht="24.95" customHeight="1">
      <c r="A272" s="443"/>
      <c r="B272" s="235" t="str">
        <f>'8-2.설비자재산출(무인보안)'!D67</f>
        <v>OFD</v>
      </c>
      <c r="C272" s="235" t="str">
        <f>'8-2.설비자재산출(무인보안)'!E67</f>
        <v>FDF-24C, Rack type</v>
      </c>
      <c r="D272" s="236" t="str">
        <f>'8-2.설비자재산출(무인보안)'!G67</f>
        <v>개</v>
      </c>
      <c r="E272" s="1"/>
      <c r="F272" s="1"/>
      <c r="G272" s="1"/>
      <c r="H272" s="1"/>
      <c r="I272" s="1"/>
      <c r="J272" s="1"/>
      <c r="K272" s="1">
        <v>49000</v>
      </c>
      <c r="L272" s="1">
        <v>55000</v>
      </c>
      <c r="M272" s="1">
        <v>90000</v>
      </c>
      <c r="N272" s="227">
        <f t="shared" si="4"/>
        <v>42996.03</v>
      </c>
      <c r="O272" s="269" t="s">
        <v>1752</v>
      </c>
      <c r="P272" s="1233"/>
      <c r="R272" s="18">
        <v>49000</v>
      </c>
    </row>
    <row r="273" spans="1:18" s="18" customFormat="1" ht="24.95" customHeight="1">
      <c r="A273" s="443"/>
      <c r="B273" s="235" t="str">
        <f>'8-2.설비자재산출(무인보안)'!D68</f>
        <v>광심선분배함</v>
      </c>
      <c r="C273" s="235" t="str">
        <f>'8-2.설비자재산출(무인보안)'!E68</f>
        <v>FDF-8core, SC Connector Type</v>
      </c>
      <c r="D273" s="236" t="str">
        <f>'8-2.설비자재산출(무인보안)'!G68</f>
        <v>개</v>
      </c>
      <c r="E273" s="1"/>
      <c r="F273" s="1"/>
      <c r="G273" s="1"/>
      <c r="H273" s="1"/>
      <c r="I273" s="1"/>
      <c r="J273" s="1"/>
      <c r="K273" s="1">
        <v>15000</v>
      </c>
      <c r="L273" s="1">
        <v>20000</v>
      </c>
      <c r="M273" s="1"/>
      <c r="N273" s="227">
        <f t="shared" si="4"/>
        <v>13162.05</v>
      </c>
      <c r="O273" s="269" t="s">
        <v>1752</v>
      </c>
      <c r="P273" s="1233"/>
      <c r="R273" s="18">
        <v>15000</v>
      </c>
    </row>
    <row r="274" spans="1:18" s="18" customFormat="1" ht="24.95" customHeight="1">
      <c r="A274" s="443"/>
      <c r="B274" s="235" t="str">
        <f>'8-2.설비자재산출(무인보안)'!D69</f>
        <v>광전송장치용 전원장치</v>
      </c>
      <c r="C274" s="235" t="str">
        <f>'8-2.설비자재산출(무인보안)'!E69</f>
        <v>입220V/출DC24 1A, 15V 6A</v>
      </c>
      <c r="D274" s="236" t="str">
        <f>'8-2.설비자재산출(무인보안)'!G69</f>
        <v>개</v>
      </c>
      <c r="E274" s="666"/>
      <c r="F274" s="666"/>
      <c r="G274" s="899"/>
      <c r="H274" s="901"/>
      <c r="I274" s="839"/>
      <c r="J274" s="901"/>
      <c r="K274" s="430">
        <v>180000</v>
      </c>
      <c r="L274" s="493">
        <v>150000</v>
      </c>
      <c r="M274" s="839"/>
      <c r="N274" s="227">
        <f t="shared" si="4"/>
        <v>131620.5</v>
      </c>
      <c r="O274" s="269" t="s">
        <v>1752</v>
      </c>
      <c r="P274" s="1233"/>
      <c r="R274" s="18">
        <v>150000</v>
      </c>
    </row>
    <row r="275" spans="1:18" s="18" customFormat="1" ht="24.95" hidden="1" customHeight="1">
      <c r="A275" s="443"/>
      <c r="B275" s="235" t="str">
        <f>'8-2.설비자재산출(무인보안)'!D70</f>
        <v>감지기용전원장치</v>
      </c>
      <c r="C275" s="235" t="str">
        <f>'8-2.설비자재산출(무인보안)'!E70</f>
        <v>입220V/출DC24 1A, 15V 6A</v>
      </c>
      <c r="D275" s="236" t="str">
        <f>'8-2.설비자재산출(무인보안)'!G70</f>
        <v>개</v>
      </c>
      <c r="E275" s="666"/>
      <c r="F275" s="666"/>
      <c r="G275" s="899"/>
      <c r="H275" s="901"/>
      <c r="I275" s="839"/>
      <c r="J275" s="901"/>
      <c r="K275" s="839">
        <v>180000</v>
      </c>
      <c r="L275" s="839">
        <v>250000</v>
      </c>
      <c r="M275" s="839"/>
      <c r="N275" s="227">
        <f t="shared" si="4"/>
        <v>157944.6</v>
      </c>
      <c r="O275" s="269" t="s">
        <v>1752</v>
      </c>
      <c r="P275" s="1233"/>
      <c r="R275" s="18">
        <v>180000</v>
      </c>
    </row>
    <row r="276" spans="1:18" s="18" customFormat="1" ht="24.95" customHeight="1">
      <c r="A276" s="443"/>
      <c r="B276" s="235" t="str">
        <f>'8-2.설비자재산출(무인보안)'!D71</f>
        <v>광아답터</v>
      </c>
      <c r="C276" s="235" t="str">
        <f>'8-2.설비자재산출(무인보안)'!E71</f>
        <v>SC, 세라믹 ,MM</v>
      </c>
      <c r="D276" s="236" t="str">
        <f>'8-2.설비자재산출(무인보안)'!G71</f>
        <v>개</v>
      </c>
      <c r="E276" s="666"/>
      <c r="F276" s="666"/>
      <c r="G276" s="899"/>
      <c r="H276" s="901"/>
      <c r="I276" s="839"/>
      <c r="J276" s="901"/>
      <c r="K276" s="1213">
        <v>700</v>
      </c>
      <c r="L276" s="1213">
        <v>800</v>
      </c>
      <c r="M276" s="1213">
        <v>6500</v>
      </c>
      <c r="N276" s="227">
        <f t="shared" si="4"/>
        <v>614.22899999999993</v>
      </c>
      <c r="O276" s="269" t="s">
        <v>1752</v>
      </c>
      <c r="P276" s="1233"/>
      <c r="R276" s="18">
        <v>700</v>
      </c>
    </row>
    <row r="277" spans="1:18" s="18" customFormat="1" ht="24.95" customHeight="1">
      <c r="A277" s="443"/>
      <c r="B277" s="235" t="str">
        <f>'8-2.설비자재산출(무인보안)'!D72</f>
        <v>점퍼코드</v>
      </c>
      <c r="C277" s="235" t="str">
        <f>'8-2.설비자재산출(무인보안)'!E72</f>
        <v>OJC-SC/APC-SM-LC,  2m</v>
      </c>
      <c r="D277" s="236" t="str">
        <f>'8-2.설비자재산출(무인보안)'!G72</f>
        <v>개</v>
      </c>
      <c r="E277" s="666"/>
      <c r="F277" s="666"/>
      <c r="G277" s="899"/>
      <c r="H277" s="901"/>
      <c r="I277" s="839"/>
      <c r="J277" s="901"/>
      <c r="K277" s="1213">
        <v>18000</v>
      </c>
      <c r="L277" s="1702">
        <v>15000</v>
      </c>
      <c r="M277" s="839"/>
      <c r="N277" s="227">
        <f t="shared" si="4"/>
        <v>13162.05</v>
      </c>
      <c r="O277" s="269" t="s">
        <v>1752</v>
      </c>
      <c r="P277" s="1233"/>
      <c r="R277" s="18">
        <v>15000</v>
      </c>
    </row>
    <row r="278" spans="1:18" s="18" customFormat="1" ht="24.95" hidden="1" customHeight="1">
      <c r="A278" s="443"/>
      <c r="B278" s="235" t="str">
        <f>'8-2.설비자재산출(무인보안)'!D73</f>
        <v>옥외용광점퍼코드</v>
      </c>
      <c r="C278" s="235" t="str">
        <f>'8-2.설비자재산출(무인보안)'!E73</f>
        <v>OJC-SC/PC-MM-LC/PC-2C(50m용)</v>
      </c>
      <c r="D278" s="236" t="str">
        <f>'8-2.설비자재산출(무인보안)'!G73</f>
        <v>개</v>
      </c>
      <c r="E278" s="666"/>
      <c r="F278" s="666"/>
      <c r="G278" s="899"/>
      <c r="H278" s="901"/>
      <c r="I278" s="839"/>
      <c r="J278" s="901"/>
      <c r="K278" s="839">
        <v>54000</v>
      </c>
      <c r="L278" s="839">
        <v>67000</v>
      </c>
      <c r="M278" s="839"/>
      <c r="N278" s="227">
        <f t="shared" si="4"/>
        <v>47383.38</v>
      </c>
      <c r="O278" s="269" t="s">
        <v>1752</v>
      </c>
      <c r="P278" s="1233"/>
      <c r="R278" s="18">
        <v>54000</v>
      </c>
    </row>
    <row r="279" spans="1:18" s="18" customFormat="1" ht="24.95" customHeight="1">
      <c r="A279" s="443"/>
      <c r="B279" s="841" t="str">
        <f>'8-2.설비자재산출(무인보안)'!D74</f>
        <v>ㄷ'자 카메라 폴대</v>
      </c>
      <c r="C279" s="841" t="str">
        <f>'8-2.설비자재산출(무인보안)'!E74</f>
        <v>일반형, W700 X H700 X 200</v>
      </c>
      <c r="D279" s="842" t="str">
        <f>'8-2.설비자재산출(무인보안)'!G74</f>
        <v>대</v>
      </c>
      <c r="E279" s="666"/>
      <c r="F279" s="666"/>
      <c r="G279" s="899"/>
      <c r="H279" s="901"/>
      <c r="I279" s="839"/>
      <c r="J279" s="901"/>
      <c r="K279" s="839">
        <v>500000</v>
      </c>
      <c r="L279" s="839">
        <v>370000</v>
      </c>
      <c r="M279" s="839">
        <v>450000</v>
      </c>
      <c r="N279" s="227">
        <f t="shared" si="4"/>
        <v>324663.89999999997</v>
      </c>
      <c r="O279" s="269" t="s">
        <v>1752</v>
      </c>
      <c r="P279" s="1233"/>
      <c r="R279" s="18">
        <v>370000</v>
      </c>
    </row>
    <row r="280" spans="1:18" s="18" customFormat="1" ht="24.95" customHeight="1">
      <c r="A280" s="443"/>
      <c r="B280" s="235" t="str">
        <f>'8-2.설비자재산출(무인보안)'!D75</f>
        <v>카메라지지대 기초</v>
      </c>
      <c r="C280" s="235" t="str">
        <f>'8-2.설비자재산출(무인보안)'!E75</f>
        <v>500*800*1000H이상, 앵커포함</v>
      </c>
      <c r="D280" s="236" t="str">
        <f>'8-2.설비자재산출(무인보안)'!G75</f>
        <v>식</v>
      </c>
      <c r="E280" s="563"/>
      <c r="F280" s="563"/>
      <c r="G280" s="493"/>
      <c r="H280" s="578"/>
      <c r="I280" s="493"/>
      <c r="J280" s="578"/>
      <c r="K280" s="493">
        <v>185000</v>
      </c>
      <c r="L280" s="493">
        <v>190000</v>
      </c>
      <c r="M280" s="839"/>
      <c r="N280" s="227">
        <f t="shared" si="4"/>
        <v>162331.94999999998</v>
      </c>
      <c r="O280" s="269" t="s">
        <v>1752</v>
      </c>
      <c r="P280" s="1233"/>
      <c r="R280" s="18">
        <v>185000</v>
      </c>
    </row>
    <row r="281" spans="1:18" s="18" customFormat="1" ht="24.95" hidden="1" customHeight="1">
      <c r="A281" s="443"/>
      <c r="B281" s="235" t="str">
        <f>'8-2.설비자재산출(무인보안)'!D76</f>
        <v>감지기 폴</v>
      </c>
      <c r="C281" s="235" t="str">
        <f>'8-2.설비자재산출(무인보안)'!E76</f>
        <v>400*400*400H기초포함</v>
      </c>
      <c r="D281" s="236" t="str">
        <f>'8-2.설비자재산출(무인보안)'!G76</f>
        <v>식</v>
      </c>
      <c r="E281" s="666"/>
      <c r="F281" s="666"/>
      <c r="G281" s="899"/>
      <c r="H281" s="901"/>
      <c r="I281" s="839"/>
      <c r="J281" s="901"/>
      <c r="K281" s="839">
        <v>260000</v>
      </c>
      <c r="L281" s="839">
        <v>280000</v>
      </c>
      <c r="M281" s="839"/>
      <c r="N281" s="227">
        <f t="shared" si="4"/>
        <v>228142.19999999998</v>
      </c>
      <c r="O281" s="269" t="s">
        <v>1752</v>
      </c>
      <c r="P281" s="1233"/>
      <c r="R281" s="18">
        <v>260000</v>
      </c>
    </row>
    <row r="282" spans="1:18" s="18" customFormat="1" ht="24.95" customHeight="1">
      <c r="A282" s="443"/>
      <c r="B282" s="235" t="str">
        <f>'8-2.설비자재산출(무인보안)'!D77</f>
        <v>CCTV안내판</v>
      </c>
      <c r="C282" s="235" t="str">
        <f>'8-2.설비자재산출(무인보안)'!E77</f>
        <v>알루미늄</v>
      </c>
      <c r="D282" s="236" t="str">
        <f>'8-2.설비자재산출(무인보안)'!G77</f>
        <v>개</v>
      </c>
      <c r="E282" s="563"/>
      <c r="F282" s="563"/>
      <c r="G282" s="493"/>
      <c r="H282" s="578"/>
      <c r="I282" s="493"/>
      <c r="J282" s="578"/>
      <c r="K282" s="493">
        <v>180000</v>
      </c>
      <c r="L282" s="493">
        <v>220000</v>
      </c>
      <c r="M282" s="839"/>
      <c r="N282" s="227">
        <f t="shared" si="4"/>
        <v>157944.6</v>
      </c>
      <c r="O282" s="269" t="s">
        <v>1752</v>
      </c>
      <c r="P282" s="1233"/>
      <c r="R282" s="18">
        <v>180000</v>
      </c>
    </row>
    <row r="283" spans="1:18" s="18" customFormat="1" ht="24.95" customHeight="1">
      <c r="A283" s="443"/>
      <c r="B283" s="235" t="str">
        <f>'8-2.설비자재산출(무인보안)'!D78</f>
        <v>광케이블</v>
      </c>
      <c r="C283" s="235" t="str">
        <f>'8-2.설비자재산출(무인보안)'!E78</f>
        <v>FOFC-SM-4C</v>
      </c>
      <c r="D283" s="236" t="str">
        <f>'8-2.설비자재산출(무인보안)'!G78</f>
        <v>m</v>
      </c>
      <c r="E283" s="666"/>
      <c r="F283" s="666"/>
      <c r="G283" s="899">
        <v>1000</v>
      </c>
      <c r="H283" s="901">
        <v>1081</v>
      </c>
      <c r="I283" s="839">
        <v>1560</v>
      </c>
      <c r="J283" s="901">
        <v>1208</v>
      </c>
      <c r="K283" s="430">
        <v>3200</v>
      </c>
      <c r="L283" s="493">
        <v>4300</v>
      </c>
      <c r="M283" s="839"/>
      <c r="N283" s="227">
        <f t="shared" si="4"/>
        <v>877.47</v>
      </c>
      <c r="O283" s="269" t="s">
        <v>3170</v>
      </c>
      <c r="P283" s="1233"/>
      <c r="R283" s="18">
        <v>1000</v>
      </c>
    </row>
    <row r="284" spans="1:18" s="18" customFormat="1" ht="24.95" customHeight="1">
      <c r="A284" s="443"/>
      <c r="B284" s="235" t="str">
        <f>'8-2.설비자재산출(무인보안)'!D79</f>
        <v>케이블 명찰</v>
      </c>
      <c r="C284" s="235" t="str">
        <f>'8-2.설비자재산출(무인보안)'!E79</f>
        <v>포맥스, 230x60mm</v>
      </c>
      <c r="D284" s="236" t="str">
        <f>'8-2.설비자재산출(무인보안)'!G79</f>
        <v>개</v>
      </c>
      <c r="E284" s="666"/>
      <c r="F284" s="666"/>
      <c r="G284" s="899"/>
      <c r="H284" s="901"/>
      <c r="I284" s="839"/>
      <c r="J284" s="901"/>
      <c r="K284" s="1213">
        <v>4800</v>
      </c>
      <c r="L284" s="1213">
        <v>5100</v>
      </c>
      <c r="M284" s="1213">
        <v>3000</v>
      </c>
      <c r="N284" s="227">
        <f t="shared" si="4"/>
        <v>2632.41</v>
      </c>
      <c r="O284" s="269" t="s">
        <v>1752</v>
      </c>
      <c r="P284" s="1233"/>
      <c r="R284" s="18">
        <v>3000</v>
      </c>
    </row>
    <row r="285" spans="1:18" s="18" customFormat="1" ht="24.95" customHeight="1">
      <c r="A285" s="443"/>
      <c r="B285" s="235" t="str">
        <f>'8-2.설비자재산출(무인보안)'!D80</f>
        <v>전원케이블</v>
      </c>
      <c r="C285" s="235" t="str">
        <f>'8-2.설비자재산출(무인보안)'!E80</f>
        <v>FR-CVVS 16SQ-2C</v>
      </c>
      <c r="D285" s="236" t="str">
        <f>'8-2.설비자재산출(무인보안)'!G80</f>
        <v>m</v>
      </c>
      <c r="E285" s="666"/>
      <c r="F285" s="666"/>
      <c r="G285" s="899"/>
      <c r="H285" s="901"/>
      <c r="I285" s="839"/>
      <c r="J285" s="901"/>
      <c r="K285" s="1213">
        <v>9900</v>
      </c>
      <c r="L285" s="1213">
        <v>8790</v>
      </c>
      <c r="M285" s="839"/>
      <c r="N285" s="227">
        <f t="shared" si="4"/>
        <v>7712.9612999999999</v>
      </c>
      <c r="O285" s="269" t="s">
        <v>1752</v>
      </c>
      <c r="P285" s="1233"/>
      <c r="R285" s="18">
        <v>8790</v>
      </c>
    </row>
    <row r="286" spans="1:18" s="18" customFormat="1" ht="24.95" customHeight="1">
      <c r="A286" s="443"/>
      <c r="B286" s="235" t="str">
        <f>'8-2.설비자재산출(무인보안)'!D81</f>
        <v>전원케이블</v>
      </c>
      <c r="C286" s="235" t="str">
        <f>'8-2.설비자재산출(무인보안)'!E81</f>
        <v>FR-CVVS 2.5SQ-2C</v>
      </c>
      <c r="D286" s="236" t="str">
        <f>'8-2.설비자재산출(무인보안)'!G81</f>
        <v>m</v>
      </c>
      <c r="E286" s="666"/>
      <c r="F286" s="666"/>
      <c r="G286" s="899"/>
      <c r="H286" s="901"/>
      <c r="I286" s="839"/>
      <c r="J286" s="901"/>
      <c r="K286" s="493">
        <v>3120</v>
      </c>
      <c r="L286" s="493">
        <v>3320</v>
      </c>
      <c r="M286" s="493">
        <v>2612</v>
      </c>
      <c r="N286" s="227">
        <f t="shared" si="4"/>
        <v>2291.9516399999998</v>
      </c>
      <c r="O286" s="269" t="s">
        <v>1752</v>
      </c>
      <c r="P286" s="1233"/>
      <c r="R286" s="18">
        <v>2612</v>
      </c>
    </row>
    <row r="287" spans="1:18" s="18" customFormat="1" ht="24.95" hidden="1" customHeight="1">
      <c r="A287" s="443"/>
      <c r="B287" s="235" t="str">
        <f>'8-2.설비자재산출(무인보안)'!D82</f>
        <v>전원케이블</v>
      </c>
      <c r="C287" s="235" t="str">
        <f>'8-2.설비자재산출(무인보안)'!E82</f>
        <v>FR-CVVS 4SQ-2C</v>
      </c>
      <c r="D287" s="236" t="str">
        <f>'8-2.설비자재산출(무인보안)'!G82</f>
        <v>m</v>
      </c>
      <c r="E287" s="666"/>
      <c r="F287" s="666"/>
      <c r="G287" s="899"/>
      <c r="H287" s="901"/>
      <c r="I287" s="839"/>
      <c r="J287" s="901"/>
      <c r="K287" s="493">
        <v>4050</v>
      </c>
      <c r="L287" s="493">
        <v>4340</v>
      </c>
      <c r="M287" s="493">
        <v>6700</v>
      </c>
      <c r="N287" s="227">
        <f t="shared" si="4"/>
        <v>3553.7534999999998</v>
      </c>
      <c r="O287" s="269" t="s">
        <v>1752</v>
      </c>
      <c r="P287" s="1233"/>
      <c r="R287" s="18">
        <v>4050</v>
      </c>
    </row>
    <row r="288" spans="1:18" s="18" customFormat="1" ht="24.95" hidden="1" customHeight="1">
      <c r="A288" s="443"/>
      <c r="B288" s="235" t="str">
        <f>'8-2.설비자재산출(무인보안)'!D83</f>
        <v>전원케이블</v>
      </c>
      <c r="C288" s="235" t="str">
        <f>'8-2.설비자재산출(무인보안)'!E83</f>
        <v>FR-CVVS 6SQ-2C</v>
      </c>
      <c r="D288" s="236" t="str">
        <f>'8-2.설비자재산출(무인보안)'!G83</f>
        <v>m</v>
      </c>
      <c r="E288" s="666"/>
      <c r="F288" s="666"/>
      <c r="G288" s="899"/>
      <c r="H288" s="901"/>
      <c r="I288" s="839"/>
      <c r="J288" s="901"/>
      <c r="K288" s="839"/>
      <c r="L288" s="839"/>
      <c r="M288" s="839">
        <v>4725</v>
      </c>
      <c r="N288" s="227">
        <f t="shared" si="4"/>
        <v>4146.0457500000002</v>
      </c>
      <c r="O288" s="269" t="s">
        <v>1752</v>
      </c>
      <c r="P288" s="1233"/>
      <c r="R288" s="18">
        <v>4725</v>
      </c>
    </row>
    <row r="289" spans="1:18" s="18" customFormat="1" ht="24.95" hidden="1" customHeight="1">
      <c r="A289" s="443"/>
      <c r="B289" s="235" t="str">
        <f>'8-2.설비자재산출(무인보안)'!D84</f>
        <v>전원케이블</v>
      </c>
      <c r="C289" s="235" t="str">
        <f>'8-2.설비자재산출(무인보안)'!E84</f>
        <v>FR-CVVS 1.5SQ-2C</v>
      </c>
      <c r="D289" s="236" t="str">
        <f>'8-2.설비자재산출(무인보안)'!G84</f>
        <v>m</v>
      </c>
      <c r="E289" s="666"/>
      <c r="F289" s="666"/>
      <c r="G289" s="899"/>
      <c r="H289" s="901"/>
      <c r="I289" s="839"/>
      <c r="J289" s="901"/>
      <c r="K289" s="493">
        <v>2500</v>
      </c>
      <c r="L289" s="493">
        <v>2730</v>
      </c>
      <c r="M289" s="430">
        <v>1604</v>
      </c>
      <c r="N289" s="227">
        <f t="shared" si="4"/>
        <v>1407.4618800000001</v>
      </c>
      <c r="O289" s="269" t="s">
        <v>1752</v>
      </c>
      <c r="P289" s="1233"/>
      <c r="R289" s="18">
        <v>1604</v>
      </c>
    </row>
    <row r="290" spans="1:18" s="18" customFormat="1" ht="24.95" customHeight="1">
      <c r="A290" s="443"/>
      <c r="B290" s="235" t="str">
        <f>'8-2.설비자재산출(무인보안)'!D85</f>
        <v>제어케이블</v>
      </c>
      <c r="C290" s="235" t="str">
        <f>'8-2.설비자재산출(무인보안)'!E85</f>
        <v>FR-CVVS 1.5SQ-4C</v>
      </c>
      <c r="D290" s="236" t="str">
        <f>'8-2.설비자재산출(무인보안)'!G85</f>
        <v>m</v>
      </c>
      <c r="E290" s="666"/>
      <c r="F290" s="666"/>
      <c r="G290" s="899"/>
      <c r="H290" s="901"/>
      <c r="I290" s="839"/>
      <c r="J290" s="901"/>
      <c r="K290" s="430">
        <v>3000</v>
      </c>
      <c r="L290" s="493">
        <v>2376</v>
      </c>
      <c r="M290" s="493">
        <v>3470</v>
      </c>
      <c r="N290" s="227">
        <f t="shared" si="4"/>
        <v>2084.8687199999999</v>
      </c>
      <c r="O290" s="269" t="s">
        <v>1752</v>
      </c>
      <c r="P290" s="1233"/>
      <c r="R290" s="18">
        <v>2376</v>
      </c>
    </row>
    <row r="291" spans="1:18" s="18" customFormat="1" ht="24.95" customHeight="1">
      <c r="A291" s="443"/>
      <c r="B291" s="235" t="str">
        <f>'8-2.설비자재산출(무인보안)'!D86</f>
        <v>제어케이블</v>
      </c>
      <c r="C291" s="235" t="str">
        <f>'8-2.설비자재산출(무인보안)'!E86</f>
        <v>FR-CVVS 1.5SQ-15C</v>
      </c>
      <c r="D291" s="236" t="str">
        <f>'8-2.설비자재산출(무인보안)'!G86</f>
        <v>m</v>
      </c>
      <c r="E291" s="666"/>
      <c r="F291" s="666"/>
      <c r="G291" s="899"/>
      <c r="H291" s="901"/>
      <c r="I291" s="839"/>
      <c r="J291" s="901"/>
      <c r="K291" s="1213">
        <v>10000</v>
      </c>
      <c r="L291" s="1702">
        <v>8872</v>
      </c>
      <c r="M291" s="1213">
        <v>8350</v>
      </c>
      <c r="N291" s="227">
        <f t="shared" si="4"/>
        <v>7326.8744999999999</v>
      </c>
      <c r="O291" s="269" t="s">
        <v>1752</v>
      </c>
      <c r="P291" s="1233"/>
      <c r="R291" s="18">
        <v>8350</v>
      </c>
    </row>
    <row r="292" spans="1:18" s="18" customFormat="1" ht="24.95" customHeight="1">
      <c r="A292" s="443"/>
      <c r="B292" s="235" t="str">
        <f>'8-2.설비자재산출(무인보안)'!D88</f>
        <v>UTP케이블</v>
      </c>
      <c r="C292" s="235" t="str">
        <f>'8-2.설비자재산출(무인보안)'!E88</f>
        <v>CAT. 5E CM 4P_일반(회색)</v>
      </c>
      <c r="D292" s="236" t="str">
        <f>'8-2.설비자재산출(무인보안)'!G88</f>
        <v>m</v>
      </c>
      <c r="E292" s="666"/>
      <c r="F292" s="666"/>
      <c r="G292" s="493">
        <v>790</v>
      </c>
      <c r="H292" s="394">
        <v>1083</v>
      </c>
      <c r="I292" s="493">
        <v>1100</v>
      </c>
      <c r="J292" s="394">
        <v>1177</v>
      </c>
      <c r="K292" s="1213">
        <v>790</v>
      </c>
      <c r="L292" s="1213">
        <v>800</v>
      </c>
      <c r="M292" s="1213"/>
      <c r="N292" s="227">
        <f t="shared" si="4"/>
        <v>693.20129999999995</v>
      </c>
      <c r="O292" s="269" t="s">
        <v>3170</v>
      </c>
      <c r="P292" s="1233"/>
      <c r="R292" s="18">
        <v>790</v>
      </c>
    </row>
    <row r="293" spans="1:18" s="18" customFormat="1" ht="24.95" customHeight="1">
      <c r="A293" s="443"/>
      <c r="B293" s="235" t="str">
        <f>'8-2.설비자재산출(무인보안)'!D89</f>
        <v>S-FTP 케이블</v>
      </c>
      <c r="C293" s="235" t="str">
        <f>'8-2.설비자재산출(무인보안)'!E89</f>
        <v>CAT. 5E CM 4P_SFTP(회색)</v>
      </c>
      <c r="D293" s="236" t="str">
        <f>'8-2.설비자재산출(무인보안)'!G89</f>
        <v>m</v>
      </c>
      <c r="E293" s="666"/>
      <c r="F293" s="666"/>
      <c r="G293" s="1709">
        <v>2690</v>
      </c>
      <c r="H293" s="1710">
        <v>1083</v>
      </c>
      <c r="I293" s="1213"/>
      <c r="J293" s="1710"/>
      <c r="K293" s="1213">
        <v>1800</v>
      </c>
      <c r="L293" s="1213">
        <v>2000</v>
      </c>
      <c r="M293" s="1213"/>
      <c r="N293" s="227">
        <f t="shared" si="4"/>
        <v>1579.4459999999999</v>
      </c>
      <c r="O293" s="269" t="s">
        <v>1752</v>
      </c>
      <c r="P293" s="1233"/>
      <c r="R293" s="18">
        <v>1800</v>
      </c>
    </row>
    <row r="294" spans="1:18" s="18" customFormat="1" ht="24.95" hidden="1" customHeight="1">
      <c r="A294" s="443"/>
      <c r="B294" s="235" t="str">
        <f>'8-2.설비자재산출(무인보안)'!D90</f>
        <v>데이터케이블</v>
      </c>
      <c r="C294" s="235" t="str">
        <f>'8-2.설비자재산출(무인보안)'!E90</f>
        <v>20AWG/0.5㎟ 2C, 조작,실드</v>
      </c>
      <c r="D294" s="236" t="str">
        <f>'8-2.설비자재산출(무인보안)'!G90</f>
        <v>m</v>
      </c>
      <c r="E294" s="666"/>
      <c r="F294" s="666"/>
      <c r="G294" s="899">
        <v>570</v>
      </c>
      <c r="H294" s="901">
        <v>1082</v>
      </c>
      <c r="I294" s="839">
        <v>741</v>
      </c>
      <c r="J294" s="901">
        <v>1209</v>
      </c>
      <c r="K294" s="839"/>
      <c r="L294" s="839"/>
      <c r="M294" s="839"/>
      <c r="N294" s="227">
        <f t="shared" si="4"/>
        <v>500.15789999999998</v>
      </c>
      <c r="O294" s="269" t="s">
        <v>3170</v>
      </c>
      <c r="P294" s="1233"/>
      <c r="R294" s="18">
        <v>570</v>
      </c>
    </row>
    <row r="295" spans="1:18" s="18" customFormat="1" ht="24.95" hidden="1" customHeight="1">
      <c r="A295" s="443"/>
      <c r="B295" s="235" t="str">
        <f>'8-2.설비자재산출(무인보안)'!D91</f>
        <v>데이터케이블</v>
      </c>
      <c r="C295" s="235" t="str">
        <f>'8-2.설비자재산출(무인보안)'!E91</f>
        <v>20AWG/0.5㎟ 4C, 조작,실드</v>
      </c>
      <c r="D295" s="236" t="str">
        <f>'8-2.설비자재산출(무인보안)'!G91</f>
        <v>m</v>
      </c>
      <c r="E295" s="666"/>
      <c r="F295" s="666"/>
      <c r="G295" s="899">
        <v>830</v>
      </c>
      <c r="H295" s="901">
        <v>1082</v>
      </c>
      <c r="I295" s="839">
        <v>1038</v>
      </c>
      <c r="J295" s="901">
        <f>J294</f>
        <v>1209</v>
      </c>
      <c r="K295" s="839"/>
      <c r="L295" s="839"/>
      <c r="M295" s="839"/>
      <c r="N295" s="227">
        <f t="shared" si="4"/>
        <v>728.30009999999993</v>
      </c>
      <c r="O295" s="269" t="s">
        <v>3170</v>
      </c>
      <c r="P295" s="1233"/>
      <c r="R295" s="18">
        <v>830</v>
      </c>
    </row>
    <row r="296" spans="1:18" s="18" customFormat="1" ht="24.95" customHeight="1">
      <c r="A296" s="443"/>
      <c r="B296" s="235" t="str">
        <f>'8-2.설비자재산출(무인보안)'!D92</f>
        <v>데이터케이블</v>
      </c>
      <c r="C296" s="235" t="str">
        <f>'8-2.설비자재산출(무인보안)'!E92</f>
        <v>20AWG/0.5㎟ 6C, 조작,실드</v>
      </c>
      <c r="D296" s="236" t="str">
        <f>'8-2.설비자재산출(무인보안)'!G92</f>
        <v>m</v>
      </c>
      <c r="E296" s="666"/>
      <c r="F296" s="666"/>
      <c r="G296" s="899">
        <v>1100</v>
      </c>
      <c r="H296" s="901">
        <v>1082</v>
      </c>
      <c r="I296" s="839">
        <v>1203</v>
      </c>
      <c r="J296" s="901">
        <f>J295</f>
        <v>1209</v>
      </c>
      <c r="K296" s="1213">
        <v>1100</v>
      </c>
      <c r="L296" s="1213">
        <v>1200</v>
      </c>
      <c r="M296" s="839"/>
      <c r="N296" s="227">
        <f t="shared" si="4"/>
        <v>965.21699999999998</v>
      </c>
      <c r="O296" s="269" t="s">
        <v>3170</v>
      </c>
      <c r="P296" s="1233"/>
      <c r="R296" s="18">
        <v>1100</v>
      </c>
    </row>
    <row r="297" spans="1:18" s="18" customFormat="1" ht="24.95" customHeight="1">
      <c r="A297" s="443"/>
      <c r="B297" s="235" t="str">
        <f>'8-2.설비자재산출(무인보안)'!D93</f>
        <v>접지케이블</v>
      </c>
      <c r="C297" s="235" t="str">
        <f>'8-2.설비자재산출(무인보안)'!E93</f>
        <v>F-GV 6SQ</v>
      </c>
      <c r="D297" s="236" t="str">
        <f>'8-2.설비자재산출(무인보안)'!G93</f>
        <v>m</v>
      </c>
      <c r="E297" s="666"/>
      <c r="F297" s="666"/>
      <c r="G297" s="493">
        <v>1567</v>
      </c>
      <c r="H297" s="394">
        <v>1075</v>
      </c>
      <c r="I297" s="493">
        <v>1290</v>
      </c>
      <c r="J297" s="394">
        <v>1165</v>
      </c>
      <c r="K297" s="1213">
        <v>1230</v>
      </c>
      <c r="L297" s="1213">
        <v>1320</v>
      </c>
      <c r="M297" s="1213">
        <v>1277</v>
      </c>
      <c r="N297" s="227">
        <f t="shared" si="4"/>
        <v>1079.2881</v>
      </c>
      <c r="O297" s="269" t="s">
        <v>3169</v>
      </c>
      <c r="P297" s="1233"/>
      <c r="R297" s="18">
        <v>1230</v>
      </c>
    </row>
    <row r="298" spans="1:18" s="18" customFormat="1" ht="24.95" hidden="1" customHeight="1">
      <c r="A298" s="443"/>
      <c r="B298" s="235" t="str">
        <f>'8-2.설비자재산출(무인보안)'!D94</f>
        <v>접지케이블</v>
      </c>
      <c r="C298" s="235" t="str">
        <f>'8-2.설비자재산출(무인보안)'!E94</f>
        <v>F-GV 16SQ</v>
      </c>
      <c r="D298" s="236" t="str">
        <f>'8-2.설비자재산출(무인보안)'!G94</f>
        <v>m</v>
      </c>
      <c r="E298" s="666"/>
      <c r="F298" s="666"/>
      <c r="G298" s="899">
        <v>2550</v>
      </c>
      <c r="H298" s="840">
        <v>1075</v>
      </c>
      <c r="I298" s="839">
        <v>2502</v>
      </c>
      <c r="J298" s="901">
        <f>J297</f>
        <v>1165</v>
      </c>
      <c r="K298" s="839"/>
      <c r="L298" s="839"/>
      <c r="M298" s="839"/>
      <c r="N298" s="227">
        <f t="shared" si="4"/>
        <v>2195.42994</v>
      </c>
      <c r="O298" s="269" t="s">
        <v>3169</v>
      </c>
      <c r="P298" s="1233"/>
      <c r="R298" s="18">
        <v>2502</v>
      </c>
    </row>
    <row r="299" spans="1:18" s="18" customFormat="1" ht="24.95" hidden="1" customHeight="1">
      <c r="A299" s="443"/>
      <c r="B299" s="235" t="str">
        <f>'8-2.설비자재산출(무인보안)'!D95</f>
        <v>접지케이블</v>
      </c>
      <c r="C299" s="235" t="str">
        <f>'8-2.설비자재산출(무인보안)'!E95</f>
        <v>F-GV 95SQ</v>
      </c>
      <c r="D299" s="236" t="str">
        <f>'8-2.설비자재산출(무인보안)'!G95</f>
        <v>m</v>
      </c>
      <c r="E299" s="666"/>
      <c r="F299" s="666"/>
      <c r="G299" s="899">
        <v>14240</v>
      </c>
      <c r="H299" s="840">
        <v>1075</v>
      </c>
      <c r="I299" s="839">
        <v>13989</v>
      </c>
      <c r="J299" s="901">
        <f>J297</f>
        <v>1165</v>
      </c>
      <c r="K299" s="839"/>
      <c r="L299" s="839"/>
      <c r="M299" s="839"/>
      <c r="N299" s="227">
        <f t="shared" si="4"/>
        <v>12274.927829999999</v>
      </c>
      <c r="O299" s="269" t="s">
        <v>3169</v>
      </c>
      <c r="P299" s="1233"/>
      <c r="R299" s="18">
        <v>13989</v>
      </c>
    </row>
    <row r="300" spans="1:18" s="18" customFormat="1" ht="24.95" hidden="1" customHeight="1">
      <c r="A300" s="443"/>
      <c r="B300" s="235" t="str">
        <f>'8-2.설비자재산출(무인보안)'!D96</f>
        <v>ELP전선관</v>
      </c>
      <c r="C300" s="235" t="str">
        <f>'8-2.설비자재산출(무인보안)'!E96</f>
        <v>30㎜</v>
      </c>
      <c r="D300" s="236" t="str">
        <f>'8-2.설비자재산출(무인보안)'!G96</f>
        <v>m</v>
      </c>
      <c r="E300" s="666"/>
      <c r="F300" s="666"/>
      <c r="G300" s="899">
        <v>360</v>
      </c>
      <c r="H300" s="901">
        <v>1106</v>
      </c>
      <c r="I300" s="839">
        <v>480</v>
      </c>
      <c r="J300" s="901">
        <v>1234</v>
      </c>
      <c r="K300" s="839"/>
      <c r="L300" s="839"/>
      <c r="M300" s="839"/>
      <c r="N300" s="227">
        <f t="shared" si="4"/>
        <v>315.88920000000002</v>
      </c>
      <c r="O300" s="269" t="s">
        <v>3170</v>
      </c>
      <c r="P300" s="1233"/>
      <c r="R300" s="18">
        <v>360</v>
      </c>
    </row>
    <row r="301" spans="1:18" s="18" customFormat="1" ht="24.95" hidden="1" customHeight="1">
      <c r="A301" s="443"/>
      <c r="B301" s="235" t="str">
        <f>'8-2.설비자재산출(무인보안)'!D97</f>
        <v>ELP전선관</v>
      </c>
      <c r="C301" s="235" t="str">
        <f>'8-2.설비자재산출(무인보안)'!E97</f>
        <v>40㎜</v>
      </c>
      <c r="D301" s="236" t="str">
        <f>'8-2.설비자재산출(무인보안)'!G97</f>
        <v>m</v>
      </c>
      <c r="E301" s="666"/>
      <c r="F301" s="666"/>
      <c r="G301" s="899">
        <v>550</v>
      </c>
      <c r="H301" s="901">
        <v>1106</v>
      </c>
      <c r="I301" s="839">
        <v>607</v>
      </c>
      <c r="J301" s="901">
        <f>J300</f>
        <v>1234</v>
      </c>
      <c r="K301" s="839"/>
      <c r="L301" s="839"/>
      <c r="M301" s="839"/>
      <c r="N301" s="227">
        <f t="shared" si="4"/>
        <v>482.60849999999999</v>
      </c>
      <c r="O301" s="269" t="s">
        <v>3169</v>
      </c>
      <c r="P301" s="1233"/>
      <c r="R301" s="18">
        <v>550</v>
      </c>
    </row>
    <row r="302" spans="1:18" s="18" customFormat="1" ht="24.95" hidden="1" customHeight="1">
      <c r="A302" s="443"/>
      <c r="B302" s="235" t="str">
        <f>'8-2.설비자재산출(무인보안)'!D98</f>
        <v>강제전선관</v>
      </c>
      <c r="C302" s="235" t="str">
        <f>'8-2.설비자재산출(무인보안)'!E98</f>
        <v>강제전선관, 22㎜</v>
      </c>
      <c r="D302" s="236" t="str">
        <f>'8-2.설비자재산출(무인보안)'!G98</f>
        <v>m</v>
      </c>
      <c r="E302" s="666"/>
      <c r="F302" s="666"/>
      <c r="G302" s="899">
        <v>4000</v>
      </c>
      <c r="H302" s="901">
        <v>1101</v>
      </c>
      <c r="I302" s="839">
        <v>4368</v>
      </c>
      <c r="J302" s="901">
        <f>J300</f>
        <v>1234</v>
      </c>
      <c r="K302" s="839"/>
      <c r="L302" s="839"/>
      <c r="M302" s="839"/>
      <c r="N302" s="227">
        <f t="shared" si="4"/>
        <v>3509.88</v>
      </c>
      <c r="O302" s="269" t="s">
        <v>3170</v>
      </c>
      <c r="P302" s="1233"/>
      <c r="R302" s="18">
        <v>4000</v>
      </c>
    </row>
    <row r="303" spans="1:18" s="18" customFormat="1" ht="24.95" hidden="1" customHeight="1">
      <c r="A303" s="443"/>
      <c r="B303" s="235" t="str">
        <f>'8-2.설비자재산출(무인보안)'!D99</f>
        <v>강제전선관</v>
      </c>
      <c r="C303" s="235" t="str">
        <f>'8-2.설비자재산출(무인보안)'!E99</f>
        <v>강제전선관, 28㎜</v>
      </c>
      <c r="D303" s="236" t="str">
        <f>'8-2.설비자재산출(무인보안)'!G99</f>
        <v>m</v>
      </c>
      <c r="E303" s="666"/>
      <c r="F303" s="666"/>
      <c r="G303" s="899">
        <v>5200</v>
      </c>
      <c r="H303" s="901">
        <v>1101</v>
      </c>
      <c r="I303" s="839">
        <v>5709</v>
      </c>
      <c r="J303" s="901">
        <f>J300</f>
        <v>1234</v>
      </c>
      <c r="K303" s="839"/>
      <c r="L303" s="839"/>
      <c r="M303" s="839"/>
      <c r="N303" s="227">
        <f t="shared" si="4"/>
        <v>4562.8440000000001</v>
      </c>
      <c r="O303" s="269" t="s">
        <v>3170</v>
      </c>
      <c r="P303" s="1233"/>
      <c r="R303" s="18">
        <v>5200</v>
      </c>
    </row>
    <row r="304" spans="1:18" s="18" customFormat="1" ht="24.95" hidden="1" customHeight="1">
      <c r="A304" s="443"/>
      <c r="B304" s="235" t="str">
        <f>'8-2.설비자재산출(무인보안)'!D100</f>
        <v>플랙시블전선관</v>
      </c>
      <c r="C304" s="235" t="str">
        <f>'8-2.설비자재산출(무인보안)'!E100</f>
        <v>GW-22㎜</v>
      </c>
      <c r="D304" s="236" t="str">
        <f>'8-2.설비자재산출(무인보안)'!G100</f>
        <v>m</v>
      </c>
      <c r="E304" s="666"/>
      <c r="F304" s="666"/>
      <c r="G304" s="899">
        <v>2880</v>
      </c>
      <c r="H304" s="901">
        <v>1103</v>
      </c>
      <c r="I304" s="839">
        <v>935</v>
      </c>
      <c r="J304" s="901">
        <v>1237</v>
      </c>
      <c r="K304" s="839"/>
      <c r="L304" s="839"/>
      <c r="M304" s="839"/>
      <c r="N304" s="227">
        <f t="shared" si="4"/>
        <v>820.43444999999997</v>
      </c>
      <c r="O304" s="269" t="s">
        <v>3169</v>
      </c>
      <c r="P304" s="1233"/>
      <c r="R304" s="18">
        <v>935</v>
      </c>
    </row>
    <row r="305" spans="1:18" s="18" customFormat="1" ht="24.95" hidden="1" customHeight="1">
      <c r="A305" s="443"/>
      <c r="B305" s="235" t="str">
        <f>'8-2.설비자재산출(무인보안)'!D101</f>
        <v>플랙시블전선관</v>
      </c>
      <c r="C305" s="235" t="str">
        <f>'8-2.설비자재산출(무인보안)'!E101</f>
        <v>GW-28㎜</v>
      </c>
      <c r="D305" s="236" t="str">
        <f>'8-2.설비자재산출(무인보안)'!G101</f>
        <v>m</v>
      </c>
      <c r="E305" s="666"/>
      <c r="F305" s="666"/>
      <c r="G305" s="899">
        <v>3470</v>
      </c>
      <c r="H305" s="901">
        <v>1103</v>
      </c>
      <c r="I305" s="839">
        <v>1265</v>
      </c>
      <c r="J305" s="901">
        <f>J304</f>
        <v>1237</v>
      </c>
      <c r="K305" s="839"/>
      <c r="L305" s="839"/>
      <c r="M305" s="839"/>
      <c r="N305" s="227">
        <f t="shared" si="4"/>
        <v>1109.99955</v>
      </c>
      <c r="O305" s="269" t="s">
        <v>3169</v>
      </c>
      <c r="P305" s="1233"/>
      <c r="R305" s="18">
        <v>1265</v>
      </c>
    </row>
    <row r="306" spans="1:18" s="18" customFormat="1" ht="24.95" hidden="1" customHeight="1">
      <c r="A306" s="443"/>
      <c r="B306" s="235" t="str">
        <f>'8-2.설비자재산출(무인보안)'!D102</f>
        <v>알류미늄덕트</v>
      </c>
      <c r="C306" s="235" t="str">
        <f>'8-2.설비자재산출(무인보안)'!E102</f>
        <v>150*100</v>
      </c>
      <c r="D306" s="236" t="str">
        <f>'8-2.설비자재산출(무인보안)'!G102</f>
        <v>m</v>
      </c>
      <c r="E306" s="666"/>
      <c r="F306" s="666"/>
      <c r="G306" s="899">
        <v>44100</v>
      </c>
      <c r="H306" s="901">
        <v>1099</v>
      </c>
      <c r="I306" s="839">
        <v>50000</v>
      </c>
      <c r="J306" s="901">
        <v>1238</v>
      </c>
      <c r="K306" s="839"/>
      <c r="L306" s="839"/>
      <c r="M306" s="839"/>
      <c r="N306" s="227">
        <f t="shared" si="4"/>
        <v>38696.426999999996</v>
      </c>
      <c r="O306" s="269" t="s">
        <v>3170</v>
      </c>
      <c r="P306" s="1233"/>
      <c r="R306" s="18">
        <v>44100</v>
      </c>
    </row>
    <row r="307" spans="1:18" s="18" customFormat="1" ht="24.95" hidden="1" customHeight="1">
      <c r="A307" s="443"/>
      <c r="B307" s="235" t="str">
        <f>'8-2.설비자재산출(무인보안)'!D103</f>
        <v>노말밴드</v>
      </c>
      <c r="C307" s="235" t="str">
        <f>'8-2.설비자재산출(무인보안)'!E103</f>
        <v>노말밴드, 28㎜</v>
      </c>
      <c r="D307" s="236" t="str">
        <f>'8-2.설비자재산출(무인보안)'!G103</f>
        <v>개</v>
      </c>
      <c r="E307" s="666"/>
      <c r="F307" s="666"/>
      <c r="G307" s="899">
        <v>4500</v>
      </c>
      <c r="H307" s="901">
        <f>H302</f>
        <v>1101</v>
      </c>
      <c r="I307" s="839">
        <v>4031</v>
      </c>
      <c r="J307" s="901">
        <v>1235</v>
      </c>
      <c r="K307" s="839"/>
      <c r="L307" s="839"/>
      <c r="M307" s="839"/>
      <c r="N307" s="227">
        <f t="shared" si="4"/>
        <v>3537.0815699999998</v>
      </c>
      <c r="O307" s="269" t="s">
        <v>3169</v>
      </c>
      <c r="P307" s="1233"/>
      <c r="R307" s="18">
        <v>4031</v>
      </c>
    </row>
    <row r="308" spans="1:18" s="18" customFormat="1" ht="24.95" customHeight="1">
      <c r="A308" s="443"/>
      <c r="B308" s="235" t="str">
        <f>'8-2.설비자재산출(무인보안)'!D104</f>
        <v>셋트앙카(STS)</v>
      </c>
      <c r="C308" s="235" t="str">
        <f>'8-2.설비자재산출(무인보안)'!E104</f>
        <v>M10(3/8), 75㎜</v>
      </c>
      <c r="D308" s="236" t="str">
        <f>'8-2.설비자재산출(무인보안)'!G104</f>
        <v>개</v>
      </c>
      <c r="E308" s="666"/>
      <c r="F308" s="666"/>
      <c r="G308" s="582">
        <v>710</v>
      </c>
      <c r="H308" s="645">
        <v>53</v>
      </c>
      <c r="I308" s="582">
        <v>800</v>
      </c>
      <c r="J308" s="582">
        <v>1386</v>
      </c>
      <c r="K308" s="582"/>
      <c r="L308" s="839"/>
      <c r="M308" s="839"/>
      <c r="N308" s="227">
        <f t="shared" si="4"/>
        <v>623.00369999999998</v>
      </c>
      <c r="O308" s="269" t="s">
        <v>3170</v>
      </c>
      <c r="P308" s="1233"/>
      <c r="R308" s="18">
        <v>710</v>
      </c>
    </row>
    <row r="309" spans="1:18" s="18" customFormat="1" ht="24.95" hidden="1" customHeight="1">
      <c r="A309" s="443"/>
      <c r="B309" s="235" t="str">
        <f>'8-2.설비자재산출(무인보안)'!D105</f>
        <v>U-찬넬</v>
      </c>
      <c r="C309" s="235" t="str">
        <f>'8-2.설비자재산출(무인보안)'!E105</f>
        <v>40*40*2.6t, 1m, 용융</v>
      </c>
      <c r="D309" s="236" t="str">
        <f>'8-2.설비자재산출(무인보안)'!G105</f>
        <v>m</v>
      </c>
      <c r="E309" s="666"/>
      <c r="F309" s="666"/>
      <c r="G309" s="899"/>
      <c r="H309" s="901" t="s">
        <v>2368</v>
      </c>
      <c r="I309" s="839"/>
      <c r="J309" s="901" t="s">
        <v>2369</v>
      </c>
      <c r="K309" s="839"/>
      <c r="L309" s="839"/>
      <c r="M309" s="839"/>
      <c r="N309" s="227">
        <f t="shared" si="4"/>
        <v>0</v>
      </c>
      <c r="O309" s="269"/>
      <c r="P309" s="1233"/>
      <c r="R309" s="18">
        <v>0</v>
      </c>
    </row>
    <row r="310" spans="1:18" s="18" customFormat="1" ht="24.95" hidden="1" customHeight="1">
      <c r="A310" s="443"/>
      <c r="B310" s="235" t="str">
        <f>'8-2.설비자재산출(무인보안)'!D106</f>
        <v>찬넬용클램프</v>
      </c>
      <c r="C310" s="235" t="str">
        <f>'8-2.설비자재산출(무인보안)'!E106</f>
        <v>22㎜, 용융</v>
      </c>
      <c r="D310" s="236" t="str">
        <f>'8-2.설비자재산출(무인보안)'!G106</f>
        <v>개</v>
      </c>
      <c r="E310" s="666"/>
      <c r="F310" s="666"/>
      <c r="G310" s="899"/>
      <c r="H310" s="901">
        <f>H302</f>
        <v>1101</v>
      </c>
      <c r="I310" s="839"/>
      <c r="J310" s="901">
        <f>J302</f>
        <v>1234</v>
      </c>
      <c r="K310" s="839"/>
      <c r="L310" s="839"/>
      <c r="M310" s="839"/>
      <c r="N310" s="227">
        <f t="shared" si="4"/>
        <v>0</v>
      </c>
      <c r="O310" s="269"/>
      <c r="P310" s="1233"/>
      <c r="R310" s="18">
        <v>0</v>
      </c>
    </row>
    <row r="311" spans="1:18" s="18" customFormat="1" ht="24.95" hidden="1" customHeight="1">
      <c r="A311" s="443"/>
      <c r="B311" s="235" t="str">
        <f>'8-2.설비자재산출(무인보안)'!D107</f>
        <v>찬넬용클램프</v>
      </c>
      <c r="C311" s="235" t="str">
        <f>'8-2.설비자재산출(무인보안)'!E107</f>
        <v>28㎜, 용융</v>
      </c>
      <c r="D311" s="236" t="str">
        <f>'8-2.설비자재산출(무인보안)'!G107</f>
        <v>개</v>
      </c>
      <c r="E311" s="666"/>
      <c r="F311" s="666"/>
      <c r="G311" s="899"/>
      <c r="H311" s="901">
        <f>H310</f>
        <v>1101</v>
      </c>
      <c r="I311" s="839"/>
      <c r="J311" s="901">
        <f>J310</f>
        <v>1234</v>
      </c>
      <c r="K311" s="839"/>
      <c r="L311" s="839"/>
      <c r="M311" s="839"/>
      <c r="N311" s="227">
        <f t="shared" si="4"/>
        <v>0</v>
      </c>
      <c r="O311" s="269"/>
      <c r="P311" s="1233"/>
      <c r="R311" s="18">
        <v>0</v>
      </c>
    </row>
    <row r="312" spans="1:18" s="18" customFormat="1" ht="24.95" hidden="1" customHeight="1">
      <c r="A312" s="443"/>
      <c r="B312" s="235" t="str">
        <f>'8-2.설비자재산출(무인보안)'!D108</f>
        <v>스트롱앵커</v>
      </c>
      <c r="C312" s="235" t="str">
        <f>'8-2.설비자재산출(무인보안)'!E108</f>
        <v>스트롱앵커, 16㎜</v>
      </c>
      <c r="D312" s="236" t="str">
        <f>'8-2.설비자재산출(무인보안)'!G108</f>
        <v>개</v>
      </c>
      <c r="E312" s="666"/>
      <c r="F312" s="666"/>
      <c r="G312" s="899">
        <v>950</v>
      </c>
      <c r="H312" s="901">
        <v>53</v>
      </c>
      <c r="I312" s="839"/>
      <c r="J312" s="901"/>
      <c r="K312" s="839"/>
      <c r="L312" s="839"/>
      <c r="M312" s="839"/>
      <c r="N312" s="227">
        <f t="shared" si="4"/>
        <v>833.59649999999999</v>
      </c>
      <c r="O312" s="269" t="s">
        <v>3170</v>
      </c>
      <c r="P312" s="1233"/>
      <c r="R312" s="18">
        <v>950</v>
      </c>
    </row>
    <row r="313" spans="1:18" s="18" customFormat="1" ht="24.95" hidden="1" customHeight="1">
      <c r="A313" s="443"/>
      <c r="B313" s="235" t="str">
        <f>'8-2.설비자재산출(무인보안)'!D109</f>
        <v>행거볼트</v>
      </c>
      <c r="C313" s="235" t="str">
        <f>'8-2.설비자재산출(무인보안)'!E109</f>
        <v>M16 * 1000㎜</v>
      </c>
      <c r="D313" s="236" t="str">
        <f>'8-2.설비자재산출(무인보안)'!G109</f>
        <v>개</v>
      </c>
      <c r="E313" s="666"/>
      <c r="F313" s="666"/>
      <c r="G313" s="899"/>
      <c r="H313" s="901" t="s">
        <v>2370</v>
      </c>
      <c r="I313" s="839"/>
      <c r="J313" s="901" t="s">
        <v>2371</v>
      </c>
      <c r="K313" s="839"/>
      <c r="L313" s="839"/>
      <c r="M313" s="839"/>
      <c r="N313" s="227">
        <f t="shared" si="4"/>
        <v>0</v>
      </c>
      <c r="O313" s="269"/>
      <c r="P313" s="1233"/>
      <c r="R313" s="18">
        <v>0</v>
      </c>
    </row>
    <row r="314" spans="1:18" s="18" customFormat="1" ht="24.95" hidden="1" customHeight="1">
      <c r="A314" s="443"/>
      <c r="B314" s="235" t="str">
        <f>'8-2.설비자재산출(무인보안)'!D110</f>
        <v>6각 너트</v>
      </c>
      <c r="C314" s="235" t="str">
        <f>'8-2.설비자재산출(무인보안)'!E110</f>
        <v>3/8, M16</v>
      </c>
      <c r="D314" s="236" t="str">
        <f>'8-2.설비자재산출(무인보안)'!G110</f>
        <v>개</v>
      </c>
      <c r="E314" s="666"/>
      <c r="F314" s="666"/>
      <c r="G314" s="899"/>
      <c r="H314" s="901" t="s">
        <v>2372</v>
      </c>
      <c r="I314" s="839"/>
      <c r="J314" s="901" t="s">
        <v>2373</v>
      </c>
      <c r="K314" s="839"/>
      <c r="L314" s="839"/>
      <c r="M314" s="839"/>
      <c r="N314" s="227">
        <f t="shared" si="4"/>
        <v>0</v>
      </c>
      <c r="O314" s="269"/>
      <c r="P314" s="1233"/>
      <c r="R314" s="18">
        <v>0</v>
      </c>
    </row>
    <row r="315" spans="1:18" s="18" customFormat="1" ht="24.95" hidden="1" customHeight="1">
      <c r="A315" s="443"/>
      <c r="B315" s="235" t="str">
        <f>'8-2.설비자재산출(무인보안)'!D111</f>
        <v>스프링와샤</v>
      </c>
      <c r="C315" s="235" t="str">
        <f>'8-2.설비자재산출(무인보안)'!E111</f>
        <v>D16</v>
      </c>
      <c r="D315" s="236" t="str">
        <f>'8-2.설비자재산출(무인보안)'!G111</f>
        <v>개</v>
      </c>
      <c r="E315" s="666"/>
      <c r="F315" s="666"/>
      <c r="G315" s="899"/>
      <c r="H315" s="901" t="s">
        <v>2374</v>
      </c>
      <c r="I315" s="839"/>
      <c r="J315" s="901" t="s">
        <v>2375</v>
      </c>
      <c r="K315" s="839"/>
      <c r="L315" s="839"/>
      <c r="M315" s="839"/>
      <c r="N315" s="227">
        <f t="shared" si="4"/>
        <v>0</v>
      </c>
      <c r="O315" s="269"/>
      <c r="P315" s="1233"/>
      <c r="R315" s="18">
        <v>0</v>
      </c>
    </row>
    <row r="316" spans="1:18" s="18" customFormat="1" ht="24.95" customHeight="1">
      <c r="A316" s="443"/>
      <c r="B316" s="235" t="str">
        <f>'8-2.설비자재산출(무인보안)'!D112</f>
        <v>모듈러 플러그</v>
      </c>
      <c r="C316" s="235" t="str">
        <f>'8-2.설비자재산출(무인보안)'!E112</f>
        <v>RJ-45 STP용</v>
      </c>
      <c r="D316" s="236" t="str">
        <f>'8-2.설비자재산출(무인보안)'!G112</f>
        <v>개</v>
      </c>
      <c r="E316" s="666"/>
      <c r="F316" s="666"/>
      <c r="G316" s="899"/>
      <c r="H316" s="901"/>
      <c r="I316" s="839"/>
      <c r="J316" s="901"/>
      <c r="K316" s="493">
        <v>1000</v>
      </c>
      <c r="L316" s="493">
        <v>630</v>
      </c>
      <c r="M316" s="839"/>
      <c r="N316" s="227">
        <f t="shared" si="4"/>
        <v>552.80610000000001</v>
      </c>
      <c r="O316" s="269" t="s">
        <v>1752</v>
      </c>
      <c r="P316" s="1233"/>
      <c r="R316" s="18">
        <v>630</v>
      </c>
    </row>
    <row r="317" spans="1:18" s="18" customFormat="1" ht="24.95" hidden="1" customHeight="1">
      <c r="A317" s="443"/>
      <c r="B317" s="235" t="str">
        <f>'8-2.설비자재산출(무인보안)'!D114</f>
        <v>PA 단말기</v>
      </c>
      <c r="C317" s="235" t="str">
        <f>'8-2.설비자재산출(무인보안)'!E114</f>
        <v>구내방송연계용</v>
      </c>
      <c r="D317" s="236" t="str">
        <f>'8-2.설비자재산출(무인보안)'!G114</f>
        <v>개</v>
      </c>
      <c r="E317" s="666"/>
      <c r="F317" s="666"/>
      <c r="G317" s="899"/>
      <c r="H317" s="901"/>
      <c r="I317" s="839"/>
      <c r="J317" s="901"/>
      <c r="K317" s="839">
        <v>2700000</v>
      </c>
      <c r="L317" s="839">
        <v>2200000</v>
      </c>
      <c r="M317" s="839"/>
      <c r="N317" s="227">
        <f t="shared" si="4"/>
        <v>1930434</v>
      </c>
      <c r="O317" s="269" t="s">
        <v>1752</v>
      </c>
      <c r="P317" s="1233"/>
      <c r="R317" s="18">
        <v>2200000</v>
      </c>
    </row>
    <row r="318" spans="1:18" s="18" customFormat="1" ht="24.95" hidden="1" customHeight="1">
      <c r="A318" s="443"/>
      <c r="B318" s="235" t="str">
        <f>'8-2.설비자재산출(무인보안)'!D115</f>
        <v>PULL BOX</v>
      </c>
      <c r="C318" s="235" t="str">
        <f>'8-2.설비자재산출(무인보안)'!E115</f>
        <v>100*100*100, 1.6t</v>
      </c>
      <c r="D318" s="236" t="str">
        <f>'8-2.설비자재산출(무인보안)'!G115</f>
        <v>개</v>
      </c>
      <c r="E318" s="666"/>
      <c r="F318" s="666"/>
      <c r="G318" s="899"/>
      <c r="H318" s="901"/>
      <c r="I318" s="839"/>
      <c r="J318" s="901"/>
      <c r="K318" s="839"/>
      <c r="L318" s="839"/>
      <c r="M318" s="839"/>
      <c r="N318" s="227">
        <f t="shared" si="4"/>
        <v>0</v>
      </c>
      <c r="O318" s="269" t="s">
        <v>1752</v>
      </c>
      <c r="P318" s="1233"/>
      <c r="R318" s="18">
        <v>0</v>
      </c>
    </row>
    <row r="319" spans="1:18" s="18" customFormat="1" ht="24.95" hidden="1" customHeight="1">
      <c r="A319" s="443"/>
      <c r="B319" s="235" t="str">
        <f>'8-2.설비자재산출(무인보안)'!D116</f>
        <v>합성수지전기함</v>
      </c>
      <c r="C319" s="235" t="str">
        <f>'8-2.설비자재산출(무인보안)'!E116</f>
        <v>ABS, 300㎜*200㎜*180㎜</v>
      </c>
      <c r="D319" s="236" t="str">
        <f>'8-2.설비자재산출(무인보안)'!G116</f>
        <v>개</v>
      </c>
      <c r="E319" s="666"/>
      <c r="F319" s="666"/>
      <c r="G319" s="899"/>
      <c r="H319" s="901" t="s">
        <v>2376</v>
      </c>
      <c r="I319" s="839"/>
      <c r="J319" s="901" t="s">
        <v>2377</v>
      </c>
      <c r="K319" s="839"/>
      <c r="L319" s="839"/>
      <c r="M319" s="839"/>
      <c r="N319" s="227">
        <f t="shared" si="4"/>
        <v>0</v>
      </c>
      <c r="O319" s="269"/>
      <c r="P319" s="1233"/>
      <c r="R319" s="18">
        <v>0</v>
      </c>
    </row>
    <row r="320" spans="1:18" s="18" customFormat="1" ht="24.95" hidden="1" customHeight="1">
      <c r="A320" s="443"/>
      <c r="B320" s="235" t="str">
        <f>'8-2.설비자재산출(무인보안)'!D117</f>
        <v>단자대</v>
      </c>
      <c r="C320" s="235" t="str">
        <f>'8-2.설비자재산출(무인보안)'!E117</f>
        <v>20A,10P</v>
      </c>
      <c r="D320" s="236" t="str">
        <f>'8-2.설비자재산출(무인보안)'!G117</f>
        <v>개</v>
      </c>
      <c r="E320" s="666"/>
      <c r="F320" s="666"/>
      <c r="G320" s="899"/>
      <c r="H320" s="901"/>
      <c r="I320" s="839">
        <v>1900</v>
      </c>
      <c r="J320" s="901">
        <v>1232</v>
      </c>
      <c r="K320" s="839">
        <v>1000</v>
      </c>
      <c r="L320" s="839">
        <v>1600</v>
      </c>
      <c r="M320" s="839"/>
      <c r="N320" s="227">
        <f t="shared" si="4"/>
        <v>877.47</v>
      </c>
      <c r="O320" s="269" t="s">
        <v>1752</v>
      </c>
      <c r="P320" s="1233"/>
      <c r="R320" s="18">
        <v>1000</v>
      </c>
    </row>
    <row r="321" spans="1:18" s="18" customFormat="1" ht="24.95" customHeight="1">
      <c r="A321" s="443"/>
      <c r="B321" s="235" t="str">
        <f>'8-2.설비자재산출(무인보안)'!D118</f>
        <v>함체명판</v>
      </c>
      <c r="C321" s="235" t="str">
        <f>'8-2.설비자재산출(무인보안)'!E118</f>
        <v>아크릴(백색/검정색글자)</v>
      </c>
      <c r="D321" s="236" t="str">
        <f>'8-2.설비자재산출(무인보안)'!G118</f>
        <v>개</v>
      </c>
      <c r="E321" s="666"/>
      <c r="F321" s="666"/>
      <c r="G321" s="493"/>
      <c r="H321" s="578"/>
      <c r="I321" s="493"/>
      <c r="J321" s="578"/>
      <c r="K321" s="493">
        <v>35000</v>
      </c>
      <c r="L321" s="493">
        <v>28000</v>
      </c>
      <c r="M321" s="839"/>
      <c r="N321" s="227">
        <f t="shared" si="4"/>
        <v>24569.16</v>
      </c>
      <c r="O321" s="269" t="s">
        <v>1752</v>
      </c>
      <c r="P321" s="1233"/>
      <c r="R321" s="18">
        <v>28000</v>
      </c>
    </row>
    <row r="322" spans="1:18" s="18" customFormat="1" ht="24.95" customHeight="1">
      <c r="A322" s="443"/>
      <c r="B322" s="235" t="str">
        <f>'8-2.설비자재산출(무인보안)'!D119</f>
        <v>랙명판</v>
      </c>
      <c r="C322" s="235" t="str">
        <f>'8-2.설비자재산출(무인보안)'!E119</f>
        <v>AL,190*75*1t,헤어라인/검정색도색후 실크인쇄,후면 벨크로</v>
      </c>
      <c r="D322" s="236" t="str">
        <f>'8-2.설비자재산출(무인보안)'!G119</f>
        <v>개</v>
      </c>
      <c r="E322" s="666"/>
      <c r="F322" s="666"/>
      <c r="G322" s="493"/>
      <c r="H322" s="578"/>
      <c r="I322" s="493"/>
      <c r="J322" s="578"/>
      <c r="K322" s="493">
        <v>38000</v>
      </c>
      <c r="L322" s="493">
        <v>35000</v>
      </c>
      <c r="M322" s="839"/>
      <c r="N322" s="227">
        <f t="shared" si="4"/>
        <v>30711.45</v>
      </c>
      <c r="O322" s="269" t="s">
        <v>1752</v>
      </c>
      <c r="P322" s="1233"/>
      <c r="R322" s="18">
        <v>35000</v>
      </c>
    </row>
    <row r="323" spans="1:18" s="18" customFormat="1" ht="24.95" hidden="1" customHeight="1">
      <c r="A323" s="443"/>
      <c r="B323" s="235" t="str">
        <f>'8-2.설비자재산출(무인보안)'!D120</f>
        <v>KVM스위치</v>
      </c>
      <c r="C323" s="235" t="str">
        <f>'8-2.설비자재산출(무인보안)'!E120</f>
        <v>8CH 이상</v>
      </c>
      <c r="D323" s="236" t="str">
        <f>'8-2.설비자재산출(무인보안)'!G120</f>
        <v>개</v>
      </c>
      <c r="E323" s="666"/>
      <c r="F323" s="666"/>
      <c r="G323" s="899"/>
      <c r="H323" s="901" t="s">
        <v>2378</v>
      </c>
      <c r="I323" s="839"/>
      <c r="J323" s="901" t="s">
        <v>2379</v>
      </c>
      <c r="K323" s="839"/>
      <c r="L323" s="839"/>
      <c r="M323" s="839"/>
      <c r="N323" s="227">
        <f t="shared" ref="N294:N325" si="5">MIN(E323,F323,G323,I323,K323,L323,M323)</f>
        <v>0</v>
      </c>
      <c r="O323" s="269"/>
      <c r="P323" s="1233"/>
      <c r="R323" s="18">
        <v>0</v>
      </c>
    </row>
    <row r="324" spans="1:18" s="18" customFormat="1" ht="24.95" hidden="1" customHeight="1">
      <c r="A324" s="443"/>
      <c r="B324" s="235" t="str">
        <f>'8-2.설비자재산출(무인보안)'!D121</f>
        <v>닌연CD전선관</v>
      </c>
      <c r="C324" s="235" t="str">
        <f>'8-2.설비자재산출(무인보안)'!E121</f>
        <v>22C</v>
      </c>
      <c r="D324" s="236" t="str">
        <f>'8-2.설비자재산출(무인보안)'!G121</f>
        <v>m</v>
      </c>
      <c r="E324" s="666"/>
      <c r="F324" s="666"/>
      <c r="G324" s="899"/>
      <c r="H324" s="901"/>
      <c r="I324" s="839"/>
      <c r="J324" s="901"/>
      <c r="K324" s="839"/>
      <c r="L324" s="839"/>
      <c r="M324" s="839"/>
      <c r="N324" s="227">
        <f t="shared" si="5"/>
        <v>0</v>
      </c>
      <c r="O324" s="269" t="s">
        <v>1752</v>
      </c>
      <c r="P324" s="1233"/>
      <c r="R324" s="18">
        <v>0</v>
      </c>
    </row>
    <row r="325" spans="1:18" s="18" customFormat="1" ht="24.95" hidden="1" customHeight="1">
      <c r="A325" s="443"/>
      <c r="B325" s="235" t="str">
        <f>'8-2.설비자재산출(무인보안)'!D122</f>
        <v>적외선감지기브라켓</v>
      </c>
      <c r="C325" s="235" t="str">
        <f>'8-2.설비자재산출(무인보안)'!E122</f>
        <v>벽면부착형, SUS</v>
      </c>
      <c r="D325" s="236" t="str">
        <f>'8-2.설비자재산출(무인보안)'!G122</f>
        <v>개</v>
      </c>
      <c r="E325" s="666"/>
      <c r="F325" s="666"/>
      <c r="G325" s="899">
        <f>'[199]말비계(일위대가)'!F107</f>
        <v>0</v>
      </c>
      <c r="H325" s="901"/>
      <c r="I325" s="839"/>
      <c r="J325" s="901"/>
      <c r="K325" s="839"/>
      <c r="L325" s="839"/>
      <c r="M325" s="839"/>
      <c r="N325" s="227">
        <f t="shared" si="5"/>
        <v>0</v>
      </c>
      <c r="O325" s="269"/>
      <c r="P325" s="1233"/>
      <c r="R325" s="18">
        <v>0</v>
      </c>
    </row>
    <row r="326" spans="1:18" s="18" customFormat="1" ht="24.95" hidden="1" customHeight="1">
      <c r="A326" s="443"/>
      <c r="B326" s="235" t="str">
        <f>'8-2.설비자재산출(무인보안)'!D123</f>
        <v>안전발판사다리(말비계)</v>
      </c>
      <c r="C326" s="235" t="str">
        <f>'8-2.설비자재산출(무인보안)'!E123</f>
        <v>최대사용하중120kg미만,사용높이4.8m,안전난간,전도방지대,이동바퀴 포함</v>
      </c>
      <c r="D326" s="236" t="str">
        <f>'8-2.설비자재산출(무인보안)'!G123</f>
        <v>개</v>
      </c>
      <c r="E326" s="666"/>
      <c r="F326" s="666"/>
      <c r="G326" s="899">
        <f>'[199]말비계(일위대가)'!F108</f>
        <v>0</v>
      </c>
      <c r="H326" s="901"/>
      <c r="I326" s="839"/>
      <c r="J326" s="901"/>
      <c r="K326" s="839"/>
      <c r="L326" s="839"/>
      <c r="M326" s="839"/>
      <c r="N326" s="227">
        <f t="shared" ref="N326:N329" si="6">MIN(E326,F326,G326,I326,K326,L326,M326)</f>
        <v>0</v>
      </c>
      <c r="O326" s="269"/>
      <c r="P326" s="1233"/>
      <c r="R326" s="18">
        <v>0</v>
      </c>
    </row>
    <row r="327" spans="1:18" s="18" customFormat="1" ht="24.95" hidden="1" customHeight="1">
      <c r="A327" s="443"/>
      <c r="B327" s="235" t="str">
        <f>'8-2.설비자재산출(무인보안)'!D124</f>
        <v>압착슬리이브</v>
      </c>
      <c r="C327" s="235" t="str">
        <f>'8-2.설비자재산출(무인보안)'!E124</f>
        <v>동압착슬리브-C형 150㎟</v>
      </c>
      <c r="D327" s="236" t="str">
        <f>'8-2.설비자재산출(무인보안)'!G124</f>
        <v>개</v>
      </c>
      <c r="E327" s="666"/>
      <c r="F327" s="666"/>
      <c r="G327" s="899">
        <v>4000</v>
      </c>
      <c r="H327" s="901">
        <v>1100</v>
      </c>
      <c r="I327" s="839">
        <v>4118</v>
      </c>
      <c r="J327" s="901">
        <v>1230</v>
      </c>
      <c r="K327" s="839"/>
      <c r="L327" s="839"/>
      <c r="M327" s="839"/>
      <c r="N327" s="227">
        <f t="shared" si="6"/>
        <v>4000</v>
      </c>
      <c r="O327" s="269" t="s">
        <v>3170</v>
      </c>
      <c r="P327" s="1233"/>
      <c r="R327" s="18">
        <v>4000</v>
      </c>
    </row>
    <row r="328" spans="1:18" s="18" customFormat="1" ht="24.95" hidden="1" customHeight="1">
      <c r="A328" s="443"/>
      <c r="B328" s="235" t="str">
        <f>'8-2.설비자재산출(무인보안)'!D125</f>
        <v>로비폰</v>
      </c>
      <c r="C328" s="235" t="str">
        <f>'8-2.설비자재산출(무인보안)'!E125</f>
        <v>로비폰(자기)</v>
      </c>
      <c r="D328" s="236" t="str">
        <f>'8-2.설비자재산출(무인보안)'!G125</f>
        <v>개</v>
      </c>
      <c r="E328" s="666"/>
      <c r="F328" s="666"/>
      <c r="G328" s="899"/>
      <c r="H328" s="901"/>
      <c r="I328" s="839"/>
      <c r="J328" s="901"/>
      <c r="K328" s="839">
        <v>320000</v>
      </c>
      <c r="L328" s="839">
        <v>400000</v>
      </c>
      <c r="M328" s="839"/>
      <c r="N328" s="227">
        <f t="shared" si="6"/>
        <v>320000</v>
      </c>
      <c r="O328" s="269" t="s">
        <v>2422</v>
      </c>
      <c r="P328" s="1233"/>
      <c r="R328" s="18">
        <v>320000</v>
      </c>
    </row>
    <row r="329" spans="1:18" s="18" customFormat="1" ht="24.95" hidden="1" customHeight="1">
      <c r="A329" s="1343"/>
      <c r="B329" s="1344" t="str">
        <f>'8-2.설비자재산출(무인보안)'!D126</f>
        <v>IP비디오폰</v>
      </c>
      <c r="C329" s="1344" t="str">
        <f>'8-2.설비자재산출(무인보안)'!E126</f>
        <v>IP비디오폰(로비폰 연동, 모기)</v>
      </c>
      <c r="D329" s="1345" t="str">
        <f>'8-2.설비자재산출(무인보안)'!G126</f>
        <v>개</v>
      </c>
      <c r="E329" s="1346"/>
      <c r="F329" s="1346"/>
      <c r="G329" s="1347"/>
      <c r="H329" s="1348"/>
      <c r="I329" s="1349"/>
      <c r="J329" s="1348"/>
      <c r="K329" s="1349">
        <v>305000</v>
      </c>
      <c r="L329" s="1349"/>
      <c r="M329" s="1349"/>
      <c r="N329" s="1350">
        <f t="shared" si="6"/>
        <v>305000</v>
      </c>
      <c r="O329" s="1351" t="s">
        <v>2422</v>
      </c>
      <c r="P329" s="1352"/>
      <c r="R329" s="18">
        <v>305000</v>
      </c>
    </row>
    <row r="330" spans="1:18" ht="24.95" customHeight="1">
      <c r="E330" s="687"/>
      <c r="F330" s="687"/>
      <c r="G330" s="688"/>
      <c r="H330" s="687"/>
      <c r="I330" s="688"/>
      <c r="J330" s="688"/>
      <c r="K330" s="798"/>
      <c r="L330" s="798"/>
      <c r="M330" s="798"/>
      <c r="N330" s="688"/>
    </row>
    <row r="331" spans="1:18" ht="24.95" customHeight="1"/>
    <row r="332" spans="1:18" ht="24.95" customHeight="1"/>
    <row r="333" spans="1:18" ht="24.95" customHeight="1">
      <c r="H333" s="226"/>
      <c r="J333" s="681"/>
    </row>
    <row r="334" spans="1:18" ht="24.95" customHeight="1"/>
  </sheetData>
  <mergeCells count="14">
    <mergeCell ref="A2:O2"/>
    <mergeCell ref="A4:A6"/>
    <mergeCell ref="B4:B6"/>
    <mergeCell ref="C4:C6"/>
    <mergeCell ref="D4:D6"/>
    <mergeCell ref="N4:N6"/>
    <mergeCell ref="E4:F4"/>
    <mergeCell ref="G5:H5"/>
    <mergeCell ref="I5:J5"/>
    <mergeCell ref="K5:M5"/>
    <mergeCell ref="G4:M4"/>
    <mergeCell ref="F5:F6"/>
    <mergeCell ref="E5:E6"/>
    <mergeCell ref="O4:P6"/>
  </mergeCells>
  <phoneticPr fontId="6" type="noConversion"/>
  <printOptions horizontalCentered="1"/>
  <pageMargins left="0.27559055118110237" right="0.19685039370078741" top="0.78740157480314965" bottom="0.39370078740157483" header="0.31496062992125984" footer="0.31496062992125984"/>
  <pageSetup paperSize="9" scale="40" orientation="portrait" horizontalDpi="4294967295" verticalDpi="4294967295" r:id="rId1"/>
  <headerFooter>
    <oddFooter>&amp;C&amp;P /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8"/>
  <dimension ref="A1:L114"/>
  <sheetViews>
    <sheetView view="pageBreakPreview" topLeftCell="A26" zoomScale="85" zoomScaleNormal="100" zoomScaleSheetLayoutView="85" workbookViewId="0">
      <selection activeCell="F27" sqref="F27"/>
    </sheetView>
  </sheetViews>
  <sheetFormatPr defaultColWidth="9" defaultRowHeight="24.95" customHeight="1"/>
  <cols>
    <col min="1" max="1" width="6.125" style="133" customWidth="1"/>
    <col min="2" max="2" width="14.875" style="133" customWidth="1"/>
    <col min="3" max="3" width="14.125" style="133" customWidth="1"/>
    <col min="4" max="4" width="9.625" style="133" customWidth="1"/>
    <col min="5" max="5" width="16.625" style="133" customWidth="1"/>
    <col min="6" max="6" width="18.5" style="133" customWidth="1"/>
    <col min="7" max="7" width="9.875" style="133" customWidth="1"/>
    <col min="8" max="8" width="9.125" style="133" customWidth="1"/>
    <col min="9" max="9" width="10.25" style="133" customWidth="1"/>
    <col min="10" max="10" width="7.625" style="133" customWidth="1"/>
    <col min="11" max="11" width="9" style="133"/>
    <col min="12" max="12" width="13.625" style="133" bestFit="1" customWidth="1"/>
    <col min="13" max="13" width="9" style="133"/>
    <col min="14" max="14" width="11.625" style="133" bestFit="1" customWidth="1"/>
    <col min="15" max="16384" width="9" style="133"/>
  </cols>
  <sheetData>
    <row r="1" spans="1:10" ht="9.9499999999999993" customHeight="1"/>
    <row r="2" spans="1:10" ht="31.5">
      <c r="A2" s="2078" t="s">
        <v>2611</v>
      </c>
      <c r="B2" s="2078"/>
      <c r="C2" s="2078"/>
      <c r="D2" s="2078"/>
      <c r="E2" s="2078"/>
      <c r="F2" s="2078"/>
      <c r="G2" s="2078"/>
      <c r="H2" s="2078"/>
      <c r="I2" s="2078"/>
      <c r="J2" s="2078"/>
    </row>
    <row r="3" spans="1:10" ht="20.100000000000001" customHeight="1">
      <c r="A3" s="591"/>
      <c r="B3" s="591"/>
      <c r="C3" s="591"/>
      <c r="D3" s="591"/>
      <c r="E3" s="591"/>
      <c r="F3" s="591"/>
      <c r="G3" s="591"/>
      <c r="H3" s="591"/>
      <c r="I3" s="591"/>
      <c r="J3" s="767" t="s">
        <v>3180</v>
      </c>
    </row>
    <row r="4" spans="1:10" s="134" customFormat="1" ht="20.100000000000001" customHeight="1">
      <c r="A4" s="592" t="s">
        <v>1301</v>
      </c>
      <c r="E4" s="593"/>
      <c r="F4" s="593"/>
      <c r="I4" s="684"/>
      <c r="J4" s="601" t="s">
        <v>3181</v>
      </c>
    </row>
    <row r="5" spans="1:10" s="134" customFormat="1" ht="20.100000000000001" customHeight="1">
      <c r="A5" s="594"/>
      <c r="B5" s="995" t="s">
        <v>1302</v>
      </c>
      <c r="C5" s="1999" t="s">
        <v>1303</v>
      </c>
      <c r="D5" s="2007"/>
      <c r="E5" s="2082" t="s">
        <v>2580</v>
      </c>
      <c r="F5" s="2082"/>
      <c r="G5" s="1999" t="s">
        <v>1304</v>
      </c>
      <c r="H5" s="2000"/>
      <c r="I5" s="2000"/>
      <c r="J5" s="2001"/>
    </row>
    <row r="6" spans="1:10" s="134" customFormat="1" ht="20.100000000000001" customHeight="1">
      <c r="A6" s="594"/>
      <c r="B6" s="1976" t="s">
        <v>1305</v>
      </c>
      <c r="C6" s="2052" t="s">
        <v>1306</v>
      </c>
      <c r="D6" s="2047"/>
      <c r="E6" s="2083">
        <v>0.15</v>
      </c>
      <c r="F6" s="2084"/>
      <c r="G6" s="2085" t="s">
        <v>1307</v>
      </c>
      <c r="H6" s="2086"/>
      <c r="I6" s="2086"/>
      <c r="J6" s="2087"/>
    </row>
    <row r="7" spans="1:10" s="134" customFormat="1" ht="20.100000000000001" customHeight="1">
      <c r="A7" s="594"/>
      <c r="B7" s="1977"/>
      <c r="C7" s="1991" t="s">
        <v>1308</v>
      </c>
      <c r="D7" s="1993"/>
      <c r="E7" s="2027">
        <v>0.152</v>
      </c>
      <c r="F7" s="2029"/>
      <c r="G7" s="2088"/>
      <c r="H7" s="2089"/>
      <c r="I7" s="2089"/>
      <c r="J7" s="2090"/>
    </row>
    <row r="8" spans="1:10" s="134" customFormat="1" ht="20.100000000000001" customHeight="1">
      <c r="A8" s="594"/>
      <c r="B8" s="1977"/>
      <c r="C8" s="2075" t="s">
        <v>1309</v>
      </c>
      <c r="D8" s="2071"/>
      <c r="E8" s="2076">
        <v>0.154</v>
      </c>
      <c r="F8" s="2077"/>
      <c r="G8" s="2088"/>
      <c r="H8" s="2089"/>
      <c r="I8" s="2089"/>
      <c r="J8" s="2090"/>
    </row>
    <row r="9" spans="1:10" s="134" customFormat="1" ht="20.100000000000001" customHeight="1">
      <c r="A9" s="594"/>
      <c r="B9" s="1978"/>
      <c r="C9" s="1991" t="s">
        <v>1310</v>
      </c>
      <c r="D9" s="1993"/>
      <c r="E9" s="2027">
        <v>0.16200000000000001</v>
      </c>
      <c r="F9" s="2029"/>
      <c r="G9" s="2088"/>
      <c r="H9" s="2089"/>
      <c r="I9" s="2089"/>
      <c r="J9" s="2090"/>
    </row>
    <row r="10" spans="1:10" s="134" customFormat="1" ht="20.100000000000001" customHeight="1">
      <c r="A10" s="594"/>
      <c r="B10" s="757" t="s">
        <v>1311</v>
      </c>
      <c r="C10" s="1996" t="s">
        <v>1312</v>
      </c>
      <c r="D10" s="1997"/>
      <c r="E10" s="1997"/>
      <c r="F10" s="1998"/>
      <c r="G10" s="2091"/>
      <c r="H10" s="2092"/>
      <c r="I10" s="2092"/>
      <c r="J10" s="2093"/>
    </row>
    <row r="11" spans="1:10" s="134" customFormat="1" ht="20.100000000000001" customHeight="1">
      <c r="A11" s="593" t="s">
        <v>1313</v>
      </c>
      <c r="J11" s="594"/>
    </row>
    <row r="12" spans="1:10" s="134" customFormat="1" ht="20.100000000000001" customHeight="1">
      <c r="A12" s="593" t="s">
        <v>1314</v>
      </c>
      <c r="I12" s="597"/>
      <c r="J12" s="594"/>
    </row>
    <row r="13" spans="1:10" s="134" customFormat="1" ht="20.100000000000001" customHeight="1">
      <c r="A13" s="598" t="s">
        <v>1315</v>
      </c>
      <c r="D13" s="599"/>
      <c r="I13" s="595">
        <f>E8</f>
        <v>0.154</v>
      </c>
      <c r="J13" s="594"/>
    </row>
    <row r="14" spans="1:10" s="134" customFormat="1" ht="20.100000000000001" customHeight="1">
      <c r="A14" s="593"/>
      <c r="I14" s="597"/>
      <c r="J14" s="594"/>
    </row>
    <row r="15" spans="1:10" s="134" customFormat="1" ht="20.100000000000001" customHeight="1">
      <c r="A15" s="592" t="s">
        <v>1316</v>
      </c>
      <c r="I15" s="597"/>
      <c r="J15" s="594"/>
    </row>
    <row r="16" spans="1:10" s="134" customFormat="1" ht="20.100000000000001" customHeight="1">
      <c r="A16" s="600" t="s">
        <v>1317</v>
      </c>
      <c r="I16" s="597"/>
      <c r="J16" s="594"/>
    </row>
    <row r="17" spans="1:12" s="134" customFormat="1" ht="20.100000000000001" customHeight="1">
      <c r="A17" s="593" t="s">
        <v>1318</v>
      </c>
      <c r="I17" s="597"/>
      <c r="J17" s="594"/>
    </row>
    <row r="18" spans="1:12" s="134" customFormat="1" ht="20.100000000000001" customHeight="1">
      <c r="A18" s="598" t="s">
        <v>1315</v>
      </c>
      <c r="D18" s="599"/>
      <c r="I18" s="595">
        <v>0.03</v>
      </c>
      <c r="J18" s="594"/>
    </row>
    <row r="19" spans="1:12" s="134" customFormat="1" ht="20.100000000000001" customHeight="1">
      <c r="A19" s="600" t="s">
        <v>1452</v>
      </c>
      <c r="E19" s="593"/>
      <c r="H19" s="597"/>
      <c r="I19" s="601"/>
      <c r="J19" s="601" t="s">
        <v>2581</v>
      </c>
      <c r="K19" s="134" t="s">
        <v>2358</v>
      </c>
    </row>
    <row r="20" spans="1:12" s="134" customFormat="1" ht="20.100000000000001" customHeight="1">
      <c r="A20" s="593" t="s">
        <v>1319</v>
      </c>
      <c r="C20" s="996"/>
      <c r="D20" s="996"/>
      <c r="E20" s="996"/>
      <c r="F20" s="996"/>
      <c r="G20" s="996"/>
      <c r="H20" s="996"/>
      <c r="I20" s="997"/>
      <c r="J20" s="997"/>
    </row>
    <row r="21" spans="1:12" s="134" customFormat="1" ht="20.100000000000001" customHeight="1">
      <c r="A21" s="593" t="s">
        <v>1320</v>
      </c>
      <c r="C21" s="996"/>
      <c r="D21" s="996"/>
      <c r="E21" s="996"/>
      <c r="F21" s="996"/>
      <c r="G21" s="996"/>
      <c r="H21" s="996"/>
      <c r="I21" s="997"/>
      <c r="J21" s="997"/>
    </row>
    <row r="22" spans="1:12" s="134" customFormat="1" ht="20.100000000000001" customHeight="1">
      <c r="A22" s="593" t="s">
        <v>2359</v>
      </c>
      <c r="I22" s="597"/>
      <c r="J22" s="594"/>
    </row>
    <row r="23" spans="1:12" s="134" customFormat="1" ht="20.100000000000001" customHeight="1">
      <c r="A23" s="598" t="s">
        <v>1315</v>
      </c>
      <c r="D23" s="599"/>
      <c r="F23" s="22">
        <f>(35+0.6)/1000</f>
        <v>3.56E-2</v>
      </c>
      <c r="G23" s="22">
        <f>(0.6+0.06)/1000</f>
        <v>6.5999999999999989E-4</v>
      </c>
      <c r="H23" s="998">
        <f>(F23+G23)</f>
        <v>3.6260000000000001E-2</v>
      </c>
      <c r="I23" s="670">
        <v>3.6260000000000001E-2</v>
      </c>
      <c r="J23" s="594"/>
    </row>
    <row r="24" spans="1:12" s="134" customFormat="1" ht="20.100000000000001" customHeight="1">
      <c r="A24" s="600" t="s">
        <v>1321</v>
      </c>
      <c r="F24" s="602"/>
      <c r="I24" s="684"/>
      <c r="J24" s="601" t="s">
        <v>2581</v>
      </c>
      <c r="L24" s="689"/>
    </row>
    <row r="25" spans="1:12" s="134" customFormat="1" ht="20.100000000000001" customHeight="1">
      <c r="A25" s="593" t="s">
        <v>1319</v>
      </c>
      <c r="J25" s="594"/>
    </row>
    <row r="26" spans="1:12" s="134" customFormat="1" ht="20.100000000000001" customHeight="1">
      <c r="A26" s="593" t="s">
        <v>1320</v>
      </c>
      <c r="J26" s="594"/>
    </row>
    <row r="27" spans="1:12" s="134" customFormat="1" ht="20.100000000000001" customHeight="1">
      <c r="A27" s="593" t="s">
        <v>2013</v>
      </c>
      <c r="J27" s="594"/>
    </row>
    <row r="28" spans="1:12" s="134" customFormat="1" ht="20.100000000000001" customHeight="1">
      <c r="A28" s="598" t="s">
        <v>1315</v>
      </c>
      <c r="D28" s="599"/>
      <c r="I28" s="603">
        <v>1.01E-2</v>
      </c>
      <c r="J28" s="594"/>
    </row>
    <row r="29" spans="1:12" s="134" customFormat="1" ht="20.100000000000001" customHeight="1">
      <c r="A29" s="600" t="s">
        <v>1322</v>
      </c>
      <c r="I29" s="684"/>
      <c r="J29" s="601" t="s">
        <v>2581</v>
      </c>
    </row>
    <row r="30" spans="1:12" s="134" customFormat="1" ht="20.100000000000001" customHeight="1">
      <c r="A30" s="593" t="s">
        <v>1323</v>
      </c>
      <c r="J30" s="594"/>
    </row>
    <row r="31" spans="1:12" s="134" customFormat="1" ht="20.100000000000001" customHeight="1">
      <c r="A31" s="593" t="s">
        <v>1324</v>
      </c>
      <c r="J31" s="594"/>
    </row>
    <row r="32" spans="1:12" s="134" customFormat="1" ht="20.100000000000001" customHeight="1">
      <c r="A32" s="598" t="s">
        <v>1315</v>
      </c>
      <c r="D32" s="599"/>
      <c r="I32" s="670">
        <v>3.5450000000000002E-2</v>
      </c>
      <c r="J32" s="594"/>
    </row>
    <row r="33" spans="1:11" s="134" customFormat="1" ht="20.100000000000001" customHeight="1">
      <c r="A33" s="600" t="s">
        <v>1325</v>
      </c>
      <c r="I33" s="684"/>
      <c r="J33" s="601" t="s">
        <v>2581</v>
      </c>
    </row>
    <row r="34" spans="1:11" s="134" customFormat="1" ht="20.100000000000001" customHeight="1">
      <c r="A34" s="593" t="s">
        <v>1323</v>
      </c>
      <c r="J34" s="594"/>
    </row>
    <row r="35" spans="1:11" s="134" customFormat="1" ht="20.100000000000001" customHeight="1">
      <c r="A35" s="593" t="s">
        <v>1324</v>
      </c>
      <c r="J35" s="594"/>
    </row>
    <row r="36" spans="1:11" s="134" customFormat="1" ht="20.100000000000001" customHeight="1">
      <c r="A36" s="598" t="s">
        <v>1315</v>
      </c>
      <c r="D36" s="599"/>
      <c r="I36" s="603">
        <v>4.4999999999999998E-2</v>
      </c>
      <c r="J36" s="594"/>
    </row>
    <row r="37" spans="1:11" s="134" customFormat="1" ht="20.100000000000001" customHeight="1">
      <c r="A37" s="600" t="s">
        <v>1326</v>
      </c>
      <c r="I37" s="601"/>
      <c r="J37" s="601" t="s">
        <v>2581</v>
      </c>
    </row>
    <row r="38" spans="1:11" s="134" customFormat="1" ht="20.100000000000001" customHeight="1">
      <c r="A38" s="593" t="s">
        <v>1327</v>
      </c>
      <c r="I38" s="597"/>
      <c r="J38" s="594"/>
    </row>
    <row r="39" spans="1:11" s="134" customFormat="1" ht="20.100000000000001" customHeight="1">
      <c r="A39" s="593" t="s">
        <v>1324</v>
      </c>
      <c r="I39" s="597"/>
      <c r="J39" s="594"/>
    </row>
    <row r="40" spans="1:11" s="134" customFormat="1" ht="20.100000000000001" customHeight="1">
      <c r="A40" s="598" t="s">
        <v>1315</v>
      </c>
      <c r="D40" s="599"/>
      <c r="I40" s="603">
        <v>2.3E-2</v>
      </c>
      <c r="J40" s="594"/>
      <c r="K40" s="134" t="s">
        <v>2360</v>
      </c>
    </row>
    <row r="41" spans="1:11" s="134" customFormat="1" ht="20.100000000000001" customHeight="1">
      <c r="A41" s="600" t="s">
        <v>1328</v>
      </c>
      <c r="B41" s="604"/>
      <c r="C41" s="604"/>
      <c r="D41" s="605"/>
      <c r="E41" s="605"/>
      <c r="F41" s="22"/>
      <c r="G41" s="22"/>
      <c r="H41" s="22"/>
      <c r="I41" s="22"/>
      <c r="J41" s="601" t="s">
        <v>2581</v>
      </c>
    </row>
    <row r="42" spans="1:11" s="134" customFormat="1" ht="20.100000000000001" customHeight="1">
      <c r="A42" s="593" t="s">
        <v>1323</v>
      </c>
      <c r="B42" s="604"/>
      <c r="C42" s="604"/>
      <c r="D42" s="605"/>
      <c r="E42" s="605"/>
      <c r="F42" s="866"/>
      <c r="G42" s="866"/>
      <c r="H42" s="866"/>
      <c r="I42" s="866"/>
      <c r="J42" s="866"/>
    </row>
    <row r="43" spans="1:11" s="134" customFormat="1" ht="20.100000000000001" customHeight="1">
      <c r="A43" s="606" t="s">
        <v>1329</v>
      </c>
      <c r="B43" s="604"/>
      <c r="C43" s="604"/>
      <c r="D43" s="605"/>
      <c r="E43" s="605"/>
      <c r="F43" s="605"/>
      <c r="G43" s="607"/>
      <c r="H43" s="607"/>
      <c r="I43" s="758">
        <v>0.1295</v>
      </c>
      <c r="J43" s="607"/>
    </row>
    <row r="44" spans="1:11" s="134" customFormat="1" ht="20.100000000000001" customHeight="1">
      <c r="A44" s="600" t="s">
        <v>1383</v>
      </c>
      <c r="I44" s="684"/>
      <c r="J44" s="601" t="s">
        <v>2581</v>
      </c>
    </row>
    <row r="45" spans="1:11" s="134" customFormat="1" ht="20.100000000000001" customHeight="1">
      <c r="A45" s="594"/>
      <c r="B45" s="2005" t="s">
        <v>1330</v>
      </c>
      <c r="C45" s="2006"/>
      <c r="D45" s="1999" t="s">
        <v>1331</v>
      </c>
      <c r="E45" s="2000"/>
      <c r="F45" s="2007"/>
      <c r="G45" s="1999" t="s">
        <v>1304</v>
      </c>
      <c r="H45" s="2000"/>
      <c r="I45" s="2000"/>
      <c r="J45" s="2001"/>
    </row>
    <row r="46" spans="1:11" s="134" customFormat="1" ht="20.100000000000001" customHeight="1">
      <c r="A46" s="594"/>
      <c r="B46" s="2045" t="s">
        <v>1332</v>
      </c>
      <c r="C46" s="2047"/>
      <c r="D46" s="2079">
        <v>0</v>
      </c>
      <c r="E46" s="2080"/>
      <c r="F46" s="2081"/>
      <c r="G46" s="1734" t="s">
        <v>2362</v>
      </c>
      <c r="H46" s="609"/>
      <c r="I46" s="609"/>
      <c r="J46" s="610"/>
    </row>
    <row r="47" spans="1:11" s="134" customFormat="1" ht="20.100000000000001" customHeight="1">
      <c r="A47" s="594"/>
      <c r="B47" s="2070" t="s">
        <v>212</v>
      </c>
      <c r="C47" s="2071"/>
      <c r="D47" s="2072">
        <v>2.07E-2</v>
      </c>
      <c r="E47" s="2073"/>
      <c r="F47" s="2074"/>
      <c r="G47" s="1735" t="s">
        <v>2365</v>
      </c>
      <c r="H47" s="609"/>
      <c r="I47" s="609"/>
      <c r="J47" s="610"/>
    </row>
    <row r="48" spans="1:11" s="134" customFormat="1" ht="20.100000000000001" customHeight="1">
      <c r="A48" s="594"/>
      <c r="B48" s="2055" t="s">
        <v>213</v>
      </c>
      <c r="C48" s="2056"/>
      <c r="D48" s="1254">
        <v>1.5900000000000001E-2</v>
      </c>
      <c r="E48" s="1253" t="s">
        <v>3182</v>
      </c>
      <c r="F48" s="1252"/>
      <c r="G48" s="1736" t="s">
        <v>2363</v>
      </c>
      <c r="H48" s="609"/>
      <c r="I48" s="609"/>
      <c r="J48" s="610"/>
    </row>
    <row r="49" spans="1:12" s="134" customFormat="1" ht="20.100000000000001" customHeight="1">
      <c r="A49" s="594"/>
      <c r="B49" s="2057" t="s">
        <v>214</v>
      </c>
      <c r="C49" s="2058"/>
      <c r="D49" s="2059">
        <v>1.6400000000000001E-2</v>
      </c>
      <c r="E49" s="2060"/>
      <c r="F49" s="2061"/>
      <c r="G49" s="612"/>
      <c r="H49" s="613"/>
      <c r="I49" s="613"/>
      <c r="J49" s="614"/>
    </row>
    <row r="50" spans="1:12" s="134" customFormat="1" ht="20.100000000000001" customHeight="1">
      <c r="A50" s="593" t="s">
        <v>1333</v>
      </c>
      <c r="F50" s="999"/>
      <c r="J50" s="594"/>
    </row>
    <row r="51" spans="1:12" s="134" customFormat="1" ht="20.100000000000001" customHeight="1">
      <c r="A51" s="593" t="s">
        <v>2361</v>
      </c>
      <c r="F51" s="999"/>
      <c r="G51" s="2096"/>
      <c r="H51" s="2096"/>
      <c r="I51" s="2097">
        <f>F51+G51</f>
        <v>0</v>
      </c>
      <c r="J51" s="2097"/>
      <c r="L51" s="268"/>
    </row>
    <row r="52" spans="1:12" s="134" customFormat="1" ht="20.100000000000001" customHeight="1">
      <c r="A52" s="593" t="s">
        <v>2364</v>
      </c>
      <c r="F52" s="999"/>
      <c r="G52" s="2096"/>
      <c r="H52" s="2096"/>
      <c r="I52" s="2097">
        <f>F52+G52</f>
        <v>0</v>
      </c>
      <c r="J52" s="2097"/>
      <c r="L52" s="268"/>
    </row>
    <row r="53" spans="1:12" s="134" customFormat="1" ht="20.100000000000001" customHeight="1">
      <c r="A53" s="598" t="s">
        <v>1334</v>
      </c>
      <c r="D53" s="599"/>
      <c r="H53" s="1255">
        <f>D47</f>
        <v>2.07E-2</v>
      </c>
      <c r="I53" s="1256"/>
      <c r="J53" s="1256" t="s">
        <v>2396</v>
      </c>
    </row>
    <row r="54" spans="1:12" s="134" customFormat="1" ht="20.100000000000001" customHeight="1">
      <c r="A54" s="598" t="s">
        <v>1335</v>
      </c>
      <c r="D54" s="599"/>
      <c r="H54" s="1255">
        <f>D48</f>
        <v>1.5900000000000001E-2</v>
      </c>
      <c r="I54" s="1258" t="str">
        <f>E48</f>
        <v>+2,450천원</v>
      </c>
      <c r="J54" s="615"/>
    </row>
    <row r="55" spans="1:12" s="134" customFormat="1" ht="20.100000000000001" customHeight="1">
      <c r="A55" s="598"/>
      <c r="D55" s="599"/>
      <c r="H55" s="1255"/>
      <c r="I55" s="1258"/>
      <c r="J55" s="615"/>
    </row>
    <row r="56" spans="1:12" s="134" customFormat="1" ht="20.100000000000001" customHeight="1">
      <c r="A56" s="598"/>
      <c r="D56" s="599"/>
      <c r="H56" s="1255"/>
      <c r="I56" s="1258"/>
      <c r="J56" s="615"/>
    </row>
    <row r="57" spans="1:12" s="134" customFormat="1" ht="20.100000000000001" customHeight="1">
      <c r="A57" s="600" t="s">
        <v>3361</v>
      </c>
      <c r="I57" s="601"/>
      <c r="J57" s="601" t="s">
        <v>2581</v>
      </c>
    </row>
    <row r="58" spans="1:12" s="134" customFormat="1" ht="20.100000000000001" customHeight="1">
      <c r="A58" s="594"/>
      <c r="B58" s="2062" t="s">
        <v>1302</v>
      </c>
      <c r="C58" s="2064" t="s">
        <v>1303</v>
      </c>
      <c r="D58" s="2065"/>
      <c r="E58" s="2068" t="s">
        <v>2366</v>
      </c>
      <c r="F58" s="2069"/>
      <c r="G58" s="2064" t="s">
        <v>1304</v>
      </c>
      <c r="H58" s="2098"/>
      <c r="I58" s="2098"/>
      <c r="J58" s="2099"/>
    </row>
    <row r="59" spans="1:12" s="134" customFormat="1" ht="20.100000000000001" customHeight="1">
      <c r="A59" s="594"/>
      <c r="B59" s="2063"/>
      <c r="C59" s="2066"/>
      <c r="D59" s="2067"/>
      <c r="E59" s="759" t="s">
        <v>1336</v>
      </c>
      <c r="F59" s="760" t="s">
        <v>1337</v>
      </c>
      <c r="G59" s="2066"/>
      <c r="H59" s="2100"/>
      <c r="I59" s="2100"/>
      <c r="J59" s="2101"/>
    </row>
    <row r="60" spans="1:12" s="134" customFormat="1" ht="20.100000000000001" customHeight="1">
      <c r="A60" s="594"/>
      <c r="B60" s="1976" t="s">
        <v>3362</v>
      </c>
      <c r="C60" s="2052" t="s">
        <v>1306</v>
      </c>
      <c r="D60" s="2047"/>
      <c r="E60" s="596">
        <v>4.5999999999999999E-2</v>
      </c>
      <c r="F60" s="616">
        <f>ROUND(E60*(19.3+30.2+17.8+12.3)/100,3)</f>
        <v>3.6999999999999998E-2</v>
      </c>
      <c r="G60" s="1982" t="s">
        <v>1338</v>
      </c>
      <c r="H60" s="1983"/>
      <c r="I60" s="1983"/>
      <c r="J60" s="1984"/>
    </row>
    <row r="61" spans="1:12" s="134" customFormat="1" ht="20.100000000000001" customHeight="1">
      <c r="A61" s="594"/>
      <c r="B61" s="1977"/>
      <c r="C61" s="1991" t="s">
        <v>1308</v>
      </c>
      <c r="D61" s="1993"/>
      <c r="E61" s="596">
        <v>4.7E-2</v>
      </c>
      <c r="F61" s="616">
        <f>ROUND(E61*(19.3+30.2+17.8+12.3)/100,3)</f>
        <v>3.6999999999999998E-2</v>
      </c>
      <c r="G61" s="1985"/>
      <c r="H61" s="1986"/>
      <c r="I61" s="1986"/>
      <c r="J61" s="1987"/>
    </row>
    <row r="62" spans="1:12" s="134" customFormat="1" ht="20.100000000000001" customHeight="1">
      <c r="A62" s="594"/>
      <c r="B62" s="1977"/>
      <c r="C62" s="2053" t="s">
        <v>1309</v>
      </c>
      <c r="D62" s="2054"/>
      <c r="E62" s="1687">
        <v>0.05</v>
      </c>
      <c r="F62" s="1688">
        <f>ROUND(E62*(19.3+30.2+17.8+12.3)/100,3)</f>
        <v>0.04</v>
      </c>
      <c r="G62" s="1985"/>
      <c r="H62" s="1986"/>
      <c r="I62" s="1986"/>
      <c r="J62" s="1987"/>
    </row>
    <row r="63" spans="1:12" s="134" customFormat="1" ht="20.100000000000001" customHeight="1">
      <c r="A63" s="594"/>
      <c r="B63" s="1978"/>
      <c r="C63" s="1991" t="s">
        <v>1310</v>
      </c>
      <c r="D63" s="1993"/>
      <c r="E63" s="596">
        <v>5.5E-2</v>
      </c>
      <c r="F63" s="616">
        <f>ROUND(E63*(19.3+30.2+17.8+12.3)/100,3)</f>
        <v>4.3999999999999997E-2</v>
      </c>
      <c r="G63" s="1985"/>
      <c r="H63" s="1986"/>
      <c r="I63" s="1986"/>
      <c r="J63" s="1987"/>
    </row>
    <row r="64" spans="1:12" s="134" customFormat="1" ht="20.100000000000001" customHeight="1">
      <c r="A64" s="594"/>
      <c r="B64" s="757"/>
      <c r="C64" s="1996" t="s">
        <v>1312</v>
      </c>
      <c r="D64" s="1997"/>
      <c r="E64" s="1997"/>
      <c r="F64" s="1998"/>
      <c r="G64" s="1988"/>
      <c r="H64" s="1989"/>
      <c r="I64" s="1989"/>
      <c r="J64" s="1990"/>
    </row>
    <row r="65" spans="1:10" s="134" customFormat="1" ht="20.100000000000001" customHeight="1">
      <c r="A65" s="594"/>
      <c r="B65" s="866"/>
      <c r="C65" s="866"/>
      <c r="D65" s="866"/>
      <c r="E65" s="866"/>
      <c r="F65" s="866"/>
      <c r="G65" s="983"/>
      <c r="H65" s="983"/>
      <c r="I65" s="983"/>
      <c r="J65" s="983"/>
    </row>
    <row r="66" spans="1:10" s="134" customFormat="1" ht="20.100000000000001" customHeight="1">
      <c r="A66" s="594"/>
      <c r="B66" s="866"/>
      <c r="C66" s="593" t="s">
        <v>1420</v>
      </c>
      <c r="D66" s="866"/>
      <c r="E66" s="866"/>
      <c r="F66" s="866"/>
      <c r="G66" s="983"/>
      <c r="H66" s="983"/>
      <c r="I66" s="983"/>
      <c r="J66" s="983"/>
    </row>
    <row r="67" spans="1:10" s="134" customFormat="1" ht="20.100000000000001" customHeight="1">
      <c r="A67" s="594"/>
      <c r="C67" s="2044" t="s">
        <v>1339</v>
      </c>
      <c r="D67" s="2000"/>
      <c r="E67" s="2007"/>
      <c r="F67" s="982" t="s">
        <v>1340</v>
      </c>
      <c r="G67" s="1999" t="s">
        <v>1339</v>
      </c>
      <c r="H67" s="2007"/>
      <c r="I67" s="1999" t="s">
        <v>1340</v>
      </c>
      <c r="J67" s="2001"/>
    </row>
    <row r="68" spans="1:10" s="134" customFormat="1" ht="20.100000000000001" customHeight="1">
      <c r="A68" s="594"/>
      <c r="C68" s="2045" t="s">
        <v>1341</v>
      </c>
      <c r="D68" s="2046"/>
      <c r="E68" s="2047"/>
      <c r="F68" s="617">
        <v>0.2</v>
      </c>
      <c r="G68" s="2048" t="s">
        <v>1342</v>
      </c>
      <c r="H68" s="2049"/>
      <c r="I68" s="2050">
        <v>0.17799999999999999</v>
      </c>
      <c r="J68" s="2051"/>
    </row>
    <row r="69" spans="1:10" s="134" customFormat="1" ht="20.100000000000001" customHeight="1">
      <c r="A69" s="594"/>
      <c r="B69" s="866"/>
      <c r="C69" s="2037" t="s">
        <v>1343</v>
      </c>
      <c r="D69" s="2038"/>
      <c r="E69" s="2039"/>
      <c r="F69" s="984">
        <v>0.193</v>
      </c>
      <c r="G69" s="2040" t="s">
        <v>1344</v>
      </c>
      <c r="H69" s="2039"/>
      <c r="I69" s="2041">
        <v>0.123</v>
      </c>
      <c r="J69" s="2042"/>
    </row>
    <row r="70" spans="1:10" s="134" customFormat="1" ht="20.100000000000001" customHeight="1">
      <c r="A70" s="594"/>
      <c r="B70" s="866"/>
      <c r="C70" s="2037" t="s">
        <v>1345</v>
      </c>
      <c r="D70" s="2038"/>
      <c r="E70" s="2039"/>
      <c r="F70" s="984">
        <v>0.30199999999999999</v>
      </c>
      <c r="G70" s="1991" t="s">
        <v>1346</v>
      </c>
      <c r="H70" s="1993"/>
      <c r="I70" s="2027">
        <v>4.0000000000000001E-3</v>
      </c>
      <c r="J70" s="2043"/>
    </row>
    <row r="71" spans="1:10" s="134" customFormat="1" ht="20.100000000000001" customHeight="1">
      <c r="A71" s="594"/>
      <c r="B71" s="866"/>
      <c r="C71" s="2002" t="s">
        <v>150</v>
      </c>
      <c r="D71" s="1997"/>
      <c r="E71" s="1997"/>
      <c r="F71" s="1997"/>
      <c r="G71" s="1997"/>
      <c r="H71" s="1998"/>
      <c r="I71" s="2003">
        <v>1</v>
      </c>
      <c r="J71" s="2004"/>
    </row>
    <row r="72" spans="1:10" s="134" customFormat="1" ht="20.100000000000001" customHeight="1">
      <c r="A72" s="594"/>
      <c r="B72" s="866"/>
      <c r="C72" s="866"/>
      <c r="D72" s="866"/>
      <c r="E72" s="866"/>
      <c r="F72" s="866"/>
      <c r="G72" s="983"/>
      <c r="H72" s="983"/>
      <c r="I72" s="983"/>
      <c r="J72" s="983"/>
    </row>
    <row r="73" spans="1:10" s="134" customFormat="1" ht="20.100000000000001" customHeight="1">
      <c r="A73" s="593" t="s">
        <v>1313</v>
      </c>
      <c r="J73" s="594"/>
    </row>
    <row r="74" spans="1:10" s="134" customFormat="1" ht="20.100000000000001" customHeight="1">
      <c r="A74" s="593" t="s">
        <v>1347</v>
      </c>
      <c r="I74" s="1699"/>
      <c r="J74" s="594"/>
    </row>
    <row r="75" spans="1:10" s="134" customFormat="1" ht="20.100000000000001" customHeight="1">
      <c r="A75" s="598" t="s">
        <v>1315</v>
      </c>
      <c r="D75" s="599"/>
      <c r="G75" s="597"/>
      <c r="H75" s="597"/>
      <c r="I75" s="595">
        <f>F62</f>
        <v>0.04</v>
      </c>
      <c r="J75" s="597"/>
    </row>
    <row r="76" spans="1:10" s="134" customFormat="1" ht="20.100000000000001" customHeight="1">
      <c r="A76" s="594"/>
      <c r="B76" s="604"/>
      <c r="C76" s="604"/>
      <c r="D76" s="605"/>
      <c r="E76" s="605"/>
      <c r="F76" s="605"/>
      <c r="G76" s="618"/>
      <c r="H76" s="618"/>
      <c r="I76" s="618"/>
      <c r="J76" s="618"/>
    </row>
    <row r="77" spans="1:10" s="134" customFormat="1" ht="20.100000000000001" customHeight="1">
      <c r="A77" s="592" t="s">
        <v>1348</v>
      </c>
      <c r="G77" s="597"/>
      <c r="H77" s="597"/>
      <c r="I77" s="601"/>
      <c r="J77" s="601" t="s">
        <v>2581</v>
      </c>
    </row>
    <row r="78" spans="1:10" s="134" customFormat="1" ht="20.100000000000001" customHeight="1">
      <c r="A78" s="594"/>
      <c r="B78" s="2005" t="s">
        <v>1349</v>
      </c>
      <c r="C78" s="2006"/>
      <c r="D78" s="1999" t="s">
        <v>1350</v>
      </c>
      <c r="E78" s="2000"/>
      <c r="F78" s="2007"/>
      <c r="G78" s="2008" t="s">
        <v>1304</v>
      </c>
      <c r="H78" s="2009"/>
      <c r="I78" s="2009"/>
      <c r="J78" s="2010"/>
    </row>
    <row r="79" spans="1:10" s="134" customFormat="1" ht="20.100000000000001" customHeight="1">
      <c r="A79" s="594"/>
      <c r="B79" s="2011" t="s">
        <v>1351</v>
      </c>
      <c r="C79" s="2012"/>
      <c r="D79" s="2013">
        <v>0.08</v>
      </c>
      <c r="E79" s="2014"/>
      <c r="F79" s="2015"/>
      <c r="G79" s="2016" t="s">
        <v>1352</v>
      </c>
      <c r="H79" s="2017"/>
      <c r="I79" s="2017"/>
      <c r="J79" s="2018"/>
    </row>
    <row r="80" spans="1:10" s="134" customFormat="1" ht="20.100000000000001" customHeight="1">
      <c r="A80" s="594"/>
      <c r="B80" s="2025" t="s">
        <v>1353</v>
      </c>
      <c r="C80" s="2026"/>
      <c r="D80" s="2027">
        <v>6.5000000000000002E-2</v>
      </c>
      <c r="E80" s="2028"/>
      <c r="F80" s="2029"/>
      <c r="G80" s="2019"/>
      <c r="H80" s="2020"/>
      <c r="I80" s="2020"/>
      <c r="J80" s="2021"/>
    </row>
    <row r="81" spans="1:10" s="134" customFormat="1" ht="20.100000000000001" customHeight="1">
      <c r="A81" s="594"/>
      <c r="B81" s="2025" t="s">
        <v>1354</v>
      </c>
      <c r="C81" s="2026"/>
      <c r="D81" s="2027">
        <v>0.05</v>
      </c>
      <c r="E81" s="2028"/>
      <c r="F81" s="2029"/>
      <c r="G81" s="2019"/>
      <c r="H81" s="2020"/>
      <c r="I81" s="2020"/>
      <c r="J81" s="2021"/>
    </row>
    <row r="82" spans="1:10" s="134" customFormat="1" ht="20.100000000000001" customHeight="1">
      <c r="A82" s="594"/>
      <c r="B82" s="2030" t="s">
        <v>1355</v>
      </c>
      <c r="C82" s="2031"/>
      <c r="D82" s="2032">
        <v>4.4999999999999998E-2</v>
      </c>
      <c r="E82" s="2033"/>
      <c r="F82" s="2034"/>
      <c r="G82" s="2022"/>
      <c r="H82" s="2023"/>
      <c r="I82" s="2023"/>
      <c r="J82" s="2024"/>
    </row>
    <row r="83" spans="1:10" s="134" customFormat="1" ht="20.100000000000001" customHeight="1">
      <c r="A83" s="593" t="s">
        <v>1356</v>
      </c>
      <c r="F83" s="268"/>
      <c r="G83" s="2094"/>
      <c r="H83" s="2094"/>
      <c r="I83" s="2095">
        <f>F83+G83</f>
        <v>0</v>
      </c>
      <c r="J83" s="2095"/>
    </row>
    <row r="84" spans="1:10" s="134" customFormat="1" ht="20.100000000000001" customHeight="1">
      <c r="A84" s="598" t="s">
        <v>1315</v>
      </c>
      <c r="D84" s="599"/>
      <c r="G84" s="597"/>
      <c r="H84" s="597"/>
      <c r="I84" s="595">
        <f>D79</f>
        <v>0.08</v>
      </c>
      <c r="J84" s="597"/>
    </row>
    <row r="85" spans="1:10" s="134" customFormat="1" ht="20.100000000000001" customHeight="1">
      <c r="A85" s="593"/>
      <c r="G85" s="597"/>
      <c r="H85" s="597"/>
      <c r="I85" s="597"/>
      <c r="J85" s="597"/>
    </row>
    <row r="86" spans="1:10" s="134" customFormat="1" ht="20.100000000000001" customHeight="1">
      <c r="A86" s="592" t="s">
        <v>1357</v>
      </c>
      <c r="I86" s="684"/>
      <c r="J86" s="601" t="s">
        <v>2581</v>
      </c>
    </row>
    <row r="87" spans="1:10" s="134" customFormat="1" ht="20.100000000000001" customHeight="1">
      <c r="A87" s="594"/>
      <c r="B87" s="678" t="s">
        <v>1358</v>
      </c>
      <c r="C87" s="2035" t="s">
        <v>1359</v>
      </c>
      <c r="D87" s="2036"/>
      <c r="E87" s="2006"/>
      <c r="F87" s="1000" t="s">
        <v>1360</v>
      </c>
      <c r="G87" s="1999" t="s">
        <v>1304</v>
      </c>
      <c r="H87" s="2000"/>
      <c r="I87" s="2000"/>
      <c r="J87" s="2001"/>
    </row>
    <row r="88" spans="1:10" s="134" customFormat="1" ht="20.100000000000001" customHeight="1">
      <c r="A88" s="594"/>
      <c r="B88" s="1976" t="s">
        <v>1361</v>
      </c>
      <c r="C88" s="1979" t="s">
        <v>1362</v>
      </c>
      <c r="D88" s="1980"/>
      <c r="E88" s="1981"/>
      <c r="F88" s="679">
        <v>0.15</v>
      </c>
      <c r="G88" s="1982" t="s">
        <v>1363</v>
      </c>
      <c r="H88" s="1983"/>
      <c r="I88" s="1983"/>
      <c r="J88" s="1984"/>
    </row>
    <row r="89" spans="1:10" s="134" customFormat="1" ht="20.100000000000001" customHeight="1">
      <c r="A89" s="594"/>
      <c r="B89" s="1977"/>
      <c r="C89" s="1991" t="s">
        <v>1364</v>
      </c>
      <c r="D89" s="1992"/>
      <c r="E89" s="1993"/>
      <c r="F89" s="596">
        <v>0.12</v>
      </c>
      <c r="G89" s="1985"/>
      <c r="H89" s="1986"/>
      <c r="I89" s="1986"/>
      <c r="J89" s="1987"/>
    </row>
    <row r="90" spans="1:10" s="134" customFormat="1" ht="20.100000000000001" customHeight="1">
      <c r="A90" s="594"/>
      <c r="B90" s="1977"/>
      <c r="C90" s="1991" t="s">
        <v>1365</v>
      </c>
      <c r="D90" s="1992"/>
      <c r="E90" s="1993"/>
      <c r="F90" s="596">
        <v>0.1</v>
      </c>
      <c r="G90" s="1985"/>
      <c r="H90" s="1986"/>
      <c r="I90" s="1986"/>
      <c r="J90" s="1987"/>
    </row>
    <row r="91" spans="1:10" s="134" customFormat="1" ht="20.100000000000001" customHeight="1">
      <c r="A91" s="594"/>
      <c r="B91" s="1978"/>
      <c r="C91" s="1991" t="s">
        <v>1366</v>
      </c>
      <c r="D91" s="1992"/>
      <c r="E91" s="1993"/>
      <c r="F91" s="596">
        <v>0.09</v>
      </c>
      <c r="G91" s="1985"/>
      <c r="H91" s="1986"/>
      <c r="I91" s="1986"/>
      <c r="J91" s="1987"/>
    </row>
    <row r="92" spans="1:10" s="134" customFormat="1" ht="20.100000000000001" customHeight="1">
      <c r="A92" s="594"/>
      <c r="B92" s="1994" t="s">
        <v>1367</v>
      </c>
      <c r="C92" s="1991" t="s">
        <v>1368</v>
      </c>
      <c r="D92" s="1992"/>
      <c r="E92" s="1993"/>
      <c r="F92" s="596">
        <v>0.1</v>
      </c>
      <c r="G92" s="1985"/>
      <c r="H92" s="1986"/>
      <c r="I92" s="1986"/>
      <c r="J92" s="1987"/>
    </row>
    <row r="93" spans="1:10" s="134" customFormat="1" ht="20.100000000000001" customHeight="1">
      <c r="A93" s="594"/>
      <c r="B93" s="1995"/>
      <c r="C93" s="1996" t="s">
        <v>1366</v>
      </c>
      <c r="D93" s="1997"/>
      <c r="E93" s="1998"/>
      <c r="F93" s="1001">
        <v>0.09</v>
      </c>
      <c r="G93" s="1988"/>
      <c r="H93" s="1989"/>
      <c r="I93" s="1989"/>
      <c r="J93" s="1990"/>
    </row>
    <row r="94" spans="1:10" s="134" customFormat="1" ht="20.100000000000001" customHeight="1">
      <c r="A94" s="598" t="s">
        <v>1315</v>
      </c>
      <c r="D94" s="599"/>
      <c r="I94" s="595">
        <v>0.15</v>
      </c>
      <c r="J94" s="594"/>
    </row>
    <row r="95" spans="1:10" s="134" customFormat="1" ht="24.95" customHeight="1">
      <c r="A95" s="619"/>
      <c r="B95" s="619"/>
      <c r="C95" s="619"/>
      <c r="D95" s="619"/>
      <c r="E95" s="619"/>
      <c r="F95" s="619"/>
      <c r="G95" s="619"/>
      <c r="H95" s="619"/>
      <c r="I95" s="619"/>
      <c r="J95" s="619"/>
    </row>
    <row r="96" spans="1:10" s="134" customFormat="1" ht="16.5">
      <c r="A96" s="619"/>
      <c r="B96" s="619"/>
      <c r="C96" s="619"/>
      <c r="D96" s="619"/>
      <c r="E96" s="619"/>
      <c r="F96" s="619"/>
      <c r="G96" s="619"/>
      <c r="H96" s="619"/>
      <c r="I96" s="619"/>
      <c r="J96" s="619"/>
    </row>
    <row r="97" spans="1:10" s="134" customFormat="1" ht="16.5">
      <c r="A97" s="619"/>
      <c r="B97" s="619"/>
      <c r="C97" s="619"/>
      <c r="D97" s="619"/>
      <c r="E97" s="619"/>
      <c r="F97" s="619"/>
      <c r="G97" s="619"/>
      <c r="H97" s="619"/>
      <c r="I97" s="619"/>
      <c r="J97" s="619"/>
    </row>
    <row r="98" spans="1:10" s="134" customFormat="1" ht="16.5">
      <c r="A98" s="619"/>
      <c r="B98" s="619"/>
      <c r="C98" s="619"/>
      <c r="D98" s="619"/>
      <c r="E98" s="619"/>
      <c r="F98" s="619"/>
      <c r="G98" s="619"/>
      <c r="H98" s="619"/>
      <c r="I98" s="619"/>
      <c r="J98" s="619"/>
    </row>
    <row r="99" spans="1:10" s="134" customFormat="1" ht="16.5">
      <c r="A99" s="619"/>
      <c r="B99" s="619"/>
      <c r="C99" s="619"/>
      <c r="D99" s="619"/>
      <c r="E99" s="619"/>
      <c r="F99" s="619"/>
      <c r="G99" s="619"/>
      <c r="H99" s="619"/>
      <c r="I99" s="619"/>
      <c r="J99" s="619"/>
    </row>
    <row r="100" spans="1:10" s="134" customFormat="1" ht="16.5">
      <c r="A100" s="619"/>
      <c r="B100" s="619"/>
      <c r="C100" s="619"/>
      <c r="D100" s="619"/>
      <c r="E100" s="619"/>
      <c r="F100" s="619"/>
      <c r="G100" s="619"/>
      <c r="H100" s="619"/>
      <c r="I100" s="619"/>
      <c r="J100" s="619"/>
    </row>
    <row r="101" spans="1:10" s="134" customFormat="1" ht="16.5">
      <c r="A101" s="619"/>
      <c r="B101" s="619"/>
      <c r="C101" s="619"/>
      <c r="D101" s="619"/>
      <c r="E101" s="619"/>
      <c r="F101" s="619"/>
      <c r="G101" s="619"/>
      <c r="H101" s="619"/>
      <c r="I101" s="619"/>
      <c r="J101" s="619"/>
    </row>
    <row r="102" spans="1:10" s="134" customFormat="1" ht="16.5">
      <c r="A102" s="619"/>
      <c r="B102" s="619"/>
      <c r="C102" s="619"/>
      <c r="D102" s="619"/>
      <c r="E102" s="619"/>
      <c r="F102" s="619"/>
      <c r="G102" s="619"/>
      <c r="H102" s="619"/>
      <c r="I102" s="619"/>
      <c r="J102" s="619"/>
    </row>
    <row r="103" spans="1:10" s="134" customFormat="1" ht="16.5">
      <c r="A103" s="619"/>
      <c r="B103" s="619"/>
      <c r="C103" s="619"/>
      <c r="D103" s="619"/>
      <c r="E103" s="619"/>
      <c r="F103" s="619"/>
      <c r="G103" s="619"/>
      <c r="H103" s="619"/>
      <c r="I103" s="619"/>
      <c r="J103" s="619"/>
    </row>
    <row r="104" spans="1:10" s="134" customFormat="1" ht="16.5">
      <c r="A104" s="619"/>
      <c r="B104" s="619"/>
      <c r="C104" s="619"/>
      <c r="D104" s="619"/>
      <c r="E104" s="619"/>
      <c r="F104" s="619"/>
      <c r="G104" s="619"/>
      <c r="H104" s="619"/>
      <c r="I104" s="619"/>
      <c r="J104" s="619"/>
    </row>
    <row r="105" spans="1:10" s="134" customFormat="1" ht="16.5">
      <c r="A105" s="619"/>
      <c r="B105" s="619"/>
      <c r="C105" s="619"/>
      <c r="D105" s="619"/>
      <c r="E105" s="619"/>
      <c r="F105" s="619"/>
      <c r="G105" s="619"/>
      <c r="H105" s="619"/>
      <c r="I105" s="619"/>
      <c r="J105" s="619"/>
    </row>
    <row r="106" spans="1:10" s="134" customFormat="1" ht="16.5">
      <c r="A106" s="619"/>
      <c r="B106" s="619"/>
      <c r="C106" s="619"/>
      <c r="D106" s="619"/>
      <c r="E106" s="619"/>
      <c r="F106" s="619"/>
      <c r="G106" s="619"/>
      <c r="H106" s="619"/>
      <c r="I106" s="619"/>
      <c r="J106" s="619"/>
    </row>
    <row r="107" spans="1:10" ht="17.25">
      <c r="A107" s="620"/>
      <c r="B107" s="620"/>
      <c r="C107" s="620"/>
      <c r="D107" s="620"/>
      <c r="E107" s="620"/>
      <c r="F107" s="620"/>
      <c r="G107" s="620"/>
      <c r="H107" s="620"/>
      <c r="I107" s="620"/>
      <c r="J107" s="620"/>
    </row>
    <row r="108" spans="1:10" ht="17.25">
      <c r="A108" s="620"/>
      <c r="B108" s="620"/>
      <c r="C108" s="620"/>
      <c r="D108" s="620"/>
      <c r="E108" s="620"/>
      <c r="F108" s="620"/>
      <c r="G108" s="620"/>
      <c r="H108" s="620"/>
      <c r="I108" s="620"/>
      <c r="J108" s="620"/>
    </row>
    <row r="109" spans="1:10" ht="17.25">
      <c r="A109" s="620"/>
      <c r="B109" s="620"/>
      <c r="C109" s="620"/>
      <c r="D109" s="620"/>
      <c r="E109" s="620"/>
      <c r="F109" s="620"/>
      <c r="G109" s="620"/>
      <c r="H109" s="620"/>
      <c r="I109" s="620"/>
      <c r="J109" s="620"/>
    </row>
    <row r="110" spans="1:10" ht="17.25">
      <c r="A110" s="620"/>
      <c r="B110" s="620"/>
      <c r="C110" s="620"/>
      <c r="D110" s="620"/>
      <c r="E110" s="620"/>
      <c r="F110" s="620"/>
      <c r="G110" s="620"/>
      <c r="H110" s="620"/>
      <c r="I110" s="620"/>
      <c r="J110" s="620"/>
    </row>
    <row r="111" spans="1:10" ht="17.25">
      <c r="A111" s="620"/>
      <c r="B111" s="620"/>
      <c r="C111" s="620"/>
      <c r="D111" s="620"/>
      <c r="E111" s="620"/>
      <c r="F111" s="620"/>
      <c r="G111" s="620"/>
      <c r="H111" s="620"/>
      <c r="I111" s="620"/>
      <c r="J111" s="620"/>
    </row>
    <row r="112" spans="1:10" ht="17.25">
      <c r="A112" s="620"/>
      <c r="B112" s="620"/>
      <c r="C112" s="620"/>
      <c r="D112" s="620"/>
      <c r="E112" s="620"/>
      <c r="F112" s="620"/>
      <c r="G112" s="620"/>
      <c r="H112" s="620"/>
      <c r="I112" s="620"/>
      <c r="J112" s="620"/>
    </row>
    <row r="113" spans="1:10" ht="17.25">
      <c r="A113" s="620"/>
      <c r="B113" s="620"/>
      <c r="C113" s="620"/>
      <c r="D113" s="620"/>
      <c r="E113" s="620"/>
      <c r="F113" s="620"/>
      <c r="G113" s="620"/>
      <c r="H113" s="620"/>
      <c r="I113" s="620"/>
      <c r="J113" s="620"/>
    </row>
    <row r="114" spans="1:10" ht="17.25">
      <c r="A114" s="620"/>
      <c r="B114" s="620"/>
      <c r="C114" s="620"/>
      <c r="D114" s="620"/>
      <c r="E114" s="620"/>
      <c r="F114" s="620"/>
      <c r="G114" s="620"/>
      <c r="H114" s="620"/>
      <c r="I114" s="620"/>
      <c r="J114" s="620"/>
    </row>
  </sheetData>
  <mergeCells count="79">
    <mergeCell ref="G83:H83"/>
    <mergeCell ref="I83:J83"/>
    <mergeCell ref="G51:H51"/>
    <mergeCell ref="G52:H52"/>
    <mergeCell ref="I51:J51"/>
    <mergeCell ref="I52:J52"/>
    <mergeCell ref="G58:J59"/>
    <mergeCell ref="A2:J2"/>
    <mergeCell ref="G45:J45"/>
    <mergeCell ref="B46:C46"/>
    <mergeCell ref="D46:F46"/>
    <mergeCell ref="C5:D5"/>
    <mergeCell ref="E5:F5"/>
    <mergeCell ref="G5:J5"/>
    <mergeCell ref="B6:B9"/>
    <mergeCell ref="C6:D6"/>
    <mergeCell ref="E6:F6"/>
    <mergeCell ref="G6:J10"/>
    <mergeCell ref="C7:D7"/>
    <mergeCell ref="E7:F7"/>
    <mergeCell ref="B47:C47"/>
    <mergeCell ref="D47:F47"/>
    <mergeCell ref="C8:D8"/>
    <mergeCell ref="E8:F8"/>
    <mergeCell ref="C9:D9"/>
    <mergeCell ref="E9:F9"/>
    <mergeCell ref="C10:F10"/>
    <mergeCell ref="B45:C45"/>
    <mergeCell ref="D45:F45"/>
    <mergeCell ref="B48:C48"/>
    <mergeCell ref="B49:C49"/>
    <mergeCell ref="D49:F49"/>
    <mergeCell ref="B58:B59"/>
    <mergeCell ref="C58:D59"/>
    <mergeCell ref="E58:F58"/>
    <mergeCell ref="B60:B63"/>
    <mergeCell ref="C60:D60"/>
    <mergeCell ref="G60:J64"/>
    <mergeCell ref="C61:D61"/>
    <mergeCell ref="C62:D62"/>
    <mergeCell ref="C63:D63"/>
    <mergeCell ref="C64:F64"/>
    <mergeCell ref="C67:E67"/>
    <mergeCell ref="G67:H67"/>
    <mergeCell ref="I67:J67"/>
    <mergeCell ref="C68:E68"/>
    <mergeCell ref="G68:H68"/>
    <mergeCell ref="I68:J68"/>
    <mergeCell ref="C69:E69"/>
    <mergeCell ref="G69:H69"/>
    <mergeCell ref="I69:J69"/>
    <mergeCell ref="C70:E70"/>
    <mergeCell ref="G70:H70"/>
    <mergeCell ref="I70:J70"/>
    <mergeCell ref="G87:J87"/>
    <mergeCell ref="C71:H71"/>
    <mergeCell ref="I71:J71"/>
    <mergeCell ref="B78:C78"/>
    <mergeCell ref="D78:F78"/>
    <mergeCell ref="G78:J78"/>
    <mergeCell ref="B79:C79"/>
    <mergeCell ref="D79:F79"/>
    <mergeCell ref="G79:J82"/>
    <mergeCell ref="B80:C80"/>
    <mergeCell ref="D80:F80"/>
    <mergeCell ref="B81:C81"/>
    <mergeCell ref="D81:F81"/>
    <mergeCell ref="B82:C82"/>
    <mergeCell ref="D82:F82"/>
    <mergeCell ref="C87:E87"/>
    <mergeCell ref="B88:B91"/>
    <mergeCell ref="C88:E88"/>
    <mergeCell ref="G88:J93"/>
    <mergeCell ref="C89:E89"/>
    <mergeCell ref="C90:E90"/>
    <mergeCell ref="C91:E91"/>
    <mergeCell ref="B92:B93"/>
    <mergeCell ref="C92:E92"/>
    <mergeCell ref="C93:E93"/>
  </mergeCells>
  <phoneticPr fontId="95" type="noConversion"/>
  <printOptions horizontalCentered="1"/>
  <pageMargins left="0.39370078740157483" right="0.39370078740157483" top="0.78740157480314965" bottom="0.39370078740157483" header="0.31496062992125984" footer="0.31496062992125984"/>
  <pageSetup paperSize="9" scale="75"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1311C-ED68-48F5-BE1D-2FBC42351873}">
  <dimension ref="A1:L251"/>
  <sheetViews>
    <sheetView view="pageBreakPreview" zoomScale="85" zoomScaleNormal="115" zoomScaleSheetLayoutView="85" workbookViewId="0">
      <pane ySplit="42" topLeftCell="A43" activePane="bottomLeft" state="frozen"/>
      <selection pane="bottomLeft" activeCell="F44" sqref="F44"/>
    </sheetView>
  </sheetViews>
  <sheetFormatPr defaultRowHeight="16.5"/>
  <cols>
    <col min="1" max="1" width="9" style="401" customWidth="1"/>
    <col min="2" max="2" width="24.375" style="20" customWidth="1"/>
    <col min="3" max="3" width="24.5" style="20" customWidth="1"/>
    <col min="4" max="4" width="6.5" style="21" customWidth="1"/>
    <col min="5" max="5" width="10.625" style="21" customWidth="1"/>
    <col min="6" max="9" width="12.5" style="19" customWidth="1"/>
    <col min="10" max="10" width="19.25" style="374" customWidth="1"/>
    <col min="11" max="11" width="12" style="5" bestFit="1" customWidth="1"/>
    <col min="12" max="258" width="9" style="5"/>
    <col min="259" max="259" width="5.875" style="5" customWidth="1"/>
    <col min="260" max="260" width="27.125" style="5" customWidth="1"/>
    <col min="261" max="261" width="31.25" style="5" customWidth="1"/>
    <col min="262" max="262" width="6.5" style="5" customWidth="1"/>
    <col min="263" max="265" width="7.625" style="5" customWidth="1"/>
    <col min="266" max="266" width="45.25" style="5" customWidth="1"/>
    <col min="267" max="267" width="12" style="5" bestFit="1" customWidth="1"/>
    <col min="268" max="514" width="9" style="5"/>
    <col min="515" max="515" width="5.875" style="5" customWidth="1"/>
    <col min="516" max="516" width="27.125" style="5" customWidth="1"/>
    <col min="517" max="517" width="31.25" style="5" customWidth="1"/>
    <col min="518" max="518" width="6.5" style="5" customWidth="1"/>
    <col min="519" max="521" width="7.625" style="5" customWidth="1"/>
    <col min="522" max="522" width="45.25" style="5" customWidth="1"/>
    <col min="523" max="523" width="12" style="5" bestFit="1" customWidth="1"/>
    <col min="524" max="770" width="9" style="5"/>
    <col min="771" max="771" width="5.875" style="5" customWidth="1"/>
    <col min="772" max="772" width="27.125" style="5" customWidth="1"/>
    <col min="773" max="773" width="31.25" style="5" customWidth="1"/>
    <col min="774" max="774" width="6.5" style="5" customWidth="1"/>
    <col min="775" max="777" width="7.625" style="5" customWidth="1"/>
    <col min="778" max="778" width="45.25" style="5" customWidth="1"/>
    <col min="779" max="779" width="12" style="5" bestFit="1" customWidth="1"/>
    <col min="780" max="1026" width="9" style="5"/>
    <col min="1027" max="1027" width="5.875" style="5" customWidth="1"/>
    <col min="1028" max="1028" width="27.125" style="5" customWidth="1"/>
    <col min="1029" max="1029" width="31.25" style="5" customWidth="1"/>
    <col min="1030" max="1030" width="6.5" style="5" customWidth="1"/>
    <col min="1031" max="1033" width="7.625" style="5" customWidth="1"/>
    <col min="1034" max="1034" width="45.25" style="5" customWidth="1"/>
    <col min="1035" max="1035" width="12" style="5" bestFit="1" customWidth="1"/>
    <col min="1036" max="1282" width="9" style="5"/>
    <col min="1283" max="1283" width="5.875" style="5" customWidth="1"/>
    <col min="1284" max="1284" width="27.125" style="5" customWidth="1"/>
    <col min="1285" max="1285" width="31.25" style="5" customWidth="1"/>
    <col min="1286" max="1286" width="6.5" style="5" customWidth="1"/>
    <col min="1287" max="1289" width="7.625" style="5" customWidth="1"/>
    <col min="1290" max="1290" width="45.25" style="5" customWidth="1"/>
    <col min="1291" max="1291" width="12" style="5" bestFit="1" customWidth="1"/>
    <col min="1292" max="1538" width="9" style="5"/>
    <col min="1539" max="1539" width="5.875" style="5" customWidth="1"/>
    <col min="1540" max="1540" width="27.125" style="5" customWidth="1"/>
    <col min="1541" max="1541" width="31.25" style="5" customWidth="1"/>
    <col min="1542" max="1542" width="6.5" style="5" customWidth="1"/>
    <col min="1543" max="1545" width="7.625" style="5" customWidth="1"/>
    <col min="1546" max="1546" width="45.25" style="5" customWidth="1"/>
    <col min="1547" max="1547" width="12" style="5" bestFit="1" customWidth="1"/>
    <col min="1548" max="1794" width="9" style="5"/>
    <col min="1795" max="1795" width="5.875" style="5" customWidth="1"/>
    <col min="1796" max="1796" width="27.125" style="5" customWidth="1"/>
    <col min="1797" max="1797" width="31.25" style="5" customWidth="1"/>
    <col min="1798" max="1798" width="6.5" style="5" customWidth="1"/>
    <col min="1799" max="1801" width="7.625" style="5" customWidth="1"/>
    <col min="1802" max="1802" width="45.25" style="5" customWidth="1"/>
    <col min="1803" max="1803" width="12" style="5" bestFit="1" customWidth="1"/>
    <col min="1804" max="2050" width="9" style="5"/>
    <col min="2051" max="2051" width="5.875" style="5" customWidth="1"/>
    <col min="2052" max="2052" width="27.125" style="5" customWidth="1"/>
    <col min="2053" max="2053" width="31.25" style="5" customWidth="1"/>
    <col min="2054" max="2054" width="6.5" style="5" customWidth="1"/>
    <col min="2055" max="2057" width="7.625" style="5" customWidth="1"/>
    <col min="2058" max="2058" width="45.25" style="5" customWidth="1"/>
    <col min="2059" max="2059" width="12" style="5" bestFit="1" customWidth="1"/>
    <col min="2060" max="2306" width="9" style="5"/>
    <col min="2307" max="2307" width="5.875" style="5" customWidth="1"/>
    <col min="2308" max="2308" width="27.125" style="5" customWidth="1"/>
    <col min="2309" max="2309" width="31.25" style="5" customWidth="1"/>
    <col min="2310" max="2310" width="6.5" style="5" customWidth="1"/>
    <col min="2311" max="2313" width="7.625" style="5" customWidth="1"/>
    <col min="2314" max="2314" width="45.25" style="5" customWidth="1"/>
    <col min="2315" max="2315" width="12" style="5" bestFit="1" customWidth="1"/>
    <col min="2316" max="2562" width="9" style="5"/>
    <col min="2563" max="2563" width="5.875" style="5" customWidth="1"/>
    <col min="2564" max="2564" width="27.125" style="5" customWidth="1"/>
    <col min="2565" max="2565" width="31.25" style="5" customWidth="1"/>
    <col min="2566" max="2566" width="6.5" style="5" customWidth="1"/>
    <col min="2567" max="2569" width="7.625" style="5" customWidth="1"/>
    <col min="2570" max="2570" width="45.25" style="5" customWidth="1"/>
    <col min="2571" max="2571" width="12" style="5" bestFit="1" customWidth="1"/>
    <col min="2572" max="2818" width="9" style="5"/>
    <col min="2819" max="2819" width="5.875" style="5" customWidth="1"/>
    <col min="2820" max="2820" width="27.125" style="5" customWidth="1"/>
    <col min="2821" max="2821" width="31.25" style="5" customWidth="1"/>
    <col min="2822" max="2822" width="6.5" style="5" customWidth="1"/>
    <col min="2823" max="2825" width="7.625" style="5" customWidth="1"/>
    <col min="2826" max="2826" width="45.25" style="5" customWidth="1"/>
    <col min="2827" max="2827" width="12" style="5" bestFit="1" customWidth="1"/>
    <col min="2828" max="3074" width="9" style="5"/>
    <col min="3075" max="3075" width="5.875" style="5" customWidth="1"/>
    <col min="3076" max="3076" width="27.125" style="5" customWidth="1"/>
    <col min="3077" max="3077" width="31.25" style="5" customWidth="1"/>
    <col min="3078" max="3078" width="6.5" style="5" customWidth="1"/>
    <col min="3079" max="3081" width="7.625" style="5" customWidth="1"/>
    <col min="3082" max="3082" width="45.25" style="5" customWidth="1"/>
    <col min="3083" max="3083" width="12" style="5" bestFit="1" customWidth="1"/>
    <col min="3084" max="3330" width="9" style="5"/>
    <col min="3331" max="3331" width="5.875" style="5" customWidth="1"/>
    <col min="3332" max="3332" width="27.125" style="5" customWidth="1"/>
    <col min="3333" max="3333" width="31.25" style="5" customWidth="1"/>
    <col min="3334" max="3334" width="6.5" style="5" customWidth="1"/>
    <col min="3335" max="3337" width="7.625" style="5" customWidth="1"/>
    <col min="3338" max="3338" width="45.25" style="5" customWidth="1"/>
    <col min="3339" max="3339" width="12" style="5" bestFit="1" customWidth="1"/>
    <col min="3340" max="3586" width="9" style="5"/>
    <col min="3587" max="3587" width="5.875" style="5" customWidth="1"/>
    <col min="3588" max="3588" width="27.125" style="5" customWidth="1"/>
    <col min="3589" max="3589" width="31.25" style="5" customWidth="1"/>
    <col min="3590" max="3590" width="6.5" style="5" customWidth="1"/>
    <col min="3591" max="3593" width="7.625" style="5" customWidth="1"/>
    <col min="3594" max="3594" width="45.25" style="5" customWidth="1"/>
    <col min="3595" max="3595" width="12" style="5" bestFit="1" customWidth="1"/>
    <col min="3596" max="3842" width="9" style="5"/>
    <col min="3843" max="3843" width="5.875" style="5" customWidth="1"/>
    <col min="3844" max="3844" width="27.125" style="5" customWidth="1"/>
    <col min="3845" max="3845" width="31.25" style="5" customWidth="1"/>
    <col min="3846" max="3846" width="6.5" style="5" customWidth="1"/>
    <col min="3847" max="3849" width="7.625" style="5" customWidth="1"/>
    <col min="3850" max="3850" width="45.25" style="5" customWidth="1"/>
    <col min="3851" max="3851" width="12" style="5" bestFit="1" customWidth="1"/>
    <col min="3852" max="4098" width="9" style="5"/>
    <col min="4099" max="4099" width="5.875" style="5" customWidth="1"/>
    <col min="4100" max="4100" width="27.125" style="5" customWidth="1"/>
    <col min="4101" max="4101" width="31.25" style="5" customWidth="1"/>
    <col min="4102" max="4102" width="6.5" style="5" customWidth="1"/>
    <col min="4103" max="4105" width="7.625" style="5" customWidth="1"/>
    <col min="4106" max="4106" width="45.25" style="5" customWidth="1"/>
    <col min="4107" max="4107" width="12" style="5" bestFit="1" customWidth="1"/>
    <col min="4108" max="4354" width="9" style="5"/>
    <col min="4355" max="4355" width="5.875" style="5" customWidth="1"/>
    <col min="4356" max="4356" width="27.125" style="5" customWidth="1"/>
    <col min="4357" max="4357" width="31.25" style="5" customWidth="1"/>
    <col min="4358" max="4358" width="6.5" style="5" customWidth="1"/>
    <col min="4359" max="4361" width="7.625" style="5" customWidth="1"/>
    <col min="4362" max="4362" width="45.25" style="5" customWidth="1"/>
    <col min="4363" max="4363" width="12" style="5" bestFit="1" customWidth="1"/>
    <col min="4364" max="4610" width="9" style="5"/>
    <col min="4611" max="4611" width="5.875" style="5" customWidth="1"/>
    <col min="4612" max="4612" width="27.125" style="5" customWidth="1"/>
    <col min="4613" max="4613" width="31.25" style="5" customWidth="1"/>
    <col min="4614" max="4614" width="6.5" style="5" customWidth="1"/>
    <col min="4615" max="4617" width="7.625" style="5" customWidth="1"/>
    <col min="4618" max="4618" width="45.25" style="5" customWidth="1"/>
    <col min="4619" max="4619" width="12" style="5" bestFit="1" customWidth="1"/>
    <col min="4620" max="4866" width="9" style="5"/>
    <col min="4867" max="4867" width="5.875" style="5" customWidth="1"/>
    <col min="4868" max="4868" width="27.125" style="5" customWidth="1"/>
    <col min="4869" max="4869" width="31.25" style="5" customWidth="1"/>
    <col min="4870" max="4870" width="6.5" style="5" customWidth="1"/>
    <col min="4871" max="4873" width="7.625" style="5" customWidth="1"/>
    <col min="4874" max="4874" width="45.25" style="5" customWidth="1"/>
    <col min="4875" max="4875" width="12" style="5" bestFit="1" customWidth="1"/>
    <col min="4876" max="5122" width="9" style="5"/>
    <col min="5123" max="5123" width="5.875" style="5" customWidth="1"/>
    <col min="5124" max="5124" width="27.125" style="5" customWidth="1"/>
    <col min="5125" max="5125" width="31.25" style="5" customWidth="1"/>
    <col min="5126" max="5126" width="6.5" style="5" customWidth="1"/>
    <col min="5127" max="5129" width="7.625" style="5" customWidth="1"/>
    <col min="5130" max="5130" width="45.25" style="5" customWidth="1"/>
    <col min="5131" max="5131" width="12" style="5" bestFit="1" customWidth="1"/>
    <col min="5132" max="5378" width="9" style="5"/>
    <col min="5379" max="5379" width="5.875" style="5" customWidth="1"/>
    <col min="5380" max="5380" width="27.125" style="5" customWidth="1"/>
    <col min="5381" max="5381" width="31.25" style="5" customWidth="1"/>
    <col min="5382" max="5382" width="6.5" style="5" customWidth="1"/>
    <col min="5383" max="5385" width="7.625" style="5" customWidth="1"/>
    <col min="5386" max="5386" width="45.25" style="5" customWidth="1"/>
    <col min="5387" max="5387" width="12" style="5" bestFit="1" customWidth="1"/>
    <col min="5388" max="5634" width="9" style="5"/>
    <col min="5635" max="5635" width="5.875" style="5" customWidth="1"/>
    <col min="5636" max="5636" width="27.125" style="5" customWidth="1"/>
    <col min="5637" max="5637" width="31.25" style="5" customWidth="1"/>
    <col min="5638" max="5638" width="6.5" style="5" customWidth="1"/>
    <col min="5639" max="5641" width="7.625" style="5" customWidth="1"/>
    <col min="5642" max="5642" width="45.25" style="5" customWidth="1"/>
    <col min="5643" max="5643" width="12" style="5" bestFit="1" customWidth="1"/>
    <col min="5644" max="5890" width="9" style="5"/>
    <col min="5891" max="5891" width="5.875" style="5" customWidth="1"/>
    <col min="5892" max="5892" width="27.125" style="5" customWidth="1"/>
    <col min="5893" max="5893" width="31.25" style="5" customWidth="1"/>
    <col min="5894" max="5894" width="6.5" style="5" customWidth="1"/>
    <col min="5895" max="5897" width="7.625" style="5" customWidth="1"/>
    <col min="5898" max="5898" width="45.25" style="5" customWidth="1"/>
    <col min="5899" max="5899" width="12" style="5" bestFit="1" customWidth="1"/>
    <col min="5900" max="6146" width="9" style="5"/>
    <col min="6147" max="6147" width="5.875" style="5" customWidth="1"/>
    <col min="6148" max="6148" width="27.125" style="5" customWidth="1"/>
    <col min="6149" max="6149" width="31.25" style="5" customWidth="1"/>
    <col min="6150" max="6150" width="6.5" style="5" customWidth="1"/>
    <col min="6151" max="6153" width="7.625" style="5" customWidth="1"/>
    <col min="6154" max="6154" width="45.25" style="5" customWidth="1"/>
    <col min="6155" max="6155" width="12" style="5" bestFit="1" customWidth="1"/>
    <col min="6156" max="6402" width="9" style="5"/>
    <col min="6403" max="6403" width="5.875" style="5" customWidth="1"/>
    <col min="6404" max="6404" width="27.125" style="5" customWidth="1"/>
    <col min="6405" max="6405" width="31.25" style="5" customWidth="1"/>
    <col min="6406" max="6406" width="6.5" style="5" customWidth="1"/>
    <col min="6407" max="6409" width="7.625" style="5" customWidth="1"/>
    <col min="6410" max="6410" width="45.25" style="5" customWidth="1"/>
    <col min="6411" max="6411" width="12" style="5" bestFit="1" customWidth="1"/>
    <col min="6412" max="6658" width="9" style="5"/>
    <col min="6659" max="6659" width="5.875" style="5" customWidth="1"/>
    <col min="6660" max="6660" width="27.125" style="5" customWidth="1"/>
    <col min="6661" max="6661" width="31.25" style="5" customWidth="1"/>
    <col min="6662" max="6662" width="6.5" style="5" customWidth="1"/>
    <col min="6663" max="6665" width="7.625" style="5" customWidth="1"/>
    <col min="6666" max="6666" width="45.25" style="5" customWidth="1"/>
    <col min="6667" max="6667" width="12" style="5" bestFit="1" customWidth="1"/>
    <col min="6668" max="6914" width="9" style="5"/>
    <col min="6915" max="6915" width="5.875" style="5" customWidth="1"/>
    <col min="6916" max="6916" width="27.125" style="5" customWidth="1"/>
    <col min="6917" max="6917" width="31.25" style="5" customWidth="1"/>
    <col min="6918" max="6918" width="6.5" style="5" customWidth="1"/>
    <col min="6919" max="6921" width="7.625" style="5" customWidth="1"/>
    <col min="6922" max="6922" width="45.25" style="5" customWidth="1"/>
    <col min="6923" max="6923" width="12" style="5" bestFit="1" customWidth="1"/>
    <col min="6924" max="7170" width="9" style="5"/>
    <col min="7171" max="7171" width="5.875" style="5" customWidth="1"/>
    <col min="7172" max="7172" width="27.125" style="5" customWidth="1"/>
    <col min="7173" max="7173" width="31.25" style="5" customWidth="1"/>
    <col min="7174" max="7174" width="6.5" style="5" customWidth="1"/>
    <col min="7175" max="7177" width="7.625" style="5" customWidth="1"/>
    <col min="7178" max="7178" width="45.25" style="5" customWidth="1"/>
    <col min="7179" max="7179" width="12" style="5" bestFit="1" customWidth="1"/>
    <col min="7180" max="7426" width="9" style="5"/>
    <col min="7427" max="7427" width="5.875" style="5" customWidth="1"/>
    <col min="7428" max="7428" width="27.125" style="5" customWidth="1"/>
    <col min="7429" max="7429" width="31.25" style="5" customWidth="1"/>
    <col min="7430" max="7430" width="6.5" style="5" customWidth="1"/>
    <col min="7431" max="7433" width="7.625" style="5" customWidth="1"/>
    <col min="7434" max="7434" width="45.25" style="5" customWidth="1"/>
    <col min="7435" max="7435" width="12" style="5" bestFit="1" customWidth="1"/>
    <col min="7436" max="7682" width="9" style="5"/>
    <col min="7683" max="7683" width="5.875" style="5" customWidth="1"/>
    <col min="7684" max="7684" width="27.125" style="5" customWidth="1"/>
    <col min="7685" max="7685" width="31.25" style="5" customWidth="1"/>
    <col min="7686" max="7686" width="6.5" style="5" customWidth="1"/>
    <col min="7687" max="7689" width="7.625" style="5" customWidth="1"/>
    <col min="7690" max="7690" width="45.25" style="5" customWidth="1"/>
    <col min="7691" max="7691" width="12" style="5" bestFit="1" customWidth="1"/>
    <col min="7692" max="7938" width="9" style="5"/>
    <col min="7939" max="7939" width="5.875" style="5" customWidth="1"/>
    <col min="7940" max="7940" width="27.125" style="5" customWidth="1"/>
    <col min="7941" max="7941" width="31.25" style="5" customWidth="1"/>
    <col min="7942" max="7942" width="6.5" style="5" customWidth="1"/>
    <col min="7943" max="7945" width="7.625" style="5" customWidth="1"/>
    <col min="7946" max="7946" width="45.25" style="5" customWidth="1"/>
    <col min="7947" max="7947" width="12" style="5" bestFit="1" customWidth="1"/>
    <col min="7948" max="8194" width="9" style="5"/>
    <col min="8195" max="8195" width="5.875" style="5" customWidth="1"/>
    <col min="8196" max="8196" width="27.125" style="5" customWidth="1"/>
    <col min="8197" max="8197" width="31.25" style="5" customWidth="1"/>
    <col min="8198" max="8198" width="6.5" style="5" customWidth="1"/>
    <col min="8199" max="8201" width="7.625" style="5" customWidth="1"/>
    <col min="8202" max="8202" width="45.25" style="5" customWidth="1"/>
    <col min="8203" max="8203" width="12" style="5" bestFit="1" customWidth="1"/>
    <col min="8204" max="8450" width="9" style="5"/>
    <col min="8451" max="8451" width="5.875" style="5" customWidth="1"/>
    <col min="8452" max="8452" width="27.125" style="5" customWidth="1"/>
    <col min="8453" max="8453" width="31.25" style="5" customWidth="1"/>
    <col min="8454" max="8454" width="6.5" style="5" customWidth="1"/>
    <col min="8455" max="8457" width="7.625" style="5" customWidth="1"/>
    <col min="8458" max="8458" width="45.25" style="5" customWidth="1"/>
    <col min="8459" max="8459" width="12" style="5" bestFit="1" customWidth="1"/>
    <col min="8460" max="8706" width="9" style="5"/>
    <col min="8707" max="8707" width="5.875" style="5" customWidth="1"/>
    <col min="8708" max="8708" width="27.125" style="5" customWidth="1"/>
    <col min="8709" max="8709" width="31.25" style="5" customWidth="1"/>
    <col min="8710" max="8710" width="6.5" style="5" customWidth="1"/>
    <col min="8711" max="8713" width="7.625" style="5" customWidth="1"/>
    <col min="8714" max="8714" width="45.25" style="5" customWidth="1"/>
    <col min="8715" max="8715" width="12" style="5" bestFit="1" customWidth="1"/>
    <col min="8716" max="8962" width="9" style="5"/>
    <col min="8963" max="8963" width="5.875" style="5" customWidth="1"/>
    <col min="8964" max="8964" width="27.125" style="5" customWidth="1"/>
    <col min="8965" max="8965" width="31.25" style="5" customWidth="1"/>
    <col min="8966" max="8966" width="6.5" style="5" customWidth="1"/>
    <col min="8967" max="8969" width="7.625" style="5" customWidth="1"/>
    <col min="8970" max="8970" width="45.25" style="5" customWidth="1"/>
    <col min="8971" max="8971" width="12" style="5" bestFit="1" customWidth="1"/>
    <col min="8972" max="9218" width="9" style="5"/>
    <col min="9219" max="9219" width="5.875" style="5" customWidth="1"/>
    <col min="9220" max="9220" width="27.125" style="5" customWidth="1"/>
    <col min="9221" max="9221" width="31.25" style="5" customWidth="1"/>
    <col min="9222" max="9222" width="6.5" style="5" customWidth="1"/>
    <col min="9223" max="9225" width="7.625" style="5" customWidth="1"/>
    <col min="9226" max="9226" width="45.25" style="5" customWidth="1"/>
    <col min="9227" max="9227" width="12" style="5" bestFit="1" customWidth="1"/>
    <col min="9228" max="9474" width="9" style="5"/>
    <col min="9475" max="9475" width="5.875" style="5" customWidth="1"/>
    <col min="9476" max="9476" width="27.125" style="5" customWidth="1"/>
    <col min="9477" max="9477" width="31.25" style="5" customWidth="1"/>
    <col min="9478" max="9478" width="6.5" style="5" customWidth="1"/>
    <col min="9479" max="9481" width="7.625" style="5" customWidth="1"/>
    <col min="9482" max="9482" width="45.25" style="5" customWidth="1"/>
    <col min="9483" max="9483" width="12" style="5" bestFit="1" customWidth="1"/>
    <col min="9484" max="9730" width="9" style="5"/>
    <col min="9731" max="9731" width="5.875" style="5" customWidth="1"/>
    <col min="9732" max="9732" width="27.125" style="5" customWidth="1"/>
    <col min="9733" max="9733" width="31.25" style="5" customWidth="1"/>
    <col min="9734" max="9734" width="6.5" style="5" customWidth="1"/>
    <col min="9735" max="9737" width="7.625" style="5" customWidth="1"/>
    <col min="9738" max="9738" width="45.25" style="5" customWidth="1"/>
    <col min="9739" max="9739" width="12" style="5" bestFit="1" customWidth="1"/>
    <col min="9740" max="9986" width="9" style="5"/>
    <col min="9987" max="9987" width="5.875" style="5" customWidth="1"/>
    <col min="9988" max="9988" width="27.125" style="5" customWidth="1"/>
    <col min="9989" max="9989" width="31.25" style="5" customWidth="1"/>
    <col min="9990" max="9990" width="6.5" style="5" customWidth="1"/>
    <col min="9991" max="9993" width="7.625" style="5" customWidth="1"/>
    <col min="9994" max="9994" width="45.25" style="5" customWidth="1"/>
    <col min="9995" max="9995" width="12" style="5" bestFit="1" customWidth="1"/>
    <col min="9996" max="10242" width="9" style="5"/>
    <col min="10243" max="10243" width="5.875" style="5" customWidth="1"/>
    <col min="10244" max="10244" width="27.125" style="5" customWidth="1"/>
    <col min="10245" max="10245" width="31.25" style="5" customWidth="1"/>
    <col min="10246" max="10246" width="6.5" style="5" customWidth="1"/>
    <col min="10247" max="10249" width="7.625" style="5" customWidth="1"/>
    <col min="10250" max="10250" width="45.25" style="5" customWidth="1"/>
    <col min="10251" max="10251" width="12" style="5" bestFit="1" customWidth="1"/>
    <col min="10252" max="10498" width="9" style="5"/>
    <col min="10499" max="10499" width="5.875" style="5" customWidth="1"/>
    <col min="10500" max="10500" width="27.125" style="5" customWidth="1"/>
    <col min="10501" max="10501" width="31.25" style="5" customWidth="1"/>
    <col min="10502" max="10502" width="6.5" style="5" customWidth="1"/>
    <col min="10503" max="10505" width="7.625" style="5" customWidth="1"/>
    <col min="10506" max="10506" width="45.25" style="5" customWidth="1"/>
    <col min="10507" max="10507" width="12" style="5" bestFit="1" customWidth="1"/>
    <col min="10508" max="10754" width="9" style="5"/>
    <col min="10755" max="10755" width="5.875" style="5" customWidth="1"/>
    <col min="10756" max="10756" width="27.125" style="5" customWidth="1"/>
    <col min="10757" max="10757" width="31.25" style="5" customWidth="1"/>
    <col min="10758" max="10758" width="6.5" style="5" customWidth="1"/>
    <col min="10759" max="10761" width="7.625" style="5" customWidth="1"/>
    <col min="10762" max="10762" width="45.25" style="5" customWidth="1"/>
    <col min="10763" max="10763" width="12" style="5" bestFit="1" customWidth="1"/>
    <col min="10764" max="11010" width="9" style="5"/>
    <col min="11011" max="11011" width="5.875" style="5" customWidth="1"/>
    <col min="11012" max="11012" width="27.125" style="5" customWidth="1"/>
    <col min="11013" max="11013" width="31.25" style="5" customWidth="1"/>
    <col min="11014" max="11014" width="6.5" style="5" customWidth="1"/>
    <col min="11015" max="11017" width="7.625" style="5" customWidth="1"/>
    <col min="11018" max="11018" width="45.25" style="5" customWidth="1"/>
    <col min="11019" max="11019" width="12" style="5" bestFit="1" customWidth="1"/>
    <col min="11020" max="11266" width="9" style="5"/>
    <col min="11267" max="11267" width="5.875" style="5" customWidth="1"/>
    <col min="11268" max="11268" width="27.125" style="5" customWidth="1"/>
    <col min="11269" max="11269" width="31.25" style="5" customWidth="1"/>
    <col min="11270" max="11270" width="6.5" style="5" customWidth="1"/>
    <col min="11271" max="11273" width="7.625" style="5" customWidth="1"/>
    <col min="11274" max="11274" width="45.25" style="5" customWidth="1"/>
    <col min="11275" max="11275" width="12" style="5" bestFit="1" customWidth="1"/>
    <col min="11276" max="11522" width="9" style="5"/>
    <col min="11523" max="11523" width="5.875" style="5" customWidth="1"/>
    <col min="11524" max="11524" width="27.125" style="5" customWidth="1"/>
    <col min="11525" max="11525" width="31.25" style="5" customWidth="1"/>
    <col min="11526" max="11526" width="6.5" style="5" customWidth="1"/>
    <col min="11527" max="11529" width="7.625" style="5" customWidth="1"/>
    <col min="11530" max="11530" width="45.25" style="5" customWidth="1"/>
    <col min="11531" max="11531" width="12" style="5" bestFit="1" customWidth="1"/>
    <col min="11532" max="11778" width="9" style="5"/>
    <col min="11779" max="11779" width="5.875" style="5" customWidth="1"/>
    <col min="11780" max="11780" width="27.125" style="5" customWidth="1"/>
    <col min="11781" max="11781" width="31.25" style="5" customWidth="1"/>
    <col min="11782" max="11782" width="6.5" style="5" customWidth="1"/>
    <col min="11783" max="11785" width="7.625" style="5" customWidth="1"/>
    <col min="11786" max="11786" width="45.25" style="5" customWidth="1"/>
    <col min="11787" max="11787" width="12" style="5" bestFit="1" customWidth="1"/>
    <col min="11788" max="12034" width="9" style="5"/>
    <col min="12035" max="12035" width="5.875" style="5" customWidth="1"/>
    <col min="12036" max="12036" width="27.125" style="5" customWidth="1"/>
    <col min="12037" max="12037" width="31.25" style="5" customWidth="1"/>
    <col min="12038" max="12038" width="6.5" style="5" customWidth="1"/>
    <col min="12039" max="12041" width="7.625" style="5" customWidth="1"/>
    <col min="12042" max="12042" width="45.25" style="5" customWidth="1"/>
    <col min="12043" max="12043" width="12" style="5" bestFit="1" customWidth="1"/>
    <col min="12044" max="12290" width="9" style="5"/>
    <col min="12291" max="12291" width="5.875" style="5" customWidth="1"/>
    <col min="12292" max="12292" width="27.125" style="5" customWidth="1"/>
    <col min="12293" max="12293" width="31.25" style="5" customWidth="1"/>
    <col min="12294" max="12294" width="6.5" style="5" customWidth="1"/>
    <col min="12295" max="12297" width="7.625" style="5" customWidth="1"/>
    <col min="12298" max="12298" width="45.25" style="5" customWidth="1"/>
    <col min="12299" max="12299" width="12" style="5" bestFit="1" customWidth="1"/>
    <col min="12300" max="12546" width="9" style="5"/>
    <col min="12547" max="12547" width="5.875" style="5" customWidth="1"/>
    <col min="12548" max="12548" width="27.125" style="5" customWidth="1"/>
    <col min="12549" max="12549" width="31.25" style="5" customWidth="1"/>
    <col min="12550" max="12550" width="6.5" style="5" customWidth="1"/>
    <col min="12551" max="12553" width="7.625" style="5" customWidth="1"/>
    <col min="12554" max="12554" width="45.25" style="5" customWidth="1"/>
    <col min="12555" max="12555" width="12" style="5" bestFit="1" customWidth="1"/>
    <col min="12556" max="12802" width="9" style="5"/>
    <col min="12803" max="12803" width="5.875" style="5" customWidth="1"/>
    <col min="12804" max="12804" width="27.125" style="5" customWidth="1"/>
    <col min="12805" max="12805" width="31.25" style="5" customWidth="1"/>
    <col min="12806" max="12806" width="6.5" style="5" customWidth="1"/>
    <col min="12807" max="12809" width="7.625" style="5" customWidth="1"/>
    <col min="12810" max="12810" width="45.25" style="5" customWidth="1"/>
    <col min="12811" max="12811" width="12" style="5" bestFit="1" customWidth="1"/>
    <col min="12812" max="13058" width="9" style="5"/>
    <col min="13059" max="13059" width="5.875" style="5" customWidth="1"/>
    <col min="13060" max="13060" width="27.125" style="5" customWidth="1"/>
    <col min="13061" max="13061" width="31.25" style="5" customWidth="1"/>
    <col min="13062" max="13062" width="6.5" style="5" customWidth="1"/>
    <col min="13063" max="13065" width="7.625" style="5" customWidth="1"/>
    <col min="13066" max="13066" width="45.25" style="5" customWidth="1"/>
    <col min="13067" max="13067" width="12" style="5" bestFit="1" customWidth="1"/>
    <col min="13068" max="13314" width="9" style="5"/>
    <col min="13315" max="13315" width="5.875" style="5" customWidth="1"/>
    <col min="13316" max="13316" width="27.125" style="5" customWidth="1"/>
    <col min="13317" max="13317" width="31.25" style="5" customWidth="1"/>
    <col min="13318" max="13318" width="6.5" style="5" customWidth="1"/>
    <col min="13319" max="13321" width="7.625" style="5" customWidth="1"/>
    <col min="13322" max="13322" width="45.25" style="5" customWidth="1"/>
    <col min="13323" max="13323" width="12" style="5" bestFit="1" customWidth="1"/>
    <col min="13324" max="13570" width="9" style="5"/>
    <col min="13571" max="13571" width="5.875" style="5" customWidth="1"/>
    <col min="13572" max="13572" width="27.125" style="5" customWidth="1"/>
    <col min="13573" max="13573" width="31.25" style="5" customWidth="1"/>
    <col min="13574" max="13574" width="6.5" style="5" customWidth="1"/>
    <col min="13575" max="13577" width="7.625" style="5" customWidth="1"/>
    <col min="13578" max="13578" width="45.25" style="5" customWidth="1"/>
    <col min="13579" max="13579" width="12" style="5" bestFit="1" customWidth="1"/>
    <col min="13580" max="13826" width="9" style="5"/>
    <col min="13827" max="13827" width="5.875" style="5" customWidth="1"/>
    <col min="13828" max="13828" width="27.125" style="5" customWidth="1"/>
    <col min="13829" max="13829" width="31.25" style="5" customWidth="1"/>
    <col min="13830" max="13830" width="6.5" style="5" customWidth="1"/>
    <col min="13831" max="13833" width="7.625" style="5" customWidth="1"/>
    <col min="13834" max="13834" width="45.25" style="5" customWidth="1"/>
    <col min="13835" max="13835" width="12" style="5" bestFit="1" customWidth="1"/>
    <col min="13836" max="14082" width="9" style="5"/>
    <col min="14083" max="14083" width="5.875" style="5" customWidth="1"/>
    <col min="14084" max="14084" width="27.125" style="5" customWidth="1"/>
    <col min="14085" max="14085" width="31.25" style="5" customWidth="1"/>
    <col min="14086" max="14086" width="6.5" style="5" customWidth="1"/>
    <col min="14087" max="14089" width="7.625" style="5" customWidth="1"/>
    <col min="14090" max="14090" width="45.25" style="5" customWidth="1"/>
    <col min="14091" max="14091" width="12" style="5" bestFit="1" customWidth="1"/>
    <col min="14092" max="14338" width="9" style="5"/>
    <col min="14339" max="14339" width="5.875" style="5" customWidth="1"/>
    <col min="14340" max="14340" width="27.125" style="5" customWidth="1"/>
    <col min="14341" max="14341" width="31.25" style="5" customWidth="1"/>
    <col min="14342" max="14342" width="6.5" style="5" customWidth="1"/>
    <col min="14343" max="14345" width="7.625" style="5" customWidth="1"/>
    <col min="14346" max="14346" width="45.25" style="5" customWidth="1"/>
    <col min="14347" max="14347" width="12" style="5" bestFit="1" customWidth="1"/>
    <col min="14348" max="14594" width="9" style="5"/>
    <col min="14595" max="14595" width="5.875" style="5" customWidth="1"/>
    <col min="14596" max="14596" width="27.125" style="5" customWidth="1"/>
    <col min="14597" max="14597" width="31.25" style="5" customWidth="1"/>
    <col min="14598" max="14598" width="6.5" style="5" customWidth="1"/>
    <col min="14599" max="14601" width="7.625" style="5" customWidth="1"/>
    <col min="14602" max="14602" width="45.25" style="5" customWidth="1"/>
    <col min="14603" max="14603" width="12" style="5" bestFit="1" customWidth="1"/>
    <col min="14604" max="14850" width="9" style="5"/>
    <col min="14851" max="14851" width="5.875" style="5" customWidth="1"/>
    <col min="14852" max="14852" width="27.125" style="5" customWidth="1"/>
    <col min="14853" max="14853" width="31.25" style="5" customWidth="1"/>
    <col min="14854" max="14854" width="6.5" style="5" customWidth="1"/>
    <col min="14855" max="14857" width="7.625" style="5" customWidth="1"/>
    <col min="14858" max="14858" width="45.25" style="5" customWidth="1"/>
    <col min="14859" max="14859" width="12" style="5" bestFit="1" customWidth="1"/>
    <col min="14860" max="15106" width="9" style="5"/>
    <col min="15107" max="15107" width="5.875" style="5" customWidth="1"/>
    <col min="15108" max="15108" width="27.125" style="5" customWidth="1"/>
    <col min="15109" max="15109" width="31.25" style="5" customWidth="1"/>
    <col min="15110" max="15110" width="6.5" style="5" customWidth="1"/>
    <col min="15111" max="15113" width="7.625" style="5" customWidth="1"/>
    <col min="15114" max="15114" width="45.25" style="5" customWidth="1"/>
    <col min="15115" max="15115" width="12" style="5" bestFit="1" customWidth="1"/>
    <col min="15116" max="15362" width="9" style="5"/>
    <col min="15363" max="15363" width="5.875" style="5" customWidth="1"/>
    <col min="15364" max="15364" width="27.125" style="5" customWidth="1"/>
    <col min="15365" max="15365" width="31.25" style="5" customWidth="1"/>
    <col min="15366" max="15366" width="6.5" style="5" customWidth="1"/>
    <col min="15367" max="15369" width="7.625" style="5" customWidth="1"/>
    <col min="15370" max="15370" width="45.25" style="5" customWidth="1"/>
    <col min="15371" max="15371" width="12" style="5" bestFit="1" customWidth="1"/>
    <col min="15372" max="15618" width="9" style="5"/>
    <col min="15619" max="15619" width="5.875" style="5" customWidth="1"/>
    <col min="15620" max="15620" width="27.125" style="5" customWidth="1"/>
    <col min="15621" max="15621" width="31.25" style="5" customWidth="1"/>
    <col min="15622" max="15622" width="6.5" style="5" customWidth="1"/>
    <col min="15623" max="15625" width="7.625" style="5" customWidth="1"/>
    <col min="15626" max="15626" width="45.25" style="5" customWidth="1"/>
    <col min="15627" max="15627" width="12" style="5" bestFit="1" customWidth="1"/>
    <col min="15628" max="15874" width="9" style="5"/>
    <col min="15875" max="15875" width="5.875" style="5" customWidth="1"/>
    <col min="15876" max="15876" width="27.125" style="5" customWidth="1"/>
    <col min="15877" max="15877" width="31.25" style="5" customWidth="1"/>
    <col min="15878" max="15878" width="6.5" style="5" customWidth="1"/>
    <col min="15879" max="15881" width="7.625" style="5" customWidth="1"/>
    <col min="15882" max="15882" width="45.25" style="5" customWidth="1"/>
    <col min="15883" max="15883" width="12" style="5" bestFit="1" customWidth="1"/>
    <col min="15884" max="16130" width="9" style="5"/>
    <col min="16131" max="16131" width="5.875" style="5" customWidth="1"/>
    <col min="16132" max="16132" width="27.125" style="5" customWidth="1"/>
    <col min="16133" max="16133" width="31.25" style="5" customWidth="1"/>
    <col min="16134" max="16134" width="6.5" style="5" customWidth="1"/>
    <col min="16135" max="16137" width="7.625" style="5" customWidth="1"/>
    <col min="16138" max="16138" width="45.25" style="5" customWidth="1"/>
    <col min="16139" max="16139" width="12" style="5" bestFit="1" customWidth="1"/>
    <col min="16140" max="16384" width="9" style="5"/>
  </cols>
  <sheetData>
    <row r="1" spans="1:12" ht="9.9499999999999993" customHeight="1"/>
    <row r="2" spans="1:12" ht="26.25" customHeight="1">
      <c r="A2" s="347" t="s">
        <v>2606</v>
      </c>
      <c r="B2" s="347"/>
      <c r="C2" s="347"/>
      <c r="D2" s="347"/>
      <c r="E2" s="347"/>
      <c r="F2" s="347"/>
      <c r="G2" s="347"/>
      <c r="H2" s="347"/>
      <c r="I2" s="347"/>
      <c r="J2" s="375"/>
      <c r="K2" s="5" t="s">
        <v>2382</v>
      </c>
    </row>
    <row r="3" spans="1:12" ht="26.25" customHeight="1">
      <c r="A3" s="402"/>
      <c r="B3" s="402"/>
      <c r="C3" s="402"/>
      <c r="D3" s="402"/>
      <c r="E3" s="402"/>
      <c r="F3" s="402"/>
      <c r="G3" s="402"/>
      <c r="H3" s="402"/>
      <c r="I3" s="402"/>
      <c r="J3" s="403"/>
    </row>
    <row r="4" spans="1:12" s="22" customFormat="1" ht="25.5" customHeight="1">
      <c r="A4" s="357" t="str">
        <f>표지!A13</f>
        <v>공사명 : 동해안#1 변환소 전력통신설비 시설공사</v>
      </c>
      <c r="B4" s="357"/>
      <c r="C4" s="357"/>
      <c r="D4" s="357"/>
      <c r="E4" s="357"/>
      <c r="F4" s="391"/>
      <c r="G4" s="391"/>
      <c r="H4" s="391"/>
      <c r="I4" s="391"/>
      <c r="J4" s="376"/>
    </row>
    <row r="5" spans="1:12" s="10" customFormat="1" ht="33.6" hidden="1" customHeight="1">
      <c r="A5" s="1950" t="s">
        <v>204</v>
      </c>
      <c r="B5" s="1952" t="s">
        <v>951</v>
      </c>
      <c r="C5" s="1952" t="s">
        <v>205</v>
      </c>
      <c r="D5" s="1952" t="s">
        <v>202</v>
      </c>
      <c r="E5" s="1517"/>
      <c r="F5" s="1948" t="s">
        <v>1019</v>
      </c>
      <c r="G5" s="1518"/>
      <c r="H5" s="1518"/>
      <c r="I5" s="1518"/>
      <c r="J5" s="1946" t="s">
        <v>203</v>
      </c>
      <c r="K5" s="10" t="s">
        <v>2383</v>
      </c>
    </row>
    <row r="6" spans="1:12" s="10" customFormat="1" ht="24.95" hidden="1" customHeight="1">
      <c r="A6" s="1951"/>
      <c r="B6" s="1953"/>
      <c r="C6" s="1953"/>
      <c r="D6" s="1954"/>
      <c r="E6" s="1430" t="s">
        <v>1472</v>
      </c>
      <c r="F6" s="1949"/>
      <c r="G6" s="1519"/>
      <c r="H6" s="1519"/>
      <c r="I6" s="1519"/>
      <c r="J6" s="1947"/>
    </row>
    <row r="7" spans="1:12" s="22" customFormat="1" ht="24.95" hidden="1" customHeight="1">
      <c r="A7" s="408" t="e">
        <f>'8-1.설비자재산출(전력통신)'!#REF!</f>
        <v>#REF!</v>
      </c>
      <c r="B7" s="579"/>
      <c r="C7" s="579"/>
      <c r="D7" s="739"/>
      <c r="E7" s="1431"/>
      <c r="F7" s="743"/>
      <c r="G7" s="1520"/>
      <c r="H7" s="1520"/>
      <c r="I7" s="1520"/>
      <c r="J7" s="580"/>
      <c r="K7" s="22" t="e">
        <v>#REF!</v>
      </c>
    </row>
    <row r="8" spans="1:12" s="22" customFormat="1" ht="24.95" hidden="1" customHeight="1">
      <c r="A8" s="267" t="e">
        <f>#REF!</f>
        <v>#REF!</v>
      </c>
      <c r="B8" s="397" t="e">
        <f>#REF!</f>
        <v>#REF!</v>
      </c>
      <c r="C8" s="404" t="e">
        <f>#REF!</f>
        <v>#REF!</v>
      </c>
      <c r="D8" s="740" t="e">
        <f>#REF!</f>
        <v>#REF!</v>
      </c>
      <c r="E8" s="739" t="e">
        <f>SUM(#REF!)</f>
        <v>#REF!</v>
      </c>
      <c r="F8" s="744" t="e">
        <f>#REF!</f>
        <v>#REF!</v>
      </c>
      <c r="G8" s="1521"/>
      <c r="H8" s="1521"/>
      <c r="I8" s="1521"/>
      <c r="J8" s="406"/>
      <c r="K8" s="22" t="e">
        <v>#REF!</v>
      </c>
    </row>
    <row r="9" spans="1:12" s="22" customFormat="1" ht="24.95" hidden="1" customHeight="1">
      <c r="A9" s="267" t="e">
        <f>#REF!</f>
        <v>#REF!</v>
      </c>
      <c r="B9" s="397" t="e">
        <f>#REF!</f>
        <v>#REF!</v>
      </c>
      <c r="C9" s="404" t="e">
        <f>#REF!</f>
        <v>#REF!</v>
      </c>
      <c r="D9" s="740" t="e">
        <f>#REF!</f>
        <v>#REF!</v>
      </c>
      <c r="E9" s="739" t="e">
        <f>SUM(#REF!)</f>
        <v>#REF!</v>
      </c>
      <c r="F9" s="744" t="e">
        <f>#REF!</f>
        <v>#REF!</v>
      </c>
      <c r="G9" s="1521"/>
      <c r="H9" s="1521"/>
      <c r="I9" s="1521"/>
      <c r="J9" s="406"/>
      <c r="K9" s="22" t="e">
        <v>#REF!</v>
      </c>
    </row>
    <row r="10" spans="1:12" s="22" customFormat="1" ht="24.95" hidden="1" customHeight="1">
      <c r="A10" s="267" t="e">
        <f>#REF!</f>
        <v>#REF!</v>
      </c>
      <c r="B10" s="397" t="e">
        <f>#REF!</f>
        <v>#REF!</v>
      </c>
      <c r="C10" s="404" t="e">
        <f>#REF!</f>
        <v>#REF!</v>
      </c>
      <c r="D10" s="740" t="e">
        <f>#REF!</f>
        <v>#REF!</v>
      </c>
      <c r="E10" s="739" t="e">
        <f>SUM(#REF!)</f>
        <v>#REF!</v>
      </c>
      <c r="F10" s="744" t="e">
        <f>#REF!</f>
        <v>#REF!</v>
      </c>
      <c r="G10" s="1521"/>
      <c r="H10" s="1521"/>
      <c r="I10" s="1521"/>
      <c r="J10" s="406"/>
      <c r="K10" s="22" t="e">
        <v>#REF!</v>
      </c>
    </row>
    <row r="11" spans="1:12" s="22" customFormat="1" ht="24.95" hidden="1" customHeight="1">
      <c r="A11" s="267" t="e">
        <f>#REF!</f>
        <v>#REF!</v>
      </c>
      <c r="B11" s="397" t="e">
        <f>#REF!</f>
        <v>#REF!</v>
      </c>
      <c r="C11" s="404" t="e">
        <f>#REF!</f>
        <v>#REF!</v>
      </c>
      <c r="D11" s="740" t="e">
        <f>#REF!</f>
        <v>#REF!</v>
      </c>
      <c r="E11" s="739" t="e">
        <f>SUM(#REF!)</f>
        <v>#REF!</v>
      </c>
      <c r="F11" s="744" t="e">
        <f>#REF!</f>
        <v>#REF!</v>
      </c>
      <c r="G11" s="1521"/>
      <c r="H11" s="1521"/>
      <c r="I11" s="1521"/>
      <c r="J11" s="406"/>
      <c r="K11" s="22" t="e">
        <v>#REF!</v>
      </c>
    </row>
    <row r="12" spans="1:12" s="22" customFormat="1" ht="24.95" hidden="1" customHeight="1">
      <c r="A12" s="267" t="e">
        <f>#REF!</f>
        <v>#REF!</v>
      </c>
      <c r="B12" s="397" t="e">
        <f>#REF!</f>
        <v>#REF!</v>
      </c>
      <c r="C12" s="404" t="e">
        <f>#REF!</f>
        <v>#REF!</v>
      </c>
      <c r="D12" s="740" t="e">
        <f>#REF!</f>
        <v>#REF!</v>
      </c>
      <c r="E12" s="739" t="e">
        <f>SUM(#REF!)</f>
        <v>#REF!</v>
      </c>
      <c r="F12" s="744" t="e">
        <f>#REF!</f>
        <v>#REF!</v>
      </c>
      <c r="G12" s="1521"/>
      <c r="H12" s="1521"/>
      <c r="I12" s="1521"/>
      <c r="J12" s="406"/>
      <c r="K12" s="268" t="e">
        <v>#REF!</v>
      </c>
      <c r="L12" s="268" t="e">
        <f>#REF!</f>
        <v>#REF!</v>
      </c>
    </row>
    <row r="13" spans="1:12" s="22" customFormat="1" ht="24.95" hidden="1" customHeight="1">
      <c r="A13" s="267" t="e">
        <f>#REF!</f>
        <v>#REF!</v>
      </c>
      <c r="B13" s="397" t="e">
        <f>#REF!</f>
        <v>#REF!</v>
      </c>
      <c r="C13" s="404" t="e">
        <f>#REF!</f>
        <v>#REF!</v>
      </c>
      <c r="D13" s="740" t="e">
        <f>#REF!</f>
        <v>#REF!</v>
      </c>
      <c r="E13" s="739" t="e">
        <f>SUM(#REF!)</f>
        <v>#REF!</v>
      </c>
      <c r="F13" s="744" t="e">
        <f>#REF!</f>
        <v>#REF!</v>
      </c>
      <c r="G13" s="1521"/>
      <c r="H13" s="1521"/>
      <c r="I13" s="1521"/>
      <c r="J13" s="406"/>
      <c r="K13" s="268" t="e">
        <v>#REF!</v>
      </c>
    </row>
    <row r="14" spans="1:12" s="22" customFormat="1" ht="24.95" hidden="1" customHeight="1">
      <c r="A14" s="267" t="e">
        <f>#REF!</f>
        <v>#REF!</v>
      </c>
      <c r="B14" s="397" t="e">
        <f>#REF!</f>
        <v>#REF!</v>
      </c>
      <c r="C14" s="404" t="e">
        <f>#REF!</f>
        <v>#REF!</v>
      </c>
      <c r="D14" s="740" t="e">
        <f>#REF!</f>
        <v>#REF!</v>
      </c>
      <c r="E14" s="739" t="e">
        <f>SUM(#REF!)</f>
        <v>#REF!</v>
      </c>
      <c r="F14" s="744" t="e">
        <f>#REF!</f>
        <v>#REF!</v>
      </c>
      <c r="G14" s="1521"/>
      <c r="H14" s="1521"/>
      <c r="I14" s="1521"/>
      <c r="J14" s="406"/>
      <c r="K14" s="268" t="e">
        <v>#REF!</v>
      </c>
    </row>
    <row r="15" spans="1:12" s="22" customFormat="1" ht="24.95" hidden="1" customHeight="1">
      <c r="A15" s="267" t="e">
        <f>#REF!</f>
        <v>#REF!</v>
      </c>
      <c r="B15" s="397" t="e">
        <f>#REF!</f>
        <v>#REF!</v>
      </c>
      <c r="C15" s="404" t="e">
        <f>#REF!</f>
        <v>#REF!</v>
      </c>
      <c r="D15" s="740" t="e">
        <f>#REF!</f>
        <v>#REF!</v>
      </c>
      <c r="E15" s="739" t="e">
        <f>SUM(#REF!)</f>
        <v>#REF!</v>
      </c>
      <c r="F15" s="744" t="e">
        <f>#REF!</f>
        <v>#REF!</v>
      </c>
      <c r="G15" s="1521"/>
      <c r="H15" s="1521"/>
      <c r="I15" s="1521"/>
      <c r="J15" s="406"/>
      <c r="K15" s="22" t="e">
        <v>#REF!</v>
      </c>
    </row>
    <row r="16" spans="1:12" s="22" customFormat="1" ht="24.95" hidden="1" customHeight="1">
      <c r="A16" s="267" t="e">
        <f>#REF!</f>
        <v>#REF!</v>
      </c>
      <c r="B16" s="397" t="e">
        <f>#REF!</f>
        <v>#REF!</v>
      </c>
      <c r="C16" s="404" t="e">
        <f>#REF!</f>
        <v>#REF!</v>
      </c>
      <c r="D16" s="740" t="e">
        <f>#REF!</f>
        <v>#REF!</v>
      </c>
      <c r="E16" s="739" t="e">
        <f>SUM(#REF!)</f>
        <v>#REF!</v>
      </c>
      <c r="F16" s="744" t="e">
        <f>#REF!</f>
        <v>#REF!</v>
      </c>
      <c r="G16" s="1521"/>
      <c r="H16" s="1521"/>
      <c r="I16" s="1521"/>
      <c r="J16" s="406"/>
      <c r="K16" s="22" t="e">
        <v>#REF!</v>
      </c>
    </row>
    <row r="17" spans="1:11" s="22" customFormat="1" ht="24.95" hidden="1" customHeight="1">
      <c r="A17" s="267" t="e">
        <f>#REF!</f>
        <v>#REF!</v>
      </c>
      <c r="B17" s="397" t="e">
        <f>#REF!</f>
        <v>#REF!</v>
      </c>
      <c r="C17" s="404" t="e">
        <f>#REF!</f>
        <v>#REF!</v>
      </c>
      <c r="D17" s="740" t="e">
        <f>#REF!</f>
        <v>#REF!</v>
      </c>
      <c r="E17" s="739" t="e">
        <f>SUM(#REF!)</f>
        <v>#REF!</v>
      </c>
      <c r="F17" s="744" t="e">
        <f>#REF!</f>
        <v>#REF!</v>
      </c>
      <c r="G17" s="1521"/>
      <c r="H17" s="1521"/>
      <c r="I17" s="1521"/>
      <c r="J17" s="406"/>
      <c r="K17" s="22" t="e">
        <v>#REF!</v>
      </c>
    </row>
    <row r="18" spans="1:11" s="22" customFormat="1" ht="24.95" hidden="1" customHeight="1">
      <c r="A18" s="267" t="e">
        <f>#REF!</f>
        <v>#REF!</v>
      </c>
      <c r="B18" s="397" t="e">
        <f>#REF!</f>
        <v>#REF!</v>
      </c>
      <c r="C18" s="404" t="e">
        <f>#REF!</f>
        <v>#REF!</v>
      </c>
      <c r="D18" s="740" t="e">
        <f>#REF!</f>
        <v>#REF!</v>
      </c>
      <c r="E18" s="739" t="e">
        <f>SUM(#REF!)</f>
        <v>#REF!</v>
      </c>
      <c r="F18" s="744" t="e">
        <f>#REF!</f>
        <v>#REF!</v>
      </c>
      <c r="G18" s="1521"/>
      <c r="H18" s="1521"/>
      <c r="I18" s="1521"/>
      <c r="J18" s="406"/>
      <c r="K18" s="22" t="e">
        <v>#REF!</v>
      </c>
    </row>
    <row r="19" spans="1:11" s="22" customFormat="1" ht="24.95" hidden="1" customHeight="1">
      <c r="A19" s="267" t="e">
        <f>#REF!</f>
        <v>#REF!</v>
      </c>
      <c r="B19" s="397" t="e">
        <f>#REF!</f>
        <v>#REF!</v>
      </c>
      <c r="C19" s="404" t="e">
        <f>#REF!</f>
        <v>#REF!</v>
      </c>
      <c r="D19" s="740" t="e">
        <f>#REF!</f>
        <v>#REF!</v>
      </c>
      <c r="E19" s="739" t="e">
        <f>SUM(#REF!)</f>
        <v>#REF!</v>
      </c>
      <c r="F19" s="744" t="e">
        <f>#REF!</f>
        <v>#REF!</v>
      </c>
      <c r="G19" s="1521"/>
      <c r="H19" s="1521"/>
      <c r="I19" s="1521"/>
      <c r="J19" s="406"/>
      <c r="K19" s="22" t="e">
        <v>#REF!</v>
      </c>
    </row>
    <row r="20" spans="1:11" s="22" customFormat="1" ht="24.95" hidden="1" customHeight="1">
      <c r="A20" s="267" t="e">
        <f>#REF!</f>
        <v>#REF!</v>
      </c>
      <c r="B20" s="397" t="e">
        <f>#REF!</f>
        <v>#REF!</v>
      </c>
      <c r="C20" s="404" t="e">
        <f>#REF!</f>
        <v>#REF!</v>
      </c>
      <c r="D20" s="740" t="e">
        <f>#REF!</f>
        <v>#REF!</v>
      </c>
      <c r="E20" s="739" t="e">
        <f>SUM(#REF!)</f>
        <v>#REF!</v>
      </c>
      <c r="F20" s="744" t="e">
        <f>#REF!</f>
        <v>#REF!</v>
      </c>
      <c r="G20" s="1521"/>
      <c r="H20" s="1521"/>
      <c r="I20" s="1521"/>
      <c r="J20" s="406"/>
      <c r="K20" s="22" t="e">
        <v>#REF!</v>
      </c>
    </row>
    <row r="21" spans="1:11" s="22" customFormat="1" ht="24.95" hidden="1" customHeight="1">
      <c r="A21" s="267" t="e">
        <f>#REF!</f>
        <v>#REF!</v>
      </c>
      <c r="B21" s="397" t="e">
        <f>#REF!</f>
        <v>#REF!</v>
      </c>
      <c r="C21" s="404" t="e">
        <f>#REF!</f>
        <v>#REF!</v>
      </c>
      <c r="D21" s="740" t="e">
        <f>#REF!</f>
        <v>#REF!</v>
      </c>
      <c r="E21" s="739" t="e">
        <f>SUM(#REF!)</f>
        <v>#REF!</v>
      </c>
      <c r="F21" s="744" t="e">
        <f>#REF!</f>
        <v>#REF!</v>
      </c>
      <c r="G21" s="1521"/>
      <c r="H21" s="1521"/>
      <c r="I21" s="1521"/>
      <c r="J21" s="406"/>
      <c r="K21" s="22" t="e">
        <v>#REF!</v>
      </c>
    </row>
    <row r="22" spans="1:11" s="22" customFormat="1" ht="24.95" hidden="1" customHeight="1">
      <c r="A22" s="267" t="e">
        <f>#REF!</f>
        <v>#REF!</v>
      </c>
      <c r="B22" s="397" t="e">
        <f>#REF!</f>
        <v>#REF!</v>
      </c>
      <c r="C22" s="404" t="e">
        <f>#REF!</f>
        <v>#REF!</v>
      </c>
      <c r="D22" s="740" t="e">
        <f>#REF!</f>
        <v>#REF!</v>
      </c>
      <c r="E22" s="739" t="e">
        <f>SUM(#REF!)</f>
        <v>#REF!</v>
      </c>
      <c r="F22" s="744" t="e">
        <f>#REF!</f>
        <v>#REF!</v>
      </c>
      <c r="G22" s="1521"/>
      <c r="H22" s="1521"/>
      <c r="I22" s="1521"/>
      <c r="J22" s="406"/>
      <c r="K22" s="22" t="e">
        <v>#REF!</v>
      </c>
    </row>
    <row r="23" spans="1:11" s="22" customFormat="1" ht="24.95" hidden="1" customHeight="1">
      <c r="A23" s="267" t="e">
        <f>#REF!</f>
        <v>#REF!</v>
      </c>
      <c r="B23" s="397" t="e">
        <f>#REF!</f>
        <v>#REF!</v>
      </c>
      <c r="C23" s="404" t="e">
        <f>#REF!</f>
        <v>#REF!</v>
      </c>
      <c r="D23" s="740" t="e">
        <f>#REF!</f>
        <v>#REF!</v>
      </c>
      <c r="E23" s="739" t="e">
        <f>SUM(#REF!)</f>
        <v>#REF!</v>
      </c>
      <c r="F23" s="744" t="e">
        <f>#REF!</f>
        <v>#REF!</v>
      </c>
      <c r="G23" s="1521"/>
      <c r="H23" s="1521"/>
      <c r="I23" s="1521"/>
      <c r="J23" s="406"/>
      <c r="K23" s="22" t="e">
        <v>#REF!</v>
      </c>
    </row>
    <row r="24" spans="1:11" s="22" customFormat="1" ht="24.95" hidden="1" customHeight="1">
      <c r="A24" s="267" t="e">
        <f>#REF!</f>
        <v>#REF!</v>
      </c>
      <c r="B24" s="397" t="e">
        <f>#REF!</f>
        <v>#REF!</v>
      </c>
      <c r="C24" s="404" t="e">
        <f>#REF!</f>
        <v>#REF!</v>
      </c>
      <c r="D24" s="740" t="e">
        <f>#REF!</f>
        <v>#REF!</v>
      </c>
      <c r="E24" s="739" t="e">
        <f>SUM(#REF!)</f>
        <v>#REF!</v>
      </c>
      <c r="F24" s="744" t="e">
        <f>#REF!</f>
        <v>#REF!</v>
      </c>
      <c r="G24" s="1521"/>
      <c r="H24" s="1521"/>
      <c r="I24" s="1521"/>
      <c r="J24" s="406"/>
      <c r="K24" s="22" t="e">
        <v>#REF!</v>
      </c>
    </row>
    <row r="25" spans="1:11" s="22" customFormat="1" ht="24.95" hidden="1" customHeight="1">
      <c r="A25" s="267" t="e">
        <f>#REF!</f>
        <v>#REF!</v>
      </c>
      <c r="B25" s="397" t="e">
        <f>#REF!</f>
        <v>#REF!</v>
      </c>
      <c r="C25" s="404" t="e">
        <f>#REF!</f>
        <v>#REF!</v>
      </c>
      <c r="D25" s="740" t="e">
        <f>#REF!</f>
        <v>#REF!</v>
      </c>
      <c r="E25" s="739" t="e">
        <f>SUM(#REF!)</f>
        <v>#REF!</v>
      </c>
      <c r="F25" s="744" t="e">
        <f>#REF!</f>
        <v>#REF!</v>
      </c>
      <c r="G25" s="1521"/>
      <c r="H25" s="1521"/>
      <c r="I25" s="1521"/>
      <c r="J25" s="406"/>
      <c r="K25" s="22" t="e">
        <v>#REF!</v>
      </c>
    </row>
    <row r="26" spans="1:11" s="22" customFormat="1" ht="24.95" hidden="1" customHeight="1">
      <c r="A26" s="267" t="e">
        <f>#REF!</f>
        <v>#REF!</v>
      </c>
      <c r="B26" s="397" t="e">
        <f>#REF!</f>
        <v>#REF!</v>
      </c>
      <c r="C26" s="404" t="e">
        <f>#REF!</f>
        <v>#REF!</v>
      </c>
      <c r="D26" s="740" t="e">
        <f>#REF!</f>
        <v>#REF!</v>
      </c>
      <c r="E26" s="739" t="e">
        <f>SUM(#REF!)</f>
        <v>#REF!</v>
      </c>
      <c r="F26" s="744" t="e">
        <f>#REF!</f>
        <v>#REF!</v>
      </c>
      <c r="G26" s="1521"/>
      <c r="H26" s="1521"/>
      <c r="I26" s="1521"/>
      <c r="J26" s="406"/>
      <c r="K26" s="22" t="e">
        <v>#REF!</v>
      </c>
    </row>
    <row r="27" spans="1:11" s="22" customFormat="1" ht="24.95" hidden="1" customHeight="1">
      <c r="A27" s="267" t="e">
        <f>#REF!</f>
        <v>#REF!</v>
      </c>
      <c r="B27" s="397" t="e">
        <f>#REF!</f>
        <v>#REF!</v>
      </c>
      <c r="C27" s="404" t="e">
        <f>#REF!</f>
        <v>#REF!</v>
      </c>
      <c r="D27" s="740" t="e">
        <f>#REF!</f>
        <v>#REF!</v>
      </c>
      <c r="E27" s="739" t="e">
        <f>SUM(#REF!)</f>
        <v>#REF!</v>
      </c>
      <c r="F27" s="744" t="e">
        <f>#REF!</f>
        <v>#REF!</v>
      </c>
      <c r="G27" s="1521"/>
      <c r="H27" s="1521"/>
      <c r="I27" s="1521"/>
      <c r="J27" s="406"/>
      <c r="K27" s="22" t="e">
        <v>#REF!</v>
      </c>
    </row>
    <row r="28" spans="1:11" s="22" customFormat="1" ht="24.95" hidden="1" customHeight="1">
      <c r="A28" s="267" t="e">
        <f>#REF!</f>
        <v>#REF!</v>
      </c>
      <c r="B28" s="397" t="e">
        <f>#REF!</f>
        <v>#REF!</v>
      </c>
      <c r="C28" s="404" t="e">
        <f>#REF!</f>
        <v>#REF!</v>
      </c>
      <c r="D28" s="740" t="e">
        <f>#REF!</f>
        <v>#REF!</v>
      </c>
      <c r="E28" s="739" t="e">
        <f>SUM(#REF!)</f>
        <v>#REF!</v>
      </c>
      <c r="F28" s="744" t="e">
        <f>#REF!</f>
        <v>#REF!</v>
      </c>
      <c r="G28" s="1521"/>
      <c r="H28" s="1521"/>
      <c r="I28" s="1521"/>
      <c r="J28" s="406"/>
      <c r="K28" s="268" t="e">
        <v>#REF!</v>
      </c>
    </row>
    <row r="29" spans="1:11" s="22" customFormat="1" ht="24.95" hidden="1" customHeight="1">
      <c r="A29" s="267" t="e">
        <f>#REF!</f>
        <v>#REF!</v>
      </c>
      <c r="B29" s="397" t="e">
        <f>#REF!</f>
        <v>#REF!</v>
      </c>
      <c r="C29" s="404" t="e">
        <f>#REF!</f>
        <v>#REF!</v>
      </c>
      <c r="D29" s="740" t="e">
        <f>#REF!</f>
        <v>#REF!</v>
      </c>
      <c r="E29" s="739" t="e">
        <f>SUM(#REF!)</f>
        <v>#REF!</v>
      </c>
      <c r="F29" s="744" t="e">
        <f>#REF!</f>
        <v>#REF!</v>
      </c>
      <c r="G29" s="1521"/>
      <c r="H29" s="1521"/>
      <c r="I29" s="1521"/>
      <c r="J29" s="406"/>
      <c r="K29" s="22" t="e">
        <v>#REF!</v>
      </c>
    </row>
    <row r="30" spans="1:11" s="22" customFormat="1" ht="24.95" hidden="1" customHeight="1">
      <c r="A30" s="267" t="e">
        <f>#REF!</f>
        <v>#REF!</v>
      </c>
      <c r="B30" s="397" t="e">
        <f>#REF!</f>
        <v>#REF!</v>
      </c>
      <c r="C30" s="404" t="e">
        <f>#REF!</f>
        <v>#REF!</v>
      </c>
      <c r="D30" s="740" t="e">
        <f>#REF!</f>
        <v>#REF!</v>
      </c>
      <c r="E30" s="739" t="e">
        <f>SUM(#REF!)</f>
        <v>#REF!</v>
      </c>
      <c r="F30" s="744" t="e">
        <f>#REF!</f>
        <v>#REF!</v>
      </c>
      <c r="G30" s="1521"/>
      <c r="H30" s="1521"/>
      <c r="I30" s="1521"/>
      <c r="J30" s="406"/>
      <c r="K30" s="22" t="e">
        <v>#REF!</v>
      </c>
    </row>
    <row r="31" spans="1:11" s="22" customFormat="1" ht="24.95" hidden="1" customHeight="1">
      <c r="A31" s="267" t="e">
        <f>#REF!</f>
        <v>#REF!</v>
      </c>
      <c r="B31" s="397" t="e">
        <f>#REF!</f>
        <v>#REF!</v>
      </c>
      <c r="C31" s="404" t="e">
        <f>#REF!</f>
        <v>#REF!</v>
      </c>
      <c r="D31" s="740" t="e">
        <f>#REF!</f>
        <v>#REF!</v>
      </c>
      <c r="E31" s="739" t="e">
        <f>SUM(#REF!)</f>
        <v>#REF!</v>
      </c>
      <c r="F31" s="744" t="e">
        <f>#REF!</f>
        <v>#REF!</v>
      </c>
      <c r="G31" s="1521"/>
      <c r="H31" s="1521"/>
      <c r="I31" s="1521"/>
      <c r="J31" s="406"/>
      <c r="K31" s="22" t="e">
        <v>#REF!</v>
      </c>
    </row>
    <row r="32" spans="1:11" s="22" customFormat="1" ht="24.95" hidden="1" customHeight="1">
      <c r="A32" s="267" t="e">
        <f>#REF!</f>
        <v>#REF!</v>
      </c>
      <c r="B32" s="399" t="e">
        <f>#REF!</f>
        <v>#REF!</v>
      </c>
      <c r="C32" s="396" t="e">
        <f>#REF!</f>
        <v>#REF!</v>
      </c>
      <c r="D32" s="740" t="e">
        <f>#REF!</f>
        <v>#REF!</v>
      </c>
      <c r="E32" s="739" t="e">
        <f>SUM(#REF!)</f>
        <v>#REF!</v>
      </c>
      <c r="F32" s="744" t="e">
        <f>#REF!</f>
        <v>#REF!</v>
      </c>
      <c r="G32" s="1521"/>
      <c r="H32" s="1521"/>
      <c r="I32" s="1521"/>
      <c r="J32" s="406"/>
      <c r="K32" s="22" t="e">
        <v>#REF!</v>
      </c>
    </row>
    <row r="33" spans="1:11" s="22" customFormat="1" ht="24.95" hidden="1" customHeight="1">
      <c r="A33" s="267" t="e">
        <f>#REF!</f>
        <v>#REF!</v>
      </c>
      <c r="B33" s="399" t="e">
        <f>#REF!</f>
        <v>#REF!</v>
      </c>
      <c r="C33" s="396" t="e">
        <f>#REF!</f>
        <v>#REF!</v>
      </c>
      <c r="D33" s="740" t="e">
        <f>#REF!</f>
        <v>#REF!</v>
      </c>
      <c r="E33" s="739" t="e">
        <f>SUM(#REF!)</f>
        <v>#REF!</v>
      </c>
      <c r="F33" s="744" t="e">
        <f>#REF!</f>
        <v>#REF!</v>
      </c>
      <c r="G33" s="1521"/>
      <c r="H33" s="1521"/>
      <c r="I33" s="1521"/>
      <c r="J33" s="406"/>
      <c r="K33" s="22" t="e">
        <v>#REF!</v>
      </c>
    </row>
    <row r="34" spans="1:11" s="22" customFormat="1" ht="24.95" hidden="1" customHeight="1">
      <c r="A34" s="267" t="e">
        <f>#REF!</f>
        <v>#REF!</v>
      </c>
      <c r="B34" s="399" t="e">
        <f>#REF!</f>
        <v>#REF!</v>
      </c>
      <c r="C34" s="396" t="e">
        <f>#REF!</f>
        <v>#REF!</v>
      </c>
      <c r="D34" s="740" t="e">
        <f>#REF!</f>
        <v>#REF!</v>
      </c>
      <c r="E34" s="1432" t="e">
        <f>SUM(#REF!)</f>
        <v>#REF!</v>
      </c>
      <c r="F34" s="744" t="e">
        <f>#REF!</f>
        <v>#REF!</v>
      </c>
      <c r="G34" s="1521"/>
      <c r="H34" s="1521"/>
      <c r="I34" s="1521"/>
      <c r="J34" s="406"/>
      <c r="K34" s="22" t="e">
        <v>#REF!</v>
      </c>
    </row>
    <row r="35" spans="1:11" s="22" customFormat="1" ht="24.95" hidden="1" customHeight="1">
      <c r="A35" s="267" t="e">
        <f>#REF!</f>
        <v>#REF!</v>
      </c>
      <c r="B35" s="399" t="e">
        <f>#REF!</f>
        <v>#REF!</v>
      </c>
      <c r="C35" s="396" t="e">
        <f>#REF!</f>
        <v>#REF!</v>
      </c>
      <c r="D35" s="740" t="e">
        <f>#REF!</f>
        <v>#REF!</v>
      </c>
      <c r="E35" s="739" t="e">
        <f>SUM(#REF!)</f>
        <v>#REF!</v>
      </c>
      <c r="F35" s="744" t="e">
        <f>#REF!</f>
        <v>#REF!</v>
      </c>
      <c r="G35" s="1521"/>
      <c r="H35" s="1521"/>
      <c r="I35" s="1521"/>
      <c r="J35" s="406"/>
      <c r="K35" s="22" t="e">
        <v>#REF!</v>
      </c>
    </row>
    <row r="36" spans="1:11" s="22" customFormat="1" ht="24.95" hidden="1" customHeight="1">
      <c r="A36" s="267" t="e">
        <f>#REF!</f>
        <v>#REF!</v>
      </c>
      <c r="B36" s="399" t="e">
        <f>#REF!</f>
        <v>#REF!</v>
      </c>
      <c r="C36" s="396" t="e">
        <f>#REF!</f>
        <v>#REF!</v>
      </c>
      <c r="D36" s="740" t="e">
        <f>#REF!</f>
        <v>#REF!</v>
      </c>
      <c r="E36" s="739" t="e">
        <f>SUM(#REF!)</f>
        <v>#REF!</v>
      </c>
      <c r="F36" s="744" t="e">
        <f>#REF!</f>
        <v>#REF!</v>
      </c>
      <c r="G36" s="1521"/>
      <c r="H36" s="1521"/>
      <c r="I36" s="1521"/>
      <c r="J36" s="406"/>
      <c r="K36" s="268" t="e">
        <v>#REF!</v>
      </c>
    </row>
    <row r="37" spans="1:11" s="22" customFormat="1" ht="24.95" hidden="1" customHeight="1">
      <c r="A37" s="267" t="e">
        <f>#REF!</f>
        <v>#REF!</v>
      </c>
      <c r="B37" s="399" t="e">
        <f>#REF!</f>
        <v>#REF!</v>
      </c>
      <c r="C37" s="396" t="e">
        <f>#REF!</f>
        <v>#REF!</v>
      </c>
      <c r="D37" s="740" t="e">
        <f>#REF!</f>
        <v>#REF!</v>
      </c>
      <c r="E37" s="739" t="e">
        <f>SUM(#REF!)</f>
        <v>#REF!</v>
      </c>
      <c r="F37" s="744" t="e">
        <f>#REF!</f>
        <v>#REF!</v>
      </c>
      <c r="G37" s="1521"/>
      <c r="H37" s="1521"/>
      <c r="I37" s="1521"/>
      <c r="J37" s="406"/>
      <c r="K37" s="22" t="e">
        <v>#REF!</v>
      </c>
    </row>
    <row r="38" spans="1:11" s="22" customFormat="1" ht="24.95" hidden="1" customHeight="1">
      <c r="A38" s="267" t="e">
        <f>#REF!</f>
        <v>#REF!</v>
      </c>
      <c r="B38" s="399" t="e">
        <f>#REF!</f>
        <v>#REF!</v>
      </c>
      <c r="C38" s="396" t="e">
        <f>#REF!</f>
        <v>#REF!</v>
      </c>
      <c r="D38" s="740" t="e">
        <f>#REF!</f>
        <v>#REF!</v>
      </c>
      <c r="E38" s="739" t="e">
        <f>SUM(#REF!)</f>
        <v>#REF!</v>
      </c>
      <c r="F38" s="744" t="e">
        <f>#REF!</f>
        <v>#REF!</v>
      </c>
      <c r="G38" s="1521"/>
      <c r="H38" s="1521"/>
      <c r="I38" s="1521"/>
      <c r="J38" s="406"/>
      <c r="K38" s="22" t="e">
        <v>#REF!</v>
      </c>
    </row>
    <row r="39" spans="1:11" s="22" customFormat="1" ht="24.95" hidden="1" customHeight="1">
      <c r="A39" s="267" t="e">
        <f>#REF!</f>
        <v>#REF!</v>
      </c>
      <c r="B39" s="399" t="e">
        <f>#REF!</f>
        <v>#REF!</v>
      </c>
      <c r="C39" s="396" t="e">
        <f>#REF!</f>
        <v>#REF!</v>
      </c>
      <c r="D39" s="740" t="e">
        <f>#REF!</f>
        <v>#REF!</v>
      </c>
      <c r="E39" s="739" t="e">
        <f>SUM(#REF!)</f>
        <v>#REF!</v>
      </c>
      <c r="F39" s="744" t="e">
        <f>#REF!</f>
        <v>#REF!</v>
      </c>
      <c r="G39" s="1521"/>
      <c r="H39" s="1521"/>
      <c r="I39" s="1521"/>
      <c r="J39" s="406"/>
      <c r="K39" s="22" t="e">
        <v>#REF!</v>
      </c>
    </row>
    <row r="40" spans="1:11" s="22" customFormat="1" ht="24.95" hidden="1" customHeight="1">
      <c r="A40" s="902"/>
      <c r="B40" s="912"/>
      <c r="C40" s="913"/>
      <c r="D40" s="914"/>
      <c r="E40" s="1433"/>
      <c r="F40" s="916"/>
      <c r="G40" s="1522"/>
      <c r="H40" s="1522"/>
      <c r="I40" s="1522"/>
      <c r="J40" s="917"/>
    </row>
    <row r="41" spans="1:11" s="10" customFormat="1" ht="21.75" customHeight="1">
      <c r="A41" s="1945" t="s">
        <v>204</v>
      </c>
      <c r="B41" s="1945" t="s">
        <v>951</v>
      </c>
      <c r="C41" s="1945" t="s">
        <v>205</v>
      </c>
      <c r="D41" s="1945" t="s">
        <v>202</v>
      </c>
      <c r="E41" s="2105" t="s">
        <v>50</v>
      </c>
      <c r="F41" s="2102" t="s">
        <v>2592</v>
      </c>
      <c r="G41" s="2103"/>
      <c r="H41" s="2102" t="s">
        <v>2593</v>
      </c>
      <c r="I41" s="2103"/>
      <c r="J41" s="1945" t="s">
        <v>203</v>
      </c>
      <c r="K41" s="10" t="s">
        <v>2383</v>
      </c>
    </row>
    <row r="42" spans="1:11" s="10" customFormat="1" ht="21.75" customHeight="1">
      <c r="A42" s="1945"/>
      <c r="B42" s="1945"/>
      <c r="C42" s="1945"/>
      <c r="D42" s="1945"/>
      <c r="E42" s="2106"/>
      <c r="F42" s="1369" t="s">
        <v>2591</v>
      </c>
      <c r="G42" s="1369" t="s">
        <v>2590</v>
      </c>
      <c r="H42" s="1369" t="s">
        <v>2591</v>
      </c>
      <c r="I42" s="1369" t="s">
        <v>2590</v>
      </c>
      <c r="J42" s="1945"/>
    </row>
    <row r="43" spans="1:11" s="22" customFormat="1" ht="24.95" customHeight="1">
      <c r="A43" s="803" t="str">
        <f>'8-4.일위대가표'!A4</f>
        <v>1. 송변전용 광전송장치</v>
      </c>
      <c r="B43" s="396"/>
      <c r="C43" s="396"/>
      <c r="D43" s="740"/>
      <c r="E43" s="580"/>
      <c r="F43" s="744"/>
      <c r="G43" s="1521"/>
      <c r="H43" s="1521"/>
      <c r="I43" s="1521"/>
      <c r="J43" s="981"/>
      <c r="K43" s="22" t="s">
        <v>2389</v>
      </c>
    </row>
    <row r="44" spans="1:11" s="22" customFormat="1" ht="24.95" customHeight="1">
      <c r="A44" s="267" t="str">
        <f>'8-4.일위대가표'!A5</f>
        <v>품1-1.</v>
      </c>
      <c r="B44" s="396" t="str">
        <f>VLOOKUP(A44,'8-4.일위대가표'!$A$4:$N$723,2,FALSE)</f>
        <v>송변전용 광단말장치 설치</v>
      </c>
      <c r="C44" s="396" t="str">
        <f>VLOOKUP(A44,'8-4.일위대가표'!$A$4:$N$723,3,FALSE)</f>
        <v>HSR-10G</v>
      </c>
      <c r="D44" s="740" t="str">
        <f>VLOOKUP(A44,'8-4.일위대가표'!$A$4:$N$723,5,FALSE)</f>
        <v>대</v>
      </c>
      <c r="E44" s="580">
        <f>'8-3.노무산출'!H44</f>
        <v>3</v>
      </c>
      <c r="F44" s="744">
        <f>VLOOKUP(A44,'8-4.일위대가표'!$A$4:$N$723,13,FALSE)</f>
        <v>2835567</v>
      </c>
      <c r="G44" s="1521">
        <f t="shared" ref="G44:G86" si="0">E44*F44</f>
        <v>8506701</v>
      </c>
      <c r="H44" s="1521"/>
      <c r="I44" s="1521"/>
      <c r="J44" s="981"/>
      <c r="K44" s="22" t="str">
        <f>A44</f>
        <v>품1-1.</v>
      </c>
    </row>
    <row r="45" spans="1:11" s="1502" customFormat="1" ht="24.95" customHeight="1">
      <c r="A45" s="267" t="str">
        <f>'8-4.일위대가표'!A21</f>
        <v>품1-1-1.</v>
      </c>
      <c r="B45" s="396" t="str">
        <f>VLOOKUP(A45,'8-4.일위대가표'!$A$4:$N$723,2,FALSE)</f>
        <v>송변전용 광단말장치용 광전송유니트설치</v>
      </c>
      <c r="C45" s="396" t="str">
        <f>VLOOKUP(A45,'8-4.일위대가표'!$A$4:$N$723,3,FALSE)</f>
        <v>CTRU 2매 및 8파장 기준</v>
      </c>
      <c r="D45" s="740" t="str">
        <f>VLOOKUP(A45,'8-4.일위대가표'!$A$4:$N$723,5,FALSE)</f>
        <v>2유니트</v>
      </c>
      <c r="E45" s="580">
        <f>'8-3.노무산출'!H45</f>
        <v>0</v>
      </c>
      <c r="F45" s="744">
        <f>VLOOKUP(A45,'8-4.일위대가표'!$A$4:$N$723,13,FALSE)</f>
        <v>1310720</v>
      </c>
      <c r="G45" s="1521">
        <f t="shared" si="0"/>
        <v>0</v>
      </c>
      <c r="H45" s="1521"/>
      <c r="I45" s="1521"/>
      <c r="J45" s="981"/>
      <c r="K45" s="22" t="str">
        <f t="shared" ref="K45:K87" si="1">A45</f>
        <v>품1-1-1.</v>
      </c>
    </row>
    <row r="46" spans="1:11" s="22" customFormat="1" ht="24.95" customHeight="1">
      <c r="A46" s="267" t="str">
        <f>'8-4.일위대가표'!A44</f>
        <v>품1-2.</v>
      </c>
      <c r="B46" s="396" t="str">
        <f>VLOOKUP(A46,'8-4.일위대가표'!$A$4:$N$723,2,FALSE)</f>
        <v>HSR-PtoP unit 설치</v>
      </c>
      <c r="C46" s="396" t="str">
        <f>VLOOKUP(A46,'8-4.일위대가표'!$A$4:$N$723,3,FALSE)</f>
        <v>신형)HSR-PTP</v>
      </c>
      <c r="D46" s="740" t="str">
        <f>VLOOKUP(A46,'8-4.일위대가표'!$A$4:$N$723,5,FALSE)</f>
        <v>대</v>
      </c>
      <c r="E46" s="580">
        <f>'8-3.노무산출'!H46</f>
        <v>2</v>
      </c>
      <c r="F46" s="744">
        <f>VLOOKUP(A46,'8-4.일위대가표'!$A$4:$N$723,13,FALSE)</f>
        <v>1156346</v>
      </c>
      <c r="G46" s="1521">
        <f t="shared" si="0"/>
        <v>2312692</v>
      </c>
      <c r="H46" s="1521"/>
      <c r="I46" s="1521"/>
      <c r="J46" s="981"/>
      <c r="K46" s="22" t="str">
        <f t="shared" si="1"/>
        <v>품1-2.</v>
      </c>
    </row>
    <row r="47" spans="1:11" s="22" customFormat="1" ht="24.95" customHeight="1">
      <c r="A47" s="267" t="str">
        <f>'8-4.일위대가표'!A68</f>
        <v>품1-3.</v>
      </c>
      <c r="B47" s="396" t="str">
        <f>VLOOKUP(A47,'8-4.일위대가표'!$A$4:$N$723,2,FALSE)</f>
        <v>송광치/IDF/단자/PITR 랙 설치</v>
      </c>
      <c r="C47" s="396" t="str">
        <f>VLOOKUP(A47,'8-4.일위대가표'!$A$4:$N$723,3,FALSE)</f>
        <v>19" Rack</v>
      </c>
      <c r="D47" s="740" t="str">
        <f>VLOOKUP(A47,'8-4.일위대가표'!$A$4:$N$723,5,FALSE)</f>
        <v>대</v>
      </c>
      <c r="E47" s="580">
        <f>'8-3.노무산출'!H47</f>
        <v>4</v>
      </c>
      <c r="F47" s="744">
        <f>VLOOKUP(A47,'8-4.일위대가표'!$A$4:$N$723,13,FALSE)</f>
        <v>252964</v>
      </c>
      <c r="G47" s="1521">
        <f t="shared" si="0"/>
        <v>1011856</v>
      </c>
      <c r="H47" s="1521"/>
      <c r="I47" s="1521"/>
      <c r="J47" s="981"/>
      <c r="K47" s="22" t="str">
        <f t="shared" si="1"/>
        <v>품1-3.</v>
      </c>
    </row>
    <row r="48" spans="1:11" s="1502" customFormat="1" ht="24.95" hidden="1" customHeight="1">
      <c r="A48" s="1496">
        <f>'8-4.일위대가표'!A74</f>
        <v>0</v>
      </c>
      <c r="B48" s="1497" t="e">
        <f>VLOOKUP(A48,'8-4.일위대가표'!$A$4:$N$723,2,FALSE)</f>
        <v>#N/A</v>
      </c>
      <c r="C48" s="1497" t="e">
        <f>VLOOKUP(A48,'8-4.일위대가표'!$A$4:$N$723,3,FALSE)</f>
        <v>#N/A</v>
      </c>
      <c r="D48" s="1498" t="e">
        <f>VLOOKUP(A48,'8-4.일위대가표'!$A$4:$N$723,5,FALSE)</f>
        <v>#N/A</v>
      </c>
      <c r="E48" s="580">
        <f>'8-3.노무산출'!H48</f>
        <v>0</v>
      </c>
      <c r="F48" s="1500" t="e">
        <f>VLOOKUP(A48,'8-4.일위대가표'!$A$4:$N$723,13,FALSE)</f>
        <v>#N/A</v>
      </c>
      <c r="G48" s="1521" t="e">
        <f t="shared" si="0"/>
        <v>#N/A</v>
      </c>
      <c r="H48" s="1521"/>
      <c r="I48" s="1523"/>
      <c r="J48" s="1501"/>
      <c r="K48" s="22">
        <f t="shared" si="1"/>
        <v>0</v>
      </c>
    </row>
    <row r="49" spans="1:11" s="1502" customFormat="1" ht="24.95" hidden="1" customHeight="1">
      <c r="A49" s="1496">
        <f>'8-4.일위대가표'!A76</f>
        <v>0</v>
      </c>
      <c r="B49" s="1497" t="e">
        <f>VLOOKUP(A49,'8-4.일위대가표'!$A$4:$N$723,2,FALSE)</f>
        <v>#N/A</v>
      </c>
      <c r="C49" s="1497" t="e">
        <f>VLOOKUP(A49,'8-4.일위대가표'!$A$4:$N$723,3,FALSE)</f>
        <v>#N/A</v>
      </c>
      <c r="D49" s="1498" t="e">
        <f>VLOOKUP(A49,'8-4.일위대가표'!$A$4:$N$723,5,FALSE)</f>
        <v>#N/A</v>
      </c>
      <c r="E49" s="580">
        <f>'8-3.노무산출'!H49</f>
        <v>0</v>
      </c>
      <c r="F49" s="1500" t="e">
        <f>VLOOKUP(A49,'8-4.일위대가표'!$A$4:$N$723,13,FALSE)</f>
        <v>#N/A</v>
      </c>
      <c r="G49" s="1521" t="e">
        <f t="shared" si="0"/>
        <v>#N/A</v>
      </c>
      <c r="H49" s="1521"/>
      <c r="I49" s="1523"/>
      <c r="J49" s="1501"/>
      <c r="K49" s="22">
        <f t="shared" si="1"/>
        <v>0</v>
      </c>
    </row>
    <row r="50" spans="1:11" s="1502" customFormat="1" ht="24.95" customHeight="1">
      <c r="A50" s="267" t="str">
        <f>'8-4.일위대가표'!A79</f>
        <v>품1-4.</v>
      </c>
      <c r="B50" s="396" t="str">
        <f>VLOOKUP(A50,'8-4.일위대가표'!$A$4:$N$723,2,FALSE)</f>
        <v>L3 스위치 설치 및 시험</v>
      </c>
      <c r="C50" s="396" t="str">
        <f>VLOOKUP(A50,'8-4.일위대가표'!$A$4:$N$723,3,FALSE)</f>
        <v>본체 설치</v>
      </c>
      <c r="D50" s="740">
        <f>VLOOKUP(A50,'8-4.일위대가표'!$A$4:$N$723,5,FALSE)</f>
        <v>0</v>
      </c>
      <c r="E50" s="580">
        <f>'8-3.노무산출'!H50</f>
        <v>6</v>
      </c>
      <c r="F50" s="744">
        <f>VLOOKUP(A50,'8-4.일위대가표'!$A$4:$N$723,13,FALSE)</f>
        <v>458028</v>
      </c>
      <c r="G50" s="1521">
        <f t="shared" si="0"/>
        <v>2748168</v>
      </c>
      <c r="H50" s="1521"/>
      <c r="I50" s="1521"/>
      <c r="J50" s="981"/>
      <c r="K50" s="22" t="str">
        <f t="shared" si="1"/>
        <v>품1-4.</v>
      </c>
    </row>
    <row r="51" spans="1:11" s="22" customFormat="1" ht="24.95" customHeight="1">
      <c r="A51" s="267" t="str">
        <f>'8-4.일위대가표'!A84</f>
        <v>품1-5.</v>
      </c>
      <c r="B51" s="396" t="str">
        <f>VLOOKUP(A51,'8-4.일위대가표'!$A$4:$N$723,2,FALSE)</f>
        <v>유니트 실장</v>
      </c>
      <c r="C51" s="396" t="str">
        <f>VLOOKUP(A51,'8-4.일위대가표'!$A$4:$N$723,3,FALSE)</f>
        <v>IDF,QDF,VDF,CTRU등</v>
      </c>
      <c r="D51" s="740" t="str">
        <f>VLOOKUP(A51,'8-4.일위대가표'!$A$4:$N$723,5,FALSE)</f>
        <v>개</v>
      </c>
      <c r="E51" s="580">
        <f>'8-3.노무산출'!H51</f>
        <v>11</v>
      </c>
      <c r="F51" s="744">
        <f>VLOOKUP(A51,'8-4.일위대가표'!$A$4:$N$723,13,FALSE)</f>
        <v>5524</v>
      </c>
      <c r="G51" s="1521">
        <f t="shared" si="0"/>
        <v>60764</v>
      </c>
      <c r="H51" s="1521"/>
      <c r="I51" s="1521"/>
      <c r="J51" s="981"/>
      <c r="K51" s="22" t="str">
        <f t="shared" si="1"/>
        <v>품1-5.</v>
      </c>
    </row>
    <row r="52" spans="1:11" s="1534" customFormat="1" ht="24.95" hidden="1" customHeight="1">
      <c r="A52" s="267" t="str">
        <f>'8-4.일위대가표'!A90</f>
        <v>품1-6.</v>
      </c>
      <c r="B52" s="396" t="str">
        <f>VLOOKUP(A52,'8-4.일위대가표'!$A$4:$N$723,2,FALSE)</f>
        <v>제어케이블 포설</v>
      </c>
      <c r="C52" s="396" t="str">
        <f>VLOOKUP(A52,'8-4.일위대가표'!$A$4:$N$723,3,FALSE)</f>
        <v>6SQ/2C 1열</v>
      </c>
      <c r="D52" s="740" t="str">
        <f>VLOOKUP(A52,'8-4.일위대가표'!$A$4:$N$723,5,FALSE)</f>
        <v>m</v>
      </c>
      <c r="E52" s="580">
        <f>'8-3.노무산출'!H52</f>
        <v>0</v>
      </c>
      <c r="F52" s="744">
        <f>VLOOKUP(A52,'8-4.일위대가표'!$A$4:$N$723,13,FALSE)</f>
        <v>8355</v>
      </c>
      <c r="G52" s="1521">
        <f t="shared" si="0"/>
        <v>0</v>
      </c>
      <c r="H52" s="1521">
        <f>F52-'8-4.일위대가표'!M92</f>
        <v>1392</v>
      </c>
      <c r="I52" s="1521">
        <f>E52*H52</f>
        <v>0</v>
      </c>
      <c r="J52" s="981" t="s">
        <v>2594</v>
      </c>
      <c r="K52" s="22" t="str">
        <f t="shared" si="1"/>
        <v>품1-6.</v>
      </c>
    </row>
    <row r="53" spans="1:11" s="1534" customFormat="1" ht="24.95" hidden="1" customHeight="1">
      <c r="A53" s="267" t="str">
        <f>'8-4.일위대가표'!A94</f>
        <v>품1-6-1.</v>
      </c>
      <c r="B53" s="396" t="str">
        <f>VLOOKUP(A53,'8-4.일위대가표'!$A$4:$N$723,2,FALSE)</f>
        <v>제어케이블 포설</v>
      </c>
      <c r="C53" s="396" t="str">
        <f>VLOOKUP(A53,'8-4.일위대가표'!$A$4:$N$723,3,FALSE)</f>
        <v>6SQ/2C 2열</v>
      </c>
      <c r="D53" s="740" t="str">
        <f>VLOOKUP(A53,'8-4.일위대가표'!$A$4:$N$723,5,FALSE)</f>
        <v>m</v>
      </c>
      <c r="E53" s="580">
        <f>'8-3.노무산출'!H52</f>
        <v>0</v>
      </c>
      <c r="F53" s="744">
        <f>VLOOKUP(A53,'8-4.일위대가표'!$A$4:$N$723,13,FALSE)</f>
        <v>15040</v>
      </c>
      <c r="G53" s="1521">
        <f t="shared" si="0"/>
        <v>0</v>
      </c>
      <c r="H53" s="1521">
        <f>F53-'8-4.일위대가표'!M96</f>
        <v>2507</v>
      </c>
      <c r="I53" s="1521">
        <f>E53*H53</f>
        <v>0</v>
      </c>
      <c r="J53" s="981" t="s">
        <v>2594</v>
      </c>
      <c r="K53" s="22" t="str">
        <f t="shared" si="1"/>
        <v>품1-6-1.</v>
      </c>
    </row>
    <row r="54" spans="1:11" s="1502" customFormat="1" ht="24.95" customHeight="1">
      <c r="A54" s="1535" t="str">
        <f>'8-4.일위대가표'!A98</f>
        <v>품1-6-2.</v>
      </c>
      <c r="B54" s="1526" t="str">
        <f>VLOOKUP(A54,'8-4.일위대가표'!$A$4:$N$723,2,FALSE)</f>
        <v>제어케이블 포설</v>
      </c>
      <c r="C54" s="1526" t="str">
        <f>VLOOKUP(A54,'8-4.일위대가표'!$A$4:$N$723,3,FALSE)</f>
        <v>6SQ/2C 3열</v>
      </c>
      <c r="D54" s="1536" t="str">
        <f>VLOOKUP(A54,'8-4.일위대가표'!$A$4:$N$723,5,FALSE)</f>
        <v>m</v>
      </c>
      <c r="E54" s="1537">
        <f>'8-3.노무산출'!H54</f>
        <v>52</v>
      </c>
      <c r="F54" s="1538">
        <f>VLOOKUP(A54,'8-4.일위대가표'!$A$4:$N$723,13,FALSE)</f>
        <v>21725</v>
      </c>
      <c r="G54" s="1539">
        <f t="shared" si="0"/>
        <v>1129700</v>
      </c>
      <c r="H54" s="1539">
        <f>'8-4.일위대가표'!M100</f>
        <v>18104</v>
      </c>
      <c r="I54" s="1539">
        <f>H54*E54</f>
        <v>941408</v>
      </c>
      <c r="J54" s="1540"/>
      <c r="K54" s="22" t="str">
        <f t="shared" si="1"/>
        <v>품1-6-2.</v>
      </c>
    </row>
    <row r="55" spans="1:11" s="1502" customFormat="1" ht="24.95" hidden="1" customHeight="1">
      <c r="A55" s="1496">
        <f>'8-4.일위대가표'!A102</f>
        <v>0</v>
      </c>
      <c r="B55" s="1497" t="e">
        <f>VLOOKUP(A55,'8-4.일위대가표'!$A$4:$N$723,2,FALSE)</f>
        <v>#N/A</v>
      </c>
      <c r="C55" s="1497" t="e">
        <f>VLOOKUP(A55,'8-4.일위대가표'!$A$4:$N$723,3,FALSE)</f>
        <v>#N/A</v>
      </c>
      <c r="D55" s="1498" t="e">
        <f>VLOOKUP(A55,'8-4.일위대가표'!$A$4:$N$723,5,FALSE)</f>
        <v>#N/A</v>
      </c>
      <c r="E55" s="580">
        <f>'8-3.노무산출'!H55</f>
        <v>0</v>
      </c>
      <c r="F55" s="1500" t="e">
        <f>VLOOKUP(A55,'8-4.일위대가표'!$A$4:$N$723,13,FALSE)</f>
        <v>#N/A</v>
      </c>
      <c r="G55" s="1521" t="e">
        <f t="shared" si="0"/>
        <v>#N/A</v>
      </c>
      <c r="H55" s="1521"/>
      <c r="I55" s="1523"/>
      <c r="J55" s="1501"/>
      <c r="K55" s="22">
        <f t="shared" si="1"/>
        <v>0</v>
      </c>
    </row>
    <row r="56" spans="1:11" s="1502" customFormat="1" ht="24.95" hidden="1" customHeight="1">
      <c r="A56" s="1496">
        <f>'8-4.일위대가표'!A104</f>
        <v>0</v>
      </c>
      <c r="B56" s="1497" t="e">
        <f>VLOOKUP(A56,'8-4.일위대가표'!$A$4:$N$723,2,FALSE)</f>
        <v>#N/A</v>
      </c>
      <c r="C56" s="1497" t="e">
        <f>VLOOKUP(A56,'8-4.일위대가표'!$A$4:$N$723,3,FALSE)</f>
        <v>#N/A</v>
      </c>
      <c r="D56" s="1498" t="e">
        <f>VLOOKUP(A56,'8-4.일위대가표'!$A$4:$N$723,5,FALSE)</f>
        <v>#N/A</v>
      </c>
      <c r="E56" s="580">
        <f>'8-3.노무산출'!H56</f>
        <v>0</v>
      </c>
      <c r="F56" s="1500" t="e">
        <f>VLOOKUP(A56,'8-4.일위대가표'!$A$4:$N$723,13,FALSE)</f>
        <v>#N/A</v>
      </c>
      <c r="G56" s="1521" t="e">
        <f t="shared" si="0"/>
        <v>#N/A</v>
      </c>
      <c r="H56" s="1521"/>
      <c r="I56" s="1523"/>
      <c r="J56" s="1501"/>
      <c r="K56" s="22">
        <f t="shared" si="1"/>
        <v>0</v>
      </c>
    </row>
    <row r="57" spans="1:11" s="1502" customFormat="1" ht="24.95" hidden="1" customHeight="1">
      <c r="A57" s="1496">
        <f>'8-4.일위대가표'!A106</f>
        <v>0</v>
      </c>
      <c r="B57" s="1497" t="e">
        <f>VLOOKUP(A57,'8-4.일위대가표'!$A$4:$N$723,2,FALSE)</f>
        <v>#N/A</v>
      </c>
      <c r="C57" s="1497" t="e">
        <f>VLOOKUP(A57,'8-4.일위대가표'!$A$4:$N$723,3,FALSE)</f>
        <v>#N/A</v>
      </c>
      <c r="D57" s="1498" t="e">
        <f>VLOOKUP(A57,'8-4.일위대가표'!$A$4:$N$723,5,FALSE)</f>
        <v>#N/A</v>
      </c>
      <c r="E57" s="580">
        <f>'8-3.노무산출'!H57</f>
        <v>0</v>
      </c>
      <c r="F57" s="1500" t="e">
        <f>VLOOKUP(A57,'8-4.일위대가표'!$A$4:$N$723,13,FALSE)</f>
        <v>#N/A</v>
      </c>
      <c r="G57" s="1521" t="e">
        <f t="shared" si="0"/>
        <v>#N/A</v>
      </c>
      <c r="H57" s="1521"/>
      <c r="I57" s="1523"/>
      <c r="J57" s="1501"/>
      <c r="K57" s="22">
        <f t="shared" si="1"/>
        <v>0</v>
      </c>
    </row>
    <row r="58" spans="1:11" s="1502" customFormat="1" ht="24.95" hidden="1" customHeight="1">
      <c r="A58" s="1496">
        <f>'8-4.일위대가표'!A108</f>
        <v>0</v>
      </c>
      <c r="B58" s="1497" t="e">
        <f>VLOOKUP(A58,'8-4.일위대가표'!$A$4:$N$723,2,FALSE)</f>
        <v>#N/A</v>
      </c>
      <c r="C58" s="1497" t="e">
        <f>VLOOKUP(A58,'8-4.일위대가표'!$A$4:$N$723,3,FALSE)</f>
        <v>#N/A</v>
      </c>
      <c r="D58" s="1498" t="e">
        <f>VLOOKUP(A58,'8-4.일위대가표'!$A$4:$N$723,5,FALSE)</f>
        <v>#N/A</v>
      </c>
      <c r="E58" s="580">
        <f>'8-3.노무산출'!H58</f>
        <v>0</v>
      </c>
      <c r="F58" s="1500" t="e">
        <f>VLOOKUP(A58,'8-4.일위대가표'!$A$4:$N$723,13,FALSE)</f>
        <v>#N/A</v>
      </c>
      <c r="G58" s="1521" t="e">
        <f t="shared" si="0"/>
        <v>#N/A</v>
      </c>
      <c r="H58" s="1521"/>
      <c r="I58" s="1523"/>
      <c r="J58" s="1501"/>
      <c r="K58" s="22">
        <f t="shared" si="1"/>
        <v>0</v>
      </c>
    </row>
    <row r="59" spans="1:11" s="1502" customFormat="1" ht="24.95" hidden="1" customHeight="1">
      <c r="A59" s="1496">
        <f>'8-4.일위대가표'!A110</f>
        <v>0</v>
      </c>
      <c r="B59" s="1497" t="e">
        <f>VLOOKUP(A59,'8-4.일위대가표'!$A$4:$N$723,2,FALSE)</f>
        <v>#N/A</v>
      </c>
      <c r="C59" s="1497" t="e">
        <f>VLOOKUP(A59,'8-4.일위대가표'!$A$4:$N$723,3,FALSE)</f>
        <v>#N/A</v>
      </c>
      <c r="D59" s="1498" t="e">
        <f>VLOOKUP(A59,'8-4.일위대가표'!$A$4:$N$723,5,FALSE)</f>
        <v>#N/A</v>
      </c>
      <c r="E59" s="580">
        <f>'8-3.노무산출'!H59</f>
        <v>0</v>
      </c>
      <c r="F59" s="1500" t="e">
        <f>VLOOKUP(A59,'8-4.일위대가표'!$A$4:$N$723,13,FALSE)</f>
        <v>#N/A</v>
      </c>
      <c r="G59" s="1521" t="e">
        <f t="shared" si="0"/>
        <v>#N/A</v>
      </c>
      <c r="H59" s="1521"/>
      <c r="I59" s="1523"/>
      <c r="J59" s="1501"/>
      <c r="K59" s="22">
        <f t="shared" si="1"/>
        <v>0</v>
      </c>
    </row>
    <row r="60" spans="1:11" s="1502" customFormat="1" ht="24.95" hidden="1" customHeight="1">
      <c r="A60" s="1496">
        <f>'8-4.일위대가표'!A112</f>
        <v>0</v>
      </c>
      <c r="B60" s="1497" t="e">
        <f>VLOOKUP(A60,'8-4.일위대가표'!$A$4:$N$723,2,FALSE)</f>
        <v>#N/A</v>
      </c>
      <c r="C60" s="1497" t="e">
        <f>VLOOKUP(A60,'8-4.일위대가표'!$A$4:$N$723,3,FALSE)</f>
        <v>#N/A</v>
      </c>
      <c r="D60" s="1498" t="e">
        <f>VLOOKUP(A60,'8-4.일위대가표'!$A$4:$N$723,5,FALSE)</f>
        <v>#N/A</v>
      </c>
      <c r="E60" s="580">
        <f>'8-3.노무산출'!H60</f>
        <v>0</v>
      </c>
      <c r="F60" s="1500" t="e">
        <f>VLOOKUP(A60,'8-4.일위대가표'!$A$4:$N$723,13,FALSE)</f>
        <v>#N/A</v>
      </c>
      <c r="G60" s="1521" t="e">
        <f t="shared" si="0"/>
        <v>#N/A</v>
      </c>
      <c r="H60" s="1521"/>
      <c r="I60" s="1523"/>
      <c r="J60" s="1501"/>
      <c r="K60" s="22">
        <f t="shared" si="1"/>
        <v>0</v>
      </c>
    </row>
    <row r="61" spans="1:11" s="22" customFormat="1" ht="24.95" customHeight="1">
      <c r="A61" s="267" t="str">
        <f>'8-4.일위대가표'!A114</f>
        <v>품1-7.</v>
      </c>
      <c r="B61" s="396" t="str">
        <f>VLOOKUP(A61,'8-4.일위대가표'!$A$4:$N$723,2,FALSE)</f>
        <v>광점퍼코드 포설</v>
      </c>
      <c r="C61" s="396" t="str">
        <f>VLOOKUP(A61,'8-4.일위대가표'!$A$4:$N$723,3,FALSE)</f>
        <v>SC/PC(APC)↔SC/APC, 2열</v>
      </c>
      <c r="D61" s="740" t="str">
        <f>VLOOKUP(A61,'8-4.일위대가표'!$A$4:$N$723,5,FALSE)</f>
        <v>m</v>
      </c>
      <c r="E61" s="580">
        <f>'8-3.노무산출'!H61</f>
        <v>44</v>
      </c>
      <c r="F61" s="744">
        <f>VLOOKUP(A61,'8-4.일위대가표'!$A$4:$N$723,13,FALSE)</f>
        <v>8851</v>
      </c>
      <c r="G61" s="1521">
        <f t="shared" si="0"/>
        <v>389444</v>
      </c>
      <c r="H61" s="1521"/>
      <c r="I61" s="1521"/>
      <c r="J61" s="981"/>
      <c r="K61" s="22" t="str">
        <f t="shared" si="1"/>
        <v>품1-7.</v>
      </c>
    </row>
    <row r="62" spans="1:11" s="1502" customFormat="1" ht="24.95" hidden="1" customHeight="1">
      <c r="A62" s="1496">
        <f>'8-4.일위대가표'!A117</f>
        <v>0</v>
      </c>
      <c r="B62" s="1497" t="e">
        <f>VLOOKUP(A62,'8-4.일위대가표'!$A$4:$N$723,2,FALSE)</f>
        <v>#N/A</v>
      </c>
      <c r="C62" s="1497" t="e">
        <f>VLOOKUP(A62,'8-4.일위대가표'!$A$4:$N$723,3,FALSE)</f>
        <v>#N/A</v>
      </c>
      <c r="D62" s="1498" t="e">
        <f>VLOOKUP(A62,'8-4.일위대가표'!$A$4:$N$723,5,FALSE)</f>
        <v>#N/A</v>
      </c>
      <c r="E62" s="580">
        <f>'8-3.노무산출'!H62</f>
        <v>0</v>
      </c>
      <c r="F62" s="1500" t="e">
        <f>VLOOKUP(A62,'8-4.일위대가표'!$A$4:$N$723,13,FALSE)</f>
        <v>#N/A</v>
      </c>
      <c r="G62" s="1521" t="e">
        <f t="shared" si="0"/>
        <v>#N/A</v>
      </c>
      <c r="H62" s="1521"/>
      <c r="I62" s="1523"/>
      <c r="J62" s="1501"/>
      <c r="K62" s="22">
        <f t="shared" si="1"/>
        <v>0</v>
      </c>
    </row>
    <row r="63" spans="1:11" s="1502" customFormat="1" ht="24.95" hidden="1" customHeight="1">
      <c r="A63" s="1496">
        <f>'8-4.일위대가표'!A120</f>
        <v>0</v>
      </c>
      <c r="B63" s="1497" t="e">
        <f>VLOOKUP(A63,'8-4.일위대가표'!$A$4:$N$723,2,FALSE)</f>
        <v>#N/A</v>
      </c>
      <c r="C63" s="1497" t="e">
        <f>VLOOKUP(A63,'8-4.일위대가표'!$A$4:$N$723,3,FALSE)</f>
        <v>#N/A</v>
      </c>
      <c r="D63" s="1498" t="e">
        <f>VLOOKUP(A63,'8-4.일위대가표'!$A$4:$N$723,5,FALSE)</f>
        <v>#N/A</v>
      </c>
      <c r="E63" s="580">
        <f>'8-3.노무산출'!H63</f>
        <v>0</v>
      </c>
      <c r="F63" s="1500" t="e">
        <f>VLOOKUP(A63,'8-4.일위대가표'!$A$4:$N$723,13,FALSE)</f>
        <v>#N/A</v>
      </c>
      <c r="G63" s="1521" t="e">
        <f t="shared" si="0"/>
        <v>#N/A</v>
      </c>
      <c r="H63" s="1521"/>
      <c r="I63" s="1523"/>
      <c r="J63" s="1501"/>
      <c r="K63" s="22">
        <f t="shared" si="1"/>
        <v>0</v>
      </c>
    </row>
    <row r="64" spans="1:11" s="1502" customFormat="1" ht="24.95" hidden="1" customHeight="1">
      <c r="A64" s="1496">
        <f>'8-4.일위대가표'!A123</f>
        <v>0</v>
      </c>
      <c r="B64" s="1497" t="e">
        <f>VLOOKUP(A64,'8-4.일위대가표'!$A$4:$N$723,2,FALSE)</f>
        <v>#N/A</v>
      </c>
      <c r="C64" s="1497" t="e">
        <f>VLOOKUP(A64,'8-4.일위대가표'!$A$4:$N$723,3,FALSE)</f>
        <v>#N/A</v>
      </c>
      <c r="D64" s="1498" t="e">
        <f>VLOOKUP(A64,'8-4.일위대가표'!$A$4:$N$723,5,FALSE)</f>
        <v>#N/A</v>
      </c>
      <c r="E64" s="580">
        <f>'8-3.노무산출'!H64</f>
        <v>0</v>
      </c>
      <c r="F64" s="1500" t="e">
        <f>VLOOKUP(A64,'8-4.일위대가표'!$A$4:$N$723,13,FALSE)</f>
        <v>#N/A</v>
      </c>
      <c r="G64" s="1521" t="e">
        <f t="shared" si="0"/>
        <v>#N/A</v>
      </c>
      <c r="H64" s="1521"/>
      <c r="I64" s="1523"/>
      <c r="J64" s="1501"/>
      <c r="K64" s="22">
        <f t="shared" si="1"/>
        <v>0</v>
      </c>
    </row>
    <row r="65" spans="1:11" s="1502" customFormat="1" ht="24.95" hidden="1" customHeight="1">
      <c r="A65" s="1496">
        <f>'8-4.일위대가표'!A125</f>
        <v>0</v>
      </c>
      <c r="B65" s="1497" t="e">
        <f>VLOOKUP(A65,'8-4.일위대가표'!$A$4:$N$723,2,FALSE)</f>
        <v>#N/A</v>
      </c>
      <c r="C65" s="1497" t="e">
        <f>VLOOKUP(A65,'8-4.일위대가표'!$A$4:$N$723,3,FALSE)</f>
        <v>#N/A</v>
      </c>
      <c r="D65" s="1498" t="e">
        <f>VLOOKUP(A65,'8-4.일위대가표'!$A$4:$N$723,5,FALSE)</f>
        <v>#N/A</v>
      </c>
      <c r="E65" s="580">
        <f>'8-3.노무산출'!H65</f>
        <v>0</v>
      </c>
      <c r="F65" s="1500" t="e">
        <f>VLOOKUP(A65,'8-4.일위대가표'!$A$4:$N$723,13,FALSE)</f>
        <v>#N/A</v>
      </c>
      <c r="G65" s="1521" t="e">
        <f t="shared" si="0"/>
        <v>#N/A</v>
      </c>
      <c r="H65" s="1521"/>
      <c r="I65" s="1523"/>
      <c r="J65" s="1501"/>
      <c r="K65" s="22">
        <f t="shared" si="1"/>
        <v>0</v>
      </c>
    </row>
    <row r="66" spans="1:11" s="1502" customFormat="1" ht="24.95" hidden="1" customHeight="1">
      <c r="A66" s="1496">
        <f>'8-4.일위대가표'!A127</f>
        <v>0</v>
      </c>
      <c r="B66" s="1497" t="e">
        <f>VLOOKUP(A66,'8-4.일위대가표'!$A$4:$N$723,2,FALSE)</f>
        <v>#N/A</v>
      </c>
      <c r="C66" s="1497" t="e">
        <f>VLOOKUP(A66,'8-4.일위대가표'!$A$4:$N$723,3,FALSE)</f>
        <v>#N/A</v>
      </c>
      <c r="D66" s="1498" t="e">
        <f>VLOOKUP(A66,'8-4.일위대가표'!$A$4:$N$723,5,FALSE)</f>
        <v>#N/A</v>
      </c>
      <c r="E66" s="580">
        <f>'8-3.노무산출'!H66</f>
        <v>0</v>
      </c>
      <c r="F66" s="1500" t="e">
        <f>VLOOKUP(A66,'8-4.일위대가표'!$A$4:$N$723,13,FALSE)</f>
        <v>#N/A</v>
      </c>
      <c r="G66" s="1521" t="e">
        <f t="shared" si="0"/>
        <v>#N/A</v>
      </c>
      <c r="H66" s="1521"/>
      <c r="I66" s="1523"/>
      <c r="J66" s="1501"/>
      <c r="K66" s="22">
        <f t="shared" si="1"/>
        <v>0</v>
      </c>
    </row>
    <row r="67" spans="1:11" s="1502" customFormat="1" ht="24.95" hidden="1" customHeight="1">
      <c r="A67" s="1496">
        <f>'8-4.일위대가표'!A128</f>
        <v>0</v>
      </c>
      <c r="B67" s="1497" t="e">
        <f>VLOOKUP(A67,'8-4.일위대가표'!$A$4:$N$723,2,FALSE)</f>
        <v>#N/A</v>
      </c>
      <c r="C67" s="1497" t="e">
        <f>VLOOKUP(A67,'8-4.일위대가표'!$A$4:$N$723,3,FALSE)</f>
        <v>#N/A</v>
      </c>
      <c r="D67" s="1498" t="e">
        <f>VLOOKUP(A67,'8-4.일위대가표'!$A$4:$N$723,5,FALSE)</f>
        <v>#N/A</v>
      </c>
      <c r="E67" s="580">
        <f>'8-3.노무산출'!H67</f>
        <v>0</v>
      </c>
      <c r="F67" s="1500" t="e">
        <f>VLOOKUP(A67,'8-4.일위대가표'!$A$4:$N$723,13,FALSE)</f>
        <v>#N/A</v>
      </c>
      <c r="G67" s="1521" t="e">
        <f t="shared" si="0"/>
        <v>#N/A</v>
      </c>
      <c r="H67" s="1521"/>
      <c r="I67" s="1523"/>
      <c r="J67" s="1501"/>
      <c r="K67" s="22">
        <f t="shared" si="1"/>
        <v>0</v>
      </c>
    </row>
    <row r="68" spans="1:11" s="1502" customFormat="1" ht="24.95" hidden="1" customHeight="1">
      <c r="A68" s="1496">
        <f>'8-4.일위대가표'!A130</f>
        <v>0</v>
      </c>
      <c r="B68" s="1497" t="e">
        <f>VLOOKUP(A68,'8-4.일위대가표'!$A$4:$N$723,2,FALSE)</f>
        <v>#N/A</v>
      </c>
      <c r="C68" s="1497" t="e">
        <f>VLOOKUP(A68,'8-4.일위대가표'!$A$4:$N$723,3,FALSE)</f>
        <v>#N/A</v>
      </c>
      <c r="D68" s="1498" t="e">
        <f>VLOOKUP(A68,'8-4.일위대가표'!$A$4:$N$723,5,FALSE)</f>
        <v>#N/A</v>
      </c>
      <c r="E68" s="580">
        <f>'8-3.노무산출'!H68</f>
        <v>0</v>
      </c>
      <c r="F68" s="1500" t="e">
        <f>VLOOKUP(A68,'8-4.일위대가표'!$A$4:$N$723,13,FALSE)</f>
        <v>#N/A</v>
      </c>
      <c r="G68" s="1521" t="e">
        <f t="shared" si="0"/>
        <v>#N/A</v>
      </c>
      <c r="H68" s="1521"/>
      <c r="I68" s="1523"/>
      <c r="J68" s="1501"/>
      <c r="K68" s="22">
        <f t="shared" si="1"/>
        <v>0</v>
      </c>
    </row>
    <row r="69" spans="1:11" s="22" customFormat="1" ht="24.95" customHeight="1">
      <c r="A69" s="267" t="str">
        <f>'8-4.일위대가표'!A132</f>
        <v>품1-8.</v>
      </c>
      <c r="B69" s="396" t="str">
        <f>VLOOKUP(A69,'8-4.일위대가표'!$A$4:$N$723,2,FALSE)</f>
        <v>UTP케이블 포설</v>
      </c>
      <c r="C69" s="396" t="str">
        <f>VLOOKUP(A69,'8-4.일위대가표'!$A$4:$N$723,3,FALSE)</f>
        <v>CAT.5 4Pr, 2열</v>
      </c>
      <c r="D69" s="740" t="str">
        <f>VLOOKUP(A69,'8-4.일위대가표'!$A$4:$N$723,5,FALSE)</f>
        <v>m</v>
      </c>
      <c r="E69" s="580">
        <f>'8-3.노무산출'!H69</f>
        <v>41</v>
      </c>
      <c r="F69" s="744">
        <f>VLOOKUP(A69,'8-4.일위대가표'!$A$4:$N$723,13,FALSE)</f>
        <v>10444</v>
      </c>
      <c r="G69" s="1521">
        <f t="shared" si="0"/>
        <v>428204</v>
      </c>
      <c r="H69" s="1521"/>
      <c r="I69" s="1521"/>
      <c r="J69" s="981"/>
      <c r="K69" s="22" t="str">
        <f t="shared" si="1"/>
        <v>품1-8.</v>
      </c>
    </row>
    <row r="70" spans="1:11" s="1502" customFormat="1" ht="24.95" hidden="1" customHeight="1">
      <c r="A70" s="1496">
        <f>'8-4.일위대가표'!A134</f>
        <v>0</v>
      </c>
      <c r="B70" s="1497" t="e">
        <f>VLOOKUP(A70,'8-4.일위대가표'!$A$4:$N$723,2,FALSE)</f>
        <v>#N/A</v>
      </c>
      <c r="C70" s="1497" t="e">
        <f>VLOOKUP(A70,'8-4.일위대가표'!$A$4:$N$723,3,FALSE)</f>
        <v>#N/A</v>
      </c>
      <c r="D70" s="1498" t="e">
        <f>VLOOKUP(A70,'8-4.일위대가표'!$A$4:$N$723,5,FALSE)</f>
        <v>#N/A</v>
      </c>
      <c r="E70" s="580">
        <f>'8-3.노무산출'!H70</f>
        <v>0</v>
      </c>
      <c r="F70" s="1500" t="e">
        <f>VLOOKUP(A70,'8-4.일위대가표'!$A$4:$N$723,13,FALSE)</f>
        <v>#N/A</v>
      </c>
      <c r="G70" s="1521" t="e">
        <f t="shared" si="0"/>
        <v>#N/A</v>
      </c>
      <c r="H70" s="1521"/>
      <c r="I70" s="1523"/>
      <c r="J70" s="1501"/>
      <c r="K70" s="22">
        <f t="shared" si="1"/>
        <v>0</v>
      </c>
    </row>
    <row r="71" spans="1:11" s="1502" customFormat="1" ht="24.95" hidden="1" customHeight="1">
      <c r="A71" s="1496">
        <f>'8-4.일위대가표'!A136</f>
        <v>0</v>
      </c>
      <c r="B71" s="1497" t="e">
        <f>VLOOKUP(A71,'8-4.일위대가표'!$A$4:$N$723,2,FALSE)</f>
        <v>#N/A</v>
      </c>
      <c r="C71" s="1497" t="e">
        <f>VLOOKUP(A71,'8-4.일위대가표'!$A$4:$N$723,3,FALSE)</f>
        <v>#N/A</v>
      </c>
      <c r="D71" s="1498" t="e">
        <f>VLOOKUP(A71,'8-4.일위대가표'!$A$4:$N$723,5,FALSE)</f>
        <v>#N/A</v>
      </c>
      <c r="E71" s="580">
        <f>'8-3.노무산출'!H71</f>
        <v>0</v>
      </c>
      <c r="F71" s="1500" t="e">
        <f>VLOOKUP(A71,'8-4.일위대가표'!$A$4:$N$723,13,FALSE)</f>
        <v>#N/A</v>
      </c>
      <c r="G71" s="1521" t="e">
        <f t="shared" si="0"/>
        <v>#N/A</v>
      </c>
      <c r="H71" s="1521"/>
      <c r="I71" s="1523"/>
      <c r="J71" s="1501"/>
      <c r="K71" s="22">
        <f t="shared" si="1"/>
        <v>0</v>
      </c>
    </row>
    <row r="72" spans="1:11" s="1534" customFormat="1" ht="24.95" customHeight="1">
      <c r="A72" s="1535" t="str">
        <f>'8-4.일위대가표'!A138</f>
        <v>품1-9.</v>
      </c>
      <c r="B72" s="1526" t="str">
        <f>VLOOKUP(A72,'8-4.일위대가표'!$A$4:$N$723,2,FALSE)</f>
        <v>후렉시블전선관 시설</v>
      </c>
      <c r="C72" s="1526" t="str">
        <f>VLOOKUP(A72,'8-4.일위대가표'!$A$4:$N$723,3,FALSE)</f>
        <v>금속가요전선관 22㎜</v>
      </c>
      <c r="D72" s="1536" t="str">
        <f>VLOOKUP(A72,'8-4.일위대가표'!$A$4:$N$723,5,FALSE)</f>
        <v>m</v>
      </c>
      <c r="E72" s="1537">
        <f>'8-3.노무산출'!H72</f>
        <v>44</v>
      </c>
      <c r="F72" s="1538">
        <f>VLOOKUP(A72,'8-4.일위대가표'!$A$4:$N$723,13,FALSE)</f>
        <v>19087</v>
      </c>
      <c r="G72" s="1539">
        <f t="shared" si="0"/>
        <v>839828</v>
      </c>
      <c r="H72" s="1539">
        <f>F72-'8-4.일위대가표'!M140</f>
        <v>4405</v>
      </c>
      <c r="I72" s="1539">
        <f>E72*H72</f>
        <v>193820</v>
      </c>
      <c r="J72" s="1540" t="s">
        <v>2597</v>
      </c>
      <c r="K72" s="22" t="str">
        <f t="shared" si="1"/>
        <v>품1-9.</v>
      </c>
    </row>
    <row r="73" spans="1:11" s="1534" customFormat="1" ht="24.95" customHeight="1">
      <c r="A73" s="1535" t="str">
        <f>'8-4.일위대가표'!A142</f>
        <v>품1-10.</v>
      </c>
      <c r="B73" s="1526" t="str">
        <f>VLOOKUP(A73,'8-4.일위대가표'!$A$4:$N$723,2,FALSE)</f>
        <v>후렉시블전선관 시설</v>
      </c>
      <c r="C73" s="1526" t="str">
        <f>VLOOKUP(A73,'8-4.일위대가표'!$A$4:$N$723,3,FALSE)</f>
        <v>금속가요전선관 16㎜</v>
      </c>
      <c r="D73" s="1536" t="str">
        <f>VLOOKUP(A73,'8-4.일위대가표'!$A$4:$N$723,5,FALSE)</f>
        <v>m</v>
      </c>
      <c r="E73" s="1537">
        <f>'8-3.노무산출'!H73</f>
        <v>68</v>
      </c>
      <c r="F73" s="1538">
        <f>VLOOKUP(A73,'8-4.일위대가표'!$A$4:$N$723,13,FALSE)</f>
        <v>14234</v>
      </c>
      <c r="G73" s="1539">
        <f t="shared" si="0"/>
        <v>967912</v>
      </c>
      <c r="H73" s="1539">
        <f>F73-'8-4.일위대가표'!M144</f>
        <v>3285</v>
      </c>
      <c r="I73" s="1539">
        <f>E73*H73</f>
        <v>223380</v>
      </c>
      <c r="J73" s="1540" t="s">
        <v>2597</v>
      </c>
      <c r="K73" s="22" t="str">
        <f t="shared" si="1"/>
        <v>품1-10.</v>
      </c>
    </row>
    <row r="74" spans="1:11" s="1534" customFormat="1" ht="24.95" customHeight="1">
      <c r="A74" s="1535" t="str">
        <f>'8-4.일위대가표'!A146</f>
        <v>품1-11.</v>
      </c>
      <c r="B74" s="1526" t="str">
        <f>VLOOKUP(A74,'8-4.일위대가표'!$A$4:$N$723,2,FALSE)</f>
        <v>접지선 포설</v>
      </c>
      <c r="C74" s="1526" t="str">
        <f>VLOOKUP(A74,'8-4.일위대가표'!$A$4:$N$723,3,FALSE)</f>
        <v>10㎟ 이하</v>
      </c>
      <c r="D74" s="1536" t="str">
        <f>VLOOKUP(A74,'8-4.일위대가표'!$A$4:$N$723,5,FALSE)</f>
        <v>m</v>
      </c>
      <c r="E74" s="1537">
        <f>'8-3.노무산출'!H74</f>
        <v>15</v>
      </c>
      <c r="F74" s="1538">
        <f>VLOOKUP(A74,'8-4.일위대가표'!$A$4:$N$723,13,FALSE)</f>
        <v>3732</v>
      </c>
      <c r="G74" s="1539">
        <f t="shared" si="0"/>
        <v>55980</v>
      </c>
      <c r="H74" s="1539">
        <f>F74-'8-4.일위대가표'!M148</f>
        <v>1244</v>
      </c>
      <c r="I74" s="1539">
        <f>E74*H74</f>
        <v>18660</v>
      </c>
      <c r="J74" s="1540" t="s">
        <v>2599</v>
      </c>
      <c r="K74" s="22" t="str">
        <f t="shared" si="1"/>
        <v>품1-11.</v>
      </c>
    </row>
    <row r="75" spans="1:11" s="22" customFormat="1" ht="24.95" customHeight="1">
      <c r="A75" s="267" t="str">
        <f>'8-4.일위대가표'!A150</f>
        <v>품1-12.</v>
      </c>
      <c r="B75" s="396" t="str">
        <f>VLOOKUP(A75,'8-4.일위대가표'!$A$4:$N$723,2,FALSE)</f>
        <v>접지선 접속</v>
      </c>
      <c r="C75" s="396" t="str">
        <f>VLOOKUP(A75,'8-4.일위대가표'!$A$4:$N$723,3,FALSE)</f>
        <v>압착단자</v>
      </c>
      <c r="D75" s="740" t="str">
        <f>VLOOKUP(A75,'8-4.일위대가표'!$A$4:$N$723,5,FALSE)</f>
        <v>개</v>
      </c>
      <c r="E75" s="580">
        <f>'8-3.노무산출'!H75</f>
        <v>5</v>
      </c>
      <c r="F75" s="744">
        <f>VLOOKUP(A75,'8-4.일위대가표'!$A$4:$N$723,13,FALSE)</f>
        <v>7465</v>
      </c>
      <c r="G75" s="1521">
        <f t="shared" si="0"/>
        <v>37325</v>
      </c>
      <c r="H75" s="1521"/>
      <c r="I75" s="1521"/>
      <c r="J75" s="981"/>
      <c r="K75" s="22" t="str">
        <f t="shared" si="1"/>
        <v>품1-12.</v>
      </c>
    </row>
    <row r="76" spans="1:11" s="22" customFormat="1" ht="24.95" customHeight="1">
      <c r="A76" s="267" t="str">
        <f>'8-4.일위대가표'!A152</f>
        <v>품1-13.</v>
      </c>
      <c r="B76" s="396" t="str">
        <f>VLOOKUP(A76,'8-4.일위대가표'!$A$4:$N$723,2,FALSE)</f>
        <v>케이블 심선성단 및 수용</v>
      </c>
      <c r="C76" s="396" t="str">
        <f>VLOOKUP(A76,'8-4.일위대가표'!$A$4:$N$723,3,FALSE)</f>
        <v>케이블 심선성단 및 수용</v>
      </c>
      <c r="D76" s="740" t="str">
        <f>VLOOKUP(A76,'8-4.일위대가표'!$A$4:$N$723,5,FALSE)</f>
        <v>단자</v>
      </c>
      <c r="E76" s="580">
        <f>'8-3.노무산출'!H76</f>
        <v>168</v>
      </c>
      <c r="F76" s="744">
        <f>VLOOKUP(A76,'8-4.일위대가표'!$A$4:$N$723,13,FALSE)</f>
        <v>1254</v>
      </c>
      <c r="G76" s="1521">
        <f t="shared" si="0"/>
        <v>210672</v>
      </c>
      <c r="H76" s="1521"/>
      <c r="I76" s="1521"/>
      <c r="J76" s="981"/>
      <c r="K76" s="22" t="str">
        <f t="shared" si="1"/>
        <v>품1-13.</v>
      </c>
    </row>
    <row r="77" spans="1:11" s="22" customFormat="1" ht="24.95" customHeight="1">
      <c r="A77" s="267" t="str">
        <f>'8-4.일위대가표'!A155</f>
        <v>품1-14.</v>
      </c>
      <c r="B77" s="396" t="str">
        <f>VLOOKUP(A77,'8-4.일위대가표'!$A$4:$N$723,2,FALSE)</f>
        <v>케이블 도통점검</v>
      </c>
      <c r="C77" s="396" t="str">
        <f>VLOOKUP(A77,'8-4.일위대가표'!$A$4:$N$723,3,FALSE)</f>
        <v>케이블 도통점검</v>
      </c>
      <c r="D77" s="740" t="str">
        <f>VLOOKUP(A77,'8-4.일위대가표'!$A$4:$N$723,5,FALSE)</f>
        <v>단자</v>
      </c>
      <c r="E77" s="580">
        <f>'8-3.노무산출'!H80</f>
        <v>84</v>
      </c>
      <c r="F77" s="744">
        <f>VLOOKUP(A77,'8-4.일위대가표'!$A$4:$N$723,13,FALSE)</f>
        <v>1005</v>
      </c>
      <c r="G77" s="1521">
        <f t="shared" si="0"/>
        <v>84420</v>
      </c>
      <c r="H77" s="1521"/>
      <c r="I77" s="1521"/>
      <c r="J77" s="981"/>
      <c r="K77" s="22" t="str">
        <f t="shared" si="1"/>
        <v>품1-14.</v>
      </c>
    </row>
    <row r="78" spans="1:11" s="1502" customFormat="1" ht="24.95" hidden="1" customHeight="1">
      <c r="A78" s="1496" t="str">
        <f>'8-4.일위대가표'!A157</f>
        <v>품1-32.</v>
      </c>
      <c r="B78" s="1497" t="str">
        <f>VLOOKUP(A78,'8-4.일위대가표'!$A$4:$N$723,2,FALSE)</f>
        <v>단자블럭 설치</v>
      </c>
      <c r="C78" s="1497" t="str">
        <f>VLOOKUP(A78,'8-4.일위대가표'!$A$4:$N$723,3,FALSE)</f>
        <v>블럭단자, QDF 10P</v>
      </c>
      <c r="D78" s="1498" t="str">
        <f>VLOOKUP(A78,'8-4.일위대가표'!$A$4:$N$723,5,FALSE)</f>
        <v>개</v>
      </c>
      <c r="E78" s="580">
        <f>'8-3.노무산출'!H78</f>
        <v>0</v>
      </c>
      <c r="F78" s="1500">
        <f>VLOOKUP(A78,'8-4.일위대가표'!$A$4:$N$723,13,FALSE)</f>
        <v>11618</v>
      </c>
      <c r="G78" s="1521">
        <f t="shared" si="0"/>
        <v>0</v>
      </c>
      <c r="H78" s="1521"/>
      <c r="I78" s="1523"/>
      <c r="J78" s="1501"/>
      <c r="K78" s="22" t="str">
        <f t="shared" si="1"/>
        <v>품1-32.</v>
      </c>
    </row>
    <row r="79" spans="1:11" s="1534" customFormat="1" ht="24.95" hidden="1" customHeight="1">
      <c r="A79" s="1535" t="str">
        <f>'8-4.일위대가표'!A160</f>
        <v>품1-33.</v>
      </c>
      <c r="B79" s="1526" t="str">
        <f>VLOOKUP(A79,'8-4.일위대가표'!$A$4:$N$723,2,FALSE)</f>
        <v>콘센트 설치</v>
      </c>
      <c r="C79" s="1526" t="str">
        <f>VLOOKUP(A79,'8-4.일위대가표'!$A$4:$N$723,3,FALSE)</f>
        <v>노출 접지 2구</v>
      </c>
      <c r="D79" s="1536" t="str">
        <f>VLOOKUP(A79,'8-4.일위대가표'!$A$4:$N$723,5,FALSE)</f>
        <v>개</v>
      </c>
      <c r="E79" s="1537">
        <f>'8-3.노무산출'!H85</f>
        <v>0</v>
      </c>
      <c r="F79" s="1538">
        <f>VLOOKUP(A79,'8-4.일위대가표'!$A$4:$N$723,13,FALSE)</f>
        <v>23042</v>
      </c>
      <c r="G79" s="1539">
        <f t="shared" si="0"/>
        <v>0</v>
      </c>
      <c r="H79" s="1539">
        <f>F79-'8-4.일위대가표'!M162</f>
        <v>3841</v>
      </c>
      <c r="I79" s="1539">
        <f>E79*H79</f>
        <v>0</v>
      </c>
      <c r="J79" s="1540" t="s">
        <v>2600</v>
      </c>
      <c r="K79" s="22" t="str">
        <f t="shared" si="1"/>
        <v>품1-33.</v>
      </c>
    </row>
    <row r="80" spans="1:11" s="1502" customFormat="1" ht="24.95" hidden="1" customHeight="1">
      <c r="A80" s="1496" t="str">
        <f>'8-4.일위대가표'!A164</f>
        <v>품1-35.</v>
      </c>
      <c r="B80" s="1497" t="str">
        <f>VLOOKUP(A80,'8-4.일위대가표'!$A$4:$N$723,2,FALSE)</f>
        <v>동축 케이블 포설</v>
      </c>
      <c r="C80" s="1497" t="str">
        <f>VLOOKUP(A80,'8-4.일위대가표'!$A$4:$N$723,3,FALSE)</f>
        <v>RG 58</v>
      </c>
      <c r="D80" s="1498" t="str">
        <f>VLOOKUP(A80,'8-4.일위대가표'!$A$4:$N$723,5,FALSE)</f>
        <v>m</v>
      </c>
      <c r="E80" s="580">
        <f>'8-3.노무산출'!H80</f>
        <v>84</v>
      </c>
      <c r="F80" s="1500">
        <f>VLOOKUP(A80,'8-4.일위대가표'!$A$4:$N$723,13,FALSE)</f>
        <v>6576</v>
      </c>
      <c r="G80" s="1521">
        <f t="shared" si="0"/>
        <v>552384</v>
      </c>
      <c r="H80" s="1521"/>
      <c r="I80" s="1523"/>
      <c r="J80" s="1501"/>
      <c r="K80" s="22" t="str">
        <f t="shared" si="1"/>
        <v>품1-35.</v>
      </c>
    </row>
    <row r="81" spans="1:11" s="1502" customFormat="1" ht="24.95" hidden="1" customHeight="1">
      <c r="A81" s="1496" t="str">
        <f>'8-4.일위대가표'!A166</f>
        <v>품1-36.</v>
      </c>
      <c r="B81" s="1497" t="str">
        <f>VLOOKUP(A81,'8-4.일위대가표'!$A$4:$N$723,2,FALSE)</f>
        <v>광케이블 포설</v>
      </c>
      <c r="C81" s="1497" t="str">
        <f>VLOOKUP(A81,'8-4.일위대가표'!$A$4:$N$723,3,FALSE)</f>
        <v>인력견인포설(관로,구내),주간</v>
      </c>
      <c r="D81" s="1498" t="str">
        <f>VLOOKUP(A81,'8-4.일위대가표'!$A$4:$N$723,5,FALSE)</f>
        <v>m</v>
      </c>
      <c r="E81" s="580">
        <f>'8-3.노무산출'!H81</f>
        <v>0</v>
      </c>
      <c r="F81" s="1500">
        <f>VLOOKUP(A81,'8-4.일위대가표'!$A$4:$N$723,13,FALSE)</f>
        <v>5973</v>
      </c>
      <c r="G81" s="1521">
        <f t="shared" si="0"/>
        <v>0</v>
      </c>
      <c r="H81" s="1521"/>
      <c r="I81" s="1523"/>
      <c r="J81" s="1501"/>
      <c r="K81" s="22" t="str">
        <f t="shared" si="1"/>
        <v>품1-36.</v>
      </c>
    </row>
    <row r="82" spans="1:11" s="1502" customFormat="1" ht="24.95" hidden="1" customHeight="1">
      <c r="A82" s="1496" t="str">
        <f>'8-4.일위대가표'!A168</f>
        <v>품1-36-가.</v>
      </c>
      <c r="B82" s="1497" t="str">
        <f>VLOOKUP(A82,'8-4.일위대가표'!$A$4:$N$723,2,FALSE)</f>
        <v>광케이블 포설</v>
      </c>
      <c r="C82" s="1497" t="str">
        <f>VLOOKUP(A82,'8-4.일위대가표'!$A$4:$N$723,3,FALSE)</f>
        <v>인력견인포설(관로,구내),야간</v>
      </c>
      <c r="D82" s="1498" t="str">
        <f>VLOOKUP(A82,'8-4.일위대가표'!$A$4:$N$723,5,FALSE)</f>
        <v>m</v>
      </c>
      <c r="E82" s="580">
        <f>'8-3.노무산출'!H82</f>
        <v>0</v>
      </c>
      <c r="F82" s="1500">
        <f>VLOOKUP(A82,'8-4.일위대가표'!$A$4:$N$723,13,FALSE)</f>
        <v>11199</v>
      </c>
      <c r="G82" s="1521">
        <f t="shared" si="0"/>
        <v>0</v>
      </c>
      <c r="H82" s="1521"/>
      <c r="I82" s="1523"/>
      <c r="J82" s="1501"/>
      <c r="K82" s="22" t="str">
        <f t="shared" si="1"/>
        <v>품1-36-가.</v>
      </c>
    </row>
    <row r="83" spans="1:11" s="1502" customFormat="1" ht="24.95" hidden="1" customHeight="1">
      <c r="A83" s="1496" t="str">
        <f>'8-4.일위대가표'!A170</f>
        <v>품1-37.</v>
      </c>
      <c r="B83" s="1497" t="str">
        <f>VLOOKUP(A83,'8-4.일위대가표'!$A$4:$N$723,2,FALSE)</f>
        <v>광케이블 국내성단</v>
      </c>
      <c r="C83" s="1497" t="str">
        <f>VLOOKUP(A83,'8-4.일위대가표'!$A$4:$N$723,3,FALSE)</f>
        <v>13-71코아</v>
      </c>
      <c r="D83" s="1498" t="str">
        <f>VLOOKUP(A83,'8-4.일위대가표'!$A$4:$N$723,5,FALSE)</f>
        <v>코아</v>
      </c>
      <c r="E83" s="580">
        <f>'8-3.노무산출'!H83</f>
        <v>0</v>
      </c>
      <c r="F83" s="1500">
        <f>VLOOKUP(A83,'8-4.일위대가표'!$A$4:$N$723,13,FALSE)</f>
        <v>66970</v>
      </c>
      <c r="G83" s="1521">
        <f t="shared" si="0"/>
        <v>0</v>
      </c>
      <c r="H83" s="1521"/>
      <c r="I83" s="1523"/>
      <c r="J83" s="1501"/>
      <c r="K83" s="22" t="str">
        <f t="shared" si="1"/>
        <v>품1-37.</v>
      </c>
    </row>
    <row r="84" spans="1:11" s="1502" customFormat="1" ht="24.95" hidden="1" customHeight="1">
      <c r="A84" s="1496" t="str">
        <f>'8-4.일위대가표'!A173</f>
        <v>품1-38.</v>
      </c>
      <c r="B84" s="1497" t="str">
        <f>VLOOKUP(A84,'8-4.일위대가표'!$A$4:$N$723,2,FALSE)</f>
        <v>광케이블 측정 및 시험</v>
      </c>
      <c r="C84" s="1497" t="str">
        <f>VLOOKUP(A84,'8-4.일위대가표'!$A$4:$N$723,3,FALSE)</f>
        <v>최종시험</v>
      </c>
      <c r="D84" s="1498" t="str">
        <f>VLOOKUP(A84,'8-4.일위대가표'!$A$4:$N$723,5,FALSE)</f>
        <v>코아</v>
      </c>
      <c r="E84" s="580">
        <f>'8-3.노무산출'!H84</f>
        <v>0</v>
      </c>
      <c r="F84" s="1500">
        <f>VLOOKUP(A84,'8-4.일위대가표'!$A$4:$N$723,13,FALSE)</f>
        <v>133613</v>
      </c>
      <c r="G84" s="1521">
        <f t="shared" si="0"/>
        <v>0</v>
      </c>
      <c r="H84" s="1521"/>
      <c r="I84" s="1523"/>
      <c r="J84" s="1501"/>
      <c r="K84" s="22" t="str">
        <f t="shared" si="1"/>
        <v>품1-38.</v>
      </c>
    </row>
    <row r="85" spans="1:11" s="1502" customFormat="1" ht="24.95" hidden="1" customHeight="1">
      <c r="A85" s="1496" t="str">
        <f>'8-4.일위대가표'!A176</f>
        <v>품1-39.</v>
      </c>
      <c r="B85" s="1497" t="str">
        <f>VLOOKUP(A85,'8-4.일위대가표'!$A$4:$N$723,2,FALSE)</f>
        <v>OFD셀프 설치</v>
      </c>
      <c r="C85" s="1497" t="str">
        <f>VLOOKUP(A85,'8-4.일위대가표'!$A$4:$N$723,3,FALSE)</f>
        <v>OFD셀프 설치</v>
      </c>
      <c r="D85" s="1498" t="str">
        <f>VLOOKUP(A85,'8-4.일위대가표'!$A$4:$N$723,5,FALSE)</f>
        <v>개소</v>
      </c>
      <c r="E85" s="580">
        <f>'8-3.노무산출'!H85</f>
        <v>0</v>
      </c>
      <c r="F85" s="1500">
        <f>VLOOKUP(A85,'8-4.일위대가표'!$A$4:$N$723,13,FALSE)</f>
        <v>38366</v>
      </c>
      <c r="G85" s="1521">
        <f t="shared" si="0"/>
        <v>0</v>
      </c>
      <c r="H85" s="1521"/>
      <c r="I85" s="1523"/>
      <c r="J85" s="1501"/>
      <c r="K85" s="22" t="str">
        <f t="shared" si="1"/>
        <v>품1-39.</v>
      </c>
    </row>
    <row r="86" spans="1:11" s="1502" customFormat="1" ht="24.95" hidden="1" customHeight="1">
      <c r="A86" s="1496" t="str">
        <f>'8-4.일위대가표'!A179</f>
        <v>품1-40.</v>
      </c>
      <c r="B86" s="1497" t="str">
        <f>VLOOKUP(A86,'8-4.일위대가표'!$A$4:$N$723,2,FALSE)</f>
        <v>케이블 명찰 취부</v>
      </c>
      <c r="C86" s="1497" t="str">
        <f>VLOOKUP(A86,'8-4.일위대가표'!$A$4:$N$723,3,FALSE)</f>
        <v>식별표시용,주간</v>
      </c>
      <c r="D86" s="1498" t="str">
        <f>VLOOKUP(A86,'8-4.일위대가표'!$A$4:$N$723,5,FALSE)</f>
        <v>개</v>
      </c>
      <c r="E86" s="580">
        <f>'8-3.노무산출'!H86</f>
        <v>0</v>
      </c>
      <c r="F86" s="1500">
        <f>VLOOKUP(A86,'8-4.일위대가표'!$A$4:$N$723,13,FALSE)</f>
        <v>1500</v>
      </c>
      <c r="G86" s="1521">
        <f t="shared" si="0"/>
        <v>0</v>
      </c>
      <c r="H86" s="1521"/>
      <c r="I86" s="1523"/>
      <c r="J86" s="1503"/>
      <c r="K86" s="22" t="str">
        <f t="shared" si="1"/>
        <v>품1-40.</v>
      </c>
    </row>
    <row r="87" spans="1:11" s="22" customFormat="1" ht="24.95" hidden="1" customHeight="1">
      <c r="A87" s="267" t="str">
        <f>'8-4.일위대가표'!A180</f>
        <v>품1-40-가.</v>
      </c>
      <c r="B87" s="396" t="str">
        <f>VLOOKUP(A87,'8-4.일위대가표'!$A$4:$N$723,2,FALSE)</f>
        <v>케이블 명찰 취부</v>
      </c>
      <c r="C87" s="396" t="str">
        <f>VLOOKUP(A87,'8-4.일위대가표'!$A$4:$N$723,3,FALSE)</f>
        <v>식별표시용,야간</v>
      </c>
      <c r="D87" s="740" t="str">
        <f>VLOOKUP(A87,'8-4.일위대가표'!$A$4:$N$723,5,FALSE)</f>
        <v>개</v>
      </c>
      <c r="E87" s="580">
        <f>'8-3.노무산출'!H87</f>
        <v>0</v>
      </c>
      <c r="F87" s="744"/>
      <c r="G87" s="1521"/>
      <c r="H87" s="1521"/>
      <c r="I87" s="1521"/>
      <c r="J87" s="406"/>
      <c r="K87" s="22" t="str">
        <f t="shared" si="1"/>
        <v>품1-40-가.</v>
      </c>
    </row>
    <row r="88" spans="1:11" s="22" customFormat="1" ht="24.95" customHeight="1">
      <c r="A88" s="267"/>
      <c r="B88" s="396"/>
      <c r="C88" s="396"/>
      <c r="D88" s="740"/>
      <c r="E88" s="580"/>
      <c r="F88" s="744"/>
      <c r="G88" s="1521"/>
      <c r="H88" s="1521"/>
      <c r="I88" s="1521"/>
      <c r="J88" s="406"/>
    </row>
    <row r="89" spans="1:11" s="22" customFormat="1" ht="24.95" customHeight="1">
      <c r="A89" s="803" t="str">
        <f>'8-1.설비자재산출(전력통신)'!A95</f>
        <v>2. 전원설비</v>
      </c>
      <c r="B89" s="396"/>
      <c r="C89" s="396"/>
      <c r="D89" s="740"/>
      <c r="E89" s="580"/>
      <c r="F89" s="744"/>
      <c r="G89" s="1521"/>
      <c r="H89" s="1521"/>
      <c r="I89" s="1521"/>
      <c r="J89" s="406"/>
      <c r="K89" s="22" t="s">
        <v>3129</v>
      </c>
    </row>
    <row r="90" spans="1:11" s="22" customFormat="1" ht="24.95" customHeight="1">
      <c r="A90" s="267" t="str">
        <f>'8-4.일위대가표'!A264</f>
        <v>품2-1.</v>
      </c>
      <c r="B90" s="396" t="str">
        <f>VLOOKUP(A90,'8-4.일위대가표'!$A$4:$N$723,2,FALSE)</f>
        <v>UPS 설치</v>
      </c>
      <c r="C90" s="396" t="str">
        <f>VLOOKUP(A90,'8-4.일위대가표'!$A$4:$N$723,3,FALSE)</f>
        <v>15kVA/5kVA</v>
      </c>
      <c r="D90" s="740" t="str">
        <f>VLOOKUP(A90,'8-4.일위대가표'!$A$4:$N$723,5,FALSE)</f>
        <v>대</v>
      </c>
      <c r="E90" s="580">
        <f>'8-3.노무산출'!H96</f>
        <v>2</v>
      </c>
      <c r="F90" s="744">
        <f>VLOOKUP(A90,'8-4.일위대가표'!$A$4:$N$723,13,FALSE)</f>
        <v>252964</v>
      </c>
      <c r="G90" s="1521">
        <f t="shared" ref="G90:G151" si="2">E90*F90</f>
        <v>505928</v>
      </c>
      <c r="H90" s="1521"/>
      <c r="I90" s="1521"/>
      <c r="J90" s="406"/>
      <c r="K90" s="22" t="str">
        <f>A90</f>
        <v>품2-1.</v>
      </c>
    </row>
    <row r="91" spans="1:11" s="22" customFormat="1" ht="24.95" customHeight="1">
      <c r="A91" s="355" t="str">
        <f>'8-4.일위대가표'!A270</f>
        <v>품2-2.</v>
      </c>
      <c r="B91" s="396" t="str">
        <f>VLOOKUP(A91,'8-4.일위대가표'!$A$4:$N$723,2,FALSE)</f>
        <v>충전기 설치</v>
      </c>
      <c r="C91" s="396" t="str">
        <f>VLOOKUP(A91,'8-4.일위대가표'!$A$4:$N$723,3,FALSE)</f>
        <v>50A</v>
      </c>
      <c r="D91" s="740" t="str">
        <f>VLOOKUP(A91,'8-4.일위대가표'!$A$4:$N$723,5,FALSE)</f>
        <v>대</v>
      </c>
      <c r="E91" s="580">
        <f>'8-3.노무산출'!H97</f>
        <v>3</v>
      </c>
      <c r="F91" s="744">
        <f>VLOOKUP(A91,'8-4.일위대가표'!$A$4:$N$723,13,FALSE)</f>
        <v>252964</v>
      </c>
      <c r="G91" s="1521">
        <f t="shared" si="2"/>
        <v>758892</v>
      </c>
      <c r="H91" s="1521"/>
      <c r="I91" s="1521"/>
      <c r="J91" s="406"/>
      <c r="K91" s="22" t="str">
        <f t="shared" ref="K91:K108" si="3">A91</f>
        <v>품2-2.</v>
      </c>
    </row>
    <row r="92" spans="1:11" s="22" customFormat="1" ht="24.95" customHeight="1">
      <c r="A92" s="355" t="str">
        <f>'8-4.일위대가표'!A276</f>
        <v>품2-3.</v>
      </c>
      <c r="B92" s="396" t="str">
        <f>VLOOKUP(A92,'8-4.일위대가표'!$A$4:$N$723,2,FALSE)</f>
        <v>전원분전반 설치</v>
      </c>
      <c r="C92" s="396" t="str">
        <f>VLOOKUP(A92,'8-4.일위대가표'!$A$4:$N$723,3,FALSE)</f>
        <v>장치거치 준용</v>
      </c>
      <c r="D92" s="740" t="str">
        <f>VLOOKUP(A92,'8-4.일위대가표'!$A$4:$N$723,5,FALSE)</f>
        <v>대</v>
      </c>
      <c r="E92" s="580">
        <f>'8-3.노무산출'!H98</f>
        <v>2</v>
      </c>
      <c r="F92" s="744">
        <f>VLOOKUP(A92,'8-4.일위대가표'!$A$4:$N$723,13,FALSE)</f>
        <v>252964</v>
      </c>
      <c r="G92" s="1521">
        <f t="shared" si="2"/>
        <v>505928</v>
      </c>
      <c r="H92" s="1521"/>
      <c r="I92" s="1521"/>
      <c r="J92" s="406"/>
      <c r="K92" s="22" t="str">
        <f t="shared" si="3"/>
        <v>품2-3.</v>
      </c>
    </row>
    <row r="93" spans="1:11" s="22" customFormat="1" ht="24.95" customHeight="1">
      <c r="A93" s="267" t="str">
        <f>'8-4.일위대가표'!A282</f>
        <v>품2-4.</v>
      </c>
      <c r="B93" s="396" t="str">
        <f>VLOOKUP(A93,'8-4.일위대가표'!$A$4:$N$723,2,FALSE)</f>
        <v>밧데리함 설치</v>
      </c>
      <c r="C93" s="396" t="str">
        <f>VLOOKUP(A93,'8-4.일위대가표'!$A$4:$N$723,3,FALSE)</f>
        <v>장치거치 준용</v>
      </c>
      <c r="D93" s="740" t="str">
        <f>VLOOKUP(A93,'8-4.일위대가표'!$A$4:$N$723,5,FALSE)</f>
        <v>대</v>
      </c>
      <c r="E93" s="580">
        <f>'8-3.노무산출'!H99</f>
        <v>9</v>
      </c>
      <c r="F93" s="744">
        <f>VLOOKUP(A93,'8-4.일위대가표'!$A$4:$N$723,13,FALSE)</f>
        <v>252964</v>
      </c>
      <c r="G93" s="1521">
        <f t="shared" si="2"/>
        <v>2276676</v>
      </c>
      <c r="H93" s="1521"/>
      <c r="I93" s="1521"/>
      <c r="J93" s="406"/>
      <c r="K93" s="22" t="str">
        <f t="shared" si="3"/>
        <v>품2-4.</v>
      </c>
    </row>
    <row r="94" spans="1:11" s="22" customFormat="1" ht="24.95" customHeight="1">
      <c r="A94" s="267" t="str">
        <f>'8-4.일위대가표'!A288</f>
        <v>품2-5.</v>
      </c>
      <c r="B94" s="396" t="str">
        <f>VLOOKUP(A94,'8-4.일위대가표'!$A$4:$N$723,2,FALSE)</f>
        <v>통신용 구내 전력케이블 신설</v>
      </c>
      <c r="C94" s="396" t="str">
        <f>VLOOKUP(A94,'8-4.일위대가표'!$A$4:$N$723,3,FALSE)</f>
        <v>25SQ 이하 4심</v>
      </c>
      <c r="D94" s="740" t="str">
        <f>VLOOKUP(A94,'8-4.일위대가표'!$A$4:$N$723,5,FALSE)</f>
        <v>m</v>
      </c>
      <c r="E94" s="580">
        <f>'8-3.노무산출'!H100</f>
        <v>303</v>
      </c>
      <c r="F94" s="744">
        <f>VLOOKUP(A94,'8-4.일위대가표'!$A$4:$N$723,13,FALSE)</f>
        <v>30174</v>
      </c>
      <c r="G94" s="1521">
        <f t="shared" si="2"/>
        <v>9142722</v>
      </c>
      <c r="H94" s="1521"/>
      <c r="I94" s="1521"/>
      <c r="J94" s="406"/>
      <c r="K94" s="22" t="str">
        <f t="shared" si="3"/>
        <v>품2-5.</v>
      </c>
    </row>
    <row r="95" spans="1:11" s="22" customFormat="1" ht="24.95" customHeight="1">
      <c r="A95" s="267" t="str">
        <f>'8-4.일위대가표'!A290</f>
        <v>품2-6.</v>
      </c>
      <c r="B95" s="396" t="str">
        <f>VLOOKUP(A95,'8-4.일위대가표'!$A$4:$N$723,2,FALSE)</f>
        <v>통신용 구내 전력케이블 신설</v>
      </c>
      <c r="C95" s="396" t="str">
        <f>VLOOKUP(A95,'8-4.일위대가표'!$A$4:$N$723,3,FALSE)</f>
        <v>16SQ 이하 4심</v>
      </c>
      <c r="D95" s="740" t="str">
        <f>VLOOKUP(A95,'8-4.일위대가표'!$A$4:$N$723,5,FALSE)</f>
        <v>m</v>
      </c>
      <c r="E95" s="580">
        <f>'8-3.노무산출'!H101</f>
        <v>16</v>
      </c>
      <c r="F95" s="744">
        <f>VLOOKUP(A95,'8-4.일위대가표'!$A$4:$N$723,13,FALSE)</f>
        <v>23133</v>
      </c>
      <c r="G95" s="1521">
        <f t="shared" si="2"/>
        <v>370128</v>
      </c>
      <c r="H95" s="1521"/>
      <c r="I95" s="1521"/>
      <c r="J95" s="406"/>
      <c r="K95" s="22" t="str">
        <f t="shared" si="3"/>
        <v>품2-6.</v>
      </c>
    </row>
    <row r="96" spans="1:11" s="22" customFormat="1" ht="24.95" customHeight="1">
      <c r="A96" s="267" t="str">
        <f>'8-4.일위대가표'!A292</f>
        <v>품2-7.</v>
      </c>
      <c r="B96" s="396" t="str">
        <f>VLOOKUP(A96,'8-4.일위대가표'!$A$4:$N$723,2,FALSE)</f>
        <v>통신용 구내 전력케이블 신설</v>
      </c>
      <c r="C96" s="396" t="str">
        <f>VLOOKUP(A96,'8-4.일위대가표'!$A$4:$N$723,3,FALSE)</f>
        <v>16SQ 이하 3심</v>
      </c>
      <c r="D96" s="740" t="str">
        <f>VLOOKUP(A96,'8-4.일위대가표'!$A$4:$N$723,5,FALSE)</f>
        <v>m</v>
      </c>
      <c r="E96" s="580">
        <f>'8-3.노무산출'!H102</f>
        <v>150</v>
      </c>
      <c r="F96" s="744">
        <f>VLOOKUP(A96,'8-4.일위대가표'!$A$4:$N$723,13,FALSE)</f>
        <v>17795</v>
      </c>
      <c r="G96" s="1521">
        <f t="shared" si="2"/>
        <v>2669250</v>
      </c>
      <c r="H96" s="1521"/>
      <c r="I96" s="1521"/>
      <c r="J96" s="406"/>
      <c r="K96" s="22" t="str">
        <f t="shared" si="3"/>
        <v>품2-7.</v>
      </c>
    </row>
    <row r="97" spans="1:12" s="22" customFormat="1" ht="24.95" customHeight="1">
      <c r="A97" s="267" t="str">
        <f>'8-4.일위대가표'!A294</f>
        <v>품2-7-1.</v>
      </c>
      <c r="B97" s="396" t="str">
        <f>VLOOKUP(A97,'8-4.일위대가표'!$A$4:$N$723,2,FALSE)</f>
        <v>통신용 구내 전력케이블 신설</v>
      </c>
      <c r="C97" s="396" t="str">
        <f>VLOOKUP(A97,'8-4.일위대가표'!$A$4:$N$723,3,FALSE)</f>
        <v>16SQ 이하 3심, 2열 동시</v>
      </c>
      <c r="D97" s="740" t="str">
        <f>VLOOKUP(A97,'8-4.일위대가표'!$A$4:$N$723,5,FALSE)</f>
        <v>m</v>
      </c>
      <c r="E97" s="580">
        <f>'8-3.노무산출'!H103</f>
        <v>153</v>
      </c>
      <c r="F97" s="744">
        <f>VLOOKUP(A97,'8-4.일위대가표'!$A$4:$N$723,13,FALSE)</f>
        <v>32031</v>
      </c>
      <c r="G97" s="1521">
        <f t="shared" ref="G97" si="4">E97*F97</f>
        <v>4900743</v>
      </c>
      <c r="H97" s="1521"/>
      <c r="I97" s="1521"/>
      <c r="J97" s="406"/>
    </row>
    <row r="98" spans="1:12" s="22" customFormat="1" ht="24.95" customHeight="1">
      <c r="A98" s="267" t="str">
        <f>'8-4.일위대가표'!A296</f>
        <v>품2-8.</v>
      </c>
      <c r="B98" s="396" t="str">
        <f>VLOOKUP(A98,'8-4.일위대가표'!$A$4:$N$723,2,FALSE)</f>
        <v>통신용 구내 전력케이블 신설</v>
      </c>
      <c r="C98" s="396" t="str">
        <f>VLOOKUP(A98,'8-4.일위대가표'!$A$4:$N$723,3,FALSE)</f>
        <v>16SQ 이하 2심</v>
      </c>
      <c r="D98" s="740" t="str">
        <f>VLOOKUP(A98,'8-4.일위대가표'!$A$4:$N$723,5,FALSE)</f>
        <v>m</v>
      </c>
      <c r="E98" s="580">
        <f>'8-3.노무산출'!H104</f>
        <v>38</v>
      </c>
      <c r="F98" s="744">
        <f>VLOOKUP(A98,'8-4.일위대가표'!$A$4:$N$723,13,FALSE)</f>
        <v>12456</v>
      </c>
      <c r="G98" s="1521">
        <f t="shared" si="2"/>
        <v>473328</v>
      </c>
      <c r="H98" s="1521"/>
      <c r="I98" s="1521"/>
      <c r="J98" s="406"/>
      <c r="K98" s="22" t="str">
        <f t="shared" si="3"/>
        <v>품2-8.</v>
      </c>
      <c r="L98" s="268"/>
    </row>
    <row r="99" spans="1:12" s="1534" customFormat="1" ht="24.95" customHeight="1">
      <c r="A99" s="1535" t="str">
        <f>'8-4.일위대가표'!A298</f>
        <v>품2-9.</v>
      </c>
      <c r="B99" s="1526" t="str">
        <f>VLOOKUP(A99,'8-4.일위대가표'!$A$4:$N$723,2,FALSE)</f>
        <v>접지선 포설</v>
      </c>
      <c r="C99" s="1526" t="str">
        <f>VLOOKUP(A99,'8-4.일위대가표'!$A$4:$N$723,3,FALSE)</f>
        <v>35㎟ 이하</v>
      </c>
      <c r="D99" s="1536" t="str">
        <f>VLOOKUP(A99,'8-4.일위대가표'!$A$4:$N$723,5,FALSE)</f>
        <v>m</v>
      </c>
      <c r="E99" s="1537">
        <f>'8-3.노무산출'!H105</f>
        <v>48</v>
      </c>
      <c r="F99" s="1538">
        <f>VLOOKUP(A99,'8-4.일위대가표'!$A$4:$N$723,13,FALSE)</f>
        <v>4479</v>
      </c>
      <c r="G99" s="1539">
        <f t="shared" si="2"/>
        <v>214992</v>
      </c>
      <c r="H99" s="1539">
        <f>F99-'8-4.일위대가표'!M300</f>
        <v>1493</v>
      </c>
      <c r="I99" s="1539">
        <f>E99*H99</f>
        <v>71664</v>
      </c>
      <c r="J99" s="1533" t="s">
        <v>2599</v>
      </c>
      <c r="K99" s="22" t="str">
        <f t="shared" si="3"/>
        <v>품2-9.</v>
      </c>
    </row>
    <row r="100" spans="1:12" s="22" customFormat="1" ht="24.95" customHeight="1">
      <c r="A100" s="267" t="str">
        <f>'8-4.일위대가표'!A302</f>
        <v>품2-10.</v>
      </c>
      <c r="B100" s="396" t="str">
        <f>VLOOKUP(A100,'8-4.일위대가표'!$A$4:$N$723,2,FALSE)</f>
        <v>접지선 접속</v>
      </c>
      <c r="C100" s="396" t="str">
        <f>VLOOKUP(A100,'8-4.일위대가표'!$A$4:$N$723,3,FALSE)</f>
        <v>압착단자</v>
      </c>
      <c r="D100" s="740" t="str">
        <f>VLOOKUP(A100,'8-4.일위대가표'!$A$4:$N$723,5,FALSE)</f>
        <v>개</v>
      </c>
      <c r="E100" s="580">
        <f>'8-3.노무산출'!H106</f>
        <v>16</v>
      </c>
      <c r="F100" s="744">
        <f>VLOOKUP(A100,'8-4.일위대가표'!$A$4:$N$723,13,FALSE)</f>
        <v>7465</v>
      </c>
      <c r="G100" s="1521">
        <f t="shared" si="2"/>
        <v>119440</v>
      </c>
      <c r="H100" s="1521"/>
      <c r="I100" s="1521"/>
      <c r="J100" s="406"/>
      <c r="K100" s="22" t="str">
        <f t="shared" si="3"/>
        <v>품2-10.</v>
      </c>
    </row>
    <row r="101" spans="1:12" s="1502" customFormat="1" ht="24.95" hidden="1" customHeight="1">
      <c r="A101" s="1496">
        <f>'8-4.일위대가표'!A304</f>
        <v>0</v>
      </c>
      <c r="B101" s="1497" t="e">
        <f>VLOOKUP(A101,'8-4.일위대가표'!$A$4:$N$723,2,FALSE)</f>
        <v>#N/A</v>
      </c>
      <c r="C101" s="1497" t="e">
        <f>VLOOKUP(A101,'8-4.일위대가표'!$A$4:$N$723,3,FALSE)</f>
        <v>#N/A</v>
      </c>
      <c r="D101" s="1498" t="e">
        <f>VLOOKUP(A101,'8-4.일위대가표'!$A$4:$N$723,5,FALSE)</f>
        <v>#N/A</v>
      </c>
      <c r="E101" s="1499">
        <f>'8-3.노무산출'!H107</f>
        <v>0</v>
      </c>
      <c r="F101" s="1500" t="e">
        <f>VLOOKUP(A101,'8-4.일위대가표'!$A$4:$N$723,13,FALSE)</f>
        <v>#N/A</v>
      </c>
      <c r="G101" s="1521" t="e">
        <f t="shared" si="2"/>
        <v>#N/A</v>
      </c>
      <c r="H101" s="1521"/>
      <c r="I101" s="1523"/>
      <c r="J101" s="1503"/>
      <c r="K101" s="22">
        <f t="shared" si="3"/>
        <v>0</v>
      </c>
    </row>
    <row r="102" spans="1:12" s="22" customFormat="1" ht="24.95" customHeight="1">
      <c r="A102" s="267" t="str">
        <f>'8-4.일위대가표'!A306</f>
        <v>품2-11.</v>
      </c>
      <c r="B102" s="396" t="str">
        <f>VLOOKUP(A102,'8-4.일위대가표'!$A$4:$N$723,2,FALSE)</f>
        <v>UTP케이블 포설</v>
      </c>
      <c r="C102" s="396" t="str">
        <f>VLOOKUP(A102,'8-4.일위대가표'!$A$4:$N$723,3,FALSE)</f>
        <v>CAT.5 4Pr, 2열</v>
      </c>
      <c r="D102" s="740" t="str">
        <f>VLOOKUP(A102,'8-4.일위대가표'!$A$4:$N$723,5,FALSE)</f>
        <v>m</v>
      </c>
      <c r="E102" s="580">
        <f>'8-3.노무산출'!H108</f>
        <v>56</v>
      </c>
      <c r="F102" s="744">
        <f>VLOOKUP(A102,'8-4.일위대가표'!$A$4:$N$723,13,FALSE)</f>
        <v>10444</v>
      </c>
      <c r="G102" s="1521">
        <f t="shared" si="2"/>
        <v>584864</v>
      </c>
      <c r="H102" s="1521"/>
      <c r="I102" s="1521"/>
      <c r="J102" s="406"/>
      <c r="K102" s="22" t="str">
        <f t="shared" si="3"/>
        <v>품2-11.</v>
      </c>
    </row>
    <row r="103" spans="1:12" s="1534" customFormat="1" ht="24.95" customHeight="1">
      <c r="A103" s="1535" t="str">
        <f>'8-4.일위대가표'!A308</f>
        <v>품2-12.</v>
      </c>
      <c r="B103" s="1526" t="str">
        <f>VLOOKUP(A103,'8-4.일위대가표'!$A$4:$N$723,2,FALSE)</f>
        <v>후렉시블전선관 시설</v>
      </c>
      <c r="C103" s="1526" t="str">
        <f>VLOOKUP(A103,'8-4.일위대가표'!$A$4:$N$723,3,FALSE)</f>
        <v>금속가요전선관 16㎜</v>
      </c>
      <c r="D103" s="1536" t="str">
        <f>VLOOKUP(A103,'8-4.일위대가표'!$A$4:$N$723,5,FALSE)</f>
        <v>m</v>
      </c>
      <c r="E103" s="1537">
        <f>'8-3.노무산출'!H109</f>
        <v>22</v>
      </c>
      <c r="F103" s="1538">
        <f>VLOOKUP(A103,'8-4.일위대가표'!$A$4:$N$723,13,FALSE)</f>
        <v>14234</v>
      </c>
      <c r="G103" s="1539">
        <f t="shared" si="2"/>
        <v>313148</v>
      </c>
      <c r="H103" s="1539">
        <f>F103-'8-4.일위대가표'!M310</f>
        <v>3285</v>
      </c>
      <c r="I103" s="1539">
        <f>E103*H103</f>
        <v>72270</v>
      </c>
      <c r="J103" s="1533" t="s">
        <v>2601</v>
      </c>
      <c r="K103" s="22" t="str">
        <f t="shared" si="3"/>
        <v>품2-12.</v>
      </c>
      <c r="L103" s="1543"/>
    </row>
    <row r="104" spans="1:12" s="22" customFormat="1" ht="24.95" customHeight="1">
      <c r="A104" s="267" t="str">
        <f>'8-4.일위대가표'!A312</f>
        <v>품2-13.</v>
      </c>
      <c r="B104" s="396" t="str">
        <f>VLOOKUP(A104,'8-4.일위대가표'!$A$4:$N$723,2,FALSE)</f>
        <v>통신용 전력케이블 단말처리</v>
      </c>
      <c r="C104" s="396" t="str">
        <f>VLOOKUP(A104,'8-4.일위대가표'!$A$4:$N$723,3,FALSE)</f>
        <v>16㎟*2C</v>
      </c>
      <c r="D104" s="740" t="str">
        <f>VLOOKUP(A104,'8-4.일위대가표'!$A$4:$N$723,5,FALSE)</f>
        <v>개소</v>
      </c>
      <c r="E104" s="580">
        <f>'8-3.노무산출'!H110</f>
        <v>20</v>
      </c>
      <c r="F104" s="744">
        <f>VLOOKUP(A104,'8-4.일위대가표'!$A$4:$N$723,13,FALSE)</f>
        <v>39458</v>
      </c>
      <c r="G104" s="1521">
        <f t="shared" si="2"/>
        <v>789160</v>
      </c>
      <c r="H104" s="1521"/>
      <c r="I104" s="1521"/>
      <c r="J104" s="248"/>
      <c r="K104" s="22" t="str">
        <f t="shared" si="3"/>
        <v>품2-13.</v>
      </c>
    </row>
    <row r="105" spans="1:12" s="22" customFormat="1" ht="24.95" customHeight="1">
      <c r="A105" s="267" t="str">
        <f>'8-4.일위대가표'!A314</f>
        <v>품2-14.</v>
      </c>
      <c r="B105" s="396" t="str">
        <f>VLOOKUP(A105,'8-4.일위대가표'!$A$4:$N$723,2,FALSE)</f>
        <v>통신용 전력케이블 단말처리</v>
      </c>
      <c r="C105" s="396" t="str">
        <f>VLOOKUP(A105,'8-4.일위대가표'!$A$4:$N$723,3,FALSE)</f>
        <v>16㎟*3C</v>
      </c>
      <c r="D105" s="740" t="str">
        <f>VLOOKUP(A105,'8-4.일위대가표'!$A$4:$N$723,5,FALSE)</f>
        <v>개소</v>
      </c>
      <c r="E105" s="580">
        <f>'8-3.노무산출'!H111</f>
        <v>18</v>
      </c>
      <c r="F105" s="744">
        <f>VLOOKUP(A105,'8-4.일위대가표'!$A$4:$N$723,13,FALSE)</f>
        <v>49903</v>
      </c>
      <c r="G105" s="1521">
        <f t="shared" si="2"/>
        <v>898254</v>
      </c>
      <c r="H105" s="1521"/>
      <c r="I105" s="1521"/>
      <c r="J105" s="406"/>
      <c r="K105" s="22" t="str">
        <f t="shared" si="3"/>
        <v>품2-14.</v>
      </c>
    </row>
    <row r="106" spans="1:12" s="22" customFormat="1" ht="24.95" customHeight="1">
      <c r="A106" s="267" t="str">
        <f>'8-4.일위대가표'!A316</f>
        <v>품2-15.</v>
      </c>
      <c r="B106" s="396" t="str">
        <f>VLOOKUP(A106,'8-4.일위대가표'!$A$4:$N$723,2,FALSE)</f>
        <v>통신용 전력케이블 단말처리</v>
      </c>
      <c r="C106" s="396" t="str">
        <f>VLOOKUP(A106,'8-4.일위대가표'!$A$4:$N$723,3,FALSE)</f>
        <v>16㎟*4C</v>
      </c>
      <c r="D106" s="740" t="str">
        <f>VLOOKUP(A106,'8-4.일위대가표'!$A$4:$N$723,5,FALSE)</f>
        <v>개소</v>
      </c>
      <c r="E106" s="580">
        <f>'8-3.노무산출'!H112</f>
        <v>16</v>
      </c>
      <c r="F106" s="744">
        <f>VLOOKUP(A106,'8-4.일위대가표'!$A$4:$N$723,13,FALSE)</f>
        <v>60348</v>
      </c>
      <c r="G106" s="1521">
        <f t="shared" si="2"/>
        <v>965568</v>
      </c>
      <c r="H106" s="1521"/>
      <c r="I106" s="1521"/>
      <c r="J106" s="406"/>
      <c r="K106" s="22" t="str">
        <f t="shared" si="3"/>
        <v>품2-15.</v>
      </c>
    </row>
    <row r="107" spans="1:12" s="22" customFormat="1" ht="24.95" customHeight="1">
      <c r="A107" s="267" t="str">
        <f>'8-4.일위대가표'!A318</f>
        <v>품2-16.</v>
      </c>
      <c r="B107" s="396" t="str">
        <f>VLOOKUP(A107,'8-4.일위대가표'!$A$4:$N$723,2,FALSE)</f>
        <v>통신용 전력케이블 단말처리</v>
      </c>
      <c r="C107" s="396" t="str">
        <f>VLOOKUP(A107,'8-4.일위대가표'!$A$4:$N$723,3,FALSE)</f>
        <v>25㎟*4C</v>
      </c>
      <c r="D107" s="740" t="str">
        <f>VLOOKUP(A107,'8-4.일위대가표'!$A$4:$N$723,5,FALSE)</f>
        <v>개소</v>
      </c>
      <c r="E107" s="580">
        <f>'8-3.노무산출'!H113</f>
        <v>16</v>
      </c>
      <c r="F107" s="744">
        <f>VLOOKUP(A107,'8-4.일위대가표'!$A$4:$N$723,13,FALSE)</f>
        <v>78917</v>
      </c>
      <c r="G107" s="1521">
        <f t="shared" si="2"/>
        <v>1262672</v>
      </c>
      <c r="H107" s="1521"/>
      <c r="I107" s="1521"/>
      <c r="J107" s="406"/>
      <c r="K107" s="22" t="str">
        <f t="shared" si="3"/>
        <v>품2-16.</v>
      </c>
      <c r="L107" s="641"/>
    </row>
    <row r="108" spans="1:12" s="1502" customFormat="1" ht="24.95" hidden="1" customHeight="1">
      <c r="A108" s="1496" t="str">
        <f>'8-4.일위대가표'!A320</f>
        <v>품2-17.</v>
      </c>
      <c r="B108" s="1497" t="str">
        <f>VLOOKUP(A108,'8-4.일위대가표'!$A$4:$N$723,2,FALSE)</f>
        <v>제어케이블 포설</v>
      </c>
      <c r="C108" s="1497" t="str">
        <f>VLOOKUP(A108,'8-4.일위대가표'!$A$4:$N$723,3,FALSE)</f>
        <v>2.5SQ/2C, 2열</v>
      </c>
      <c r="D108" s="1498" t="str">
        <f>VLOOKUP(A108,'8-4.일위대가표'!$A$4:$N$723,5,FALSE)</f>
        <v>m</v>
      </c>
      <c r="E108" s="1499">
        <v>0</v>
      </c>
      <c r="F108" s="1500">
        <f>VLOOKUP(A108,'8-4.일위대가표'!$A$4:$N$723,13,FALSE)</f>
        <v>11698</v>
      </c>
      <c r="G108" s="1521">
        <f t="shared" si="2"/>
        <v>0</v>
      </c>
      <c r="H108" s="1521"/>
      <c r="I108" s="1523"/>
      <c r="J108" s="1503"/>
      <c r="K108" s="22" t="str">
        <f t="shared" si="3"/>
        <v>품2-17.</v>
      </c>
    </row>
    <row r="109" spans="1:12" s="22" customFormat="1" ht="24.95" customHeight="1">
      <c r="A109" s="267"/>
      <c r="B109" s="399"/>
      <c r="C109" s="396"/>
      <c r="D109" s="740"/>
      <c r="E109" s="580"/>
      <c r="F109" s="744"/>
      <c r="G109" s="1521"/>
      <c r="H109" s="1521"/>
      <c r="I109" s="1521"/>
      <c r="J109" s="406"/>
    </row>
    <row r="110" spans="1:12" s="22" customFormat="1" ht="24.95" customHeight="1">
      <c r="A110" s="803" t="str">
        <f>'8-1.설비자재산출(전력통신)'!A128</f>
        <v>3. LAN, EPIA, 정보보호</v>
      </c>
      <c r="B110" s="399"/>
      <c r="C110" s="396"/>
      <c r="D110" s="740"/>
      <c r="E110" s="580"/>
      <c r="F110" s="744"/>
      <c r="G110" s="1521"/>
      <c r="H110" s="1521"/>
      <c r="I110" s="1521"/>
      <c r="J110" s="406"/>
      <c r="K110" s="22" t="s">
        <v>3130</v>
      </c>
    </row>
    <row r="111" spans="1:12" s="134" customFormat="1" ht="24.95" hidden="1" customHeight="1">
      <c r="A111" s="267">
        <f>'8-4.일위대가표'!A323</f>
        <v>0</v>
      </c>
      <c r="B111" s="396" t="e">
        <f>VLOOKUP(A111,'8-4.일위대가표'!$A$4:$N$723,2,FALSE)</f>
        <v>#N/A</v>
      </c>
      <c r="C111" s="396" t="e">
        <f>VLOOKUP(A111,'8-4.일위대가표'!$A$4:$N$723,3,FALSE)</f>
        <v>#N/A</v>
      </c>
      <c r="D111" s="740" t="e">
        <f>VLOOKUP(A111,'8-4.일위대가표'!$A$4:$N$723,5,FALSE)</f>
        <v>#N/A</v>
      </c>
      <c r="E111" s="580">
        <f>'8-3.노무산출'!H117</f>
        <v>0</v>
      </c>
      <c r="F111" s="744" t="e">
        <f>VLOOKUP(A111,'8-4.일위대가표'!$A$4:$N$723,13,FALSE)</f>
        <v>#N/A</v>
      </c>
      <c r="G111" s="1521" t="e">
        <f t="shared" si="2"/>
        <v>#N/A</v>
      </c>
      <c r="H111" s="1521"/>
      <c r="I111" s="1521"/>
      <c r="J111" s="406"/>
      <c r="K111" s="134">
        <f>A111</f>
        <v>0</v>
      </c>
    </row>
    <row r="112" spans="1:12" s="1502" customFormat="1" ht="24.95" hidden="1" customHeight="1">
      <c r="A112" s="1496">
        <f>'8-4.일위대가표'!A329</f>
        <v>0</v>
      </c>
      <c r="B112" s="1497" t="e">
        <f>VLOOKUP(A112,'8-4.일위대가표'!$A$4:$N$723,2,FALSE)</f>
        <v>#N/A</v>
      </c>
      <c r="C112" s="1497" t="e">
        <f>VLOOKUP(A112,'8-4.일위대가표'!$A$4:$N$723,3,FALSE)</f>
        <v>#N/A</v>
      </c>
      <c r="D112" s="1498" t="e">
        <f>VLOOKUP(A112,'8-4.일위대가표'!$A$4:$N$723,5,FALSE)</f>
        <v>#N/A</v>
      </c>
      <c r="E112" s="1499">
        <f>'8-3.노무산출'!H118</f>
        <v>0</v>
      </c>
      <c r="F112" s="1500" t="e">
        <f>VLOOKUP(A112,'8-4.일위대가표'!$A$4:$N$723,13,FALSE)</f>
        <v>#N/A</v>
      </c>
      <c r="G112" s="1521" t="e">
        <f t="shared" si="2"/>
        <v>#N/A</v>
      </c>
      <c r="H112" s="1521"/>
      <c r="I112" s="1523"/>
      <c r="J112" s="1503"/>
      <c r="K112" s="134">
        <f t="shared" ref="K112:K138" si="5">A112</f>
        <v>0</v>
      </c>
    </row>
    <row r="113" spans="1:12" s="1502" customFormat="1" ht="24.95" hidden="1" customHeight="1">
      <c r="A113" s="1496">
        <f>'8-4.일위대가표'!A332</f>
        <v>0</v>
      </c>
      <c r="B113" s="1497" t="e">
        <f>VLOOKUP(A113,'8-4.일위대가표'!$A$4:$N$723,2,FALSE)</f>
        <v>#N/A</v>
      </c>
      <c r="C113" s="1497" t="e">
        <f>VLOOKUP(A113,'8-4.일위대가표'!$A$4:$N$723,3,FALSE)</f>
        <v>#N/A</v>
      </c>
      <c r="D113" s="1498" t="e">
        <f>VLOOKUP(A113,'8-4.일위대가표'!$A$4:$N$723,5,FALSE)</f>
        <v>#N/A</v>
      </c>
      <c r="E113" s="1499">
        <f>'8-3.노무산출'!H119</f>
        <v>0</v>
      </c>
      <c r="F113" s="1500" t="e">
        <f>VLOOKUP(A113,'8-4.일위대가표'!$A$4:$N$723,13,FALSE)</f>
        <v>#N/A</v>
      </c>
      <c r="G113" s="1521" t="e">
        <f t="shared" si="2"/>
        <v>#N/A</v>
      </c>
      <c r="H113" s="1521"/>
      <c r="I113" s="1523"/>
      <c r="J113" s="1503"/>
      <c r="K113" s="134">
        <f t="shared" si="5"/>
        <v>0</v>
      </c>
    </row>
    <row r="114" spans="1:12" s="1502" customFormat="1" ht="24.95" hidden="1" customHeight="1">
      <c r="A114" s="1496">
        <f>'8-4.일위대가표'!A335</f>
        <v>0</v>
      </c>
      <c r="B114" s="1497" t="e">
        <f>VLOOKUP(A114,'8-4.일위대가표'!$A$4:$N$723,2,FALSE)</f>
        <v>#N/A</v>
      </c>
      <c r="C114" s="1497" t="e">
        <f>VLOOKUP(A114,'8-4.일위대가표'!$A$4:$N$723,3,FALSE)</f>
        <v>#N/A</v>
      </c>
      <c r="D114" s="1498" t="e">
        <f>VLOOKUP(A114,'8-4.일위대가표'!$A$4:$N$723,5,FALSE)</f>
        <v>#N/A</v>
      </c>
      <c r="E114" s="1499">
        <f>'8-3.노무산출'!H120</f>
        <v>0</v>
      </c>
      <c r="F114" s="1500" t="e">
        <f>VLOOKUP(A114,'8-4.일위대가표'!$A$4:$N$723,13,FALSE)</f>
        <v>#N/A</v>
      </c>
      <c r="G114" s="1521" t="e">
        <f t="shared" si="2"/>
        <v>#N/A</v>
      </c>
      <c r="H114" s="1521"/>
      <c r="I114" s="1523"/>
      <c r="J114" s="1503"/>
      <c r="K114" s="134">
        <f t="shared" si="5"/>
        <v>0</v>
      </c>
    </row>
    <row r="115" spans="1:12" s="22" customFormat="1" ht="24.95" hidden="1" customHeight="1">
      <c r="A115" s="267">
        <f>'8-4.일위대가표'!A338</f>
        <v>0</v>
      </c>
      <c r="B115" s="396" t="e">
        <f>VLOOKUP(A115,'8-4.일위대가표'!$A$4:$N$723,2,FALSE)</f>
        <v>#N/A</v>
      </c>
      <c r="C115" s="396" t="e">
        <f>VLOOKUP(A115,'8-4.일위대가표'!$A$4:$N$723,3,FALSE)</f>
        <v>#N/A</v>
      </c>
      <c r="D115" s="740" t="e">
        <f>VLOOKUP(A115,'8-4.일위대가표'!$A$4:$N$723,5,FALSE)</f>
        <v>#N/A</v>
      </c>
      <c r="E115" s="580">
        <f>'8-3.노무산출'!H121</f>
        <v>0</v>
      </c>
      <c r="F115" s="744" t="e">
        <f>VLOOKUP(A115,'8-4.일위대가표'!$A$4:$N$723,13,FALSE)</f>
        <v>#N/A</v>
      </c>
      <c r="G115" s="1521" t="e">
        <f t="shared" si="2"/>
        <v>#N/A</v>
      </c>
      <c r="H115" s="1521"/>
      <c r="I115" s="1521"/>
      <c r="J115" s="407"/>
      <c r="K115" s="134">
        <f t="shared" si="5"/>
        <v>0</v>
      </c>
    </row>
    <row r="116" spans="1:12" s="1502" customFormat="1" ht="24.95" hidden="1" customHeight="1">
      <c r="A116" s="1496">
        <f>'8-4.일위대가표'!A341</f>
        <v>0</v>
      </c>
      <c r="B116" s="1497" t="e">
        <f>VLOOKUP(A116,'8-4.일위대가표'!$A$4:$N$723,2,FALSE)</f>
        <v>#N/A</v>
      </c>
      <c r="C116" s="1497" t="e">
        <f>VLOOKUP(A116,'8-4.일위대가표'!$A$4:$N$723,3,FALSE)</f>
        <v>#N/A</v>
      </c>
      <c r="D116" s="1498" t="e">
        <f>VLOOKUP(A116,'8-4.일위대가표'!$A$4:$N$723,5,FALSE)</f>
        <v>#N/A</v>
      </c>
      <c r="E116" s="1499">
        <f>'8-3.노무산출'!H122</f>
        <v>0</v>
      </c>
      <c r="F116" s="1500" t="e">
        <f>VLOOKUP(A116,'8-4.일위대가표'!$A$4:$N$723,13,FALSE)</f>
        <v>#N/A</v>
      </c>
      <c r="G116" s="1521" t="e">
        <f t="shared" si="2"/>
        <v>#N/A</v>
      </c>
      <c r="H116" s="1521"/>
      <c r="I116" s="1523"/>
      <c r="J116" s="1505"/>
      <c r="K116" s="134">
        <f t="shared" si="5"/>
        <v>0</v>
      </c>
    </row>
    <row r="117" spans="1:12" s="1502" customFormat="1" ht="24.95" hidden="1" customHeight="1">
      <c r="A117" s="1496">
        <f>'8-4.일위대가표'!A344</f>
        <v>0</v>
      </c>
      <c r="B117" s="1497" t="e">
        <f>VLOOKUP(A117,'8-4.일위대가표'!$A$4:$N$723,2,FALSE)</f>
        <v>#N/A</v>
      </c>
      <c r="C117" s="1497" t="e">
        <f>VLOOKUP(A117,'8-4.일위대가표'!$A$4:$N$723,3,FALSE)</f>
        <v>#N/A</v>
      </c>
      <c r="D117" s="1498" t="e">
        <f>VLOOKUP(A117,'8-4.일위대가표'!$A$4:$N$723,5,FALSE)</f>
        <v>#N/A</v>
      </c>
      <c r="E117" s="1499">
        <f>'8-3.노무산출'!H123</f>
        <v>0</v>
      </c>
      <c r="F117" s="1500" t="e">
        <f>VLOOKUP(A117,'8-4.일위대가표'!$A$4:$N$723,13,FALSE)</f>
        <v>#N/A</v>
      </c>
      <c r="G117" s="1521" t="e">
        <f t="shared" si="2"/>
        <v>#N/A</v>
      </c>
      <c r="H117" s="1521"/>
      <c r="I117" s="1523"/>
      <c r="J117" s="1505"/>
      <c r="K117" s="134">
        <f t="shared" si="5"/>
        <v>0</v>
      </c>
    </row>
    <row r="118" spans="1:12" s="22" customFormat="1" ht="24.95" customHeight="1">
      <c r="A118" s="267" t="str">
        <f>'8-4.일위대가표'!A347</f>
        <v>품3-1.</v>
      </c>
      <c r="B118" s="396" t="str">
        <f>VLOOKUP(A118,'8-4.일위대가표'!$A$4:$N$723,2,FALSE)</f>
        <v>HUB 설치</v>
      </c>
      <c r="C118" s="396" t="str">
        <f>VLOOKUP(A118,'8-4.일위대가표'!$A$4:$N$723,3,FALSE)</f>
        <v>Dummy 허브 설치</v>
      </c>
      <c r="D118" s="740" t="str">
        <f>VLOOKUP(A118,'8-4.일위대가표'!$A$4:$N$723,5,FALSE)</f>
        <v>대</v>
      </c>
      <c r="E118" s="580">
        <f>'8-3.노무산출'!H124</f>
        <v>5</v>
      </c>
      <c r="F118" s="744">
        <f>VLOOKUP(A118,'8-4.일위대가표'!$A$4:$N$723,13,FALSE)</f>
        <v>66023</v>
      </c>
      <c r="G118" s="1521">
        <f t="shared" si="2"/>
        <v>330115</v>
      </c>
      <c r="H118" s="1521"/>
      <c r="I118" s="1521"/>
      <c r="J118" s="406"/>
      <c r="K118" s="134" t="str">
        <f t="shared" si="5"/>
        <v>품3-1.</v>
      </c>
    </row>
    <row r="119" spans="1:12" s="22" customFormat="1" ht="24.95" customHeight="1">
      <c r="A119" s="267" t="str">
        <f>'8-4.일위대가표'!A353</f>
        <v>품3-1-1.</v>
      </c>
      <c r="B119" s="396" t="str">
        <f>VLOOKUP(A119,'8-4.일위대가표'!$A$4:$N$723,2,FALSE)</f>
        <v>NAC 설치</v>
      </c>
      <c r="C119" s="396" t="str">
        <f>VLOOKUP(A119,'8-4.일위대가표'!$A$4:$N$723,3,FALSE)</f>
        <v>기본S/W 설정포함</v>
      </c>
      <c r="D119" s="740" t="str">
        <f>VLOOKUP(A119,'8-4.일위대가표'!$A$4:$N$723,5,FALSE)</f>
        <v>대</v>
      </c>
      <c r="E119" s="580">
        <f>'8-3.노무산출'!H126</f>
        <v>2</v>
      </c>
      <c r="F119" s="744">
        <f>VLOOKUP(A119,'8-4.일위대가표'!$A$4:$N$723,13,FALSE)</f>
        <v>308114</v>
      </c>
      <c r="G119" s="1521">
        <f t="shared" si="2"/>
        <v>616228</v>
      </c>
      <c r="H119" s="1521"/>
      <c r="I119" s="1521"/>
      <c r="J119" s="406"/>
      <c r="K119" s="134" t="str">
        <f t="shared" si="5"/>
        <v>품3-1-1.</v>
      </c>
    </row>
    <row r="120" spans="1:12" s="22" customFormat="1" ht="24.95" customHeight="1">
      <c r="A120" s="267" t="str">
        <f>'8-4.일위대가표'!A356</f>
        <v>품3-2.</v>
      </c>
      <c r="B120" s="396" t="str">
        <f>VLOOKUP(A120,'8-4.일위대가표'!$A$4:$N$723,2,FALSE)</f>
        <v>포인트연결어댑터(EPIA) 설치</v>
      </c>
      <c r="C120" s="396" t="str">
        <f>VLOOKUP(A120,'8-4.일위대가표'!$A$4:$N$723,3,FALSE)</f>
        <v>포인트연결어댑터(EPIA) 설치</v>
      </c>
      <c r="D120" s="740" t="str">
        <f>VLOOKUP(A120,'8-4.일위대가표'!$A$4:$N$723,5,FALSE)</f>
        <v>대</v>
      </c>
      <c r="E120" s="580">
        <f>'8-3.노무산출'!H127</f>
        <v>2</v>
      </c>
      <c r="F120" s="744">
        <f>VLOOKUP(A120,'8-4.일위대가표'!$A$4:$N$723,13,FALSE)</f>
        <v>29537</v>
      </c>
      <c r="G120" s="1521">
        <f t="shared" si="2"/>
        <v>59074</v>
      </c>
      <c r="H120" s="1521"/>
      <c r="I120" s="1521"/>
      <c r="J120" s="406"/>
      <c r="K120" s="134" t="str">
        <f t="shared" si="5"/>
        <v>품3-2.</v>
      </c>
    </row>
    <row r="121" spans="1:12" s="22" customFormat="1" ht="24.95" customHeight="1">
      <c r="A121" s="267" t="str">
        <f>'8-4.일위대가표'!A363</f>
        <v>품3-3.</v>
      </c>
      <c r="B121" s="396" t="str">
        <f>VLOOKUP(A121,'8-4.일위대가표'!$A$4:$N$723,2,FALSE)</f>
        <v>온도센서 설치</v>
      </c>
      <c r="C121" s="396" t="str">
        <f>VLOOKUP(A121,'8-4.일위대가표'!$A$4:$N$723,3,FALSE)</f>
        <v>열선감지기 준용</v>
      </c>
      <c r="D121" s="740" t="str">
        <f>VLOOKUP(A121,'8-4.일위대가표'!$A$4:$N$723,5,FALSE)</f>
        <v>대</v>
      </c>
      <c r="E121" s="580">
        <f>'8-3.노무산출'!H128</f>
        <v>2</v>
      </c>
      <c r="F121" s="744">
        <f>VLOOKUP(A121,'8-4.일위대가표'!$A$4:$N$723,13,FALSE)</f>
        <v>19335</v>
      </c>
      <c r="G121" s="1521">
        <f t="shared" si="2"/>
        <v>38670</v>
      </c>
      <c r="H121" s="1521"/>
      <c r="I121" s="1521"/>
      <c r="J121" s="407"/>
      <c r="K121" s="134" t="str">
        <f t="shared" si="5"/>
        <v>품3-3.</v>
      </c>
    </row>
    <row r="122" spans="1:12" s="22" customFormat="1" ht="24.95" customHeight="1">
      <c r="A122" s="267" t="str">
        <f>'8-4.일위대가표'!A365</f>
        <v>품3-4.</v>
      </c>
      <c r="B122" s="396" t="str">
        <f>VLOOKUP(A122,'8-4.일위대가표'!$A$4:$N$723,2,FALSE)</f>
        <v>AC전압검출기 설치</v>
      </c>
      <c r="C122" s="396" t="str">
        <f>VLOOKUP(A122,'8-4.일위대가표'!$A$4:$N$723,3,FALSE)</f>
        <v>전환기 준용</v>
      </c>
      <c r="D122" s="740" t="str">
        <f>VLOOKUP(A122,'8-4.일위대가표'!$A$4:$N$723,5,FALSE)</f>
        <v>대</v>
      </c>
      <c r="E122" s="580">
        <f>'8-3.노무산출'!H129</f>
        <v>2</v>
      </c>
      <c r="F122" s="744">
        <f>VLOOKUP(A122,'8-4.일위대가표'!$A$4:$N$723,13,FALSE)</f>
        <v>37328</v>
      </c>
      <c r="G122" s="1521">
        <f t="shared" si="2"/>
        <v>74656</v>
      </c>
      <c r="H122" s="1521"/>
      <c r="I122" s="1521"/>
      <c r="J122" s="407"/>
      <c r="K122" s="134" t="str">
        <f t="shared" si="5"/>
        <v>품3-4.</v>
      </c>
    </row>
    <row r="123" spans="1:12" s="22" customFormat="1" ht="24.95" customHeight="1">
      <c r="A123" s="267" t="str">
        <f>'8-4.일위대가표'!A367</f>
        <v>품3-5.</v>
      </c>
      <c r="B123" s="396" t="str">
        <f>VLOOKUP(A123,'8-4.일위대가표'!$A$4:$N$723,2,FALSE)</f>
        <v>자석감지기 설치</v>
      </c>
      <c r="C123" s="396" t="str">
        <f>VLOOKUP(A123,'8-4.일위대가표'!$A$4:$N$723,3,FALSE)</f>
        <v>문감지기</v>
      </c>
      <c r="D123" s="740" t="str">
        <f>VLOOKUP(A123,'8-4.일위대가표'!$A$4:$N$723,5,FALSE)</f>
        <v>대</v>
      </c>
      <c r="E123" s="580">
        <f>'8-3.노무산출'!H130</f>
        <v>6</v>
      </c>
      <c r="F123" s="744">
        <f>VLOOKUP(A123,'8-4.일위대가표'!$A$4:$N$723,13,FALSE)</f>
        <v>19335</v>
      </c>
      <c r="G123" s="1521">
        <f t="shared" si="2"/>
        <v>116010</v>
      </c>
      <c r="H123" s="1521"/>
      <c r="I123" s="1521"/>
      <c r="J123" s="407"/>
      <c r="K123" s="134" t="str">
        <f t="shared" si="5"/>
        <v>품3-5.</v>
      </c>
    </row>
    <row r="124" spans="1:12" s="1502" customFormat="1" ht="24.95" hidden="1" customHeight="1">
      <c r="A124" s="1496">
        <f>'8-4.일위대가표'!A369</f>
        <v>0</v>
      </c>
      <c r="B124" s="1497" t="e">
        <f>VLOOKUP(A124,'8-4.일위대가표'!$A$4:$N$723,2,FALSE)</f>
        <v>#N/A</v>
      </c>
      <c r="C124" s="1497" t="e">
        <f>VLOOKUP(A124,'8-4.일위대가표'!$A$4:$N$723,3,FALSE)</f>
        <v>#N/A</v>
      </c>
      <c r="D124" s="1498" t="e">
        <f>VLOOKUP(A124,'8-4.일위대가표'!$A$4:$N$723,5,FALSE)</f>
        <v>#N/A</v>
      </c>
      <c r="E124" s="1499">
        <f>'8-3.노무산출'!H131</f>
        <v>0</v>
      </c>
      <c r="F124" s="1500" t="e">
        <f>VLOOKUP(A124,'8-4.일위대가표'!$A$4:$N$723,13,FALSE)</f>
        <v>#N/A</v>
      </c>
      <c r="G124" s="1521" t="e">
        <f t="shared" si="2"/>
        <v>#N/A</v>
      </c>
      <c r="H124" s="1521"/>
      <c r="I124" s="1523"/>
      <c r="J124" s="1503"/>
      <c r="K124" s="134">
        <f t="shared" si="5"/>
        <v>0</v>
      </c>
    </row>
    <row r="125" spans="1:12" s="1534" customFormat="1" ht="24.95" customHeight="1">
      <c r="A125" s="1535" t="str">
        <f>'8-4.일위대가표'!A371</f>
        <v>품3-6.</v>
      </c>
      <c r="B125" s="1526" t="str">
        <f>VLOOKUP(A125,'8-4.일위대가표'!$A$4:$N$723,2,FALSE)</f>
        <v>제어케이블 포설</v>
      </c>
      <c r="C125" s="1526" t="str">
        <f>VLOOKUP(A125,'8-4.일위대가표'!$A$4:$N$723,3,FALSE)</f>
        <v>6SQ/2C</v>
      </c>
      <c r="D125" s="1536" t="str">
        <f>VLOOKUP(A125,'8-4.일위대가표'!$A$4:$N$723,5,FALSE)</f>
        <v>m</v>
      </c>
      <c r="E125" s="1537">
        <f>'8-3.노무산출'!H132</f>
        <v>40</v>
      </c>
      <c r="F125" s="1538">
        <f>VLOOKUP(A125,'8-4.일위대가표'!$A$4:$N$723,13,FALSE)</f>
        <v>8355</v>
      </c>
      <c r="G125" s="1539">
        <f t="shared" si="2"/>
        <v>334200</v>
      </c>
      <c r="H125" s="1539">
        <f>F125-'8-4.일위대가표'!M373</f>
        <v>1392</v>
      </c>
      <c r="I125" s="1539">
        <f>E125*H125</f>
        <v>55680</v>
      </c>
      <c r="J125" s="1540" t="s">
        <v>2594</v>
      </c>
      <c r="K125" s="134" t="str">
        <f t="shared" si="5"/>
        <v>품3-6.</v>
      </c>
    </row>
    <row r="126" spans="1:12" s="1534" customFormat="1" ht="24.95" hidden="1" customHeight="1">
      <c r="A126" s="267">
        <f>'8-4.일위대가표'!A375</f>
        <v>0</v>
      </c>
      <c r="B126" s="396" t="e">
        <f>VLOOKUP(A126,'8-4.일위대가표'!$A$4:$N$723,2,FALSE)</f>
        <v>#N/A</v>
      </c>
      <c r="C126" s="396" t="e">
        <f>VLOOKUP(A126,'8-4.일위대가표'!$A$4:$N$723,3,FALSE)</f>
        <v>#N/A</v>
      </c>
      <c r="D126" s="740" t="e">
        <f>VLOOKUP(A126,'8-4.일위대가표'!$A$4:$N$723,5,FALSE)</f>
        <v>#N/A</v>
      </c>
      <c r="E126" s="580"/>
      <c r="F126" s="744" t="e">
        <f>VLOOKUP(A126,'8-4.일위대가표'!$A$4:$N$723,13,FALSE)</f>
        <v>#N/A</v>
      </c>
      <c r="G126" s="1521" t="e">
        <f t="shared" si="2"/>
        <v>#N/A</v>
      </c>
      <c r="H126" s="1521"/>
      <c r="I126" s="1521">
        <f>E126*H126</f>
        <v>0</v>
      </c>
      <c r="J126" s="981" t="s">
        <v>2594</v>
      </c>
      <c r="K126" s="134">
        <f t="shared" si="5"/>
        <v>0</v>
      </c>
    </row>
    <row r="127" spans="1:12" s="22" customFormat="1" ht="24.95" customHeight="1">
      <c r="A127" s="267" t="str">
        <f>'8-4.일위대가표'!A379</f>
        <v>품3-7.</v>
      </c>
      <c r="B127" s="396" t="str">
        <f>VLOOKUP(A127,'8-4.일위대가표'!$A$4:$N$723,2,FALSE)</f>
        <v>UTP케이블 포설</v>
      </c>
      <c r="C127" s="396" t="str">
        <f>VLOOKUP(A127,'8-4.일위대가표'!$A$4:$N$723,3,FALSE)</f>
        <v>CAT.5 4Pr</v>
      </c>
      <c r="D127" s="740" t="str">
        <f>VLOOKUP(A127,'8-4.일위대가표'!$A$4:$N$723,5,FALSE)</f>
        <v>m</v>
      </c>
      <c r="E127" s="580">
        <f>'8-3.노무산출'!H134</f>
        <v>111</v>
      </c>
      <c r="F127" s="744">
        <f>VLOOKUP(A127,'8-4.일위대가표'!$A$4:$N$723,13,FALSE)</f>
        <v>5802</v>
      </c>
      <c r="G127" s="1521">
        <f t="shared" si="2"/>
        <v>644022</v>
      </c>
      <c r="H127" s="1521"/>
      <c r="I127" s="1521"/>
      <c r="J127" s="406"/>
      <c r="K127" s="134" t="str">
        <f t="shared" si="5"/>
        <v>품3-7.</v>
      </c>
      <c r="L127" s="641"/>
    </row>
    <row r="128" spans="1:12" s="1502" customFormat="1" ht="24.95" hidden="1" customHeight="1">
      <c r="A128" s="1496" t="str">
        <f>'8-4.일위대가표'!A381</f>
        <v>품3-8.</v>
      </c>
      <c r="B128" s="1497" t="str">
        <f>VLOOKUP(A128,'8-4.일위대가표'!$A$4:$N$723,2,FALSE)</f>
        <v>UTP케이블 포설</v>
      </c>
      <c r="C128" s="1497" t="str">
        <f>VLOOKUP(A128,'8-4.일위대가표'!$A$4:$N$723,3,FALSE)</f>
        <v>CAT.5 4Pr, 2열</v>
      </c>
      <c r="D128" s="1498" t="str">
        <f>VLOOKUP(A128,'8-4.일위대가표'!$A$4:$N$723,5,FALSE)</f>
        <v>m</v>
      </c>
      <c r="E128" s="1499">
        <f>'8-3.노무산출'!H135</f>
        <v>0</v>
      </c>
      <c r="F128" s="1500">
        <f>VLOOKUP(A128,'8-4.일위대가표'!$A$4:$N$723,13,FALSE)</f>
        <v>10444</v>
      </c>
      <c r="G128" s="1521">
        <f t="shared" si="2"/>
        <v>0</v>
      </c>
      <c r="H128" s="1521"/>
      <c r="I128" s="1523"/>
      <c r="J128" s="1503"/>
      <c r="K128" s="134" t="str">
        <f t="shared" si="5"/>
        <v>품3-8.</v>
      </c>
    </row>
    <row r="129" spans="1:12" s="1502" customFormat="1" ht="24.95" hidden="1" customHeight="1">
      <c r="A129" s="1496" t="str">
        <f>'8-4.일위대가표'!A383</f>
        <v>품3-8-1</v>
      </c>
      <c r="B129" s="1497" t="str">
        <f>VLOOKUP(A129,'8-4.일위대가표'!$A$4:$N$723,2,FALSE)</f>
        <v>UTP케이블 포설</v>
      </c>
      <c r="C129" s="1497" t="str">
        <f>VLOOKUP(A129,'8-4.일위대가표'!$A$4:$N$723,3,FALSE)</f>
        <v>CAT.5 4Pr,3열</v>
      </c>
      <c r="D129" s="1498" t="str">
        <f>VLOOKUP(A129,'8-4.일위대가표'!$A$4:$N$723,5,FALSE)</f>
        <v>m</v>
      </c>
      <c r="E129" s="1499">
        <f>'8-3.노무산출'!H136</f>
        <v>0</v>
      </c>
      <c r="F129" s="1500">
        <f>VLOOKUP(A129,'8-4.일위대가표'!$A$4:$N$723,13,FALSE)</f>
        <v>15087</v>
      </c>
      <c r="G129" s="1521">
        <f t="shared" si="2"/>
        <v>0</v>
      </c>
      <c r="H129" s="1521"/>
      <c r="I129" s="1523"/>
      <c r="J129" s="1503"/>
      <c r="K129" s="134" t="str">
        <f t="shared" si="5"/>
        <v>품3-8-1</v>
      </c>
    </row>
    <row r="130" spans="1:12" s="1502" customFormat="1" ht="24.95" customHeight="1">
      <c r="A130" s="267" t="str">
        <f>'8-4.일위대가표'!A385</f>
        <v>품3-8-2</v>
      </c>
      <c r="B130" s="396" t="str">
        <f>VLOOKUP(A130,'8-4.일위대가표'!$A$4:$N$723,2,FALSE)</f>
        <v>UTP케이블 포설</v>
      </c>
      <c r="C130" s="396" t="str">
        <f>VLOOKUP(A130,'8-4.일위대가표'!$A$4:$N$723,3,FALSE)</f>
        <v>CAT.5 4Pr,4열</v>
      </c>
      <c r="D130" s="740" t="str">
        <f>VLOOKUP(A130,'8-4.일위대가표'!$A$4:$N$723,5,FALSE)</f>
        <v>m</v>
      </c>
      <c r="E130" s="580">
        <f>'8-3.노무산출'!H137</f>
        <v>4</v>
      </c>
      <c r="F130" s="744">
        <f>VLOOKUP(A130,'8-4.일위대가표'!$A$4:$N$723,13,FALSE)</f>
        <v>19729</v>
      </c>
      <c r="G130" s="1521">
        <f t="shared" si="2"/>
        <v>78916</v>
      </c>
      <c r="H130" s="1521"/>
      <c r="I130" s="1521"/>
      <c r="J130" s="406"/>
      <c r="K130" s="134" t="str">
        <f t="shared" si="5"/>
        <v>품3-8-2</v>
      </c>
      <c r="L130" s="1506"/>
    </row>
    <row r="131" spans="1:12" s="1502" customFormat="1" ht="24.95" hidden="1" customHeight="1">
      <c r="A131" s="1496" t="str">
        <f>'8-4.일위대가표'!A387</f>
        <v>품3-8-3</v>
      </c>
      <c r="B131" s="1497" t="str">
        <f>VLOOKUP(A131,'8-4.일위대가표'!$A$4:$N$723,2,FALSE)</f>
        <v>UTP케이블 포설</v>
      </c>
      <c r="C131" s="1497" t="str">
        <f>VLOOKUP(A131,'8-4.일위대가표'!$A$4:$N$723,3,FALSE)</f>
        <v>CAT.5 4Pr,5열</v>
      </c>
      <c r="D131" s="1498" t="str">
        <f>VLOOKUP(A131,'8-4.일위대가표'!$A$4:$N$723,5,FALSE)</f>
        <v>m</v>
      </c>
      <c r="E131" s="1499">
        <f>'8-3.노무산출'!H138</f>
        <v>0</v>
      </c>
      <c r="F131" s="1500">
        <f>VLOOKUP(A131,'8-4.일위대가표'!$A$4:$N$723,13,FALSE)</f>
        <v>24371</v>
      </c>
      <c r="G131" s="1521">
        <f t="shared" si="2"/>
        <v>0</v>
      </c>
      <c r="H131" s="1524"/>
      <c r="I131" s="1523"/>
      <c r="J131" s="1503"/>
      <c r="K131" s="134" t="str">
        <f t="shared" si="5"/>
        <v>품3-8-3</v>
      </c>
    </row>
    <row r="132" spans="1:12" s="1534" customFormat="1" ht="24.95" customHeight="1">
      <c r="A132" s="1535" t="str">
        <f>'8-4.일위대가표'!A391</f>
        <v>품3-9.</v>
      </c>
      <c r="B132" s="1526" t="str">
        <f>VLOOKUP(A132,'8-4.일위대가표'!$A$4:$N$723,2,FALSE)</f>
        <v>후렉시블전선관 시설</v>
      </c>
      <c r="C132" s="1526" t="str">
        <f>VLOOKUP(A132,'8-4.일위대가표'!$A$4:$N$723,3,FALSE)</f>
        <v>금속가요전선관 16㎜</v>
      </c>
      <c r="D132" s="1536" t="str">
        <f>VLOOKUP(A132,'8-4.일위대가표'!$A$4:$N$723,5,FALSE)</f>
        <v>m</v>
      </c>
      <c r="E132" s="1537">
        <f>'8-3.노무산출'!H139</f>
        <v>63.5</v>
      </c>
      <c r="F132" s="1538">
        <f>VLOOKUP(A132,'8-4.일위대가표'!$A$4:$N$723,13,FALSE)</f>
        <v>14234</v>
      </c>
      <c r="G132" s="1539">
        <f t="shared" si="2"/>
        <v>903859</v>
      </c>
      <c r="H132" s="1539">
        <f>F132-'8-4.일위대가표'!M393</f>
        <v>3285</v>
      </c>
      <c r="I132" s="1539">
        <f>E132*H132</f>
        <v>208597.5</v>
      </c>
      <c r="J132" s="1533" t="s">
        <v>2601</v>
      </c>
      <c r="K132" s="134" t="str">
        <f t="shared" si="5"/>
        <v>품3-9.</v>
      </c>
    </row>
    <row r="133" spans="1:12" s="1502" customFormat="1" ht="24.95" hidden="1" customHeight="1">
      <c r="A133" s="1496" t="str">
        <f>'8-4.일위대가표'!A395</f>
        <v>품3-9-1.</v>
      </c>
      <c r="B133" s="1497" t="str">
        <f>VLOOKUP(A133,'8-4.일위대가표'!$A$4:$N$723,2,FALSE)</f>
        <v>후렉시블전선관 시설</v>
      </c>
      <c r="C133" s="1497" t="str">
        <f>VLOOKUP(A133,'8-4.일위대가표'!$A$4:$N$723,3,FALSE)</f>
        <v>금속가요전선관 22㎜</v>
      </c>
      <c r="D133" s="1498" t="str">
        <f>VLOOKUP(A133,'8-4.일위대가표'!$A$4:$N$723,5,FALSE)</f>
        <v>m</v>
      </c>
      <c r="E133" s="1499">
        <f>'8-3.노무산출'!H140</f>
        <v>0</v>
      </c>
      <c r="F133" s="1500">
        <f>VLOOKUP(A133,'8-4.일위대가표'!$A$4:$N$723,13,FALSE)</f>
        <v>19087</v>
      </c>
      <c r="G133" s="1521">
        <f t="shared" si="2"/>
        <v>0</v>
      </c>
      <c r="H133" s="1521"/>
      <c r="I133" s="1539">
        <f t="shared" ref="I133:I134" si="6">E133*H133</f>
        <v>0</v>
      </c>
      <c r="J133" s="1503"/>
      <c r="K133" s="134" t="str">
        <f t="shared" si="5"/>
        <v>품3-9-1.</v>
      </c>
    </row>
    <row r="134" spans="1:12" s="1544" customFormat="1" ht="24.95" customHeight="1">
      <c r="A134" s="1535" t="str">
        <f>'8-4.일위대가표'!A399</f>
        <v>품3-10.</v>
      </c>
      <c r="B134" s="1526" t="str">
        <f>VLOOKUP(A134,'8-4.일위대가표'!$A$4:$N$723,2,FALSE)</f>
        <v>접지선 포설</v>
      </c>
      <c r="C134" s="1526" t="str">
        <f>VLOOKUP(A134,'8-4.일위대가표'!$A$4:$N$723,3,FALSE)</f>
        <v>10㎟ 이하</v>
      </c>
      <c r="D134" s="1536" t="str">
        <f>VLOOKUP(A134,'8-4.일위대가표'!$A$4:$N$723,5,FALSE)</f>
        <v>m</v>
      </c>
      <c r="E134" s="1537">
        <f>'8-3.노무산출'!H141</f>
        <v>6</v>
      </c>
      <c r="F134" s="1538">
        <f>VLOOKUP(A134,'8-4.일위대가표'!$A$4:$N$723,13,FALSE)</f>
        <v>3732</v>
      </c>
      <c r="G134" s="1539">
        <f t="shared" si="2"/>
        <v>22392</v>
      </c>
      <c r="H134" s="1539">
        <f>F134-'8-4.일위대가표'!M401</f>
        <v>1244</v>
      </c>
      <c r="I134" s="1539">
        <f t="shared" si="6"/>
        <v>7464</v>
      </c>
      <c r="J134" s="1533" t="s">
        <v>2599</v>
      </c>
      <c r="K134" s="134" t="str">
        <f t="shared" si="5"/>
        <v>품3-10.</v>
      </c>
    </row>
    <row r="135" spans="1:12" ht="24.95" customHeight="1">
      <c r="A135" s="267" t="str">
        <f>'8-4.일위대가표'!A403</f>
        <v>품3-10-1.</v>
      </c>
      <c r="B135" s="396" t="str">
        <f>VLOOKUP(A135,'8-4.일위대가표'!$A$4:$N$723,2,FALSE)</f>
        <v>접지선 접속</v>
      </c>
      <c r="C135" s="396" t="str">
        <f>VLOOKUP(A135,'8-4.일위대가표'!$A$4:$N$723,3,FALSE)</f>
        <v>압착단자</v>
      </c>
      <c r="D135" s="740" t="str">
        <f>VLOOKUP(A135,'8-4.일위대가표'!$A$4:$N$723,5,FALSE)</f>
        <v>개</v>
      </c>
      <c r="E135" s="580">
        <f>'8-3.노무산출'!H142</f>
        <v>2</v>
      </c>
      <c r="F135" s="744">
        <f>VLOOKUP(A135,'8-4.일위대가표'!$A$4:$N$723,13,FALSE)</f>
        <v>7465</v>
      </c>
      <c r="G135" s="1521">
        <f t="shared" si="2"/>
        <v>14930</v>
      </c>
      <c r="H135" s="1521"/>
      <c r="I135" s="1521"/>
      <c r="J135" s="406"/>
      <c r="K135" s="134" t="str">
        <f t="shared" si="5"/>
        <v>품3-10-1.</v>
      </c>
    </row>
    <row r="136" spans="1:12" s="1507" customFormat="1" ht="24.95" hidden="1" customHeight="1">
      <c r="A136" s="1496">
        <f>'8-4.일위대가표'!A405</f>
        <v>0</v>
      </c>
      <c r="B136" s="1497" t="e">
        <f>VLOOKUP(A136,'8-4.일위대가표'!$A$4:$N$723,2,FALSE)</f>
        <v>#N/A</v>
      </c>
      <c r="C136" s="1497" t="e">
        <f>VLOOKUP(A136,'8-4.일위대가표'!$A$4:$N$723,3,FALSE)</f>
        <v>#N/A</v>
      </c>
      <c r="D136" s="1498" t="e">
        <f>VLOOKUP(A136,'8-4.일위대가표'!$A$4:$N$723,5,FALSE)</f>
        <v>#N/A</v>
      </c>
      <c r="E136" s="1499">
        <f>'8-3.노무산출'!H143</f>
        <v>0</v>
      </c>
      <c r="F136" s="1500" t="e">
        <f>VLOOKUP(A136,'8-4.일위대가표'!$A$4:$N$723,13,FALSE)</f>
        <v>#N/A</v>
      </c>
      <c r="G136" s="1521" t="e">
        <f t="shared" si="2"/>
        <v>#N/A</v>
      </c>
      <c r="H136" s="1521"/>
      <c r="I136" s="1523"/>
      <c r="J136" s="1503"/>
      <c r="K136" s="134">
        <f t="shared" si="5"/>
        <v>0</v>
      </c>
    </row>
    <row r="137" spans="1:12" s="1507" customFormat="1" ht="24.95" hidden="1" customHeight="1">
      <c r="A137" s="1496">
        <f>'8-4.일위대가표'!A407</f>
        <v>0</v>
      </c>
      <c r="B137" s="1497" t="e">
        <f>VLOOKUP(A137,'8-4.일위대가표'!$A$4:$N$723,2,FALSE)</f>
        <v>#N/A</v>
      </c>
      <c r="C137" s="1497" t="e">
        <f>VLOOKUP(A137,'8-4.일위대가표'!$A$4:$N$723,3,FALSE)</f>
        <v>#N/A</v>
      </c>
      <c r="D137" s="1498" t="e">
        <f>VLOOKUP(A137,'8-4.일위대가표'!$A$4:$N$723,5,FALSE)</f>
        <v>#N/A</v>
      </c>
      <c r="E137" s="1499">
        <f>'8-3.노무산출'!H144</f>
        <v>0</v>
      </c>
      <c r="F137" s="1500" t="e">
        <f>VLOOKUP(A137,'8-4.일위대가표'!$A$4:$N$723,13,FALSE)</f>
        <v>#N/A</v>
      </c>
      <c r="G137" s="1521" t="e">
        <f t="shared" si="2"/>
        <v>#N/A</v>
      </c>
      <c r="H137" s="1521"/>
      <c r="I137" s="1523"/>
      <c r="J137" s="1503"/>
      <c r="K137" s="134">
        <f t="shared" si="5"/>
        <v>0</v>
      </c>
    </row>
    <row r="138" spans="1:12" s="1534" customFormat="1" ht="24.95" hidden="1" customHeight="1">
      <c r="A138" s="1535">
        <f>'8-4.일위대가표'!A409</f>
        <v>0</v>
      </c>
      <c r="B138" s="1526" t="e">
        <f>VLOOKUP(A138,'8-4.일위대가표'!$A$4:$N$723,2,FALSE)</f>
        <v>#N/A</v>
      </c>
      <c r="C138" s="1526" t="e">
        <f>VLOOKUP(A138,'8-4.일위대가표'!$A$4:$N$723,3,FALSE)</f>
        <v>#N/A</v>
      </c>
      <c r="D138" s="1536" t="e">
        <f>VLOOKUP(A138,'8-4.일위대가표'!$A$4:$N$723,5,FALSE)</f>
        <v>#N/A</v>
      </c>
      <c r="E138" s="1537">
        <f>'8-3.노무산출'!H145</f>
        <v>0</v>
      </c>
      <c r="F138" s="1538" t="e">
        <f>VLOOKUP(A138,'8-4.일위대가표'!$A$4:$N$723,13,FALSE)</f>
        <v>#N/A</v>
      </c>
      <c r="G138" s="1539" t="e">
        <f t="shared" si="2"/>
        <v>#N/A</v>
      </c>
      <c r="H138" s="1539" t="e">
        <f>F138-'8-4.일위대가표'!M411</f>
        <v>#N/A</v>
      </c>
      <c r="I138" s="1539"/>
      <c r="J138" s="1540" t="s">
        <v>2600</v>
      </c>
      <c r="K138" s="134">
        <f t="shared" si="5"/>
        <v>0</v>
      </c>
    </row>
    <row r="139" spans="1:12" s="22" customFormat="1" ht="24.95" customHeight="1">
      <c r="A139" s="267"/>
      <c r="B139" s="396"/>
      <c r="C139" s="396"/>
      <c r="D139" s="740"/>
      <c r="E139" s="580"/>
      <c r="F139" s="744"/>
      <c r="G139" s="1521"/>
      <c r="H139" s="1521"/>
      <c r="I139" s="1521"/>
      <c r="J139" s="407"/>
    </row>
    <row r="140" spans="1:12" s="22" customFormat="1" ht="24.95" customHeight="1">
      <c r="A140" s="803" t="str">
        <f>'8-1.설비자재산출(전력통신)'!A195</f>
        <v>4. IP계통운영통신시스템</v>
      </c>
      <c r="B140" s="396"/>
      <c r="C140" s="396"/>
      <c r="D140" s="740"/>
      <c r="E140" s="580"/>
      <c r="F140" s="744"/>
      <c r="G140" s="1521"/>
      <c r="H140" s="1521"/>
      <c r="I140" s="1521"/>
      <c r="J140" s="407"/>
      <c r="K140" s="22" t="s">
        <v>3131</v>
      </c>
    </row>
    <row r="141" spans="1:12" s="1502" customFormat="1" ht="24.95" hidden="1" customHeight="1">
      <c r="A141" s="1496">
        <f>'8-4.일위대가표'!A414</f>
        <v>0</v>
      </c>
      <c r="B141" s="1497" t="e">
        <f>VLOOKUP(A141,'8-4.일위대가표'!$A$4:$N$723,2,FALSE)</f>
        <v>#N/A</v>
      </c>
      <c r="C141" s="1497" t="e">
        <f>VLOOKUP(A141,'8-4.일위대가표'!$A$4:$N$723,3,FALSE)</f>
        <v>#N/A</v>
      </c>
      <c r="D141" s="1498" t="e">
        <f>VLOOKUP(A141,'8-4.일위대가표'!$A$4:$N$723,5,FALSE)</f>
        <v>#N/A</v>
      </c>
      <c r="E141" s="1499">
        <v>0</v>
      </c>
      <c r="F141" s="1500" t="e">
        <f>VLOOKUP(A141,'8-4.일위대가표'!$A$4:$N$723,13,FALSE)</f>
        <v>#N/A</v>
      </c>
      <c r="G141" s="1521" t="e">
        <f t="shared" si="2"/>
        <v>#N/A</v>
      </c>
      <c r="H141" s="1521"/>
      <c r="I141" s="1523"/>
      <c r="J141" s="1508"/>
      <c r="K141" s="1502" t="s">
        <v>1806</v>
      </c>
    </row>
    <row r="142" spans="1:12" s="1502" customFormat="1" ht="24.95" hidden="1" customHeight="1">
      <c r="A142" s="1496">
        <f>'8-4.일위대가표'!A420</f>
        <v>0</v>
      </c>
      <c r="B142" s="1497" t="e">
        <f>VLOOKUP(A142,'8-4.일위대가표'!$A$4:$N$723,2,FALSE)</f>
        <v>#N/A</v>
      </c>
      <c r="C142" s="1497" t="e">
        <f>VLOOKUP(A142,'8-4.일위대가표'!$A$4:$N$723,3,FALSE)</f>
        <v>#N/A</v>
      </c>
      <c r="D142" s="1498" t="e">
        <f>VLOOKUP(A142,'8-4.일위대가표'!$A$4:$N$723,5,FALSE)</f>
        <v>#N/A</v>
      </c>
      <c r="E142" s="1499">
        <v>0</v>
      </c>
      <c r="F142" s="1500" t="e">
        <f>VLOOKUP(A142,'8-4.일위대가표'!$A$4:$N$723,13,FALSE)</f>
        <v>#N/A</v>
      </c>
      <c r="G142" s="1521" t="e">
        <f t="shared" si="2"/>
        <v>#N/A</v>
      </c>
      <c r="H142" s="1521"/>
      <c r="I142" s="1523"/>
      <c r="J142" s="1508"/>
      <c r="K142" s="1502" t="s">
        <v>2390</v>
      </c>
    </row>
    <row r="143" spans="1:12" s="22" customFormat="1" ht="24.95" customHeight="1">
      <c r="A143" s="267" t="str">
        <f>'8-4.일위대가표'!A428</f>
        <v>품4-1.</v>
      </c>
      <c r="B143" s="396" t="str">
        <f>VLOOKUP(A143,'8-4.일위대가표'!$A$4:$N$723,2,FALSE)</f>
        <v>HUB 설치</v>
      </c>
      <c r="C143" s="396" t="str">
        <f>VLOOKUP(A143,'8-4.일위대가표'!$A$4:$N$723,3,FALSE)</f>
        <v>Dummy 허브 설치</v>
      </c>
      <c r="D143" s="740" t="str">
        <f>VLOOKUP(A143,'8-4.일위대가표'!$A$4:$N$723,5,FALSE)</f>
        <v>대</v>
      </c>
      <c r="E143" s="580">
        <f>'8-3.노무산출'!H150</f>
        <v>1</v>
      </c>
      <c r="F143" s="744">
        <f>VLOOKUP(A143,'8-4.일위대가표'!$A$4:$N$723,13,FALSE)</f>
        <v>66023</v>
      </c>
      <c r="G143" s="1521">
        <f t="shared" si="2"/>
        <v>66023</v>
      </c>
      <c r="H143" s="1521"/>
      <c r="I143" s="1521"/>
      <c r="J143" s="405"/>
      <c r="K143" s="22" t="str">
        <f>A143</f>
        <v>품4-1.</v>
      </c>
    </row>
    <row r="144" spans="1:12" s="22" customFormat="1" ht="24.95" customHeight="1">
      <c r="A144" s="267" t="str">
        <f>'8-4.일위대가표'!A431</f>
        <v>품4-2.</v>
      </c>
      <c r="B144" s="396" t="str">
        <f>VLOOKUP(A144,'8-4.일위대가표'!$A$4:$N$723,2,FALSE)</f>
        <v>통합형계통운영시스템용 콘솔</v>
      </c>
      <c r="C144" s="396" t="str">
        <f>VLOOKUP(A144,'8-4.일위대가표'!$A$4:$N$723,3,FALSE)</f>
        <v>사령원콘솔</v>
      </c>
      <c r="D144" s="740" t="str">
        <f>VLOOKUP(A144,'8-4.일위대가표'!$A$4:$N$723,5,FALSE)</f>
        <v>대</v>
      </c>
      <c r="E144" s="580">
        <f>'8-3.노무산출'!H151</f>
        <v>3</v>
      </c>
      <c r="F144" s="744">
        <f>VLOOKUP(A144,'8-4.일위대가표'!$A$4:$N$723,13,FALSE)</f>
        <v>41432</v>
      </c>
      <c r="G144" s="1521">
        <f t="shared" si="2"/>
        <v>124296</v>
      </c>
      <c r="H144" s="1521"/>
      <c r="I144" s="1521"/>
      <c r="J144" s="405"/>
      <c r="K144" s="22" t="str">
        <f t="shared" ref="K144:K155" si="7">A144</f>
        <v>품4-2.</v>
      </c>
    </row>
    <row r="145" spans="1:11" s="1502" customFormat="1" ht="24.95" hidden="1" customHeight="1">
      <c r="A145" s="1496">
        <f>'8-4.일위대가표'!A433</f>
        <v>0</v>
      </c>
      <c r="B145" s="1497" t="e">
        <f>VLOOKUP(A145,'8-4.일위대가표'!$A$4:$N$723,2,FALSE)</f>
        <v>#N/A</v>
      </c>
      <c r="C145" s="1497" t="e">
        <f>VLOOKUP(A145,'8-4.일위대가표'!$A$4:$N$723,3,FALSE)</f>
        <v>#N/A</v>
      </c>
      <c r="D145" s="1498" t="e">
        <f>VLOOKUP(A145,'8-4.일위대가표'!$A$4:$N$723,5,FALSE)</f>
        <v>#N/A</v>
      </c>
      <c r="E145" s="1499">
        <f>'8-3.노무산출'!H152</f>
        <v>0</v>
      </c>
      <c r="F145" s="1500" t="e">
        <f>VLOOKUP(A145,'8-4.일위대가표'!$A$4:$N$723,13,FALSE)</f>
        <v>#N/A</v>
      </c>
      <c r="G145" s="1521" t="e">
        <f t="shared" si="2"/>
        <v>#N/A</v>
      </c>
      <c r="H145" s="1521"/>
      <c r="I145" s="1523"/>
      <c r="J145" s="1508"/>
      <c r="K145" s="22">
        <f t="shared" si="7"/>
        <v>0</v>
      </c>
    </row>
    <row r="146" spans="1:11" s="1502" customFormat="1" ht="24.95" hidden="1" customHeight="1">
      <c r="A146" s="1496">
        <f>'8-4.일위대가표'!A435</f>
        <v>0</v>
      </c>
      <c r="B146" s="1497" t="e">
        <f>VLOOKUP(A146,'8-4.일위대가표'!$A$4:$N$723,2,FALSE)</f>
        <v>#N/A</v>
      </c>
      <c r="C146" s="1497" t="e">
        <f>VLOOKUP(A146,'8-4.일위대가표'!$A$4:$N$723,3,FALSE)</f>
        <v>#N/A</v>
      </c>
      <c r="D146" s="1498" t="e">
        <f>VLOOKUP(A146,'8-4.일위대가표'!$A$4:$N$723,5,FALSE)</f>
        <v>#N/A</v>
      </c>
      <c r="E146" s="1499">
        <f>'8-3.노무산출'!H153</f>
        <v>0</v>
      </c>
      <c r="F146" s="1500" t="e">
        <f>VLOOKUP(A146,'8-4.일위대가표'!$A$4:$N$723,13,FALSE)</f>
        <v>#N/A</v>
      </c>
      <c r="G146" s="1521" t="e">
        <f t="shared" si="2"/>
        <v>#N/A</v>
      </c>
      <c r="H146" s="1521"/>
      <c r="I146" s="1523"/>
      <c r="J146" s="1508"/>
      <c r="K146" s="22">
        <f t="shared" si="7"/>
        <v>0</v>
      </c>
    </row>
    <row r="147" spans="1:11" s="1534" customFormat="1" ht="24.95" customHeight="1">
      <c r="A147" s="1535" t="str">
        <f>'8-4.일위대가표'!A437</f>
        <v>품4-3.</v>
      </c>
      <c r="B147" s="1526" t="str">
        <f>VLOOKUP(A147,'8-4.일위대가표'!$A$4:$N$723,2,FALSE)</f>
        <v>접지선 포설</v>
      </c>
      <c r="C147" s="1526" t="str">
        <f>VLOOKUP(A147,'8-4.일위대가표'!$A$4:$N$723,3,FALSE)</f>
        <v>10㎟ 이하</v>
      </c>
      <c r="D147" s="1536" t="str">
        <f>VLOOKUP(A147,'8-4.일위대가표'!$A$4:$N$723,5,FALSE)</f>
        <v>m</v>
      </c>
      <c r="E147" s="1537">
        <f>'8-3.노무산출'!H154</f>
        <v>3</v>
      </c>
      <c r="F147" s="1538">
        <f>VLOOKUP(A147,'8-4.일위대가표'!$A$4:$N$723,13,FALSE)</f>
        <v>3732</v>
      </c>
      <c r="G147" s="1539">
        <f t="shared" si="2"/>
        <v>11196</v>
      </c>
      <c r="H147" s="1539">
        <f>F147-'8-4.일위대가표'!M439</f>
        <v>1244</v>
      </c>
      <c r="I147" s="1539">
        <f t="shared" ref="I147" si="8">E147*H147</f>
        <v>3732</v>
      </c>
      <c r="J147" s="1533" t="s">
        <v>2599</v>
      </c>
      <c r="K147" s="22" t="str">
        <f t="shared" si="7"/>
        <v>품4-3.</v>
      </c>
    </row>
    <row r="148" spans="1:11" s="1502" customFormat="1" ht="24.95" hidden="1" customHeight="1">
      <c r="A148" s="1496">
        <f>'8-4.일위대가표'!A441</f>
        <v>0</v>
      </c>
      <c r="B148" s="1497" t="e">
        <f>VLOOKUP(A148,'8-4.일위대가표'!$A$4:$N$723,2,FALSE)</f>
        <v>#N/A</v>
      </c>
      <c r="C148" s="1497" t="e">
        <f>VLOOKUP(A148,'8-4.일위대가표'!$A$4:$N$723,3,FALSE)</f>
        <v>#N/A</v>
      </c>
      <c r="D148" s="1498" t="e">
        <f>VLOOKUP(A148,'8-4.일위대가표'!$A$4:$N$723,5,FALSE)</f>
        <v>#N/A</v>
      </c>
      <c r="E148" s="1499">
        <f>'8-3.노무산출'!H155</f>
        <v>0</v>
      </c>
      <c r="F148" s="1500" t="e">
        <f>VLOOKUP(A148,'8-4.일위대가표'!$A$4:$N$723,13,FALSE)</f>
        <v>#N/A</v>
      </c>
      <c r="G148" s="1521" t="e">
        <f t="shared" si="2"/>
        <v>#N/A</v>
      </c>
      <c r="H148" s="1521"/>
      <c r="I148" s="1523"/>
      <c r="J148" s="1508"/>
      <c r="K148" s="22">
        <f t="shared" si="7"/>
        <v>0</v>
      </c>
    </row>
    <row r="149" spans="1:11" s="1502" customFormat="1" ht="24.95" hidden="1" customHeight="1">
      <c r="A149" s="1496">
        <f>'8-4.일위대가표'!A443</f>
        <v>0</v>
      </c>
      <c r="B149" s="1497" t="e">
        <f>VLOOKUP(A149,'8-4.일위대가표'!$A$4:$N$723,2,FALSE)</f>
        <v>#N/A</v>
      </c>
      <c r="C149" s="1497" t="e">
        <f>VLOOKUP(A149,'8-4.일위대가표'!$A$4:$N$723,3,FALSE)</f>
        <v>#N/A</v>
      </c>
      <c r="D149" s="1498" t="e">
        <f>VLOOKUP(A149,'8-4.일위대가표'!$A$4:$N$723,5,FALSE)</f>
        <v>#N/A</v>
      </c>
      <c r="E149" s="1499">
        <f>'8-3.노무산출'!H156</f>
        <v>0</v>
      </c>
      <c r="F149" s="1500" t="e">
        <f>VLOOKUP(A149,'8-4.일위대가표'!$A$4:$N$723,13,FALSE)</f>
        <v>#N/A</v>
      </c>
      <c r="G149" s="1521" t="e">
        <f t="shared" si="2"/>
        <v>#N/A</v>
      </c>
      <c r="H149" s="1521"/>
      <c r="I149" s="1523"/>
      <c r="J149" s="1508"/>
      <c r="K149" s="22">
        <f t="shared" si="7"/>
        <v>0</v>
      </c>
    </row>
    <row r="150" spans="1:11" s="22" customFormat="1" ht="24.95" customHeight="1">
      <c r="A150" s="267" t="str">
        <f>'8-4.일위대가표'!A445</f>
        <v>품4-4.</v>
      </c>
      <c r="B150" s="396" t="str">
        <f>VLOOKUP(A150,'8-4.일위대가표'!$A$4:$N$723,2,FALSE)</f>
        <v>UTP케이블 포설</v>
      </c>
      <c r="C150" s="396" t="str">
        <f>VLOOKUP(A150,'8-4.일위대가표'!$A$4:$N$723,3,FALSE)</f>
        <v>CAT.5 4Pr</v>
      </c>
      <c r="D150" s="740" t="str">
        <f>VLOOKUP(A150,'8-4.일위대가표'!$A$4:$N$723,5,FALSE)</f>
        <v>m</v>
      </c>
      <c r="E150" s="580">
        <f>'8-3.노무산출'!H157</f>
        <v>21</v>
      </c>
      <c r="F150" s="744">
        <f>VLOOKUP(A150,'8-4.일위대가표'!$A$4:$N$723,13,FALSE)</f>
        <v>5802</v>
      </c>
      <c r="G150" s="1521">
        <f t="shared" si="2"/>
        <v>121842</v>
      </c>
      <c r="H150" s="1521"/>
      <c r="I150" s="1521"/>
      <c r="J150" s="405"/>
      <c r="K150" s="22" t="str">
        <f t="shared" si="7"/>
        <v>품4-4.</v>
      </c>
    </row>
    <row r="151" spans="1:11" s="1502" customFormat="1" ht="24.95" hidden="1" customHeight="1">
      <c r="A151" s="1496">
        <f>'8-4.일위대가표'!A447</f>
        <v>0</v>
      </c>
      <c r="B151" s="1497" t="e">
        <f>VLOOKUP(A151,'8-4.일위대가표'!$A$4:$N$723,2,FALSE)</f>
        <v>#N/A</v>
      </c>
      <c r="C151" s="1497" t="e">
        <f>VLOOKUP(A151,'8-4.일위대가표'!$A$4:$N$723,3,FALSE)</f>
        <v>#N/A</v>
      </c>
      <c r="D151" s="1498" t="e">
        <f>VLOOKUP(A151,'8-4.일위대가표'!$A$4:$N$723,5,FALSE)</f>
        <v>#N/A</v>
      </c>
      <c r="E151" s="1499">
        <f>'8-3.노무산출'!H158</f>
        <v>0</v>
      </c>
      <c r="F151" s="1500" t="e">
        <f>VLOOKUP(A151,'8-4.일위대가표'!$A$4:$N$723,13,FALSE)</f>
        <v>#N/A</v>
      </c>
      <c r="G151" s="1521" t="e">
        <f t="shared" si="2"/>
        <v>#N/A</v>
      </c>
      <c r="H151" s="1521"/>
      <c r="I151" s="1523"/>
      <c r="J151" s="1508"/>
      <c r="K151" s="22">
        <f t="shared" si="7"/>
        <v>0</v>
      </c>
    </row>
    <row r="152" spans="1:11" s="22" customFormat="1" ht="24.95" customHeight="1">
      <c r="A152" s="267" t="str">
        <f>'8-4.일위대가표'!A449</f>
        <v>품4-5.</v>
      </c>
      <c r="B152" s="396" t="str">
        <f>VLOOKUP(A152,'8-4.일위대가표'!$A$4:$N$723,2,FALSE)</f>
        <v>UTP케이블 포설</v>
      </c>
      <c r="C152" s="396" t="str">
        <f>VLOOKUP(A152,'8-4.일위대가표'!$A$4:$N$723,3,FALSE)</f>
        <v>CAT.5 4Pr, 3열</v>
      </c>
      <c r="D152" s="740" t="str">
        <f>VLOOKUP(A152,'8-4.일위대가표'!$A$4:$N$723,5,FALSE)</f>
        <v>m</v>
      </c>
      <c r="E152" s="580">
        <f>'8-3.노무산출'!H159</f>
        <v>81</v>
      </c>
      <c r="F152" s="744">
        <f>VLOOKUP(A152,'8-4.일위대가표'!$A$4:$N$723,13,FALSE)</f>
        <v>15087</v>
      </c>
      <c r="G152" s="1521">
        <f t="shared" ref="G152:G216" si="9">E152*F152</f>
        <v>1222047</v>
      </c>
      <c r="H152" s="1521"/>
      <c r="I152" s="1521"/>
      <c r="J152" s="405"/>
      <c r="K152" s="22" t="str">
        <f t="shared" si="7"/>
        <v>품4-5.</v>
      </c>
    </row>
    <row r="153" spans="1:11" s="1502" customFormat="1" ht="24.95" hidden="1" customHeight="1">
      <c r="A153" s="1496" t="str">
        <f>'8-4.일위대가표'!A451</f>
        <v>품4-12.</v>
      </c>
      <c r="B153" s="1497" t="str">
        <f>VLOOKUP(A153,'8-4.일위대가표'!$A$4:$N$723,2,FALSE)</f>
        <v>UTP케이블 포설</v>
      </c>
      <c r="C153" s="1497" t="str">
        <f>VLOOKUP(A153,'8-4.일위대가표'!$A$4:$N$723,3,FALSE)</f>
        <v>CAT.5 4Pr, 4열</v>
      </c>
      <c r="D153" s="1498" t="str">
        <f>VLOOKUP(A153,'8-4.일위대가표'!$A$4:$N$723,5,FALSE)</f>
        <v>m</v>
      </c>
      <c r="E153" s="1499">
        <f>'8-3.노무산출'!H160</f>
        <v>0</v>
      </c>
      <c r="F153" s="1500">
        <f>VLOOKUP(A153,'8-4.일위대가표'!$A$4:$N$723,13,FALSE)</f>
        <v>19729</v>
      </c>
      <c r="G153" s="1521">
        <f t="shared" si="9"/>
        <v>0</v>
      </c>
      <c r="H153" s="1521"/>
      <c r="I153" s="1523"/>
      <c r="J153" s="1508"/>
      <c r="K153" s="22" t="str">
        <f t="shared" si="7"/>
        <v>품4-12.</v>
      </c>
    </row>
    <row r="154" spans="1:11" s="1534" customFormat="1" ht="24.95" customHeight="1">
      <c r="A154" s="1535" t="str">
        <f>'8-4.일위대가표'!A453</f>
        <v>품4-6.</v>
      </c>
      <c r="B154" s="1526" t="str">
        <f>VLOOKUP(A154,'8-4.일위대가표'!$A$4:$N$723,2,FALSE)</f>
        <v>후렉시블전선관 시설</v>
      </c>
      <c r="C154" s="1526" t="str">
        <f>VLOOKUP(A154,'8-4.일위대가표'!$A$4:$N$723,3,FALSE)</f>
        <v>금속가요전선관 16㎜</v>
      </c>
      <c r="D154" s="1536" t="str">
        <f>VLOOKUP(A154,'8-4.일위대가표'!$A$4:$N$723,5,FALSE)</f>
        <v>m</v>
      </c>
      <c r="E154" s="1537">
        <f>'8-3.노무산출'!H161</f>
        <v>93</v>
      </c>
      <c r="F154" s="1538">
        <f>VLOOKUP(A154,'8-4.일위대가표'!$A$4:$N$723,13,FALSE)</f>
        <v>14234</v>
      </c>
      <c r="G154" s="1539">
        <f t="shared" si="9"/>
        <v>1323762</v>
      </c>
      <c r="H154" s="1539">
        <f>F154-'8-4.일위대가표'!M455</f>
        <v>3285</v>
      </c>
      <c r="I154" s="1539">
        <f t="shared" ref="I154" si="10">E154*H154</f>
        <v>305505</v>
      </c>
      <c r="J154" s="1533" t="s">
        <v>2601</v>
      </c>
      <c r="K154" s="22" t="str">
        <f t="shared" si="7"/>
        <v>품4-6.</v>
      </c>
    </row>
    <row r="155" spans="1:11" s="1502" customFormat="1" ht="24.95" hidden="1" customHeight="1">
      <c r="A155" s="1496" t="str">
        <f>'8-4.일위대가표'!A457</f>
        <v>품4-14.</v>
      </c>
      <c r="B155" s="1497" t="str">
        <f>VLOOKUP(A155,'8-4.일위대가표'!$A$4:$N$723,2,FALSE)</f>
        <v>콘센트 설치</v>
      </c>
      <c r="C155" s="1497" t="str">
        <f>VLOOKUP(A155,'8-4.일위대가표'!$A$4:$N$723,3,FALSE)</f>
        <v>노출 접지 2구</v>
      </c>
      <c r="D155" s="1498" t="str">
        <f>VLOOKUP(A155,'8-4.일위대가표'!$A$4:$N$723,5,FALSE)</f>
        <v>개</v>
      </c>
      <c r="E155" s="1499">
        <v>0</v>
      </c>
      <c r="F155" s="1500">
        <f>VLOOKUP(A155,'8-4.일위대가표'!$A$4:$N$723,13,FALSE)</f>
        <v>23042</v>
      </c>
      <c r="G155" s="1521">
        <f t="shared" si="9"/>
        <v>0</v>
      </c>
      <c r="H155" s="1521"/>
      <c r="I155" s="1523"/>
      <c r="J155" s="1508"/>
      <c r="K155" s="22" t="str">
        <f t="shared" si="7"/>
        <v>품4-14.</v>
      </c>
    </row>
    <row r="156" spans="1:11" s="22" customFormat="1" ht="24.95" customHeight="1">
      <c r="A156" s="267"/>
      <c r="B156" s="396"/>
      <c r="C156" s="396"/>
      <c r="D156" s="740"/>
      <c r="E156" s="580"/>
      <c r="F156" s="744"/>
      <c r="G156" s="1521"/>
      <c r="H156" s="1521"/>
      <c r="I156" s="1521"/>
      <c r="J156" s="405"/>
    </row>
    <row r="157" spans="1:11" s="22" customFormat="1" ht="24.95" customHeight="1">
      <c r="A157" s="803" t="s">
        <v>2973</v>
      </c>
      <c r="B157" s="396"/>
      <c r="C157" s="396"/>
      <c r="D157" s="740"/>
      <c r="E157" s="580"/>
      <c r="F157" s="744"/>
      <c r="G157" s="1521">
        <f t="shared" si="9"/>
        <v>0</v>
      </c>
      <c r="H157" s="1521"/>
      <c r="I157" s="1521"/>
      <c r="J157" s="405"/>
      <c r="K157" s="22" t="s">
        <v>2392</v>
      </c>
    </row>
    <row r="158" spans="1:11" s="22" customFormat="1" ht="24.95" customHeight="1">
      <c r="A158" s="267" t="str">
        <f>'8-4.일위대가표'!A461</f>
        <v>품5-1</v>
      </c>
      <c r="B158" s="396" t="str">
        <f>VLOOKUP(A158,'8-4.일위대가표'!$A$4:$N$723,2,FALSE)</f>
        <v>사용자시스템시설</v>
      </c>
      <c r="C158" s="396" t="str">
        <f>VLOOKUP(A158,'8-4.일위대가표'!$A$4:$N$723,3,FALSE)</f>
        <v>단말기설치</v>
      </c>
      <c r="D158" s="740" t="str">
        <f>VLOOKUP(A158,'8-4.일위대가표'!$A$4:$N$723,5,FALSE)</f>
        <v>대</v>
      </c>
      <c r="E158" s="580">
        <f>'8-3.노무산출'!H165</f>
        <v>4</v>
      </c>
      <c r="F158" s="744">
        <f>VLOOKUP(A158,'8-4.일위대가표'!$A$4:$N$723,13,FALSE)</f>
        <v>92450</v>
      </c>
      <c r="G158" s="1521">
        <f t="shared" si="9"/>
        <v>369800</v>
      </c>
      <c r="H158" s="1521"/>
      <c r="I158" s="1521"/>
      <c r="J158" s="405"/>
      <c r="K158" s="22" t="s">
        <v>3014</v>
      </c>
    </row>
    <row r="159" spans="1:11" s="22" customFormat="1" ht="24.95" customHeight="1">
      <c r="A159" s="267" t="str">
        <f>'8-4.일위대가표'!A464</f>
        <v>품5-2</v>
      </c>
      <c r="B159" s="396" t="str">
        <f>VLOOKUP(A159,'8-4.일위대가표'!$A$4:$N$723,2,FALSE)</f>
        <v>KVM스위치</v>
      </c>
      <c r="C159" s="396" t="str">
        <f>VLOOKUP(A159,'8-4.일위대가표'!$A$4:$N$723,3,FALSE)</f>
        <v>부대장치</v>
      </c>
      <c r="D159" s="740" t="str">
        <f>VLOOKUP(A159,'8-4.일위대가표'!$A$4:$N$723,5,FALSE)</f>
        <v>대</v>
      </c>
      <c r="E159" s="580">
        <f>'8-3.노무산출'!H166</f>
        <v>1</v>
      </c>
      <c r="F159" s="744">
        <f>VLOOKUP(A159,'8-4.일위대가표'!$A$4:$N$723,13,FALSE)</f>
        <v>124630</v>
      </c>
      <c r="G159" s="1521">
        <f t="shared" si="9"/>
        <v>124630</v>
      </c>
      <c r="H159" s="1521"/>
      <c r="I159" s="1521"/>
      <c r="J159" s="405"/>
      <c r="K159" s="22" t="s">
        <v>3015</v>
      </c>
    </row>
    <row r="160" spans="1:11" s="22" customFormat="1" ht="24.95" customHeight="1">
      <c r="A160" s="267" t="str">
        <f>'8-4.일위대가표'!A468</f>
        <v>품5-3</v>
      </c>
      <c r="B160" s="396" t="str">
        <f>VLOOKUP(A160,'8-4.일위대가표'!$A$4:$N$723,2,FALSE)</f>
        <v>현장녹화장치 설치</v>
      </c>
      <c r="C160" s="396" t="str">
        <f>VLOOKUP(A160,'8-4.일위대가표'!$A$4:$N$723,3,FALSE)</f>
        <v>영상저장장치</v>
      </c>
      <c r="D160" s="740" t="str">
        <f>VLOOKUP(A160,'8-4.일위대가표'!$A$4:$N$723,5,FALSE)</f>
        <v>대</v>
      </c>
      <c r="E160" s="580">
        <f>'8-3.노무산출'!H167</f>
        <v>3</v>
      </c>
      <c r="F160" s="744">
        <f>VLOOKUP(A160,'8-4.일위대가표'!$A$4:$N$723,13,FALSE)</f>
        <v>97616</v>
      </c>
      <c r="G160" s="1521">
        <f t="shared" si="9"/>
        <v>292848</v>
      </c>
      <c r="H160" s="1521"/>
      <c r="I160" s="1521"/>
      <c r="J160" s="405"/>
      <c r="K160" s="22" t="s">
        <v>3016</v>
      </c>
    </row>
    <row r="161" spans="1:11" s="22" customFormat="1" ht="24.95" customHeight="1">
      <c r="A161" s="267" t="str">
        <f>'8-4.일위대가표'!A471</f>
        <v>품5-4</v>
      </c>
      <c r="B161" s="396" t="str">
        <f>VLOOKUP(A161,'8-4.일위대가표'!$A$4:$N$723,2,FALSE)</f>
        <v>55" TV Monitor 설치</v>
      </c>
      <c r="C161" s="396" t="str">
        <f>VLOOKUP(A161,'8-4.일위대가표'!$A$4:$N$723,3,FALSE)</f>
        <v>41" 이상</v>
      </c>
      <c r="D161" s="740" t="str">
        <f>VLOOKUP(A161,'8-4.일위대가표'!$A$4:$N$723,5,FALSE)</f>
        <v>대</v>
      </c>
      <c r="E161" s="580">
        <f>'8-3.노무산출'!H168</f>
        <v>4</v>
      </c>
      <c r="F161" s="744">
        <f>VLOOKUP(A161,'8-4.일위대가표'!$A$4:$N$723,13,FALSE)</f>
        <v>315154</v>
      </c>
      <c r="G161" s="1521">
        <f t="shared" si="9"/>
        <v>1260616</v>
      </c>
      <c r="H161" s="1521"/>
      <c r="I161" s="1521"/>
      <c r="J161" s="405"/>
    </row>
    <row r="162" spans="1:11" s="22" customFormat="1" ht="24.95" customHeight="1">
      <c r="A162" s="267" t="str">
        <f>'8-4.일위대가표'!A474</f>
        <v>품5-5</v>
      </c>
      <c r="B162" s="396" t="str">
        <f>VLOOKUP(A162,'8-4.일위대가표'!$A$4:$N$723,2,FALSE)</f>
        <v>카메라설치</v>
      </c>
      <c r="C162" s="396" t="str">
        <f>VLOOKUP(A162,'8-4.일위대가표'!$A$4:$N$723,3,FALSE)</f>
        <v>스피트돔 카메라</v>
      </c>
      <c r="D162" s="740" t="str">
        <f>VLOOKUP(A162,'8-4.일위대가표'!$A$4:$N$723,5,FALSE)</f>
        <v>대</v>
      </c>
      <c r="E162" s="580">
        <f>'8-3.노무산출'!H169</f>
        <v>127</v>
      </c>
      <c r="F162" s="744">
        <f>VLOOKUP(A162,'8-4.일위대가표'!$A$4:$N$723,13,FALSE)</f>
        <v>151423</v>
      </c>
      <c r="G162" s="1521">
        <f t="shared" si="9"/>
        <v>19230721</v>
      </c>
      <c r="H162" s="1521"/>
      <c r="I162" s="1521"/>
      <c r="J162" s="405"/>
      <c r="K162" s="22" t="s">
        <v>3018</v>
      </c>
    </row>
    <row r="163" spans="1:11" s="1502" customFormat="1" ht="24.95" customHeight="1">
      <c r="A163" s="267" t="str">
        <f>'8-4.일위대가표'!A477</f>
        <v>품5-6</v>
      </c>
      <c r="B163" s="396" t="str">
        <f>VLOOKUP(A163,'8-4.일위대가표'!$A$4:$N$723,2,FALSE)</f>
        <v>카메라설치</v>
      </c>
      <c r="C163" s="396" t="str">
        <f>VLOOKUP(A163,'8-4.일위대가표'!$A$4:$N$723,3,FALSE)</f>
        <v>고정형카메라</v>
      </c>
      <c r="D163" s="740" t="str">
        <f>VLOOKUP(A163,'8-4.일위대가표'!$A$4:$N$723,5,FALSE)</f>
        <v>대</v>
      </c>
      <c r="E163" s="580">
        <f>'8-3.노무산출'!H170</f>
        <v>1</v>
      </c>
      <c r="F163" s="744">
        <f>VLOOKUP(A163,'8-4.일위대가표'!$A$4:$N$723,13,FALSE)</f>
        <v>90853</v>
      </c>
      <c r="G163" s="1521">
        <f t="shared" si="9"/>
        <v>90853</v>
      </c>
      <c r="H163" s="1521"/>
      <c r="I163" s="1521"/>
      <c r="J163" s="405"/>
      <c r="K163" s="1502" t="s">
        <v>3019</v>
      </c>
    </row>
    <row r="164" spans="1:11" s="1502" customFormat="1" ht="24.95" hidden="1" customHeight="1">
      <c r="A164" s="267" t="str">
        <f>'8-4.일위대가표'!A480</f>
        <v>품5-7</v>
      </c>
      <c r="B164" s="396" t="str">
        <f>VLOOKUP(A164,'8-4.일위대가표'!$A$4:$N$723,2,FALSE)</f>
        <v>카메라 송수신제어 및 레벨조정</v>
      </c>
      <c r="C164" s="396" t="str">
        <f>VLOOKUP(A164,'8-4.일위대가표'!$A$4:$N$723,3,FALSE)</f>
        <v>일체형</v>
      </c>
      <c r="D164" s="740" t="str">
        <f>VLOOKUP(A164,'8-4.일위대가표'!$A$4:$N$723,5,FALSE)</f>
        <v>set</v>
      </c>
      <c r="E164" s="580">
        <f>'8-3.노무산출'!H171</f>
        <v>0</v>
      </c>
      <c r="F164" s="744">
        <f>VLOOKUP(A164,'8-4.일위대가표'!$A$4:$N$723,13,FALSE)</f>
        <v>317913</v>
      </c>
      <c r="G164" s="1521">
        <f t="shared" si="9"/>
        <v>0</v>
      </c>
      <c r="H164" s="1521"/>
      <c r="I164" s="1521"/>
      <c r="J164" s="405"/>
      <c r="K164" s="1502" t="s">
        <v>3086</v>
      </c>
    </row>
    <row r="165" spans="1:11" s="22" customFormat="1" ht="24.95" customHeight="1">
      <c r="A165" s="267" t="str">
        <f>'8-4.일위대가표'!A483</f>
        <v>품5-7-1</v>
      </c>
      <c r="B165" s="396" t="str">
        <f>VLOOKUP(A165,'8-4.일위대가표'!$A$4:$N$723,2,FALSE)</f>
        <v>카메라 종합시험</v>
      </c>
      <c r="C165" s="396" t="str">
        <f>VLOOKUP(A165,'8-4.일위대가표'!$A$4:$N$723,3,FALSE)</f>
        <v>일체형(10대이하)</v>
      </c>
      <c r="D165" s="740" t="str">
        <f>VLOOKUP(A165,'8-4.일위대가표'!$A$4:$N$723,5,FALSE)</f>
        <v>대</v>
      </c>
      <c r="E165" s="580">
        <f>'8-3.노무산출'!H172</f>
        <v>11</v>
      </c>
      <c r="F165" s="744">
        <f>VLOOKUP(A165,'8-4.일위대가표'!$A$4:$N$723,13,FALSE)</f>
        <v>32741</v>
      </c>
      <c r="G165" s="1521">
        <f t="shared" si="9"/>
        <v>360151</v>
      </c>
      <c r="H165" s="1521"/>
      <c r="I165" s="1521"/>
      <c r="J165" s="405"/>
      <c r="K165" s="22" t="s">
        <v>3088</v>
      </c>
    </row>
    <row r="166" spans="1:11" s="22" customFormat="1" ht="24.95" customHeight="1">
      <c r="A166" s="267" t="str">
        <f>'8-4.일위대가표'!A486</f>
        <v>품5-7-2</v>
      </c>
      <c r="B166" s="396" t="str">
        <f>VLOOKUP(A166,'8-4.일위대가표'!$A$4:$N$723,2,FALSE)</f>
        <v>카메라 종합시험</v>
      </c>
      <c r="C166" s="396" t="str">
        <f>VLOOKUP(A166,'8-4.일위대가표'!$A$4:$N$723,3,FALSE)</f>
        <v>일체형(11대이상)</v>
      </c>
      <c r="D166" s="740" t="str">
        <f>VLOOKUP(A166,'8-4.일위대가표'!$A$4:$N$723,5,FALSE)</f>
        <v>대</v>
      </c>
      <c r="E166" s="580">
        <f>'8-3.노무산출'!H173</f>
        <v>117</v>
      </c>
      <c r="F166" s="744">
        <f>VLOOKUP(A166,'8-4.일위대가표'!$A$4:$N$723,13,FALSE)</f>
        <v>1963</v>
      </c>
      <c r="G166" s="1521">
        <f t="shared" si="9"/>
        <v>229671</v>
      </c>
      <c r="H166" s="1521"/>
      <c r="I166" s="1521"/>
      <c r="J166" s="405"/>
      <c r="K166" s="22" t="s">
        <v>3090</v>
      </c>
    </row>
    <row r="167" spans="1:11" s="1502" customFormat="1" ht="24.95" hidden="1" customHeight="1">
      <c r="A167" s="267" t="str">
        <f>'8-4.일위대가표'!A489</f>
        <v>품5-8</v>
      </c>
      <c r="B167" s="396" t="str">
        <f>VLOOKUP(A167,'8-4.일위대가표'!$A$4:$N$723,2,FALSE)</f>
        <v>오디오 앰프</v>
      </c>
      <c r="C167" s="396" t="str">
        <f>VLOOKUP(A167,'8-4.일위대가표'!$A$4:$N$723,3,FALSE)</f>
        <v>부대장치</v>
      </c>
      <c r="D167" s="740" t="str">
        <f>VLOOKUP(A167,'8-4.일위대가표'!$A$4:$N$723,5,FALSE)</f>
        <v>대</v>
      </c>
      <c r="E167" s="580">
        <f>'8-3.노무산출'!H174</f>
        <v>0</v>
      </c>
      <c r="F167" s="744">
        <f>VLOOKUP(A167,'8-4.일위대가표'!$A$4:$N$723,13,FALSE)</f>
        <v>124630</v>
      </c>
      <c r="G167" s="1521">
        <f t="shared" si="9"/>
        <v>0</v>
      </c>
      <c r="H167" s="1521"/>
      <c r="I167" s="1521"/>
      <c r="J167" s="405"/>
      <c r="K167" s="1502" t="s">
        <v>3020</v>
      </c>
    </row>
    <row r="168" spans="1:11" s="22" customFormat="1" ht="24.95" customHeight="1">
      <c r="A168" s="267" t="str">
        <f>'8-4.일위대가표'!A493</f>
        <v>품5-9</v>
      </c>
      <c r="B168" s="396" t="str">
        <f>VLOOKUP(A168,'8-4.일위대가표'!$A$4:$N$723,2,FALSE)</f>
        <v>랙 설치</v>
      </c>
      <c r="C168" s="396" t="str">
        <f>VLOOKUP(A168,'8-4.일위대가표'!$A$4:$N$723,3,FALSE)</f>
        <v>랙 설치</v>
      </c>
      <c r="D168" s="740" t="str">
        <f>VLOOKUP(A168,'8-4.일위대가표'!$A$4:$N$723,5,FALSE)</f>
        <v>대</v>
      </c>
      <c r="E168" s="580">
        <f>'8-3.노무산출'!H175</f>
        <v>2</v>
      </c>
      <c r="F168" s="744">
        <f>VLOOKUP(A168,'8-4.일위대가표'!$A$4:$N$723,13,FALSE)</f>
        <v>252964</v>
      </c>
      <c r="G168" s="1521">
        <f t="shared" si="9"/>
        <v>505928</v>
      </c>
      <c r="H168" s="1521"/>
      <c r="I168" s="1521"/>
      <c r="J168" s="405"/>
      <c r="K168" s="22" t="s">
        <v>3021</v>
      </c>
    </row>
    <row r="169" spans="1:11" s="22" customFormat="1" ht="24.95" customHeight="1">
      <c r="A169" s="267" t="str">
        <f>'8-4.일위대가표'!A499</f>
        <v>품5-10</v>
      </c>
      <c r="B169" s="396" t="str">
        <f>VLOOKUP(A169,'8-4.일위대가표'!$A$4:$N$723,2,FALSE)</f>
        <v>지능형전원공급장치 설치</v>
      </c>
      <c r="C169" s="396" t="str">
        <f>VLOOKUP(A169,'8-4.일위대가표'!$A$4:$N$723,3,FALSE)</f>
        <v>부대장치</v>
      </c>
      <c r="D169" s="740" t="str">
        <f>VLOOKUP(A169,'8-4.일위대가표'!$A$4:$N$723,5,FALSE)</f>
        <v>set</v>
      </c>
      <c r="E169" s="580">
        <f>'8-3.노무산출'!H176</f>
        <v>3</v>
      </c>
      <c r="F169" s="744">
        <f>VLOOKUP(A169,'8-4.일위대가표'!$A$4:$N$723,13,FALSE)</f>
        <v>124630</v>
      </c>
      <c r="G169" s="1521">
        <f t="shared" si="9"/>
        <v>373890</v>
      </c>
      <c r="H169" s="1521"/>
      <c r="I169" s="1521"/>
      <c r="J169" s="405"/>
      <c r="K169" s="22" t="s">
        <v>3022</v>
      </c>
    </row>
    <row r="170" spans="1:11" s="1502" customFormat="1" ht="24.95" customHeight="1">
      <c r="A170" s="1535" t="str">
        <f>'8-4.일위대가표'!A503</f>
        <v>품5-11</v>
      </c>
      <c r="B170" s="1526" t="str">
        <f>VLOOKUP(A170,'8-4.일위대가표'!$A$4:$N$723,2,FALSE)</f>
        <v>오토리프트 설치</v>
      </c>
      <c r="C170" s="1526" t="str">
        <f>VLOOKUP(A170,'8-4.일위대가표'!$A$4:$N$723,3,FALSE)</f>
        <v>실내</v>
      </c>
      <c r="D170" s="1536" t="str">
        <f>VLOOKUP(A170,'8-4.일위대가표'!$A$4:$N$723,5,FALSE)</f>
        <v>대</v>
      </c>
      <c r="E170" s="1537">
        <f>'8-3.노무산출'!H177</f>
        <v>69</v>
      </c>
      <c r="F170" s="1538">
        <f>VLOOKUP(A170,'8-4.일위대가표'!$A$4:$N$723,13,FALSE)</f>
        <v>331899</v>
      </c>
      <c r="G170" s="1539">
        <f t="shared" si="9"/>
        <v>22901031</v>
      </c>
      <c r="H170" s="1539">
        <f>F170-'8-4.일위대가표'!M506</f>
        <v>147511</v>
      </c>
      <c r="I170" s="1539">
        <f>H170*E170</f>
        <v>10178259</v>
      </c>
      <c r="J170" s="1540" t="s">
        <v>3238</v>
      </c>
      <c r="K170" s="1502" t="s">
        <v>3023</v>
      </c>
    </row>
    <row r="171" spans="1:11" s="1534" customFormat="1" ht="24.95" customHeight="1">
      <c r="A171" s="267" t="str">
        <f>'8-4.일위대가표'!A510</f>
        <v>품5-11-1</v>
      </c>
      <c r="B171" s="396" t="str">
        <f>VLOOKUP(A171,'8-4.일위대가표'!$A$4:$N$723,2,FALSE)</f>
        <v>오토리프트 설치</v>
      </c>
      <c r="C171" s="396" t="str">
        <f>VLOOKUP(A171,'8-4.일위대가표'!$A$4:$N$723,3,FALSE)</f>
        <v>실외</v>
      </c>
      <c r="D171" s="740" t="str">
        <f>VLOOKUP(A171,'8-4.일위대가표'!$A$4:$N$723,5,FALSE)</f>
        <v>대</v>
      </c>
      <c r="E171" s="580">
        <f>'8-3.노무산출'!H178</f>
        <v>8</v>
      </c>
      <c r="F171" s="744">
        <f>VLOOKUP(A171,'8-4.일위대가표'!$A$4:$N$723,13,FALSE)</f>
        <v>184388</v>
      </c>
      <c r="G171" s="1521">
        <f t="shared" si="9"/>
        <v>1475104</v>
      </c>
      <c r="H171" s="1521"/>
      <c r="I171" s="1521"/>
      <c r="J171" s="406"/>
      <c r="K171" s="1534" t="s">
        <v>3024</v>
      </c>
    </row>
    <row r="172" spans="1:11" s="22" customFormat="1" ht="24.95" customHeight="1">
      <c r="A172" s="267" t="str">
        <f>'8-4.일위대가표'!A513</f>
        <v>품5-12</v>
      </c>
      <c r="B172" s="396" t="str">
        <f>VLOOKUP(A172,'8-4.일위대가표'!$A$4:$N$723,2,FALSE)</f>
        <v>누전보호형 써지보호기</v>
      </c>
      <c r="C172" s="396" t="str">
        <f>VLOOKUP(A172,'8-4.일위대가표'!$A$4:$N$723,3,FALSE)</f>
        <v>전원용</v>
      </c>
      <c r="D172" s="740" t="str">
        <f>VLOOKUP(A172,'8-4.일위대가표'!$A$4:$N$723,5,FALSE)</f>
        <v>개</v>
      </c>
      <c r="E172" s="580">
        <f>'8-3.노무산출'!H179</f>
        <v>128</v>
      </c>
      <c r="F172" s="744">
        <f>VLOOKUP(A172,'8-4.일위대가표'!$A$4:$N$723,13,FALSE)</f>
        <v>47780</v>
      </c>
      <c r="G172" s="1521">
        <f t="shared" si="9"/>
        <v>6115840</v>
      </c>
      <c r="H172" s="1521"/>
      <c r="I172" s="1521"/>
      <c r="J172" s="405"/>
      <c r="K172" s="22" t="s">
        <v>3025</v>
      </c>
    </row>
    <row r="173" spans="1:11" s="22" customFormat="1" ht="24.95" customHeight="1">
      <c r="A173" s="267" t="str">
        <f>'8-4.일위대가표'!A516</f>
        <v>품5-13</v>
      </c>
      <c r="B173" s="396" t="str">
        <f>VLOOKUP(A173,'8-4.일위대가표'!$A$4:$N$723,2,FALSE)</f>
        <v>디지털 경보수신반 설치</v>
      </c>
      <c r="C173" s="396" t="str">
        <f>VLOOKUP(A173,'8-4.일위대가표'!$A$4:$N$723,3,FALSE)</f>
        <v>메인주장치</v>
      </c>
      <c r="D173" s="740" t="str">
        <f>VLOOKUP(A173,'8-4.일위대가표'!$A$4:$N$723,5,FALSE)</f>
        <v>대</v>
      </c>
      <c r="E173" s="580">
        <f>'8-3.노무산출'!H180</f>
        <v>1</v>
      </c>
      <c r="F173" s="744">
        <f>VLOOKUP(A173,'8-4.일위대가표'!$A$4:$N$723,13,FALSE)</f>
        <v>468023</v>
      </c>
      <c r="G173" s="1521">
        <f t="shared" si="9"/>
        <v>468023</v>
      </c>
      <c r="H173" s="1521"/>
      <c r="I173" s="1521"/>
      <c r="J173" s="405"/>
      <c r="K173" s="22" t="s">
        <v>3026</v>
      </c>
    </row>
    <row r="174" spans="1:11" s="1502" customFormat="1" ht="24.95" hidden="1" customHeight="1">
      <c r="A174" s="267" t="str">
        <f>'8-4.일위대가표'!A525</f>
        <v>품5-14</v>
      </c>
      <c r="B174" s="396" t="str">
        <f>VLOOKUP(A174,'8-4.일위대가표'!$A$4:$N$723,2,FALSE)</f>
        <v>주장치 함체설치</v>
      </c>
      <c r="C174" s="396" t="str">
        <f>VLOOKUP(A174,'8-4.일위대가표'!$A$4:$N$723,3,FALSE)</f>
        <v>벽면 400*400*150</v>
      </c>
      <c r="D174" s="740" t="str">
        <f>VLOOKUP(A174,'8-4.일위대가표'!$A$4:$N$723,5,FALSE)</f>
        <v>개</v>
      </c>
      <c r="E174" s="580">
        <f>'8-3.노무산출'!H181</f>
        <v>0</v>
      </c>
      <c r="F174" s="744">
        <f>VLOOKUP(A174,'8-4.일위대가표'!$A$4:$N$723,13,FALSE)</f>
        <v>197094</v>
      </c>
      <c r="G174" s="1521">
        <f t="shared" si="9"/>
        <v>0</v>
      </c>
      <c r="H174" s="1521"/>
      <c r="I174" s="1521"/>
      <c r="J174" s="405"/>
      <c r="K174" s="1502" t="s">
        <v>3027</v>
      </c>
    </row>
    <row r="175" spans="1:11" s="22" customFormat="1" ht="24.95" customHeight="1">
      <c r="A175" s="267" t="str">
        <f>'8-4.일위대가표'!A528</f>
        <v>품5-15</v>
      </c>
      <c r="B175" s="396" t="str">
        <f>VLOOKUP(A175,'8-4.일위대가표'!$A$4:$N$723,2,FALSE)</f>
        <v>카드리더 설치</v>
      </c>
      <c r="C175" s="396" t="str">
        <f>VLOOKUP(A175,'8-4.일위대가표'!$A$4:$N$723,3,FALSE)</f>
        <v>통합형</v>
      </c>
      <c r="D175" s="740" t="str">
        <f>VLOOKUP(A175,'8-4.일위대가표'!$A$4:$N$723,5,FALSE)</f>
        <v>대</v>
      </c>
      <c r="E175" s="580">
        <f>'8-3.노무산출'!H182</f>
        <v>6</v>
      </c>
      <c r="F175" s="744">
        <f>VLOOKUP(A175,'8-4.일위대가표'!$A$4:$N$723,13,FALSE)</f>
        <v>404468</v>
      </c>
      <c r="G175" s="1521">
        <f t="shared" si="9"/>
        <v>2426808</v>
      </c>
      <c r="H175" s="1521"/>
      <c r="I175" s="1521"/>
      <c r="J175" s="405"/>
      <c r="K175" s="22" t="s">
        <v>3028</v>
      </c>
    </row>
    <row r="176" spans="1:11" s="1502" customFormat="1" ht="24.95" hidden="1" customHeight="1">
      <c r="A176" s="267" t="str">
        <f>'8-4.일위대가표'!A531</f>
        <v>품5-16</v>
      </c>
      <c r="B176" s="396" t="str">
        <f>VLOOKUP(A176,'8-4.일위대가표'!$A$4:$N$723,2,FALSE)</f>
        <v>카드리더 함체설치</v>
      </c>
      <c r="C176" s="396" t="str">
        <f>VLOOKUP(A176,'8-4.일위대가표'!$A$4:$N$723,3,FALSE)</f>
        <v>400*400*150</v>
      </c>
      <c r="D176" s="740" t="str">
        <f>VLOOKUP(A176,'8-4.일위대가표'!$A$4:$N$723,5,FALSE)</f>
        <v>개</v>
      </c>
      <c r="E176" s="580">
        <f>'8-3.노무산출'!H183</f>
        <v>0</v>
      </c>
      <c r="F176" s="744">
        <f>VLOOKUP(A176,'8-4.일위대가표'!$A$4:$N$723,13,FALSE)</f>
        <v>197094</v>
      </c>
      <c r="G176" s="1521">
        <f t="shared" si="9"/>
        <v>0</v>
      </c>
      <c r="H176" s="1521"/>
      <c r="I176" s="1521"/>
      <c r="J176" s="405"/>
      <c r="K176" s="1502" t="s">
        <v>3029</v>
      </c>
    </row>
    <row r="177" spans="1:11" s="22" customFormat="1" ht="24.95" hidden="1" customHeight="1">
      <c r="A177" s="267" t="str">
        <f>'8-4.일위대가표'!A534</f>
        <v>품5-17</v>
      </c>
      <c r="B177" s="396" t="str">
        <f>VLOOKUP(A177,'8-4.일위대가표'!$A$4:$N$723,2,FALSE)</f>
        <v>EM Lock 설치</v>
      </c>
      <c r="C177" s="396" t="str">
        <f>VLOOKUP(A177,'8-4.일위대가표'!$A$4:$N$723,3,FALSE)</f>
        <v>통합형, EM LOCK</v>
      </c>
      <c r="D177" s="740" t="str">
        <f>VLOOKUP(A177,'8-4.일위대가표'!$A$4:$N$723,5,FALSE)</f>
        <v>대</v>
      </c>
      <c r="E177" s="580">
        <f>'8-3.노무산출'!H184</f>
        <v>0</v>
      </c>
      <c r="F177" s="744">
        <f>VLOOKUP(A177,'8-4.일위대가표'!$A$4:$N$723,13,FALSE)</f>
        <v>318270</v>
      </c>
      <c r="G177" s="1521">
        <f t="shared" si="9"/>
        <v>0</v>
      </c>
      <c r="H177" s="1521"/>
      <c r="I177" s="1521"/>
      <c r="J177" s="405"/>
      <c r="K177" s="22" t="s">
        <v>3092</v>
      </c>
    </row>
    <row r="178" spans="1:11" s="22" customFormat="1" ht="24.95" hidden="1" customHeight="1">
      <c r="A178" s="267" t="str">
        <f>'8-4.일위대가표'!A537</f>
        <v>품5-18</v>
      </c>
      <c r="B178" s="396" t="str">
        <f>VLOOKUP(A178,'8-4.일위대가표'!$A$4:$N$723,2,FALSE)</f>
        <v>출구버튼 설치</v>
      </c>
      <c r="C178" s="396">
        <f>VLOOKUP(A178,'8-4.일위대가표'!$A$4:$N$723,3,FALSE)</f>
        <v>0</v>
      </c>
      <c r="D178" s="740" t="str">
        <f>VLOOKUP(A178,'8-4.일위대가표'!$A$4:$N$723,5,FALSE)</f>
        <v>개</v>
      </c>
      <c r="E178" s="580">
        <f>'8-3.노무산출'!H185</f>
        <v>0</v>
      </c>
      <c r="F178" s="744">
        <f>VLOOKUP(A178,'8-4.일위대가표'!$A$4:$N$723,13,FALSE)</f>
        <v>278486</v>
      </c>
      <c r="G178" s="1521">
        <f t="shared" si="9"/>
        <v>0</v>
      </c>
      <c r="H178" s="1521"/>
      <c r="I178" s="1521"/>
      <c r="J178" s="405"/>
      <c r="K178" s="22" t="s">
        <v>3030</v>
      </c>
    </row>
    <row r="179" spans="1:11" s="1502" customFormat="1" ht="24.95" hidden="1" customHeight="1">
      <c r="A179" s="267" t="str">
        <f>'8-4.일위대가표'!A540</f>
        <v>품5-19</v>
      </c>
      <c r="B179" s="396" t="str">
        <f>VLOOKUP(A179,'8-4.일위대가표'!$A$4:$N$723,2,FALSE)</f>
        <v>신호전송기 설치</v>
      </c>
      <c r="C179" s="396" t="str">
        <f>VLOOKUP(A179,'8-4.일위대가표'!$A$4:$N$723,3,FALSE)</f>
        <v>4i-node</v>
      </c>
      <c r="D179" s="740" t="str">
        <f>VLOOKUP(A179,'8-4.일위대가표'!$A$4:$N$723,5,FALSE)</f>
        <v>대</v>
      </c>
      <c r="E179" s="580">
        <f>'8-3.노무산출'!H186</f>
        <v>0</v>
      </c>
      <c r="F179" s="744">
        <f>VLOOKUP(A179,'8-4.일위대가표'!$A$4:$N$723,13,FALSE)</f>
        <v>79566</v>
      </c>
      <c r="G179" s="1521">
        <f t="shared" si="9"/>
        <v>0</v>
      </c>
      <c r="H179" s="1521"/>
      <c r="I179" s="1521"/>
      <c r="J179" s="405"/>
      <c r="K179" s="1502" t="s">
        <v>3031</v>
      </c>
    </row>
    <row r="180" spans="1:11" s="1502" customFormat="1" ht="24.95" hidden="1" customHeight="1">
      <c r="A180" s="267" t="str">
        <f>'8-4.일위대가표'!A543</f>
        <v>품5-20</v>
      </c>
      <c r="B180" s="396" t="str">
        <f>VLOOKUP(A180,'8-4.일위대가표'!$A$4:$N$723,2,FALSE)</f>
        <v>열선감지기 설치</v>
      </c>
      <c r="C180" s="396" t="str">
        <f>VLOOKUP(A180,'8-4.일위대가표'!$A$4:$N$723,3,FALSE)</f>
        <v>일반형,자가진단형</v>
      </c>
      <c r="D180" s="740" t="str">
        <f>VLOOKUP(A180,'8-4.일위대가표'!$A$4:$N$723,5,FALSE)</f>
        <v>개</v>
      </c>
      <c r="E180" s="580">
        <f>'8-3.노무산출'!H187</f>
        <v>0</v>
      </c>
      <c r="F180" s="744">
        <f>VLOOKUP(A180,'8-4.일위대가표'!$A$4:$N$723,13,FALSE)</f>
        <v>19335</v>
      </c>
      <c r="G180" s="1521">
        <f t="shared" si="9"/>
        <v>0</v>
      </c>
      <c r="H180" s="1521"/>
      <c r="I180" s="1521"/>
      <c r="J180" s="405"/>
      <c r="K180" s="1502" t="s">
        <v>3032</v>
      </c>
    </row>
    <row r="181" spans="1:11" s="1502" customFormat="1" ht="24.95" hidden="1" customHeight="1">
      <c r="A181" s="267" t="str">
        <f>'8-4.일위대가표'!A545</f>
        <v>품5-21</v>
      </c>
      <c r="B181" s="396" t="str">
        <f>VLOOKUP(A181,'8-4.일위대가표'!$A$4:$N$723,2,FALSE)</f>
        <v>자석감지기 설치</v>
      </c>
      <c r="C181" s="396" t="str">
        <f>VLOOKUP(A181,'8-4.일위대가표'!$A$4:$N$723,3,FALSE)</f>
        <v>일반형,자가진단형</v>
      </c>
      <c r="D181" s="740" t="str">
        <f>VLOOKUP(A181,'8-4.일위대가표'!$A$4:$N$723,5,FALSE)</f>
        <v>개</v>
      </c>
      <c r="E181" s="580">
        <f>'8-3.노무산출'!H188</f>
        <v>0</v>
      </c>
      <c r="F181" s="744">
        <f>VLOOKUP(A181,'8-4.일위대가표'!$A$4:$N$723,13,FALSE)</f>
        <v>19335</v>
      </c>
      <c r="G181" s="1521">
        <f t="shared" si="9"/>
        <v>0</v>
      </c>
      <c r="H181" s="1521"/>
      <c r="I181" s="1521"/>
      <c r="J181" s="405"/>
      <c r="K181" s="1502" t="s">
        <v>3033</v>
      </c>
    </row>
    <row r="182" spans="1:11" s="1502" customFormat="1" ht="24.95" hidden="1" customHeight="1">
      <c r="A182" s="267" t="str">
        <f>'8-4.일위대가표'!A547</f>
        <v>품5-22</v>
      </c>
      <c r="B182" s="396" t="str">
        <f>VLOOKUP(A182,'8-4.일위대가표'!$A$4:$N$723,2,FALSE)</f>
        <v>셔터감지기 설치</v>
      </c>
      <c r="C182" s="396" t="str">
        <f>VLOOKUP(A182,'8-4.일위대가표'!$A$4:$N$723,3,FALSE)</f>
        <v>일반형,자가진단형</v>
      </c>
      <c r="D182" s="740" t="str">
        <f>VLOOKUP(A182,'8-4.일위대가표'!$A$4:$N$723,5,FALSE)</f>
        <v>개</v>
      </c>
      <c r="E182" s="580">
        <f>'8-3.노무산출'!H189</f>
        <v>0</v>
      </c>
      <c r="F182" s="744">
        <f>VLOOKUP(A182,'8-4.일위대가표'!$A$4:$N$723,13,FALSE)</f>
        <v>24859</v>
      </c>
      <c r="G182" s="1521">
        <f t="shared" si="9"/>
        <v>0</v>
      </c>
      <c r="H182" s="1521"/>
      <c r="I182" s="1521"/>
      <c r="J182" s="405"/>
      <c r="K182" s="1502" t="s">
        <v>3034</v>
      </c>
    </row>
    <row r="183" spans="1:11" s="1502" customFormat="1" ht="24.95" hidden="1" customHeight="1">
      <c r="A183" s="267" t="str">
        <f>'8-4.일위대가표'!A549</f>
        <v>품5-23</v>
      </c>
      <c r="B183" s="396" t="str">
        <f>VLOOKUP(A183,'8-4.일위대가표'!$A$4:$N$723,2,FALSE)</f>
        <v>마이크로웨이브 감지기 설치</v>
      </c>
      <c r="C183" s="396">
        <f>VLOOKUP(A183,'8-4.일위대가표'!$A$4:$N$723,3,FALSE)</f>
        <v>0</v>
      </c>
      <c r="D183" s="740" t="str">
        <f>VLOOKUP(A183,'8-4.일위대가표'!$A$4:$N$723,5,FALSE)</f>
        <v>조</v>
      </c>
      <c r="E183" s="580">
        <f>'8-3.노무산출'!H190</f>
        <v>0</v>
      </c>
      <c r="F183" s="744">
        <f>VLOOKUP(A183,'8-4.일위대가표'!$A$4:$N$723,13,FALSE)</f>
        <v>38670</v>
      </c>
      <c r="G183" s="1521">
        <f t="shared" si="9"/>
        <v>0</v>
      </c>
      <c r="H183" s="1521"/>
      <c r="I183" s="1521"/>
      <c r="J183" s="405"/>
      <c r="K183" s="1502" t="s">
        <v>3035</v>
      </c>
    </row>
    <row r="184" spans="1:11" s="22" customFormat="1" ht="24.95" customHeight="1">
      <c r="A184" s="267" t="str">
        <f>'8-4.일위대가표'!A551</f>
        <v>품5-24</v>
      </c>
      <c r="B184" s="396" t="str">
        <f>VLOOKUP(A184,'8-4.일위대가표'!$A$4:$N$723,2,FALSE)</f>
        <v>광이더넷 스위치 설치</v>
      </c>
      <c r="C184" s="396" t="str">
        <f>VLOOKUP(A184,'8-4.일위대가표'!$A$4:$N$723,3,FALSE)</f>
        <v>인텔리전트 허브</v>
      </c>
      <c r="D184" s="740" t="str">
        <f>VLOOKUP(A184,'8-4.일위대가표'!$A$4:$N$723,5,FALSE)</f>
        <v>대</v>
      </c>
      <c r="E184" s="580">
        <f>'8-3.노무산출'!H191</f>
        <v>1</v>
      </c>
      <c r="F184" s="744">
        <f>VLOOKUP(A184,'8-4.일위대가표'!$A$4:$N$723,13,FALSE)</f>
        <v>216182</v>
      </c>
      <c r="G184" s="1521">
        <f t="shared" si="9"/>
        <v>216182</v>
      </c>
      <c r="H184" s="1521"/>
      <c r="I184" s="1521"/>
      <c r="J184" s="405"/>
      <c r="K184" s="22" t="s">
        <v>3036</v>
      </c>
    </row>
    <row r="185" spans="1:11" s="22" customFormat="1" ht="24.95" customHeight="1">
      <c r="A185" s="267" t="str">
        <f>'8-4.일위대가표'!A554</f>
        <v>품5-24-1</v>
      </c>
      <c r="B185" s="396" t="str">
        <f>VLOOKUP(A185,'8-4.일위대가표'!$A$4:$N$723,2,FALSE)</f>
        <v>광이더넷 스위치 설치</v>
      </c>
      <c r="C185" s="396" t="str">
        <f>VLOOKUP(A185,'8-4.일위대가표'!$A$4:$N$723,3,FALSE)</f>
        <v>Dummy</v>
      </c>
      <c r="D185" s="740" t="str">
        <f>VLOOKUP(A185,'8-4.일위대가표'!$A$4:$N$723,5,FALSE)</f>
        <v>대</v>
      </c>
      <c r="E185" s="580">
        <f>'8-3.노무산출'!H192</f>
        <v>39</v>
      </c>
      <c r="F185" s="744">
        <f>VLOOKUP(A185,'8-4.일위대가표'!$A$4:$N$723,13,FALSE)</f>
        <v>66023</v>
      </c>
      <c r="G185" s="1521">
        <f t="shared" si="9"/>
        <v>2574897</v>
      </c>
      <c r="H185" s="1521"/>
      <c r="I185" s="1521"/>
      <c r="J185" s="405"/>
      <c r="K185" s="22" t="s">
        <v>3037</v>
      </c>
    </row>
    <row r="186" spans="1:11" s="22" customFormat="1" ht="24.95" customHeight="1">
      <c r="A186" s="267" t="str">
        <f>'8-4.일위대가표'!A557</f>
        <v>품5-25</v>
      </c>
      <c r="B186" s="396" t="str">
        <f>VLOOKUP(A186,'8-4.일위대가표'!$A$4:$N$723,2,FALSE)</f>
        <v>보조전원장치 설치</v>
      </c>
      <c r="C186" s="396" t="str">
        <f>VLOOKUP(A186,'8-4.일위대가표'!$A$4:$N$723,3,FALSE)</f>
        <v>220VAC/12VDC 3A</v>
      </c>
      <c r="D186" s="740" t="str">
        <f>VLOOKUP(A186,'8-4.일위대가표'!$A$4:$N$723,5,FALSE)</f>
        <v>개</v>
      </c>
      <c r="E186" s="580">
        <f>'8-3.노무산출'!H193</f>
        <v>39</v>
      </c>
      <c r="F186" s="744">
        <f>VLOOKUP(A186,'8-4.일위대가표'!$A$4:$N$723,13,FALSE)</f>
        <v>100062</v>
      </c>
      <c r="G186" s="1521">
        <f t="shared" si="9"/>
        <v>3902418</v>
      </c>
      <c r="H186" s="1521"/>
      <c r="I186" s="1521"/>
      <c r="J186" s="405"/>
      <c r="K186" s="22" t="s">
        <v>3038</v>
      </c>
    </row>
    <row r="187" spans="1:11" s="1502" customFormat="1" ht="24.95" customHeight="1">
      <c r="A187" s="267" t="str">
        <f>'8-4.일위대가표'!A560</f>
        <v>품5-26</v>
      </c>
      <c r="B187" s="396" t="str">
        <f>VLOOKUP(A187,'8-4.일위대가표'!$A$4:$N$723,2,FALSE)</f>
        <v>스피커설치(옥내,옥외)</v>
      </c>
      <c r="C187" s="396" t="str">
        <f>VLOOKUP(A187,'8-4.일위대가표'!$A$4:$N$723,3,FALSE)</f>
        <v>30W 이하</v>
      </c>
      <c r="D187" s="740" t="str">
        <f>VLOOKUP(A187,'8-4.일위대가표'!$A$4:$N$723,5,FALSE)</f>
        <v>대</v>
      </c>
      <c r="E187" s="580">
        <f>'8-3.노무산출'!H194</f>
        <v>8</v>
      </c>
      <c r="F187" s="744">
        <f>VLOOKUP(A187,'8-4.일위대가표'!$A$4:$N$723,13,FALSE)</f>
        <v>53033</v>
      </c>
      <c r="G187" s="1521">
        <f t="shared" si="9"/>
        <v>424264</v>
      </c>
      <c r="H187" s="1521"/>
      <c r="I187" s="1521"/>
      <c r="J187" s="406"/>
      <c r="K187" s="1502" t="s">
        <v>3039</v>
      </c>
    </row>
    <row r="188" spans="1:11" s="1502" customFormat="1" ht="24.95" hidden="1" customHeight="1">
      <c r="A188" s="267" t="str">
        <f>'8-4.일위대가표'!A562</f>
        <v>품5-27</v>
      </c>
      <c r="B188" s="396" t="str">
        <f>VLOOKUP(A188,'8-4.일위대가표'!$A$4:$N$723,2,FALSE)</f>
        <v>브라켓설치</v>
      </c>
      <c r="C188" s="396" t="str">
        <f>VLOOKUP(A188,'8-4.일위대가표'!$A$4:$N$723,3,FALSE)</f>
        <v>일반형</v>
      </c>
      <c r="D188" s="740" t="str">
        <f>VLOOKUP(A188,'8-4.일위대가표'!$A$4:$N$723,5,FALSE)</f>
        <v>대</v>
      </c>
      <c r="E188" s="580">
        <f>'8-3.노무산출'!H195</f>
        <v>0</v>
      </c>
      <c r="F188" s="744">
        <f>VLOOKUP(A188,'8-4.일위대가표'!$A$4:$N$723,13,FALSE)</f>
        <v>98047</v>
      </c>
      <c r="G188" s="1521">
        <f t="shared" si="9"/>
        <v>0</v>
      </c>
      <c r="H188" s="1521"/>
      <c r="I188" s="1521"/>
      <c r="J188" s="405"/>
      <c r="K188" s="1502" t="s">
        <v>3094</v>
      </c>
    </row>
    <row r="189" spans="1:11" s="1502" customFormat="1" ht="24.95" hidden="1" customHeight="1">
      <c r="A189" s="267" t="str">
        <f>'8-4.일위대가표'!A565</f>
        <v>품27-1</v>
      </c>
      <c r="B189" s="396" t="str">
        <f>VLOOKUP(A189,'8-4.일위대가표'!$A$4:$N$723,2,FALSE)</f>
        <v>브라켓설치</v>
      </c>
      <c r="C189" s="396" t="str">
        <f>VLOOKUP(A189,'8-4.일위대가표'!$A$4:$N$723,3,FALSE)</f>
        <v>천정형</v>
      </c>
      <c r="D189" s="740" t="str">
        <f>VLOOKUP(A189,'8-4.일위대가표'!$A$4:$N$723,5,FALSE)</f>
        <v>대</v>
      </c>
      <c r="E189" s="580">
        <f>'8-3.노무산출'!H196</f>
        <v>0</v>
      </c>
      <c r="F189" s="744">
        <f>VLOOKUP(A189,'8-4.일위대가표'!$A$4:$N$723,13,FALSE)</f>
        <v>132151</v>
      </c>
      <c r="G189" s="1521">
        <f t="shared" si="9"/>
        <v>0</v>
      </c>
      <c r="H189" s="1521"/>
      <c r="I189" s="1521"/>
      <c r="J189" s="405"/>
      <c r="K189" s="1502" t="s">
        <v>3096</v>
      </c>
    </row>
    <row r="190" spans="1:11" s="1502" customFormat="1" ht="24.95" hidden="1" customHeight="1">
      <c r="A190" s="267" t="str">
        <f>'8-4.일위대가표'!A568</f>
        <v>품5-28</v>
      </c>
      <c r="B190" s="396" t="str">
        <f>VLOOKUP(A190,'8-4.일위대가표'!$A$4:$N$723,2,FALSE)</f>
        <v>영상처리장치함체 설치</v>
      </c>
      <c r="C190" s="396" t="str">
        <f>VLOOKUP(A190,'8-4.일위대가표'!$A$4:$N$723,3,FALSE)</f>
        <v>벽면 450*550*200</v>
      </c>
      <c r="D190" s="740" t="str">
        <f>VLOOKUP(A190,'8-4.일위대가표'!$A$4:$N$723,5,FALSE)</f>
        <v>개</v>
      </c>
      <c r="E190" s="580">
        <f>'8-3.노무산출'!H197</f>
        <v>0</v>
      </c>
      <c r="F190" s="744">
        <f>VLOOKUP(A190,'8-4.일위대가표'!$A$4:$N$723,13,FALSE)</f>
        <v>335106</v>
      </c>
      <c r="G190" s="1521">
        <f t="shared" si="9"/>
        <v>0</v>
      </c>
      <c r="H190" s="1521"/>
      <c r="I190" s="1521"/>
      <c r="J190" s="405"/>
      <c r="K190" s="1502" t="s">
        <v>3040</v>
      </c>
    </row>
    <row r="191" spans="1:11" s="1502" customFormat="1" ht="24.95" customHeight="1">
      <c r="A191" s="267" t="str">
        <f>'8-4.일위대가표'!A571</f>
        <v>품5-29</v>
      </c>
      <c r="B191" s="396" t="str">
        <f>VLOOKUP(A191,'8-4.일위대가표'!$A$4:$N$723,2,FALSE)</f>
        <v>카메라폴설치</v>
      </c>
      <c r="C191" s="396" t="str">
        <f>VLOOKUP(A191,'8-4.일위대가표'!$A$4:$N$723,3,FALSE)</f>
        <v>6m이하, 작업대 포함</v>
      </c>
      <c r="D191" s="740" t="str">
        <f>VLOOKUP(A191,'8-4.일위대가표'!$A$4:$N$723,5,FALSE)</f>
        <v>본</v>
      </c>
      <c r="E191" s="580">
        <f>'8-3.노무산출'!H198</f>
        <v>8</v>
      </c>
      <c r="F191" s="744">
        <f>VLOOKUP(A191,'8-4.일위대가표'!$A$4:$N$723,13,FALSE)</f>
        <v>645174</v>
      </c>
      <c r="G191" s="1521">
        <f t="shared" si="9"/>
        <v>5161392</v>
      </c>
      <c r="H191" s="1521"/>
      <c r="I191" s="1521"/>
      <c r="J191" s="406"/>
      <c r="K191" s="1502" t="s">
        <v>3041</v>
      </c>
    </row>
    <row r="192" spans="1:11" s="1502" customFormat="1" ht="24.95" customHeight="1">
      <c r="A192" s="267" t="str">
        <f>'8-4.일위대가표'!A576</f>
        <v>픔5-29-1</v>
      </c>
      <c r="B192" s="396" t="str">
        <f>VLOOKUP(A192,'8-4.일위대가표'!$A$4:$N$723,2,FALSE)</f>
        <v>카메라폴설치</v>
      </c>
      <c r="C192" s="396" t="str">
        <f>VLOOKUP(A192,'8-4.일위대가표'!$A$4:$N$723,3,FALSE)</f>
        <v>3m 이하, 작업대 제외</v>
      </c>
      <c r="D192" s="740" t="str">
        <f>VLOOKUP(A192,'8-4.일위대가표'!$A$4:$N$723,5,FALSE)</f>
        <v>본</v>
      </c>
      <c r="E192" s="580">
        <f>'8-3.노무산출'!H199</f>
        <v>4</v>
      </c>
      <c r="F192" s="744">
        <f>VLOOKUP(A192,'8-4.일위대가표'!$A$4:$N$723,13,FALSE)</f>
        <v>187698</v>
      </c>
      <c r="G192" s="1521">
        <f t="shared" si="9"/>
        <v>750792</v>
      </c>
      <c r="H192" s="1521"/>
      <c r="I192" s="1521"/>
      <c r="J192" s="405"/>
      <c r="K192" s="1502" t="s">
        <v>3109</v>
      </c>
    </row>
    <row r="193" spans="1:11" s="1502" customFormat="1" ht="24.95" hidden="1" customHeight="1">
      <c r="A193" s="267" t="str">
        <f>'8-4.일위대가표'!A579</f>
        <v>품5-30</v>
      </c>
      <c r="B193" s="396" t="str">
        <f>VLOOKUP(A193,'8-4.일위대가표'!$A$4:$N$723,2,FALSE)</f>
        <v>광전송장치 함체 설치</v>
      </c>
      <c r="C193" s="396" t="str">
        <f>VLOOKUP(A193,'8-4.일위대가표'!$A$4:$N$723,3,FALSE)</f>
        <v>벽면 450*550*200</v>
      </c>
      <c r="D193" s="740" t="str">
        <f>VLOOKUP(A193,'8-4.일위대가표'!$A$4:$N$723,5,FALSE)</f>
        <v>개</v>
      </c>
      <c r="E193" s="580">
        <f>'8-3.노무산출'!H200</f>
        <v>0</v>
      </c>
      <c r="F193" s="744">
        <f>VLOOKUP(A193,'8-4.일위대가표'!$A$4:$N$723,13,FALSE)</f>
        <v>335106</v>
      </c>
      <c r="G193" s="1521">
        <f t="shared" si="9"/>
        <v>0</v>
      </c>
      <c r="H193" s="1521"/>
      <c r="I193" s="1521"/>
      <c r="J193" s="405"/>
      <c r="K193" s="1502" t="s">
        <v>3042</v>
      </c>
    </row>
    <row r="194" spans="1:11" s="22" customFormat="1" ht="24.95" customHeight="1">
      <c r="A194" s="267" t="str">
        <f>'8-4.일위대가표'!A582</f>
        <v>품5-31</v>
      </c>
      <c r="B194" s="396" t="str">
        <f>VLOOKUP(A194,'8-4.일위대가표'!$A$4:$N$723,2,FALSE)</f>
        <v>광심선분배함 설치</v>
      </c>
      <c r="C194" s="396" t="str">
        <f>VLOOKUP(A194,'8-4.일위대가표'!$A$4:$N$723,3,FALSE)</f>
        <v>8포트</v>
      </c>
      <c r="D194" s="740" t="str">
        <f>VLOOKUP(A194,'8-4.일위대가표'!$A$4:$N$723,5,FALSE)</f>
        <v>개</v>
      </c>
      <c r="E194" s="580">
        <f>'8-3.노무산출'!H201</f>
        <v>40</v>
      </c>
      <c r="F194" s="744">
        <f>VLOOKUP(A194,'8-4.일위대가표'!$A$4:$N$723,13,FALSE)</f>
        <v>38366</v>
      </c>
      <c r="G194" s="1521">
        <f t="shared" si="9"/>
        <v>1534640</v>
      </c>
      <c r="H194" s="1521"/>
      <c r="I194" s="1521"/>
      <c r="J194" s="405"/>
      <c r="K194" s="22" t="s">
        <v>3043</v>
      </c>
    </row>
    <row r="195" spans="1:11" s="22" customFormat="1" ht="24.95" customHeight="1">
      <c r="A195" s="267" t="str">
        <f>'8-4.일위대가표'!A585</f>
        <v>품5-32</v>
      </c>
      <c r="B195" s="396" t="str">
        <f>VLOOKUP(A195,'8-4.일위대가표'!$A$4:$N$723,2,FALSE)</f>
        <v>광점퍼코드포설</v>
      </c>
      <c r="C195" s="396" t="str">
        <f>VLOOKUP(A195,'8-4.일위대가표'!$A$4:$N$723,3,FALSE)</f>
        <v>1 CORE용</v>
      </c>
      <c r="D195" s="740" t="str">
        <f>VLOOKUP(A195,'8-4.일위대가표'!$A$4:$N$723,5,FALSE)</f>
        <v>m</v>
      </c>
      <c r="E195" s="580">
        <f>'8-3.노무산출'!H202</f>
        <v>156</v>
      </c>
      <c r="F195" s="744">
        <f>VLOOKUP(A195,'8-4.일위대가표'!$A$4:$N$723,13,FALSE)</f>
        <v>4916</v>
      </c>
      <c r="G195" s="1521">
        <f t="shared" si="9"/>
        <v>766896</v>
      </c>
      <c r="H195" s="1521"/>
      <c r="I195" s="1521"/>
      <c r="J195" s="405"/>
      <c r="K195" s="22" t="s">
        <v>3044</v>
      </c>
    </row>
    <row r="196" spans="1:11" s="22" customFormat="1" ht="24.95" customHeight="1">
      <c r="A196" s="267" t="str">
        <f>'8-4.일위대가표'!A588</f>
        <v>품5-33</v>
      </c>
      <c r="B196" s="396" t="str">
        <f>VLOOKUP(A196,'8-4.일위대가표'!$A$4:$N$723,2,FALSE)</f>
        <v>광케이블 코어성단</v>
      </c>
      <c r="C196" s="396" t="str">
        <f>VLOOKUP(A196,'8-4.일위대가표'!$A$4:$N$723,3,FALSE)</f>
        <v>멀티모드</v>
      </c>
      <c r="D196" s="740" t="str">
        <f>VLOOKUP(A196,'8-4.일위대가표'!$A$4:$N$723,5,FALSE)</f>
        <v>코아</v>
      </c>
      <c r="E196" s="580">
        <f>'8-3.노무산출'!H203</f>
        <v>312</v>
      </c>
      <c r="F196" s="744">
        <f>VLOOKUP(A196,'8-4.일위대가표'!$A$4:$N$723,13,FALSE)</f>
        <v>34470</v>
      </c>
      <c r="G196" s="1521">
        <f t="shared" si="9"/>
        <v>10754640</v>
      </c>
      <c r="H196" s="1521"/>
      <c r="I196" s="1521"/>
      <c r="J196" s="405"/>
      <c r="K196" s="22" t="s">
        <v>3045</v>
      </c>
    </row>
    <row r="197" spans="1:11" s="22" customFormat="1" ht="24.95" customHeight="1">
      <c r="A197" s="267" t="str">
        <f>'8-4.일위대가표'!A591</f>
        <v>품5-34</v>
      </c>
      <c r="B197" s="396" t="str">
        <f>VLOOKUP(A197,'8-4.일위대가표'!$A$4:$N$723,2,FALSE)</f>
        <v>광케이블 시험</v>
      </c>
      <c r="C197" s="396" t="str">
        <f>VLOOKUP(A197,'8-4.일위대가표'!$A$4:$N$723,3,FALSE)</f>
        <v>멀티모드, 시험</v>
      </c>
      <c r="D197" s="740" t="str">
        <f>VLOOKUP(A197,'8-4.일위대가표'!$A$4:$N$723,5,FALSE)</f>
        <v>코아</v>
      </c>
      <c r="E197" s="580">
        <f>'8-3.노무산출'!H204</f>
        <v>160</v>
      </c>
      <c r="F197" s="744">
        <f>VLOOKUP(A197,'8-4.일위대가표'!$A$4:$N$723,13,FALSE)</f>
        <v>24456</v>
      </c>
      <c r="G197" s="1521">
        <f t="shared" si="9"/>
        <v>3912960</v>
      </c>
      <c r="H197" s="1521"/>
      <c r="I197" s="1521"/>
      <c r="J197" s="405"/>
      <c r="K197" s="22" t="s">
        <v>3046</v>
      </c>
    </row>
    <row r="198" spans="1:11" s="22" customFormat="1" ht="24.95" customHeight="1">
      <c r="A198" s="267" t="str">
        <f>'8-4.일위대가표'!A594</f>
        <v>품5-35</v>
      </c>
      <c r="B198" s="396" t="str">
        <f>VLOOKUP(A198,'8-4.일위대가표'!$A$4:$N$723,2,FALSE)</f>
        <v>광섬유케이블 포설</v>
      </c>
      <c r="C198" s="396" t="str">
        <f>VLOOKUP(A198,'8-4.일위대가표'!$A$4:$N$723,3,FALSE)</f>
        <v>12코아 이하</v>
      </c>
      <c r="D198" s="740" t="str">
        <f>VLOOKUP(A198,'8-4.일위대가표'!$A$4:$N$723,5,FALSE)</f>
        <v>m</v>
      </c>
      <c r="E198" s="580">
        <f>'8-3.노무산출'!H205</f>
        <v>2466.3000000000002</v>
      </c>
      <c r="F198" s="744">
        <f>VLOOKUP(A198,'8-4.일위대가표'!$A$4:$N$723,13,FALSE)</f>
        <v>4681</v>
      </c>
      <c r="G198" s="1521">
        <f t="shared" si="9"/>
        <v>11544750.300000001</v>
      </c>
      <c r="H198" s="1521"/>
      <c r="I198" s="1521"/>
      <c r="J198" s="405"/>
      <c r="K198" s="22" t="s">
        <v>3047</v>
      </c>
    </row>
    <row r="199" spans="1:11" s="1534" customFormat="1" ht="24.95" customHeight="1">
      <c r="A199" s="1535" t="str">
        <f>'8-4.일위대가표'!A597</f>
        <v>품5-36</v>
      </c>
      <c r="B199" s="1526" t="str">
        <f>VLOOKUP(A199,'8-4.일위대가표'!$A$4:$N$723,2,FALSE)</f>
        <v>전원케이블 포설</v>
      </c>
      <c r="C199" s="1526" t="str">
        <f>VLOOKUP(A199,'8-4.일위대가표'!$A$4:$N$723,3,FALSE)</f>
        <v>FR-CVVS 16SQ-2C</v>
      </c>
      <c r="D199" s="1536" t="str">
        <f>VLOOKUP(A199,'8-4.일위대가표'!$A$4:$N$723,5,FALSE)</f>
        <v>m</v>
      </c>
      <c r="E199" s="1537">
        <f>'8-3.노무산출'!H206</f>
        <v>19.5</v>
      </c>
      <c r="F199" s="1538">
        <f>VLOOKUP(A199,'8-4.일위대가표'!$A$4:$N$723,13,FALSE)</f>
        <v>14947</v>
      </c>
      <c r="G199" s="1539">
        <f t="shared" si="9"/>
        <v>291466.5</v>
      </c>
      <c r="H199" s="1539">
        <f>F199-'8-4.일위대가표'!M599</f>
        <v>2491</v>
      </c>
      <c r="I199" s="1539">
        <f t="shared" ref="I199:I201" si="11">E199*H199</f>
        <v>48574.5</v>
      </c>
      <c r="J199" s="1540" t="s">
        <v>2594</v>
      </c>
      <c r="K199" s="1534" t="s">
        <v>3048</v>
      </c>
    </row>
    <row r="200" spans="1:11" s="1534" customFormat="1" ht="24.95" customHeight="1">
      <c r="A200" s="1535" t="str">
        <f>'8-4.일위대가표'!A601</f>
        <v>품5-37</v>
      </c>
      <c r="B200" s="1526" t="str">
        <f>VLOOKUP(A200,'8-4.일위대가표'!$A$4:$N$723,2,FALSE)</f>
        <v>전원케이블 포설</v>
      </c>
      <c r="C200" s="1526" t="str">
        <f>VLOOKUP(A200,'8-4.일위대가표'!$A$4:$N$723,3,FALSE)</f>
        <v>FR-CVVS 2.5SQ-2C,1열 포설</v>
      </c>
      <c r="D200" s="1536" t="str">
        <f>VLOOKUP(A200,'8-4.일위대가표'!$A$4:$N$723,5,FALSE)</f>
        <v>m</v>
      </c>
      <c r="E200" s="1537">
        <f>'8-3.노무산출'!H207</f>
        <v>4035.3999999999978</v>
      </c>
      <c r="F200" s="1538">
        <f>VLOOKUP(A200,'8-4.일위대가표'!$A$4:$N$723,13,FALSE)</f>
        <v>6499</v>
      </c>
      <c r="G200" s="1539">
        <f t="shared" si="9"/>
        <v>26226064.599999987</v>
      </c>
      <c r="H200" s="1539">
        <f>F200-'8-4.일위대가표'!M603</f>
        <v>1084</v>
      </c>
      <c r="I200" s="1539">
        <f t="shared" si="11"/>
        <v>4374373.5999999978</v>
      </c>
      <c r="J200" s="1540" t="s">
        <v>2594</v>
      </c>
      <c r="K200" s="1534" t="s">
        <v>3098</v>
      </c>
    </row>
    <row r="201" spans="1:11" s="1534" customFormat="1" ht="24.95" customHeight="1">
      <c r="A201" s="1535" t="str">
        <f>'8-4.일위대가표'!A605</f>
        <v>품5-37-1</v>
      </c>
      <c r="B201" s="1526" t="str">
        <f>VLOOKUP(A201,'8-4.일위대가표'!$A$4:$N$723,2,FALSE)</f>
        <v>전원케이블 포설</v>
      </c>
      <c r="C201" s="1526" t="str">
        <f>VLOOKUP(A201,'8-4.일위대가표'!$A$4:$N$723,3,FALSE)</f>
        <v>FR-CVVS 2.5SQ-2C,2열 동시</v>
      </c>
      <c r="D201" s="1536" t="str">
        <f>VLOOKUP(A201,'8-4.일위대가표'!$A$4:$N$723,5,FALSE)</f>
        <v>m</v>
      </c>
      <c r="E201" s="1537">
        <f>'8-3.노무산출'!H208</f>
        <v>751.0999999999998</v>
      </c>
      <c r="F201" s="1538">
        <f>VLOOKUP(A201,'8-4.일위대가표'!$A$4:$N$723,13,FALSE)</f>
        <v>11698</v>
      </c>
      <c r="G201" s="1539">
        <f t="shared" si="9"/>
        <v>8786367.799999997</v>
      </c>
      <c r="H201" s="1539">
        <f>F201-'8-4.일위대가표'!M607</f>
        <v>1950</v>
      </c>
      <c r="I201" s="1539">
        <f t="shared" si="11"/>
        <v>1464644.9999999995</v>
      </c>
      <c r="J201" s="1540" t="s">
        <v>2594</v>
      </c>
      <c r="K201" s="1534" t="s">
        <v>3100</v>
      </c>
    </row>
    <row r="202" spans="1:11" s="1502" customFormat="1" ht="24.95" customHeight="1">
      <c r="A202" s="1535" t="str">
        <f>'8-4.일위대가표'!A609</f>
        <v>품5-37-2</v>
      </c>
      <c r="B202" s="1526" t="str">
        <f>VLOOKUP(A202,'8-4.일위대가표'!$A$4:$N$723,2,FALSE)</f>
        <v>전원케이블 포설</v>
      </c>
      <c r="C202" s="1526" t="str">
        <f>VLOOKUP(A202,'8-4.일위대가표'!$A$4:$N$723,3,FALSE)</f>
        <v>FR-CVVS 2.5SQ-2C,3열 동시</v>
      </c>
      <c r="D202" s="1536" t="str">
        <f>VLOOKUP(A202,'8-4.일위대가표'!$A$4:$N$723,5,FALSE)</f>
        <v>m</v>
      </c>
      <c r="E202" s="1537">
        <f>'8-3.노무산출'!H209</f>
        <v>350.90000000000003</v>
      </c>
      <c r="F202" s="1538">
        <f>VLOOKUP(A202,'8-4.일위대가표'!$A$4:$N$723,13,FALSE)</f>
        <v>16897</v>
      </c>
      <c r="G202" s="1539">
        <f t="shared" si="9"/>
        <v>5929157.3000000007</v>
      </c>
      <c r="H202" s="1539">
        <f>F202-'8-4.일위대가표'!M611</f>
        <v>2816</v>
      </c>
      <c r="I202" s="1539">
        <f>H202*E202</f>
        <v>988134.40000000014</v>
      </c>
      <c r="J202" s="1540" t="s">
        <v>2594</v>
      </c>
      <c r="K202" s="1502" t="s">
        <v>3102</v>
      </c>
    </row>
    <row r="203" spans="1:11" s="1502" customFormat="1" ht="24.95" customHeight="1">
      <c r="A203" s="1535" t="str">
        <f>'8-4.일위대가표'!A613</f>
        <v>품5-37-3</v>
      </c>
      <c r="B203" s="1526" t="str">
        <f>VLOOKUP(A203,'8-4.일위대가표'!$A$4:$N$723,2,FALSE)</f>
        <v>전원케이블 포설</v>
      </c>
      <c r="C203" s="1526" t="str">
        <f>VLOOKUP(A203,'8-4.일위대가표'!$A$4:$N$723,3,FALSE)</f>
        <v>FR-CVVS 2.5SQ-2C,4열 동시</v>
      </c>
      <c r="D203" s="1536" t="str">
        <f>VLOOKUP(A203,'8-4.일위대가표'!$A$4:$N$723,5,FALSE)</f>
        <v>m</v>
      </c>
      <c r="E203" s="1537">
        <f>'8-3.노무산출'!H210</f>
        <v>72.100000000000009</v>
      </c>
      <c r="F203" s="1538">
        <f>VLOOKUP(A203,'8-4.일위대가표'!$A$4:$N$723,13,FALSE)</f>
        <v>22096</v>
      </c>
      <c r="G203" s="1539">
        <f t="shared" si="9"/>
        <v>1593121.6</v>
      </c>
      <c r="H203" s="1539">
        <f>F203-'8-4.일위대가표'!M615</f>
        <v>3683</v>
      </c>
      <c r="I203" s="1539">
        <f>H203*E203</f>
        <v>265544.30000000005</v>
      </c>
      <c r="J203" s="1540" t="s">
        <v>2594</v>
      </c>
      <c r="K203" s="1502" t="s">
        <v>3104</v>
      </c>
    </row>
    <row r="204" spans="1:11" s="1502" customFormat="1" ht="24.95" hidden="1" customHeight="1">
      <c r="A204" s="1496" t="str">
        <f>'8-4.일위대가표'!A617</f>
        <v>품5-38</v>
      </c>
      <c r="B204" s="1497" t="str">
        <f>VLOOKUP(A204,'8-4.일위대가표'!$A$4:$N$723,2,FALSE)</f>
        <v>전원케이블 포설</v>
      </c>
      <c r="C204" s="1497" t="str">
        <f>VLOOKUP(A204,'8-4.일위대가표'!$A$4:$N$723,3,FALSE)</f>
        <v>FR-CVVS 1.5SQ-2C,1열 포설</v>
      </c>
      <c r="D204" s="1498" t="str">
        <f>VLOOKUP(A204,'8-4.일위대가표'!$A$4:$N$723,5,FALSE)</f>
        <v>m</v>
      </c>
      <c r="E204" s="1499">
        <f>'8-3.노무산출'!H211</f>
        <v>0</v>
      </c>
      <c r="F204" s="1500">
        <f>VLOOKUP(A204,'8-4.일위대가표'!$A$4:$N$723,13,FALSE)</f>
        <v>5570</v>
      </c>
      <c r="G204" s="1521">
        <f t="shared" si="9"/>
        <v>0</v>
      </c>
      <c r="H204" s="1521"/>
      <c r="I204" s="1523"/>
      <c r="J204" s="1508"/>
      <c r="K204" s="1502" t="s">
        <v>3049</v>
      </c>
    </row>
    <row r="205" spans="1:11" s="1502" customFormat="1" ht="24.95" hidden="1" customHeight="1">
      <c r="A205" s="1496" t="str">
        <f>'8-4.일위대가표'!A619</f>
        <v>품38-1</v>
      </c>
      <c r="B205" s="1497" t="str">
        <f>VLOOKUP(A205,'8-4.일위대가표'!$A$4:$N$723,2,FALSE)</f>
        <v>전원케이블 포설</v>
      </c>
      <c r="C205" s="1497" t="str">
        <f>VLOOKUP(A205,'8-4.일위대가표'!$A$4:$N$723,3,FALSE)</f>
        <v>FR-CVVS 1.5SQ-2C,2열 동시</v>
      </c>
      <c r="D205" s="1498" t="str">
        <f>VLOOKUP(A205,'8-4.일위대가표'!$A$4:$N$723,5,FALSE)</f>
        <v>m</v>
      </c>
      <c r="E205" s="1499">
        <f>'8-3.노무산출'!H212</f>
        <v>0</v>
      </c>
      <c r="F205" s="1500">
        <f>VLOOKUP(A205,'8-4.일위대가표'!$A$4:$N$723,13,FALSE)</f>
        <v>10027</v>
      </c>
      <c r="G205" s="1521">
        <f t="shared" si="9"/>
        <v>0</v>
      </c>
      <c r="H205" s="1521"/>
      <c r="I205" s="1523"/>
      <c r="J205" s="1508"/>
      <c r="K205" s="1502" t="s">
        <v>3110</v>
      </c>
    </row>
    <row r="206" spans="1:11" s="1502" customFormat="1" ht="24.95" hidden="1" customHeight="1">
      <c r="A206" s="1496" t="str">
        <f>'8-4.일위대가표'!A621</f>
        <v>픔38-2</v>
      </c>
      <c r="B206" s="1497" t="str">
        <f>VLOOKUP(A206,'8-4.일위대가표'!$A$4:$N$723,2,FALSE)</f>
        <v>전원케이블 포설</v>
      </c>
      <c r="C206" s="1497" t="str">
        <f>VLOOKUP(A206,'8-4.일위대가표'!$A$4:$N$723,3,FALSE)</f>
        <v>FR-CVVS 1.5SQ-2C,3열 동시</v>
      </c>
      <c r="D206" s="1498" t="str">
        <f>VLOOKUP(A206,'8-4.일위대가표'!$A$4:$N$723,5,FALSE)</f>
        <v>m</v>
      </c>
      <c r="E206" s="1499">
        <f>'8-3.노무산출'!H213</f>
        <v>0</v>
      </c>
      <c r="F206" s="1500">
        <f>VLOOKUP(A206,'8-4.일위대가표'!$A$4:$N$723,13,FALSE)</f>
        <v>14483</v>
      </c>
      <c r="G206" s="1521">
        <f t="shared" si="9"/>
        <v>0</v>
      </c>
      <c r="H206" s="1521"/>
      <c r="I206" s="1523"/>
      <c r="J206" s="1508"/>
      <c r="K206" s="1502" t="s">
        <v>3111</v>
      </c>
    </row>
    <row r="207" spans="1:11" s="1502" customFormat="1" ht="24.95" hidden="1" customHeight="1">
      <c r="A207" s="1496" t="str">
        <f>'8-4.일위대가표'!A623</f>
        <v>품38-3</v>
      </c>
      <c r="B207" s="1497" t="str">
        <f>VLOOKUP(A207,'8-4.일위대가표'!$A$4:$N$723,2,FALSE)</f>
        <v>전원케이블 포설</v>
      </c>
      <c r="C207" s="1497" t="str">
        <f>VLOOKUP(A207,'8-4.일위대가표'!$A$4:$N$723,3,FALSE)</f>
        <v>FR-CVVS 1.5SQ-2C,4열 동시</v>
      </c>
      <c r="D207" s="1498" t="str">
        <f>VLOOKUP(A207,'8-4.일위대가표'!$A$4:$N$723,5,FALSE)</f>
        <v>m</v>
      </c>
      <c r="E207" s="1499">
        <f>'8-3.노무산출'!H214</f>
        <v>0</v>
      </c>
      <c r="F207" s="1500">
        <f>VLOOKUP(A207,'8-4.일위대가표'!$A$4:$N$723,13,FALSE)</f>
        <v>18940</v>
      </c>
      <c r="G207" s="1521">
        <f t="shared" si="9"/>
        <v>0</v>
      </c>
      <c r="H207" s="1521"/>
      <c r="I207" s="1523"/>
      <c r="J207" s="1508"/>
      <c r="K207" s="1502" t="s">
        <v>3112</v>
      </c>
    </row>
    <row r="208" spans="1:11" s="1534" customFormat="1" ht="24.95" customHeight="1">
      <c r="A208" s="1535" t="str">
        <f>'8-4.일위대가표'!A625</f>
        <v>품5-39</v>
      </c>
      <c r="B208" s="1526" t="str">
        <f>VLOOKUP(A208,'8-4.일위대가표'!$A$4:$N$723,2,FALSE)</f>
        <v>제어케이블포설</v>
      </c>
      <c r="C208" s="1526" t="str">
        <f>VLOOKUP(A208,'8-4.일위대가표'!$A$4:$N$723,3,FALSE)</f>
        <v>FR-CVVS 1.5SQ-4C</v>
      </c>
      <c r="D208" s="1536" t="str">
        <f>VLOOKUP(A208,'8-4.일위대가표'!$A$4:$N$723,5,FALSE)</f>
        <v>m</v>
      </c>
      <c r="E208" s="1537">
        <f>'8-3.노무산출'!H215</f>
        <v>40.200000000000003</v>
      </c>
      <c r="F208" s="1538">
        <f>VLOOKUP(A208,'8-4.일위대가표'!$A$4:$N$723,13,FALSE)</f>
        <v>10677</v>
      </c>
      <c r="G208" s="1539">
        <f t="shared" si="9"/>
        <v>429215.4</v>
      </c>
      <c r="H208" s="1539">
        <f>F208-'8-4.일위대가표'!M627</f>
        <v>1780</v>
      </c>
      <c r="I208" s="1539">
        <f t="shared" ref="I208:I209" si="12">E208*H208</f>
        <v>71556</v>
      </c>
      <c r="J208" s="1540" t="s">
        <v>2594</v>
      </c>
      <c r="K208" s="1534" t="s">
        <v>3050</v>
      </c>
    </row>
    <row r="209" spans="1:11" s="1534" customFormat="1" ht="24.95" customHeight="1">
      <c r="A209" s="1535" t="str">
        <f>'8-4.일위대가표'!A629</f>
        <v>품5-40</v>
      </c>
      <c r="B209" s="1526" t="str">
        <f>VLOOKUP(A209,'8-4.일위대가표'!$A$4:$N$723,2,FALSE)</f>
        <v>제어케이블포설</v>
      </c>
      <c r="C209" s="1526" t="str">
        <f>VLOOKUP(A209,'8-4.일위대가표'!$A$4:$N$723,3,FALSE)</f>
        <v>FR-CVVS 1.5SQ-15C</v>
      </c>
      <c r="D209" s="1536" t="str">
        <f>VLOOKUP(A209,'8-4.일위대가표'!$A$4:$N$723,5,FALSE)</f>
        <v>m</v>
      </c>
      <c r="E209" s="1537">
        <f>'8-3.노무산출'!H216</f>
        <v>40.200000000000003</v>
      </c>
      <c r="F209" s="1538">
        <f>VLOOKUP(A209,'8-4.일위대가표'!$A$4:$N$723,13,FALSE)</f>
        <v>24603</v>
      </c>
      <c r="G209" s="1539">
        <f t="shared" si="9"/>
        <v>989040.60000000009</v>
      </c>
      <c r="H209" s="1539">
        <f>F209-'8-4.일위대가표'!M631</f>
        <v>4101</v>
      </c>
      <c r="I209" s="1539">
        <f t="shared" si="12"/>
        <v>164860.20000000001</v>
      </c>
      <c r="J209" s="1540" t="s">
        <v>2594</v>
      </c>
      <c r="K209" s="1534" t="s">
        <v>3051</v>
      </c>
    </row>
    <row r="210" spans="1:11" s="1502" customFormat="1" ht="24.95" hidden="1" customHeight="1">
      <c r="A210" s="1496" t="str">
        <f>'8-4.일위대가표'!A633</f>
        <v>품5-41</v>
      </c>
      <c r="B210" s="1497" t="str">
        <f>VLOOKUP(A210,'8-4.일위대가표'!$A$4:$N$723,2,FALSE)</f>
        <v>동축케이블</v>
      </c>
      <c r="C210" s="1497" t="str">
        <f>VLOOKUP(A210,'8-4.일위대가표'!$A$4:$N$723,3,FALSE)</f>
        <v>3C-2V</v>
      </c>
      <c r="D210" s="1498" t="str">
        <f>VLOOKUP(A210,'8-4.일위대가표'!$A$4:$N$723,5,FALSE)</f>
        <v>m</v>
      </c>
      <c r="E210" s="1499">
        <f>'8-3.노무산출'!H217</f>
        <v>0</v>
      </c>
      <c r="F210" s="1500">
        <f>VLOOKUP(A210,'8-4.일위대가표'!$A$4:$N$723,13,FALSE)</f>
        <v>6576</v>
      </c>
      <c r="G210" s="1521">
        <f t="shared" si="9"/>
        <v>0</v>
      </c>
      <c r="H210" s="1521"/>
      <c r="I210" s="1523"/>
      <c r="J210" s="1508"/>
      <c r="K210" s="1502" t="s">
        <v>3052</v>
      </c>
    </row>
    <row r="211" spans="1:11" s="22" customFormat="1" ht="24.95" customHeight="1">
      <c r="A211" s="267" t="str">
        <f>'8-4.일위대가표'!A635</f>
        <v>품5-42</v>
      </c>
      <c r="B211" s="396" t="str">
        <f>VLOOKUP(A211,'8-4.일위대가표'!$A$4:$N$723,2,FALSE)</f>
        <v>UTP 케이블 포설</v>
      </c>
      <c r="C211" s="396" t="str">
        <f>VLOOKUP(A211,'8-4.일위대가표'!$A$4:$N$723,3,FALSE)</f>
        <v>CAT.5e 4P</v>
      </c>
      <c r="D211" s="740" t="str">
        <f>VLOOKUP(A211,'8-4.일위대가표'!$A$4:$N$723,5,FALSE)</f>
        <v>m</v>
      </c>
      <c r="E211" s="580">
        <f>'8-3.노무산출'!H218</f>
        <v>30</v>
      </c>
      <c r="F211" s="744">
        <f>VLOOKUP(A211,'8-4.일위대가표'!$A$4:$N$723,13,FALSE)</f>
        <v>5802</v>
      </c>
      <c r="G211" s="1521">
        <f t="shared" si="9"/>
        <v>174060</v>
      </c>
      <c r="H211" s="1521"/>
      <c r="I211" s="1521"/>
      <c r="J211" s="405"/>
      <c r="K211" s="22" t="s">
        <v>3053</v>
      </c>
    </row>
    <row r="212" spans="1:11" s="22" customFormat="1" ht="24.95" customHeight="1">
      <c r="A212" s="267" t="str">
        <f>'8-4.일위대가표'!A637</f>
        <v>품5-43</v>
      </c>
      <c r="B212" s="396" t="str">
        <f>VLOOKUP(A212,'8-4.일위대가표'!$A$4:$N$723,2,FALSE)</f>
        <v>RS-데이터 케이블 포설</v>
      </c>
      <c r="C212" s="396" t="str">
        <f>VLOOKUP(A212,'8-4.일위대가표'!$A$4:$N$723,3,FALSE)</f>
        <v>10P 이하, 1열</v>
      </c>
      <c r="D212" s="740" t="str">
        <f>VLOOKUP(A212,'8-4.일위대가표'!$A$4:$N$723,5,FALSE)</f>
        <v>m</v>
      </c>
      <c r="E212" s="580">
        <f>'8-3.노무산출'!H219</f>
        <v>1316.899999999999</v>
      </c>
      <c r="F212" s="744">
        <f>VLOOKUP(A212,'8-4.일위대가표'!$A$4:$N$723,13,FALSE)</f>
        <v>6963</v>
      </c>
      <c r="G212" s="1521">
        <f t="shared" si="9"/>
        <v>9169574.6999999918</v>
      </c>
      <c r="H212" s="1521"/>
      <c r="I212" s="1521"/>
      <c r="J212" s="405"/>
      <c r="K212" s="22" t="s">
        <v>3054</v>
      </c>
    </row>
    <row r="213" spans="1:11" s="1502" customFormat="1" ht="24.95" hidden="1" customHeight="1">
      <c r="A213" s="1496" t="str">
        <f>'8-4.일위대가표'!A638</f>
        <v>품43-1</v>
      </c>
      <c r="B213" s="1497" t="str">
        <f>VLOOKUP(A213,'8-4.일위대가표'!$A$4:$N$723,2,FALSE)</f>
        <v>RS-데이터 케이블 포설</v>
      </c>
      <c r="C213" s="1497" t="str">
        <f>VLOOKUP(A213,'8-4.일위대가표'!$A$4:$N$723,3,FALSE)</f>
        <v>10P 이하, 2열</v>
      </c>
      <c r="D213" s="1498" t="str">
        <f>VLOOKUP(A213,'8-4.일위대가표'!$A$4:$N$723,5,FALSE)</f>
        <v>m</v>
      </c>
      <c r="E213" s="1499">
        <f>'8-3.노무산출'!H220</f>
        <v>0</v>
      </c>
      <c r="F213" s="1500">
        <f>VLOOKUP(A213,'8-4.일위대가표'!$A$4:$N$723,13,FALSE)</f>
        <v>12533</v>
      </c>
      <c r="G213" s="1521">
        <f t="shared" si="9"/>
        <v>0</v>
      </c>
      <c r="H213" s="1521"/>
      <c r="I213" s="1523"/>
      <c r="J213" s="1508"/>
      <c r="K213" s="1502" t="s">
        <v>3113</v>
      </c>
    </row>
    <row r="214" spans="1:11" s="1502" customFormat="1" ht="24.95" hidden="1" customHeight="1">
      <c r="A214" s="1496" t="str">
        <f>'8-4.일위대가표'!A639</f>
        <v>품43-2</v>
      </c>
      <c r="B214" s="1497" t="str">
        <f>VLOOKUP(A214,'8-4.일위대가표'!$A$4:$N$723,2,FALSE)</f>
        <v>RS-데이터 케이블 포설</v>
      </c>
      <c r="C214" s="1497" t="str">
        <f>VLOOKUP(A214,'8-4.일위대가표'!$A$4:$N$723,3,FALSE)</f>
        <v>10P 이하, 3열</v>
      </c>
      <c r="D214" s="1498" t="str">
        <f>VLOOKUP(A214,'8-4.일위대가표'!$A$4:$N$723,5,FALSE)</f>
        <v>m</v>
      </c>
      <c r="E214" s="1499">
        <f>'8-3.노무산출'!H221</f>
        <v>0</v>
      </c>
      <c r="F214" s="1500">
        <f>VLOOKUP(A214,'8-4.일위대가표'!$A$4:$N$723,13,FALSE)</f>
        <v>18104</v>
      </c>
      <c r="G214" s="1521">
        <f t="shared" si="9"/>
        <v>0</v>
      </c>
      <c r="H214" s="1521"/>
      <c r="I214" s="1523"/>
      <c r="J214" s="1508"/>
      <c r="K214" s="1502" t="s">
        <v>3114</v>
      </c>
    </row>
    <row r="215" spans="1:11" s="22" customFormat="1" ht="24.95" customHeight="1">
      <c r="A215" s="267" t="str">
        <f>'8-4.일위대가표'!A641</f>
        <v>품5-44</v>
      </c>
      <c r="B215" s="396" t="str">
        <f>VLOOKUP(A215,'8-4.일위대가표'!$A$4:$N$723,2,FALSE)</f>
        <v>S-FTP 케이블 포설</v>
      </c>
      <c r="C215" s="396" t="str">
        <f>VLOOKUP(A215,'8-4.일위대가표'!$A$4:$N$723,3,FALSE)</f>
        <v>CAT.5e 4P,1열 포설</v>
      </c>
      <c r="D215" s="740" t="str">
        <f>VLOOKUP(A215,'8-4.일위대가표'!$A$4:$N$723,5,FALSE)</f>
        <v>m</v>
      </c>
      <c r="E215" s="580">
        <f>'8-3.노무산출'!H222</f>
        <v>2357.2000000000025</v>
      </c>
      <c r="F215" s="744">
        <f>VLOOKUP(A215,'8-4.일위대가표'!$A$4:$N$723,13,FALSE)</f>
        <v>5802</v>
      </c>
      <c r="G215" s="1521">
        <f t="shared" si="9"/>
        <v>13676474.400000015</v>
      </c>
      <c r="H215" s="1521"/>
      <c r="I215" s="1521"/>
      <c r="J215" s="405"/>
      <c r="K215" s="22" t="s">
        <v>3055</v>
      </c>
    </row>
    <row r="216" spans="1:11" s="22" customFormat="1" ht="24.95" customHeight="1">
      <c r="A216" s="267" t="str">
        <f>'8-4.일위대가표'!A643</f>
        <v>품5-44-1</v>
      </c>
      <c r="B216" s="396" t="str">
        <f>VLOOKUP(A216,'8-4.일위대가표'!$A$4:$N$723,2,FALSE)</f>
        <v>S-FTP 케이블 포설</v>
      </c>
      <c r="C216" s="396" t="str">
        <f>VLOOKUP(A216,'8-4.일위대가표'!$A$4:$N$723,3,FALSE)</f>
        <v>CAT.5e 4P,2열 동시</v>
      </c>
      <c r="D216" s="740" t="str">
        <f>VLOOKUP(A216,'8-4.일위대가표'!$A$4:$N$723,5,FALSE)</f>
        <v>m</v>
      </c>
      <c r="E216" s="580">
        <f>'8-3.노무산출'!H223</f>
        <v>822.5</v>
      </c>
      <c r="F216" s="744">
        <f>VLOOKUP(A216,'8-4.일위대가표'!$A$4:$N$723,13,FALSE)</f>
        <v>10444</v>
      </c>
      <c r="G216" s="1521">
        <f t="shared" si="9"/>
        <v>8590190</v>
      </c>
      <c r="H216" s="1521"/>
      <c r="I216" s="1521"/>
      <c r="J216" s="405"/>
      <c r="K216" s="22" t="s">
        <v>3056</v>
      </c>
    </row>
    <row r="217" spans="1:11" s="1502" customFormat="1" ht="24.95" customHeight="1">
      <c r="A217" s="267" t="str">
        <f>'8-4.일위대가표'!A645</f>
        <v>품44-2</v>
      </c>
      <c r="B217" s="396" t="str">
        <f>VLOOKUP(A217,'8-4.일위대가표'!$A$4:$N$723,2,FALSE)</f>
        <v>S-FTP 케이블 포설</v>
      </c>
      <c r="C217" s="396" t="str">
        <f>VLOOKUP(A217,'8-4.일위대가표'!$A$4:$N$723,3,FALSE)</f>
        <v>CAT.5e 4P,3열 동시</v>
      </c>
      <c r="D217" s="740" t="str">
        <f>VLOOKUP(A217,'8-4.일위대가표'!$A$4:$N$723,5,FALSE)</f>
        <v>m</v>
      </c>
      <c r="E217" s="580">
        <f>'8-3.노무산출'!H224</f>
        <v>347</v>
      </c>
      <c r="F217" s="744">
        <f>VLOOKUP(A217,'8-4.일위대가표'!$A$4:$N$723,13,FALSE)</f>
        <v>15087</v>
      </c>
      <c r="G217" s="1521">
        <f t="shared" ref="G217:G250" si="13">E217*F217</f>
        <v>5235189</v>
      </c>
      <c r="H217" s="1521"/>
      <c r="I217" s="1521"/>
      <c r="J217" s="405"/>
      <c r="K217" s="1502" t="s">
        <v>3115</v>
      </c>
    </row>
    <row r="218" spans="1:11" s="1502" customFormat="1" ht="24.95" customHeight="1">
      <c r="A218" s="267" t="str">
        <f>'8-4.일위대가표'!A647</f>
        <v>품44-3</v>
      </c>
      <c r="B218" s="396" t="str">
        <f>VLOOKUP(A218,'8-4.일위대가표'!$A$4:$N$723,2,FALSE)</f>
        <v>S-FTP 케이블 포설</v>
      </c>
      <c r="C218" s="396" t="str">
        <f>VLOOKUP(A218,'8-4.일위대가표'!$A$4:$N$723,3,FALSE)</f>
        <v>CAT.5e 4P,4열 동시</v>
      </c>
      <c r="D218" s="740" t="str">
        <f>VLOOKUP(A218,'8-4.일위대가표'!$A$4:$N$723,5,FALSE)</f>
        <v>m</v>
      </c>
      <c r="E218" s="580">
        <f>'8-3.노무산출'!H225</f>
        <v>71</v>
      </c>
      <c r="F218" s="744">
        <f>VLOOKUP(A218,'8-4.일위대가표'!$A$4:$N$723,13,FALSE)</f>
        <v>19729</v>
      </c>
      <c r="G218" s="1521">
        <f t="shared" si="13"/>
        <v>1400759</v>
      </c>
      <c r="H218" s="1521"/>
      <c r="I218" s="1521"/>
      <c r="J218" s="405"/>
      <c r="K218" s="1502" t="s">
        <v>3116</v>
      </c>
    </row>
    <row r="219" spans="1:11" s="1534" customFormat="1" ht="24.95" customHeight="1">
      <c r="A219" s="1535" t="str">
        <f>'8-4.일위대가표'!A649</f>
        <v>품5-45</v>
      </c>
      <c r="B219" s="1526" t="str">
        <f>VLOOKUP(A219,'8-4.일위대가표'!$A$4:$N$723,2,FALSE)</f>
        <v>접지선 포설</v>
      </c>
      <c r="C219" s="1526" t="str">
        <f>VLOOKUP(A219,'8-4.일위대가표'!$A$4:$N$723,3,FALSE)</f>
        <v>F-GV 6SQ</v>
      </c>
      <c r="D219" s="1536" t="str">
        <f>VLOOKUP(A219,'8-4.일위대가표'!$A$4:$N$723,5,FALSE)</f>
        <v>m</v>
      </c>
      <c r="E219" s="1537">
        <f>'8-3.노무산출'!H226</f>
        <v>127.5</v>
      </c>
      <c r="F219" s="1538">
        <f>VLOOKUP(A219,'8-4.일위대가표'!$A$4:$N$723,13,FALSE)</f>
        <v>3732</v>
      </c>
      <c r="G219" s="1539">
        <f t="shared" si="13"/>
        <v>475830</v>
      </c>
      <c r="H219" s="1539">
        <f>F219-'8-4.일위대가표'!M651</f>
        <v>1244</v>
      </c>
      <c r="I219" s="1539">
        <f t="shared" ref="I219" si="14">E219*H219</f>
        <v>158610</v>
      </c>
      <c r="J219" s="1533" t="s">
        <v>2599</v>
      </c>
      <c r="K219" s="1534" t="s">
        <v>3057</v>
      </c>
    </row>
    <row r="220" spans="1:11" s="1502" customFormat="1" ht="24.95" hidden="1" customHeight="1">
      <c r="A220" s="1496" t="str">
        <f>'8-4.일위대가표'!A653</f>
        <v>품5-46</v>
      </c>
      <c r="B220" s="1497" t="str">
        <f>VLOOKUP(A220,'8-4.일위대가표'!$A$4:$N$723,2,FALSE)</f>
        <v>접지선 포설</v>
      </c>
      <c r="C220" s="1497" t="str">
        <f>VLOOKUP(A220,'8-4.일위대가표'!$A$4:$N$723,3,FALSE)</f>
        <v>F-GV 16SQ</v>
      </c>
      <c r="D220" s="1498" t="str">
        <f>VLOOKUP(A220,'8-4.일위대가표'!$A$4:$N$723,5,FALSE)</f>
        <v>m</v>
      </c>
      <c r="E220" s="1499">
        <f>'8-3.노무산출'!H227</f>
        <v>0</v>
      </c>
      <c r="F220" s="1500">
        <f>VLOOKUP(A220,'8-4.일위대가표'!$A$4:$N$723,13,FALSE)</f>
        <v>4479</v>
      </c>
      <c r="G220" s="1521">
        <f t="shared" si="13"/>
        <v>0</v>
      </c>
      <c r="H220" s="1521"/>
      <c r="I220" s="1523"/>
      <c r="J220" s="1508"/>
      <c r="K220" s="1502" t="s">
        <v>3058</v>
      </c>
    </row>
    <row r="221" spans="1:11" s="1502" customFormat="1" ht="24.95" hidden="1" customHeight="1">
      <c r="A221" s="1496" t="str">
        <f>'8-4.일위대가표'!A655</f>
        <v>품5-47</v>
      </c>
      <c r="B221" s="1497" t="str">
        <f>VLOOKUP(A221,'8-4.일위대가표'!$A$4:$N$723,2,FALSE)</f>
        <v>접지선 포설</v>
      </c>
      <c r="C221" s="1497" t="str">
        <f>VLOOKUP(A221,'8-4.일위대가표'!$A$4:$N$723,3,FALSE)</f>
        <v>F-GV 95SQ</v>
      </c>
      <c r="D221" s="1498" t="str">
        <f>VLOOKUP(A221,'8-4.일위대가표'!$A$4:$N$723,5,FALSE)</f>
        <v>m</v>
      </c>
      <c r="E221" s="1499">
        <f>'8-3.노무산출'!H228</f>
        <v>0</v>
      </c>
      <c r="F221" s="1500">
        <f>VLOOKUP(A221,'8-4.일위대가표'!$A$4:$N$723,13,FALSE)</f>
        <v>5599</v>
      </c>
      <c r="G221" s="1521">
        <f t="shared" si="13"/>
        <v>0</v>
      </c>
      <c r="H221" s="1521"/>
      <c r="I221" s="1523"/>
      <c r="J221" s="1508"/>
      <c r="K221" s="1502" t="s">
        <v>3106</v>
      </c>
    </row>
    <row r="222" spans="1:11" s="1502" customFormat="1" ht="24.95" hidden="1" customHeight="1">
      <c r="A222" s="1496" t="str">
        <f>'8-4.일위대가표'!A657</f>
        <v>품5-48</v>
      </c>
      <c r="B222" s="1497" t="str">
        <f>VLOOKUP(A222,'8-4.일위대가표'!$A$4:$N$723,2,FALSE)</f>
        <v>합성수지 파형관 시설</v>
      </c>
      <c r="C222" s="1497" t="str">
        <f>VLOOKUP(A222,'8-4.일위대가표'!$A$4:$N$723,3,FALSE)</f>
        <v>50mm이하</v>
      </c>
      <c r="D222" s="1498" t="str">
        <f>VLOOKUP(A222,'8-4.일위대가표'!$A$4:$N$723,5,FALSE)</f>
        <v>m</v>
      </c>
      <c r="E222" s="1499">
        <f>'8-3.노무산출'!H229</f>
        <v>0</v>
      </c>
      <c r="F222" s="1500">
        <f>VLOOKUP(A222,'8-4.일위대가표'!$A$4:$N$723,13,FALSE)</f>
        <v>8641</v>
      </c>
      <c r="G222" s="1521">
        <f t="shared" si="13"/>
        <v>0</v>
      </c>
      <c r="H222" s="1521"/>
      <c r="I222" s="1523"/>
      <c r="J222" s="1508"/>
      <c r="K222" s="1502" t="s">
        <v>3059</v>
      </c>
    </row>
    <row r="223" spans="1:11" s="1502" customFormat="1" ht="24.95" hidden="1" customHeight="1">
      <c r="A223" s="1496" t="str">
        <f>'8-4.일위대가표'!A660</f>
        <v>품5-49</v>
      </c>
      <c r="B223" s="1497" t="str">
        <f>VLOOKUP(A223,'8-4.일위대가표'!$A$4:$N$723,2,FALSE)</f>
        <v>후강전선관 시설</v>
      </c>
      <c r="C223" s="1497" t="str">
        <f>VLOOKUP(A223,'8-4.일위대가표'!$A$4:$N$723,3,FALSE)</f>
        <v>22㎜</v>
      </c>
      <c r="D223" s="1498" t="str">
        <f>VLOOKUP(A223,'8-4.일위대가표'!$A$4:$N$723,5,FALSE)</f>
        <v>m</v>
      </c>
      <c r="E223" s="1499">
        <f>'8-3.노무산출'!H230</f>
        <v>0</v>
      </c>
      <c r="F223" s="1500">
        <f>VLOOKUP(A223,'8-4.일위대가표'!$A$4:$N$723,13,FALSE)</f>
        <v>32849</v>
      </c>
      <c r="G223" s="1521">
        <f t="shared" si="13"/>
        <v>0</v>
      </c>
      <c r="H223" s="1521"/>
      <c r="I223" s="1523"/>
      <c r="J223" s="1508"/>
      <c r="K223" s="1502" t="s">
        <v>3060</v>
      </c>
    </row>
    <row r="224" spans="1:11" s="1502" customFormat="1" ht="24.95" hidden="1" customHeight="1">
      <c r="A224" s="1496" t="str">
        <f>'8-4.일위대가표'!A662</f>
        <v>품5-50</v>
      </c>
      <c r="B224" s="1497" t="str">
        <f>VLOOKUP(A224,'8-4.일위대가표'!$A$4:$N$723,2,FALSE)</f>
        <v>후강전선관 시설</v>
      </c>
      <c r="C224" s="1497" t="str">
        <f>VLOOKUP(A224,'8-4.일위대가표'!$A$4:$N$723,3,FALSE)</f>
        <v>28㎜</v>
      </c>
      <c r="D224" s="1498" t="str">
        <f>VLOOKUP(A224,'8-4.일위대가표'!$A$4:$N$723,5,FALSE)</f>
        <v>m</v>
      </c>
      <c r="E224" s="1499">
        <f>'8-3.노무산출'!H231</f>
        <v>0</v>
      </c>
      <c r="F224" s="1500">
        <f>VLOOKUP(A224,'8-4.일위대가표'!$A$4:$N$723,13,FALSE)</f>
        <v>41807</v>
      </c>
      <c r="G224" s="1521">
        <f t="shared" si="13"/>
        <v>0</v>
      </c>
      <c r="H224" s="1521"/>
      <c r="I224" s="1523"/>
      <c r="J224" s="1508"/>
      <c r="K224" s="1502" t="s">
        <v>3061</v>
      </c>
    </row>
    <row r="225" spans="1:11" s="1502" customFormat="1" ht="24.95" hidden="1" customHeight="1">
      <c r="A225" s="1496" t="str">
        <f>'8-4.일위대가표'!A664</f>
        <v>품5-51</v>
      </c>
      <c r="B225" s="1497" t="str">
        <f>VLOOKUP(A225,'8-4.일위대가표'!$A$4:$N$723,2,FALSE)</f>
        <v>플랙시블 전선관 시설</v>
      </c>
      <c r="C225" s="1497" t="str">
        <f>VLOOKUP(A225,'8-4.일위대가표'!$A$4:$N$723,3,FALSE)</f>
        <v>22mm</v>
      </c>
      <c r="D225" s="1498" t="str">
        <f>VLOOKUP(A225,'8-4.일위대가표'!$A$4:$N$723,5,FALSE)</f>
        <v>m</v>
      </c>
      <c r="E225" s="1499">
        <f>'8-3.노무산출'!H232</f>
        <v>0</v>
      </c>
      <c r="F225" s="1500">
        <f>VLOOKUP(A225,'8-4.일위대가표'!$A$4:$N$723,13,FALSE)</f>
        <v>19087</v>
      </c>
      <c r="G225" s="1521">
        <f t="shared" si="13"/>
        <v>0</v>
      </c>
      <c r="H225" s="1521"/>
      <c r="I225" s="1523"/>
      <c r="J225" s="1508"/>
      <c r="K225" s="1502" t="s">
        <v>3062</v>
      </c>
    </row>
    <row r="226" spans="1:11" s="1502" customFormat="1" ht="24.95" hidden="1" customHeight="1">
      <c r="A226" s="1496" t="str">
        <f>'8-4.일위대가표'!A666</f>
        <v>품5-52</v>
      </c>
      <c r="B226" s="1497" t="str">
        <f>VLOOKUP(A226,'8-4.일위대가표'!$A$4:$N$723,2,FALSE)</f>
        <v>플랙시블 전선관 시설</v>
      </c>
      <c r="C226" s="1497" t="str">
        <f>VLOOKUP(A226,'8-4.일위대가표'!$A$4:$N$723,3,FALSE)</f>
        <v>28mm</v>
      </c>
      <c r="D226" s="1498" t="str">
        <f>VLOOKUP(A226,'8-4.일위대가표'!$A$4:$N$723,5,FALSE)</f>
        <v>m</v>
      </c>
      <c r="E226" s="1499">
        <f>'8-3.노무산출'!H233</f>
        <v>0</v>
      </c>
      <c r="F226" s="1500">
        <f>VLOOKUP(A226,'8-4.일위대가표'!$A$4:$N$723,13,FALSE)</f>
        <v>23292</v>
      </c>
      <c r="G226" s="1521">
        <f t="shared" si="13"/>
        <v>0</v>
      </c>
      <c r="H226" s="1521"/>
      <c r="I226" s="1523"/>
      <c r="J226" s="1508"/>
      <c r="K226" s="1502" t="s">
        <v>3063</v>
      </c>
    </row>
    <row r="227" spans="1:11" s="1502" customFormat="1" ht="24.95" hidden="1" customHeight="1">
      <c r="A227" s="1496" t="str">
        <f>'8-4.일위대가표'!A668</f>
        <v>품5-53</v>
      </c>
      <c r="B227" s="1497" t="str">
        <f>VLOOKUP(A227,'8-4.일위대가표'!$A$4:$N$723,2,FALSE)</f>
        <v>금속닥트 신설</v>
      </c>
      <c r="C227" s="1497" t="str">
        <f>VLOOKUP(A227,'8-4.일위대가표'!$A$4:$N$723,3,FALSE)</f>
        <v>중형(150*100mm) 이하</v>
      </c>
      <c r="D227" s="1498" t="str">
        <f>VLOOKUP(A227,'8-4.일위대가표'!$A$4:$N$723,5,FALSE)</f>
        <v>m</v>
      </c>
      <c r="E227" s="1499">
        <f>'8-3.노무산출'!H234</f>
        <v>0</v>
      </c>
      <c r="F227" s="1500">
        <f>VLOOKUP(A227,'8-4.일위대가표'!$A$4:$N$723,13,FALSE)</f>
        <v>99542</v>
      </c>
      <c r="G227" s="1521">
        <f t="shared" si="13"/>
        <v>0</v>
      </c>
      <c r="H227" s="1521"/>
      <c r="I227" s="1523"/>
      <c r="J227" s="1508"/>
      <c r="K227" s="1502" t="s">
        <v>3064</v>
      </c>
    </row>
    <row r="228" spans="1:11" s="1502" customFormat="1" ht="24.95" hidden="1" customHeight="1">
      <c r="A228" s="1496" t="str">
        <f>'8-4.일위대가표'!A670</f>
        <v>품5-54</v>
      </c>
      <c r="B228" s="1497" t="str">
        <f>VLOOKUP(A228,'8-4.일위대가표'!$A$4:$N$723,2,FALSE)</f>
        <v>앙카볼트 설치</v>
      </c>
      <c r="C228" s="1497" t="str">
        <f>VLOOKUP(A228,'8-4.일위대가표'!$A$4:$N$723,3,FALSE)</f>
        <v>Φ13mm이하</v>
      </c>
      <c r="D228" s="1498" t="str">
        <f>VLOOKUP(A228,'8-4.일위대가표'!$A$4:$N$723,5,FALSE)</f>
        <v>개</v>
      </c>
      <c r="E228" s="1499">
        <f>'8-3.노무산출'!H235</f>
        <v>0</v>
      </c>
      <c r="F228" s="1500">
        <f>VLOOKUP(A228,'8-4.일위대가표'!$A$4:$N$723,13,FALSE)</f>
        <v>9954</v>
      </c>
      <c r="G228" s="1521">
        <f t="shared" si="13"/>
        <v>0</v>
      </c>
      <c r="H228" s="1521"/>
      <c r="I228" s="1523"/>
      <c r="J228" s="1508"/>
      <c r="K228" s="1502" t="s">
        <v>3065</v>
      </c>
    </row>
    <row r="229" spans="1:11" s="22" customFormat="1" ht="24.95" customHeight="1">
      <c r="A229" s="267" t="str">
        <f>'8-4.일위대가표'!A672</f>
        <v>품5-55</v>
      </c>
      <c r="B229" s="396" t="str">
        <f>VLOOKUP(A229,'8-4.일위대가표'!$A$4:$N$723,2,FALSE)</f>
        <v>모듈라플러그 접속</v>
      </c>
      <c r="C229" s="396" t="str">
        <f>VLOOKUP(A229,'8-4.일위대가표'!$A$4:$N$723,3,FALSE)</f>
        <v>S-FTP RJ-45, 접지</v>
      </c>
      <c r="D229" s="740" t="str">
        <f>VLOOKUP(A229,'8-4.일위대가표'!$A$4:$N$723,5,FALSE)</f>
        <v>개</v>
      </c>
      <c r="E229" s="580">
        <f>'8-3.노무산출'!H236</f>
        <v>314</v>
      </c>
      <c r="F229" s="744">
        <f>VLOOKUP(A229,'8-4.일위대가표'!$A$4:$N$723,13,FALSE)</f>
        <v>4205</v>
      </c>
      <c r="G229" s="1521">
        <f t="shared" si="13"/>
        <v>1320370</v>
      </c>
      <c r="H229" s="1521"/>
      <c r="I229" s="1521"/>
      <c r="J229" s="405"/>
      <c r="K229" s="22" t="s">
        <v>3066</v>
      </c>
    </row>
    <row r="230" spans="1:11" s="1502" customFormat="1" ht="24.95" hidden="1" customHeight="1">
      <c r="A230" s="1496" t="str">
        <f>'8-4.일위대가표'!A674</f>
        <v>품5-56</v>
      </c>
      <c r="B230" s="1497" t="str">
        <f>VLOOKUP(A230,'8-4.일위대가표'!$A$4:$N$723,2,FALSE)</f>
        <v>콘넥터(영상)</v>
      </c>
      <c r="C230" s="1497" t="str">
        <f>VLOOKUP(A230,'8-4.일위대가표'!$A$4:$N$723,3,FALSE)</f>
        <v>BNC, 5C이하</v>
      </c>
      <c r="D230" s="1498" t="str">
        <f>VLOOKUP(A230,'8-4.일위대가표'!$A$4:$N$723,5,FALSE)</f>
        <v>개</v>
      </c>
      <c r="E230" s="1499">
        <f>'8-3.노무산출'!H237</f>
        <v>0</v>
      </c>
      <c r="F230" s="1500">
        <f>VLOOKUP(A230,'8-4.일위대가표'!$A$4:$N$723,13,FALSE)</f>
        <v>4977</v>
      </c>
      <c r="G230" s="1521">
        <f t="shared" si="13"/>
        <v>0</v>
      </c>
      <c r="H230" s="1521"/>
      <c r="I230" s="1523"/>
      <c r="J230" s="1508"/>
      <c r="K230" s="1502" t="s">
        <v>3067</v>
      </c>
    </row>
    <row r="231" spans="1:11" s="1502" customFormat="1" ht="24.95" hidden="1" customHeight="1">
      <c r="A231" s="1496" t="str">
        <f>'8-4.일위대가표'!A676</f>
        <v>품5-57-1</v>
      </c>
      <c r="B231" s="1497" t="str">
        <f>VLOOKUP(A231,'8-4.일위대가표'!$A$4:$N$723,2,FALSE)</f>
        <v>풀박스 설치</v>
      </c>
      <c r="C231" s="1497" t="str">
        <f>VLOOKUP(A231,'8-4.일위대가표'!$A$4:$N$723,3,FALSE)</f>
        <v>100㎠이하, 천정,노출</v>
      </c>
      <c r="D231" s="1498" t="str">
        <f>VLOOKUP(A231,'8-4.일위대가표'!$A$4:$N$723,5,FALSE)</f>
        <v>개</v>
      </c>
      <c r="E231" s="1499">
        <f>'8-3.노무산출'!H238</f>
        <v>0</v>
      </c>
      <c r="F231" s="1500">
        <f>VLOOKUP(A231,'8-4.일위대가표'!$A$4:$N$723,13,FALSE)</f>
        <v>11945</v>
      </c>
      <c r="G231" s="1521">
        <f t="shared" si="13"/>
        <v>0</v>
      </c>
      <c r="H231" s="1521"/>
      <c r="I231" s="1523"/>
      <c r="J231" s="1508"/>
      <c r="K231" s="1502" t="s">
        <v>3083</v>
      </c>
    </row>
    <row r="232" spans="1:11" s="1502" customFormat="1" ht="24.95" hidden="1" customHeight="1">
      <c r="A232" s="1496" t="str">
        <f>'8-4.일위대가표'!A678</f>
        <v>품5-57-2</v>
      </c>
      <c r="B232" s="1497" t="str">
        <f>VLOOKUP(A232,'8-4.일위대가표'!$A$4:$N$723,2,FALSE)</f>
        <v>풀박스 설치</v>
      </c>
      <c r="C232" s="1497" t="str">
        <f>VLOOKUP(A232,'8-4.일위대가표'!$A$4:$N$723,3,FALSE)</f>
        <v>100㎠이하, 벽체,노출</v>
      </c>
      <c r="D232" s="1498" t="str">
        <f>VLOOKUP(A232,'8-4.일위대가표'!$A$4:$N$723,5,FALSE)</f>
        <v>개</v>
      </c>
      <c r="E232" s="1499">
        <f>'8-3.노무산출'!H239</f>
        <v>0</v>
      </c>
      <c r="F232" s="1500">
        <f>VLOOKUP(A232,'8-4.일위대가표'!$A$4:$N$723,13,FALSE)</f>
        <v>50766</v>
      </c>
      <c r="G232" s="1521">
        <f t="shared" si="13"/>
        <v>0</v>
      </c>
      <c r="H232" s="1521"/>
      <c r="I232" s="1523"/>
      <c r="J232" s="1508"/>
      <c r="K232" s="1502" t="s">
        <v>3081</v>
      </c>
    </row>
    <row r="233" spans="1:11" s="1502" customFormat="1" ht="24.95" hidden="1" customHeight="1">
      <c r="A233" s="1496" t="str">
        <f>'8-4.일위대가표'!A680</f>
        <v>품5-57-3</v>
      </c>
      <c r="B233" s="1497" t="str">
        <f>VLOOKUP(A233,'8-4.일위대가표'!$A$4:$N$723,2,FALSE)</f>
        <v>풀박스 설치</v>
      </c>
      <c r="C233" s="1497" t="str">
        <f>VLOOKUP(A233,'8-4.일위대가표'!$A$4:$N$723,3,FALSE)</f>
        <v>625㎠이하, 벽체,노출</v>
      </c>
      <c r="D233" s="1498" t="str">
        <f>VLOOKUP(A233,'8-4.일위대가표'!$A$4:$N$723,5,FALSE)</f>
        <v>개</v>
      </c>
      <c r="E233" s="1499">
        <f>'8-3.노무산출'!H240</f>
        <v>0</v>
      </c>
      <c r="F233" s="1500">
        <f>VLOOKUP(A233,'8-4.일위대가표'!$A$4:$N$723,13,FALSE)</f>
        <v>164245</v>
      </c>
      <c r="G233" s="1521">
        <f t="shared" si="13"/>
        <v>0</v>
      </c>
      <c r="H233" s="1521"/>
      <c r="I233" s="1523"/>
      <c r="J233" s="1508"/>
      <c r="K233" s="1502" t="s">
        <v>3079</v>
      </c>
    </row>
    <row r="234" spans="1:11" s="1502" customFormat="1" ht="24.95" hidden="1" customHeight="1">
      <c r="A234" s="1496" t="str">
        <f>'8-4.일위대가표'!A682</f>
        <v>품5-57-4</v>
      </c>
      <c r="B234" s="1497" t="str">
        <f>VLOOKUP(A234,'8-4.일위대가표'!$A$4:$N$723,2,FALSE)</f>
        <v>풀박스 설치</v>
      </c>
      <c r="C234" s="1497" t="str">
        <f>VLOOKUP(A234,'8-4.일위대가표'!$A$4:$N$723,3,FALSE)</f>
        <v>900㎠이하, 벽체,노출</v>
      </c>
      <c r="D234" s="1498" t="str">
        <f>VLOOKUP(A234,'8-4.일위대가표'!$A$4:$N$723,5,FALSE)</f>
        <v>개</v>
      </c>
      <c r="E234" s="1499">
        <f>'8-3.노무산출'!H241</f>
        <v>0</v>
      </c>
      <c r="F234" s="1500">
        <f>VLOOKUP(A234,'8-4.일위대가표'!$A$4:$N$723,13,FALSE)</f>
        <v>179176</v>
      </c>
      <c r="G234" s="1521">
        <f t="shared" si="13"/>
        <v>0</v>
      </c>
      <c r="H234" s="1521"/>
      <c r="I234" s="1523"/>
      <c r="J234" s="1508"/>
      <c r="K234" s="1502" t="s">
        <v>3077</v>
      </c>
    </row>
    <row r="235" spans="1:11" s="1502" customFormat="1" ht="24.95" customHeight="1">
      <c r="A235" s="267" t="str">
        <f>'8-4.일위대가표'!A684</f>
        <v>품5-58</v>
      </c>
      <c r="B235" s="396" t="str">
        <f>VLOOKUP(A235,'8-4.일위대가표'!$A$4:$N$723,2,FALSE)</f>
        <v>기초대 설치</v>
      </c>
      <c r="C235" s="396" t="str">
        <f>VLOOKUP(A235,'8-4.일위대가표'!$A$4:$N$723,3,FALSE)</f>
        <v>CCTV폴(60cm*60cm*60cm이상)</v>
      </c>
      <c r="D235" s="740" t="str">
        <f>VLOOKUP(A235,'8-4.일위대가표'!$A$4:$N$723,5,FALSE)</f>
        <v>개</v>
      </c>
      <c r="E235" s="580">
        <f>'8-3.노무산출'!H242</f>
        <v>8</v>
      </c>
      <c r="F235" s="744">
        <f>VLOOKUP(A235,'8-4.일위대가표'!$A$4:$N$723,13,FALSE)</f>
        <v>224879</v>
      </c>
      <c r="G235" s="1521">
        <f t="shared" si="13"/>
        <v>1799032</v>
      </c>
      <c r="H235" s="1521"/>
      <c r="I235" s="1521"/>
      <c r="J235" s="405"/>
      <c r="K235" s="1502" t="s">
        <v>3076</v>
      </c>
    </row>
    <row r="236" spans="1:11" s="1502" customFormat="1" ht="24.95" hidden="1" customHeight="1">
      <c r="A236" s="1496" t="str">
        <f>'8-4.일위대가표'!A687</f>
        <v>품5-58-1</v>
      </c>
      <c r="B236" s="1497" t="str">
        <f>VLOOKUP(A236,'8-4.일위대가표'!$A$4:$N$723,2,FALSE)</f>
        <v>기기기초대 설치</v>
      </c>
      <c r="C236" s="1497" t="str">
        <f>VLOOKUP(A236,'8-4.일위대가표'!$A$4:$N$723,3,FALSE)</f>
        <v>감지기폴(40cm*40cm*40cm이상)</v>
      </c>
      <c r="D236" s="1498" t="str">
        <f>VLOOKUP(A236,'8-4.일위대가표'!$A$4:$N$723,5,FALSE)</f>
        <v>개</v>
      </c>
      <c r="E236" s="1499">
        <f>'8-3.노무산출'!H243</f>
        <v>0</v>
      </c>
      <c r="F236" s="1500">
        <f>VLOOKUP(A236,'8-4.일위대가표'!$A$4:$N$723,13,FALSE)</f>
        <v>56219</v>
      </c>
      <c r="G236" s="1521">
        <f t="shared" si="13"/>
        <v>0</v>
      </c>
      <c r="H236" s="1521"/>
      <c r="I236" s="1523"/>
      <c r="J236" s="1508"/>
      <c r="K236" s="1502" t="s">
        <v>3117</v>
      </c>
    </row>
    <row r="237" spans="1:11" s="1502" customFormat="1" ht="24.95" hidden="1" customHeight="1">
      <c r="A237" s="1496" t="str">
        <f>'8-4.일위대가표'!A690</f>
        <v>품5-59</v>
      </c>
      <c r="B237" s="1497" t="str">
        <f>VLOOKUP(A237,'8-4.일위대가표'!$A$4:$N$723,2,FALSE)</f>
        <v>합성수지함 설치</v>
      </c>
      <c r="C237" s="1497" t="str">
        <f>VLOOKUP(A237,'8-4.일위대가표'!$A$4:$N$723,3,FALSE)</f>
        <v>연결용박스</v>
      </c>
      <c r="D237" s="1498" t="str">
        <f>VLOOKUP(A237,'8-4.일위대가표'!$A$4:$N$723,5,FALSE)</f>
        <v>개</v>
      </c>
      <c r="E237" s="1499">
        <f>'8-3.노무산출'!H244</f>
        <v>0</v>
      </c>
      <c r="F237" s="1500">
        <f>VLOOKUP(A237,'8-4.일위대가표'!$A$4:$N$723,13,FALSE)</f>
        <v>9954</v>
      </c>
      <c r="G237" s="1521">
        <f t="shared" si="13"/>
        <v>0</v>
      </c>
      <c r="H237" s="1521"/>
      <c r="I237" s="1523"/>
      <c r="J237" s="1508"/>
      <c r="K237" s="1502" t="s">
        <v>3068</v>
      </c>
    </row>
    <row r="238" spans="1:11" s="22" customFormat="1" ht="24.95" customHeight="1">
      <c r="A238" s="267" t="str">
        <f>'8-4.일위대가표'!A692</f>
        <v>품5-60</v>
      </c>
      <c r="B238" s="396" t="str">
        <f>VLOOKUP(A238,'8-4.일위대가표'!$A$4:$N$723,2,FALSE)</f>
        <v>안내판설치</v>
      </c>
      <c r="C238" s="396" t="str">
        <f>VLOOKUP(A238,'8-4.일위대가표'!$A$4:$N$723,3,FALSE)</f>
        <v>안내판설치</v>
      </c>
      <c r="D238" s="740" t="str">
        <f>VLOOKUP(A238,'8-4.일위대가표'!$A$4:$N$723,5,FALSE)</f>
        <v>개</v>
      </c>
      <c r="E238" s="580">
        <f>'8-3.노무산출'!H245</f>
        <v>1</v>
      </c>
      <c r="F238" s="744">
        <f>VLOOKUP(A238,'8-4.일위대가표'!$A$4:$N$723,13,FALSE)</f>
        <v>38366</v>
      </c>
      <c r="G238" s="1521">
        <f t="shared" si="13"/>
        <v>38366</v>
      </c>
      <c r="H238" s="1521"/>
      <c r="I238" s="1521"/>
      <c r="J238" s="405"/>
      <c r="K238" s="22" t="s">
        <v>3069</v>
      </c>
    </row>
    <row r="239" spans="1:11" s="1502" customFormat="1" ht="24.95" hidden="1" customHeight="1">
      <c r="A239" s="1496" t="str">
        <f>'8-4.일위대가표'!A695</f>
        <v>품5-61</v>
      </c>
      <c r="B239" s="1497" t="str">
        <f>VLOOKUP(A239,'8-4.일위대가표'!$A$4:$N$723,2,FALSE)</f>
        <v>접속및 단자설치</v>
      </c>
      <c r="C239" s="1497" t="str">
        <f>VLOOKUP(A239,'8-4.일위대가표'!$A$4:$N$723,3,FALSE)</f>
        <v>C형 및 원형 슬리브</v>
      </c>
      <c r="D239" s="1498" t="str">
        <f>VLOOKUP(A239,'8-4.일위대가표'!$A$4:$N$723,5,FALSE)</f>
        <v>개</v>
      </c>
      <c r="E239" s="1499">
        <f>'8-3.노무산출'!H246</f>
        <v>0</v>
      </c>
      <c r="F239" s="1500">
        <f>VLOOKUP(A239,'8-4.일위대가표'!$A$4:$N$723,13,FALSE)</f>
        <v>35743</v>
      </c>
      <c r="G239" s="1521">
        <f t="shared" si="13"/>
        <v>0</v>
      </c>
      <c r="H239" s="1521"/>
      <c r="I239" s="1523"/>
      <c r="J239" s="1508"/>
      <c r="K239" s="1502" t="s">
        <v>3070</v>
      </c>
    </row>
    <row r="240" spans="1:11" s="1502" customFormat="1" ht="24.95" hidden="1" customHeight="1">
      <c r="A240" s="1496" t="str">
        <f>'8-4.일위대가표'!A697</f>
        <v>품5-62</v>
      </c>
      <c r="B240" s="1497" t="str">
        <f>VLOOKUP(A240,'8-4.일위대가표'!$A$4:$N$723,2,FALSE)</f>
        <v>PA단말기 설치</v>
      </c>
      <c r="C240" s="1497" t="str">
        <f>VLOOKUP(A240,'8-4.일위대가표'!$A$4:$N$723,3,FALSE)</f>
        <v>부대장치</v>
      </c>
      <c r="D240" s="1498" t="str">
        <f>VLOOKUP(A240,'8-4.일위대가표'!$A$4:$N$723,5,FALSE)</f>
        <v>대</v>
      </c>
      <c r="E240" s="1499">
        <f>'8-3.노무산출'!H247</f>
        <v>0</v>
      </c>
      <c r="F240" s="1500">
        <f>VLOOKUP(A240,'8-4.일위대가표'!$A$4:$N$723,13,FALSE)</f>
        <v>124630</v>
      </c>
      <c r="G240" s="1521">
        <f t="shared" si="13"/>
        <v>0</v>
      </c>
      <c r="H240" s="1521"/>
      <c r="I240" s="1523"/>
      <c r="J240" s="1508"/>
      <c r="K240" s="1502" t="s">
        <v>3071</v>
      </c>
    </row>
    <row r="241" spans="1:11" s="1502" customFormat="1" ht="24.95" hidden="1" customHeight="1">
      <c r="A241" s="1496" t="str">
        <f>'8-4.일위대가표'!A701</f>
        <v>품5-63</v>
      </c>
      <c r="B241" s="1497" t="str">
        <f>VLOOKUP(A241,'8-4.일위대가표'!$A$4:$N$723,2,FALSE)</f>
        <v>전원케이블 포설</v>
      </c>
      <c r="C241" s="1497" t="str">
        <f>VLOOKUP(A241,'8-4.일위대가표'!$A$4:$N$723,3,FALSE)</f>
        <v>FR-CVVS 4SQ-2C,1열 포설</v>
      </c>
      <c r="D241" s="1498" t="str">
        <f>VLOOKUP(A241,'8-4.일위대가표'!$A$4:$N$723,5,FALSE)</f>
        <v>m</v>
      </c>
      <c r="E241" s="1499">
        <f>'8-3.노무산출'!H248</f>
        <v>0</v>
      </c>
      <c r="F241" s="1500">
        <f>VLOOKUP(A241,'8-4.일위대가표'!$A$4:$N$723,13,FALSE)</f>
        <v>7427</v>
      </c>
      <c r="G241" s="1521">
        <f t="shared" si="13"/>
        <v>0</v>
      </c>
      <c r="H241" s="1521"/>
      <c r="I241" s="1523"/>
      <c r="J241" s="1508"/>
      <c r="K241" s="1502" t="s">
        <v>3072</v>
      </c>
    </row>
    <row r="242" spans="1:11" s="1502" customFormat="1" ht="24.95" hidden="1" customHeight="1">
      <c r="A242" s="1496" t="str">
        <f>'8-4.일위대가표'!A703</f>
        <v>품5-63-1</v>
      </c>
      <c r="B242" s="1497" t="str">
        <f>VLOOKUP(A242,'8-4.일위대가표'!$A$4:$N$723,2,FALSE)</f>
        <v>전원케이블 포설</v>
      </c>
      <c r="C242" s="1497" t="str">
        <f>VLOOKUP(A242,'8-4.일위대가표'!$A$4:$N$723,3,FALSE)</f>
        <v>FR-CVVS 4SQ-2C,2열 동시</v>
      </c>
      <c r="D242" s="1498" t="str">
        <f>VLOOKUP(A242,'8-4.일위대가표'!$A$4:$N$723,5,FALSE)</f>
        <v>m</v>
      </c>
      <c r="E242" s="1499">
        <f>'8-3.노무산출'!H249</f>
        <v>0</v>
      </c>
      <c r="F242" s="1500">
        <f>VLOOKUP(A242,'8-4.일위대가표'!$A$4:$N$723,13,FALSE)</f>
        <v>13369</v>
      </c>
      <c r="G242" s="1521">
        <f t="shared" si="13"/>
        <v>0</v>
      </c>
      <c r="H242" s="1521"/>
      <c r="I242" s="1523"/>
      <c r="J242" s="1508"/>
      <c r="K242" s="1502" t="s">
        <v>3149</v>
      </c>
    </row>
    <row r="243" spans="1:11" s="1502" customFormat="1" ht="24.95" hidden="1" customHeight="1">
      <c r="A243" s="1496" t="str">
        <f>'8-4.일위대가표'!A705</f>
        <v>품5-63-2</v>
      </c>
      <c r="B243" s="1497" t="str">
        <f>VLOOKUP(A243,'8-4.일위대가표'!$A$4:$N$723,2,FALSE)</f>
        <v>전원케이블 포설</v>
      </c>
      <c r="C243" s="1497" t="str">
        <f>VLOOKUP(A243,'8-4.일위대가표'!$A$4:$N$723,3,FALSE)</f>
        <v>FR-CVVS 4SQ-2C,3열 동시</v>
      </c>
      <c r="D243" s="1498" t="str">
        <f>VLOOKUP(A243,'8-4.일위대가표'!$A$4:$N$723,5,FALSE)</f>
        <v>m</v>
      </c>
      <c r="E243" s="1499">
        <f>'8-3.노무산출'!H250</f>
        <v>0</v>
      </c>
      <c r="F243" s="1500">
        <f>VLOOKUP(A243,'8-4.일위대가표'!$A$4:$N$723,13,FALSE)</f>
        <v>19311</v>
      </c>
      <c r="G243" s="1521">
        <f t="shared" si="13"/>
        <v>0</v>
      </c>
      <c r="H243" s="1521"/>
      <c r="I243" s="1523"/>
      <c r="J243" s="1508"/>
      <c r="K243" s="1502" t="s">
        <v>3150</v>
      </c>
    </row>
    <row r="244" spans="1:11" s="1502" customFormat="1" ht="24.95" hidden="1" customHeight="1">
      <c r="A244" s="1496" t="str">
        <f>'8-4.일위대가표'!A707</f>
        <v>품5-63-3</v>
      </c>
      <c r="B244" s="1497" t="str">
        <f>VLOOKUP(A244,'8-4.일위대가표'!$A$4:$N$723,2,FALSE)</f>
        <v>전원케이블 포설</v>
      </c>
      <c r="C244" s="1497" t="str">
        <f>VLOOKUP(A244,'8-4.일위대가표'!$A$4:$N$723,3,FALSE)</f>
        <v>FR-CVVS 4SQ-2C,4열 동시</v>
      </c>
      <c r="D244" s="1498" t="str">
        <f>VLOOKUP(A244,'8-4.일위대가표'!$A$4:$N$723,5,FALSE)</f>
        <v>m</v>
      </c>
      <c r="E244" s="1499">
        <f>'8-3.노무산출'!H251</f>
        <v>0</v>
      </c>
      <c r="F244" s="1500">
        <f>VLOOKUP(A244,'8-4.일위대가표'!$A$4:$N$723,13,FALSE)</f>
        <v>25253</v>
      </c>
      <c r="G244" s="1521">
        <f t="shared" si="13"/>
        <v>0</v>
      </c>
      <c r="H244" s="1521"/>
      <c r="I244" s="1523"/>
      <c r="J244" s="1508"/>
      <c r="K244" s="1502" t="s">
        <v>3151</v>
      </c>
    </row>
    <row r="245" spans="1:11" s="1502" customFormat="1" ht="24.95" hidden="1" customHeight="1">
      <c r="A245" s="1496" t="str">
        <f>'8-4.일위대가표'!A709</f>
        <v>품5-64</v>
      </c>
      <c r="B245" s="1497" t="str">
        <f>VLOOKUP(A245,'8-4.일위대가표'!$A$4:$N$723,2,FALSE)</f>
        <v>합성수지제 가요전선관</v>
      </c>
      <c r="C245" s="1497" t="str">
        <f>VLOOKUP(A245,'8-4.일위대가표'!$A$4:$N$723,3,FALSE)</f>
        <v>CD, 22㎜</v>
      </c>
      <c r="D245" s="1498" t="str">
        <f>VLOOKUP(A245,'8-4.일위대가표'!$A$4:$N$723,5,FALSE)</f>
        <v>M</v>
      </c>
      <c r="E245" s="1499">
        <f>'8-3.노무산출'!H252</f>
        <v>0</v>
      </c>
      <c r="F245" s="1500">
        <f>VLOOKUP(A245,'8-4.일위대가표'!$A$4:$N$723,13,FALSE)</f>
        <v>15528</v>
      </c>
      <c r="G245" s="1521">
        <f t="shared" si="13"/>
        <v>0</v>
      </c>
      <c r="H245" s="1521"/>
      <c r="I245" s="1523"/>
      <c r="J245" s="1508"/>
      <c r="K245" s="1502" t="s">
        <v>3073</v>
      </c>
    </row>
    <row r="246" spans="1:11" s="1502" customFormat="1" ht="24.95" hidden="1" customHeight="1">
      <c r="A246" s="1496" t="str">
        <f>'8-4.일위대가표'!A712</f>
        <v>품5-65</v>
      </c>
      <c r="B246" s="1497" t="str">
        <f>VLOOKUP(A246,'8-4.일위대가표'!$A$4:$N$723,2,FALSE)</f>
        <v>벽관통 구멍파기</v>
      </c>
      <c r="C246" s="1497" t="str">
        <f>VLOOKUP(A246,'8-4.일위대가표'!$A$4:$N$723,3,FALSE)</f>
        <v>직경 10cm, 벽두께 25cm</v>
      </c>
      <c r="D246" s="1498" t="str">
        <f>VLOOKUP(A246,'8-4.일위대가표'!$A$4:$N$723,5,FALSE)</f>
        <v>개소</v>
      </c>
      <c r="E246" s="1499">
        <f>'8-3.노무산출'!H253</f>
        <v>0</v>
      </c>
      <c r="F246" s="1500">
        <f>VLOOKUP(A246,'8-4.일위대가표'!$A$4:$N$723,13,FALSE)</f>
        <v>39396</v>
      </c>
      <c r="G246" s="1521">
        <f t="shared" si="13"/>
        <v>0</v>
      </c>
      <c r="H246" s="1521"/>
      <c r="I246" s="1523"/>
      <c r="J246" s="1508"/>
      <c r="K246" s="1502" t="s">
        <v>3074</v>
      </c>
    </row>
    <row r="247" spans="1:11" s="1502" customFormat="1" ht="24.95" hidden="1" customHeight="1">
      <c r="A247" s="1496" t="str">
        <f>'8-4.일위대가표'!A714</f>
        <v>품5-65-1</v>
      </c>
      <c r="B247" s="1497" t="str">
        <f>VLOOKUP(A247,'8-4.일위대가표'!$A$4:$N$723,2,FALSE)</f>
        <v>배관용 구멍뚫기(코어드릴 사용기준)</v>
      </c>
      <c r="C247" s="1497" t="str">
        <f>VLOOKUP(A247,'8-4.일위대가표'!$A$4:$N$723,3,FALSE)</f>
        <v>직경 2.5cm, 바닥두께 30cm 이하</v>
      </c>
      <c r="D247" s="1498" t="str">
        <f>VLOOKUP(A247,'8-4.일위대가표'!$A$4:$N$723,5,FALSE)</f>
        <v>개소</v>
      </c>
      <c r="E247" s="1499">
        <f>'8-3.노무산출'!H254</f>
        <v>0</v>
      </c>
      <c r="F247" s="1500">
        <f>VLOOKUP(A247,'8-4.일위대가표'!$A$4:$N$723,13,FALSE)</f>
        <v>58383</v>
      </c>
      <c r="G247" s="1521">
        <f t="shared" si="13"/>
        <v>0</v>
      </c>
      <c r="H247" s="1521"/>
      <c r="I247" s="1523"/>
      <c r="J247" s="1508"/>
      <c r="K247" s="1502" t="s">
        <v>3152</v>
      </c>
    </row>
    <row r="248" spans="1:11" s="1502" customFormat="1" ht="24.95" hidden="1" customHeight="1">
      <c r="A248" s="1496" t="str">
        <f>'8-4.일위대가표'!A717</f>
        <v>품5-65-2</v>
      </c>
      <c r="B248" s="1497" t="str">
        <f>VLOOKUP(A248,'8-4.일위대가표'!$A$4:$N$723,2,FALSE)</f>
        <v>배관용 구멍뚫기(코어드릴 사용기준)</v>
      </c>
      <c r="C248" s="1497" t="str">
        <f>VLOOKUP(A248,'8-4.일위대가표'!$A$4:$N$723,3,FALSE)</f>
        <v>직경 2.5cm, 벽두께 30cm 이하</v>
      </c>
      <c r="D248" s="1498" t="str">
        <f>VLOOKUP(A248,'8-4.일위대가표'!$A$4:$N$723,5,FALSE)</f>
        <v>개소</v>
      </c>
      <c r="E248" s="1499">
        <f>'8-3.노무산출'!H255</f>
        <v>0</v>
      </c>
      <c r="F248" s="1500">
        <f>VLOOKUP(A248,'8-4.일위대가표'!$A$4:$N$723,13,FALSE)</f>
        <v>75554</v>
      </c>
      <c r="G248" s="1521">
        <f t="shared" si="13"/>
        <v>0</v>
      </c>
      <c r="H248" s="1521"/>
      <c r="I248" s="1523"/>
      <c r="J248" s="1508"/>
      <c r="K248" s="1502" t="s">
        <v>3153</v>
      </c>
    </row>
    <row r="249" spans="1:11" s="22" customFormat="1" ht="24.95" customHeight="1">
      <c r="A249" s="267" t="str">
        <f>'8-4.일위대가표'!A720</f>
        <v>품5-66</v>
      </c>
      <c r="B249" s="396" t="str">
        <f>VLOOKUP(A249,'8-4.일위대가표'!$A$4:$N$723,2,FALSE)</f>
        <v>케이블 명찰 취부</v>
      </c>
      <c r="C249" s="396" t="str">
        <f>VLOOKUP(A249,'8-4.일위대가표'!$A$4:$N$723,3,FALSE)</f>
        <v>식별표시용</v>
      </c>
      <c r="D249" s="740" t="str">
        <f>VLOOKUP(A249,'8-4.일위대가표'!$A$4:$N$723,5,FALSE)</f>
        <v>개</v>
      </c>
      <c r="E249" s="580">
        <f>'8-3.노무산출'!H256</f>
        <v>16</v>
      </c>
      <c r="F249" s="744">
        <f>VLOOKUP(A249,'8-4.일위대가표'!$A$4:$N$723,13,FALSE)</f>
        <v>1500</v>
      </c>
      <c r="G249" s="1521">
        <f t="shared" si="13"/>
        <v>24000</v>
      </c>
      <c r="H249" s="1521"/>
      <c r="I249" s="1521"/>
      <c r="J249" s="405"/>
      <c r="K249" s="22" t="s">
        <v>3075</v>
      </c>
    </row>
    <row r="250" spans="1:11" s="22" customFormat="1" ht="24.95" customHeight="1">
      <c r="A250" s="267" t="str">
        <f>'8-4.일위대가표'!A722</f>
        <v>품5-67</v>
      </c>
      <c r="B250" s="396" t="str">
        <f>'8-4.일위대가표'!B722</f>
        <v>신호수 배치</v>
      </c>
      <c r="C250" s="396" t="str">
        <f>'8-4.일위대가표'!C722</f>
        <v>-</v>
      </c>
      <c r="D250" s="740" t="str">
        <f>'8-4.일위대가표'!E722</f>
        <v>인/일</v>
      </c>
      <c r="E250" s="580">
        <f>'8-3.노무산출'!H257</f>
        <v>26</v>
      </c>
      <c r="F250" s="744">
        <f>'8-3.노무산출'!I257</f>
        <v>150079</v>
      </c>
      <c r="G250" s="1521">
        <f t="shared" si="13"/>
        <v>3902054</v>
      </c>
      <c r="H250" s="1521"/>
      <c r="I250" s="1521"/>
      <c r="J250" s="405"/>
    </row>
    <row r="251" spans="1:11" s="22" customFormat="1" ht="24.95" customHeight="1">
      <c r="A251" s="2104" t="s">
        <v>2607</v>
      </c>
      <c r="B251" s="1992"/>
      <c r="C251" s="1993"/>
      <c r="D251" s="740"/>
      <c r="E251" s="580"/>
      <c r="F251" s="744"/>
      <c r="G251" s="1521"/>
      <c r="H251" s="1521"/>
      <c r="I251" s="1524">
        <f>SUM(I43:I250)</f>
        <v>19816737.499999996</v>
      </c>
      <c r="J251" s="405"/>
    </row>
  </sheetData>
  <autoFilter ref="A157:WVS249" xr:uid="{E460790E-3E02-4FB0-9968-8551DC1DF4D7}"/>
  <mergeCells count="15">
    <mergeCell ref="H41:I41"/>
    <mergeCell ref="A251:C251"/>
    <mergeCell ref="J5:J6"/>
    <mergeCell ref="A41:A42"/>
    <mergeCell ref="B41:B42"/>
    <mergeCell ref="C41:C42"/>
    <mergeCell ref="D41:D42"/>
    <mergeCell ref="J41:J42"/>
    <mergeCell ref="E41:E42"/>
    <mergeCell ref="F41:G41"/>
    <mergeCell ref="A5:A6"/>
    <mergeCell ref="B5:B6"/>
    <mergeCell ref="C5:C6"/>
    <mergeCell ref="D5:D6"/>
    <mergeCell ref="F5:F6"/>
  </mergeCells>
  <phoneticPr fontId="60" type="noConversion"/>
  <printOptions horizontalCentered="1"/>
  <pageMargins left="0.35433070866141736" right="0.19685039370078741" top="0.43307086614173229" bottom="0.27559055118110237" header="0.31496062992125984" footer="0.15748031496062992"/>
  <pageSetup paperSize="9" scale="59" orientation="landscape" r:id="rId1"/>
  <headerFooter>
    <oddFooter>&amp;C&amp;P / &amp;N</oddFooter>
  </headerFooter>
  <rowBreaks count="1" manualBreakCount="1">
    <brk id="222" max="10"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19"/>
  <dimension ref="A1:G23"/>
  <sheetViews>
    <sheetView view="pageBreakPreview" zoomScale="85" zoomScaleNormal="100" zoomScaleSheetLayoutView="85" workbookViewId="0">
      <selection activeCell="J20" sqref="J20"/>
    </sheetView>
  </sheetViews>
  <sheetFormatPr defaultRowHeight="16.5"/>
  <cols>
    <col min="1" max="6" width="10.625" style="5" customWidth="1"/>
    <col min="7" max="7" width="5.625" style="5" customWidth="1"/>
    <col min="8" max="255" width="9" style="5"/>
    <col min="256" max="256" width="11.125" style="5" customWidth="1"/>
    <col min="257" max="262" width="9" style="5"/>
    <col min="263" max="263" width="4.25" style="5" customWidth="1"/>
    <col min="264" max="511" width="9" style="5"/>
    <col min="512" max="512" width="11.125" style="5" customWidth="1"/>
    <col min="513" max="518" width="9" style="5"/>
    <col min="519" max="519" width="4.25" style="5" customWidth="1"/>
    <col min="520" max="767" width="9" style="5"/>
    <col min="768" max="768" width="11.125" style="5" customWidth="1"/>
    <col min="769" max="774" width="9" style="5"/>
    <col min="775" max="775" width="4.25" style="5" customWidth="1"/>
    <col min="776" max="1023" width="9" style="5"/>
    <col min="1024" max="1024" width="11.125" style="5" customWidth="1"/>
    <col min="1025" max="1030" width="9" style="5"/>
    <col min="1031" max="1031" width="4.25" style="5" customWidth="1"/>
    <col min="1032" max="1279" width="9" style="5"/>
    <col min="1280" max="1280" width="11.125" style="5" customWidth="1"/>
    <col min="1281" max="1286" width="9" style="5"/>
    <col min="1287" max="1287" width="4.25" style="5" customWidth="1"/>
    <col min="1288" max="1535" width="9" style="5"/>
    <col min="1536" max="1536" width="11.125" style="5" customWidth="1"/>
    <col min="1537" max="1542" width="9" style="5"/>
    <col min="1543" max="1543" width="4.25" style="5" customWidth="1"/>
    <col min="1544" max="1791" width="9" style="5"/>
    <col min="1792" max="1792" width="11.125" style="5" customWidth="1"/>
    <col min="1793" max="1798" width="9" style="5"/>
    <col min="1799" max="1799" width="4.25" style="5" customWidth="1"/>
    <col min="1800" max="2047" width="9" style="5"/>
    <col min="2048" max="2048" width="11.125" style="5" customWidth="1"/>
    <col min="2049" max="2054" width="9" style="5"/>
    <col min="2055" max="2055" width="4.25" style="5" customWidth="1"/>
    <col min="2056" max="2303" width="9" style="5"/>
    <col min="2304" max="2304" width="11.125" style="5" customWidth="1"/>
    <col min="2305" max="2310" width="9" style="5"/>
    <col min="2311" max="2311" width="4.25" style="5" customWidth="1"/>
    <col min="2312" max="2559" width="9" style="5"/>
    <col min="2560" max="2560" width="11.125" style="5" customWidth="1"/>
    <col min="2561" max="2566" width="9" style="5"/>
    <col min="2567" max="2567" width="4.25" style="5" customWidth="1"/>
    <col min="2568" max="2815" width="9" style="5"/>
    <col min="2816" max="2816" width="11.125" style="5" customWidth="1"/>
    <col min="2817" max="2822" width="9" style="5"/>
    <col min="2823" max="2823" width="4.25" style="5" customWidth="1"/>
    <col min="2824" max="3071" width="9" style="5"/>
    <col min="3072" max="3072" width="11.125" style="5" customWidth="1"/>
    <col min="3073" max="3078" width="9" style="5"/>
    <col min="3079" max="3079" width="4.25" style="5" customWidth="1"/>
    <col min="3080" max="3327" width="9" style="5"/>
    <col min="3328" max="3328" width="11.125" style="5" customWidth="1"/>
    <col min="3329" max="3334" width="9" style="5"/>
    <col min="3335" max="3335" width="4.25" style="5" customWidth="1"/>
    <col min="3336" max="3583" width="9" style="5"/>
    <col min="3584" max="3584" width="11.125" style="5" customWidth="1"/>
    <col min="3585" max="3590" width="9" style="5"/>
    <col min="3591" max="3591" width="4.25" style="5" customWidth="1"/>
    <col min="3592" max="3839" width="9" style="5"/>
    <col min="3840" max="3840" width="11.125" style="5" customWidth="1"/>
    <col min="3841" max="3846" width="9" style="5"/>
    <col min="3847" max="3847" width="4.25" style="5" customWidth="1"/>
    <col min="3848" max="4095" width="9" style="5"/>
    <col min="4096" max="4096" width="11.125" style="5" customWidth="1"/>
    <col min="4097" max="4102" width="9" style="5"/>
    <col min="4103" max="4103" width="4.25" style="5" customWidth="1"/>
    <col min="4104" max="4351" width="9" style="5"/>
    <col min="4352" max="4352" width="11.125" style="5" customWidth="1"/>
    <col min="4353" max="4358" width="9" style="5"/>
    <col min="4359" max="4359" width="4.25" style="5" customWidth="1"/>
    <col min="4360" max="4607" width="9" style="5"/>
    <col min="4608" max="4608" width="11.125" style="5" customWidth="1"/>
    <col min="4609" max="4614" width="9" style="5"/>
    <col min="4615" max="4615" width="4.25" style="5" customWidth="1"/>
    <col min="4616" max="4863" width="9" style="5"/>
    <col min="4864" max="4864" width="11.125" style="5" customWidth="1"/>
    <col min="4865" max="4870" width="9" style="5"/>
    <col min="4871" max="4871" width="4.25" style="5" customWidth="1"/>
    <col min="4872" max="5119" width="9" style="5"/>
    <col min="5120" max="5120" width="11.125" style="5" customWidth="1"/>
    <col min="5121" max="5126" width="9" style="5"/>
    <col min="5127" max="5127" width="4.25" style="5" customWidth="1"/>
    <col min="5128" max="5375" width="9" style="5"/>
    <col min="5376" max="5376" width="11.125" style="5" customWidth="1"/>
    <col min="5377" max="5382" width="9" style="5"/>
    <col min="5383" max="5383" width="4.25" style="5" customWidth="1"/>
    <col min="5384" max="5631" width="9" style="5"/>
    <col min="5632" max="5632" width="11.125" style="5" customWidth="1"/>
    <col min="5633" max="5638" width="9" style="5"/>
    <col min="5639" max="5639" width="4.25" style="5" customWidth="1"/>
    <col min="5640" max="5887" width="9" style="5"/>
    <col min="5888" max="5888" width="11.125" style="5" customWidth="1"/>
    <col min="5889" max="5894" width="9" style="5"/>
    <col min="5895" max="5895" width="4.25" style="5" customWidth="1"/>
    <col min="5896" max="6143" width="9" style="5"/>
    <col min="6144" max="6144" width="11.125" style="5" customWidth="1"/>
    <col min="6145" max="6150" width="9" style="5"/>
    <col min="6151" max="6151" width="4.25" style="5" customWidth="1"/>
    <col min="6152" max="6399" width="9" style="5"/>
    <col min="6400" max="6400" width="11.125" style="5" customWidth="1"/>
    <col min="6401" max="6406" width="9" style="5"/>
    <col min="6407" max="6407" width="4.25" style="5" customWidth="1"/>
    <col min="6408" max="6655" width="9" style="5"/>
    <col min="6656" max="6656" width="11.125" style="5" customWidth="1"/>
    <col min="6657" max="6662" width="9" style="5"/>
    <col min="6663" max="6663" width="4.25" style="5" customWidth="1"/>
    <col min="6664" max="6911" width="9" style="5"/>
    <col min="6912" max="6912" width="11.125" style="5" customWidth="1"/>
    <col min="6913" max="6918" width="9" style="5"/>
    <col min="6919" max="6919" width="4.25" style="5" customWidth="1"/>
    <col min="6920" max="7167" width="9" style="5"/>
    <col min="7168" max="7168" width="11.125" style="5" customWidth="1"/>
    <col min="7169" max="7174" width="9" style="5"/>
    <col min="7175" max="7175" width="4.25" style="5" customWidth="1"/>
    <col min="7176" max="7423" width="9" style="5"/>
    <col min="7424" max="7424" width="11.125" style="5" customWidth="1"/>
    <col min="7425" max="7430" width="9" style="5"/>
    <col min="7431" max="7431" width="4.25" style="5" customWidth="1"/>
    <col min="7432" max="7679" width="9" style="5"/>
    <col min="7680" max="7680" width="11.125" style="5" customWidth="1"/>
    <col min="7681" max="7686" width="9" style="5"/>
    <col min="7687" max="7687" width="4.25" style="5" customWidth="1"/>
    <col min="7688" max="7935" width="9" style="5"/>
    <col min="7936" max="7936" width="11.125" style="5" customWidth="1"/>
    <col min="7937" max="7942" width="9" style="5"/>
    <col min="7943" max="7943" width="4.25" style="5" customWidth="1"/>
    <col min="7944" max="8191" width="9" style="5"/>
    <col min="8192" max="8192" width="11.125" style="5" customWidth="1"/>
    <col min="8193" max="8198" width="9" style="5"/>
    <col min="8199" max="8199" width="4.25" style="5" customWidth="1"/>
    <col min="8200" max="8447" width="9" style="5"/>
    <col min="8448" max="8448" width="11.125" style="5" customWidth="1"/>
    <col min="8449" max="8454" width="9" style="5"/>
    <col min="8455" max="8455" width="4.25" style="5" customWidth="1"/>
    <col min="8456" max="8703" width="9" style="5"/>
    <col min="8704" max="8704" width="11.125" style="5" customWidth="1"/>
    <col min="8705" max="8710" width="9" style="5"/>
    <col min="8711" max="8711" width="4.25" style="5" customWidth="1"/>
    <col min="8712" max="8959" width="9" style="5"/>
    <col min="8960" max="8960" width="11.125" style="5" customWidth="1"/>
    <col min="8961" max="8966" width="9" style="5"/>
    <col min="8967" max="8967" width="4.25" style="5" customWidth="1"/>
    <col min="8968" max="9215" width="9" style="5"/>
    <col min="9216" max="9216" width="11.125" style="5" customWidth="1"/>
    <col min="9217" max="9222" width="9" style="5"/>
    <col min="9223" max="9223" width="4.25" style="5" customWidth="1"/>
    <col min="9224" max="9471" width="9" style="5"/>
    <col min="9472" max="9472" width="11.125" style="5" customWidth="1"/>
    <col min="9473" max="9478" width="9" style="5"/>
    <col min="9479" max="9479" width="4.25" style="5" customWidth="1"/>
    <col min="9480" max="9727" width="9" style="5"/>
    <col min="9728" max="9728" width="11.125" style="5" customWidth="1"/>
    <col min="9729" max="9734" width="9" style="5"/>
    <col min="9735" max="9735" width="4.25" style="5" customWidth="1"/>
    <col min="9736" max="9983" width="9" style="5"/>
    <col min="9984" max="9984" width="11.125" style="5" customWidth="1"/>
    <col min="9985" max="9990" width="9" style="5"/>
    <col min="9991" max="9991" width="4.25" style="5" customWidth="1"/>
    <col min="9992" max="10239" width="9" style="5"/>
    <col min="10240" max="10240" width="11.125" style="5" customWidth="1"/>
    <col min="10241" max="10246" width="9" style="5"/>
    <col min="10247" max="10247" width="4.25" style="5" customWidth="1"/>
    <col min="10248" max="10495" width="9" style="5"/>
    <col min="10496" max="10496" width="11.125" style="5" customWidth="1"/>
    <col min="10497" max="10502" width="9" style="5"/>
    <col min="10503" max="10503" width="4.25" style="5" customWidth="1"/>
    <col min="10504" max="10751" width="9" style="5"/>
    <col min="10752" max="10752" width="11.125" style="5" customWidth="1"/>
    <col min="10753" max="10758" width="9" style="5"/>
    <col min="10759" max="10759" width="4.25" style="5" customWidth="1"/>
    <col min="10760" max="11007" width="9" style="5"/>
    <col min="11008" max="11008" width="11.125" style="5" customWidth="1"/>
    <col min="11009" max="11014" width="9" style="5"/>
    <col min="11015" max="11015" width="4.25" style="5" customWidth="1"/>
    <col min="11016" max="11263" width="9" style="5"/>
    <col min="11264" max="11264" width="11.125" style="5" customWidth="1"/>
    <col min="11265" max="11270" width="9" style="5"/>
    <col min="11271" max="11271" width="4.25" style="5" customWidth="1"/>
    <col min="11272" max="11519" width="9" style="5"/>
    <col min="11520" max="11520" width="11.125" style="5" customWidth="1"/>
    <col min="11521" max="11526" width="9" style="5"/>
    <col min="11527" max="11527" width="4.25" style="5" customWidth="1"/>
    <col min="11528" max="11775" width="9" style="5"/>
    <col min="11776" max="11776" width="11.125" style="5" customWidth="1"/>
    <col min="11777" max="11782" width="9" style="5"/>
    <col min="11783" max="11783" width="4.25" style="5" customWidth="1"/>
    <col min="11784" max="12031" width="9" style="5"/>
    <col min="12032" max="12032" width="11.125" style="5" customWidth="1"/>
    <col min="12033" max="12038" width="9" style="5"/>
    <col min="12039" max="12039" width="4.25" style="5" customWidth="1"/>
    <col min="12040" max="12287" width="9" style="5"/>
    <col min="12288" max="12288" width="11.125" style="5" customWidth="1"/>
    <col min="12289" max="12294" width="9" style="5"/>
    <col min="12295" max="12295" width="4.25" style="5" customWidth="1"/>
    <col min="12296" max="12543" width="9" style="5"/>
    <col min="12544" max="12544" width="11.125" style="5" customWidth="1"/>
    <col min="12545" max="12550" width="9" style="5"/>
    <col min="12551" max="12551" width="4.25" style="5" customWidth="1"/>
    <col min="12552" max="12799" width="9" style="5"/>
    <col min="12800" max="12800" width="11.125" style="5" customWidth="1"/>
    <col min="12801" max="12806" width="9" style="5"/>
    <col min="12807" max="12807" width="4.25" style="5" customWidth="1"/>
    <col min="12808" max="13055" width="9" style="5"/>
    <col min="13056" max="13056" width="11.125" style="5" customWidth="1"/>
    <col min="13057" max="13062" width="9" style="5"/>
    <col min="13063" max="13063" width="4.25" style="5" customWidth="1"/>
    <col min="13064" max="13311" width="9" style="5"/>
    <col min="13312" max="13312" width="11.125" style="5" customWidth="1"/>
    <col min="13313" max="13318" width="9" style="5"/>
    <col min="13319" max="13319" width="4.25" style="5" customWidth="1"/>
    <col min="13320" max="13567" width="9" style="5"/>
    <col min="13568" max="13568" width="11.125" style="5" customWidth="1"/>
    <col min="13569" max="13574" width="9" style="5"/>
    <col min="13575" max="13575" width="4.25" style="5" customWidth="1"/>
    <col min="13576" max="13823" width="9" style="5"/>
    <col min="13824" max="13824" width="11.125" style="5" customWidth="1"/>
    <col min="13825" max="13830" width="9" style="5"/>
    <col min="13831" max="13831" width="4.25" style="5" customWidth="1"/>
    <col min="13832" max="14079" width="9" style="5"/>
    <col min="14080" max="14080" width="11.125" style="5" customWidth="1"/>
    <col min="14081" max="14086" width="9" style="5"/>
    <col min="14087" max="14087" width="4.25" style="5" customWidth="1"/>
    <col min="14088" max="14335" width="9" style="5"/>
    <col min="14336" max="14336" width="11.125" style="5" customWidth="1"/>
    <col min="14337" max="14342" width="9" style="5"/>
    <col min="14343" max="14343" width="4.25" style="5" customWidth="1"/>
    <col min="14344" max="14591" width="9" style="5"/>
    <col min="14592" max="14592" width="11.125" style="5" customWidth="1"/>
    <col min="14593" max="14598" width="9" style="5"/>
    <col min="14599" max="14599" width="4.25" style="5" customWidth="1"/>
    <col min="14600" max="14847" width="9" style="5"/>
    <col min="14848" max="14848" width="11.125" style="5" customWidth="1"/>
    <col min="14849" max="14854" width="9" style="5"/>
    <col min="14855" max="14855" width="4.25" style="5" customWidth="1"/>
    <col min="14856" max="15103" width="9" style="5"/>
    <col min="15104" max="15104" width="11.125" style="5" customWidth="1"/>
    <col min="15105" max="15110" width="9" style="5"/>
    <col min="15111" max="15111" width="4.25" style="5" customWidth="1"/>
    <col min="15112" max="15359" width="9" style="5"/>
    <col min="15360" max="15360" width="11.125" style="5" customWidth="1"/>
    <col min="15361" max="15366" width="9" style="5"/>
    <col min="15367" max="15367" width="4.25" style="5" customWidth="1"/>
    <col min="15368" max="15615" width="9" style="5"/>
    <col min="15616" max="15616" width="11.125" style="5" customWidth="1"/>
    <col min="15617" max="15622" width="9" style="5"/>
    <col min="15623" max="15623" width="4.25" style="5" customWidth="1"/>
    <col min="15624" max="15871" width="9" style="5"/>
    <col min="15872" max="15872" width="11.125" style="5" customWidth="1"/>
    <col min="15873" max="15878" width="9" style="5"/>
    <col min="15879" max="15879" width="4.25" style="5" customWidth="1"/>
    <col min="15880" max="16127" width="9" style="5"/>
    <col min="16128" max="16128" width="11.125" style="5" customWidth="1"/>
    <col min="16129" max="16134" width="9" style="5"/>
    <col min="16135" max="16135" width="4.25" style="5" customWidth="1"/>
    <col min="16136" max="16384" width="9" style="5"/>
  </cols>
  <sheetData>
    <row r="1" spans="1:7" ht="35.1" customHeight="1">
      <c r="A1" s="4"/>
      <c r="B1" s="4"/>
      <c r="C1" s="4"/>
      <c r="D1" s="4"/>
      <c r="E1" s="4"/>
      <c r="F1" s="4"/>
      <c r="G1" s="4"/>
    </row>
    <row r="2" spans="1:7" ht="35.1" customHeight="1">
      <c r="A2" s="4"/>
      <c r="B2" s="4"/>
      <c r="C2" s="4"/>
      <c r="D2" s="4"/>
      <c r="E2" s="4"/>
      <c r="F2" s="4"/>
      <c r="G2" s="4"/>
    </row>
    <row r="3" spans="1:7" s="6" customFormat="1" ht="35.1" customHeight="1">
      <c r="A3" s="2107" t="s">
        <v>2620</v>
      </c>
      <c r="B3" s="2107"/>
      <c r="C3" s="2107"/>
      <c r="D3" s="2107"/>
      <c r="E3" s="2107"/>
      <c r="F3" s="2107"/>
      <c r="G3" s="2107"/>
    </row>
    <row r="4" spans="1:7" ht="35.1" customHeight="1">
      <c r="A4" s="4"/>
      <c r="B4" s="4"/>
      <c r="C4" s="4"/>
      <c r="D4" s="4"/>
      <c r="E4" s="4"/>
      <c r="F4" s="4"/>
      <c r="G4" s="4"/>
    </row>
    <row r="5" spans="1:7" ht="35.1" customHeight="1">
      <c r="A5" s="4"/>
      <c r="B5" s="4"/>
      <c r="C5" s="4"/>
      <c r="D5" s="4"/>
      <c r="E5" s="4"/>
      <c r="F5" s="4"/>
      <c r="G5" s="4"/>
    </row>
    <row r="6" spans="1:7" s="8" customFormat="1" ht="24.95" customHeight="1">
      <c r="A6" s="7" t="s">
        <v>452</v>
      </c>
      <c r="D6" s="7"/>
      <c r="E6" s="7"/>
      <c r="F6" s="7"/>
      <c r="G6" s="7"/>
    </row>
    <row r="7" spans="1:7" s="8" customFormat="1" ht="24.95" customHeight="1">
      <c r="A7" s="7"/>
      <c r="C7" s="7"/>
      <c r="D7" s="7"/>
      <c r="E7" s="7"/>
      <c r="F7" s="7"/>
      <c r="G7" s="7"/>
    </row>
    <row r="8" spans="1:7" s="8" customFormat="1" ht="24.95" customHeight="1">
      <c r="A8" s="7" t="s">
        <v>453</v>
      </c>
      <c r="D8" s="7"/>
      <c r="E8" s="7"/>
      <c r="F8" s="7"/>
      <c r="G8" s="7"/>
    </row>
    <row r="9" spans="1:7" s="8" customFormat="1" ht="24.95" customHeight="1">
      <c r="A9" s="7"/>
      <c r="C9" s="7"/>
      <c r="D9" s="7"/>
      <c r="E9" s="7"/>
      <c r="F9" s="7"/>
      <c r="G9" s="7"/>
    </row>
    <row r="10" spans="1:7" s="8" customFormat="1" ht="24.95" customHeight="1">
      <c r="A10" s="7" t="s">
        <v>2442</v>
      </c>
      <c r="D10" s="7"/>
      <c r="E10" s="7"/>
      <c r="F10" s="7"/>
      <c r="G10" s="7"/>
    </row>
    <row r="11" spans="1:7" s="8" customFormat="1" ht="24.95" customHeight="1">
      <c r="A11" s="7"/>
      <c r="C11" s="7"/>
      <c r="D11" s="7"/>
      <c r="E11" s="7"/>
      <c r="F11" s="7"/>
      <c r="G11" s="7"/>
    </row>
    <row r="12" spans="1:7" s="8" customFormat="1" ht="24.95" customHeight="1">
      <c r="A12" s="7" t="s">
        <v>2443</v>
      </c>
      <c r="D12" s="7"/>
      <c r="E12" s="7"/>
      <c r="F12" s="7"/>
      <c r="G12" s="7"/>
    </row>
    <row r="13" spans="1:7" s="8" customFormat="1" ht="24.95" customHeight="1">
      <c r="A13" s="7"/>
      <c r="C13" s="7"/>
      <c r="D13" s="7"/>
      <c r="E13" s="7"/>
      <c r="F13" s="7"/>
      <c r="G13" s="7"/>
    </row>
    <row r="14" spans="1:7" s="8" customFormat="1" ht="24.95" customHeight="1">
      <c r="A14" s="7" t="s">
        <v>2444</v>
      </c>
      <c r="D14" s="7"/>
      <c r="E14" s="7"/>
      <c r="F14" s="7"/>
      <c r="G14" s="7"/>
    </row>
    <row r="15" spans="1:7" s="8" customFormat="1" ht="24.95" customHeight="1">
      <c r="A15" s="7"/>
      <c r="C15" s="7"/>
      <c r="D15" s="7"/>
      <c r="E15" s="7"/>
      <c r="F15" s="7"/>
      <c r="G15" s="7"/>
    </row>
    <row r="16" spans="1:7" s="8" customFormat="1" ht="24.95" customHeight="1">
      <c r="A16" s="7" t="s">
        <v>2445</v>
      </c>
      <c r="D16" s="7"/>
      <c r="E16" s="7"/>
      <c r="F16" s="7"/>
      <c r="G16" s="7"/>
    </row>
    <row r="17" spans="1:7" s="8" customFormat="1" ht="24.95" customHeight="1">
      <c r="A17" s="7"/>
      <c r="C17" s="7"/>
      <c r="D17" s="7"/>
      <c r="E17" s="7"/>
      <c r="F17" s="7"/>
      <c r="G17" s="7"/>
    </row>
    <row r="18" spans="1:7" s="8" customFormat="1" ht="24.95" customHeight="1">
      <c r="A18" s="240"/>
      <c r="B18" s="241"/>
      <c r="D18" s="7"/>
      <c r="E18" s="7"/>
      <c r="F18" s="7"/>
      <c r="G18" s="7"/>
    </row>
    <row r="19" spans="1:7" s="8" customFormat="1" ht="24.95" customHeight="1">
      <c r="A19" s="7"/>
      <c r="C19" s="7"/>
      <c r="D19" s="7"/>
      <c r="E19" s="7"/>
      <c r="F19" s="7"/>
      <c r="G19" s="7"/>
    </row>
    <row r="20" spans="1:7" s="8" customFormat="1" ht="24.95" customHeight="1">
      <c r="A20" s="7"/>
      <c r="D20" s="7"/>
      <c r="E20" s="7"/>
      <c r="F20" s="7"/>
      <c r="G20" s="7"/>
    </row>
    <row r="21" spans="1:7" s="8" customFormat="1" ht="24.95" customHeight="1">
      <c r="A21" s="7"/>
      <c r="C21" s="7"/>
      <c r="D21" s="7"/>
      <c r="E21" s="7"/>
      <c r="F21" s="7"/>
      <c r="G21" s="7"/>
    </row>
    <row r="22" spans="1:7" s="8" customFormat="1" ht="24.95" customHeight="1">
      <c r="A22" s="7"/>
      <c r="D22" s="7"/>
      <c r="E22" s="7"/>
      <c r="F22" s="7"/>
      <c r="G22" s="7"/>
    </row>
    <row r="23" spans="1:7" ht="24.75" customHeight="1">
      <c r="A23" s="4"/>
      <c r="B23" s="4"/>
      <c r="C23" s="4"/>
      <c r="D23" s="4"/>
      <c r="E23" s="4"/>
      <c r="F23" s="4"/>
      <c r="G23" s="4"/>
    </row>
  </sheetData>
  <mergeCells count="1">
    <mergeCell ref="A3:G3"/>
  </mergeCells>
  <phoneticPr fontId="6" type="noConversion"/>
  <printOptions horizontalCentered="1"/>
  <pageMargins left="0.39370078740157483" right="0.39370078740157483" top="0.78740157480314965" bottom="0.39370078740157483" header="0.31496062992125984" footer="0.31496062992125984"/>
  <pageSetup paperSize="9" scale="105"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0"/>
  <dimension ref="A1:K36"/>
  <sheetViews>
    <sheetView view="pageBreakPreview" zoomScale="85" zoomScaleNormal="100" zoomScaleSheetLayoutView="85" workbookViewId="0">
      <selection activeCell="J28" sqref="J28:R28"/>
    </sheetView>
  </sheetViews>
  <sheetFormatPr defaultColWidth="9" defaultRowHeight="16.5"/>
  <cols>
    <col min="1" max="1" width="5.625" style="114" customWidth="1"/>
    <col min="2" max="9" width="9" style="114"/>
    <col min="10" max="10" width="5.625" style="114" customWidth="1"/>
    <col min="11" max="16384" width="9" style="114"/>
  </cols>
  <sheetData>
    <row r="1" spans="1:10" ht="31.5" customHeight="1"/>
    <row r="2" spans="1:10" ht="31.5" customHeight="1"/>
    <row r="3" spans="1:10" ht="31.5" customHeight="1">
      <c r="A3" s="2108" t="s">
        <v>2621</v>
      </c>
      <c r="B3" s="2108"/>
      <c r="C3" s="2108"/>
      <c r="D3" s="2108"/>
      <c r="E3" s="2108"/>
      <c r="F3" s="2108"/>
      <c r="G3" s="2108"/>
      <c r="H3" s="2108"/>
      <c r="I3" s="2108"/>
      <c r="J3" s="116"/>
    </row>
    <row r="4" spans="1:10" s="115" customFormat="1" ht="24.75" customHeight="1"/>
    <row r="5" spans="1:10" s="115" customFormat="1" ht="24.95" customHeight="1"/>
    <row r="6" spans="1:10" s="115" customFormat="1" ht="24.95" hidden="1" customHeight="1"/>
    <row r="7" spans="1:10" s="115" customFormat="1" ht="24.95" hidden="1" customHeight="1">
      <c r="B7" s="754" t="s">
        <v>1533</v>
      </c>
    </row>
    <row r="8" spans="1:10" s="115" customFormat="1" ht="24.95" hidden="1" customHeight="1"/>
    <row r="9" spans="1:10" s="115" customFormat="1" ht="24.95" hidden="1" customHeight="1"/>
    <row r="10" spans="1:10" s="115" customFormat="1" ht="24.95" hidden="1" customHeight="1">
      <c r="B10" s="754" t="s">
        <v>1534</v>
      </c>
    </row>
    <row r="11" spans="1:10" s="115" customFormat="1" ht="24.95" hidden="1" customHeight="1"/>
    <row r="12" spans="1:10" s="115" customFormat="1" ht="24.95" hidden="1" customHeight="1"/>
    <row r="13" spans="1:10" s="115" customFormat="1" ht="24.95" hidden="1" customHeight="1">
      <c r="B13" s="754" t="s">
        <v>1535</v>
      </c>
    </row>
    <row r="14" spans="1:10" s="115" customFormat="1" ht="24.95" hidden="1" customHeight="1"/>
    <row r="15" spans="1:10" s="115" customFormat="1" ht="24.95" customHeight="1"/>
    <row r="16" spans="1:10" s="115" customFormat="1" ht="24.95" customHeight="1">
      <c r="B16" s="115" t="s">
        <v>1123</v>
      </c>
    </row>
    <row r="17" spans="2:11" s="115" customFormat="1" ht="24.95" customHeight="1"/>
    <row r="18" spans="2:11" s="115" customFormat="1" ht="24.95" customHeight="1">
      <c r="K18" s="835"/>
    </row>
    <row r="19" spans="2:11" s="115" customFormat="1" ht="24.95" customHeight="1">
      <c r="B19" s="115" t="s">
        <v>2446</v>
      </c>
    </row>
    <row r="20" spans="2:11" s="115" customFormat="1" ht="24.95" customHeight="1"/>
    <row r="21" spans="2:11" s="115" customFormat="1" ht="24.95" customHeight="1"/>
    <row r="22" spans="2:11" s="115" customFormat="1" ht="24.95" customHeight="1">
      <c r="B22" s="115" t="s">
        <v>2447</v>
      </c>
    </row>
    <row r="23" spans="2:11" s="115" customFormat="1" ht="24.95" customHeight="1"/>
    <row r="24" spans="2:11" s="115" customFormat="1" ht="24.95" customHeight="1"/>
    <row r="25" spans="2:11" s="115" customFormat="1" ht="24.95" customHeight="1">
      <c r="B25" s="115" t="s">
        <v>2448</v>
      </c>
    </row>
    <row r="26" spans="2:11" s="115" customFormat="1" ht="24.95" customHeight="1"/>
    <row r="27" spans="2:11" s="115" customFormat="1" ht="24.95" customHeight="1"/>
    <row r="28" spans="2:11" ht="35.1" customHeight="1"/>
    <row r="29" spans="2:11" ht="35.1" customHeight="1"/>
    <row r="30" spans="2:11" ht="35.1" customHeight="1"/>
    <row r="31" spans="2:11" ht="35.1" customHeight="1"/>
    <row r="32" spans="2:11" ht="35.1" customHeight="1"/>
    <row r="33" ht="35.1" customHeight="1"/>
    <row r="34" ht="35.1" customHeight="1"/>
    <row r="35" ht="35.1" customHeight="1"/>
    <row r="36" ht="35.1" customHeight="1"/>
  </sheetData>
  <mergeCells count="1">
    <mergeCell ref="A3:I3"/>
  </mergeCells>
  <phoneticPr fontId="6" type="noConversion"/>
  <printOptions horizontalCentered="1"/>
  <pageMargins left="0.51181102362204722" right="0.51181102362204722" top="0.98425196850393704" bottom="0.74803149606299213" header="0.31496062992125984" footer="0.31496062992125984"/>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2">
    <tabColor rgb="FFFFC000"/>
    <pageSetUpPr fitToPage="1"/>
  </sheetPr>
  <dimension ref="B1:AD75"/>
  <sheetViews>
    <sheetView view="pageBreakPreview" zoomScale="85" zoomScaleNormal="100" zoomScaleSheetLayoutView="85" workbookViewId="0">
      <selection activeCell="H35" sqref="H35"/>
    </sheetView>
  </sheetViews>
  <sheetFormatPr defaultColWidth="9" defaultRowHeight="16.5"/>
  <cols>
    <col min="1" max="1" width="3" style="194" customWidth="1"/>
    <col min="2" max="2" width="1.625" style="194" customWidth="1"/>
    <col min="3" max="3" width="25.25" style="194" customWidth="1"/>
    <col min="4" max="5" width="14.625" style="194" customWidth="1"/>
    <col min="6" max="7" width="20.25" style="194" customWidth="1"/>
    <col min="8" max="8" width="11" style="194" customWidth="1"/>
    <col min="9" max="9" width="9.125" style="194" customWidth="1"/>
    <col min="10" max="10" width="15.625" style="194" customWidth="1"/>
    <col min="11" max="11" width="1.5" style="194" customWidth="1"/>
    <col min="12" max="12" width="4.125" style="194" customWidth="1"/>
    <col min="13" max="16384" width="9" style="194"/>
  </cols>
  <sheetData>
    <row r="1" spans="2:30" ht="5.25" customHeight="1"/>
    <row r="2" spans="2:30" ht="27">
      <c r="B2" s="1811" t="s">
        <v>1550</v>
      </c>
      <c r="C2" s="1811"/>
      <c r="D2" s="1811"/>
      <c r="E2" s="1811"/>
      <c r="F2" s="1811"/>
      <c r="G2" s="1811"/>
      <c r="H2" s="1811"/>
      <c r="I2" s="1811"/>
      <c r="J2" s="1811"/>
      <c r="K2" s="255"/>
      <c r="M2" s="1811"/>
      <c r="N2" s="1811"/>
      <c r="O2" s="1811"/>
      <c r="P2" s="1811"/>
      <c r="Q2" s="1811"/>
      <c r="R2" s="1811"/>
      <c r="S2" s="1811"/>
      <c r="T2" s="1811"/>
      <c r="U2" s="1811"/>
      <c r="V2" s="1811"/>
      <c r="W2" s="1811"/>
      <c r="X2" s="1811"/>
      <c r="Y2" s="1811"/>
      <c r="Z2" s="1811"/>
      <c r="AA2" s="1811"/>
      <c r="AB2" s="1811"/>
      <c r="AC2" s="1811"/>
      <c r="AD2" s="1811"/>
    </row>
    <row r="3" spans="2:30" ht="10.5" customHeight="1" thickBot="1"/>
    <row r="4" spans="2:30" ht="7.5" customHeight="1">
      <c r="B4" s="217"/>
      <c r="C4" s="218"/>
      <c r="D4" s="218"/>
      <c r="E4" s="218"/>
      <c r="F4" s="218"/>
      <c r="G4" s="218"/>
      <c r="H4" s="218"/>
      <c r="I4" s="218"/>
      <c r="J4" s="218"/>
      <c r="K4" s="219"/>
    </row>
    <row r="5" spans="2:30">
      <c r="B5" s="220"/>
      <c r="K5" s="221"/>
    </row>
    <row r="6" spans="2:30">
      <c r="B6" s="220"/>
      <c r="K6" s="221"/>
    </row>
    <row r="7" spans="2:30">
      <c r="B7" s="220"/>
      <c r="K7" s="221"/>
    </row>
    <row r="8" spans="2:30">
      <c r="B8" s="220"/>
    </row>
    <row r="9" spans="2:30">
      <c r="B9" s="220"/>
      <c r="K9" s="221"/>
    </row>
    <row r="10" spans="2:30">
      <c r="B10" s="220"/>
      <c r="K10" s="221"/>
    </row>
    <row r="11" spans="2:30">
      <c r="B11" s="220"/>
      <c r="K11" s="221"/>
    </row>
    <row r="12" spans="2:30">
      <c r="B12" s="220"/>
      <c r="K12" s="221"/>
    </row>
    <row r="13" spans="2:30">
      <c r="B13" s="220"/>
      <c r="K13" s="221"/>
    </row>
    <row r="14" spans="2:30">
      <c r="B14" s="220"/>
      <c r="K14" s="221"/>
      <c r="O14" s="390" t="s">
        <v>1211</v>
      </c>
      <c r="P14" s="390"/>
      <c r="Q14" s="390" t="s">
        <v>1213</v>
      </c>
      <c r="R14" s="390"/>
      <c r="S14" s="390" t="s">
        <v>1214</v>
      </c>
      <c r="T14" s="390"/>
      <c r="U14" s="390" t="s">
        <v>1267</v>
      </c>
      <c r="V14" s="390"/>
      <c r="W14" s="390" t="s">
        <v>1277</v>
      </c>
      <c r="X14" s="390"/>
    </row>
    <row r="15" spans="2:30">
      <c r="B15" s="220"/>
      <c r="K15" s="221"/>
      <c r="O15" s="390"/>
      <c r="P15" s="390"/>
      <c r="Q15" s="390"/>
      <c r="R15" s="390"/>
      <c r="S15" s="390"/>
      <c r="T15" s="390"/>
      <c r="U15" s="390"/>
      <c r="V15" s="390"/>
      <c r="W15" s="390"/>
      <c r="X15" s="390"/>
    </row>
    <row r="16" spans="2:30">
      <c r="B16" s="220"/>
      <c r="K16" s="221"/>
      <c r="O16" s="390" t="s">
        <v>1448</v>
      </c>
      <c r="P16" s="390"/>
      <c r="Q16" s="390" t="s">
        <v>1448</v>
      </c>
      <c r="R16" s="390"/>
      <c r="S16" s="390"/>
      <c r="T16" s="390"/>
      <c r="U16" s="390" t="s">
        <v>1448</v>
      </c>
      <c r="V16" s="390"/>
      <c r="W16" s="390" t="s">
        <v>1448</v>
      </c>
      <c r="X16" s="390"/>
    </row>
    <row r="17" spans="2:24">
      <c r="B17" s="220"/>
      <c r="K17" s="221"/>
      <c r="O17" s="390" t="s">
        <v>1447</v>
      </c>
      <c r="P17" s="390"/>
      <c r="Q17" s="390" t="s">
        <v>1447</v>
      </c>
      <c r="R17" s="390"/>
      <c r="S17" s="390"/>
      <c r="T17" s="390"/>
      <c r="U17" s="390" t="s">
        <v>1447</v>
      </c>
      <c r="V17" s="390"/>
      <c r="W17" s="390" t="s">
        <v>1447</v>
      </c>
      <c r="X17" s="390"/>
    </row>
    <row r="18" spans="2:24">
      <c r="B18" s="220"/>
      <c r="K18" s="221"/>
      <c r="O18" s="390" t="s">
        <v>1212</v>
      </c>
      <c r="P18" s="390"/>
      <c r="Q18" s="390" t="s">
        <v>1442</v>
      </c>
      <c r="R18" s="390"/>
      <c r="S18" s="390"/>
      <c r="T18" s="390"/>
      <c r="U18" s="390" t="s">
        <v>1512</v>
      </c>
      <c r="V18" s="390"/>
      <c r="W18" s="390" t="s">
        <v>1218</v>
      </c>
      <c r="X18" s="390"/>
    </row>
    <row r="19" spans="2:24">
      <c r="B19" s="220"/>
      <c r="K19" s="221"/>
      <c r="O19" s="756" t="s">
        <v>1532</v>
      </c>
      <c r="P19" s="390"/>
      <c r="Q19" s="390" t="s">
        <v>1421</v>
      </c>
      <c r="R19" s="390"/>
      <c r="S19" s="390" t="s">
        <v>1443</v>
      </c>
      <c r="T19" s="390"/>
      <c r="U19" s="390" t="s">
        <v>1531</v>
      </c>
      <c r="V19" s="390"/>
      <c r="W19" s="390" t="s">
        <v>1219</v>
      </c>
      <c r="X19" s="390"/>
    </row>
    <row r="20" spans="2:24">
      <c r="B20" s="220"/>
      <c r="K20" s="221"/>
      <c r="O20" s="390" t="s">
        <v>1530</v>
      </c>
      <c r="P20" s="390"/>
      <c r="Q20" s="390" t="s">
        <v>1530</v>
      </c>
      <c r="R20" s="390"/>
      <c r="S20" s="390" t="s">
        <v>1444</v>
      </c>
      <c r="T20" s="390"/>
      <c r="U20" s="390" t="s">
        <v>1216</v>
      </c>
      <c r="V20" s="390"/>
      <c r="W20" s="390" t="s">
        <v>1268</v>
      </c>
      <c r="X20" s="390"/>
    </row>
    <row r="21" spans="2:24">
      <c r="B21" s="220"/>
      <c r="K21" s="221"/>
      <c r="O21" s="390" t="s">
        <v>1471</v>
      </c>
      <c r="P21" s="390"/>
      <c r="Q21" s="390"/>
      <c r="R21" s="390"/>
      <c r="S21" s="390" t="s">
        <v>1446</v>
      </c>
      <c r="T21" s="390"/>
      <c r="U21" s="390" t="s">
        <v>1217</v>
      </c>
      <c r="V21" s="390"/>
      <c r="W21" s="390"/>
      <c r="X21" s="390"/>
    </row>
    <row r="22" spans="2:24">
      <c r="B22" s="220"/>
      <c r="K22" s="221"/>
      <c r="O22" s="390"/>
      <c r="P22" s="390"/>
      <c r="Q22" s="390"/>
      <c r="R22" s="390"/>
      <c r="S22" s="390"/>
      <c r="T22" s="390"/>
      <c r="U22" s="390"/>
      <c r="V22" s="390"/>
      <c r="W22" s="390"/>
      <c r="X22" s="390"/>
    </row>
    <row r="23" spans="2:24">
      <c r="B23" s="220"/>
      <c r="K23" s="221"/>
      <c r="O23" s="390"/>
      <c r="P23" s="390"/>
      <c r="Q23" s="390"/>
      <c r="R23" s="390"/>
      <c r="S23" s="390"/>
      <c r="T23" s="390"/>
      <c r="U23" s="390"/>
      <c r="V23" s="390"/>
      <c r="W23" s="390"/>
      <c r="X23" s="390"/>
    </row>
    <row r="24" spans="2:24">
      <c r="B24" s="220"/>
      <c r="K24" s="221"/>
      <c r="O24" s="390" t="s">
        <v>1445</v>
      </c>
      <c r="P24" s="390"/>
      <c r="Q24" s="390"/>
      <c r="R24" s="390"/>
      <c r="S24" s="390"/>
      <c r="T24" s="390"/>
      <c r="U24" s="390"/>
      <c r="V24" s="390"/>
      <c r="W24" s="390"/>
      <c r="X24" s="390"/>
    </row>
    <row r="25" spans="2:24">
      <c r="B25" s="220"/>
      <c r="K25" s="221"/>
      <c r="O25" s="390" t="s">
        <v>1215</v>
      </c>
      <c r="P25" s="390"/>
      <c r="Q25" s="390" t="s">
        <v>1215</v>
      </c>
      <c r="R25" s="390"/>
      <c r="S25" s="390"/>
      <c r="T25" s="390"/>
      <c r="U25" s="390"/>
      <c r="V25" s="390"/>
      <c r="W25" s="390"/>
      <c r="X25" s="390"/>
    </row>
    <row r="26" spans="2:24">
      <c r="B26" s="220"/>
      <c r="K26" s="221"/>
      <c r="O26" s="390"/>
      <c r="P26" s="390"/>
      <c r="Q26" s="390"/>
      <c r="R26" s="390"/>
      <c r="S26" s="390"/>
      <c r="T26" s="390"/>
      <c r="U26" s="390"/>
      <c r="V26" s="390"/>
      <c r="W26" s="390"/>
      <c r="X26" s="390"/>
    </row>
    <row r="27" spans="2:24">
      <c r="B27" s="220"/>
      <c r="K27" s="221"/>
    </row>
    <row r="28" spans="2:24">
      <c r="B28" s="220"/>
      <c r="K28" s="221"/>
    </row>
    <row r="29" spans="2:24">
      <c r="B29" s="220"/>
      <c r="K29" s="221"/>
      <c r="N29" s="194" t="s">
        <v>1234</v>
      </c>
    </row>
    <row r="30" spans="2:24">
      <c r="B30" s="220"/>
      <c r="K30" s="221"/>
    </row>
    <row r="31" spans="2:24">
      <c r="B31" s="220"/>
      <c r="K31" s="221"/>
    </row>
    <row r="32" spans="2:24">
      <c r="B32" s="220"/>
      <c r="K32" s="221"/>
    </row>
    <row r="33" spans="2:30">
      <c r="B33" s="220"/>
      <c r="K33" s="221"/>
    </row>
    <row r="34" spans="2:30">
      <c r="B34" s="220"/>
      <c r="K34" s="221"/>
    </row>
    <row r="35" spans="2:30" ht="7.5" customHeight="1" thickBot="1">
      <c r="B35" s="222"/>
      <c r="C35" s="223"/>
      <c r="D35" s="223"/>
      <c r="E35" s="223"/>
      <c r="F35" s="223"/>
      <c r="G35" s="223"/>
      <c r="H35" s="223"/>
      <c r="I35" s="223"/>
      <c r="J35" s="223"/>
      <c r="K35" s="224"/>
    </row>
    <row r="36" spans="2:30" ht="9" customHeight="1"/>
    <row r="37" spans="2:30" ht="5.25" customHeight="1"/>
    <row r="38" spans="2:30" ht="27">
      <c r="B38" s="699"/>
      <c r="C38" s="699"/>
      <c r="D38" s="699"/>
      <c r="E38" s="699"/>
      <c r="F38" s="699"/>
      <c r="G38" s="699"/>
      <c r="H38" s="699"/>
      <c r="I38" s="699"/>
      <c r="J38" s="699"/>
      <c r="K38" s="255"/>
      <c r="M38" s="699"/>
      <c r="N38" s="699"/>
      <c r="O38" s="699"/>
      <c r="P38" s="699"/>
      <c r="Q38" s="699"/>
      <c r="R38" s="699"/>
      <c r="S38" s="699"/>
      <c r="T38" s="699"/>
      <c r="U38" s="699"/>
      <c r="V38" s="699"/>
      <c r="W38" s="699"/>
      <c r="X38" s="699"/>
      <c r="Y38" s="699"/>
      <c r="Z38" s="699"/>
      <c r="AA38" s="699"/>
      <c r="AB38" s="699"/>
      <c r="AC38" s="699"/>
      <c r="AD38" s="699"/>
    </row>
    <row r="39" spans="2:30" ht="10.5" customHeight="1">
      <c r="F39" s="367"/>
      <c r="G39" s="367"/>
    </row>
    <row r="40" spans="2:30" ht="7.5" customHeight="1"/>
    <row r="65" spans="14:14">
      <c r="N65" s="194" t="s">
        <v>1234</v>
      </c>
    </row>
    <row r="71" spans="14:14" ht="7.5" customHeight="1"/>
    <row r="72" spans="14:14" ht="9" customHeight="1"/>
    <row r="73" spans="14:14" ht="24.95" customHeight="1"/>
    <row r="74" spans="14:14" ht="24.95" customHeight="1"/>
    <row r="75" spans="14:14" ht="24.95" customHeight="1"/>
  </sheetData>
  <mergeCells count="2">
    <mergeCell ref="B2:J2"/>
    <mergeCell ref="M2:AD2"/>
  </mergeCells>
  <phoneticPr fontId="60" type="noConversion"/>
  <printOptions horizontalCentered="1"/>
  <pageMargins left="0.19685039370078741" right="0.15748031496062992" top="0.74803149606299213" bottom="0.47244094488188981" header="0.31496062992125984" footer="0.31496062992125984"/>
  <pageSetup paperSize="9" scale="88" orientation="landscape" verticalDpi="599" r:id="rId1"/>
  <headerFooter>
    <oddFooter>&amp;C&amp;P / &amp;N</oddFooter>
  </headerFooter>
  <rowBreaks count="1" manualBreakCount="1">
    <brk id="36" max="16383"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653A0-D7A7-437E-81E1-DAB586A5B954}">
  <sheetPr codeName="Sheet23"/>
  <dimension ref="A1:K40"/>
  <sheetViews>
    <sheetView view="pageBreakPreview" zoomScale="85" zoomScaleNormal="100" zoomScaleSheetLayoutView="85" workbookViewId="0">
      <selection activeCell="H35" sqref="H35"/>
    </sheetView>
  </sheetViews>
  <sheetFormatPr defaultRowHeight="16.5"/>
  <cols>
    <col min="1" max="1" width="2.25" customWidth="1"/>
    <col min="10" max="10" width="3.75" customWidth="1"/>
    <col min="11" max="11" width="2.5" customWidth="1"/>
  </cols>
  <sheetData>
    <row r="1" spans="1:11">
      <c r="A1" s="194"/>
      <c r="B1" s="194"/>
      <c r="C1" s="194"/>
      <c r="D1" s="194"/>
      <c r="E1" s="194"/>
      <c r="F1" s="194"/>
      <c r="G1" s="194"/>
      <c r="H1" s="194"/>
      <c r="I1" s="194"/>
      <c r="J1" s="194"/>
      <c r="K1" s="194"/>
    </row>
    <row r="2" spans="1:11" ht="27">
      <c r="A2" s="194"/>
      <c r="B2" s="1811" t="s">
        <v>1551</v>
      </c>
      <c r="C2" s="1811"/>
      <c r="D2" s="1811"/>
      <c r="E2" s="1811"/>
      <c r="F2" s="1811"/>
      <c r="G2" s="1811"/>
      <c r="H2" s="1811"/>
      <c r="I2" s="1811"/>
      <c r="J2" s="255"/>
      <c r="K2" s="194"/>
    </row>
    <row r="3" spans="1:11" ht="17.25" thickBot="1">
      <c r="A3" s="194"/>
      <c r="B3" s="194"/>
      <c r="C3" s="194"/>
      <c r="D3" s="194"/>
      <c r="E3" s="194"/>
      <c r="F3" s="194"/>
      <c r="G3" s="194"/>
      <c r="H3" s="194"/>
      <c r="I3" s="194"/>
      <c r="J3" s="194"/>
      <c r="K3" s="194"/>
    </row>
    <row r="4" spans="1:11">
      <c r="A4" s="194"/>
      <c r="B4" s="217"/>
      <c r="C4" s="218"/>
      <c r="D4" s="218"/>
      <c r="E4" s="218"/>
      <c r="F4" s="218"/>
      <c r="G4" s="218"/>
      <c r="H4" s="218"/>
      <c r="I4" s="218"/>
      <c r="J4" s="219"/>
      <c r="K4" s="194"/>
    </row>
    <row r="5" spans="1:11">
      <c r="A5" s="194"/>
      <c r="B5" s="220"/>
      <c r="C5" s="194"/>
      <c r="D5" s="194"/>
      <c r="E5" s="194"/>
      <c r="F5" s="194"/>
      <c r="G5" s="194"/>
      <c r="H5" s="194"/>
      <c r="I5" s="194"/>
      <c r="J5" s="221"/>
      <c r="K5" s="194"/>
    </row>
    <row r="6" spans="1:11">
      <c r="A6" s="194"/>
      <c r="B6" s="220"/>
      <c r="C6" s="194"/>
      <c r="D6" s="194"/>
      <c r="E6" s="194"/>
      <c r="F6" s="194"/>
      <c r="G6" s="194"/>
      <c r="H6" s="194"/>
      <c r="I6" s="194"/>
      <c r="J6" s="221"/>
      <c r="K6" s="194"/>
    </row>
    <row r="7" spans="1:11">
      <c r="A7" s="194"/>
      <c r="B7" s="220"/>
      <c r="C7" s="194"/>
      <c r="D7" s="194"/>
      <c r="E7" s="194"/>
      <c r="F7" s="194"/>
      <c r="G7" s="194"/>
      <c r="H7" s="194"/>
      <c r="I7" s="194"/>
      <c r="J7" s="221"/>
      <c r="K7" s="194"/>
    </row>
    <row r="8" spans="1:11">
      <c r="A8" s="194"/>
      <c r="B8" s="220"/>
      <c r="C8" s="194"/>
      <c r="D8" s="194"/>
      <c r="E8" s="194"/>
      <c r="F8" s="194"/>
      <c r="G8" s="194"/>
      <c r="H8" s="194"/>
      <c r="I8" s="194"/>
      <c r="J8" s="221"/>
      <c r="K8" s="194"/>
    </row>
    <row r="9" spans="1:11">
      <c r="A9" s="194"/>
      <c r="B9" s="220"/>
      <c r="C9" s="194"/>
      <c r="D9" s="194"/>
      <c r="E9" s="194"/>
      <c r="F9" s="194"/>
      <c r="G9" s="194"/>
      <c r="H9" s="194"/>
      <c r="I9" s="194"/>
      <c r="J9" s="221"/>
      <c r="K9" s="194"/>
    </row>
    <row r="10" spans="1:11">
      <c r="A10" s="194"/>
      <c r="B10" s="220"/>
      <c r="C10" s="194"/>
      <c r="D10" s="194"/>
      <c r="E10" s="194"/>
      <c r="F10" s="194"/>
      <c r="G10" s="194"/>
      <c r="H10" s="194"/>
      <c r="I10" s="194"/>
      <c r="J10" s="221"/>
      <c r="K10" s="194"/>
    </row>
    <row r="11" spans="1:11">
      <c r="A11" s="194"/>
      <c r="B11" s="220"/>
      <c r="C11" s="194"/>
      <c r="D11" s="194"/>
      <c r="E11" s="194"/>
      <c r="F11" s="194"/>
      <c r="G11" s="194"/>
      <c r="H11" s="194"/>
      <c r="I11" s="194"/>
      <c r="J11" s="221"/>
      <c r="K11" s="194"/>
    </row>
    <row r="12" spans="1:11">
      <c r="A12" s="194"/>
      <c r="B12" s="220"/>
      <c r="C12" s="194"/>
      <c r="D12" s="194"/>
      <c r="E12" s="194"/>
      <c r="F12" s="194"/>
      <c r="G12" s="194"/>
      <c r="H12" s="194"/>
      <c r="I12" s="194"/>
      <c r="J12" s="221"/>
      <c r="K12" s="194"/>
    </row>
    <row r="13" spans="1:11">
      <c r="A13" s="194"/>
      <c r="B13" s="220"/>
      <c r="C13" s="194"/>
      <c r="D13" s="194"/>
      <c r="E13" s="194"/>
      <c r="F13" s="194"/>
      <c r="G13" s="194"/>
      <c r="H13" s="194"/>
      <c r="I13" s="194"/>
      <c r="J13" s="221"/>
      <c r="K13" s="194"/>
    </row>
    <row r="14" spans="1:11">
      <c r="A14" s="194"/>
      <c r="B14" s="220"/>
      <c r="C14" s="194"/>
      <c r="D14" s="194"/>
      <c r="E14" s="194"/>
      <c r="F14" s="194"/>
      <c r="G14" s="194"/>
      <c r="H14" s="194"/>
      <c r="I14" s="194"/>
      <c r="J14" s="221"/>
      <c r="K14" s="194"/>
    </row>
    <row r="15" spans="1:11">
      <c r="A15" s="194"/>
      <c r="B15" s="220"/>
      <c r="C15" s="194"/>
      <c r="D15" s="194"/>
      <c r="E15" s="194"/>
      <c r="F15" s="194"/>
      <c r="G15" s="194"/>
      <c r="H15" s="194"/>
      <c r="I15" s="194"/>
      <c r="J15" s="221"/>
      <c r="K15" s="194"/>
    </row>
    <row r="16" spans="1:11">
      <c r="A16" s="194"/>
      <c r="B16" s="220"/>
      <c r="C16" s="194"/>
      <c r="D16" s="194"/>
      <c r="E16" s="194"/>
      <c r="F16" s="194"/>
      <c r="G16" s="194"/>
      <c r="H16" s="194"/>
      <c r="I16" s="194"/>
      <c r="J16" s="221"/>
      <c r="K16" s="194"/>
    </row>
    <row r="17" spans="1:11">
      <c r="A17" s="194"/>
      <c r="B17" s="220"/>
      <c r="C17" s="194"/>
      <c r="D17" s="194"/>
      <c r="E17" s="194"/>
      <c r="F17" s="194"/>
      <c r="G17" s="194"/>
      <c r="H17" s="194"/>
      <c r="I17" s="194"/>
      <c r="J17" s="221"/>
      <c r="K17" s="194"/>
    </row>
    <row r="18" spans="1:11">
      <c r="A18" s="194"/>
      <c r="B18" s="220"/>
      <c r="C18" s="194"/>
      <c r="D18" s="194"/>
      <c r="E18" s="194"/>
      <c r="F18" s="194"/>
      <c r="G18" s="194"/>
      <c r="H18" s="194"/>
      <c r="I18" s="194"/>
      <c r="J18" s="221"/>
      <c r="K18" s="194"/>
    </row>
    <row r="19" spans="1:11">
      <c r="A19" s="194"/>
      <c r="B19" s="220"/>
      <c r="C19" s="194"/>
      <c r="D19" s="194"/>
      <c r="E19" s="194"/>
      <c r="F19" s="194"/>
      <c r="G19" s="194"/>
      <c r="H19" s="194"/>
      <c r="I19" s="194"/>
      <c r="J19" s="221"/>
      <c r="K19" s="194"/>
    </row>
    <row r="20" spans="1:11">
      <c r="A20" s="194"/>
      <c r="B20" s="220"/>
      <c r="C20" s="194"/>
      <c r="D20" s="194"/>
      <c r="E20" s="194"/>
      <c r="F20" s="194"/>
      <c r="G20" s="194"/>
      <c r="H20" s="194"/>
      <c r="I20" s="194"/>
      <c r="J20" s="221"/>
      <c r="K20" s="194"/>
    </row>
    <row r="21" spans="1:11">
      <c r="A21" s="194"/>
      <c r="B21" s="220"/>
      <c r="C21" s="194"/>
      <c r="D21" s="194"/>
      <c r="E21" s="194"/>
      <c r="F21" s="194"/>
      <c r="G21" s="194"/>
      <c r="H21" s="194"/>
      <c r="I21" s="194"/>
      <c r="J21" s="221"/>
      <c r="K21" s="194"/>
    </row>
    <row r="22" spans="1:11">
      <c r="A22" s="194"/>
      <c r="B22" s="220"/>
      <c r="C22" s="194"/>
      <c r="D22" s="194"/>
      <c r="E22" s="194"/>
      <c r="F22" s="194"/>
      <c r="G22" s="194"/>
      <c r="H22" s="194"/>
      <c r="I22" s="194"/>
      <c r="J22" s="221"/>
      <c r="K22" s="194"/>
    </row>
    <row r="23" spans="1:11">
      <c r="A23" s="194"/>
      <c r="B23" s="220"/>
      <c r="C23" s="194"/>
      <c r="D23" s="194"/>
      <c r="E23" s="194"/>
      <c r="F23" s="194"/>
      <c r="G23" s="194"/>
      <c r="H23" s="194"/>
      <c r="I23" s="194"/>
      <c r="J23" s="221"/>
      <c r="K23" s="194"/>
    </row>
    <row r="24" spans="1:11">
      <c r="A24" s="194"/>
      <c r="B24" s="220"/>
      <c r="C24" s="194"/>
      <c r="D24" s="194"/>
      <c r="E24" s="194"/>
      <c r="F24" s="194"/>
      <c r="G24" s="194"/>
      <c r="H24" s="194"/>
      <c r="I24" s="194"/>
      <c r="J24" s="221"/>
      <c r="K24" s="194"/>
    </row>
    <row r="25" spans="1:11">
      <c r="A25" s="194"/>
      <c r="B25" s="220"/>
      <c r="C25" s="194"/>
      <c r="D25" s="194"/>
      <c r="E25" s="194"/>
      <c r="F25" s="194"/>
      <c r="G25" s="194"/>
      <c r="H25" s="194"/>
      <c r="I25" s="194"/>
      <c r="J25" s="221"/>
      <c r="K25" s="194"/>
    </row>
    <row r="26" spans="1:11">
      <c r="A26" s="194"/>
      <c r="B26" s="220"/>
      <c r="C26" s="194"/>
      <c r="D26" s="194"/>
      <c r="E26" s="194"/>
      <c r="F26" s="194"/>
      <c r="G26" s="194"/>
      <c r="H26" s="194"/>
      <c r="I26" s="194"/>
      <c r="J26" s="221"/>
      <c r="K26" s="194"/>
    </row>
    <row r="27" spans="1:11">
      <c r="A27" s="194"/>
      <c r="B27" s="220"/>
      <c r="C27" s="194"/>
      <c r="D27" s="194"/>
      <c r="E27" s="194"/>
      <c r="F27" s="194"/>
      <c r="G27" s="194"/>
      <c r="H27" s="194"/>
      <c r="I27" s="194"/>
      <c r="J27" s="221"/>
      <c r="K27" s="194"/>
    </row>
    <row r="28" spans="1:11">
      <c r="A28" s="194"/>
      <c r="B28" s="220"/>
      <c r="C28" s="194"/>
      <c r="D28" s="194"/>
      <c r="E28" s="194"/>
      <c r="F28" s="194"/>
      <c r="G28" s="194"/>
      <c r="H28" s="194"/>
      <c r="I28" s="194"/>
      <c r="J28" s="221"/>
      <c r="K28" s="194"/>
    </row>
    <row r="29" spans="1:11">
      <c r="A29" s="194"/>
      <c r="B29" s="220"/>
      <c r="C29" s="194"/>
      <c r="D29" s="194"/>
      <c r="E29" s="194"/>
      <c r="F29" s="194"/>
      <c r="G29" s="194"/>
      <c r="H29" s="194"/>
      <c r="I29" s="194"/>
      <c r="J29" s="221"/>
      <c r="K29" s="194"/>
    </row>
    <row r="30" spans="1:11">
      <c r="A30" s="194"/>
      <c r="B30" s="220"/>
      <c r="C30" s="194"/>
      <c r="D30" s="194"/>
      <c r="E30" s="194"/>
      <c r="F30" s="194"/>
      <c r="G30" s="194"/>
      <c r="H30" s="194"/>
      <c r="I30" s="194"/>
      <c r="J30" s="221"/>
      <c r="K30" s="194"/>
    </row>
    <row r="31" spans="1:11">
      <c r="A31" s="194"/>
      <c r="B31" s="220"/>
      <c r="C31" s="194"/>
      <c r="D31" s="194"/>
      <c r="E31" s="194"/>
      <c r="F31" s="194"/>
      <c r="G31" s="194"/>
      <c r="H31" s="194"/>
      <c r="I31" s="194"/>
      <c r="J31" s="221"/>
      <c r="K31" s="194"/>
    </row>
    <row r="32" spans="1:11">
      <c r="A32" s="194"/>
      <c r="B32" s="220"/>
      <c r="C32" s="194"/>
      <c r="D32" s="194"/>
      <c r="E32" s="194"/>
      <c r="F32" s="194"/>
      <c r="G32" s="194"/>
      <c r="H32" s="194"/>
      <c r="I32" s="194"/>
      <c r="J32" s="221"/>
      <c r="K32" s="194"/>
    </row>
    <row r="33" spans="1:11">
      <c r="A33" s="194"/>
      <c r="B33" s="220"/>
      <c r="C33" s="194"/>
      <c r="D33" s="194"/>
      <c r="E33" s="194"/>
      <c r="F33" s="194"/>
      <c r="G33" s="194"/>
      <c r="H33" s="194"/>
      <c r="I33" s="194"/>
      <c r="J33" s="221"/>
      <c r="K33" s="194"/>
    </row>
    <row r="34" spans="1:11">
      <c r="A34" s="194"/>
      <c r="B34" s="220"/>
      <c r="C34" s="194"/>
      <c r="D34" s="194"/>
      <c r="E34" s="194"/>
      <c r="F34" s="194"/>
      <c r="G34" s="194"/>
      <c r="H34" s="194"/>
      <c r="I34" s="194"/>
      <c r="J34" s="221"/>
      <c r="K34" s="194"/>
    </row>
    <row r="35" spans="1:11">
      <c r="A35" s="194"/>
      <c r="B35" s="220"/>
      <c r="C35" s="194"/>
      <c r="D35" s="194"/>
      <c r="E35" s="194"/>
      <c r="F35" s="194"/>
      <c r="G35" s="194"/>
      <c r="H35" s="194"/>
      <c r="I35" s="194"/>
      <c r="J35" s="221"/>
      <c r="K35" s="194"/>
    </row>
    <row r="36" spans="1:11">
      <c r="A36" s="194"/>
      <c r="B36" s="220"/>
      <c r="C36" s="194"/>
      <c r="D36" s="194"/>
      <c r="E36" s="194"/>
      <c r="F36" s="194"/>
      <c r="G36" s="194"/>
      <c r="H36" s="194"/>
      <c r="I36" s="194"/>
      <c r="J36" s="221"/>
      <c r="K36" s="194"/>
    </row>
    <row r="37" spans="1:11">
      <c r="A37" s="194"/>
      <c r="B37" s="220"/>
      <c r="C37" s="194"/>
      <c r="D37" s="194"/>
      <c r="E37" s="194"/>
      <c r="F37" s="194"/>
      <c r="G37" s="194"/>
      <c r="H37" s="194"/>
      <c r="I37" s="194"/>
      <c r="J37" s="221"/>
    </row>
    <row r="38" spans="1:11">
      <c r="A38" s="194"/>
      <c r="B38" s="220"/>
      <c r="C38" s="194"/>
      <c r="D38" s="194"/>
      <c r="E38" s="194"/>
      <c r="F38" s="194"/>
      <c r="G38" s="194"/>
      <c r="H38" s="194"/>
      <c r="I38" s="194"/>
      <c r="J38" s="221"/>
    </row>
    <row r="39" spans="1:11" ht="17.25" thickBot="1">
      <c r="A39" s="194"/>
      <c r="B39" s="222"/>
      <c r="C39" s="223"/>
      <c r="D39" s="223"/>
      <c r="E39" s="223"/>
      <c r="F39" s="223"/>
      <c r="G39" s="223"/>
      <c r="H39" s="223"/>
      <c r="I39" s="223"/>
      <c r="J39" s="224"/>
    </row>
    <row r="40" spans="1:11">
      <c r="A40" s="194"/>
      <c r="B40" s="194"/>
      <c r="C40" s="194"/>
      <c r="D40" s="194"/>
      <c r="E40" s="194"/>
      <c r="F40" s="194"/>
      <c r="G40" s="194"/>
      <c r="H40" s="194"/>
      <c r="I40" s="194"/>
      <c r="J40" s="194"/>
    </row>
  </sheetData>
  <mergeCells count="1">
    <mergeCell ref="B2:I2"/>
  </mergeCells>
  <phoneticPr fontId="60" type="noConversion"/>
  <pageMargins left="0.38" right="0.39" top="0.75" bottom="0.75" header="0.3" footer="0.3"/>
  <pageSetup paperSize="9" orientation="portrait" horizontalDpi="4294967294"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9D726-8555-4625-B97F-47D51640A843}">
  <sheetPr codeName="Sheet24">
    <pageSetUpPr fitToPage="1"/>
  </sheetPr>
  <dimension ref="A1:K34"/>
  <sheetViews>
    <sheetView view="pageBreakPreview" zoomScale="60" zoomScaleNormal="55" workbookViewId="0">
      <selection activeCell="H35" sqref="H35"/>
    </sheetView>
  </sheetViews>
  <sheetFormatPr defaultRowHeight="16.5"/>
  <cols>
    <col min="2" max="10" width="18" customWidth="1"/>
    <col min="11" max="11" width="7.25" customWidth="1"/>
  </cols>
  <sheetData>
    <row r="1" spans="1:11" ht="33.75">
      <c r="A1" s="784" t="s">
        <v>1577</v>
      </c>
      <c r="B1" s="781"/>
      <c r="C1" s="782"/>
      <c r="D1" s="782"/>
      <c r="E1" s="782"/>
      <c r="F1" s="782"/>
      <c r="G1" s="782"/>
      <c r="H1" s="782"/>
      <c r="I1" s="782"/>
      <c r="J1" s="782"/>
      <c r="K1" s="783"/>
    </row>
    <row r="2" spans="1:11" ht="24.95" customHeight="1">
      <c r="A2" s="170"/>
      <c r="K2" s="171"/>
    </row>
    <row r="3" spans="1:11" ht="24.95" customHeight="1">
      <c r="A3" s="170"/>
      <c r="K3" s="171"/>
    </row>
    <row r="4" spans="1:11" ht="24.95" customHeight="1">
      <c r="A4" s="170"/>
      <c r="K4" s="171"/>
    </row>
    <row r="5" spans="1:11" ht="24.95" customHeight="1">
      <c r="A5" s="170"/>
      <c r="K5" s="171"/>
    </row>
    <row r="6" spans="1:11" ht="24.95" customHeight="1">
      <c r="A6" s="170"/>
      <c r="K6" s="171"/>
    </row>
    <row r="7" spans="1:11" ht="24.95" customHeight="1">
      <c r="A7" s="170"/>
      <c r="K7" s="171"/>
    </row>
    <row r="8" spans="1:11" ht="24.95" customHeight="1">
      <c r="A8" s="170"/>
      <c r="K8" s="171"/>
    </row>
    <row r="9" spans="1:11" ht="24.95" customHeight="1">
      <c r="A9" s="170"/>
      <c r="K9" s="171"/>
    </row>
    <row r="10" spans="1:11" ht="24.95" customHeight="1">
      <c r="A10" s="170"/>
      <c r="K10" s="171"/>
    </row>
    <row r="11" spans="1:11" ht="24.95" customHeight="1">
      <c r="A11" s="170"/>
      <c r="K11" s="171"/>
    </row>
    <row r="12" spans="1:11" ht="24.95" customHeight="1">
      <c r="A12" s="170"/>
      <c r="K12" s="171"/>
    </row>
    <row r="13" spans="1:11" ht="24.95" customHeight="1">
      <c r="A13" s="170"/>
      <c r="K13" s="171"/>
    </row>
    <row r="14" spans="1:11" ht="24.95" customHeight="1">
      <c r="A14" s="170"/>
      <c r="K14" s="171"/>
    </row>
    <row r="15" spans="1:11" ht="24.95" customHeight="1">
      <c r="A15" s="170"/>
      <c r="K15" s="171"/>
    </row>
    <row r="16" spans="1:11" ht="24.95" customHeight="1">
      <c r="A16" s="170"/>
      <c r="K16" s="171"/>
    </row>
    <row r="17" spans="1:11" ht="24.95" customHeight="1">
      <c r="A17" s="170"/>
      <c r="K17" s="171"/>
    </row>
    <row r="18" spans="1:11" ht="24.95" customHeight="1">
      <c r="A18" s="170"/>
      <c r="K18" s="171"/>
    </row>
    <row r="19" spans="1:11" ht="24.95" customHeight="1">
      <c r="A19" s="170"/>
      <c r="K19" s="171"/>
    </row>
    <row r="20" spans="1:11" ht="24.95" customHeight="1">
      <c r="A20" s="170"/>
      <c r="K20" s="171"/>
    </row>
    <row r="21" spans="1:11" ht="24.95" customHeight="1">
      <c r="A21" s="170"/>
      <c r="K21" s="171"/>
    </row>
    <row r="22" spans="1:11" ht="24.95" customHeight="1">
      <c r="A22" s="170"/>
      <c r="K22" s="171"/>
    </row>
    <row r="23" spans="1:11" ht="24.95" customHeight="1">
      <c r="A23" s="170"/>
      <c r="K23" s="171"/>
    </row>
    <row r="24" spans="1:11" ht="24.95" customHeight="1">
      <c r="A24" s="170"/>
      <c r="K24" s="171"/>
    </row>
    <row r="25" spans="1:11" ht="24.95" customHeight="1">
      <c r="A25" s="170"/>
      <c r="K25" s="171"/>
    </row>
    <row r="26" spans="1:11" ht="24.95" customHeight="1">
      <c r="A26" s="170"/>
      <c r="K26" s="171"/>
    </row>
    <row r="27" spans="1:11" ht="24.95" customHeight="1">
      <c r="A27" s="170"/>
      <c r="K27" s="171"/>
    </row>
    <row r="28" spans="1:11" ht="24.95" customHeight="1">
      <c r="A28" s="170"/>
      <c r="K28" s="171"/>
    </row>
    <row r="29" spans="1:11" ht="24.95" customHeight="1">
      <c r="A29" s="170"/>
      <c r="K29" s="171"/>
    </row>
    <row r="30" spans="1:11" ht="24.95" customHeight="1">
      <c r="A30" s="170"/>
      <c r="K30" s="171"/>
    </row>
    <row r="31" spans="1:11" ht="24.95" customHeight="1">
      <c r="A31" s="170"/>
      <c r="K31" s="171"/>
    </row>
    <row r="32" spans="1:11" ht="24.95" customHeight="1">
      <c r="A32" s="170"/>
      <c r="K32" s="171"/>
    </row>
    <row r="33" spans="1:11" ht="24.95" customHeight="1">
      <c r="A33" s="170"/>
      <c r="K33" s="171"/>
    </row>
    <row r="34" spans="1:11" ht="24.95" customHeight="1" thickBot="1">
      <c r="A34" s="778"/>
      <c r="B34" s="779"/>
      <c r="C34" s="779"/>
      <c r="D34" s="779"/>
      <c r="E34" s="779"/>
      <c r="F34" s="779"/>
      <c r="G34" s="779"/>
      <c r="H34" s="779"/>
      <c r="I34" s="779"/>
      <c r="J34" s="779"/>
      <c r="K34" s="780"/>
    </row>
  </sheetData>
  <phoneticPr fontId="60" type="noConversion"/>
  <pageMargins left="0.70866141732283472" right="0.70866141732283472" top="0.74803149606299213" bottom="0.74803149606299213" header="0.31496062992125984" footer="0.31496062992125984"/>
  <pageSetup paperSize="9" scale="55" orientation="landscape" horizontalDpi="4294967294" verticalDpi="96" r:id="rId1"/>
  <colBreaks count="1" manualBreakCount="1">
    <brk id="5" max="33" man="1"/>
  </col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1"/>
  <dimension ref="B2:AY62"/>
  <sheetViews>
    <sheetView view="pageBreakPreview" topLeftCell="A4" zoomScale="85" zoomScaleNormal="55" zoomScaleSheetLayoutView="85" workbookViewId="0">
      <selection activeCell="J28" sqref="J28:R28"/>
    </sheetView>
  </sheetViews>
  <sheetFormatPr defaultRowHeight="16.5"/>
  <cols>
    <col min="1" max="1" width="1.625" customWidth="1"/>
    <col min="2" max="32" width="3.5" customWidth="1"/>
    <col min="33" max="33" width="1.625" customWidth="1"/>
    <col min="34" max="36" width="3.5" customWidth="1"/>
    <col min="37" max="37" width="1.625" customWidth="1"/>
    <col min="38" max="39" width="3.5" hidden="1" customWidth="1"/>
    <col min="40" max="40" width="0.625" hidden="1" customWidth="1"/>
    <col min="41" max="41" width="3.625" hidden="1" customWidth="1"/>
    <col min="42" max="42" width="6.25" customWidth="1"/>
    <col min="43" max="43" width="8.5" customWidth="1"/>
    <col min="231" max="231" width="1.625" customWidth="1"/>
    <col min="232" max="251" width="3" customWidth="1"/>
    <col min="252" max="252" width="1.375" customWidth="1"/>
    <col min="253" max="253" width="4.625" customWidth="1"/>
    <col min="254" max="257" width="3" customWidth="1"/>
    <col min="258" max="258" width="2.375" customWidth="1"/>
    <col min="259" max="259" width="3.625" customWidth="1"/>
    <col min="260" max="262" width="3" customWidth="1"/>
    <col min="263" max="264" width="1.625" customWidth="1"/>
    <col min="265" max="284" width="3" customWidth="1"/>
    <col min="285" max="285" width="1.375" customWidth="1"/>
    <col min="286" max="286" width="4.625" customWidth="1"/>
    <col min="287" max="290" width="3" customWidth="1"/>
    <col min="291" max="291" width="2.375" customWidth="1"/>
    <col min="292" max="292" width="3.625" customWidth="1"/>
    <col min="293" max="295" width="3" customWidth="1"/>
    <col min="296" max="296" width="1.625" customWidth="1"/>
    <col min="487" max="487" width="1.625" customWidth="1"/>
    <col min="488" max="507" width="3" customWidth="1"/>
    <col min="508" max="508" width="1.375" customWidth="1"/>
    <col min="509" max="509" width="4.625" customWidth="1"/>
    <col min="510" max="513" width="3" customWidth="1"/>
    <col min="514" max="514" width="2.375" customWidth="1"/>
    <col min="515" max="515" width="3.625" customWidth="1"/>
    <col min="516" max="518" width="3" customWidth="1"/>
    <col min="519" max="520" width="1.625" customWidth="1"/>
    <col min="521" max="540" width="3" customWidth="1"/>
    <col min="541" max="541" width="1.375" customWidth="1"/>
    <col min="542" max="542" width="4.625" customWidth="1"/>
    <col min="543" max="546" width="3" customWidth="1"/>
    <col min="547" max="547" width="2.375" customWidth="1"/>
    <col min="548" max="548" width="3.625" customWidth="1"/>
    <col min="549" max="551" width="3" customWidth="1"/>
    <col min="552" max="552" width="1.625" customWidth="1"/>
    <col min="743" max="743" width="1.625" customWidth="1"/>
    <col min="744" max="763" width="3" customWidth="1"/>
    <col min="764" max="764" width="1.375" customWidth="1"/>
    <col min="765" max="765" width="4.625" customWidth="1"/>
    <col min="766" max="769" width="3" customWidth="1"/>
    <col min="770" max="770" width="2.375" customWidth="1"/>
    <col min="771" max="771" width="3.625" customWidth="1"/>
    <col min="772" max="774" width="3" customWidth="1"/>
    <col min="775" max="776" width="1.625" customWidth="1"/>
    <col min="777" max="796" width="3" customWidth="1"/>
    <col min="797" max="797" width="1.375" customWidth="1"/>
    <col min="798" max="798" width="4.625" customWidth="1"/>
    <col min="799" max="802" width="3" customWidth="1"/>
    <col min="803" max="803" width="2.375" customWidth="1"/>
    <col min="804" max="804" width="3.625" customWidth="1"/>
    <col min="805" max="807" width="3" customWidth="1"/>
    <col min="808" max="808" width="1.625" customWidth="1"/>
    <col min="999" max="999" width="1.625" customWidth="1"/>
    <col min="1000" max="1019" width="3" customWidth="1"/>
    <col min="1020" max="1020" width="1.375" customWidth="1"/>
    <col min="1021" max="1021" width="4.625" customWidth="1"/>
    <col min="1022" max="1025" width="3" customWidth="1"/>
    <col min="1026" max="1026" width="2.375" customWidth="1"/>
    <col min="1027" max="1027" width="3.625" customWidth="1"/>
    <col min="1028" max="1030" width="3" customWidth="1"/>
    <col min="1031" max="1032" width="1.625" customWidth="1"/>
    <col min="1033" max="1052" width="3" customWidth="1"/>
    <col min="1053" max="1053" width="1.375" customWidth="1"/>
    <col min="1054" max="1054" width="4.625" customWidth="1"/>
    <col min="1055" max="1058" width="3" customWidth="1"/>
    <col min="1059" max="1059" width="2.375" customWidth="1"/>
    <col min="1060" max="1060" width="3.625" customWidth="1"/>
    <col min="1061" max="1063" width="3" customWidth="1"/>
    <col min="1064" max="1064" width="1.625" customWidth="1"/>
    <col min="1255" max="1255" width="1.625" customWidth="1"/>
    <col min="1256" max="1275" width="3" customWidth="1"/>
    <col min="1276" max="1276" width="1.375" customWidth="1"/>
    <col min="1277" max="1277" width="4.625" customWidth="1"/>
    <col min="1278" max="1281" width="3" customWidth="1"/>
    <col min="1282" max="1282" width="2.375" customWidth="1"/>
    <col min="1283" max="1283" width="3.625" customWidth="1"/>
    <col min="1284" max="1286" width="3" customWidth="1"/>
    <col min="1287" max="1288" width="1.625" customWidth="1"/>
    <col min="1289" max="1308" width="3" customWidth="1"/>
    <col min="1309" max="1309" width="1.375" customWidth="1"/>
    <col min="1310" max="1310" width="4.625" customWidth="1"/>
    <col min="1311" max="1314" width="3" customWidth="1"/>
    <col min="1315" max="1315" width="2.375" customWidth="1"/>
    <col min="1316" max="1316" width="3.625" customWidth="1"/>
    <col min="1317" max="1319" width="3" customWidth="1"/>
    <col min="1320" max="1320" width="1.625" customWidth="1"/>
    <col min="1511" max="1511" width="1.625" customWidth="1"/>
    <col min="1512" max="1531" width="3" customWidth="1"/>
    <col min="1532" max="1532" width="1.375" customWidth="1"/>
    <col min="1533" max="1533" width="4.625" customWidth="1"/>
    <col min="1534" max="1537" width="3" customWidth="1"/>
    <col min="1538" max="1538" width="2.375" customWidth="1"/>
    <col min="1539" max="1539" width="3.625" customWidth="1"/>
    <col min="1540" max="1542" width="3" customWidth="1"/>
    <col min="1543" max="1544" width="1.625" customWidth="1"/>
    <col min="1545" max="1564" width="3" customWidth="1"/>
    <col min="1565" max="1565" width="1.375" customWidth="1"/>
    <col min="1566" max="1566" width="4.625" customWidth="1"/>
    <col min="1567" max="1570" width="3" customWidth="1"/>
    <col min="1571" max="1571" width="2.375" customWidth="1"/>
    <col min="1572" max="1572" width="3.625" customWidth="1"/>
    <col min="1573" max="1575" width="3" customWidth="1"/>
    <col min="1576" max="1576" width="1.625" customWidth="1"/>
    <col min="1767" max="1767" width="1.625" customWidth="1"/>
    <col min="1768" max="1787" width="3" customWidth="1"/>
    <col min="1788" max="1788" width="1.375" customWidth="1"/>
    <col min="1789" max="1789" width="4.625" customWidth="1"/>
    <col min="1790" max="1793" width="3" customWidth="1"/>
    <col min="1794" max="1794" width="2.375" customWidth="1"/>
    <col min="1795" max="1795" width="3.625" customWidth="1"/>
    <col min="1796" max="1798" width="3" customWidth="1"/>
    <col min="1799" max="1800" width="1.625" customWidth="1"/>
    <col min="1801" max="1820" width="3" customWidth="1"/>
    <col min="1821" max="1821" width="1.375" customWidth="1"/>
    <col min="1822" max="1822" width="4.625" customWidth="1"/>
    <col min="1823" max="1826" width="3" customWidth="1"/>
    <col min="1827" max="1827" width="2.375" customWidth="1"/>
    <col min="1828" max="1828" width="3.625" customWidth="1"/>
    <col min="1829" max="1831" width="3" customWidth="1"/>
    <col min="1832" max="1832" width="1.625" customWidth="1"/>
    <col min="2023" max="2023" width="1.625" customWidth="1"/>
    <col min="2024" max="2043" width="3" customWidth="1"/>
    <col min="2044" max="2044" width="1.375" customWidth="1"/>
    <col min="2045" max="2045" width="4.625" customWidth="1"/>
    <col min="2046" max="2049" width="3" customWidth="1"/>
    <col min="2050" max="2050" width="2.375" customWidth="1"/>
    <col min="2051" max="2051" width="3.625" customWidth="1"/>
    <col min="2052" max="2054" width="3" customWidth="1"/>
    <col min="2055" max="2056" width="1.625" customWidth="1"/>
    <col min="2057" max="2076" width="3" customWidth="1"/>
    <col min="2077" max="2077" width="1.375" customWidth="1"/>
    <col min="2078" max="2078" width="4.625" customWidth="1"/>
    <col min="2079" max="2082" width="3" customWidth="1"/>
    <col min="2083" max="2083" width="2.375" customWidth="1"/>
    <col min="2084" max="2084" width="3.625" customWidth="1"/>
    <col min="2085" max="2087" width="3" customWidth="1"/>
    <col min="2088" max="2088" width="1.625" customWidth="1"/>
    <col min="2279" max="2279" width="1.625" customWidth="1"/>
    <col min="2280" max="2299" width="3" customWidth="1"/>
    <col min="2300" max="2300" width="1.375" customWidth="1"/>
    <col min="2301" max="2301" width="4.625" customWidth="1"/>
    <col min="2302" max="2305" width="3" customWidth="1"/>
    <col min="2306" max="2306" width="2.375" customWidth="1"/>
    <col min="2307" max="2307" width="3.625" customWidth="1"/>
    <col min="2308" max="2310" width="3" customWidth="1"/>
    <col min="2311" max="2312" width="1.625" customWidth="1"/>
    <col min="2313" max="2332" width="3" customWidth="1"/>
    <col min="2333" max="2333" width="1.375" customWidth="1"/>
    <col min="2334" max="2334" width="4.625" customWidth="1"/>
    <col min="2335" max="2338" width="3" customWidth="1"/>
    <col min="2339" max="2339" width="2.375" customWidth="1"/>
    <col min="2340" max="2340" width="3.625" customWidth="1"/>
    <col min="2341" max="2343" width="3" customWidth="1"/>
    <col min="2344" max="2344" width="1.625" customWidth="1"/>
    <col min="2535" max="2535" width="1.625" customWidth="1"/>
    <col min="2536" max="2555" width="3" customWidth="1"/>
    <col min="2556" max="2556" width="1.375" customWidth="1"/>
    <col min="2557" max="2557" width="4.625" customWidth="1"/>
    <col min="2558" max="2561" width="3" customWidth="1"/>
    <col min="2562" max="2562" width="2.375" customWidth="1"/>
    <col min="2563" max="2563" width="3.625" customWidth="1"/>
    <col min="2564" max="2566" width="3" customWidth="1"/>
    <col min="2567" max="2568" width="1.625" customWidth="1"/>
    <col min="2569" max="2588" width="3" customWidth="1"/>
    <col min="2589" max="2589" width="1.375" customWidth="1"/>
    <col min="2590" max="2590" width="4.625" customWidth="1"/>
    <col min="2591" max="2594" width="3" customWidth="1"/>
    <col min="2595" max="2595" width="2.375" customWidth="1"/>
    <col min="2596" max="2596" width="3.625" customWidth="1"/>
    <col min="2597" max="2599" width="3" customWidth="1"/>
    <col min="2600" max="2600" width="1.625" customWidth="1"/>
    <col min="2791" max="2791" width="1.625" customWidth="1"/>
    <col min="2792" max="2811" width="3" customWidth="1"/>
    <col min="2812" max="2812" width="1.375" customWidth="1"/>
    <col min="2813" max="2813" width="4.625" customWidth="1"/>
    <col min="2814" max="2817" width="3" customWidth="1"/>
    <col min="2818" max="2818" width="2.375" customWidth="1"/>
    <col min="2819" max="2819" width="3.625" customWidth="1"/>
    <col min="2820" max="2822" width="3" customWidth="1"/>
    <col min="2823" max="2824" width="1.625" customWidth="1"/>
    <col min="2825" max="2844" width="3" customWidth="1"/>
    <col min="2845" max="2845" width="1.375" customWidth="1"/>
    <col min="2846" max="2846" width="4.625" customWidth="1"/>
    <col min="2847" max="2850" width="3" customWidth="1"/>
    <col min="2851" max="2851" width="2.375" customWidth="1"/>
    <col min="2852" max="2852" width="3.625" customWidth="1"/>
    <col min="2853" max="2855" width="3" customWidth="1"/>
    <col min="2856" max="2856" width="1.625" customWidth="1"/>
    <col min="3047" max="3047" width="1.625" customWidth="1"/>
    <col min="3048" max="3067" width="3" customWidth="1"/>
    <col min="3068" max="3068" width="1.375" customWidth="1"/>
    <col min="3069" max="3069" width="4.625" customWidth="1"/>
    <col min="3070" max="3073" width="3" customWidth="1"/>
    <col min="3074" max="3074" width="2.375" customWidth="1"/>
    <col min="3075" max="3075" width="3.625" customWidth="1"/>
    <col min="3076" max="3078" width="3" customWidth="1"/>
    <col min="3079" max="3080" width="1.625" customWidth="1"/>
    <col min="3081" max="3100" width="3" customWidth="1"/>
    <col min="3101" max="3101" width="1.375" customWidth="1"/>
    <col min="3102" max="3102" width="4.625" customWidth="1"/>
    <col min="3103" max="3106" width="3" customWidth="1"/>
    <col min="3107" max="3107" width="2.375" customWidth="1"/>
    <col min="3108" max="3108" width="3.625" customWidth="1"/>
    <col min="3109" max="3111" width="3" customWidth="1"/>
    <col min="3112" max="3112" width="1.625" customWidth="1"/>
    <col min="3303" max="3303" width="1.625" customWidth="1"/>
    <col min="3304" max="3323" width="3" customWidth="1"/>
    <col min="3324" max="3324" width="1.375" customWidth="1"/>
    <col min="3325" max="3325" width="4.625" customWidth="1"/>
    <col min="3326" max="3329" width="3" customWidth="1"/>
    <col min="3330" max="3330" width="2.375" customWidth="1"/>
    <col min="3331" max="3331" width="3.625" customWidth="1"/>
    <col min="3332" max="3334" width="3" customWidth="1"/>
    <col min="3335" max="3336" width="1.625" customWidth="1"/>
    <col min="3337" max="3356" width="3" customWidth="1"/>
    <col min="3357" max="3357" width="1.375" customWidth="1"/>
    <col min="3358" max="3358" width="4.625" customWidth="1"/>
    <col min="3359" max="3362" width="3" customWidth="1"/>
    <col min="3363" max="3363" width="2.375" customWidth="1"/>
    <col min="3364" max="3364" width="3.625" customWidth="1"/>
    <col min="3365" max="3367" width="3" customWidth="1"/>
    <col min="3368" max="3368" width="1.625" customWidth="1"/>
    <col min="3559" max="3559" width="1.625" customWidth="1"/>
    <col min="3560" max="3579" width="3" customWidth="1"/>
    <col min="3580" max="3580" width="1.375" customWidth="1"/>
    <col min="3581" max="3581" width="4.625" customWidth="1"/>
    <col min="3582" max="3585" width="3" customWidth="1"/>
    <col min="3586" max="3586" width="2.375" customWidth="1"/>
    <col min="3587" max="3587" width="3.625" customWidth="1"/>
    <col min="3588" max="3590" width="3" customWidth="1"/>
    <col min="3591" max="3592" width="1.625" customWidth="1"/>
    <col min="3593" max="3612" width="3" customWidth="1"/>
    <col min="3613" max="3613" width="1.375" customWidth="1"/>
    <col min="3614" max="3614" width="4.625" customWidth="1"/>
    <col min="3615" max="3618" width="3" customWidth="1"/>
    <col min="3619" max="3619" width="2.375" customWidth="1"/>
    <col min="3620" max="3620" width="3.625" customWidth="1"/>
    <col min="3621" max="3623" width="3" customWidth="1"/>
    <col min="3624" max="3624" width="1.625" customWidth="1"/>
    <col min="3815" max="3815" width="1.625" customWidth="1"/>
    <col min="3816" max="3835" width="3" customWidth="1"/>
    <col min="3836" max="3836" width="1.375" customWidth="1"/>
    <col min="3837" max="3837" width="4.625" customWidth="1"/>
    <col min="3838" max="3841" width="3" customWidth="1"/>
    <col min="3842" max="3842" width="2.375" customWidth="1"/>
    <col min="3843" max="3843" width="3.625" customWidth="1"/>
    <col min="3844" max="3846" width="3" customWidth="1"/>
    <col min="3847" max="3848" width="1.625" customWidth="1"/>
    <col min="3849" max="3868" width="3" customWidth="1"/>
    <col min="3869" max="3869" width="1.375" customWidth="1"/>
    <col min="3870" max="3870" width="4.625" customWidth="1"/>
    <col min="3871" max="3874" width="3" customWidth="1"/>
    <col min="3875" max="3875" width="2.375" customWidth="1"/>
    <col min="3876" max="3876" width="3.625" customWidth="1"/>
    <col min="3877" max="3879" width="3" customWidth="1"/>
    <col min="3880" max="3880" width="1.625" customWidth="1"/>
    <col min="4071" max="4071" width="1.625" customWidth="1"/>
    <col min="4072" max="4091" width="3" customWidth="1"/>
    <col min="4092" max="4092" width="1.375" customWidth="1"/>
    <col min="4093" max="4093" width="4.625" customWidth="1"/>
    <col min="4094" max="4097" width="3" customWidth="1"/>
    <col min="4098" max="4098" width="2.375" customWidth="1"/>
    <col min="4099" max="4099" width="3.625" customWidth="1"/>
    <col min="4100" max="4102" width="3" customWidth="1"/>
    <col min="4103" max="4104" width="1.625" customWidth="1"/>
    <col min="4105" max="4124" width="3" customWidth="1"/>
    <col min="4125" max="4125" width="1.375" customWidth="1"/>
    <col min="4126" max="4126" width="4.625" customWidth="1"/>
    <col min="4127" max="4130" width="3" customWidth="1"/>
    <col min="4131" max="4131" width="2.375" customWidth="1"/>
    <col min="4132" max="4132" width="3.625" customWidth="1"/>
    <col min="4133" max="4135" width="3" customWidth="1"/>
    <col min="4136" max="4136" width="1.625" customWidth="1"/>
    <col min="4327" max="4327" width="1.625" customWidth="1"/>
    <col min="4328" max="4347" width="3" customWidth="1"/>
    <col min="4348" max="4348" width="1.375" customWidth="1"/>
    <col min="4349" max="4349" width="4.625" customWidth="1"/>
    <col min="4350" max="4353" width="3" customWidth="1"/>
    <col min="4354" max="4354" width="2.375" customWidth="1"/>
    <col min="4355" max="4355" width="3.625" customWidth="1"/>
    <col min="4356" max="4358" width="3" customWidth="1"/>
    <col min="4359" max="4360" width="1.625" customWidth="1"/>
    <col min="4361" max="4380" width="3" customWidth="1"/>
    <col min="4381" max="4381" width="1.375" customWidth="1"/>
    <col min="4382" max="4382" width="4.625" customWidth="1"/>
    <col min="4383" max="4386" width="3" customWidth="1"/>
    <col min="4387" max="4387" width="2.375" customWidth="1"/>
    <col min="4388" max="4388" width="3.625" customWidth="1"/>
    <col min="4389" max="4391" width="3" customWidth="1"/>
    <col min="4392" max="4392" width="1.625" customWidth="1"/>
    <col min="4583" max="4583" width="1.625" customWidth="1"/>
    <col min="4584" max="4603" width="3" customWidth="1"/>
    <col min="4604" max="4604" width="1.375" customWidth="1"/>
    <col min="4605" max="4605" width="4.625" customWidth="1"/>
    <col min="4606" max="4609" width="3" customWidth="1"/>
    <col min="4610" max="4610" width="2.375" customWidth="1"/>
    <col min="4611" max="4611" width="3.625" customWidth="1"/>
    <col min="4612" max="4614" width="3" customWidth="1"/>
    <col min="4615" max="4616" width="1.625" customWidth="1"/>
    <col min="4617" max="4636" width="3" customWidth="1"/>
    <col min="4637" max="4637" width="1.375" customWidth="1"/>
    <col min="4638" max="4638" width="4.625" customWidth="1"/>
    <col min="4639" max="4642" width="3" customWidth="1"/>
    <col min="4643" max="4643" width="2.375" customWidth="1"/>
    <col min="4644" max="4644" width="3.625" customWidth="1"/>
    <col min="4645" max="4647" width="3" customWidth="1"/>
    <col min="4648" max="4648" width="1.625" customWidth="1"/>
    <col min="4839" max="4839" width="1.625" customWidth="1"/>
    <col min="4840" max="4859" width="3" customWidth="1"/>
    <col min="4860" max="4860" width="1.375" customWidth="1"/>
    <col min="4861" max="4861" width="4.625" customWidth="1"/>
    <col min="4862" max="4865" width="3" customWidth="1"/>
    <col min="4866" max="4866" width="2.375" customWidth="1"/>
    <col min="4867" max="4867" width="3.625" customWidth="1"/>
    <col min="4868" max="4870" width="3" customWidth="1"/>
    <col min="4871" max="4872" width="1.625" customWidth="1"/>
    <col min="4873" max="4892" width="3" customWidth="1"/>
    <col min="4893" max="4893" width="1.375" customWidth="1"/>
    <col min="4894" max="4894" width="4.625" customWidth="1"/>
    <col min="4895" max="4898" width="3" customWidth="1"/>
    <col min="4899" max="4899" width="2.375" customWidth="1"/>
    <col min="4900" max="4900" width="3.625" customWidth="1"/>
    <col min="4901" max="4903" width="3" customWidth="1"/>
    <col min="4904" max="4904" width="1.625" customWidth="1"/>
    <col min="5095" max="5095" width="1.625" customWidth="1"/>
    <col min="5096" max="5115" width="3" customWidth="1"/>
    <col min="5116" max="5116" width="1.375" customWidth="1"/>
    <col min="5117" max="5117" width="4.625" customWidth="1"/>
    <col min="5118" max="5121" width="3" customWidth="1"/>
    <col min="5122" max="5122" width="2.375" customWidth="1"/>
    <col min="5123" max="5123" width="3.625" customWidth="1"/>
    <col min="5124" max="5126" width="3" customWidth="1"/>
    <col min="5127" max="5128" width="1.625" customWidth="1"/>
    <col min="5129" max="5148" width="3" customWidth="1"/>
    <col min="5149" max="5149" width="1.375" customWidth="1"/>
    <col min="5150" max="5150" width="4.625" customWidth="1"/>
    <col min="5151" max="5154" width="3" customWidth="1"/>
    <col min="5155" max="5155" width="2.375" customWidth="1"/>
    <col min="5156" max="5156" width="3.625" customWidth="1"/>
    <col min="5157" max="5159" width="3" customWidth="1"/>
    <col min="5160" max="5160" width="1.625" customWidth="1"/>
    <col min="5351" max="5351" width="1.625" customWidth="1"/>
    <col min="5352" max="5371" width="3" customWidth="1"/>
    <col min="5372" max="5372" width="1.375" customWidth="1"/>
    <col min="5373" max="5373" width="4.625" customWidth="1"/>
    <col min="5374" max="5377" width="3" customWidth="1"/>
    <col min="5378" max="5378" width="2.375" customWidth="1"/>
    <col min="5379" max="5379" width="3.625" customWidth="1"/>
    <col min="5380" max="5382" width="3" customWidth="1"/>
    <col min="5383" max="5384" width="1.625" customWidth="1"/>
    <col min="5385" max="5404" width="3" customWidth="1"/>
    <col min="5405" max="5405" width="1.375" customWidth="1"/>
    <col min="5406" max="5406" width="4.625" customWidth="1"/>
    <col min="5407" max="5410" width="3" customWidth="1"/>
    <col min="5411" max="5411" width="2.375" customWidth="1"/>
    <col min="5412" max="5412" width="3.625" customWidth="1"/>
    <col min="5413" max="5415" width="3" customWidth="1"/>
    <col min="5416" max="5416" width="1.625" customWidth="1"/>
    <col min="5607" max="5607" width="1.625" customWidth="1"/>
    <col min="5608" max="5627" width="3" customWidth="1"/>
    <col min="5628" max="5628" width="1.375" customWidth="1"/>
    <col min="5629" max="5629" width="4.625" customWidth="1"/>
    <col min="5630" max="5633" width="3" customWidth="1"/>
    <col min="5634" max="5634" width="2.375" customWidth="1"/>
    <col min="5635" max="5635" width="3.625" customWidth="1"/>
    <col min="5636" max="5638" width="3" customWidth="1"/>
    <col min="5639" max="5640" width="1.625" customWidth="1"/>
    <col min="5641" max="5660" width="3" customWidth="1"/>
    <col min="5661" max="5661" width="1.375" customWidth="1"/>
    <col min="5662" max="5662" width="4.625" customWidth="1"/>
    <col min="5663" max="5666" width="3" customWidth="1"/>
    <col min="5667" max="5667" width="2.375" customWidth="1"/>
    <col min="5668" max="5668" width="3.625" customWidth="1"/>
    <col min="5669" max="5671" width="3" customWidth="1"/>
    <col min="5672" max="5672" width="1.625" customWidth="1"/>
    <col min="5863" max="5863" width="1.625" customWidth="1"/>
    <col min="5864" max="5883" width="3" customWidth="1"/>
    <col min="5884" max="5884" width="1.375" customWidth="1"/>
    <col min="5885" max="5885" width="4.625" customWidth="1"/>
    <col min="5886" max="5889" width="3" customWidth="1"/>
    <col min="5890" max="5890" width="2.375" customWidth="1"/>
    <col min="5891" max="5891" width="3.625" customWidth="1"/>
    <col min="5892" max="5894" width="3" customWidth="1"/>
    <col min="5895" max="5896" width="1.625" customWidth="1"/>
    <col min="5897" max="5916" width="3" customWidth="1"/>
    <col min="5917" max="5917" width="1.375" customWidth="1"/>
    <col min="5918" max="5918" width="4.625" customWidth="1"/>
    <col min="5919" max="5922" width="3" customWidth="1"/>
    <col min="5923" max="5923" width="2.375" customWidth="1"/>
    <col min="5924" max="5924" width="3.625" customWidth="1"/>
    <col min="5925" max="5927" width="3" customWidth="1"/>
    <col min="5928" max="5928" width="1.625" customWidth="1"/>
    <col min="6119" max="6119" width="1.625" customWidth="1"/>
    <col min="6120" max="6139" width="3" customWidth="1"/>
    <col min="6140" max="6140" width="1.375" customWidth="1"/>
    <col min="6141" max="6141" width="4.625" customWidth="1"/>
    <col min="6142" max="6145" width="3" customWidth="1"/>
    <col min="6146" max="6146" width="2.375" customWidth="1"/>
    <col min="6147" max="6147" width="3.625" customWidth="1"/>
    <col min="6148" max="6150" width="3" customWidth="1"/>
    <col min="6151" max="6152" width="1.625" customWidth="1"/>
    <col min="6153" max="6172" width="3" customWidth="1"/>
    <col min="6173" max="6173" width="1.375" customWidth="1"/>
    <col min="6174" max="6174" width="4.625" customWidth="1"/>
    <col min="6175" max="6178" width="3" customWidth="1"/>
    <col min="6179" max="6179" width="2.375" customWidth="1"/>
    <col min="6180" max="6180" width="3.625" customWidth="1"/>
    <col min="6181" max="6183" width="3" customWidth="1"/>
    <col min="6184" max="6184" width="1.625" customWidth="1"/>
    <col min="6375" max="6375" width="1.625" customWidth="1"/>
    <col min="6376" max="6395" width="3" customWidth="1"/>
    <col min="6396" max="6396" width="1.375" customWidth="1"/>
    <col min="6397" max="6397" width="4.625" customWidth="1"/>
    <col min="6398" max="6401" width="3" customWidth="1"/>
    <col min="6402" max="6402" width="2.375" customWidth="1"/>
    <col min="6403" max="6403" width="3.625" customWidth="1"/>
    <col min="6404" max="6406" width="3" customWidth="1"/>
    <col min="6407" max="6408" width="1.625" customWidth="1"/>
    <col min="6409" max="6428" width="3" customWidth="1"/>
    <col min="6429" max="6429" width="1.375" customWidth="1"/>
    <col min="6430" max="6430" width="4.625" customWidth="1"/>
    <col min="6431" max="6434" width="3" customWidth="1"/>
    <col min="6435" max="6435" width="2.375" customWidth="1"/>
    <col min="6436" max="6436" width="3.625" customWidth="1"/>
    <col min="6437" max="6439" width="3" customWidth="1"/>
    <col min="6440" max="6440" width="1.625" customWidth="1"/>
    <col min="6631" max="6631" width="1.625" customWidth="1"/>
    <col min="6632" max="6651" width="3" customWidth="1"/>
    <col min="6652" max="6652" width="1.375" customWidth="1"/>
    <col min="6653" max="6653" width="4.625" customWidth="1"/>
    <col min="6654" max="6657" width="3" customWidth="1"/>
    <col min="6658" max="6658" width="2.375" customWidth="1"/>
    <col min="6659" max="6659" width="3.625" customWidth="1"/>
    <col min="6660" max="6662" width="3" customWidth="1"/>
    <col min="6663" max="6664" width="1.625" customWidth="1"/>
    <col min="6665" max="6684" width="3" customWidth="1"/>
    <col min="6685" max="6685" width="1.375" customWidth="1"/>
    <col min="6686" max="6686" width="4.625" customWidth="1"/>
    <col min="6687" max="6690" width="3" customWidth="1"/>
    <col min="6691" max="6691" width="2.375" customWidth="1"/>
    <col min="6692" max="6692" width="3.625" customWidth="1"/>
    <col min="6693" max="6695" width="3" customWidth="1"/>
    <col min="6696" max="6696" width="1.625" customWidth="1"/>
    <col min="6887" max="6887" width="1.625" customWidth="1"/>
    <col min="6888" max="6907" width="3" customWidth="1"/>
    <col min="6908" max="6908" width="1.375" customWidth="1"/>
    <col min="6909" max="6909" width="4.625" customWidth="1"/>
    <col min="6910" max="6913" width="3" customWidth="1"/>
    <col min="6914" max="6914" width="2.375" customWidth="1"/>
    <col min="6915" max="6915" width="3.625" customWidth="1"/>
    <col min="6916" max="6918" width="3" customWidth="1"/>
    <col min="6919" max="6920" width="1.625" customWidth="1"/>
    <col min="6921" max="6940" width="3" customWidth="1"/>
    <col min="6941" max="6941" width="1.375" customWidth="1"/>
    <col min="6942" max="6942" width="4.625" customWidth="1"/>
    <col min="6943" max="6946" width="3" customWidth="1"/>
    <col min="6947" max="6947" width="2.375" customWidth="1"/>
    <col min="6948" max="6948" width="3.625" customWidth="1"/>
    <col min="6949" max="6951" width="3" customWidth="1"/>
    <col min="6952" max="6952" width="1.625" customWidth="1"/>
    <col min="7143" max="7143" width="1.625" customWidth="1"/>
    <col min="7144" max="7163" width="3" customWidth="1"/>
    <col min="7164" max="7164" width="1.375" customWidth="1"/>
    <col min="7165" max="7165" width="4.625" customWidth="1"/>
    <col min="7166" max="7169" width="3" customWidth="1"/>
    <col min="7170" max="7170" width="2.375" customWidth="1"/>
    <col min="7171" max="7171" width="3.625" customWidth="1"/>
    <col min="7172" max="7174" width="3" customWidth="1"/>
    <col min="7175" max="7176" width="1.625" customWidth="1"/>
    <col min="7177" max="7196" width="3" customWidth="1"/>
    <col min="7197" max="7197" width="1.375" customWidth="1"/>
    <col min="7198" max="7198" width="4.625" customWidth="1"/>
    <col min="7199" max="7202" width="3" customWidth="1"/>
    <col min="7203" max="7203" width="2.375" customWidth="1"/>
    <col min="7204" max="7204" width="3.625" customWidth="1"/>
    <col min="7205" max="7207" width="3" customWidth="1"/>
    <col min="7208" max="7208" width="1.625" customWidth="1"/>
    <col min="7399" max="7399" width="1.625" customWidth="1"/>
    <col min="7400" max="7419" width="3" customWidth="1"/>
    <col min="7420" max="7420" width="1.375" customWidth="1"/>
    <col min="7421" max="7421" width="4.625" customWidth="1"/>
    <col min="7422" max="7425" width="3" customWidth="1"/>
    <col min="7426" max="7426" width="2.375" customWidth="1"/>
    <col min="7427" max="7427" width="3.625" customWidth="1"/>
    <col min="7428" max="7430" width="3" customWidth="1"/>
    <col min="7431" max="7432" width="1.625" customWidth="1"/>
    <col min="7433" max="7452" width="3" customWidth="1"/>
    <col min="7453" max="7453" width="1.375" customWidth="1"/>
    <col min="7454" max="7454" width="4.625" customWidth="1"/>
    <col min="7455" max="7458" width="3" customWidth="1"/>
    <col min="7459" max="7459" width="2.375" customWidth="1"/>
    <col min="7460" max="7460" width="3.625" customWidth="1"/>
    <col min="7461" max="7463" width="3" customWidth="1"/>
    <col min="7464" max="7464" width="1.625" customWidth="1"/>
    <col min="7655" max="7655" width="1.625" customWidth="1"/>
    <col min="7656" max="7675" width="3" customWidth="1"/>
    <col min="7676" max="7676" width="1.375" customWidth="1"/>
    <col min="7677" max="7677" width="4.625" customWidth="1"/>
    <col min="7678" max="7681" width="3" customWidth="1"/>
    <col min="7682" max="7682" width="2.375" customWidth="1"/>
    <col min="7683" max="7683" width="3.625" customWidth="1"/>
    <col min="7684" max="7686" width="3" customWidth="1"/>
    <col min="7687" max="7688" width="1.625" customWidth="1"/>
    <col min="7689" max="7708" width="3" customWidth="1"/>
    <col min="7709" max="7709" width="1.375" customWidth="1"/>
    <col min="7710" max="7710" width="4.625" customWidth="1"/>
    <col min="7711" max="7714" width="3" customWidth="1"/>
    <col min="7715" max="7715" width="2.375" customWidth="1"/>
    <col min="7716" max="7716" width="3.625" customWidth="1"/>
    <col min="7717" max="7719" width="3" customWidth="1"/>
    <col min="7720" max="7720" width="1.625" customWidth="1"/>
    <col min="7911" max="7911" width="1.625" customWidth="1"/>
    <col min="7912" max="7931" width="3" customWidth="1"/>
    <col min="7932" max="7932" width="1.375" customWidth="1"/>
    <col min="7933" max="7933" width="4.625" customWidth="1"/>
    <col min="7934" max="7937" width="3" customWidth="1"/>
    <col min="7938" max="7938" width="2.375" customWidth="1"/>
    <col min="7939" max="7939" width="3.625" customWidth="1"/>
    <col min="7940" max="7942" width="3" customWidth="1"/>
    <col min="7943" max="7944" width="1.625" customWidth="1"/>
    <col min="7945" max="7964" width="3" customWidth="1"/>
    <col min="7965" max="7965" width="1.375" customWidth="1"/>
    <col min="7966" max="7966" width="4.625" customWidth="1"/>
    <col min="7967" max="7970" width="3" customWidth="1"/>
    <col min="7971" max="7971" width="2.375" customWidth="1"/>
    <col min="7972" max="7972" width="3.625" customWidth="1"/>
    <col min="7973" max="7975" width="3" customWidth="1"/>
    <col min="7976" max="7976" width="1.625" customWidth="1"/>
    <col min="8167" max="8167" width="1.625" customWidth="1"/>
    <col min="8168" max="8187" width="3" customWidth="1"/>
    <col min="8188" max="8188" width="1.375" customWidth="1"/>
    <col min="8189" max="8189" width="4.625" customWidth="1"/>
    <col min="8190" max="8193" width="3" customWidth="1"/>
    <col min="8194" max="8194" width="2.375" customWidth="1"/>
    <col min="8195" max="8195" width="3.625" customWidth="1"/>
    <col min="8196" max="8198" width="3" customWidth="1"/>
    <col min="8199" max="8200" width="1.625" customWidth="1"/>
    <col min="8201" max="8220" width="3" customWidth="1"/>
    <col min="8221" max="8221" width="1.375" customWidth="1"/>
    <col min="8222" max="8222" width="4.625" customWidth="1"/>
    <col min="8223" max="8226" width="3" customWidth="1"/>
    <col min="8227" max="8227" width="2.375" customWidth="1"/>
    <col min="8228" max="8228" width="3.625" customWidth="1"/>
    <col min="8229" max="8231" width="3" customWidth="1"/>
    <col min="8232" max="8232" width="1.625" customWidth="1"/>
    <col min="8423" max="8423" width="1.625" customWidth="1"/>
    <col min="8424" max="8443" width="3" customWidth="1"/>
    <col min="8444" max="8444" width="1.375" customWidth="1"/>
    <col min="8445" max="8445" width="4.625" customWidth="1"/>
    <col min="8446" max="8449" width="3" customWidth="1"/>
    <col min="8450" max="8450" width="2.375" customWidth="1"/>
    <col min="8451" max="8451" width="3.625" customWidth="1"/>
    <col min="8452" max="8454" width="3" customWidth="1"/>
    <col min="8455" max="8456" width="1.625" customWidth="1"/>
    <col min="8457" max="8476" width="3" customWidth="1"/>
    <col min="8477" max="8477" width="1.375" customWidth="1"/>
    <col min="8478" max="8478" width="4.625" customWidth="1"/>
    <col min="8479" max="8482" width="3" customWidth="1"/>
    <col min="8483" max="8483" width="2.375" customWidth="1"/>
    <col min="8484" max="8484" width="3.625" customWidth="1"/>
    <col min="8485" max="8487" width="3" customWidth="1"/>
    <col min="8488" max="8488" width="1.625" customWidth="1"/>
    <col min="8679" max="8679" width="1.625" customWidth="1"/>
    <col min="8680" max="8699" width="3" customWidth="1"/>
    <col min="8700" max="8700" width="1.375" customWidth="1"/>
    <col min="8701" max="8701" width="4.625" customWidth="1"/>
    <col min="8702" max="8705" width="3" customWidth="1"/>
    <col min="8706" max="8706" width="2.375" customWidth="1"/>
    <col min="8707" max="8707" width="3.625" customWidth="1"/>
    <col min="8708" max="8710" width="3" customWidth="1"/>
    <col min="8711" max="8712" width="1.625" customWidth="1"/>
    <col min="8713" max="8732" width="3" customWidth="1"/>
    <col min="8733" max="8733" width="1.375" customWidth="1"/>
    <col min="8734" max="8734" width="4.625" customWidth="1"/>
    <col min="8735" max="8738" width="3" customWidth="1"/>
    <col min="8739" max="8739" width="2.375" customWidth="1"/>
    <col min="8740" max="8740" width="3.625" customWidth="1"/>
    <col min="8741" max="8743" width="3" customWidth="1"/>
    <col min="8744" max="8744" width="1.625" customWidth="1"/>
    <col min="8935" max="8935" width="1.625" customWidth="1"/>
    <col min="8936" max="8955" width="3" customWidth="1"/>
    <col min="8956" max="8956" width="1.375" customWidth="1"/>
    <col min="8957" max="8957" width="4.625" customWidth="1"/>
    <col min="8958" max="8961" width="3" customWidth="1"/>
    <col min="8962" max="8962" width="2.375" customWidth="1"/>
    <col min="8963" max="8963" width="3.625" customWidth="1"/>
    <col min="8964" max="8966" width="3" customWidth="1"/>
    <col min="8967" max="8968" width="1.625" customWidth="1"/>
    <col min="8969" max="8988" width="3" customWidth="1"/>
    <col min="8989" max="8989" width="1.375" customWidth="1"/>
    <col min="8990" max="8990" width="4.625" customWidth="1"/>
    <col min="8991" max="8994" width="3" customWidth="1"/>
    <col min="8995" max="8995" width="2.375" customWidth="1"/>
    <col min="8996" max="8996" width="3.625" customWidth="1"/>
    <col min="8997" max="8999" width="3" customWidth="1"/>
    <col min="9000" max="9000" width="1.625" customWidth="1"/>
    <col min="9191" max="9191" width="1.625" customWidth="1"/>
    <col min="9192" max="9211" width="3" customWidth="1"/>
    <col min="9212" max="9212" width="1.375" customWidth="1"/>
    <col min="9213" max="9213" width="4.625" customWidth="1"/>
    <col min="9214" max="9217" width="3" customWidth="1"/>
    <col min="9218" max="9218" width="2.375" customWidth="1"/>
    <col min="9219" max="9219" width="3.625" customWidth="1"/>
    <col min="9220" max="9222" width="3" customWidth="1"/>
    <col min="9223" max="9224" width="1.625" customWidth="1"/>
    <col min="9225" max="9244" width="3" customWidth="1"/>
    <col min="9245" max="9245" width="1.375" customWidth="1"/>
    <col min="9246" max="9246" width="4.625" customWidth="1"/>
    <col min="9247" max="9250" width="3" customWidth="1"/>
    <col min="9251" max="9251" width="2.375" customWidth="1"/>
    <col min="9252" max="9252" width="3.625" customWidth="1"/>
    <col min="9253" max="9255" width="3" customWidth="1"/>
    <col min="9256" max="9256" width="1.625" customWidth="1"/>
    <col min="9447" max="9447" width="1.625" customWidth="1"/>
    <col min="9448" max="9467" width="3" customWidth="1"/>
    <col min="9468" max="9468" width="1.375" customWidth="1"/>
    <col min="9469" max="9469" width="4.625" customWidth="1"/>
    <col min="9470" max="9473" width="3" customWidth="1"/>
    <col min="9474" max="9474" width="2.375" customWidth="1"/>
    <col min="9475" max="9475" width="3.625" customWidth="1"/>
    <col min="9476" max="9478" width="3" customWidth="1"/>
    <col min="9479" max="9480" width="1.625" customWidth="1"/>
    <col min="9481" max="9500" width="3" customWidth="1"/>
    <col min="9501" max="9501" width="1.375" customWidth="1"/>
    <col min="9502" max="9502" width="4.625" customWidth="1"/>
    <col min="9503" max="9506" width="3" customWidth="1"/>
    <col min="9507" max="9507" width="2.375" customWidth="1"/>
    <col min="9508" max="9508" width="3.625" customWidth="1"/>
    <col min="9509" max="9511" width="3" customWidth="1"/>
    <col min="9512" max="9512" width="1.625" customWidth="1"/>
    <col min="9703" max="9703" width="1.625" customWidth="1"/>
    <col min="9704" max="9723" width="3" customWidth="1"/>
    <col min="9724" max="9724" width="1.375" customWidth="1"/>
    <col min="9725" max="9725" width="4.625" customWidth="1"/>
    <col min="9726" max="9729" width="3" customWidth="1"/>
    <col min="9730" max="9730" width="2.375" customWidth="1"/>
    <col min="9731" max="9731" width="3.625" customWidth="1"/>
    <col min="9732" max="9734" width="3" customWidth="1"/>
    <col min="9735" max="9736" width="1.625" customWidth="1"/>
    <col min="9737" max="9756" width="3" customWidth="1"/>
    <col min="9757" max="9757" width="1.375" customWidth="1"/>
    <col min="9758" max="9758" width="4.625" customWidth="1"/>
    <col min="9759" max="9762" width="3" customWidth="1"/>
    <col min="9763" max="9763" width="2.375" customWidth="1"/>
    <col min="9764" max="9764" width="3.625" customWidth="1"/>
    <col min="9765" max="9767" width="3" customWidth="1"/>
    <col min="9768" max="9768" width="1.625" customWidth="1"/>
    <col min="9959" max="9959" width="1.625" customWidth="1"/>
    <col min="9960" max="9979" width="3" customWidth="1"/>
    <col min="9980" max="9980" width="1.375" customWidth="1"/>
    <col min="9981" max="9981" width="4.625" customWidth="1"/>
    <col min="9982" max="9985" width="3" customWidth="1"/>
    <col min="9986" max="9986" width="2.375" customWidth="1"/>
    <col min="9987" max="9987" width="3.625" customWidth="1"/>
    <col min="9988" max="9990" width="3" customWidth="1"/>
    <col min="9991" max="9992" width="1.625" customWidth="1"/>
    <col min="9993" max="10012" width="3" customWidth="1"/>
    <col min="10013" max="10013" width="1.375" customWidth="1"/>
    <col min="10014" max="10014" width="4.625" customWidth="1"/>
    <col min="10015" max="10018" width="3" customWidth="1"/>
    <col min="10019" max="10019" width="2.375" customWidth="1"/>
    <col min="10020" max="10020" width="3.625" customWidth="1"/>
    <col min="10021" max="10023" width="3" customWidth="1"/>
    <col min="10024" max="10024" width="1.625" customWidth="1"/>
    <col min="10215" max="10215" width="1.625" customWidth="1"/>
    <col min="10216" max="10235" width="3" customWidth="1"/>
    <col min="10236" max="10236" width="1.375" customWidth="1"/>
    <col min="10237" max="10237" width="4.625" customWidth="1"/>
    <col min="10238" max="10241" width="3" customWidth="1"/>
    <col min="10242" max="10242" width="2.375" customWidth="1"/>
    <col min="10243" max="10243" width="3.625" customWidth="1"/>
    <col min="10244" max="10246" width="3" customWidth="1"/>
    <col min="10247" max="10248" width="1.625" customWidth="1"/>
    <col min="10249" max="10268" width="3" customWidth="1"/>
    <col min="10269" max="10269" width="1.375" customWidth="1"/>
    <col min="10270" max="10270" width="4.625" customWidth="1"/>
    <col min="10271" max="10274" width="3" customWidth="1"/>
    <col min="10275" max="10275" width="2.375" customWidth="1"/>
    <col min="10276" max="10276" width="3.625" customWidth="1"/>
    <col min="10277" max="10279" width="3" customWidth="1"/>
    <col min="10280" max="10280" width="1.625" customWidth="1"/>
    <col min="10471" max="10471" width="1.625" customWidth="1"/>
    <col min="10472" max="10491" width="3" customWidth="1"/>
    <col min="10492" max="10492" width="1.375" customWidth="1"/>
    <col min="10493" max="10493" width="4.625" customWidth="1"/>
    <col min="10494" max="10497" width="3" customWidth="1"/>
    <col min="10498" max="10498" width="2.375" customWidth="1"/>
    <col min="10499" max="10499" width="3.625" customWidth="1"/>
    <col min="10500" max="10502" width="3" customWidth="1"/>
    <col min="10503" max="10504" width="1.625" customWidth="1"/>
    <col min="10505" max="10524" width="3" customWidth="1"/>
    <col min="10525" max="10525" width="1.375" customWidth="1"/>
    <col min="10526" max="10526" width="4.625" customWidth="1"/>
    <col min="10527" max="10530" width="3" customWidth="1"/>
    <col min="10531" max="10531" width="2.375" customWidth="1"/>
    <col min="10532" max="10532" width="3.625" customWidth="1"/>
    <col min="10533" max="10535" width="3" customWidth="1"/>
    <col min="10536" max="10536" width="1.625" customWidth="1"/>
    <col min="10727" max="10727" width="1.625" customWidth="1"/>
    <col min="10728" max="10747" width="3" customWidth="1"/>
    <col min="10748" max="10748" width="1.375" customWidth="1"/>
    <col min="10749" max="10749" width="4.625" customWidth="1"/>
    <col min="10750" max="10753" width="3" customWidth="1"/>
    <col min="10754" max="10754" width="2.375" customWidth="1"/>
    <col min="10755" max="10755" width="3.625" customWidth="1"/>
    <col min="10756" max="10758" width="3" customWidth="1"/>
    <col min="10759" max="10760" width="1.625" customWidth="1"/>
    <col min="10761" max="10780" width="3" customWidth="1"/>
    <col min="10781" max="10781" width="1.375" customWidth="1"/>
    <col min="10782" max="10782" width="4.625" customWidth="1"/>
    <col min="10783" max="10786" width="3" customWidth="1"/>
    <col min="10787" max="10787" width="2.375" customWidth="1"/>
    <col min="10788" max="10788" width="3.625" customWidth="1"/>
    <col min="10789" max="10791" width="3" customWidth="1"/>
    <col min="10792" max="10792" width="1.625" customWidth="1"/>
    <col min="10983" max="10983" width="1.625" customWidth="1"/>
    <col min="10984" max="11003" width="3" customWidth="1"/>
    <col min="11004" max="11004" width="1.375" customWidth="1"/>
    <col min="11005" max="11005" width="4.625" customWidth="1"/>
    <col min="11006" max="11009" width="3" customWidth="1"/>
    <col min="11010" max="11010" width="2.375" customWidth="1"/>
    <col min="11011" max="11011" width="3.625" customWidth="1"/>
    <col min="11012" max="11014" width="3" customWidth="1"/>
    <col min="11015" max="11016" width="1.625" customWidth="1"/>
    <col min="11017" max="11036" width="3" customWidth="1"/>
    <col min="11037" max="11037" width="1.375" customWidth="1"/>
    <col min="11038" max="11038" width="4.625" customWidth="1"/>
    <col min="11039" max="11042" width="3" customWidth="1"/>
    <col min="11043" max="11043" width="2.375" customWidth="1"/>
    <col min="11044" max="11044" width="3.625" customWidth="1"/>
    <col min="11045" max="11047" width="3" customWidth="1"/>
    <col min="11048" max="11048" width="1.625" customWidth="1"/>
    <col min="11239" max="11239" width="1.625" customWidth="1"/>
    <col min="11240" max="11259" width="3" customWidth="1"/>
    <col min="11260" max="11260" width="1.375" customWidth="1"/>
    <col min="11261" max="11261" width="4.625" customWidth="1"/>
    <col min="11262" max="11265" width="3" customWidth="1"/>
    <col min="11266" max="11266" width="2.375" customWidth="1"/>
    <col min="11267" max="11267" width="3.625" customWidth="1"/>
    <col min="11268" max="11270" width="3" customWidth="1"/>
    <col min="11271" max="11272" width="1.625" customWidth="1"/>
    <col min="11273" max="11292" width="3" customWidth="1"/>
    <col min="11293" max="11293" width="1.375" customWidth="1"/>
    <col min="11294" max="11294" width="4.625" customWidth="1"/>
    <col min="11295" max="11298" width="3" customWidth="1"/>
    <col min="11299" max="11299" width="2.375" customWidth="1"/>
    <col min="11300" max="11300" width="3.625" customWidth="1"/>
    <col min="11301" max="11303" width="3" customWidth="1"/>
    <col min="11304" max="11304" width="1.625" customWidth="1"/>
    <col min="11495" max="11495" width="1.625" customWidth="1"/>
    <col min="11496" max="11515" width="3" customWidth="1"/>
    <col min="11516" max="11516" width="1.375" customWidth="1"/>
    <col min="11517" max="11517" width="4.625" customWidth="1"/>
    <col min="11518" max="11521" width="3" customWidth="1"/>
    <col min="11522" max="11522" width="2.375" customWidth="1"/>
    <col min="11523" max="11523" width="3.625" customWidth="1"/>
    <col min="11524" max="11526" width="3" customWidth="1"/>
    <col min="11527" max="11528" width="1.625" customWidth="1"/>
    <col min="11529" max="11548" width="3" customWidth="1"/>
    <col min="11549" max="11549" width="1.375" customWidth="1"/>
    <col min="11550" max="11550" width="4.625" customWidth="1"/>
    <col min="11551" max="11554" width="3" customWidth="1"/>
    <col min="11555" max="11555" width="2.375" customWidth="1"/>
    <col min="11556" max="11556" width="3.625" customWidth="1"/>
    <col min="11557" max="11559" width="3" customWidth="1"/>
    <col min="11560" max="11560" width="1.625" customWidth="1"/>
    <col min="11751" max="11751" width="1.625" customWidth="1"/>
    <col min="11752" max="11771" width="3" customWidth="1"/>
    <col min="11772" max="11772" width="1.375" customWidth="1"/>
    <col min="11773" max="11773" width="4.625" customWidth="1"/>
    <col min="11774" max="11777" width="3" customWidth="1"/>
    <col min="11778" max="11778" width="2.375" customWidth="1"/>
    <col min="11779" max="11779" width="3.625" customWidth="1"/>
    <col min="11780" max="11782" width="3" customWidth="1"/>
    <col min="11783" max="11784" width="1.625" customWidth="1"/>
    <col min="11785" max="11804" width="3" customWidth="1"/>
    <col min="11805" max="11805" width="1.375" customWidth="1"/>
    <col min="11806" max="11806" width="4.625" customWidth="1"/>
    <col min="11807" max="11810" width="3" customWidth="1"/>
    <col min="11811" max="11811" width="2.375" customWidth="1"/>
    <col min="11812" max="11812" width="3.625" customWidth="1"/>
    <col min="11813" max="11815" width="3" customWidth="1"/>
    <col min="11816" max="11816" width="1.625" customWidth="1"/>
    <col min="12007" max="12007" width="1.625" customWidth="1"/>
    <col min="12008" max="12027" width="3" customWidth="1"/>
    <col min="12028" max="12028" width="1.375" customWidth="1"/>
    <col min="12029" max="12029" width="4.625" customWidth="1"/>
    <col min="12030" max="12033" width="3" customWidth="1"/>
    <col min="12034" max="12034" width="2.375" customWidth="1"/>
    <col min="12035" max="12035" width="3.625" customWidth="1"/>
    <col min="12036" max="12038" width="3" customWidth="1"/>
    <col min="12039" max="12040" width="1.625" customWidth="1"/>
    <col min="12041" max="12060" width="3" customWidth="1"/>
    <col min="12061" max="12061" width="1.375" customWidth="1"/>
    <col min="12062" max="12062" width="4.625" customWidth="1"/>
    <col min="12063" max="12066" width="3" customWidth="1"/>
    <col min="12067" max="12067" width="2.375" customWidth="1"/>
    <col min="12068" max="12068" width="3.625" customWidth="1"/>
    <col min="12069" max="12071" width="3" customWidth="1"/>
    <col min="12072" max="12072" width="1.625" customWidth="1"/>
    <col min="12263" max="12263" width="1.625" customWidth="1"/>
    <col min="12264" max="12283" width="3" customWidth="1"/>
    <col min="12284" max="12284" width="1.375" customWidth="1"/>
    <col min="12285" max="12285" width="4.625" customWidth="1"/>
    <col min="12286" max="12289" width="3" customWidth="1"/>
    <col min="12290" max="12290" width="2.375" customWidth="1"/>
    <col min="12291" max="12291" width="3.625" customWidth="1"/>
    <col min="12292" max="12294" width="3" customWidth="1"/>
    <col min="12295" max="12296" width="1.625" customWidth="1"/>
    <col min="12297" max="12316" width="3" customWidth="1"/>
    <col min="12317" max="12317" width="1.375" customWidth="1"/>
    <col min="12318" max="12318" width="4.625" customWidth="1"/>
    <col min="12319" max="12322" width="3" customWidth="1"/>
    <col min="12323" max="12323" width="2.375" customWidth="1"/>
    <col min="12324" max="12324" width="3.625" customWidth="1"/>
    <col min="12325" max="12327" width="3" customWidth="1"/>
    <col min="12328" max="12328" width="1.625" customWidth="1"/>
    <col min="12519" max="12519" width="1.625" customWidth="1"/>
    <col min="12520" max="12539" width="3" customWidth="1"/>
    <col min="12540" max="12540" width="1.375" customWidth="1"/>
    <col min="12541" max="12541" width="4.625" customWidth="1"/>
    <col min="12542" max="12545" width="3" customWidth="1"/>
    <col min="12546" max="12546" width="2.375" customWidth="1"/>
    <col min="12547" max="12547" width="3.625" customWidth="1"/>
    <col min="12548" max="12550" width="3" customWidth="1"/>
    <col min="12551" max="12552" width="1.625" customWidth="1"/>
    <col min="12553" max="12572" width="3" customWidth="1"/>
    <col min="12573" max="12573" width="1.375" customWidth="1"/>
    <col min="12574" max="12574" width="4.625" customWidth="1"/>
    <col min="12575" max="12578" width="3" customWidth="1"/>
    <col min="12579" max="12579" width="2.375" customWidth="1"/>
    <col min="12580" max="12580" width="3.625" customWidth="1"/>
    <col min="12581" max="12583" width="3" customWidth="1"/>
    <col min="12584" max="12584" width="1.625" customWidth="1"/>
    <col min="12775" max="12775" width="1.625" customWidth="1"/>
    <col min="12776" max="12795" width="3" customWidth="1"/>
    <col min="12796" max="12796" width="1.375" customWidth="1"/>
    <col min="12797" max="12797" width="4.625" customWidth="1"/>
    <col min="12798" max="12801" width="3" customWidth="1"/>
    <col min="12802" max="12802" width="2.375" customWidth="1"/>
    <col min="12803" max="12803" width="3.625" customWidth="1"/>
    <col min="12804" max="12806" width="3" customWidth="1"/>
    <col min="12807" max="12808" width="1.625" customWidth="1"/>
    <col min="12809" max="12828" width="3" customWidth="1"/>
    <col min="12829" max="12829" width="1.375" customWidth="1"/>
    <col min="12830" max="12830" width="4.625" customWidth="1"/>
    <col min="12831" max="12834" width="3" customWidth="1"/>
    <col min="12835" max="12835" width="2.375" customWidth="1"/>
    <col min="12836" max="12836" width="3.625" customWidth="1"/>
    <col min="12837" max="12839" width="3" customWidth="1"/>
    <col min="12840" max="12840" width="1.625" customWidth="1"/>
    <col min="13031" max="13031" width="1.625" customWidth="1"/>
    <col min="13032" max="13051" width="3" customWidth="1"/>
    <col min="13052" max="13052" width="1.375" customWidth="1"/>
    <col min="13053" max="13053" width="4.625" customWidth="1"/>
    <col min="13054" max="13057" width="3" customWidth="1"/>
    <col min="13058" max="13058" width="2.375" customWidth="1"/>
    <col min="13059" max="13059" width="3.625" customWidth="1"/>
    <col min="13060" max="13062" width="3" customWidth="1"/>
    <col min="13063" max="13064" width="1.625" customWidth="1"/>
    <col min="13065" max="13084" width="3" customWidth="1"/>
    <col min="13085" max="13085" width="1.375" customWidth="1"/>
    <col min="13086" max="13086" width="4.625" customWidth="1"/>
    <col min="13087" max="13090" width="3" customWidth="1"/>
    <col min="13091" max="13091" width="2.375" customWidth="1"/>
    <col min="13092" max="13092" width="3.625" customWidth="1"/>
    <col min="13093" max="13095" width="3" customWidth="1"/>
    <col min="13096" max="13096" width="1.625" customWidth="1"/>
    <col min="13287" max="13287" width="1.625" customWidth="1"/>
    <col min="13288" max="13307" width="3" customWidth="1"/>
    <col min="13308" max="13308" width="1.375" customWidth="1"/>
    <col min="13309" max="13309" width="4.625" customWidth="1"/>
    <col min="13310" max="13313" width="3" customWidth="1"/>
    <col min="13314" max="13314" width="2.375" customWidth="1"/>
    <col min="13315" max="13315" width="3.625" customWidth="1"/>
    <col min="13316" max="13318" width="3" customWidth="1"/>
    <col min="13319" max="13320" width="1.625" customWidth="1"/>
    <col min="13321" max="13340" width="3" customWidth="1"/>
    <col min="13341" max="13341" width="1.375" customWidth="1"/>
    <col min="13342" max="13342" width="4.625" customWidth="1"/>
    <col min="13343" max="13346" width="3" customWidth="1"/>
    <col min="13347" max="13347" width="2.375" customWidth="1"/>
    <col min="13348" max="13348" width="3.625" customWidth="1"/>
    <col min="13349" max="13351" width="3" customWidth="1"/>
    <col min="13352" max="13352" width="1.625" customWidth="1"/>
    <col min="13543" max="13543" width="1.625" customWidth="1"/>
    <col min="13544" max="13563" width="3" customWidth="1"/>
    <col min="13564" max="13564" width="1.375" customWidth="1"/>
    <col min="13565" max="13565" width="4.625" customWidth="1"/>
    <col min="13566" max="13569" width="3" customWidth="1"/>
    <col min="13570" max="13570" width="2.375" customWidth="1"/>
    <col min="13571" max="13571" width="3.625" customWidth="1"/>
    <col min="13572" max="13574" width="3" customWidth="1"/>
    <col min="13575" max="13576" width="1.625" customWidth="1"/>
    <col min="13577" max="13596" width="3" customWidth="1"/>
    <col min="13597" max="13597" width="1.375" customWidth="1"/>
    <col min="13598" max="13598" width="4.625" customWidth="1"/>
    <col min="13599" max="13602" width="3" customWidth="1"/>
    <col min="13603" max="13603" width="2.375" customWidth="1"/>
    <col min="13604" max="13604" width="3.625" customWidth="1"/>
    <col min="13605" max="13607" width="3" customWidth="1"/>
    <col min="13608" max="13608" width="1.625" customWidth="1"/>
    <col min="13799" max="13799" width="1.625" customWidth="1"/>
    <col min="13800" max="13819" width="3" customWidth="1"/>
    <col min="13820" max="13820" width="1.375" customWidth="1"/>
    <col min="13821" max="13821" width="4.625" customWidth="1"/>
    <col min="13822" max="13825" width="3" customWidth="1"/>
    <col min="13826" max="13826" width="2.375" customWidth="1"/>
    <col min="13827" max="13827" width="3.625" customWidth="1"/>
    <col min="13828" max="13830" width="3" customWidth="1"/>
    <col min="13831" max="13832" width="1.625" customWidth="1"/>
    <col min="13833" max="13852" width="3" customWidth="1"/>
    <col min="13853" max="13853" width="1.375" customWidth="1"/>
    <col min="13854" max="13854" width="4.625" customWidth="1"/>
    <col min="13855" max="13858" width="3" customWidth="1"/>
    <col min="13859" max="13859" width="2.375" customWidth="1"/>
    <col min="13860" max="13860" width="3.625" customWidth="1"/>
    <col min="13861" max="13863" width="3" customWidth="1"/>
    <col min="13864" max="13864" width="1.625" customWidth="1"/>
    <col min="14055" max="14055" width="1.625" customWidth="1"/>
    <col min="14056" max="14075" width="3" customWidth="1"/>
    <col min="14076" max="14076" width="1.375" customWidth="1"/>
    <col min="14077" max="14077" width="4.625" customWidth="1"/>
    <col min="14078" max="14081" width="3" customWidth="1"/>
    <col min="14082" max="14082" width="2.375" customWidth="1"/>
    <col min="14083" max="14083" width="3.625" customWidth="1"/>
    <col min="14084" max="14086" width="3" customWidth="1"/>
    <col min="14087" max="14088" width="1.625" customWidth="1"/>
    <col min="14089" max="14108" width="3" customWidth="1"/>
    <col min="14109" max="14109" width="1.375" customWidth="1"/>
    <col min="14110" max="14110" width="4.625" customWidth="1"/>
    <col min="14111" max="14114" width="3" customWidth="1"/>
    <col min="14115" max="14115" width="2.375" customWidth="1"/>
    <col min="14116" max="14116" width="3.625" customWidth="1"/>
    <col min="14117" max="14119" width="3" customWidth="1"/>
    <col min="14120" max="14120" width="1.625" customWidth="1"/>
    <col min="14311" max="14311" width="1.625" customWidth="1"/>
    <col min="14312" max="14331" width="3" customWidth="1"/>
    <col min="14332" max="14332" width="1.375" customWidth="1"/>
    <col min="14333" max="14333" width="4.625" customWidth="1"/>
    <col min="14334" max="14337" width="3" customWidth="1"/>
    <col min="14338" max="14338" width="2.375" customWidth="1"/>
    <col min="14339" max="14339" width="3.625" customWidth="1"/>
    <col min="14340" max="14342" width="3" customWidth="1"/>
    <col min="14343" max="14344" width="1.625" customWidth="1"/>
    <col min="14345" max="14364" width="3" customWidth="1"/>
    <col min="14365" max="14365" width="1.375" customWidth="1"/>
    <col min="14366" max="14366" width="4.625" customWidth="1"/>
    <col min="14367" max="14370" width="3" customWidth="1"/>
    <col min="14371" max="14371" width="2.375" customWidth="1"/>
    <col min="14372" max="14372" width="3.625" customWidth="1"/>
    <col min="14373" max="14375" width="3" customWidth="1"/>
    <col min="14376" max="14376" width="1.625" customWidth="1"/>
    <col min="14567" max="14567" width="1.625" customWidth="1"/>
    <col min="14568" max="14587" width="3" customWidth="1"/>
    <col min="14588" max="14588" width="1.375" customWidth="1"/>
    <col min="14589" max="14589" width="4.625" customWidth="1"/>
    <col min="14590" max="14593" width="3" customWidth="1"/>
    <col min="14594" max="14594" width="2.375" customWidth="1"/>
    <col min="14595" max="14595" width="3.625" customWidth="1"/>
    <col min="14596" max="14598" width="3" customWidth="1"/>
    <col min="14599" max="14600" width="1.625" customWidth="1"/>
    <col min="14601" max="14620" width="3" customWidth="1"/>
    <col min="14621" max="14621" width="1.375" customWidth="1"/>
    <col min="14622" max="14622" width="4.625" customWidth="1"/>
    <col min="14623" max="14626" width="3" customWidth="1"/>
    <col min="14627" max="14627" width="2.375" customWidth="1"/>
    <col min="14628" max="14628" width="3.625" customWidth="1"/>
    <col min="14629" max="14631" width="3" customWidth="1"/>
    <col min="14632" max="14632" width="1.625" customWidth="1"/>
    <col min="14823" max="14823" width="1.625" customWidth="1"/>
    <col min="14824" max="14843" width="3" customWidth="1"/>
    <col min="14844" max="14844" width="1.375" customWidth="1"/>
    <col min="14845" max="14845" width="4.625" customWidth="1"/>
    <col min="14846" max="14849" width="3" customWidth="1"/>
    <col min="14850" max="14850" width="2.375" customWidth="1"/>
    <col min="14851" max="14851" width="3.625" customWidth="1"/>
    <col min="14852" max="14854" width="3" customWidth="1"/>
    <col min="14855" max="14856" width="1.625" customWidth="1"/>
    <col min="14857" max="14876" width="3" customWidth="1"/>
    <col min="14877" max="14877" width="1.375" customWidth="1"/>
    <col min="14878" max="14878" width="4.625" customWidth="1"/>
    <col min="14879" max="14882" width="3" customWidth="1"/>
    <col min="14883" max="14883" width="2.375" customWidth="1"/>
    <col min="14884" max="14884" width="3.625" customWidth="1"/>
    <col min="14885" max="14887" width="3" customWidth="1"/>
    <col min="14888" max="14888" width="1.625" customWidth="1"/>
    <col min="15079" max="15079" width="1.625" customWidth="1"/>
    <col min="15080" max="15099" width="3" customWidth="1"/>
    <col min="15100" max="15100" width="1.375" customWidth="1"/>
    <col min="15101" max="15101" width="4.625" customWidth="1"/>
    <col min="15102" max="15105" width="3" customWidth="1"/>
    <col min="15106" max="15106" width="2.375" customWidth="1"/>
    <col min="15107" max="15107" width="3.625" customWidth="1"/>
    <col min="15108" max="15110" width="3" customWidth="1"/>
    <col min="15111" max="15112" width="1.625" customWidth="1"/>
    <col min="15113" max="15132" width="3" customWidth="1"/>
    <col min="15133" max="15133" width="1.375" customWidth="1"/>
    <col min="15134" max="15134" width="4.625" customWidth="1"/>
    <col min="15135" max="15138" width="3" customWidth="1"/>
    <col min="15139" max="15139" width="2.375" customWidth="1"/>
    <col min="15140" max="15140" width="3.625" customWidth="1"/>
    <col min="15141" max="15143" width="3" customWidth="1"/>
    <col min="15144" max="15144" width="1.625" customWidth="1"/>
    <col min="15335" max="15335" width="1.625" customWidth="1"/>
    <col min="15336" max="15355" width="3" customWidth="1"/>
    <col min="15356" max="15356" width="1.375" customWidth="1"/>
    <col min="15357" max="15357" width="4.625" customWidth="1"/>
    <col min="15358" max="15361" width="3" customWidth="1"/>
    <col min="15362" max="15362" width="2.375" customWidth="1"/>
    <col min="15363" max="15363" width="3.625" customWidth="1"/>
    <col min="15364" max="15366" width="3" customWidth="1"/>
    <col min="15367" max="15368" width="1.625" customWidth="1"/>
    <col min="15369" max="15388" width="3" customWidth="1"/>
    <col min="15389" max="15389" width="1.375" customWidth="1"/>
    <col min="15390" max="15390" width="4.625" customWidth="1"/>
    <col min="15391" max="15394" width="3" customWidth="1"/>
    <col min="15395" max="15395" width="2.375" customWidth="1"/>
    <col min="15396" max="15396" width="3.625" customWidth="1"/>
    <col min="15397" max="15399" width="3" customWidth="1"/>
    <col min="15400" max="15400" width="1.625" customWidth="1"/>
    <col min="15591" max="15591" width="1.625" customWidth="1"/>
    <col min="15592" max="15611" width="3" customWidth="1"/>
    <col min="15612" max="15612" width="1.375" customWidth="1"/>
    <col min="15613" max="15613" width="4.625" customWidth="1"/>
    <col min="15614" max="15617" width="3" customWidth="1"/>
    <col min="15618" max="15618" width="2.375" customWidth="1"/>
    <col min="15619" max="15619" width="3.625" customWidth="1"/>
    <col min="15620" max="15622" width="3" customWidth="1"/>
    <col min="15623" max="15624" width="1.625" customWidth="1"/>
    <col min="15625" max="15644" width="3" customWidth="1"/>
    <col min="15645" max="15645" width="1.375" customWidth="1"/>
    <col min="15646" max="15646" width="4.625" customWidth="1"/>
    <col min="15647" max="15650" width="3" customWidth="1"/>
    <col min="15651" max="15651" width="2.375" customWidth="1"/>
    <col min="15652" max="15652" width="3.625" customWidth="1"/>
    <col min="15653" max="15655" width="3" customWidth="1"/>
    <col min="15656" max="15656" width="1.625" customWidth="1"/>
    <col min="15847" max="15847" width="1.625" customWidth="1"/>
    <col min="15848" max="15867" width="3" customWidth="1"/>
    <col min="15868" max="15868" width="1.375" customWidth="1"/>
    <col min="15869" max="15869" width="4.625" customWidth="1"/>
    <col min="15870" max="15873" width="3" customWidth="1"/>
    <col min="15874" max="15874" width="2.375" customWidth="1"/>
    <col min="15875" max="15875" width="3.625" customWidth="1"/>
    <col min="15876" max="15878" width="3" customWidth="1"/>
    <col min="15879" max="15880" width="1.625" customWidth="1"/>
    <col min="15881" max="15900" width="3" customWidth="1"/>
    <col min="15901" max="15901" width="1.375" customWidth="1"/>
    <col min="15902" max="15902" width="4.625" customWidth="1"/>
    <col min="15903" max="15906" width="3" customWidth="1"/>
    <col min="15907" max="15907" width="2.375" customWidth="1"/>
    <col min="15908" max="15908" width="3.625" customWidth="1"/>
    <col min="15909" max="15911" width="3" customWidth="1"/>
    <col min="15912" max="15912" width="1.625" customWidth="1"/>
    <col min="16103" max="16103" width="1.625" customWidth="1"/>
    <col min="16104" max="16123" width="3" customWidth="1"/>
    <col min="16124" max="16124" width="1.375" customWidth="1"/>
    <col min="16125" max="16125" width="4.625" customWidth="1"/>
    <col min="16126" max="16129" width="3" customWidth="1"/>
    <col min="16130" max="16130" width="2.375" customWidth="1"/>
    <col min="16131" max="16131" width="3.625" customWidth="1"/>
    <col min="16132" max="16134" width="3" customWidth="1"/>
    <col min="16135" max="16136" width="1.625" customWidth="1"/>
    <col min="16137" max="16156" width="3" customWidth="1"/>
    <col min="16157" max="16157" width="1.375" customWidth="1"/>
    <col min="16158" max="16158" width="4.625" customWidth="1"/>
    <col min="16159" max="16162" width="3" customWidth="1"/>
    <col min="16163" max="16163" width="2.375" customWidth="1"/>
    <col min="16164" max="16164" width="3.625" customWidth="1"/>
    <col min="16165" max="16167" width="3" customWidth="1"/>
    <col min="16168" max="16168" width="1.625" customWidth="1"/>
  </cols>
  <sheetData>
    <row r="2" spans="2:32" ht="27">
      <c r="B2" s="589" t="s">
        <v>2624</v>
      </c>
      <c r="C2" s="590"/>
      <c r="D2" s="590"/>
      <c r="E2" s="590"/>
      <c r="F2" s="590"/>
      <c r="G2" s="590"/>
      <c r="H2" s="590"/>
      <c r="I2" s="590"/>
      <c r="J2" s="590"/>
      <c r="K2" s="590"/>
      <c r="L2" s="590"/>
      <c r="M2" s="590"/>
      <c r="N2" s="590"/>
      <c r="O2" s="590"/>
      <c r="P2" s="590"/>
      <c r="Q2" s="590"/>
      <c r="R2" s="590"/>
      <c r="S2" s="590"/>
      <c r="T2" s="590"/>
      <c r="U2" s="590"/>
      <c r="V2" s="590"/>
      <c r="W2" s="590"/>
      <c r="X2" s="590"/>
      <c r="Y2" s="590"/>
      <c r="Z2" s="590"/>
      <c r="AA2" s="590"/>
      <c r="AB2" s="590"/>
      <c r="AC2" s="590"/>
      <c r="AD2" s="590"/>
      <c r="AE2" s="590"/>
      <c r="AF2" s="590"/>
    </row>
    <row r="3" spans="2:32" ht="17.25" thickBot="1"/>
    <row r="4" spans="2:32">
      <c r="B4" s="228"/>
      <c r="C4" s="164"/>
      <c r="D4" s="164"/>
      <c r="E4" s="164"/>
      <c r="F4" s="164"/>
      <c r="G4" s="164"/>
      <c r="H4" s="164"/>
      <c r="I4" s="164"/>
      <c r="J4" s="164"/>
      <c r="K4" s="164"/>
      <c r="L4" s="164"/>
      <c r="M4" s="164"/>
      <c r="N4" s="164"/>
      <c r="O4" s="164"/>
      <c r="P4" s="164"/>
      <c r="Q4" s="164"/>
      <c r="R4" s="164"/>
      <c r="S4" s="164"/>
      <c r="T4" s="164"/>
      <c r="U4" s="164"/>
      <c r="V4" s="164"/>
      <c r="W4" s="164"/>
      <c r="X4" s="164"/>
      <c r="Y4" s="164"/>
      <c r="Z4" s="164"/>
      <c r="AA4" s="164"/>
      <c r="AB4" s="164"/>
      <c r="AC4" s="164"/>
      <c r="AD4" s="164"/>
      <c r="AE4" s="164"/>
      <c r="AF4" s="165"/>
    </row>
    <row r="5" spans="2:32">
      <c r="B5" s="166"/>
      <c r="C5" s="167"/>
      <c r="D5" s="167"/>
      <c r="E5" s="167"/>
      <c r="F5" s="167"/>
      <c r="G5" s="167"/>
      <c r="H5" s="167"/>
      <c r="I5" s="167"/>
      <c r="J5" s="167"/>
      <c r="K5" s="167"/>
      <c r="L5" s="167"/>
      <c r="M5" s="167"/>
      <c r="N5" s="167"/>
      <c r="O5" s="167"/>
      <c r="P5" s="167"/>
      <c r="Q5" s="167"/>
      <c r="R5" s="167"/>
      <c r="S5" s="167"/>
      <c r="T5" s="167"/>
      <c r="U5" s="167"/>
      <c r="V5" s="167"/>
      <c r="W5" s="167"/>
      <c r="X5" s="167"/>
      <c r="Y5" s="167"/>
      <c r="Z5" s="167"/>
      <c r="AA5" s="167"/>
      <c r="AB5" s="167"/>
      <c r="AC5" s="167"/>
      <c r="AD5" s="167"/>
      <c r="AE5" s="167"/>
      <c r="AF5" s="168"/>
    </row>
    <row r="6" spans="2:32">
      <c r="B6" s="166"/>
      <c r="C6" s="167"/>
      <c r="D6" s="167"/>
      <c r="E6" s="167"/>
      <c r="F6" s="167"/>
      <c r="G6" s="167"/>
      <c r="H6" s="167"/>
      <c r="I6" s="167"/>
      <c r="J6" s="167"/>
      <c r="K6" s="167"/>
      <c r="L6" s="167"/>
      <c r="M6" s="167"/>
      <c r="N6" s="167"/>
      <c r="O6" s="167"/>
      <c r="P6" s="167"/>
      <c r="Q6" s="167"/>
      <c r="R6" s="167"/>
      <c r="S6" s="167"/>
      <c r="T6" s="167"/>
      <c r="U6" s="167"/>
      <c r="V6" s="167"/>
      <c r="W6" s="167"/>
      <c r="X6" s="167"/>
      <c r="Y6" s="167"/>
      <c r="Z6" s="167"/>
      <c r="AA6" s="167"/>
      <c r="AB6" s="167"/>
      <c r="AC6" s="167"/>
      <c r="AD6" s="167"/>
      <c r="AE6" s="167"/>
      <c r="AF6" s="168"/>
    </row>
    <row r="7" spans="2:32">
      <c r="B7" s="166"/>
      <c r="C7" s="167"/>
      <c r="D7" s="167"/>
      <c r="E7" s="167"/>
      <c r="F7" s="167"/>
      <c r="G7" s="167"/>
      <c r="H7" s="167"/>
      <c r="I7" s="167"/>
      <c r="J7" s="167"/>
      <c r="K7" s="167"/>
      <c r="L7" s="167"/>
      <c r="M7" s="167"/>
      <c r="N7" s="167"/>
      <c r="O7" s="167"/>
      <c r="P7" s="167"/>
      <c r="Q7" s="167"/>
      <c r="R7" s="167"/>
      <c r="S7" s="167"/>
      <c r="T7" s="167"/>
      <c r="U7" s="167"/>
      <c r="V7" s="167"/>
      <c r="W7" s="167"/>
      <c r="X7" s="167"/>
      <c r="Y7" s="167"/>
      <c r="Z7" s="167"/>
      <c r="AA7" s="167"/>
      <c r="AB7" s="167"/>
      <c r="AC7" s="167"/>
      <c r="AD7" s="167"/>
      <c r="AE7" s="167"/>
      <c r="AF7" s="168"/>
    </row>
    <row r="8" spans="2:32">
      <c r="B8" s="166"/>
      <c r="C8" s="167"/>
      <c r="D8" s="167"/>
      <c r="E8" s="167"/>
      <c r="F8" s="167"/>
      <c r="G8" s="167"/>
      <c r="H8" s="167"/>
      <c r="I8" s="167"/>
      <c r="J8" s="167"/>
      <c r="K8" s="167"/>
      <c r="L8" s="167"/>
      <c r="M8" s="167"/>
      <c r="N8" s="167"/>
      <c r="O8" s="167"/>
      <c r="P8" s="167"/>
      <c r="Q8" s="167"/>
      <c r="R8" s="167"/>
      <c r="S8" s="167"/>
      <c r="T8" s="167"/>
      <c r="U8" s="167"/>
      <c r="V8" s="167"/>
      <c r="W8" s="167"/>
      <c r="X8" s="167"/>
      <c r="Y8" s="167"/>
      <c r="Z8" s="167"/>
      <c r="AA8" s="167"/>
      <c r="AB8" s="167"/>
      <c r="AC8" s="167"/>
      <c r="AD8" s="167"/>
      <c r="AE8" s="167"/>
      <c r="AF8" s="168"/>
    </row>
    <row r="9" spans="2:32">
      <c r="B9" s="166"/>
      <c r="C9" s="167"/>
      <c r="D9" s="167"/>
      <c r="E9" s="167"/>
      <c r="F9" s="167"/>
      <c r="G9" s="167"/>
      <c r="H9" s="167"/>
      <c r="I9" s="167"/>
      <c r="J9" s="167"/>
      <c r="K9" s="167"/>
      <c r="L9" s="167"/>
      <c r="M9" s="167"/>
      <c r="N9" s="167"/>
      <c r="O9" s="167"/>
      <c r="P9" s="167"/>
      <c r="Q9" s="167"/>
      <c r="R9" s="167"/>
      <c r="S9" s="167"/>
      <c r="T9" s="167"/>
      <c r="U9" s="167"/>
      <c r="V9" s="167"/>
      <c r="W9" s="167"/>
      <c r="X9" s="167"/>
      <c r="Y9" s="167"/>
      <c r="Z9" s="167"/>
      <c r="AA9" s="167"/>
      <c r="AB9" s="167"/>
      <c r="AC9" s="167"/>
      <c r="AD9" s="167"/>
      <c r="AE9" s="167"/>
      <c r="AF9" s="168"/>
    </row>
    <row r="10" spans="2:32">
      <c r="B10" s="166"/>
      <c r="C10" s="167"/>
      <c r="D10" s="167"/>
      <c r="E10" s="167"/>
      <c r="F10" s="167"/>
      <c r="G10" s="167"/>
      <c r="H10" s="167"/>
      <c r="I10" s="167"/>
      <c r="J10" s="167"/>
      <c r="K10" s="167"/>
      <c r="L10" s="167"/>
      <c r="M10" s="167"/>
      <c r="N10" s="167"/>
      <c r="O10" s="167"/>
      <c r="P10" s="167"/>
      <c r="Q10" s="167"/>
      <c r="R10" s="167"/>
      <c r="S10" s="167"/>
      <c r="T10" s="167"/>
      <c r="U10" s="167"/>
      <c r="V10" s="167"/>
      <c r="W10" s="167"/>
      <c r="X10" s="167"/>
      <c r="Y10" s="167"/>
      <c r="Z10" s="167"/>
      <c r="AA10" s="167"/>
      <c r="AB10" s="167"/>
      <c r="AC10" s="167"/>
      <c r="AD10" s="167"/>
      <c r="AE10" s="167"/>
      <c r="AF10" s="168"/>
    </row>
    <row r="11" spans="2:32">
      <c r="B11" s="166"/>
      <c r="C11" s="167"/>
      <c r="D11" s="167"/>
      <c r="E11" s="167"/>
      <c r="F11" s="167"/>
      <c r="G11" s="167"/>
      <c r="H11" s="167"/>
      <c r="I11" s="167"/>
      <c r="J11" s="167"/>
      <c r="K11" s="167"/>
      <c r="L11" s="167"/>
      <c r="M11" s="167"/>
      <c r="N11" s="167"/>
      <c r="O11" s="167"/>
      <c r="P11" s="167"/>
      <c r="Q11" s="167"/>
      <c r="R11" s="167"/>
      <c r="S11" s="167"/>
      <c r="T11" s="167"/>
      <c r="U11" s="167"/>
      <c r="V11" s="167"/>
      <c r="W11" s="167"/>
      <c r="X11" s="167"/>
      <c r="Y11" s="167"/>
      <c r="Z11" s="167"/>
      <c r="AA11" s="167"/>
      <c r="AB11" s="167"/>
      <c r="AC11" s="167"/>
      <c r="AD11" s="167"/>
      <c r="AE11" s="167"/>
      <c r="AF11" s="168"/>
    </row>
    <row r="12" spans="2:32">
      <c r="B12" s="166"/>
      <c r="C12" s="167"/>
      <c r="D12" s="167"/>
      <c r="E12" s="167"/>
      <c r="F12" s="167"/>
      <c r="G12" s="167"/>
      <c r="H12" s="167"/>
      <c r="I12" s="167"/>
      <c r="J12" s="167"/>
      <c r="K12" s="167"/>
      <c r="L12" s="167"/>
      <c r="M12" s="167"/>
      <c r="N12" s="167"/>
      <c r="O12" s="167"/>
      <c r="P12" s="167"/>
      <c r="Q12" s="167"/>
      <c r="R12" s="167"/>
      <c r="S12" s="167"/>
      <c r="T12" s="167"/>
      <c r="U12" s="167"/>
      <c r="V12" s="167"/>
      <c r="W12" s="167"/>
      <c r="X12" s="167"/>
      <c r="Y12" s="167"/>
      <c r="Z12" s="167"/>
      <c r="AA12" s="167"/>
      <c r="AB12" s="167"/>
      <c r="AC12" s="167"/>
      <c r="AD12" s="167"/>
      <c r="AE12" s="167"/>
      <c r="AF12" s="168"/>
    </row>
    <row r="13" spans="2:32">
      <c r="B13" s="166"/>
      <c r="C13" s="167"/>
      <c r="D13" s="167"/>
      <c r="E13" s="167"/>
      <c r="F13" s="167"/>
      <c r="G13" s="167"/>
      <c r="H13" s="167"/>
      <c r="I13" s="167"/>
      <c r="J13" s="167"/>
      <c r="K13" s="167"/>
      <c r="L13" s="167"/>
      <c r="M13" s="167"/>
      <c r="N13" s="167"/>
      <c r="O13" s="167"/>
      <c r="P13" s="167"/>
      <c r="Q13" s="167"/>
      <c r="R13" s="167"/>
      <c r="S13" s="167"/>
      <c r="T13" s="167"/>
      <c r="U13" s="167"/>
      <c r="V13" s="167"/>
      <c r="W13" s="167"/>
      <c r="X13" s="167"/>
      <c r="Y13" s="167"/>
      <c r="Z13" s="167"/>
      <c r="AA13" s="167"/>
      <c r="AB13" s="167"/>
      <c r="AC13" s="167"/>
      <c r="AD13" s="167"/>
      <c r="AE13" s="167"/>
      <c r="AF13" s="168"/>
    </row>
    <row r="14" spans="2:32">
      <c r="B14" s="166"/>
      <c r="C14" s="167"/>
      <c r="D14" s="167"/>
      <c r="E14" s="167"/>
      <c r="F14" s="167"/>
      <c r="G14" s="167"/>
      <c r="H14" s="167"/>
      <c r="I14" s="167"/>
      <c r="J14" s="167"/>
      <c r="K14" s="167"/>
      <c r="L14" s="167"/>
      <c r="M14" s="167"/>
      <c r="N14" s="167"/>
      <c r="O14" s="167"/>
      <c r="P14" s="167"/>
      <c r="Q14" s="167"/>
      <c r="R14" s="167"/>
      <c r="S14" s="167"/>
      <c r="T14" s="167"/>
      <c r="U14" s="167"/>
      <c r="V14" s="167"/>
      <c r="W14" s="167"/>
      <c r="X14" s="167"/>
      <c r="Y14" s="167"/>
      <c r="Z14" s="167"/>
      <c r="AA14" s="167"/>
      <c r="AB14" s="167"/>
      <c r="AC14" s="167"/>
      <c r="AD14" s="167"/>
      <c r="AE14" s="167"/>
      <c r="AF14" s="168"/>
    </row>
    <row r="15" spans="2:32">
      <c r="B15" s="166"/>
      <c r="C15" s="167"/>
      <c r="D15" s="167"/>
      <c r="E15" s="167"/>
      <c r="F15" s="167"/>
      <c r="G15" s="167"/>
      <c r="H15" s="167"/>
      <c r="I15" s="167"/>
      <c r="J15" s="167"/>
      <c r="K15" s="167"/>
      <c r="L15" s="167"/>
      <c r="M15" s="167"/>
      <c r="N15" s="167"/>
      <c r="O15" s="167"/>
      <c r="P15" s="167"/>
      <c r="Q15" s="167"/>
      <c r="R15" s="167"/>
      <c r="S15" s="167"/>
      <c r="T15" s="167"/>
      <c r="U15" s="167"/>
      <c r="V15" s="167"/>
      <c r="W15" s="167"/>
      <c r="X15" s="167"/>
      <c r="Y15" s="167"/>
      <c r="Z15" s="167"/>
      <c r="AA15" s="167"/>
      <c r="AB15" s="167"/>
      <c r="AC15" s="167"/>
      <c r="AD15" s="167"/>
      <c r="AE15" s="167"/>
      <c r="AF15" s="168"/>
    </row>
    <row r="16" spans="2:32">
      <c r="B16" s="166"/>
      <c r="C16" s="167"/>
      <c r="D16" s="167"/>
      <c r="E16" s="167"/>
      <c r="F16" s="167"/>
      <c r="G16" s="167"/>
      <c r="H16" s="167"/>
      <c r="I16" s="167"/>
      <c r="J16" s="167"/>
      <c r="K16" s="167"/>
      <c r="L16" s="167"/>
      <c r="M16" s="167"/>
      <c r="N16" s="167"/>
      <c r="O16" s="167"/>
      <c r="P16" s="167"/>
      <c r="Q16" s="167"/>
      <c r="R16" s="167"/>
      <c r="S16" s="167"/>
      <c r="T16" s="167"/>
      <c r="U16" s="167"/>
      <c r="V16" s="167"/>
      <c r="W16" s="167"/>
      <c r="X16" s="167"/>
      <c r="Y16" s="167"/>
      <c r="Z16" s="167"/>
      <c r="AA16" s="167"/>
      <c r="AB16" s="167"/>
      <c r="AC16" s="167"/>
      <c r="AD16" s="167"/>
      <c r="AE16" s="167"/>
      <c r="AF16" s="168"/>
    </row>
    <row r="17" spans="2:32">
      <c r="B17" s="166"/>
      <c r="C17" s="167"/>
      <c r="D17" s="167"/>
      <c r="E17" s="167"/>
      <c r="F17" s="167"/>
      <c r="G17" s="167"/>
      <c r="H17" s="167"/>
      <c r="I17" s="167"/>
      <c r="J17" s="167"/>
      <c r="K17" s="167"/>
      <c r="L17" s="167"/>
      <c r="M17" s="167"/>
      <c r="N17" s="167"/>
      <c r="O17" s="167"/>
      <c r="P17" s="167"/>
      <c r="Q17" s="167"/>
      <c r="R17" s="167"/>
      <c r="S17" s="167"/>
      <c r="T17" s="167"/>
      <c r="U17" s="167"/>
      <c r="V17" s="167"/>
      <c r="W17" s="167"/>
      <c r="X17" s="167"/>
      <c r="Y17" s="167"/>
      <c r="Z17" s="167"/>
      <c r="AA17" s="167"/>
      <c r="AB17" s="167"/>
      <c r="AC17" s="167"/>
      <c r="AD17" s="167"/>
      <c r="AE17" s="167"/>
      <c r="AF17" s="168"/>
    </row>
    <row r="18" spans="2:32" ht="31.5">
      <c r="B18" s="166"/>
      <c r="C18" s="167"/>
      <c r="D18" s="167"/>
      <c r="E18" s="167"/>
      <c r="F18" s="167"/>
      <c r="G18" s="167"/>
      <c r="H18" s="167"/>
      <c r="I18" s="167"/>
      <c r="J18" s="167"/>
      <c r="K18" s="837"/>
      <c r="L18" s="167"/>
      <c r="M18" s="167"/>
      <c r="N18" s="167"/>
      <c r="O18" s="167"/>
      <c r="P18" s="167"/>
      <c r="Q18" s="167"/>
      <c r="R18" s="167"/>
      <c r="S18" s="167"/>
      <c r="T18" s="167"/>
      <c r="U18" s="167"/>
      <c r="V18" s="167"/>
      <c r="W18" s="167"/>
      <c r="X18" s="167"/>
      <c r="Y18" s="167"/>
      <c r="Z18" s="167"/>
      <c r="AA18" s="167"/>
      <c r="AB18" s="167"/>
      <c r="AC18" s="167"/>
      <c r="AD18" s="167"/>
      <c r="AE18" s="167"/>
      <c r="AF18" s="168"/>
    </row>
    <row r="19" spans="2:32">
      <c r="B19" s="166"/>
      <c r="C19" s="167"/>
      <c r="D19" s="167"/>
      <c r="E19" s="167"/>
      <c r="F19" s="167"/>
      <c r="G19" s="167"/>
      <c r="H19" s="167"/>
      <c r="I19" s="167"/>
      <c r="J19" s="167"/>
      <c r="K19" s="167"/>
      <c r="L19" s="167"/>
      <c r="M19" s="167"/>
      <c r="N19" s="167"/>
      <c r="O19" s="167"/>
      <c r="P19" s="167"/>
      <c r="Q19" s="167"/>
      <c r="R19" s="167"/>
      <c r="S19" s="167"/>
      <c r="T19" s="167"/>
      <c r="U19" s="167"/>
      <c r="V19" s="167"/>
      <c r="W19" s="167"/>
      <c r="X19" s="167"/>
      <c r="Y19" s="167"/>
      <c r="Z19" s="167"/>
      <c r="AA19" s="167"/>
      <c r="AB19" s="167"/>
      <c r="AC19" s="167"/>
      <c r="AD19" s="167"/>
      <c r="AE19" s="167"/>
      <c r="AF19" s="168"/>
    </row>
    <row r="20" spans="2:32">
      <c r="B20" s="166"/>
      <c r="C20" s="167"/>
      <c r="D20" s="167"/>
      <c r="E20" s="167"/>
      <c r="F20" s="167"/>
      <c r="G20" s="167"/>
      <c r="H20" s="167"/>
      <c r="I20" s="167"/>
      <c r="J20" s="167"/>
      <c r="K20" s="167"/>
      <c r="L20" s="167"/>
      <c r="M20" s="167"/>
      <c r="N20" s="167"/>
      <c r="O20" s="167"/>
      <c r="P20" s="167"/>
      <c r="Q20" s="167"/>
      <c r="R20" s="167"/>
      <c r="S20" s="167"/>
      <c r="T20" s="167"/>
      <c r="U20" s="167"/>
      <c r="V20" s="167"/>
      <c r="W20" s="167"/>
      <c r="X20" s="167"/>
      <c r="Y20" s="167"/>
      <c r="Z20" s="167"/>
      <c r="AA20" s="167"/>
      <c r="AB20" s="167"/>
      <c r="AC20" s="167"/>
      <c r="AD20" s="167"/>
      <c r="AE20" s="167"/>
      <c r="AF20" s="168"/>
    </row>
    <row r="21" spans="2:32">
      <c r="B21" s="166"/>
      <c r="C21" s="167"/>
      <c r="D21" s="167"/>
      <c r="E21" s="167"/>
      <c r="F21" s="167"/>
      <c r="G21" s="167"/>
      <c r="H21" s="167"/>
      <c r="I21" s="167"/>
      <c r="J21" s="167"/>
      <c r="K21" s="167"/>
      <c r="L21" s="167"/>
      <c r="M21" s="167"/>
      <c r="N21" s="167"/>
      <c r="O21" s="167"/>
      <c r="P21" s="167"/>
      <c r="Q21" s="167"/>
      <c r="R21" s="167"/>
      <c r="S21" s="167"/>
      <c r="T21" s="167"/>
      <c r="U21" s="167"/>
      <c r="V21" s="167"/>
      <c r="W21" s="167"/>
      <c r="X21" s="167"/>
      <c r="Y21" s="167"/>
      <c r="Z21" s="395"/>
      <c r="AA21" s="167"/>
      <c r="AB21" s="167"/>
      <c r="AC21" s="167"/>
      <c r="AD21" s="167"/>
      <c r="AE21" s="167"/>
      <c r="AF21" s="168"/>
    </row>
    <row r="22" spans="2:32">
      <c r="B22" s="166"/>
      <c r="C22" s="167"/>
      <c r="D22" s="167"/>
      <c r="E22" s="167"/>
      <c r="F22" s="167"/>
      <c r="G22" s="167"/>
      <c r="H22" s="167"/>
      <c r="I22" s="167"/>
      <c r="J22" s="167"/>
      <c r="K22" s="167"/>
      <c r="L22" s="167"/>
      <c r="M22" s="167"/>
      <c r="N22" s="167"/>
      <c r="O22" s="167"/>
      <c r="P22" s="167"/>
      <c r="Q22" s="167"/>
      <c r="R22" s="167"/>
      <c r="S22" s="167"/>
      <c r="T22" s="167"/>
      <c r="U22" s="167"/>
      <c r="V22" s="167"/>
      <c r="W22" s="167"/>
      <c r="X22" s="167"/>
      <c r="Y22" s="167"/>
      <c r="Z22" s="167"/>
      <c r="AA22" s="167"/>
      <c r="AB22" s="167"/>
      <c r="AC22" s="167"/>
      <c r="AD22" s="167"/>
      <c r="AE22" s="167"/>
      <c r="AF22" s="168"/>
    </row>
    <row r="23" spans="2:32">
      <c r="B23" s="166"/>
      <c r="C23" s="167"/>
      <c r="D23" s="167"/>
      <c r="E23" s="167"/>
      <c r="F23" s="167"/>
      <c r="G23" s="167"/>
      <c r="H23" s="167"/>
      <c r="I23" s="167"/>
      <c r="J23" s="167"/>
      <c r="K23" s="167"/>
      <c r="L23" s="167"/>
      <c r="M23" s="167"/>
      <c r="N23" s="167"/>
      <c r="O23" s="167"/>
      <c r="P23" s="167"/>
      <c r="Q23" s="167"/>
      <c r="R23" s="167"/>
      <c r="S23" s="167"/>
      <c r="T23" s="167"/>
      <c r="U23" s="167"/>
      <c r="V23" s="167"/>
      <c r="W23" s="167"/>
      <c r="X23" s="167"/>
      <c r="Y23" s="167"/>
      <c r="Z23" s="167"/>
      <c r="AA23" s="167"/>
      <c r="AB23" s="167"/>
      <c r="AC23" s="167"/>
      <c r="AD23" s="167"/>
      <c r="AE23" s="167"/>
      <c r="AF23" s="168"/>
    </row>
    <row r="24" spans="2:32">
      <c r="B24" s="166"/>
      <c r="C24" s="167"/>
      <c r="D24" s="167"/>
      <c r="E24" s="167"/>
      <c r="F24" s="167"/>
      <c r="G24" s="167"/>
      <c r="H24" s="167"/>
      <c r="I24" s="167"/>
      <c r="J24" s="167"/>
      <c r="K24" s="167"/>
      <c r="L24" s="167"/>
      <c r="M24" s="167"/>
      <c r="N24" s="167"/>
      <c r="O24" s="167"/>
      <c r="P24" s="167"/>
      <c r="Q24" s="167"/>
      <c r="R24" s="167"/>
      <c r="S24" s="167"/>
      <c r="T24" s="167"/>
      <c r="U24" s="167"/>
      <c r="V24" s="167"/>
      <c r="W24" s="167"/>
      <c r="X24" s="167"/>
      <c r="Y24" s="167"/>
      <c r="Z24" s="167"/>
      <c r="AA24" s="167"/>
      <c r="AB24" s="167"/>
      <c r="AC24" s="167"/>
      <c r="AD24" s="167"/>
      <c r="AE24" s="167"/>
      <c r="AF24" s="168"/>
    </row>
    <row r="25" spans="2:32">
      <c r="B25" s="166"/>
      <c r="C25" s="167"/>
      <c r="D25" s="167"/>
      <c r="E25" s="167"/>
      <c r="F25" s="167"/>
      <c r="G25" s="167"/>
      <c r="H25" s="167"/>
      <c r="I25" s="167"/>
      <c r="J25" s="167"/>
      <c r="K25" s="167"/>
      <c r="L25" s="167"/>
      <c r="M25" s="167"/>
      <c r="N25" s="167"/>
      <c r="O25" s="167"/>
      <c r="P25" s="167"/>
      <c r="Q25" s="167"/>
      <c r="R25" s="167"/>
      <c r="S25" s="167"/>
      <c r="T25" s="167"/>
      <c r="U25" s="167"/>
      <c r="V25" s="167"/>
      <c r="W25" s="167"/>
      <c r="X25" s="167"/>
      <c r="Y25" s="167"/>
      <c r="Z25" s="167"/>
      <c r="AA25" s="167"/>
      <c r="AB25" s="167"/>
      <c r="AC25" s="167"/>
      <c r="AD25" s="167"/>
      <c r="AE25" s="167"/>
      <c r="AF25" s="168"/>
    </row>
    <row r="26" spans="2:32">
      <c r="B26" s="166"/>
      <c r="C26" s="167"/>
      <c r="D26" s="167"/>
      <c r="E26" s="167"/>
      <c r="F26" s="167"/>
      <c r="G26" s="167"/>
      <c r="H26" s="167"/>
      <c r="I26" s="167"/>
      <c r="J26" s="167"/>
      <c r="K26" s="167"/>
      <c r="L26" s="167"/>
      <c r="M26" s="167"/>
      <c r="N26" s="167"/>
      <c r="O26" s="167"/>
      <c r="P26" s="167"/>
      <c r="Q26" s="167"/>
      <c r="R26" s="167"/>
      <c r="S26" s="167"/>
      <c r="T26" s="167"/>
      <c r="U26" s="167"/>
      <c r="V26" s="167"/>
      <c r="W26" s="167"/>
      <c r="X26" s="167"/>
      <c r="Y26" s="167"/>
      <c r="Z26" s="167"/>
      <c r="AA26" s="167"/>
      <c r="AB26" s="167"/>
      <c r="AC26" s="167"/>
      <c r="AD26" s="167"/>
      <c r="AE26" s="167"/>
      <c r="AF26" s="168"/>
    </row>
    <row r="27" spans="2:32">
      <c r="B27" s="166"/>
      <c r="C27" s="167"/>
      <c r="D27" s="167"/>
      <c r="E27" s="167"/>
      <c r="F27" s="167"/>
      <c r="G27" s="167"/>
      <c r="H27" s="167"/>
      <c r="I27" s="167"/>
      <c r="J27" s="167"/>
      <c r="K27" s="167"/>
      <c r="L27" s="167"/>
      <c r="M27" s="167"/>
      <c r="N27" s="167"/>
      <c r="O27" s="167"/>
      <c r="P27" s="167"/>
      <c r="Q27" s="167"/>
      <c r="R27" s="167"/>
      <c r="S27" s="167"/>
      <c r="T27" s="167"/>
      <c r="U27" s="167"/>
      <c r="V27" s="167"/>
      <c r="W27" s="167"/>
      <c r="X27" s="167"/>
      <c r="Y27" s="167"/>
      <c r="Z27" s="167"/>
      <c r="AA27" s="167"/>
      <c r="AB27" s="167"/>
      <c r="AC27" s="167"/>
      <c r="AD27" s="167"/>
      <c r="AE27" s="167"/>
      <c r="AF27" s="168"/>
    </row>
    <row r="28" spans="2:32">
      <c r="B28" s="166"/>
      <c r="C28" s="167"/>
      <c r="D28" s="167"/>
      <c r="E28" s="167"/>
      <c r="F28" s="167"/>
      <c r="G28" s="167"/>
      <c r="H28" s="167"/>
      <c r="I28" s="167"/>
      <c r="J28" s="167"/>
      <c r="K28" s="167"/>
      <c r="L28" s="167"/>
      <c r="M28" s="167"/>
      <c r="N28" s="167"/>
      <c r="O28" s="167"/>
      <c r="P28" s="167"/>
      <c r="Q28" s="167"/>
      <c r="R28" s="167"/>
      <c r="S28" s="167"/>
      <c r="T28" s="167"/>
      <c r="U28" s="167"/>
      <c r="V28" s="167"/>
      <c r="W28" s="167"/>
      <c r="X28" s="167"/>
      <c r="Y28" s="167"/>
      <c r="Z28" s="167"/>
      <c r="AA28" s="167"/>
      <c r="AB28" s="167"/>
      <c r="AC28" s="167"/>
      <c r="AD28" s="167"/>
      <c r="AE28" s="167" t="s">
        <v>886</v>
      </c>
      <c r="AF28" s="168"/>
    </row>
    <row r="29" spans="2:32">
      <c r="B29" s="166"/>
      <c r="C29" s="167"/>
      <c r="D29" s="167"/>
      <c r="E29" s="167"/>
      <c r="F29" s="167"/>
      <c r="G29" s="167"/>
      <c r="H29" s="167"/>
      <c r="I29" s="167"/>
      <c r="J29" s="167"/>
      <c r="K29" s="167"/>
      <c r="L29" s="167"/>
      <c r="M29" s="167"/>
      <c r="N29" s="167"/>
      <c r="O29" s="167"/>
      <c r="P29" s="167"/>
      <c r="Q29" s="167"/>
      <c r="R29" s="167"/>
      <c r="S29" s="167"/>
      <c r="T29" s="167"/>
      <c r="U29" s="167"/>
      <c r="V29" s="167"/>
      <c r="W29" s="167"/>
      <c r="X29" s="167"/>
      <c r="Y29" s="167"/>
      <c r="Z29" s="167"/>
      <c r="AA29" s="167"/>
      <c r="AB29" s="167"/>
      <c r="AC29" s="167"/>
      <c r="AD29" s="167"/>
      <c r="AE29" s="167"/>
      <c r="AF29" s="168"/>
    </row>
    <row r="30" spans="2:32">
      <c r="B30" s="166"/>
      <c r="C30" s="167"/>
      <c r="D30" s="167"/>
      <c r="E30" s="167"/>
      <c r="F30" s="167"/>
      <c r="G30" s="167"/>
      <c r="H30" s="167"/>
      <c r="I30" s="167"/>
      <c r="J30" s="167"/>
      <c r="K30" s="167"/>
      <c r="L30" s="167"/>
      <c r="M30" s="167"/>
      <c r="N30" s="167"/>
      <c r="O30" s="167"/>
      <c r="P30" s="167"/>
      <c r="Q30" s="167"/>
      <c r="R30" s="167"/>
      <c r="S30" s="167"/>
      <c r="T30" s="167"/>
      <c r="U30" s="167"/>
      <c r="V30" s="167"/>
      <c r="W30" s="167"/>
      <c r="X30" s="167"/>
      <c r="Y30" s="167"/>
      <c r="Z30" s="167"/>
      <c r="AA30" s="167"/>
      <c r="AB30" s="167"/>
      <c r="AC30" s="167"/>
      <c r="AD30" s="167"/>
      <c r="AE30" s="167"/>
      <c r="AF30" s="168"/>
    </row>
    <row r="31" spans="2:32">
      <c r="B31" s="166"/>
      <c r="C31" s="167"/>
      <c r="D31" s="167"/>
      <c r="E31" s="167"/>
      <c r="F31" s="167"/>
      <c r="G31" s="167"/>
      <c r="H31" s="167"/>
      <c r="I31" s="167"/>
      <c r="J31" s="167"/>
      <c r="K31" s="167"/>
      <c r="L31" s="167"/>
      <c r="M31" s="167"/>
      <c r="N31" s="167"/>
      <c r="O31" s="167"/>
      <c r="P31" s="167"/>
      <c r="Q31" s="167"/>
      <c r="R31" s="167"/>
      <c r="S31" s="167"/>
      <c r="T31" s="167"/>
      <c r="U31" s="167"/>
      <c r="V31" s="167"/>
      <c r="W31" s="167"/>
      <c r="X31" s="167"/>
      <c r="Y31" s="167"/>
      <c r="Z31" s="167"/>
      <c r="AA31" s="167"/>
      <c r="AB31" s="167"/>
      <c r="AC31" s="167"/>
      <c r="AD31" s="167"/>
      <c r="AE31" s="167"/>
      <c r="AF31" s="168"/>
    </row>
    <row r="32" spans="2:32">
      <c r="B32" s="166"/>
      <c r="C32" s="167"/>
      <c r="D32" s="167"/>
      <c r="E32" s="167"/>
      <c r="F32" s="167"/>
      <c r="G32" s="167"/>
      <c r="H32" s="167"/>
      <c r="I32" s="167"/>
      <c r="J32" s="167"/>
      <c r="K32" s="167"/>
      <c r="L32" s="167"/>
      <c r="M32" s="167"/>
      <c r="N32" s="167"/>
      <c r="O32" s="167"/>
      <c r="P32" s="167"/>
      <c r="Q32" s="167"/>
      <c r="R32" s="167"/>
      <c r="S32" s="167"/>
      <c r="T32" s="167"/>
      <c r="U32" s="167"/>
      <c r="V32" s="167"/>
      <c r="W32" s="162"/>
      <c r="X32" s="162"/>
      <c r="Y32" s="162"/>
      <c r="Z32" s="162"/>
      <c r="AA32" s="162"/>
      <c r="AB32" s="162"/>
      <c r="AC32" s="162"/>
      <c r="AD32" s="162"/>
      <c r="AE32" s="162"/>
      <c r="AF32" s="163"/>
    </row>
    <row r="33" spans="2:35">
      <c r="B33" s="166"/>
      <c r="C33" s="167"/>
      <c r="D33" s="167"/>
      <c r="E33" s="167"/>
      <c r="F33" s="167"/>
      <c r="G33" s="167"/>
      <c r="H33" s="167"/>
      <c r="I33" s="167"/>
      <c r="J33" s="167"/>
      <c r="K33" s="167"/>
      <c r="L33" s="167"/>
      <c r="M33" s="167"/>
      <c r="N33" s="167"/>
      <c r="O33" s="167"/>
      <c r="P33" s="167"/>
      <c r="Q33" s="167"/>
      <c r="R33" s="167"/>
      <c r="S33" s="167"/>
      <c r="T33" s="167"/>
      <c r="U33" s="167"/>
      <c r="V33" s="167"/>
      <c r="W33" s="162"/>
      <c r="X33" s="162"/>
      <c r="Y33" s="162"/>
      <c r="Z33" s="162"/>
      <c r="AA33" s="162"/>
      <c r="AB33" s="162"/>
      <c r="AC33" s="162"/>
      <c r="AD33" s="162"/>
      <c r="AE33" s="162"/>
      <c r="AF33" s="163"/>
    </row>
    <row r="34" spans="2:35">
      <c r="B34" s="166"/>
      <c r="C34" s="167"/>
      <c r="D34" s="167"/>
      <c r="E34" s="167"/>
      <c r="F34" s="167"/>
      <c r="G34" s="167"/>
      <c r="H34" s="167"/>
      <c r="I34" s="167"/>
      <c r="J34" s="167"/>
      <c r="K34" s="167"/>
      <c r="L34" s="167"/>
      <c r="M34" s="167"/>
      <c r="N34" s="167"/>
      <c r="O34" s="167"/>
      <c r="P34" s="167"/>
      <c r="Q34" s="167"/>
      <c r="R34" s="167"/>
      <c r="S34" s="167"/>
      <c r="T34" s="167"/>
      <c r="U34" s="167"/>
      <c r="V34" s="167"/>
      <c r="W34" s="162"/>
      <c r="X34" s="162"/>
      <c r="Y34" s="162"/>
      <c r="Z34" s="162"/>
      <c r="AA34" s="162"/>
      <c r="AB34" s="162"/>
      <c r="AC34" s="162"/>
      <c r="AD34" s="162"/>
      <c r="AE34" s="162"/>
      <c r="AF34" s="163"/>
    </row>
    <row r="35" spans="2:35">
      <c r="B35" s="166"/>
      <c r="C35" s="167"/>
      <c r="D35" s="167"/>
      <c r="E35" s="167"/>
      <c r="F35" s="167"/>
      <c r="G35" s="167"/>
      <c r="H35" s="167"/>
      <c r="I35" s="167"/>
      <c r="J35" s="167"/>
      <c r="K35" s="167"/>
      <c r="L35" s="167"/>
      <c r="M35" s="167"/>
      <c r="N35" s="167"/>
      <c r="O35" s="167"/>
      <c r="P35" s="167"/>
      <c r="Q35" s="167"/>
      <c r="R35" s="167"/>
      <c r="S35" s="167"/>
      <c r="T35" s="167"/>
      <c r="U35" s="167"/>
      <c r="V35" s="167"/>
      <c r="W35" s="162"/>
      <c r="X35" s="162"/>
      <c r="Y35" s="162"/>
      <c r="Z35" s="162"/>
      <c r="AA35" s="162"/>
      <c r="AB35" s="162"/>
      <c r="AC35" s="162"/>
      <c r="AD35" s="162"/>
      <c r="AE35" s="162"/>
      <c r="AF35" s="163"/>
    </row>
    <row r="36" spans="2:35">
      <c r="B36" s="166"/>
      <c r="C36" s="167"/>
      <c r="D36" s="167"/>
      <c r="E36" s="167"/>
      <c r="F36" s="167"/>
      <c r="G36" s="167"/>
      <c r="H36" s="167"/>
      <c r="I36" s="167"/>
      <c r="J36" s="167"/>
      <c r="K36" s="167"/>
      <c r="L36" s="167"/>
      <c r="M36" s="167"/>
      <c r="N36" s="167"/>
      <c r="O36" s="167"/>
      <c r="P36" s="167"/>
      <c r="Q36" s="167"/>
      <c r="R36" s="167"/>
      <c r="S36" s="167"/>
      <c r="T36" s="167"/>
      <c r="U36" s="167"/>
      <c r="V36" s="167"/>
      <c r="W36" s="162"/>
      <c r="X36" s="162"/>
      <c r="Y36" s="162"/>
      <c r="Z36" s="162"/>
      <c r="AA36" s="162"/>
      <c r="AB36" s="162"/>
      <c r="AC36" s="162"/>
      <c r="AD36" s="162"/>
      <c r="AE36" s="162"/>
      <c r="AF36" s="163"/>
    </row>
    <row r="37" spans="2:35">
      <c r="B37" s="170"/>
      <c r="AF37" s="171"/>
    </row>
    <row r="38" spans="2:35">
      <c r="B38" s="173"/>
      <c r="C38" s="2113"/>
      <c r="D38" s="2113"/>
      <c r="E38" s="2113"/>
      <c r="F38" s="2113"/>
      <c r="G38" s="2113"/>
      <c r="H38" s="2113"/>
      <c r="I38" s="2113"/>
      <c r="J38" s="2114"/>
      <c r="K38" s="2114"/>
      <c r="L38" s="2114"/>
      <c r="M38" s="2114"/>
      <c r="N38" s="2114"/>
      <c r="O38" s="2114"/>
      <c r="P38" s="2114"/>
      <c r="Q38" s="2114"/>
      <c r="R38" s="2113"/>
      <c r="S38" s="2113"/>
      <c r="T38" s="2113"/>
      <c r="U38" s="2113"/>
      <c r="V38" s="2113"/>
      <c r="W38" s="2113"/>
      <c r="X38" s="2113"/>
      <c r="Y38" s="2111"/>
      <c r="Z38" s="2111"/>
      <c r="AA38" s="2111"/>
      <c r="AB38" s="2111"/>
      <c r="AC38" s="2114"/>
      <c r="AD38" s="2114"/>
      <c r="AE38" s="2114"/>
      <c r="AF38" s="2119"/>
      <c r="AH38" s="169"/>
      <c r="AI38" s="169"/>
    </row>
    <row r="39" spans="2:35">
      <c r="B39" s="172"/>
      <c r="C39" s="2113"/>
      <c r="D39" s="2113"/>
      <c r="E39" s="2113"/>
      <c r="F39" s="2113"/>
      <c r="G39" s="2113"/>
      <c r="H39" s="2113"/>
      <c r="I39" s="2113"/>
      <c r="J39" s="2114"/>
      <c r="K39" s="2114"/>
      <c r="L39" s="2114"/>
      <c r="M39" s="2114"/>
      <c r="N39" s="2114"/>
      <c r="O39" s="2114"/>
      <c r="P39" s="2114"/>
      <c r="Q39" s="2114"/>
      <c r="R39" s="2113"/>
      <c r="S39" s="2113"/>
      <c r="T39" s="2113"/>
      <c r="U39" s="2113"/>
      <c r="V39" s="2113"/>
      <c r="W39" s="2113"/>
      <c r="X39" s="2113"/>
      <c r="Y39" s="2111"/>
      <c r="Z39" s="2111"/>
      <c r="AA39" s="2111"/>
      <c r="AB39" s="2111"/>
      <c r="AC39" s="2111"/>
      <c r="AD39" s="2111"/>
      <c r="AE39" s="2111"/>
      <c r="AF39" s="2112"/>
      <c r="AH39" s="169"/>
      <c r="AI39" s="169"/>
    </row>
    <row r="40" spans="2:35">
      <c r="B40" s="173"/>
      <c r="C40" s="2113"/>
      <c r="D40" s="2113"/>
      <c r="E40" s="2113"/>
      <c r="F40" s="2113"/>
      <c r="G40" s="2113"/>
      <c r="H40" s="2113"/>
      <c r="I40" s="2113"/>
      <c r="J40" s="2114"/>
      <c r="K40" s="2114"/>
      <c r="L40" s="2114"/>
      <c r="M40" s="2114"/>
      <c r="N40" s="2114"/>
      <c r="O40" s="2114"/>
      <c r="P40" s="2114"/>
      <c r="Q40" s="2114"/>
      <c r="R40" s="2113"/>
      <c r="S40" s="2113"/>
      <c r="T40" s="2113"/>
      <c r="U40" s="2113"/>
      <c r="V40" s="2113"/>
      <c r="W40" s="2113"/>
      <c r="X40" s="2113"/>
      <c r="Y40" s="2111"/>
      <c r="Z40" s="2111"/>
      <c r="AA40" s="2111"/>
      <c r="AB40" s="2111"/>
      <c r="AC40" s="2114"/>
      <c r="AD40" s="2114"/>
      <c r="AE40" s="2114"/>
      <c r="AF40" s="2119"/>
      <c r="AH40" s="169"/>
      <c r="AI40" s="169"/>
    </row>
    <row r="41" spans="2:35">
      <c r="B41" s="172"/>
      <c r="C41" s="2113"/>
      <c r="D41" s="2113"/>
      <c r="E41" s="2113"/>
      <c r="F41" s="2113"/>
      <c r="G41" s="2113"/>
      <c r="H41" s="2113"/>
      <c r="I41" s="2113"/>
      <c r="J41" s="2114"/>
      <c r="K41" s="2114"/>
      <c r="L41" s="2114"/>
      <c r="M41" s="2114"/>
      <c r="N41" s="2114"/>
      <c r="O41" s="2114"/>
      <c r="P41" s="2114"/>
      <c r="Q41" s="2114"/>
      <c r="R41" s="2113"/>
      <c r="S41" s="2113"/>
      <c r="T41" s="2113"/>
      <c r="U41" s="2113"/>
      <c r="V41" s="2113"/>
      <c r="W41" s="2113"/>
      <c r="X41" s="2113"/>
      <c r="Y41" s="2111"/>
      <c r="Z41" s="2111"/>
      <c r="AA41" s="2111"/>
      <c r="AB41" s="2111"/>
      <c r="AC41" s="2111"/>
      <c r="AD41" s="2111"/>
      <c r="AE41" s="2111"/>
      <c r="AF41" s="2112"/>
      <c r="AH41" s="169"/>
      <c r="AI41" s="169"/>
    </row>
    <row r="42" spans="2:35">
      <c r="B42" s="173"/>
      <c r="C42" s="2113"/>
      <c r="D42" s="2113"/>
      <c r="E42" s="2113"/>
      <c r="F42" s="2113"/>
      <c r="G42" s="2113"/>
      <c r="H42" s="2113"/>
      <c r="I42" s="2113"/>
      <c r="J42" s="2114"/>
      <c r="K42" s="2114"/>
      <c r="L42" s="2114"/>
      <c r="M42" s="2114"/>
      <c r="N42" s="2114"/>
      <c r="O42" s="2114"/>
      <c r="P42" s="2114"/>
      <c r="Q42" s="2114"/>
      <c r="R42" s="2113"/>
      <c r="S42" s="2113"/>
      <c r="T42" s="2113"/>
      <c r="U42" s="2113"/>
      <c r="V42" s="2113"/>
      <c r="W42" s="2113"/>
      <c r="X42" s="2113"/>
      <c r="Y42" s="2111"/>
      <c r="Z42" s="2111"/>
      <c r="AA42" s="2111"/>
      <c r="AB42" s="2111"/>
      <c r="AC42" s="2111"/>
      <c r="AD42" s="2111"/>
      <c r="AE42" s="2111"/>
      <c r="AF42" s="2112"/>
      <c r="AH42" s="169"/>
      <c r="AI42" s="169"/>
    </row>
    <row r="43" spans="2:35">
      <c r="B43" s="172"/>
      <c r="C43" s="2113"/>
      <c r="D43" s="2113"/>
      <c r="E43" s="2113"/>
      <c r="F43" s="2113"/>
      <c r="G43" s="2113"/>
      <c r="H43" s="2113"/>
      <c r="I43" s="2113"/>
      <c r="J43" s="2114"/>
      <c r="K43" s="2114"/>
      <c r="L43" s="2114"/>
      <c r="M43" s="2114"/>
      <c r="N43" s="2114"/>
      <c r="O43" s="2114"/>
      <c r="P43" s="2114"/>
      <c r="Q43" s="2114"/>
      <c r="R43" s="2113"/>
      <c r="S43" s="2113"/>
      <c r="T43" s="2113"/>
      <c r="U43" s="2113"/>
      <c r="V43" s="2113"/>
      <c r="W43" s="2113"/>
      <c r="X43" s="2113"/>
      <c r="Y43" s="2111"/>
      <c r="Z43" s="2111"/>
      <c r="AA43" s="2111"/>
      <c r="AB43" s="2111"/>
      <c r="AC43" s="2111"/>
      <c r="AD43" s="2111"/>
      <c r="AE43" s="2111"/>
      <c r="AF43" s="2112"/>
      <c r="AH43" s="169"/>
      <c r="AI43" s="169"/>
    </row>
    <row r="44" spans="2:35" ht="19.5" customHeight="1">
      <c r="B44" s="173"/>
      <c r="C44" s="2113"/>
      <c r="D44" s="2113"/>
      <c r="E44" s="2113"/>
      <c r="F44" s="2113"/>
      <c r="G44" s="2113"/>
      <c r="H44" s="2113"/>
      <c r="I44" s="2113"/>
      <c r="J44" s="2114"/>
      <c r="K44" s="2114"/>
      <c r="L44" s="2114"/>
      <c r="M44" s="2114"/>
      <c r="N44" s="2120"/>
      <c r="O44" s="2120"/>
      <c r="P44" s="2120"/>
      <c r="Q44" s="2120"/>
      <c r="R44" s="2113"/>
      <c r="S44" s="2113"/>
      <c r="T44" s="2113"/>
      <c r="U44" s="2113"/>
      <c r="V44" s="2113"/>
      <c r="W44" s="2113"/>
      <c r="X44" s="2113"/>
      <c r="Y44" s="2111"/>
      <c r="Z44" s="2111"/>
      <c r="AA44" s="2111"/>
      <c r="AB44" s="2111"/>
      <c r="AC44" s="2111"/>
      <c r="AD44" s="2111"/>
      <c r="AE44" s="2111"/>
      <c r="AF44" s="2112"/>
      <c r="AH44" s="169"/>
      <c r="AI44" s="169"/>
    </row>
    <row r="45" spans="2:35">
      <c r="B45" s="172"/>
      <c r="C45" s="2113"/>
      <c r="D45" s="2113"/>
      <c r="E45" s="2113"/>
      <c r="F45" s="2113"/>
      <c r="G45" s="2113"/>
      <c r="H45" s="2113"/>
      <c r="I45" s="2113"/>
      <c r="J45" s="2114"/>
      <c r="K45" s="2114"/>
      <c r="L45" s="2114"/>
      <c r="M45" s="2114"/>
      <c r="N45" s="2114"/>
      <c r="O45" s="2114"/>
      <c r="P45" s="2114"/>
      <c r="Q45" s="2114"/>
      <c r="R45" s="2113"/>
      <c r="S45" s="2113"/>
      <c r="T45" s="2113"/>
      <c r="U45" s="2113"/>
      <c r="V45" s="2113"/>
      <c r="W45" s="2113"/>
      <c r="X45" s="2113"/>
      <c r="Y45" s="2111"/>
      <c r="Z45" s="2111"/>
      <c r="AA45" s="2111"/>
      <c r="AB45" s="2111"/>
      <c r="AC45" s="2111"/>
      <c r="AD45" s="2111"/>
      <c r="AE45" s="2111"/>
      <c r="AF45" s="2112"/>
      <c r="AH45" s="169"/>
      <c r="AI45" s="169"/>
    </row>
    <row r="46" spans="2:35">
      <c r="B46" s="172"/>
      <c r="C46" s="2113"/>
      <c r="D46" s="2113"/>
      <c r="E46" s="2113"/>
      <c r="F46" s="2113"/>
      <c r="G46" s="2113"/>
      <c r="H46" s="2113"/>
      <c r="I46" s="2113"/>
      <c r="J46" s="2114"/>
      <c r="K46" s="2114"/>
      <c r="L46" s="2114"/>
      <c r="M46" s="2114"/>
      <c r="N46" s="2114"/>
      <c r="O46" s="2114"/>
      <c r="P46" s="2114"/>
      <c r="Q46" s="2114"/>
      <c r="R46" s="2113"/>
      <c r="S46" s="2113"/>
      <c r="T46" s="2113"/>
      <c r="U46" s="2113"/>
      <c r="V46" s="2113"/>
      <c r="W46" s="2113"/>
      <c r="X46" s="2113"/>
      <c r="Y46" s="2111"/>
      <c r="Z46" s="2111"/>
      <c r="AA46" s="2111"/>
      <c r="AB46" s="2111"/>
      <c r="AC46" s="2111"/>
      <c r="AD46" s="2111"/>
      <c r="AE46" s="2111"/>
      <c r="AF46" s="2112"/>
      <c r="AH46" s="169"/>
      <c r="AI46" s="169"/>
    </row>
    <row r="47" spans="2:35">
      <c r="B47" s="172"/>
      <c r="C47" s="2113"/>
      <c r="D47" s="2113"/>
      <c r="E47" s="2113"/>
      <c r="F47" s="2113"/>
      <c r="G47" s="2113"/>
      <c r="H47" s="2113"/>
      <c r="I47" s="2113"/>
      <c r="J47" s="2114"/>
      <c r="K47" s="2114"/>
      <c r="L47" s="2114"/>
      <c r="M47" s="2114"/>
      <c r="N47" s="2114"/>
      <c r="O47" s="2114"/>
      <c r="P47" s="2114"/>
      <c r="Q47" s="2114"/>
      <c r="R47" s="2113"/>
      <c r="S47" s="2113"/>
      <c r="T47" s="2113"/>
      <c r="U47" s="2113"/>
      <c r="V47" s="2113"/>
      <c r="W47" s="2113"/>
      <c r="X47" s="2113"/>
      <c r="Y47" s="2111"/>
      <c r="Z47" s="2111"/>
      <c r="AA47" s="2111"/>
      <c r="AB47" s="2111"/>
      <c r="AC47" s="2111"/>
      <c r="AD47" s="2111"/>
      <c r="AE47" s="2111"/>
      <c r="AF47" s="2112"/>
      <c r="AH47" s="169"/>
      <c r="AI47" s="169"/>
    </row>
    <row r="48" spans="2:35">
      <c r="B48" s="172"/>
      <c r="C48" s="2113"/>
      <c r="D48" s="2113"/>
      <c r="E48" s="2113"/>
      <c r="F48" s="2113"/>
      <c r="G48" s="2113"/>
      <c r="H48" s="2113"/>
      <c r="I48" s="2113"/>
      <c r="J48" s="2114"/>
      <c r="K48" s="2114"/>
      <c r="L48" s="2114"/>
      <c r="M48" s="2114"/>
      <c r="N48" s="2114"/>
      <c r="O48" s="2114"/>
      <c r="P48" s="2114"/>
      <c r="Q48" s="2114"/>
      <c r="R48" s="2113"/>
      <c r="S48" s="2113"/>
      <c r="T48" s="2113"/>
      <c r="U48" s="2113"/>
      <c r="V48" s="2113"/>
      <c r="W48" s="2113"/>
      <c r="X48" s="2113"/>
      <c r="Y48" s="2111"/>
      <c r="Z48" s="2111"/>
      <c r="AA48" s="2111"/>
      <c r="AB48" s="2111"/>
      <c r="AC48" s="2111"/>
      <c r="AD48" s="2111"/>
      <c r="AE48" s="2111"/>
      <c r="AF48" s="2112"/>
      <c r="AH48" s="169"/>
      <c r="AI48" s="169"/>
    </row>
    <row r="49" spans="2:51">
      <c r="B49" s="173"/>
      <c r="C49" s="2113"/>
      <c r="D49" s="2113"/>
      <c r="E49" s="2113"/>
      <c r="F49" s="2113"/>
      <c r="G49" s="2113"/>
      <c r="H49" s="2113"/>
      <c r="I49" s="2113"/>
      <c r="J49" s="2114"/>
      <c r="K49" s="2114"/>
      <c r="L49" s="2114"/>
      <c r="M49" s="2114"/>
      <c r="N49" s="2114"/>
      <c r="O49" s="2114"/>
      <c r="P49" s="2114"/>
      <c r="Q49" s="2114"/>
      <c r="R49" s="2113"/>
      <c r="S49" s="2113"/>
      <c r="T49" s="2113"/>
      <c r="U49" s="2113"/>
      <c r="V49" s="2113"/>
      <c r="W49" s="2113"/>
      <c r="X49" s="2113"/>
      <c r="Y49" s="2111"/>
      <c r="Z49" s="2111"/>
      <c r="AA49" s="2111"/>
      <c r="AB49" s="2111"/>
      <c r="AC49" s="2111"/>
      <c r="AD49" s="2111"/>
      <c r="AE49" s="2111"/>
      <c r="AF49" s="2112"/>
      <c r="AH49" s="169"/>
      <c r="AI49" s="169"/>
    </row>
    <row r="50" spans="2:51">
      <c r="B50" s="173"/>
      <c r="C50" s="2113"/>
      <c r="D50" s="2113"/>
      <c r="E50" s="2113"/>
      <c r="F50" s="2113"/>
      <c r="G50" s="2113"/>
      <c r="H50" s="2113"/>
      <c r="I50" s="2113"/>
      <c r="J50" s="2114"/>
      <c r="K50" s="2114"/>
      <c r="L50" s="2114"/>
      <c r="M50" s="2114"/>
      <c r="N50" s="2114"/>
      <c r="O50" s="2114"/>
      <c r="P50" s="2114"/>
      <c r="Q50" s="2114"/>
      <c r="R50" s="2113"/>
      <c r="S50" s="2113"/>
      <c r="T50" s="2113"/>
      <c r="U50" s="2113"/>
      <c r="V50" s="2113"/>
      <c r="W50" s="2113"/>
      <c r="X50" s="2113"/>
      <c r="Y50" s="2111"/>
      <c r="Z50" s="2111"/>
      <c r="AA50" s="2111"/>
      <c r="AB50" s="2111"/>
      <c r="AC50" s="2111"/>
      <c r="AD50" s="2111"/>
      <c r="AE50" s="2111"/>
      <c r="AF50" s="2112"/>
      <c r="AH50" s="169"/>
      <c r="AI50" s="169"/>
    </row>
    <row r="51" spans="2:51">
      <c r="B51" s="172"/>
      <c r="C51" s="2113"/>
      <c r="D51" s="2113"/>
      <c r="E51" s="2113"/>
      <c r="F51" s="2113"/>
      <c r="G51" s="2113"/>
      <c r="H51" s="2113"/>
      <c r="I51" s="2113"/>
      <c r="J51" s="2114"/>
      <c r="K51" s="2114"/>
      <c r="L51" s="2114"/>
      <c r="M51" s="2114"/>
      <c r="N51" s="2114"/>
      <c r="O51" s="2114"/>
      <c r="P51" s="2114"/>
      <c r="Q51" s="2114"/>
      <c r="R51" s="2113"/>
      <c r="S51" s="2113"/>
      <c r="T51" s="2113"/>
      <c r="U51" s="2113"/>
      <c r="V51" s="2113"/>
      <c r="W51" s="2113"/>
      <c r="X51" s="2113"/>
      <c r="Y51" s="2111"/>
      <c r="Z51" s="2111"/>
      <c r="AA51" s="2111"/>
      <c r="AB51" s="2111"/>
      <c r="AC51" s="2111"/>
      <c r="AD51" s="2111"/>
      <c r="AE51" s="2111"/>
      <c r="AF51" s="2112"/>
      <c r="AH51" s="169"/>
      <c r="AI51" s="169"/>
      <c r="AP51" s="548" t="s">
        <v>1121</v>
      </c>
      <c r="AQ51" s="548"/>
      <c r="AR51" s="548"/>
      <c r="AS51" s="548"/>
      <c r="AT51" s="548"/>
      <c r="AU51" s="548"/>
      <c r="AV51" s="548"/>
      <c r="AW51" s="548"/>
      <c r="AX51" s="548"/>
      <c r="AY51" s="548"/>
    </row>
    <row r="52" spans="2:51" ht="40.5">
      <c r="B52" s="172"/>
      <c r="C52" s="2113"/>
      <c r="D52" s="2113"/>
      <c r="E52" s="2113"/>
      <c r="F52" s="2113"/>
      <c r="G52" s="2113"/>
      <c r="H52" s="2113"/>
      <c r="I52" s="2113"/>
      <c r="J52" s="2114"/>
      <c r="K52" s="2114"/>
      <c r="L52" s="2114"/>
      <c r="M52" s="2114"/>
      <c r="N52" s="2114"/>
      <c r="O52" s="2114"/>
      <c r="P52" s="2114"/>
      <c r="Q52" s="2114"/>
      <c r="R52" s="2113"/>
      <c r="S52" s="2113"/>
      <c r="T52" s="2113"/>
      <c r="U52" s="2113"/>
      <c r="V52" s="2113"/>
      <c r="W52" s="2113"/>
      <c r="X52" s="2113"/>
      <c r="Y52" s="2111"/>
      <c r="Z52" s="2111"/>
      <c r="AA52" s="2111"/>
      <c r="AB52" s="2111"/>
      <c r="AC52" s="2111"/>
      <c r="AD52" s="2111"/>
      <c r="AE52" s="2111"/>
      <c r="AF52" s="2112"/>
      <c r="AH52" s="169"/>
      <c r="AI52" s="169"/>
      <c r="AP52" s="549" t="s">
        <v>1110</v>
      </c>
      <c r="AQ52" s="550">
        <v>1</v>
      </c>
      <c r="AR52" s="550">
        <v>2</v>
      </c>
      <c r="AS52" s="550">
        <v>3</v>
      </c>
      <c r="AT52" s="550">
        <v>4</v>
      </c>
      <c r="AU52" s="550">
        <v>5</v>
      </c>
      <c r="AV52" s="550">
        <v>6</v>
      </c>
      <c r="AW52" s="550">
        <v>7</v>
      </c>
      <c r="AX52" s="551">
        <v>8</v>
      </c>
      <c r="AY52" s="548"/>
    </row>
    <row r="53" spans="2:51" ht="20.25">
      <c r="B53" s="172"/>
      <c r="C53" s="2113"/>
      <c r="D53" s="2113"/>
      <c r="E53" s="2113"/>
      <c r="F53" s="2113"/>
      <c r="G53" s="2113"/>
      <c r="H53" s="2113"/>
      <c r="I53" s="2113"/>
      <c r="J53" s="2114"/>
      <c r="K53" s="2114"/>
      <c r="L53" s="2114"/>
      <c r="M53" s="2114"/>
      <c r="N53" s="2114"/>
      <c r="O53" s="2114"/>
      <c r="P53" s="2114"/>
      <c r="Q53" s="2114"/>
      <c r="R53" s="2113"/>
      <c r="S53" s="2113"/>
      <c r="T53" s="2113"/>
      <c r="U53" s="2113"/>
      <c r="V53" s="2113"/>
      <c r="W53" s="2113"/>
      <c r="X53" s="2113"/>
      <c r="Y53" s="2111"/>
      <c r="Z53" s="2111"/>
      <c r="AA53" s="2111"/>
      <c r="AB53" s="2111"/>
      <c r="AC53" s="2111"/>
      <c r="AD53" s="2111"/>
      <c r="AE53" s="2111"/>
      <c r="AF53" s="2112"/>
      <c r="AH53" s="169"/>
      <c r="AI53" s="169"/>
      <c r="AP53" s="2115" t="s">
        <v>1111</v>
      </c>
      <c r="AQ53" s="2117" t="s">
        <v>1112</v>
      </c>
      <c r="AR53" s="2117" t="s">
        <v>1113</v>
      </c>
      <c r="AS53" s="2117" t="s">
        <v>1114</v>
      </c>
      <c r="AT53" s="552" t="s">
        <v>1115</v>
      </c>
      <c r="AU53" s="2117" t="s">
        <v>1117</v>
      </c>
      <c r="AV53" s="2117" t="s">
        <v>1118</v>
      </c>
      <c r="AW53" s="2117" t="s">
        <v>1119</v>
      </c>
      <c r="AX53" s="2109" t="s">
        <v>1120</v>
      </c>
      <c r="AY53" s="548"/>
    </row>
    <row r="54" spans="2:51" ht="20.25">
      <c r="B54" s="173"/>
      <c r="C54" s="2113"/>
      <c r="D54" s="2113"/>
      <c r="E54" s="2113"/>
      <c r="F54" s="2113"/>
      <c r="G54" s="2113"/>
      <c r="H54" s="2113"/>
      <c r="I54" s="2113"/>
      <c r="J54" s="2114"/>
      <c r="K54" s="2114"/>
      <c r="L54" s="2114"/>
      <c r="M54" s="2114"/>
      <c r="N54" s="2114"/>
      <c r="O54" s="2114"/>
      <c r="P54" s="2114"/>
      <c r="Q54" s="2114"/>
      <c r="R54" s="2113"/>
      <c r="S54" s="2113"/>
      <c r="T54" s="2113"/>
      <c r="U54" s="2113"/>
      <c r="V54" s="2113"/>
      <c r="W54" s="2113"/>
      <c r="X54" s="2113"/>
      <c r="Y54" s="2111"/>
      <c r="Z54" s="2111"/>
      <c r="AA54" s="2111"/>
      <c r="AB54" s="2111"/>
      <c r="AC54" s="2111"/>
      <c r="AD54" s="2111"/>
      <c r="AE54" s="2111"/>
      <c r="AF54" s="2112"/>
      <c r="AH54" s="169"/>
      <c r="AI54" s="169"/>
      <c r="AP54" s="2116"/>
      <c r="AQ54" s="2118"/>
      <c r="AR54" s="2118"/>
      <c r="AS54" s="2118"/>
      <c r="AT54" s="553" t="s">
        <v>1116</v>
      </c>
      <c r="AU54" s="2118"/>
      <c r="AV54" s="2118"/>
      <c r="AW54" s="2118"/>
      <c r="AX54" s="2110"/>
      <c r="AY54" s="548"/>
    </row>
    <row r="55" spans="2:51">
      <c r="B55" s="173"/>
      <c r="C55" s="2113"/>
      <c r="D55" s="2113"/>
      <c r="E55" s="2113"/>
      <c r="F55" s="2113"/>
      <c r="G55" s="2113"/>
      <c r="H55" s="2113"/>
      <c r="I55" s="2113"/>
      <c r="J55" s="2114"/>
      <c r="K55" s="2114"/>
      <c r="L55" s="2114"/>
      <c r="M55" s="2114"/>
      <c r="N55" s="2114"/>
      <c r="O55" s="2114"/>
      <c r="P55" s="2114"/>
      <c r="Q55" s="2114"/>
      <c r="R55" s="2113"/>
      <c r="S55" s="2113"/>
      <c r="T55" s="2113"/>
      <c r="U55" s="2113"/>
      <c r="V55" s="2113"/>
      <c r="W55" s="2113"/>
      <c r="X55" s="2113"/>
      <c r="Y55" s="2111"/>
      <c r="Z55" s="2111"/>
      <c r="AA55" s="2111"/>
      <c r="AB55" s="2111"/>
      <c r="AC55" s="2111"/>
      <c r="AD55" s="2111"/>
      <c r="AE55" s="2111"/>
      <c r="AF55" s="2112"/>
    </row>
    <row r="56" spans="2:51" ht="17.25" thickBot="1">
      <c r="B56" s="175"/>
      <c r="C56" s="2123"/>
      <c r="D56" s="2123"/>
      <c r="E56" s="2123"/>
      <c r="F56" s="2123"/>
      <c r="G56" s="2123"/>
      <c r="H56" s="2123"/>
      <c r="I56" s="2123"/>
      <c r="J56" s="2124"/>
      <c r="K56" s="2124"/>
      <c r="L56" s="2124"/>
      <c r="M56" s="2124"/>
      <c r="N56" s="2124"/>
      <c r="O56" s="2124"/>
      <c r="P56" s="2124"/>
      <c r="Q56" s="2124"/>
      <c r="R56" s="2123"/>
      <c r="S56" s="2123"/>
      <c r="T56" s="2123"/>
      <c r="U56" s="2123"/>
      <c r="V56" s="2123"/>
      <c r="W56" s="2123"/>
      <c r="X56" s="2123"/>
      <c r="Y56" s="2121"/>
      <c r="Z56" s="2121"/>
      <c r="AA56" s="2121"/>
      <c r="AB56" s="2121"/>
      <c r="AC56" s="2121"/>
      <c r="AD56" s="2121"/>
      <c r="AE56" s="2121"/>
      <c r="AF56" s="2122"/>
      <c r="AQ56" s="348"/>
      <c r="AR56" s="348"/>
      <c r="AS56" s="348" t="s">
        <v>1122</v>
      </c>
      <c r="AT56" s="348" t="s">
        <v>1122</v>
      </c>
      <c r="AU56" s="348" t="s">
        <v>1122</v>
      </c>
      <c r="AV56" s="348"/>
      <c r="AW56" s="348"/>
    </row>
    <row r="62" spans="2:51" ht="60.75" customHeight="1"/>
  </sheetData>
  <mergeCells count="141">
    <mergeCell ref="AC56:AF56"/>
    <mergeCell ref="AC55:AF55"/>
    <mergeCell ref="C55:I55"/>
    <mergeCell ref="J55:M55"/>
    <mergeCell ref="N55:Q55"/>
    <mergeCell ref="R55:X55"/>
    <mergeCell ref="Y55:Z55"/>
    <mergeCell ref="AA55:AB55"/>
    <mergeCell ref="C56:I56"/>
    <mergeCell ref="J56:M56"/>
    <mergeCell ref="N56:Q56"/>
    <mergeCell ref="R56:X56"/>
    <mergeCell ref="Y56:Z56"/>
    <mergeCell ref="AA56:AB56"/>
    <mergeCell ref="N47:Q47"/>
    <mergeCell ref="C51:I51"/>
    <mergeCell ref="J51:M51"/>
    <mergeCell ref="C54:I54"/>
    <mergeCell ref="J54:M54"/>
    <mergeCell ref="N54:Q54"/>
    <mergeCell ref="R54:X54"/>
    <mergeCell ref="Y54:Z54"/>
    <mergeCell ref="AA54:AB54"/>
    <mergeCell ref="C53:I53"/>
    <mergeCell ref="J53:M53"/>
    <mergeCell ref="N53:Q53"/>
    <mergeCell ref="R53:X53"/>
    <mergeCell ref="Y53:Z53"/>
    <mergeCell ref="AA53:AB53"/>
    <mergeCell ref="N51:Q51"/>
    <mergeCell ref="R51:X51"/>
    <mergeCell ref="Y51:Z51"/>
    <mergeCell ref="AA51:AB51"/>
    <mergeCell ref="C52:I52"/>
    <mergeCell ref="J52:M52"/>
    <mergeCell ref="N52:Q52"/>
    <mergeCell ref="R52:X52"/>
    <mergeCell ref="J46:M46"/>
    <mergeCell ref="C50:I50"/>
    <mergeCell ref="J50:M50"/>
    <mergeCell ref="N50:Q50"/>
    <mergeCell ref="R50:X50"/>
    <mergeCell ref="Y50:Z50"/>
    <mergeCell ref="AA50:AB50"/>
    <mergeCell ref="AC50:AF50"/>
    <mergeCell ref="AC46:AF46"/>
    <mergeCell ref="R46:X46"/>
    <mergeCell ref="Y46:Z46"/>
    <mergeCell ref="AA46:AB46"/>
    <mergeCell ref="C49:I49"/>
    <mergeCell ref="N49:Q49"/>
    <mergeCell ref="R49:X49"/>
    <mergeCell ref="J49:M49"/>
    <mergeCell ref="C48:I48"/>
    <mergeCell ref="J48:M48"/>
    <mergeCell ref="N48:Q48"/>
    <mergeCell ref="R48:X48"/>
    <mergeCell ref="Y48:Z48"/>
    <mergeCell ref="AA48:AB48"/>
    <mergeCell ref="C47:I47"/>
    <mergeCell ref="J47:M47"/>
    <mergeCell ref="C42:I42"/>
    <mergeCell ref="J42:M42"/>
    <mergeCell ref="N42:Q42"/>
    <mergeCell ref="R42:X42"/>
    <mergeCell ref="C45:I45"/>
    <mergeCell ref="J45:M45"/>
    <mergeCell ref="N45:Q45"/>
    <mergeCell ref="R45:X45"/>
    <mergeCell ref="Y45:Z45"/>
    <mergeCell ref="C44:I44"/>
    <mergeCell ref="J44:M44"/>
    <mergeCell ref="N44:Q44"/>
    <mergeCell ref="R44:X44"/>
    <mergeCell ref="Y44:Z44"/>
    <mergeCell ref="C38:I38"/>
    <mergeCell ref="J38:M38"/>
    <mergeCell ref="N38:Q38"/>
    <mergeCell ref="R38:X38"/>
    <mergeCell ref="Y38:Z38"/>
    <mergeCell ref="AA38:AB38"/>
    <mergeCell ref="AC38:AF38"/>
    <mergeCell ref="C40:I40"/>
    <mergeCell ref="J40:M40"/>
    <mergeCell ref="N40:Q40"/>
    <mergeCell ref="R40:X40"/>
    <mergeCell ref="Y40:Z40"/>
    <mergeCell ref="AA40:AB40"/>
    <mergeCell ref="AC40:AF40"/>
    <mergeCell ref="AC39:AF39"/>
    <mergeCell ref="C39:I39"/>
    <mergeCell ref="J39:M39"/>
    <mergeCell ref="N39:Q39"/>
    <mergeCell ref="R39:X39"/>
    <mergeCell ref="C41:I41"/>
    <mergeCell ref="J41:M41"/>
    <mergeCell ref="AP53:AP54"/>
    <mergeCell ref="AQ53:AQ54"/>
    <mergeCell ref="AR53:AR54"/>
    <mergeCell ref="AS53:AS54"/>
    <mergeCell ref="AU53:AU54"/>
    <mergeCell ref="AV53:AV54"/>
    <mergeCell ref="AW53:AW54"/>
    <mergeCell ref="N46:Q46"/>
    <mergeCell ref="C43:I43"/>
    <mergeCell ref="J43:M43"/>
    <mergeCell ref="N43:Q43"/>
    <mergeCell ref="R43:X43"/>
    <mergeCell ref="Y43:Z43"/>
    <mergeCell ref="AA43:AB43"/>
    <mergeCell ref="C46:I46"/>
    <mergeCell ref="Y42:Z42"/>
    <mergeCell ref="AA42:AB42"/>
    <mergeCell ref="R47:X47"/>
    <mergeCell ref="Y47:Z47"/>
    <mergeCell ref="AA47:AB47"/>
    <mergeCell ref="N41:Q41"/>
    <mergeCell ref="R41:X41"/>
    <mergeCell ref="AX53:AX54"/>
    <mergeCell ref="Y39:Z39"/>
    <mergeCell ref="AA39:AB39"/>
    <mergeCell ref="AC42:AF42"/>
    <mergeCell ref="AC41:AF41"/>
    <mergeCell ref="AC45:AF45"/>
    <mergeCell ref="Y52:Z52"/>
    <mergeCell ref="AA52:AB52"/>
    <mergeCell ref="AC49:AF49"/>
    <mergeCell ref="AC44:AF44"/>
    <mergeCell ref="AC43:AF43"/>
    <mergeCell ref="AC52:AF52"/>
    <mergeCell ref="AC51:AF51"/>
    <mergeCell ref="Y49:Z49"/>
    <mergeCell ref="AA49:AB49"/>
    <mergeCell ref="AC48:AF48"/>
    <mergeCell ref="AC47:AF47"/>
    <mergeCell ref="Y41:Z41"/>
    <mergeCell ref="AA41:AB41"/>
    <mergeCell ref="AA45:AB45"/>
    <mergeCell ref="AA44:AB44"/>
    <mergeCell ref="AC54:AF54"/>
    <mergeCell ref="AC53:AF53"/>
  </mergeCells>
  <phoneticPr fontId="60" type="noConversion"/>
  <printOptions horizontalCentered="1"/>
  <pageMargins left="0.19685039370078741" right="0.19685039370078741" top="0.43307086614173229" bottom="0.19685039370078741" header="0.31496062992125984" footer="0.23622047244094491"/>
  <pageSetup paperSize="9" scale="79" orientation="portrait" verticalDpi="599" r:id="rId1"/>
  <colBreaks count="1" manualBreakCount="1">
    <brk id="32" max="55" man="1"/>
  </colBreaks>
  <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25"/>
  <dimension ref="A2:EO93"/>
  <sheetViews>
    <sheetView view="pageBreakPreview" zoomScale="70" zoomScaleNormal="60" zoomScaleSheetLayoutView="70" workbookViewId="0">
      <selection activeCell="J28" sqref="J28:R28"/>
    </sheetView>
  </sheetViews>
  <sheetFormatPr defaultRowHeight="16.5"/>
  <cols>
    <col min="1" max="1" width="1.625" customWidth="1"/>
    <col min="2" max="44" width="3.5" customWidth="1"/>
    <col min="45" max="47" width="1.625" customWidth="1"/>
    <col min="48" max="78" width="3.5" customWidth="1"/>
    <col min="79" max="80" width="1.625" customWidth="1"/>
    <col min="81" max="111" width="3.5" customWidth="1"/>
    <col min="112" max="114" width="1.625" customWidth="1"/>
  </cols>
  <sheetData>
    <row r="2" spans="1:145" ht="27">
      <c r="A2" s="1574"/>
      <c r="B2" s="1811" t="s">
        <v>2625</v>
      </c>
      <c r="C2" s="1812"/>
      <c r="D2" s="1812"/>
      <c r="E2" s="1812"/>
      <c r="F2" s="1812"/>
      <c r="G2" s="1812"/>
      <c r="H2" s="1812"/>
      <c r="I2" s="1812"/>
      <c r="J2" s="1812"/>
      <c r="K2" s="1812"/>
      <c r="L2" s="1812"/>
      <c r="M2" s="1812"/>
      <c r="N2" s="1812"/>
      <c r="O2" s="1812"/>
      <c r="P2" s="1812"/>
      <c r="Q2" s="1812"/>
      <c r="R2" s="1812"/>
      <c r="S2" s="1812"/>
      <c r="T2" s="1812"/>
      <c r="U2" s="1812"/>
      <c r="V2" s="1812"/>
      <c r="W2" s="1812"/>
      <c r="X2" s="1812"/>
      <c r="Y2" s="1812"/>
      <c r="Z2" s="1812"/>
      <c r="AA2" s="1812"/>
      <c r="AB2" s="1812"/>
      <c r="AC2" s="1812"/>
      <c r="AD2" s="1812"/>
      <c r="AE2" s="1812"/>
      <c r="AF2" s="1812"/>
      <c r="AG2" s="1868"/>
      <c r="AH2" s="1868"/>
      <c r="AI2" s="1868"/>
      <c r="AJ2" s="1868"/>
      <c r="AK2" s="1868"/>
      <c r="AL2" s="1868"/>
      <c r="AM2" s="1868"/>
      <c r="AN2" s="1868"/>
      <c r="AO2" s="1868"/>
      <c r="AP2" s="1868"/>
      <c r="AQ2" s="1868"/>
      <c r="AR2" s="1868"/>
      <c r="AV2" s="1811" t="s">
        <v>2626</v>
      </c>
      <c r="AW2" s="1812"/>
      <c r="AX2" s="1812"/>
      <c r="AY2" s="1812"/>
      <c r="AZ2" s="1812"/>
      <c r="BA2" s="1812"/>
      <c r="BB2" s="1812"/>
      <c r="BC2" s="1812"/>
      <c r="BD2" s="1812"/>
      <c r="BE2" s="1812"/>
      <c r="BF2" s="1812"/>
      <c r="BG2" s="1812"/>
      <c r="BH2" s="1812"/>
      <c r="BI2" s="1812"/>
      <c r="BJ2" s="1812"/>
      <c r="BK2" s="1812"/>
      <c r="BL2" s="1812"/>
      <c r="BM2" s="1812"/>
      <c r="BN2" s="1812"/>
      <c r="BO2" s="1812"/>
      <c r="BP2" s="1812"/>
      <c r="BQ2" s="1812"/>
      <c r="BR2" s="1812"/>
      <c r="BS2" s="1812"/>
      <c r="BT2" s="1812"/>
      <c r="BU2" s="1812"/>
      <c r="BV2" s="1812"/>
      <c r="BW2" s="1812"/>
      <c r="BX2" s="1812"/>
      <c r="BY2" s="1812"/>
      <c r="BZ2" s="1812"/>
      <c r="CC2" s="1811" t="s">
        <v>2627</v>
      </c>
      <c r="CD2" s="1812"/>
      <c r="CE2" s="1812"/>
      <c r="CF2" s="1812"/>
      <c r="CG2" s="1812"/>
      <c r="CH2" s="1812"/>
      <c r="CI2" s="1812"/>
      <c r="CJ2" s="1812"/>
      <c r="CK2" s="1812"/>
      <c r="CL2" s="1812"/>
      <c r="CM2" s="1812"/>
      <c r="CN2" s="1812"/>
      <c r="CO2" s="1812"/>
      <c r="CP2" s="1812"/>
      <c r="CQ2" s="1812"/>
      <c r="CR2" s="1812"/>
      <c r="CS2" s="1812"/>
      <c r="CT2" s="1812"/>
      <c r="CU2" s="1812"/>
      <c r="CV2" s="1812"/>
      <c r="CW2" s="1812"/>
      <c r="CX2" s="1812"/>
      <c r="CY2" s="1812"/>
      <c r="CZ2" s="1812"/>
      <c r="DA2" s="1812"/>
      <c r="DB2" s="1812"/>
      <c r="DC2" s="1812"/>
      <c r="DD2" s="1812"/>
      <c r="DE2" s="1812"/>
      <c r="DF2" s="1812"/>
      <c r="DG2" s="1812"/>
      <c r="DK2" s="589" t="s">
        <v>1598</v>
      </c>
      <c r="DL2" s="590"/>
      <c r="DM2" s="590"/>
      <c r="DN2" s="590"/>
      <c r="DO2" s="590"/>
      <c r="DP2" s="590"/>
      <c r="DQ2" s="590"/>
      <c r="DR2" s="590"/>
      <c r="DS2" s="590"/>
      <c r="DT2" s="590"/>
      <c r="DU2" s="590"/>
      <c r="DV2" s="590"/>
      <c r="DW2" s="804"/>
      <c r="DX2" s="804"/>
      <c r="DY2" s="804"/>
      <c r="DZ2" s="804"/>
      <c r="EA2" s="804"/>
      <c r="EB2" s="804"/>
      <c r="EC2" s="804"/>
      <c r="ED2" s="804"/>
      <c r="EE2" s="804"/>
      <c r="EF2" s="804"/>
      <c r="EG2" s="804"/>
      <c r="EH2" s="804"/>
      <c r="EI2" s="804"/>
      <c r="EJ2" s="804"/>
      <c r="EK2" s="804"/>
      <c r="EL2" s="804"/>
      <c r="EM2" s="804"/>
      <c r="EN2" s="804"/>
      <c r="EO2" s="804"/>
    </row>
    <row r="3" spans="1:145" ht="17.25" thickBot="1"/>
    <row r="4" spans="1:145">
      <c r="B4" s="228"/>
      <c r="C4" s="164"/>
      <c r="D4" s="164"/>
      <c r="E4" s="164"/>
      <c r="F4" s="164"/>
      <c r="G4" s="164"/>
      <c r="H4" s="164"/>
      <c r="I4" s="164"/>
      <c r="J4" s="164"/>
      <c r="K4" s="164"/>
      <c r="L4" s="164"/>
      <c r="M4" s="164"/>
      <c r="N4" s="164"/>
      <c r="O4" s="164"/>
      <c r="P4" s="164"/>
      <c r="Q4" s="164"/>
      <c r="R4" s="164"/>
      <c r="S4" s="164"/>
      <c r="T4" s="164"/>
      <c r="U4" s="164"/>
      <c r="V4" s="164"/>
      <c r="W4" s="164"/>
      <c r="X4" s="164"/>
      <c r="Y4" s="164"/>
      <c r="Z4" s="164"/>
      <c r="AA4" s="164"/>
      <c r="AB4" s="164"/>
      <c r="AC4" s="164"/>
      <c r="AD4" s="164"/>
      <c r="AE4" s="164"/>
      <c r="AF4" s="164"/>
      <c r="AG4" s="164"/>
      <c r="AH4" s="164"/>
      <c r="AI4" s="164"/>
      <c r="AJ4" s="164"/>
      <c r="AK4" s="164"/>
      <c r="AL4" s="164"/>
      <c r="AM4" s="164"/>
      <c r="AN4" s="164"/>
      <c r="AO4" s="164"/>
      <c r="AP4" s="164"/>
      <c r="AQ4" s="164"/>
      <c r="AR4" s="165"/>
      <c r="AV4" s="228"/>
      <c r="AW4" s="164"/>
      <c r="AX4" s="164"/>
      <c r="AY4" s="164"/>
      <c r="AZ4" s="164"/>
      <c r="BA4" s="164"/>
      <c r="BB4" s="164"/>
      <c r="BC4" s="164"/>
      <c r="BD4" s="164"/>
      <c r="BE4" s="164"/>
      <c r="BF4" s="164"/>
      <c r="BG4" s="164"/>
      <c r="BH4" s="164"/>
      <c r="BI4" s="164"/>
      <c r="BJ4" s="164"/>
      <c r="BK4" s="164"/>
      <c r="BL4" s="164"/>
      <c r="BM4" s="164"/>
      <c r="BN4" s="164"/>
      <c r="BO4" s="164"/>
      <c r="BP4" s="164"/>
      <c r="BQ4" s="164"/>
      <c r="BR4" s="164"/>
      <c r="BS4" s="164"/>
      <c r="BT4" s="164"/>
      <c r="BU4" s="164"/>
      <c r="BV4" s="164"/>
      <c r="BW4" s="164"/>
      <c r="BX4" s="164"/>
      <c r="BY4" s="164"/>
      <c r="BZ4" s="165"/>
      <c r="CC4" s="228"/>
      <c r="CD4" s="164"/>
      <c r="CE4" s="164"/>
      <c r="CF4" s="164"/>
      <c r="CG4" s="164"/>
      <c r="CH4" s="164"/>
      <c r="CI4" s="164"/>
      <c r="CJ4" s="164"/>
      <c r="CK4" s="164"/>
      <c r="CL4" s="164"/>
      <c r="CM4" s="164"/>
      <c r="CN4" s="164"/>
      <c r="CO4" s="164"/>
      <c r="CP4" s="164"/>
      <c r="CQ4" s="164"/>
      <c r="CR4" s="164"/>
      <c r="CS4" s="164"/>
      <c r="CT4" s="164"/>
      <c r="CU4" s="164"/>
      <c r="CV4" s="164"/>
      <c r="CW4" s="164"/>
      <c r="CX4" s="164"/>
      <c r="CY4" s="164"/>
      <c r="CZ4" s="164"/>
      <c r="DA4" s="164"/>
      <c r="DB4" s="164"/>
      <c r="DC4" s="164"/>
      <c r="DD4" s="164"/>
      <c r="DE4" s="164"/>
      <c r="DF4" s="164"/>
      <c r="DG4" s="165"/>
      <c r="DK4" s="805"/>
      <c r="DL4" s="806"/>
      <c r="DM4" s="806"/>
      <c r="DN4" s="806"/>
      <c r="DO4" s="806"/>
      <c r="DP4" s="806"/>
      <c r="DQ4" s="806"/>
      <c r="DR4" s="806"/>
      <c r="DS4" s="806"/>
      <c r="DT4" s="806"/>
      <c r="DU4" s="806"/>
      <c r="DV4" s="807"/>
    </row>
    <row r="5" spans="1:145">
      <c r="B5" s="166"/>
      <c r="C5" s="167"/>
      <c r="D5" s="167"/>
      <c r="E5" s="167"/>
      <c r="F5" s="167"/>
      <c r="G5" s="167"/>
      <c r="H5" s="167"/>
      <c r="I5" s="167"/>
      <c r="J5" s="167"/>
      <c r="K5" s="167"/>
      <c r="L5" s="167"/>
      <c r="M5" s="167"/>
      <c r="N5" s="167"/>
      <c r="O5" s="167"/>
      <c r="P5" s="167"/>
      <c r="Q5" s="167"/>
      <c r="R5" s="167"/>
      <c r="S5" s="167"/>
      <c r="T5" s="167"/>
      <c r="U5" s="167"/>
      <c r="V5" s="167"/>
      <c r="W5" s="167"/>
      <c r="X5" s="167"/>
      <c r="Y5" s="167"/>
      <c r="Z5" s="167"/>
      <c r="AA5" s="167"/>
      <c r="AB5" s="167"/>
      <c r="AC5" s="167"/>
      <c r="AD5" s="167"/>
      <c r="AE5" s="167"/>
      <c r="AF5" s="167"/>
      <c r="AG5" s="167"/>
      <c r="AH5" s="167"/>
      <c r="AI5" s="167"/>
      <c r="AJ5" s="167"/>
      <c r="AK5" s="167"/>
      <c r="AL5" s="167"/>
      <c r="AM5" s="167"/>
      <c r="AN5" s="167"/>
      <c r="AO5" s="167"/>
      <c r="AP5" s="167"/>
      <c r="AQ5" s="167"/>
      <c r="AR5" s="168"/>
      <c r="AV5" s="166"/>
      <c r="AW5" s="167"/>
      <c r="AX5" s="167"/>
      <c r="AY5" s="167"/>
      <c r="AZ5" s="167"/>
      <c r="BA5" s="167"/>
      <c r="BB5" s="167"/>
      <c r="BC5" s="167"/>
      <c r="BD5" s="167"/>
      <c r="BE5" s="167"/>
      <c r="BF5" s="167"/>
      <c r="BG5" s="167"/>
      <c r="BH5" s="167"/>
      <c r="BI5" s="167"/>
      <c r="BJ5" s="167"/>
      <c r="BK5" s="167"/>
      <c r="BL5" s="167"/>
      <c r="BM5" s="167"/>
      <c r="BN5" s="167"/>
      <c r="BO5" s="167"/>
      <c r="BP5" s="167"/>
      <c r="BQ5" s="167"/>
      <c r="BR5" s="167"/>
      <c r="BS5" s="167"/>
      <c r="BT5" s="167"/>
      <c r="BU5" s="167"/>
      <c r="BV5" s="167"/>
      <c r="BW5" s="167"/>
      <c r="BX5" s="167"/>
      <c r="BY5" s="167"/>
      <c r="BZ5" s="168"/>
      <c r="CC5" s="166"/>
      <c r="CD5" s="167"/>
      <c r="CE5" s="167"/>
      <c r="CF5" s="167"/>
      <c r="CG5" s="167"/>
      <c r="CH5" s="167"/>
      <c r="CI5" s="167"/>
      <c r="CJ5" s="167"/>
      <c r="CK5" s="167"/>
      <c r="CL5" s="167"/>
      <c r="CM5" s="167"/>
      <c r="CN5" s="167"/>
      <c r="CO5" s="167"/>
      <c r="CP5" s="167"/>
      <c r="CQ5" s="167"/>
      <c r="CR5" s="167"/>
      <c r="CS5" s="167"/>
      <c r="CT5" s="167"/>
      <c r="CU5" s="167"/>
      <c r="CV5" s="167"/>
      <c r="CW5" s="167"/>
      <c r="CX5" s="167"/>
      <c r="CY5" s="167"/>
      <c r="CZ5" s="167"/>
      <c r="DA5" s="167"/>
      <c r="DB5" s="167"/>
      <c r="DC5" s="167"/>
      <c r="DD5" s="167"/>
      <c r="DE5" s="167"/>
      <c r="DF5" s="167"/>
      <c r="DG5" s="168"/>
      <c r="DK5" s="170"/>
      <c r="DV5" s="171"/>
    </row>
    <row r="6" spans="1:145">
      <c r="B6" s="166"/>
      <c r="C6" s="167"/>
      <c r="D6" s="167"/>
      <c r="E6" s="167"/>
      <c r="F6" s="167"/>
      <c r="G6" s="167"/>
      <c r="H6" s="167"/>
      <c r="I6" s="167"/>
      <c r="J6" s="167"/>
      <c r="K6" s="167"/>
      <c r="L6" s="167"/>
      <c r="M6" s="167"/>
      <c r="N6" s="167"/>
      <c r="O6" s="167"/>
      <c r="P6" s="167"/>
      <c r="Q6" s="167"/>
      <c r="R6" s="167"/>
      <c r="S6" s="167"/>
      <c r="T6" s="167"/>
      <c r="U6" s="167"/>
      <c r="V6" s="167"/>
      <c r="W6" s="167"/>
      <c r="X6" s="167"/>
      <c r="Y6" s="167"/>
      <c r="Z6" s="167"/>
      <c r="AA6" s="167"/>
      <c r="AB6" s="167"/>
      <c r="AC6" s="167"/>
      <c r="AD6" s="167"/>
      <c r="AE6" s="167"/>
      <c r="AF6" s="167"/>
      <c r="AG6" s="167"/>
      <c r="AH6" s="167"/>
      <c r="AI6" s="167"/>
      <c r="AJ6" s="167"/>
      <c r="AK6" s="167"/>
      <c r="AL6" s="167"/>
      <c r="AM6" s="167"/>
      <c r="AN6" s="167"/>
      <c r="AO6" s="167"/>
      <c r="AP6" s="167"/>
      <c r="AQ6" s="167"/>
      <c r="AR6" s="168"/>
      <c r="AV6" s="166"/>
      <c r="AW6" s="167"/>
      <c r="AX6" s="167"/>
      <c r="AY6" s="167"/>
      <c r="AZ6" s="167"/>
      <c r="BA6" s="167"/>
      <c r="BB6" s="167"/>
      <c r="BC6" s="167"/>
      <c r="BD6" s="167"/>
      <c r="BE6" s="167"/>
      <c r="BF6" s="167"/>
      <c r="BG6" s="167"/>
      <c r="BH6" s="167"/>
      <c r="BI6" s="167"/>
      <c r="BJ6" s="167"/>
      <c r="BK6" s="167"/>
      <c r="BL6" s="167"/>
      <c r="BM6" s="167"/>
      <c r="BN6" s="167"/>
      <c r="BO6" s="167"/>
      <c r="BP6" s="167"/>
      <c r="BQ6" s="167"/>
      <c r="BR6" s="167"/>
      <c r="BS6" s="167"/>
      <c r="BT6" s="167"/>
      <c r="BU6" s="167"/>
      <c r="BV6" s="167"/>
      <c r="BW6" s="167"/>
      <c r="BX6" s="167"/>
      <c r="BY6" s="167"/>
      <c r="BZ6" s="168"/>
      <c r="CC6" s="166"/>
      <c r="CD6" s="167"/>
      <c r="CE6" s="167"/>
      <c r="CF6" s="167"/>
      <c r="CG6" s="167"/>
      <c r="CH6" s="167"/>
      <c r="CI6" s="167"/>
      <c r="CJ6" s="167"/>
      <c r="CK6" s="167"/>
      <c r="CL6" s="167"/>
      <c r="CM6" s="167"/>
      <c r="CN6" s="167"/>
      <c r="CO6" s="167"/>
      <c r="CP6" s="167"/>
      <c r="CQ6" s="167"/>
      <c r="CR6" s="167"/>
      <c r="CS6" s="167"/>
      <c r="CT6" s="167"/>
      <c r="CU6" s="167"/>
      <c r="CV6" s="167"/>
      <c r="CW6" s="167"/>
      <c r="CX6" s="167"/>
      <c r="CY6" s="167"/>
      <c r="CZ6" s="167"/>
      <c r="DA6" s="167"/>
      <c r="DB6" s="167"/>
      <c r="DC6" s="167"/>
      <c r="DD6" s="167"/>
      <c r="DE6" s="167"/>
      <c r="DF6" s="167"/>
      <c r="DG6" s="168"/>
      <c r="DK6" s="170"/>
      <c r="DV6" s="171"/>
    </row>
    <row r="7" spans="1:145">
      <c r="B7" s="166"/>
      <c r="C7" s="167"/>
      <c r="D7" s="167"/>
      <c r="E7" s="167"/>
      <c r="F7" s="167"/>
      <c r="G7" s="167"/>
      <c r="H7" s="167"/>
      <c r="I7" s="167"/>
      <c r="J7" s="167"/>
      <c r="K7" s="167"/>
      <c r="L7" s="167"/>
      <c r="M7" s="167"/>
      <c r="N7" s="167"/>
      <c r="O7" s="167"/>
      <c r="P7" s="167"/>
      <c r="Q7" s="167"/>
      <c r="R7" s="167"/>
      <c r="S7" s="167"/>
      <c r="T7" s="167"/>
      <c r="U7" s="167"/>
      <c r="V7" s="167"/>
      <c r="W7" s="167"/>
      <c r="X7" s="167"/>
      <c r="Y7" s="167"/>
      <c r="Z7" s="167"/>
      <c r="AA7" s="167"/>
      <c r="AB7" s="167"/>
      <c r="AC7" s="167"/>
      <c r="AD7" s="167"/>
      <c r="AE7" s="167"/>
      <c r="AF7" s="167"/>
      <c r="AG7" s="167"/>
      <c r="AH7" s="167"/>
      <c r="AI7" s="167"/>
      <c r="AJ7" s="167"/>
      <c r="AK7" s="167"/>
      <c r="AL7" s="167"/>
      <c r="AM7" s="167"/>
      <c r="AN7" s="167"/>
      <c r="AO7" s="167"/>
      <c r="AP7" s="167"/>
      <c r="AQ7" s="167"/>
      <c r="AR7" s="168"/>
      <c r="AV7" s="166"/>
      <c r="AW7" s="167"/>
      <c r="AX7" s="167"/>
      <c r="AY7" s="167"/>
      <c r="AZ7" s="167"/>
      <c r="BA7" s="167"/>
      <c r="BB7" s="167"/>
      <c r="BC7" s="167"/>
      <c r="BD7" s="167"/>
      <c r="BE7" s="167"/>
      <c r="BF7" s="167"/>
      <c r="BG7" s="167"/>
      <c r="BH7" s="167"/>
      <c r="BI7" s="167"/>
      <c r="BJ7" s="167"/>
      <c r="BK7" s="167"/>
      <c r="BL7" s="167"/>
      <c r="BM7" s="167"/>
      <c r="BN7" s="167"/>
      <c r="BO7" s="167"/>
      <c r="BP7" s="167"/>
      <c r="BQ7" s="167"/>
      <c r="BR7" s="167"/>
      <c r="BS7" s="167"/>
      <c r="BT7" s="167"/>
      <c r="BU7" s="167"/>
      <c r="BV7" s="167"/>
      <c r="BW7" s="167"/>
      <c r="BX7" s="167"/>
      <c r="BY7" s="167"/>
      <c r="BZ7" s="168"/>
      <c r="CC7" s="166"/>
      <c r="CD7" s="167"/>
      <c r="CE7" s="167"/>
      <c r="CF7" s="167"/>
      <c r="CG7" s="167"/>
      <c r="CH7" s="167"/>
      <c r="CI7" s="167"/>
      <c r="CJ7" s="167"/>
      <c r="CK7" s="167"/>
      <c r="CL7" s="167"/>
      <c r="CM7" s="167"/>
      <c r="CN7" s="167"/>
      <c r="CO7" s="167"/>
      <c r="CP7" s="167"/>
      <c r="CQ7" s="167"/>
      <c r="CR7" s="167"/>
      <c r="CS7" s="167"/>
      <c r="CT7" s="167"/>
      <c r="CU7" s="167"/>
      <c r="CV7" s="167"/>
      <c r="CW7" s="167"/>
      <c r="CX7" s="167"/>
      <c r="CY7" s="167"/>
      <c r="CZ7" s="167"/>
      <c r="DA7" s="167"/>
      <c r="DB7" s="167"/>
      <c r="DC7" s="167"/>
      <c r="DD7" s="167"/>
      <c r="DE7" s="167"/>
      <c r="DF7" s="167"/>
      <c r="DG7" s="168"/>
      <c r="DK7" s="170"/>
      <c r="DV7" s="171"/>
    </row>
    <row r="8" spans="1:145">
      <c r="B8" s="166"/>
      <c r="C8" s="167"/>
      <c r="D8" s="167"/>
      <c r="E8" s="167"/>
      <c r="F8" s="167"/>
      <c r="G8" s="167"/>
      <c r="H8" s="167"/>
      <c r="I8" s="167"/>
      <c r="J8" s="167"/>
      <c r="K8" s="167"/>
      <c r="L8" s="167"/>
      <c r="M8" s="167"/>
      <c r="N8" s="167"/>
      <c r="O8" s="167"/>
      <c r="P8" s="167"/>
      <c r="Q8" s="167"/>
      <c r="R8" s="167"/>
      <c r="S8" s="167"/>
      <c r="T8" s="167"/>
      <c r="U8" s="167"/>
      <c r="V8" s="167"/>
      <c r="W8" s="167"/>
      <c r="X8" s="167"/>
      <c r="Y8" s="167"/>
      <c r="Z8" s="167"/>
      <c r="AA8" s="167"/>
      <c r="AB8" s="167"/>
      <c r="AC8" s="167"/>
      <c r="AD8" s="167"/>
      <c r="AE8" s="167"/>
      <c r="AF8" s="167"/>
      <c r="AG8" s="167"/>
      <c r="AH8" s="167"/>
      <c r="AI8" s="167"/>
      <c r="AJ8" s="167"/>
      <c r="AK8" s="167"/>
      <c r="AL8" s="167"/>
      <c r="AM8" s="167"/>
      <c r="AN8" s="167"/>
      <c r="AO8" s="167"/>
      <c r="AP8" s="167"/>
      <c r="AQ8" s="167"/>
      <c r="AR8" s="168"/>
      <c r="AV8" s="166"/>
      <c r="AW8" s="167"/>
      <c r="AX8" s="167"/>
      <c r="AY8" s="167"/>
      <c r="AZ8" s="167"/>
      <c r="BA8" s="167"/>
      <c r="BB8" s="167"/>
      <c r="BC8" s="167"/>
      <c r="BD8" s="167"/>
      <c r="BE8" s="167"/>
      <c r="BF8" s="167"/>
      <c r="BG8" s="167"/>
      <c r="BH8" s="167"/>
      <c r="BI8" s="167"/>
      <c r="BJ8" s="167"/>
      <c r="BK8" s="167"/>
      <c r="BL8" s="167"/>
      <c r="BM8" s="167"/>
      <c r="BN8" s="167"/>
      <c r="BO8" s="167"/>
      <c r="BP8" s="167"/>
      <c r="BQ8" s="167"/>
      <c r="BR8" s="167"/>
      <c r="BS8" s="167"/>
      <c r="BT8" s="167"/>
      <c r="BU8" s="167"/>
      <c r="BV8" s="167"/>
      <c r="BW8" s="167"/>
      <c r="BX8" s="167"/>
      <c r="BY8" s="167"/>
      <c r="BZ8" s="168"/>
      <c r="CC8" s="166"/>
      <c r="CD8" s="167"/>
      <c r="CE8" s="167"/>
      <c r="CF8" s="167"/>
      <c r="CG8" s="167"/>
      <c r="CH8" s="167"/>
      <c r="CI8" s="167"/>
      <c r="CJ8" s="167"/>
      <c r="CK8" s="167"/>
      <c r="CL8" s="167"/>
      <c r="CM8" s="167"/>
      <c r="CN8" s="167"/>
      <c r="CO8" s="167"/>
      <c r="CP8" s="167"/>
      <c r="CQ8" s="167"/>
      <c r="CR8" s="167"/>
      <c r="CS8" s="167"/>
      <c r="CT8" s="167"/>
      <c r="CU8" s="167"/>
      <c r="CV8" s="167"/>
      <c r="CW8" s="167"/>
      <c r="CX8" s="167"/>
      <c r="CY8" s="167"/>
      <c r="CZ8" s="167"/>
      <c r="DA8" s="167"/>
      <c r="DB8" s="167"/>
      <c r="DC8" s="167"/>
      <c r="DD8" s="167"/>
      <c r="DE8" s="167"/>
      <c r="DF8" s="167"/>
      <c r="DG8" s="168"/>
      <c r="DK8" s="170"/>
      <c r="DV8" s="171"/>
    </row>
    <row r="9" spans="1:145">
      <c r="B9" s="166"/>
      <c r="C9" s="167"/>
      <c r="D9" s="167"/>
      <c r="E9" s="167"/>
      <c r="F9" s="167"/>
      <c r="G9" s="167"/>
      <c r="H9" s="167"/>
      <c r="I9" s="167"/>
      <c r="J9" s="167"/>
      <c r="K9" s="167"/>
      <c r="L9" s="167"/>
      <c r="M9" s="167"/>
      <c r="N9" s="167"/>
      <c r="O9" s="167"/>
      <c r="P9" s="167"/>
      <c r="Q9" s="167"/>
      <c r="R9" s="167"/>
      <c r="S9" s="167"/>
      <c r="T9" s="167"/>
      <c r="U9" s="167"/>
      <c r="V9" s="167"/>
      <c r="W9" s="167"/>
      <c r="X9" s="167"/>
      <c r="Y9" s="167"/>
      <c r="Z9" s="167"/>
      <c r="AA9" s="167"/>
      <c r="AB9" s="167"/>
      <c r="AC9" s="167"/>
      <c r="AD9" s="167"/>
      <c r="AE9" s="167"/>
      <c r="AF9" s="167"/>
      <c r="AG9" s="167"/>
      <c r="AH9" s="167"/>
      <c r="AI9" s="167"/>
      <c r="AJ9" s="167"/>
      <c r="AK9" s="167"/>
      <c r="AL9" s="167"/>
      <c r="AM9" s="167"/>
      <c r="AN9" s="167"/>
      <c r="AO9" s="167"/>
      <c r="AP9" s="167"/>
      <c r="AQ9" s="167"/>
      <c r="AR9" s="168"/>
      <c r="AV9" s="166"/>
      <c r="AW9" s="167"/>
      <c r="AX9" s="167"/>
      <c r="AY9" s="167"/>
      <c r="AZ9" s="167"/>
      <c r="BA9" s="167"/>
      <c r="BB9" s="167"/>
      <c r="BC9" s="167"/>
      <c r="BD9" s="167"/>
      <c r="BE9" s="167"/>
      <c r="BF9" s="167"/>
      <c r="BG9" s="167"/>
      <c r="BH9" s="167"/>
      <c r="BI9" s="167"/>
      <c r="BJ9" s="167"/>
      <c r="BK9" s="167"/>
      <c r="BL9" s="167"/>
      <c r="BM9" s="167"/>
      <c r="BN9" s="167"/>
      <c r="BO9" s="167"/>
      <c r="BP9" s="167"/>
      <c r="BQ9" s="167"/>
      <c r="BR9" s="167"/>
      <c r="BS9" s="167"/>
      <c r="BT9" s="167"/>
      <c r="BU9" s="167"/>
      <c r="BV9" s="167"/>
      <c r="BW9" s="167"/>
      <c r="BX9" s="167"/>
      <c r="BY9" s="167"/>
      <c r="BZ9" s="168"/>
      <c r="CC9" s="166"/>
      <c r="CD9" s="167"/>
      <c r="CE9" s="167"/>
      <c r="CF9" s="167"/>
      <c r="CG9" s="167"/>
      <c r="CH9" s="167"/>
      <c r="CI9" s="167"/>
      <c r="CJ9" s="167"/>
      <c r="CK9" s="167"/>
      <c r="CL9" s="167"/>
      <c r="CM9" s="167"/>
      <c r="CN9" s="167"/>
      <c r="CO9" s="167"/>
      <c r="CP9" s="167"/>
      <c r="CQ9" s="167"/>
      <c r="CR9" s="167"/>
      <c r="CS9" s="167"/>
      <c r="CT9" s="167"/>
      <c r="CU9" s="167"/>
      <c r="CV9" s="167"/>
      <c r="CW9" s="167"/>
      <c r="CX9" s="167"/>
      <c r="CY9" s="167"/>
      <c r="CZ9" s="167"/>
      <c r="DA9" s="167"/>
      <c r="DB9" s="167"/>
      <c r="DC9" s="167"/>
      <c r="DD9" s="167"/>
      <c r="DE9" s="167"/>
      <c r="DF9" s="167"/>
      <c r="DG9" s="168"/>
      <c r="DK9" s="170"/>
      <c r="DV9" s="171"/>
    </row>
    <row r="10" spans="1:145">
      <c r="B10" s="166"/>
      <c r="C10" s="167"/>
      <c r="D10" s="167"/>
      <c r="E10" s="167"/>
      <c r="F10" s="167"/>
      <c r="G10" s="167"/>
      <c r="H10" s="167"/>
      <c r="I10" s="167"/>
      <c r="J10" s="167"/>
      <c r="K10" s="167"/>
      <c r="L10" s="167"/>
      <c r="M10" s="167"/>
      <c r="N10" s="167"/>
      <c r="O10" s="167"/>
      <c r="P10" s="167"/>
      <c r="Q10" s="167"/>
      <c r="R10" s="167"/>
      <c r="S10" s="167"/>
      <c r="T10" s="167"/>
      <c r="U10" s="167"/>
      <c r="V10" s="167"/>
      <c r="W10" s="167"/>
      <c r="X10" s="167"/>
      <c r="Y10" s="167"/>
      <c r="Z10" s="167"/>
      <c r="AA10" s="167"/>
      <c r="AB10" s="167"/>
      <c r="AC10" s="167"/>
      <c r="AD10" s="167"/>
      <c r="AE10" s="167"/>
      <c r="AF10" s="167"/>
      <c r="AG10" s="167"/>
      <c r="AH10" s="167"/>
      <c r="AI10" s="167"/>
      <c r="AJ10" s="167"/>
      <c r="AK10" s="167"/>
      <c r="AL10" s="167"/>
      <c r="AM10" s="167"/>
      <c r="AN10" s="167"/>
      <c r="AO10" s="167"/>
      <c r="AP10" s="167"/>
      <c r="AQ10" s="167"/>
      <c r="AR10" s="168"/>
      <c r="AV10" s="166"/>
      <c r="AW10" s="167"/>
      <c r="AX10" s="167"/>
      <c r="AY10" s="167"/>
      <c r="AZ10" s="167"/>
      <c r="BA10" s="167"/>
      <c r="BB10" s="167"/>
      <c r="BC10" s="167"/>
      <c r="BD10" s="167"/>
      <c r="BE10" s="167"/>
      <c r="BF10" s="167"/>
      <c r="BG10" s="167"/>
      <c r="BH10" s="167"/>
      <c r="BI10" s="167"/>
      <c r="BJ10" s="167"/>
      <c r="BK10" s="167"/>
      <c r="BL10" s="167"/>
      <c r="BM10" s="167"/>
      <c r="BN10" s="167"/>
      <c r="BO10" s="167"/>
      <c r="BP10" s="167"/>
      <c r="BQ10" s="167"/>
      <c r="BR10" s="167"/>
      <c r="BS10" s="167"/>
      <c r="BT10" s="167"/>
      <c r="BU10" s="167"/>
      <c r="BV10" s="167"/>
      <c r="BW10" s="167"/>
      <c r="BX10" s="167"/>
      <c r="BY10" s="167"/>
      <c r="BZ10" s="168"/>
      <c r="CC10" s="166"/>
      <c r="CD10" s="167"/>
      <c r="CE10" s="167"/>
      <c r="CF10" s="167"/>
      <c r="CG10" s="167"/>
      <c r="CH10" s="167"/>
      <c r="CI10" s="167"/>
      <c r="CJ10" s="167"/>
      <c r="CK10" s="167"/>
      <c r="CL10" s="167"/>
      <c r="CM10" s="167"/>
      <c r="CN10" s="167"/>
      <c r="CO10" s="167"/>
      <c r="CP10" s="167"/>
      <c r="CQ10" s="167"/>
      <c r="CR10" s="167"/>
      <c r="CS10" s="167"/>
      <c r="CT10" s="167"/>
      <c r="CU10" s="167"/>
      <c r="CV10" s="167"/>
      <c r="CW10" s="167"/>
      <c r="CX10" s="167"/>
      <c r="CY10" s="167"/>
      <c r="CZ10" s="167"/>
      <c r="DA10" s="167"/>
      <c r="DB10" s="167"/>
      <c r="DC10" s="167"/>
      <c r="DD10" s="167"/>
      <c r="DE10" s="167"/>
      <c r="DF10" s="167"/>
      <c r="DG10" s="168"/>
      <c r="DK10" s="170"/>
      <c r="DV10" s="171"/>
    </row>
    <row r="11" spans="1:145">
      <c r="B11" s="166"/>
      <c r="C11" s="167"/>
      <c r="D11" s="167"/>
      <c r="E11" s="167"/>
      <c r="F11" s="167"/>
      <c r="G11" s="167"/>
      <c r="H11" s="167"/>
      <c r="I11" s="167"/>
      <c r="J11" s="167"/>
      <c r="K11" s="167"/>
      <c r="L11" s="167"/>
      <c r="M11" s="167"/>
      <c r="N11" s="167"/>
      <c r="O11" s="167"/>
      <c r="P11" s="167"/>
      <c r="Q11" s="167"/>
      <c r="R11" s="167"/>
      <c r="S11" s="167"/>
      <c r="T11" s="167"/>
      <c r="U11" s="167"/>
      <c r="V11" s="167"/>
      <c r="W11" s="167"/>
      <c r="X11" s="167"/>
      <c r="Y11" s="167"/>
      <c r="Z11" s="167"/>
      <c r="AA11" s="167"/>
      <c r="AB11" s="167"/>
      <c r="AC11" s="167"/>
      <c r="AD11" s="167"/>
      <c r="AE11" s="167"/>
      <c r="AF11" s="167"/>
      <c r="AG11" s="167"/>
      <c r="AH11" s="167"/>
      <c r="AI11" s="167"/>
      <c r="AJ11" s="167"/>
      <c r="AK11" s="167"/>
      <c r="AL11" s="167"/>
      <c r="AM11" s="167"/>
      <c r="AN11" s="167"/>
      <c r="AO11" s="167"/>
      <c r="AP11" s="167"/>
      <c r="AQ11" s="167"/>
      <c r="AR11" s="168"/>
      <c r="AV11" s="166"/>
      <c r="AW11" s="167"/>
      <c r="AX11" s="167"/>
      <c r="AY11" s="167"/>
      <c r="AZ11" s="167"/>
      <c r="BA11" s="167"/>
      <c r="BB11" s="167"/>
      <c r="BC11" s="167"/>
      <c r="BD11" s="167"/>
      <c r="BE11" s="167"/>
      <c r="BF11" s="167"/>
      <c r="BG11" s="167"/>
      <c r="BH11" s="167"/>
      <c r="BI11" s="167"/>
      <c r="BJ11" s="167"/>
      <c r="BK11" s="167"/>
      <c r="BL11" s="167"/>
      <c r="BM11" s="167"/>
      <c r="BN11" s="167"/>
      <c r="BO11" s="167"/>
      <c r="BP11" s="167"/>
      <c r="BQ11" s="167"/>
      <c r="BR11" s="167"/>
      <c r="BS11" s="167"/>
      <c r="BT11" s="167"/>
      <c r="BU11" s="167"/>
      <c r="BV11" s="167"/>
      <c r="BW11" s="167"/>
      <c r="BX11" s="167"/>
      <c r="BY11" s="167"/>
      <c r="BZ11" s="168"/>
      <c r="CC11" s="166"/>
      <c r="CD11" s="167"/>
      <c r="CE11" s="167"/>
      <c r="CF11" s="167"/>
      <c r="CG11" s="167"/>
      <c r="CH11" s="167"/>
      <c r="CI11" s="167"/>
      <c r="CJ11" s="167"/>
      <c r="CK11" s="167"/>
      <c r="CL11" s="167"/>
      <c r="CM11" s="167"/>
      <c r="CN11" s="167"/>
      <c r="CO11" s="167"/>
      <c r="CP11" s="167"/>
      <c r="CQ11" s="167"/>
      <c r="CR11" s="167"/>
      <c r="CS11" s="167"/>
      <c r="CT11" s="167"/>
      <c r="CU11" s="167"/>
      <c r="CV11" s="167"/>
      <c r="CW11" s="167"/>
      <c r="CX11" s="167"/>
      <c r="CY11" s="167"/>
      <c r="CZ11" s="167"/>
      <c r="DA11" s="167"/>
      <c r="DB11" s="167"/>
      <c r="DC11" s="167"/>
      <c r="DD11" s="167"/>
      <c r="DE11" s="167"/>
      <c r="DF11" s="167"/>
      <c r="DG11" s="168"/>
      <c r="DK11" s="170"/>
      <c r="DV11" s="171"/>
    </row>
    <row r="12" spans="1:145">
      <c r="B12" s="166"/>
      <c r="C12" s="167"/>
      <c r="D12" s="167"/>
      <c r="E12" s="167"/>
      <c r="F12" s="167"/>
      <c r="G12" s="167"/>
      <c r="H12" s="167"/>
      <c r="I12" s="167"/>
      <c r="J12" s="167"/>
      <c r="K12" s="167"/>
      <c r="L12" s="167"/>
      <c r="M12" s="167"/>
      <c r="N12" s="167"/>
      <c r="O12" s="167"/>
      <c r="P12" s="167"/>
      <c r="Q12" s="167"/>
      <c r="R12" s="167"/>
      <c r="S12" s="167"/>
      <c r="T12" s="167"/>
      <c r="U12" s="167"/>
      <c r="V12" s="167"/>
      <c r="W12" s="167"/>
      <c r="X12" s="167"/>
      <c r="Y12" s="167"/>
      <c r="Z12" s="167"/>
      <c r="AA12" s="167"/>
      <c r="AB12" s="167"/>
      <c r="AC12" s="167"/>
      <c r="AD12" s="167"/>
      <c r="AE12" s="167"/>
      <c r="AF12" s="167"/>
      <c r="AG12" s="167"/>
      <c r="AH12" s="167"/>
      <c r="AI12" s="167"/>
      <c r="AJ12" s="167"/>
      <c r="AK12" s="167"/>
      <c r="AL12" s="167"/>
      <c r="AM12" s="167"/>
      <c r="AN12" s="167"/>
      <c r="AO12" s="167"/>
      <c r="AP12" s="167"/>
      <c r="AQ12" s="167"/>
      <c r="AR12" s="168"/>
      <c r="AV12" s="166"/>
      <c r="AW12" s="167"/>
      <c r="AX12" s="167"/>
      <c r="AY12" s="167"/>
      <c r="AZ12" s="167"/>
      <c r="BA12" s="167"/>
      <c r="BB12" s="167"/>
      <c r="BC12" s="167"/>
      <c r="BD12" s="167"/>
      <c r="BE12" s="167"/>
      <c r="BF12" s="167"/>
      <c r="BG12" s="167"/>
      <c r="BH12" s="167"/>
      <c r="BI12" s="167"/>
      <c r="BJ12" s="167"/>
      <c r="BK12" s="167"/>
      <c r="BL12" s="167"/>
      <c r="BM12" s="167"/>
      <c r="BN12" s="167"/>
      <c r="BO12" s="167"/>
      <c r="BP12" s="167"/>
      <c r="BQ12" s="167"/>
      <c r="BR12" s="167"/>
      <c r="BS12" s="167"/>
      <c r="BT12" s="167"/>
      <c r="BU12" s="167"/>
      <c r="BV12" s="167"/>
      <c r="BW12" s="167"/>
      <c r="BX12" s="167"/>
      <c r="BY12" s="167"/>
      <c r="BZ12" s="168"/>
      <c r="CC12" s="166"/>
      <c r="CD12" s="167"/>
      <c r="CE12" s="167"/>
      <c r="CF12" s="167"/>
      <c r="CG12" s="167"/>
      <c r="CH12" s="167"/>
      <c r="CI12" s="167"/>
      <c r="CJ12" s="167"/>
      <c r="CK12" s="167"/>
      <c r="CL12" s="167"/>
      <c r="CM12" s="167"/>
      <c r="CN12" s="167"/>
      <c r="CO12" s="167"/>
      <c r="CP12" s="167"/>
      <c r="CQ12" s="167"/>
      <c r="CR12" s="167"/>
      <c r="CS12" s="167"/>
      <c r="CT12" s="167"/>
      <c r="CU12" s="167"/>
      <c r="CV12" s="167"/>
      <c r="CW12" s="167"/>
      <c r="CX12" s="167"/>
      <c r="CY12" s="167"/>
      <c r="CZ12" s="167"/>
      <c r="DA12" s="167"/>
      <c r="DB12" s="167"/>
      <c r="DC12" s="167"/>
      <c r="DD12" s="167"/>
      <c r="DE12" s="167"/>
      <c r="DF12" s="167"/>
      <c r="DG12" s="168"/>
      <c r="DK12" s="170"/>
      <c r="DV12" s="171"/>
    </row>
    <row r="13" spans="1:145">
      <c r="B13" s="166"/>
      <c r="C13" s="167"/>
      <c r="D13" s="167"/>
      <c r="E13" s="167"/>
      <c r="F13" s="167"/>
      <c r="G13" s="167"/>
      <c r="H13" s="167"/>
      <c r="I13" s="167"/>
      <c r="J13" s="167"/>
      <c r="K13" s="167"/>
      <c r="L13" s="167"/>
      <c r="M13" s="167"/>
      <c r="N13" s="167"/>
      <c r="O13" s="167"/>
      <c r="P13" s="167"/>
      <c r="Q13" s="167"/>
      <c r="R13" s="167"/>
      <c r="S13" s="167"/>
      <c r="T13" s="167"/>
      <c r="U13" s="167"/>
      <c r="V13" s="167"/>
      <c r="W13" s="167"/>
      <c r="X13" s="167"/>
      <c r="Y13" s="167"/>
      <c r="Z13" s="167"/>
      <c r="AA13" s="167"/>
      <c r="AB13" s="167"/>
      <c r="AC13" s="167"/>
      <c r="AD13" s="167"/>
      <c r="AE13" s="167"/>
      <c r="AF13" s="167"/>
      <c r="AG13" s="167"/>
      <c r="AH13" s="167"/>
      <c r="AI13" s="167"/>
      <c r="AJ13" s="167"/>
      <c r="AK13" s="167"/>
      <c r="AL13" s="167"/>
      <c r="AM13" s="167"/>
      <c r="AN13" s="167"/>
      <c r="AO13" s="167"/>
      <c r="AP13" s="167"/>
      <c r="AQ13" s="167"/>
      <c r="AR13" s="168"/>
      <c r="AV13" s="166"/>
      <c r="AW13" s="167"/>
      <c r="AX13" s="167"/>
      <c r="AY13" s="167"/>
      <c r="AZ13" s="167"/>
      <c r="BA13" s="167"/>
      <c r="BB13" s="167"/>
      <c r="BC13" s="167"/>
      <c r="BD13" s="167"/>
      <c r="BE13" s="167"/>
      <c r="BF13" s="167"/>
      <c r="BG13" s="167"/>
      <c r="BH13" s="167"/>
      <c r="BI13" s="167"/>
      <c r="BJ13" s="167"/>
      <c r="BK13" s="167"/>
      <c r="BL13" s="167"/>
      <c r="BM13" s="167"/>
      <c r="BN13" s="167"/>
      <c r="BO13" s="167"/>
      <c r="BP13" s="167"/>
      <c r="BQ13" s="167"/>
      <c r="BR13" s="167"/>
      <c r="BS13" s="167"/>
      <c r="BT13" s="167"/>
      <c r="BU13" s="167"/>
      <c r="BV13" s="167"/>
      <c r="BW13" s="167"/>
      <c r="BX13" s="167"/>
      <c r="BY13" s="167"/>
      <c r="BZ13" s="168"/>
      <c r="CC13" s="166"/>
      <c r="CD13" s="167"/>
      <c r="CE13" s="167"/>
      <c r="CF13" s="167"/>
      <c r="CG13" s="167"/>
      <c r="CH13" s="167"/>
      <c r="CI13" s="167"/>
      <c r="CJ13" s="167"/>
      <c r="CK13" s="167"/>
      <c r="CL13" s="167"/>
      <c r="CM13" s="167"/>
      <c r="CN13" s="167"/>
      <c r="CO13" s="167"/>
      <c r="CP13" s="167"/>
      <c r="CQ13" s="167"/>
      <c r="CR13" s="167"/>
      <c r="CS13" s="167"/>
      <c r="CT13" s="167"/>
      <c r="CU13" s="167"/>
      <c r="CV13" s="167"/>
      <c r="CW13" s="167"/>
      <c r="CX13" s="167"/>
      <c r="CY13" s="167"/>
      <c r="CZ13" s="167"/>
      <c r="DA13" s="167"/>
      <c r="DB13" s="167"/>
      <c r="DC13" s="167"/>
      <c r="DD13" s="167"/>
      <c r="DE13" s="167"/>
      <c r="DF13" s="167"/>
      <c r="DG13" s="168"/>
      <c r="DK13" s="170"/>
      <c r="DV13" s="171"/>
    </row>
    <row r="14" spans="1:145">
      <c r="B14" s="166"/>
      <c r="C14" s="167"/>
      <c r="D14" s="167"/>
      <c r="E14" s="167"/>
      <c r="F14" s="167"/>
      <c r="G14" s="167"/>
      <c r="H14" s="167"/>
      <c r="I14" s="167"/>
      <c r="J14" s="167"/>
      <c r="K14" s="167"/>
      <c r="L14" s="167"/>
      <c r="M14" s="167"/>
      <c r="N14" s="167"/>
      <c r="O14" s="167"/>
      <c r="P14" s="167"/>
      <c r="Q14" s="167"/>
      <c r="R14" s="167"/>
      <c r="S14" s="167"/>
      <c r="T14" s="167"/>
      <c r="U14" s="167"/>
      <c r="V14" s="167"/>
      <c r="W14" s="167"/>
      <c r="X14" s="167"/>
      <c r="Y14" s="167"/>
      <c r="Z14" s="167"/>
      <c r="AA14" s="167"/>
      <c r="AB14" s="167"/>
      <c r="AC14" s="167"/>
      <c r="AD14" s="167"/>
      <c r="AE14" s="167"/>
      <c r="AF14" s="167"/>
      <c r="AG14" s="167"/>
      <c r="AH14" s="167"/>
      <c r="AI14" s="167"/>
      <c r="AJ14" s="167"/>
      <c r="AK14" s="167"/>
      <c r="AL14" s="167"/>
      <c r="AM14" s="167"/>
      <c r="AN14" s="167"/>
      <c r="AO14" s="167"/>
      <c r="AP14" s="167"/>
      <c r="AQ14" s="167"/>
      <c r="AR14" s="168"/>
      <c r="AV14" s="166"/>
      <c r="AW14" s="167"/>
      <c r="AX14" s="167"/>
      <c r="AY14" s="167"/>
      <c r="AZ14" s="167"/>
      <c r="BA14" s="167"/>
      <c r="BB14" s="167"/>
      <c r="BC14" s="167"/>
      <c r="BD14" s="167"/>
      <c r="BE14" s="167"/>
      <c r="BF14" s="167"/>
      <c r="BG14" s="167"/>
      <c r="BH14" s="167"/>
      <c r="BI14" s="167"/>
      <c r="BJ14" s="167"/>
      <c r="BK14" s="167"/>
      <c r="BL14" s="167"/>
      <c r="BM14" s="167"/>
      <c r="BN14" s="167"/>
      <c r="BO14" s="167"/>
      <c r="BP14" s="167"/>
      <c r="BQ14" s="167"/>
      <c r="BR14" s="167"/>
      <c r="BS14" s="167"/>
      <c r="BT14" s="167"/>
      <c r="BU14" s="167"/>
      <c r="BV14" s="167"/>
      <c r="BW14" s="167"/>
      <c r="BX14" s="167"/>
      <c r="BY14" s="167"/>
      <c r="BZ14" s="168"/>
      <c r="CC14" s="166"/>
      <c r="CD14" s="167"/>
      <c r="CE14" s="167"/>
      <c r="CF14" s="167"/>
      <c r="CG14" s="167"/>
      <c r="CH14" s="167"/>
      <c r="CI14" s="167"/>
      <c r="CJ14" s="167"/>
      <c r="CK14" s="167"/>
      <c r="CL14" s="167"/>
      <c r="CM14" s="167"/>
      <c r="CN14" s="167"/>
      <c r="CO14" s="167"/>
      <c r="CP14" s="167"/>
      <c r="CQ14" s="167"/>
      <c r="CR14" s="167"/>
      <c r="CS14" s="167"/>
      <c r="CT14" s="167"/>
      <c r="CU14" s="167"/>
      <c r="CV14" s="167"/>
      <c r="CW14" s="167"/>
      <c r="CX14" s="167"/>
      <c r="CY14" s="167"/>
      <c r="CZ14" s="167"/>
      <c r="DA14" s="167"/>
      <c r="DB14" s="167"/>
      <c r="DC14" s="167"/>
      <c r="DD14" s="167"/>
      <c r="DE14" s="167"/>
      <c r="DF14" s="167"/>
      <c r="DG14" s="168"/>
      <c r="DK14" s="170"/>
      <c r="DV14" s="171"/>
    </row>
    <row r="15" spans="1:145">
      <c r="B15" s="166"/>
      <c r="C15" s="167"/>
      <c r="D15" s="167"/>
      <c r="E15" s="167"/>
      <c r="F15" s="167"/>
      <c r="G15" s="167"/>
      <c r="H15" s="167"/>
      <c r="I15" s="167"/>
      <c r="J15" s="167"/>
      <c r="K15" s="167"/>
      <c r="L15" s="167"/>
      <c r="M15" s="167"/>
      <c r="N15" s="167"/>
      <c r="O15" s="167"/>
      <c r="P15" s="167"/>
      <c r="Q15" s="167"/>
      <c r="R15" s="167"/>
      <c r="S15" s="167"/>
      <c r="T15" s="167"/>
      <c r="U15" s="167"/>
      <c r="V15" s="167"/>
      <c r="W15" s="167"/>
      <c r="X15" s="167"/>
      <c r="Y15" s="167"/>
      <c r="Z15" s="167"/>
      <c r="AA15" s="167"/>
      <c r="AB15" s="167"/>
      <c r="AC15" s="167"/>
      <c r="AD15" s="167"/>
      <c r="AE15" s="167"/>
      <c r="AF15" s="167"/>
      <c r="AG15" s="167"/>
      <c r="AH15" s="167"/>
      <c r="AI15" s="167"/>
      <c r="AJ15" s="167"/>
      <c r="AK15" s="167"/>
      <c r="AL15" s="167"/>
      <c r="AM15" s="167"/>
      <c r="AN15" s="167"/>
      <c r="AO15" s="167"/>
      <c r="AP15" s="167"/>
      <c r="AQ15" s="167"/>
      <c r="AR15" s="168"/>
      <c r="AV15" s="166"/>
      <c r="AW15" s="167"/>
      <c r="AX15" s="167"/>
      <c r="AY15" s="167"/>
      <c r="AZ15" s="167"/>
      <c r="BA15" s="167"/>
      <c r="BB15" s="167"/>
      <c r="BC15" s="167"/>
      <c r="BD15" s="167"/>
      <c r="BE15" s="167"/>
      <c r="BF15" s="167"/>
      <c r="BG15" s="167"/>
      <c r="BH15" s="167"/>
      <c r="BI15" s="167"/>
      <c r="BJ15" s="167"/>
      <c r="BK15" s="167"/>
      <c r="BL15" s="167"/>
      <c r="BM15" s="167"/>
      <c r="BN15" s="167"/>
      <c r="BO15" s="167"/>
      <c r="BP15" s="167"/>
      <c r="BQ15" s="167"/>
      <c r="BR15" s="167"/>
      <c r="BS15" s="167"/>
      <c r="BT15" s="167"/>
      <c r="BU15" s="167"/>
      <c r="BV15" s="167"/>
      <c r="BW15" s="167"/>
      <c r="BX15" s="167"/>
      <c r="BY15" s="167"/>
      <c r="BZ15" s="168"/>
      <c r="CC15" s="166"/>
      <c r="CD15" s="167"/>
      <c r="CE15" s="167"/>
      <c r="CF15" s="167"/>
      <c r="CG15" s="167"/>
      <c r="CH15" s="167"/>
      <c r="CI15" s="167"/>
      <c r="CJ15" s="167"/>
      <c r="CK15" s="167"/>
      <c r="CL15" s="167"/>
      <c r="CM15" s="167"/>
      <c r="CN15" s="167"/>
      <c r="CO15" s="167"/>
      <c r="CP15" s="167"/>
      <c r="CQ15" s="167"/>
      <c r="CR15" s="167"/>
      <c r="CS15" s="167"/>
      <c r="CT15" s="167"/>
      <c r="CU15" s="167"/>
      <c r="CV15" s="167"/>
      <c r="CW15" s="167"/>
      <c r="CX15" s="167"/>
      <c r="CY15" s="167"/>
      <c r="CZ15" s="167"/>
      <c r="DA15" s="167"/>
      <c r="DB15" s="167"/>
      <c r="DC15" s="167"/>
      <c r="DD15" s="167"/>
      <c r="DE15" s="167"/>
      <c r="DF15" s="167"/>
      <c r="DG15" s="168"/>
      <c r="DK15" s="170"/>
      <c r="DV15" s="171"/>
    </row>
    <row r="16" spans="1:145">
      <c r="B16" s="166"/>
      <c r="C16" s="167"/>
      <c r="D16" s="167"/>
      <c r="E16" s="167"/>
      <c r="F16" s="167"/>
      <c r="G16" s="167"/>
      <c r="H16" s="167"/>
      <c r="I16" s="167"/>
      <c r="J16" s="167"/>
      <c r="K16" s="167"/>
      <c r="L16" s="167"/>
      <c r="M16" s="167"/>
      <c r="N16" s="167"/>
      <c r="O16" s="167"/>
      <c r="P16" s="167"/>
      <c r="Q16" s="167"/>
      <c r="R16" s="167"/>
      <c r="S16" s="167"/>
      <c r="T16" s="167"/>
      <c r="U16" s="167"/>
      <c r="V16" s="167"/>
      <c r="W16" s="167"/>
      <c r="X16" s="167"/>
      <c r="Y16" s="167"/>
      <c r="Z16" s="167"/>
      <c r="AA16" s="167"/>
      <c r="AB16" s="167"/>
      <c r="AC16" s="167"/>
      <c r="AD16" s="167"/>
      <c r="AE16" s="167"/>
      <c r="AF16" s="167"/>
      <c r="AG16" s="167"/>
      <c r="AH16" s="167"/>
      <c r="AI16" s="167"/>
      <c r="AJ16" s="167"/>
      <c r="AK16" s="167"/>
      <c r="AL16" s="167"/>
      <c r="AM16" s="167"/>
      <c r="AN16" s="167"/>
      <c r="AO16" s="167"/>
      <c r="AP16" s="167"/>
      <c r="AQ16" s="167"/>
      <c r="AR16" s="168"/>
      <c r="AV16" s="166"/>
      <c r="AW16" s="167"/>
      <c r="AX16" s="167"/>
      <c r="AY16" s="167"/>
      <c r="AZ16" s="167"/>
      <c r="BA16" s="167"/>
      <c r="BB16" s="167"/>
      <c r="BC16" s="167"/>
      <c r="BD16" s="167"/>
      <c r="BE16" s="167"/>
      <c r="BF16" s="167"/>
      <c r="BG16" s="167"/>
      <c r="BH16" s="167"/>
      <c r="BI16" s="167"/>
      <c r="BJ16" s="167"/>
      <c r="BK16" s="167"/>
      <c r="BL16" s="167"/>
      <c r="BM16" s="167"/>
      <c r="BN16" s="167"/>
      <c r="BO16" s="167"/>
      <c r="BP16" s="167"/>
      <c r="BQ16" s="167"/>
      <c r="BR16" s="167"/>
      <c r="BS16" s="167"/>
      <c r="BT16" s="167"/>
      <c r="BU16" s="167"/>
      <c r="BV16" s="167"/>
      <c r="BW16" s="167"/>
      <c r="BX16" s="167"/>
      <c r="BY16" s="167"/>
      <c r="BZ16" s="168"/>
      <c r="CC16" s="166"/>
      <c r="CD16" s="167"/>
      <c r="CE16" s="167"/>
      <c r="CF16" s="167"/>
      <c r="CG16" s="167"/>
      <c r="CH16" s="167"/>
      <c r="CI16" s="167"/>
      <c r="CJ16" s="167"/>
      <c r="CK16" s="167"/>
      <c r="CL16" s="167"/>
      <c r="CM16" s="167"/>
      <c r="CN16" s="167"/>
      <c r="CO16" s="167"/>
      <c r="CP16" s="167"/>
      <c r="CQ16" s="167"/>
      <c r="CR16" s="167"/>
      <c r="CS16" s="167"/>
      <c r="CT16" s="167"/>
      <c r="CU16" s="167"/>
      <c r="CV16" s="167"/>
      <c r="CW16" s="167"/>
      <c r="CX16" s="167"/>
      <c r="CY16" s="167"/>
      <c r="CZ16" s="167"/>
      <c r="DA16" s="167"/>
      <c r="DB16" s="167"/>
      <c r="DC16" s="167"/>
      <c r="DD16" s="167"/>
      <c r="DE16" s="167"/>
      <c r="DF16" s="167"/>
      <c r="DG16" s="168"/>
      <c r="DK16" s="170"/>
      <c r="DV16" s="171"/>
    </row>
    <row r="17" spans="2:126">
      <c r="B17" s="166"/>
      <c r="C17" s="167"/>
      <c r="D17" s="167"/>
      <c r="E17" s="167"/>
      <c r="F17" s="167"/>
      <c r="G17" s="167"/>
      <c r="H17" s="167"/>
      <c r="I17" s="167"/>
      <c r="J17" s="167"/>
      <c r="K17" s="167"/>
      <c r="L17" s="167"/>
      <c r="M17" s="167"/>
      <c r="N17" s="167"/>
      <c r="O17" s="167"/>
      <c r="P17" s="167"/>
      <c r="Q17" s="167"/>
      <c r="R17" s="167"/>
      <c r="S17" s="167"/>
      <c r="T17" s="167"/>
      <c r="U17" s="167"/>
      <c r="V17" s="167"/>
      <c r="W17" s="167"/>
      <c r="X17" s="167"/>
      <c r="Y17" s="167"/>
      <c r="Z17" s="167"/>
      <c r="AA17" s="167"/>
      <c r="AB17" s="167"/>
      <c r="AC17" s="167"/>
      <c r="AD17" s="167"/>
      <c r="AE17" s="167"/>
      <c r="AF17" s="167"/>
      <c r="AG17" s="167"/>
      <c r="AH17" s="167"/>
      <c r="AI17" s="167"/>
      <c r="AJ17" s="167"/>
      <c r="AK17" s="167"/>
      <c r="AL17" s="167"/>
      <c r="AM17" s="167"/>
      <c r="AN17" s="167"/>
      <c r="AO17" s="167"/>
      <c r="AP17" s="167"/>
      <c r="AQ17" s="167"/>
      <c r="AR17" s="168"/>
      <c r="AV17" s="166"/>
      <c r="AW17" s="167"/>
      <c r="AX17" s="167"/>
      <c r="AY17" s="167"/>
      <c r="AZ17" s="167"/>
      <c r="BA17" s="167"/>
      <c r="BB17" s="167"/>
      <c r="BC17" s="167"/>
      <c r="BD17" s="167"/>
      <c r="BE17" s="167"/>
      <c r="BF17" s="167"/>
      <c r="BG17" s="167"/>
      <c r="BH17" s="167"/>
      <c r="BI17" s="167"/>
      <c r="BJ17" s="167"/>
      <c r="BK17" s="167"/>
      <c r="BL17" s="167"/>
      <c r="BM17" s="167"/>
      <c r="BN17" s="167"/>
      <c r="BO17" s="167"/>
      <c r="BP17" s="167"/>
      <c r="BQ17" s="167"/>
      <c r="BR17" s="167"/>
      <c r="BS17" s="167"/>
      <c r="BT17" s="167"/>
      <c r="BU17" s="167"/>
      <c r="BV17" s="167"/>
      <c r="BW17" s="167"/>
      <c r="BX17" s="167"/>
      <c r="BY17" s="167"/>
      <c r="BZ17" s="168"/>
      <c r="CC17" s="166"/>
      <c r="CD17" s="167"/>
      <c r="CE17" s="167"/>
      <c r="CF17" s="167"/>
      <c r="CG17" s="167"/>
      <c r="CH17" s="167"/>
      <c r="CI17" s="167"/>
      <c r="CJ17" s="167"/>
      <c r="CK17" s="167"/>
      <c r="CL17" s="167"/>
      <c r="CM17" s="167"/>
      <c r="CN17" s="167"/>
      <c r="CO17" s="167"/>
      <c r="CP17" s="167"/>
      <c r="CQ17" s="167"/>
      <c r="CR17" s="167"/>
      <c r="CS17" s="167"/>
      <c r="CT17" s="167"/>
      <c r="CU17" s="167"/>
      <c r="CV17" s="167"/>
      <c r="CW17" s="167"/>
      <c r="CX17" s="167"/>
      <c r="CY17" s="167"/>
      <c r="CZ17" s="167"/>
      <c r="DA17" s="167"/>
      <c r="DB17" s="167"/>
      <c r="DC17" s="167"/>
      <c r="DD17" s="167"/>
      <c r="DE17" s="167"/>
      <c r="DF17" s="167"/>
      <c r="DG17" s="168"/>
      <c r="DK17" s="170"/>
      <c r="DV17" s="171"/>
    </row>
    <row r="18" spans="2:126" ht="31.5">
      <c r="B18" s="166"/>
      <c r="C18" s="167"/>
      <c r="D18" s="167"/>
      <c r="E18" s="167"/>
      <c r="F18" s="167"/>
      <c r="G18" s="167"/>
      <c r="H18" s="167"/>
      <c r="I18" s="167"/>
      <c r="J18" s="167"/>
      <c r="K18" s="837"/>
      <c r="L18" s="167"/>
      <c r="M18" s="167"/>
      <c r="N18" s="167"/>
      <c r="O18" s="167"/>
      <c r="P18" s="167"/>
      <c r="Q18" s="167"/>
      <c r="R18" s="167"/>
      <c r="S18" s="167"/>
      <c r="T18" s="167"/>
      <c r="U18" s="167"/>
      <c r="V18" s="167"/>
      <c r="W18" s="167"/>
      <c r="X18" s="167"/>
      <c r="Y18" s="167"/>
      <c r="Z18" s="167"/>
      <c r="AA18" s="167"/>
      <c r="AB18" s="167"/>
      <c r="AC18" s="167"/>
      <c r="AD18" s="167"/>
      <c r="AE18" s="167"/>
      <c r="AF18" s="167"/>
      <c r="AG18" s="167"/>
      <c r="AH18" s="167"/>
      <c r="AI18" s="167"/>
      <c r="AJ18" s="167"/>
      <c r="AK18" s="167"/>
      <c r="AL18" s="167"/>
      <c r="AM18" s="167"/>
      <c r="AN18" s="167"/>
      <c r="AO18" s="167"/>
      <c r="AP18" s="167"/>
      <c r="AQ18" s="167"/>
      <c r="AR18" s="168"/>
      <c r="AV18" s="166"/>
      <c r="AW18" s="167"/>
      <c r="AX18" s="167"/>
      <c r="AY18" s="167"/>
      <c r="AZ18" s="167"/>
      <c r="BA18" s="167"/>
      <c r="BB18" s="167"/>
      <c r="BC18" s="167"/>
      <c r="BD18" s="167"/>
      <c r="BE18" s="167"/>
      <c r="BF18" s="167"/>
      <c r="BG18" s="167"/>
      <c r="BH18" s="167"/>
      <c r="BI18" s="167"/>
      <c r="BJ18" s="167"/>
      <c r="BK18" s="167"/>
      <c r="BL18" s="167"/>
      <c r="BM18" s="167"/>
      <c r="BN18" s="167"/>
      <c r="BO18" s="167"/>
      <c r="BP18" s="167"/>
      <c r="BQ18" s="167"/>
      <c r="BR18" s="167"/>
      <c r="BS18" s="167"/>
      <c r="BT18" s="167"/>
      <c r="BU18" s="167"/>
      <c r="BV18" s="167"/>
      <c r="BW18" s="167"/>
      <c r="BX18" s="167"/>
      <c r="BY18" s="167"/>
      <c r="BZ18" s="168"/>
      <c r="CC18" s="166"/>
      <c r="CD18" s="167"/>
      <c r="CE18" s="167"/>
      <c r="CF18" s="167"/>
      <c r="CG18" s="167"/>
      <c r="CH18" s="167"/>
      <c r="CI18" s="167"/>
      <c r="CJ18" s="167"/>
      <c r="CK18" s="167"/>
      <c r="CL18" s="167"/>
      <c r="CM18" s="167"/>
      <c r="CN18" s="167"/>
      <c r="CO18" s="167"/>
      <c r="CP18" s="167"/>
      <c r="CQ18" s="167"/>
      <c r="CR18" s="167"/>
      <c r="CS18" s="167"/>
      <c r="CT18" s="167"/>
      <c r="CU18" s="167"/>
      <c r="CV18" s="167"/>
      <c r="CW18" s="167"/>
      <c r="CX18" s="167"/>
      <c r="CY18" s="167"/>
      <c r="CZ18" s="167"/>
      <c r="DA18" s="167"/>
      <c r="DB18" s="167"/>
      <c r="DC18" s="167"/>
      <c r="DD18" s="167"/>
      <c r="DE18" s="167"/>
      <c r="DF18" s="167"/>
      <c r="DG18" s="168"/>
      <c r="DK18" s="170"/>
      <c r="DV18" s="171"/>
    </row>
    <row r="19" spans="2:126">
      <c r="B19" s="166"/>
      <c r="C19" s="167"/>
      <c r="D19" s="167"/>
      <c r="E19" s="167"/>
      <c r="F19" s="167"/>
      <c r="G19" s="167"/>
      <c r="H19" s="167"/>
      <c r="I19" s="167"/>
      <c r="J19" s="167"/>
      <c r="K19" s="167"/>
      <c r="L19" s="167"/>
      <c r="M19" s="167"/>
      <c r="N19" s="167"/>
      <c r="O19" s="167"/>
      <c r="P19" s="167"/>
      <c r="Q19" s="167"/>
      <c r="R19" s="167"/>
      <c r="S19" s="167"/>
      <c r="T19" s="167"/>
      <c r="U19" s="167"/>
      <c r="V19" s="167"/>
      <c r="W19" s="167"/>
      <c r="X19" s="167"/>
      <c r="Y19" s="167"/>
      <c r="Z19" s="167"/>
      <c r="AA19" s="167"/>
      <c r="AB19" s="167"/>
      <c r="AC19" s="167"/>
      <c r="AD19" s="167"/>
      <c r="AE19" s="167"/>
      <c r="AF19" s="167"/>
      <c r="AG19" s="167"/>
      <c r="AH19" s="167"/>
      <c r="AI19" s="167"/>
      <c r="AJ19" s="167"/>
      <c r="AK19" s="167"/>
      <c r="AL19" s="167"/>
      <c r="AM19" s="167"/>
      <c r="AN19" s="167"/>
      <c r="AO19" s="167"/>
      <c r="AP19" s="167"/>
      <c r="AQ19" s="167"/>
      <c r="AR19" s="168"/>
      <c r="AV19" s="166"/>
      <c r="AW19" s="167"/>
      <c r="AX19" s="167"/>
      <c r="AY19" s="167"/>
      <c r="AZ19" s="167"/>
      <c r="BA19" s="167"/>
      <c r="BB19" s="167"/>
      <c r="BC19" s="167"/>
      <c r="BD19" s="167"/>
      <c r="BE19" s="167"/>
      <c r="BF19" s="167"/>
      <c r="BG19" s="167"/>
      <c r="BH19" s="167"/>
      <c r="BI19" s="167"/>
      <c r="BJ19" s="167"/>
      <c r="BK19" s="167"/>
      <c r="BL19" s="167"/>
      <c r="BM19" s="167"/>
      <c r="BN19" s="167"/>
      <c r="BO19" s="167"/>
      <c r="BP19" s="167"/>
      <c r="BQ19" s="167"/>
      <c r="BR19" s="167"/>
      <c r="BS19" s="167"/>
      <c r="BT19" s="167"/>
      <c r="BU19" s="167"/>
      <c r="BV19" s="167"/>
      <c r="BW19" s="167"/>
      <c r="BX19" s="167"/>
      <c r="BY19" s="167"/>
      <c r="BZ19" s="168"/>
      <c r="CC19" s="166"/>
      <c r="CD19" s="167"/>
      <c r="CE19" s="167"/>
      <c r="CF19" s="167"/>
      <c r="CG19" s="167"/>
      <c r="CH19" s="167"/>
      <c r="CI19" s="167"/>
      <c r="CJ19" s="167"/>
      <c r="CK19" s="167"/>
      <c r="CL19" s="167"/>
      <c r="CM19" s="167"/>
      <c r="CN19" s="167"/>
      <c r="CO19" s="167"/>
      <c r="CP19" s="167"/>
      <c r="CQ19" s="167"/>
      <c r="CR19" s="167"/>
      <c r="CS19" s="167"/>
      <c r="CT19" s="167"/>
      <c r="CU19" s="167"/>
      <c r="CV19" s="167"/>
      <c r="CW19" s="167"/>
      <c r="CX19" s="167"/>
      <c r="CY19" s="167"/>
      <c r="CZ19" s="167"/>
      <c r="DA19" s="167"/>
      <c r="DB19" s="167"/>
      <c r="DC19" s="167"/>
      <c r="DD19" s="167"/>
      <c r="DE19" s="167"/>
      <c r="DF19" s="167"/>
      <c r="DG19" s="168"/>
      <c r="DK19" s="170"/>
      <c r="DV19" s="171"/>
    </row>
    <row r="20" spans="2:126">
      <c r="B20" s="166"/>
      <c r="C20" s="167"/>
      <c r="D20" s="167"/>
      <c r="E20" s="167"/>
      <c r="F20" s="167"/>
      <c r="G20" s="167"/>
      <c r="H20" s="167"/>
      <c r="I20" s="167"/>
      <c r="J20" s="167"/>
      <c r="K20" s="167"/>
      <c r="L20" s="167"/>
      <c r="M20" s="167"/>
      <c r="N20" s="167"/>
      <c r="O20" s="167"/>
      <c r="P20" s="167"/>
      <c r="Q20" s="167"/>
      <c r="R20" s="167"/>
      <c r="S20" s="167"/>
      <c r="T20" s="167"/>
      <c r="U20" s="167"/>
      <c r="V20" s="167"/>
      <c r="W20" s="167"/>
      <c r="X20" s="167"/>
      <c r="Y20" s="167"/>
      <c r="Z20" s="167"/>
      <c r="AA20" s="167"/>
      <c r="AB20" s="167"/>
      <c r="AC20" s="167"/>
      <c r="AD20" s="167"/>
      <c r="AE20" s="167"/>
      <c r="AF20" s="167"/>
      <c r="AG20" s="167"/>
      <c r="AH20" s="167"/>
      <c r="AI20" s="167"/>
      <c r="AJ20" s="167"/>
      <c r="AK20" s="167"/>
      <c r="AL20" s="167"/>
      <c r="AM20" s="167"/>
      <c r="AN20" s="167"/>
      <c r="AO20" s="167"/>
      <c r="AP20" s="167"/>
      <c r="AQ20" s="167"/>
      <c r="AR20" s="168"/>
      <c r="AV20" s="166"/>
      <c r="AW20" s="167"/>
      <c r="AX20" s="167"/>
      <c r="AY20" s="167"/>
      <c r="AZ20" s="167"/>
      <c r="BA20" s="167"/>
      <c r="BB20" s="167"/>
      <c r="BC20" s="167"/>
      <c r="BD20" s="167"/>
      <c r="BE20" s="167"/>
      <c r="BF20" s="167"/>
      <c r="BG20" s="167"/>
      <c r="BH20" s="167"/>
      <c r="BI20" s="167"/>
      <c r="BJ20" s="167"/>
      <c r="BK20" s="167"/>
      <c r="BL20" s="167"/>
      <c r="BM20" s="167"/>
      <c r="BN20" s="167"/>
      <c r="BO20" s="167"/>
      <c r="BP20" s="167"/>
      <c r="BQ20" s="167"/>
      <c r="BR20" s="167"/>
      <c r="BS20" s="167"/>
      <c r="BT20" s="167"/>
      <c r="BU20" s="167"/>
      <c r="BV20" s="167"/>
      <c r="BW20" s="167"/>
      <c r="BX20" s="167"/>
      <c r="BY20" s="167"/>
      <c r="BZ20" s="168"/>
      <c r="CC20" s="166"/>
      <c r="CD20" s="167"/>
      <c r="CE20" s="167"/>
      <c r="CF20" s="167"/>
      <c r="CG20" s="167"/>
      <c r="CH20" s="167"/>
      <c r="CI20" s="167"/>
      <c r="CJ20" s="167"/>
      <c r="CK20" s="167"/>
      <c r="CL20" s="167"/>
      <c r="CM20" s="167"/>
      <c r="CN20" s="167"/>
      <c r="CO20" s="167"/>
      <c r="CP20" s="167"/>
      <c r="CQ20" s="167"/>
      <c r="CR20" s="167"/>
      <c r="CS20" s="167"/>
      <c r="CT20" s="167"/>
      <c r="CU20" s="167"/>
      <c r="CV20" s="167"/>
      <c r="CW20" s="167"/>
      <c r="CX20" s="167"/>
      <c r="CY20" s="167"/>
      <c r="CZ20" s="167"/>
      <c r="DA20" s="167"/>
      <c r="DB20" s="167"/>
      <c r="DC20" s="167"/>
      <c r="DD20" s="167"/>
      <c r="DE20" s="167"/>
      <c r="DF20" s="167"/>
      <c r="DG20" s="168"/>
      <c r="DK20" s="170"/>
      <c r="DV20" s="171"/>
    </row>
    <row r="21" spans="2:126">
      <c r="B21" s="166"/>
      <c r="C21" s="167"/>
      <c r="D21" s="167"/>
      <c r="E21" s="167"/>
      <c r="F21" s="167"/>
      <c r="G21" s="167"/>
      <c r="H21" s="167"/>
      <c r="I21" s="167"/>
      <c r="J21" s="167"/>
      <c r="K21" s="167"/>
      <c r="L21" s="167"/>
      <c r="M21" s="167"/>
      <c r="N21" s="167"/>
      <c r="O21" s="167"/>
      <c r="P21" s="167"/>
      <c r="Q21" s="167"/>
      <c r="R21" s="167"/>
      <c r="S21" s="167"/>
      <c r="T21" s="167"/>
      <c r="U21" s="167"/>
      <c r="V21" s="167"/>
      <c r="W21" s="167"/>
      <c r="X21" s="167"/>
      <c r="Y21" s="167"/>
      <c r="Z21" s="167"/>
      <c r="AA21" s="167"/>
      <c r="AB21" s="167"/>
      <c r="AC21" s="167"/>
      <c r="AD21" s="167"/>
      <c r="AE21" s="167"/>
      <c r="AF21" s="167"/>
      <c r="AG21" s="167"/>
      <c r="AH21" s="167"/>
      <c r="AI21" s="167"/>
      <c r="AJ21" s="167"/>
      <c r="AK21" s="167"/>
      <c r="AL21" s="167"/>
      <c r="AM21" s="167"/>
      <c r="AN21" s="167"/>
      <c r="AO21" s="167"/>
      <c r="AP21" s="167"/>
      <c r="AQ21" s="167"/>
      <c r="AR21" s="168"/>
      <c r="AV21" s="166"/>
      <c r="AW21" s="167"/>
      <c r="AX21" s="167"/>
      <c r="AY21" s="167"/>
      <c r="AZ21" s="167"/>
      <c r="BA21" s="167"/>
      <c r="BB21" s="167"/>
      <c r="BC21" s="167"/>
      <c r="BD21" s="167"/>
      <c r="BE21" s="167"/>
      <c r="BF21" s="167"/>
      <c r="BG21" s="167"/>
      <c r="BH21" s="167"/>
      <c r="BI21" s="167"/>
      <c r="BJ21" s="167"/>
      <c r="BK21" s="167"/>
      <c r="BL21" s="167"/>
      <c r="BM21" s="167"/>
      <c r="BN21" s="167"/>
      <c r="BO21" s="167"/>
      <c r="BP21" s="167"/>
      <c r="BQ21" s="167"/>
      <c r="BR21" s="167"/>
      <c r="BS21" s="167"/>
      <c r="BT21" s="167"/>
      <c r="BU21" s="167"/>
      <c r="BV21" s="167"/>
      <c r="BW21" s="167"/>
      <c r="BX21" s="167"/>
      <c r="BY21" s="167"/>
      <c r="BZ21" s="168"/>
      <c r="CC21" s="166"/>
      <c r="CD21" s="167"/>
      <c r="CE21" s="167"/>
      <c r="CF21" s="167"/>
      <c r="CG21" s="167"/>
      <c r="CH21" s="167"/>
      <c r="CI21" s="167"/>
      <c r="CJ21" s="167"/>
      <c r="CK21" s="167"/>
      <c r="CL21" s="167"/>
      <c r="CM21" s="167"/>
      <c r="CN21" s="167"/>
      <c r="CO21" s="167"/>
      <c r="CP21" s="167"/>
      <c r="CQ21" s="167"/>
      <c r="CR21" s="167"/>
      <c r="CS21" s="167"/>
      <c r="CT21" s="167"/>
      <c r="CU21" s="167"/>
      <c r="CV21" s="167"/>
      <c r="CW21" s="167"/>
      <c r="CX21" s="167"/>
      <c r="CY21" s="167"/>
      <c r="CZ21" s="167"/>
      <c r="DA21" s="167"/>
      <c r="DB21" s="167"/>
      <c r="DC21" s="167"/>
      <c r="DD21" s="167"/>
      <c r="DE21" s="167"/>
      <c r="DF21" s="167"/>
      <c r="DG21" s="168"/>
      <c r="DK21" s="170"/>
      <c r="DV21" s="171"/>
    </row>
    <row r="22" spans="2:126">
      <c r="B22" s="166"/>
      <c r="C22" s="167"/>
      <c r="D22" s="167"/>
      <c r="E22" s="167"/>
      <c r="F22" s="167"/>
      <c r="G22" s="167"/>
      <c r="H22" s="167"/>
      <c r="I22" s="167"/>
      <c r="J22" s="167"/>
      <c r="K22" s="167"/>
      <c r="L22" s="167"/>
      <c r="M22" s="167"/>
      <c r="N22" s="167"/>
      <c r="O22" s="167"/>
      <c r="P22" s="167"/>
      <c r="Q22" s="167"/>
      <c r="R22" s="167"/>
      <c r="S22" s="167"/>
      <c r="T22" s="167"/>
      <c r="U22" s="167"/>
      <c r="V22" s="167"/>
      <c r="W22" s="167"/>
      <c r="X22" s="167"/>
      <c r="Y22" s="167"/>
      <c r="Z22" s="167"/>
      <c r="AA22" s="167"/>
      <c r="AB22" s="167"/>
      <c r="AC22" s="167"/>
      <c r="AD22" s="167"/>
      <c r="AE22" s="167"/>
      <c r="AF22" s="167"/>
      <c r="AG22" s="167"/>
      <c r="AH22" s="167"/>
      <c r="AI22" s="167"/>
      <c r="AJ22" s="167"/>
      <c r="AK22" s="167"/>
      <c r="AL22" s="167"/>
      <c r="AM22" s="167"/>
      <c r="AN22" s="167"/>
      <c r="AO22" s="167"/>
      <c r="AP22" s="167"/>
      <c r="AQ22" s="167"/>
      <c r="AR22" s="168"/>
      <c r="AV22" s="166"/>
      <c r="AW22" s="167"/>
      <c r="AX22" s="167"/>
      <c r="AY22" s="167"/>
      <c r="AZ22" s="167"/>
      <c r="BA22" s="167"/>
      <c r="BB22" s="167"/>
      <c r="BC22" s="167"/>
      <c r="BD22" s="167"/>
      <c r="BE22" s="167"/>
      <c r="BF22" s="167"/>
      <c r="BG22" s="167"/>
      <c r="BH22" s="167"/>
      <c r="BI22" s="167"/>
      <c r="BJ22" s="167"/>
      <c r="BK22" s="167"/>
      <c r="BL22" s="167"/>
      <c r="BM22" s="167"/>
      <c r="BN22" s="167"/>
      <c r="BO22" s="167"/>
      <c r="BP22" s="167"/>
      <c r="BQ22" s="167"/>
      <c r="BR22" s="167"/>
      <c r="BS22" s="167"/>
      <c r="BT22" s="167"/>
      <c r="BU22" s="167"/>
      <c r="BV22" s="167"/>
      <c r="BW22" s="167"/>
      <c r="BX22" s="167"/>
      <c r="BY22" s="167"/>
      <c r="BZ22" s="168"/>
      <c r="CC22" s="166"/>
      <c r="CD22" s="167"/>
      <c r="CE22" s="167"/>
      <c r="CF22" s="167"/>
      <c r="CG22" s="167"/>
      <c r="CH22" s="167"/>
      <c r="CI22" s="167"/>
      <c r="CJ22" s="167"/>
      <c r="CK22" s="167"/>
      <c r="CL22" s="167"/>
      <c r="CM22" s="167"/>
      <c r="CN22" s="167"/>
      <c r="CO22" s="167"/>
      <c r="CP22" s="167"/>
      <c r="CQ22" s="167"/>
      <c r="CR22" s="167"/>
      <c r="CS22" s="167"/>
      <c r="CT22" s="167"/>
      <c r="CU22" s="167"/>
      <c r="CV22" s="167"/>
      <c r="CW22" s="167"/>
      <c r="CX22" s="167"/>
      <c r="CY22" s="167"/>
      <c r="CZ22" s="167"/>
      <c r="DA22" s="167"/>
      <c r="DB22" s="167"/>
      <c r="DC22" s="167"/>
      <c r="DD22" s="167"/>
      <c r="DE22" s="167"/>
      <c r="DF22" s="167"/>
      <c r="DG22" s="168"/>
      <c r="DK22" s="170"/>
      <c r="DV22" s="171"/>
    </row>
    <row r="23" spans="2:126">
      <c r="B23" s="166"/>
      <c r="C23" s="167"/>
      <c r="D23" s="167"/>
      <c r="E23" s="167"/>
      <c r="F23" s="167"/>
      <c r="G23" s="167"/>
      <c r="H23" s="167"/>
      <c r="I23" s="167"/>
      <c r="J23" s="167"/>
      <c r="K23" s="167"/>
      <c r="L23" s="167"/>
      <c r="M23" s="167"/>
      <c r="N23" s="167"/>
      <c r="O23" s="167"/>
      <c r="P23" s="167"/>
      <c r="Q23" s="167"/>
      <c r="R23" s="167"/>
      <c r="S23" s="167"/>
      <c r="T23" s="167"/>
      <c r="U23" s="167"/>
      <c r="V23" s="167"/>
      <c r="W23" s="167"/>
      <c r="X23" s="167"/>
      <c r="Y23" s="167"/>
      <c r="Z23" s="167"/>
      <c r="AA23" s="167"/>
      <c r="AB23" s="167"/>
      <c r="AC23" s="167"/>
      <c r="AD23" s="167"/>
      <c r="AE23" s="167"/>
      <c r="AF23" s="167"/>
      <c r="AG23" s="167"/>
      <c r="AH23" s="167"/>
      <c r="AI23" s="167"/>
      <c r="AJ23" s="167"/>
      <c r="AK23" s="167"/>
      <c r="AL23" s="167"/>
      <c r="AM23" s="167"/>
      <c r="AN23" s="167"/>
      <c r="AO23" s="167"/>
      <c r="AP23" s="167"/>
      <c r="AQ23" s="167"/>
      <c r="AR23" s="168"/>
      <c r="AV23" s="166"/>
      <c r="AW23" s="167"/>
      <c r="AX23" s="167"/>
      <c r="AY23" s="167"/>
      <c r="AZ23" s="167"/>
      <c r="BA23" s="167"/>
      <c r="BB23" s="167"/>
      <c r="BC23" s="167"/>
      <c r="BD23" s="167"/>
      <c r="BE23" s="167"/>
      <c r="BF23" s="167"/>
      <c r="BG23" s="167"/>
      <c r="BH23" s="167"/>
      <c r="BI23" s="167"/>
      <c r="BJ23" s="167"/>
      <c r="BK23" s="167"/>
      <c r="BL23" s="167"/>
      <c r="BM23" s="167"/>
      <c r="BN23" s="167"/>
      <c r="BO23" s="167"/>
      <c r="BP23" s="167"/>
      <c r="BQ23" s="167"/>
      <c r="BR23" s="167"/>
      <c r="BS23" s="167"/>
      <c r="BT23" s="167"/>
      <c r="BU23" s="167"/>
      <c r="BV23" s="167"/>
      <c r="BW23" s="167"/>
      <c r="BX23" s="167"/>
      <c r="BY23" s="167"/>
      <c r="BZ23" s="168"/>
      <c r="CC23" s="166"/>
      <c r="CD23" s="167"/>
      <c r="CE23" s="167"/>
      <c r="CF23" s="167"/>
      <c r="CG23" s="167"/>
      <c r="CH23" s="167"/>
      <c r="CI23" s="167"/>
      <c r="CJ23" s="167"/>
      <c r="CK23" s="167"/>
      <c r="CL23" s="167"/>
      <c r="CM23" s="167"/>
      <c r="CN23" s="167"/>
      <c r="CO23" s="167"/>
      <c r="CP23" s="167"/>
      <c r="CQ23" s="167"/>
      <c r="CR23" s="167"/>
      <c r="CS23" s="167"/>
      <c r="CT23" s="167"/>
      <c r="CU23" s="167"/>
      <c r="CV23" s="167"/>
      <c r="CW23" s="167"/>
      <c r="CX23" s="167"/>
      <c r="CY23" s="167"/>
      <c r="CZ23" s="167"/>
      <c r="DA23" s="167"/>
      <c r="DB23" s="167"/>
      <c r="DC23" s="167"/>
      <c r="DD23" s="167"/>
      <c r="DE23" s="167"/>
      <c r="DF23" s="167"/>
      <c r="DG23" s="168"/>
      <c r="DK23" s="170"/>
      <c r="DV23" s="171"/>
    </row>
    <row r="24" spans="2:126">
      <c r="B24" s="166"/>
      <c r="C24" s="167"/>
      <c r="D24" s="167"/>
      <c r="E24" s="167"/>
      <c r="F24" s="167"/>
      <c r="G24" s="167"/>
      <c r="H24" s="167"/>
      <c r="I24" s="167"/>
      <c r="J24" s="167"/>
      <c r="K24" s="167"/>
      <c r="L24" s="167"/>
      <c r="M24" s="167"/>
      <c r="N24" s="167"/>
      <c r="O24" s="167"/>
      <c r="P24" s="167"/>
      <c r="Q24" s="167"/>
      <c r="R24" s="167"/>
      <c r="S24" s="167"/>
      <c r="T24" s="167"/>
      <c r="U24" s="167"/>
      <c r="V24" s="167"/>
      <c r="W24" s="167"/>
      <c r="X24" s="167"/>
      <c r="Y24" s="167"/>
      <c r="Z24" s="167"/>
      <c r="AA24" s="167"/>
      <c r="AB24" s="167"/>
      <c r="AC24" s="167"/>
      <c r="AD24" s="167"/>
      <c r="AE24" s="167"/>
      <c r="AF24" s="167"/>
      <c r="AG24" s="167"/>
      <c r="AH24" s="167"/>
      <c r="AI24" s="167"/>
      <c r="AJ24" s="167"/>
      <c r="AK24" s="167"/>
      <c r="AL24" s="167"/>
      <c r="AM24" s="167"/>
      <c r="AN24" s="167"/>
      <c r="AO24" s="167"/>
      <c r="AP24" s="167"/>
      <c r="AQ24" s="167"/>
      <c r="AR24" s="168"/>
      <c r="AV24" s="166"/>
      <c r="AW24" s="167"/>
      <c r="AX24" s="167"/>
      <c r="AY24" s="167"/>
      <c r="AZ24" s="167"/>
      <c r="BA24" s="167"/>
      <c r="BB24" s="167"/>
      <c r="BC24" s="167"/>
      <c r="BD24" s="167"/>
      <c r="BE24" s="167"/>
      <c r="BF24" s="167"/>
      <c r="BG24" s="167"/>
      <c r="BH24" s="167"/>
      <c r="BI24" s="167"/>
      <c r="BJ24" s="167"/>
      <c r="BK24" s="167"/>
      <c r="BL24" s="167"/>
      <c r="BM24" s="167"/>
      <c r="BN24" s="167"/>
      <c r="BO24" s="167"/>
      <c r="BP24" s="167"/>
      <c r="BQ24" s="167"/>
      <c r="BR24" s="167"/>
      <c r="BS24" s="167"/>
      <c r="BT24" s="167"/>
      <c r="BU24" s="167"/>
      <c r="BV24" s="167"/>
      <c r="BW24" s="167"/>
      <c r="BX24" s="167"/>
      <c r="BY24" s="167"/>
      <c r="BZ24" s="168"/>
      <c r="CC24" s="166"/>
      <c r="CD24" s="167"/>
      <c r="CE24" s="167"/>
      <c r="CF24" s="167"/>
      <c r="CG24" s="167"/>
      <c r="CH24" s="167"/>
      <c r="CI24" s="167"/>
      <c r="CJ24" s="167"/>
      <c r="CK24" s="167"/>
      <c r="CL24" s="167"/>
      <c r="CM24" s="167"/>
      <c r="CN24" s="167"/>
      <c r="CO24" s="167"/>
      <c r="CP24" s="167"/>
      <c r="CQ24" s="167"/>
      <c r="CR24" s="167"/>
      <c r="CS24" s="167"/>
      <c r="CT24" s="167"/>
      <c r="CU24" s="167"/>
      <c r="CV24" s="167"/>
      <c r="CW24" s="167"/>
      <c r="CX24" s="167"/>
      <c r="CY24" s="167"/>
      <c r="CZ24" s="167"/>
      <c r="DA24" s="167"/>
      <c r="DB24" s="167"/>
      <c r="DC24" s="167"/>
      <c r="DD24" s="167"/>
      <c r="DE24" s="167"/>
      <c r="DF24" s="167"/>
      <c r="DG24" s="168"/>
      <c r="DK24" s="170"/>
      <c r="DV24" s="171"/>
    </row>
    <row r="25" spans="2:126">
      <c r="B25" s="166"/>
      <c r="C25" s="167"/>
      <c r="D25" s="167"/>
      <c r="E25" s="167"/>
      <c r="F25" s="167"/>
      <c r="G25" s="167"/>
      <c r="H25" s="167"/>
      <c r="I25" s="167"/>
      <c r="J25" s="167"/>
      <c r="K25" s="167"/>
      <c r="L25" s="167"/>
      <c r="M25" s="167"/>
      <c r="N25" s="167"/>
      <c r="O25" s="167"/>
      <c r="P25" s="167"/>
      <c r="Q25" s="167"/>
      <c r="R25" s="167"/>
      <c r="S25" s="167"/>
      <c r="T25" s="167"/>
      <c r="U25" s="167"/>
      <c r="V25" s="167"/>
      <c r="W25" s="167"/>
      <c r="X25" s="167"/>
      <c r="Y25" s="167"/>
      <c r="Z25" s="167"/>
      <c r="AA25" s="167"/>
      <c r="AB25" s="167"/>
      <c r="AC25" s="167"/>
      <c r="AD25" s="167"/>
      <c r="AE25" s="167"/>
      <c r="AF25" s="167"/>
      <c r="AG25" s="167"/>
      <c r="AH25" s="167"/>
      <c r="AI25" s="167"/>
      <c r="AJ25" s="167"/>
      <c r="AK25" s="167"/>
      <c r="AL25" s="167"/>
      <c r="AM25" s="167"/>
      <c r="AN25" s="167"/>
      <c r="AO25" s="167"/>
      <c r="AP25" s="167"/>
      <c r="AQ25" s="167"/>
      <c r="AR25" s="168"/>
      <c r="AV25" s="166"/>
      <c r="AW25" s="167"/>
      <c r="AX25" s="167"/>
      <c r="AY25" s="167"/>
      <c r="AZ25" s="167"/>
      <c r="BA25" s="167"/>
      <c r="BB25" s="167"/>
      <c r="BC25" s="167"/>
      <c r="BD25" s="167"/>
      <c r="BE25" s="167"/>
      <c r="BF25" s="167"/>
      <c r="BG25" s="167"/>
      <c r="BH25" s="167"/>
      <c r="BI25" s="167"/>
      <c r="BJ25" s="167"/>
      <c r="BK25" s="167"/>
      <c r="BL25" s="167"/>
      <c r="BM25" s="167"/>
      <c r="BN25" s="167"/>
      <c r="BO25" s="167"/>
      <c r="BP25" s="167"/>
      <c r="BQ25" s="167"/>
      <c r="BR25" s="167"/>
      <c r="BS25" s="167"/>
      <c r="BT25" s="167"/>
      <c r="BU25" s="167"/>
      <c r="BV25" s="167"/>
      <c r="BW25" s="167"/>
      <c r="BX25" s="167"/>
      <c r="BY25" s="167"/>
      <c r="BZ25" s="168"/>
      <c r="CC25" s="166"/>
      <c r="CD25" s="167"/>
      <c r="CE25" s="167"/>
      <c r="CF25" s="167"/>
      <c r="CG25" s="167"/>
      <c r="CH25" s="167"/>
      <c r="CI25" s="167"/>
      <c r="CJ25" s="167"/>
      <c r="CK25" s="167"/>
      <c r="CL25" s="167"/>
      <c r="CM25" s="167"/>
      <c r="CN25" s="167"/>
      <c r="CO25" s="167"/>
      <c r="CP25" s="167"/>
      <c r="CQ25" s="167"/>
      <c r="CR25" s="167"/>
      <c r="CS25" s="167"/>
      <c r="CT25" s="167"/>
      <c r="CU25" s="167"/>
      <c r="CV25" s="167"/>
      <c r="CW25" s="167"/>
      <c r="CX25" s="167"/>
      <c r="CY25" s="167"/>
      <c r="CZ25" s="167"/>
      <c r="DA25" s="167"/>
      <c r="DB25" s="167"/>
      <c r="DC25" s="167"/>
      <c r="DD25" s="167"/>
      <c r="DE25" s="167"/>
      <c r="DF25" s="167"/>
      <c r="DG25" s="168"/>
      <c r="DK25" s="170"/>
      <c r="DV25" s="171"/>
    </row>
    <row r="26" spans="2:126">
      <c r="B26" s="166"/>
      <c r="C26" s="167"/>
      <c r="D26" s="167"/>
      <c r="E26" s="167"/>
      <c r="F26" s="167"/>
      <c r="G26" s="167"/>
      <c r="H26" s="167"/>
      <c r="I26" s="167"/>
      <c r="J26" s="167"/>
      <c r="K26" s="167"/>
      <c r="L26" s="167"/>
      <c r="M26" s="167"/>
      <c r="N26" s="167"/>
      <c r="O26" s="167"/>
      <c r="P26" s="167"/>
      <c r="Q26" s="167"/>
      <c r="R26" s="167"/>
      <c r="S26" s="167"/>
      <c r="T26" s="167"/>
      <c r="U26" s="167"/>
      <c r="V26" s="167"/>
      <c r="W26" s="167"/>
      <c r="X26" s="167"/>
      <c r="Y26" s="167"/>
      <c r="Z26" s="167"/>
      <c r="AA26" s="167"/>
      <c r="AB26" s="167"/>
      <c r="AC26" s="167"/>
      <c r="AD26" s="167"/>
      <c r="AE26" s="167"/>
      <c r="AF26" s="167"/>
      <c r="AG26" s="167"/>
      <c r="AH26" s="167"/>
      <c r="AI26" s="167"/>
      <c r="AJ26" s="167"/>
      <c r="AK26" s="167"/>
      <c r="AL26" s="167"/>
      <c r="AM26" s="167"/>
      <c r="AN26" s="167"/>
      <c r="AO26" s="167"/>
      <c r="AP26" s="167"/>
      <c r="AQ26" s="167"/>
      <c r="AR26" s="168"/>
      <c r="AV26" s="166"/>
      <c r="AW26" s="167"/>
      <c r="AX26" s="167"/>
      <c r="AY26" s="167"/>
      <c r="AZ26" s="167"/>
      <c r="BA26" s="167"/>
      <c r="BB26" s="167"/>
      <c r="BC26" s="167"/>
      <c r="BD26" s="167"/>
      <c r="BE26" s="167"/>
      <c r="BF26" s="167"/>
      <c r="BG26" s="167"/>
      <c r="BH26" s="167"/>
      <c r="BI26" s="167"/>
      <c r="BJ26" s="167"/>
      <c r="BK26" s="167"/>
      <c r="BL26" s="167"/>
      <c r="BM26" s="167"/>
      <c r="BN26" s="167"/>
      <c r="BO26" s="167"/>
      <c r="BP26" s="167"/>
      <c r="BQ26" s="167"/>
      <c r="BR26" s="167"/>
      <c r="BS26" s="167"/>
      <c r="BT26" s="167"/>
      <c r="BU26" s="167"/>
      <c r="BV26" s="167"/>
      <c r="BW26" s="167"/>
      <c r="BX26" s="167"/>
      <c r="BY26" s="167"/>
      <c r="BZ26" s="168"/>
      <c r="CC26" s="166"/>
      <c r="CD26" s="167"/>
      <c r="CE26" s="167"/>
      <c r="CF26" s="167"/>
      <c r="CG26" s="167"/>
      <c r="CH26" s="167"/>
      <c r="CI26" s="167"/>
      <c r="CJ26" s="167"/>
      <c r="CK26" s="167"/>
      <c r="CL26" s="167"/>
      <c r="CM26" s="167"/>
      <c r="CN26" s="167"/>
      <c r="CO26" s="167"/>
      <c r="CP26" s="167"/>
      <c r="CQ26" s="167"/>
      <c r="CR26" s="167"/>
      <c r="CS26" s="167"/>
      <c r="CT26" s="167"/>
      <c r="CU26" s="167"/>
      <c r="CV26" s="167"/>
      <c r="CW26" s="167"/>
      <c r="CX26" s="167"/>
      <c r="CY26" s="167"/>
      <c r="CZ26" s="167"/>
      <c r="DA26" s="167"/>
      <c r="DB26" s="167"/>
      <c r="DC26" s="167"/>
      <c r="DD26" s="167"/>
      <c r="DE26" s="167"/>
      <c r="DF26" s="167"/>
      <c r="DG26" s="168"/>
      <c r="DK26" s="170"/>
      <c r="DV26" s="171"/>
    </row>
    <row r="27" spans="2:126">
      <c r="B27" s="166"/>
      <c r="C27" s="167"/>
      <c r="D27" s="167"/>
      <c r="E27" s="167"/>
      <c r="F27" s="167"/>
      <c r="G27" s="167"/>
      <c r="H27" s="167"/>
      <c r="I27" s="167"/>
      <c r="J27" s="167"/>
      <c r="K27" s="167"/>
      <c r="L27" s="167"/>
      <c r="M27" s="167"/>
      <c r="N27" s="167"/>
      <c r="O27" s="167"/>
      <c r="P27" s="167"/>
      <c r="Q27" s="167"/>
      <c r="R27" s="167"/>
      <c r="S27" s="167"/>
      <c r="T27" s="167"/>
      <c r="U27" s="167"/>
      <c r="V27" s="167"/>
      <c r="W27" s="167"/>
      <c r="X27" s="167"/>
      <c r="Y27" s="167"/>
      <c r="Z27" s="167"/>
      <c r="AA27" s="167"/>
      <c r="AB27" s="167"/>
      <c r="AC27" s="167"/>
      <c r="AD27" s="167"/>
      <c r="AE27" s="167"/>
      <c r="AF27" s="167"/>
      <c r="AG27" s="167"/>
      <c r="AH27" s="167"/>
      <c r="AI27" s="167"/>
      <c r="AJ27" s="167"/>
      <c r="AK27" s="167"/>
      <c r="AL27" s="167"/>
      <c r="AM27" s="167"/>
      <c r="AN27" s="167"/>
      <c r="AO27" s="167"/>
      <c r="AP27" s="167"/>
      <c r="AQ27" s="167"/>
      <c r="AR27" s="168"/>
      <c r="AV27" s="166"/>
      <c r="AW27" s="167"/>
      <c r="AX27" s="167"/>
      <c r="AY27" s="167"/>
      <c r="AZ27" s="167"/>
      <c r="BA27" s="167"/>
      <c r="BB27" s="167"/>
      <c r="BC27" s="167"/>
      <c r="BD27" s="167"/>
      <c r="BE27" s="167"/>
      <c r="BF27" s="167"/>
      <c r="BG27" s="167"/>
      <c r="BH27" s="167"/>
      <c r="BI27" s="167"/>
      <c r="BJ27" s="167"/>
      <c r="BK27" s="167"/>
      <c r="BL27" s="167"/>
      <c r="BM27" s="167"/>
      <c r="BN27" s="167"/>
      <c r="BO27" s="167"/>
      <c r="BP27" s="167"/>
      <c r="BQ27" s="167"/>
      <c r="BR27" s="167"/>
      <c r="BS27" s="167"/>
      <c r="BT27" s="167"/>
      <c r="BU27" s="167"/>
      <c r="BV27" s="167"/>
      <c r="BW27" s="167"/>
      <c r="BX27" s="167"/>
      <c r="BY27" s="167"/>
      <c r="BZ27" s="168"/>
      <c r="CC27" s="166"/>
      <c r="CD27" s="167"/>
      <c r="CE27" s="167"/>
      <c r="CF27" s="167"/>
      <c r="CG27" s="167"/>
      <c r="CH27" s="167"/>
      <c r="CI27" s="167"/>
      <c r="CJ27" s="167"/>
      <c r="CK27" s="167"/>
      <c r="CL27" s="167"/>
      <c r="CM27" s="167"/>
      <c r="CN27" s="167"/>
      <c r="CO27" s="167"/>
      <c r="CP27" s="167"/>
      <c r="CQ27" s="167"/>
      <c r="CR27" s="167"/>
      <c r="CS27" s="167"/>
      <c r="CT27" s="167"/>
      <c r="CU27" s="167"/>
      <c r="CV27" s="167"/>
      <c r="CW27" s="167"/>
      <c r="CX27" s="167"/>
      <c r="CY27" s="167"/>
      <c r="CZ27" s="167"/>
      <c r="DA27" s="167"/>
      <c r="DB27" s="167"/>
      <c r="DC27" s="167"/>
      <c r="DD27" s="167"/>
      <c r="DE27" s="167"/>
      <c r="DF27" s="167"/>
      <c r="DG27" s="168"/>
      <c r="DK27" s="170"/>
      <c r="DV27" s="171"/>
    </row>
    <row r="28" spans="2:126">
      <c r="B28" s="166"/>
      <c r="C28" s="167"/>
      <c r="D28" s="167"/>
      <c r="E28" s="167"/>
      <c r="F28" s="167"/>
      <c r="G28" s="167"/>
      <c r="H28" s="167"/>
      <c r="I28" s="167"/>
      <c r="J28" s="167"/>
      <c r="K28" s="167"/>
      <c r="L28" s="167"/>
      <c r="M28" s="167"/>
      <c r="N28" s="167"/>
      <c r="O28" s="167"/>
      <c r="P28" s="167"/>
      <c r="Q28" s="167"/>
      <c r="R28" s="167"/>
      <c r="S28" s="167"/>
      <c r="T28" s="167"/>
      <c r="U28" s="167"/>
      <c r="V28" s="167"/>
      <c r="W28" s="167"/>
      <c r="X28" s="167"/>
      <c r="Y28" s="167"/>
      <c r="Z28" s="167"/>
      <c r="AA28" s="167"/>
      <c r="AB28" s="167"/>
      <c r="AC28" s="167"/>
      <c r="AD28" s="167"/>
      <c r="AE28" s="167"/>
      <c r="AF28" s="167"/>
      <c r="AG28" s="167"/>
      <c r="AH28" s="167"/>
      <c r="AI28" s="167"/>
      <c r="AJ28" s="167"/>
      <c r="AK28" s="167"/>
      <c r="AL28" s="167"/>
      <c r="AM28" s="167"/>
      <c r="AN28" s="167"/>
      <c r="AO28" s="167" t="s">
        <v>886</v>
      </c>
      <c r="AP28" s="167"/>
      <c r="AQ28" s="167"/>
      <c r="AR28" s="168"/>
      <c r="AV28" s="166"/>
      <c r="AW28" s="167"/>
      <c r="AX28" s="167"/>
      <c r="AY28" s="167"/>
      <c r="AZ28" s="167"/>
      <c r="BA28" s="167"/>
      <c r="BB28" s="167"/>
      <c r="BC28" s="167"/>
      <c r="BD28" s="167"/>
      <c r="BE28" s="167"/>
      <c r="BF28" s="167"/>
      <c r="BG28" s="167"/>
      <c r="BH28" s="167"/>
      <c r="BI28" s="167"/>
      <c r="BJ28" s="167"/>
      <c r="BK28" s="167"/>
      <c r="BL28" s="167"/>
      <c r="BM28" s="167"/>
      <c r="BN28" s="167"/>
      <c r="BO28" s="167"/>
      <c r="BP28" s="167"/>
      <c r="BQ28" s="167"/>
      <c r="BR28" s="167"/>
      <c r="BS28" s="167"/>
      <c r="BT28" s="167"/>
      <c r="BU28" s="167"/>
      <c r="BV28" s="167"/>
      <c r="BW28" s="167"/>
      <c r="BX28" s="167"/>
      <c r="BY28" s="167"/>
      <c r="BZ28" s="168"/>
      <c r="CC28" s="166"/>
      <c r="CD28" s="167"/>
      <c r="CE28" s="167"/>
      <c r="CF28" s="167"/>
      <c r="CG28" s="167"/>
      <c r="CH28" s="167"/>
      <c r="CI28" s="167"/>
      <c r="CJ28" s="167"/>
      <c r="CK28" s="167"/>
      <c r="CL28" s="167"/>
      <c r="CM28" s="167"/>
      <c r="CN28" s="167"/>
      <c r="CO28" s="167"/>
      <c r="CP28" s="167"/>
      <c r="CQ28" s="167"/>
      <c r="CR28" s="167"/>
      <c r="CS28" s="167"/>
      <c r="CT28" s="167"/>
      <c r="CU28" s="167"/>
      <c r="CV28" s="167"/>
      <c r="CW28" s="167"/>
      <c r="CX28" s="167"/>
      <c r="CY28" s="167"/>
      <c r="CZ28" s="167"/>
      <c r="DA28" s="167"/>
      <c r="DB28" s="167"/>
      <c r="DC28" s="167"/>
      <c r="DD28" s="167"/>
      <c r="DE28" s="167"/>
      <c r="DF28" s="167"/>
      <c r="DG28" s="168"/>
      <c r="DK28" s="170"/>
      <c r="DV28" s="171"/>
    </row>
    <row r="29" spans="2:126">
      <c r="B29" s="166"/>
      <c r="C29" s="167"/>
      <c r="D29" s="167"/>
      <c r="E29" s="167"/>
      <c r="F29" s="167"/>
      <c r="G29" s="167"/>
      <c r="H29" s="167"/>
      <c r="I29" s="167"/>
      <c r="J29" s="167"/>
      <c r="K29" s="167"/>
      <c r="L29" s="167"/>
      <c r="M29" s="167"/>
      <c r="N29" s="167"/>
      <c r="O29" s="167"/>
      <c r="P29" s="167"/>
      <c r="Q29" s="167"/>
      <c r="R29" s="167"/>
      <c r="S29" s="167"/>
      <c r="T29" s="167"/>
      <c r="U29" s="167"/>
      <c r="V29" s="167"/>
      <c r="W29" s="167"/>
      <c r="X29" s="167"/>
      <c r="Y29" s="167"/>
      <c r="Z29" s="167"/>
      <c r="AA29" s="167"/>
      <c r="AB29" s="167"/>
      <c r="AC29" s="167"/>
      <c r="AD29" s="167"/>
      <c r="AE29" s="167"/>
      <c r="AF29" s="167"/>
      <c r="AG29" s="167"/>
      <c r="AH29" s="167"/>
      <c r="AI29" s="167"/>
      <c r="AJ29" s="167"/>
      <c r="AK29" s="167"/>
      <c r="AL29" s="167"/>
      <c r="AM29" s="167"/>
      <c r="AN29" s="167"/>
      <c r="AO29" s="167"/>
      <c r="AP29" s="167"/>
      <c r="AQ29" s="167"/>
      <c r="AR29" s="168"/>
      <c r="AV29" s="166"/>
      <c r="AW29" s="167"/>
      <c r="AX29" s="167"/>
      <c r="AY29" s="167"/>
      <c r="AZ29" s="167"/>
      <c r="BA29" s="167"/>
      <c r="BB29" s="167"/>
      <c r="BC29" s="167"/>
      <c r="BD29" s="167"/>
      <c r="BE29" s="167"/>
      <c r="BF29" s="167"/>
      <c r="BG29" s="167"/>
      <c r="BH29" s="167"/>
      <c r="BI29" s="167"/>
      <c r="BJ29" s="167"/>
      <c r="BK29" s="167"/>
      <c r="BL29" s="167"/>
      <c r="BM29" s="167"/>
      <c r="BN29" s="167"/>
      <c r="BO29" s="167"/>
      <c r="BP29" s="167"/>
      <c r="BQ29" s="167"/>
      <c r="BR29" s="167"/>
      <c r="BS29" s="167"/>
      <c r="BT29" s="167"/>
      <c r="BU29" s="167"/>
      <c r="BV29" s="167"/>
      <c r="BW29" s="167"/>
      <c r="BX29" s="167"/>
      <c r="BY29" s="167"/>
      <c r="BZ29" s="168"/>
      <c r="CC29" s="166"/>
      <c r="CD29" s="167"/>
      <c r="CE29" s="167"/>
      <c r="CF29" s="167"/>
      <c r="CG29" s="167"/>
      <c r="CH29" s="167"/>
      <c r="CI29" s="167"/>
      <c r="CJ29" s="167"/>
      <c r="CK29" s="167"/>
      <c r="CL29" s="167"/>
      <c r="CM29" s="167"/>
      <c r="CN29" s="167"/>
      <c r="CO29" s="167"/>
      <c r="CP29" s="167"/>
      <c r="CQ29" s="167"/>
      <c r="CR29" s="167"/>
      <c r="CS29" s="167"/>
      <c r="CT29" s="167"/>
      <c r="CU29" s="167"/>
      <c r="CV29" s="167"/>
      <c r="CW29" s="167"/>
      <c r="CX29" s="167"/>
      <c r="CY29" s="167"/>
      <c r="CZ29" s="167"/>
      <c r="DA29" s="167"/>
      <c r="DB29" s="167"/>
      <c r="DC29" s="167"/>
      <c r="DD29" s="167"/>
      <c r="DE29" s="167"/>
      <c r="DF29" s="167"/>
      <c r="DG29" s="168"/>
      <c r="DK29" s="170"/>
      <c r="DV29" s="171"/>
    </row>
    <row r="30" spans="2:126">
      <c r="B30" s="166"/>
      <c r="C30" s="167"/>
      <c r="D30" s="167"/>
      <c r="E30" s="167"/>
      <c r="F30" s="167"/>
      <c r="G30" s="167"/>
      <c r="H30" s="167"/>
      <c r="I30" s="167"/>
      <c r="J30" s="167"/>
      <c r="K30" s="167"/>
      <c r="L30" s="167"/>
      <c r="M30" s="167"/>
      <c r="N30" s="167"/>
      <c r="O30" s="167"/>
      <c r="P30" s="167"/>
      <c r="Q30" s="167"/>
      <c r="R30" s="167"/>
      <c r="S30" s="167"/>
      <c r="T30" s="167"/>
      <c r="U30" s="167"/>
      <c r="V30" s="167"/>
      <c r="W30" s="167"/>
      <c r="X30" s="167"/>
      <c r="Y30" s="167"/>
      <c r="Z30" s="167"/>
      <c r="AA30" s="167"/>
      <c r="AB30" s="167"/>
      <c r="AC30" s="167"/>
      <c r="AD30" s="167"/>
      <c r="AE30" s="167"/>
      <c r="AF30" s="167"/>
      <c r="AG30" s="167"/>
      <c r="AH30" s="167"/>
      <c r="AI30" s="167"/>
      <c r="AJ30" s="167"/>
      <c r="AK30" s="167"/>
      <c r="AL30" s="167"/>
      <c r="AM30" s="167"/>
      <c r="AN30" s="167"/>
      <c r="AO30" s="167"/>
      <c r="AP30" s="167"/>
      <c r="AQ30" s="167"/>
      <c r="AR30" s="168"/>
      <c r="AV30" s="166"/>
      <c r="AW30" s="167"/>
      <c r="AX30" s="167"/>
      <c r="AY30" s="167"/>
      <c r="AZ30" s="167"/>
      <c r="BA30" s="167"/>
      <c r="BB30" s="167"/>
      <c r="BC30" s="167"/>
      <c r="BD30" s="167"/>
      <c r="BE30" s="167"/>
      <c r="BF30" s="167"/>
      <c r="BG30" s="167"/>
      <c r="BH30" s="167"/>
      <c r="BI30" s="167"/>
      <c r="BJ30" s="167"/>
      <c r="BK30" s="167"/>
      <c r="BL30" s="167"/>
      <c r="BM30" s="167"/>
      <c r="BN30" s="167"/>
      <c r="BO30" s="167"/>
      <c r="BP30" s="167"/>
      <c r="BQ30" s="167"/>
      <c r="BR30" s="167"/>
      <c r="BS30" s="167"/>
      <c r="BT30" s="167"/>
      <c r="BU30" s="167"/>
      <c r="BV30" s="167"/>
      <c r="BW30" s="167"/>
      <c r="BX30" s="167"/>
      <c r="BY30" s="167"/>
      <c r="BZ30" s="168"/>
      <c r="CC30" s="166"/>
      <c r="CD30" s="167"/>
      <c r="CE30" s="167"/>
      <c r="CF30" s="167"/>
      <c r="CG30" s="167"/>
      <c r="CH30" s="167"/>
      <c r="CI30" s="167"/>
      <c r="CJ30" s="167"/>
      <c r="CK30" s="167"/>
      <c r="CL30" s="167"/>
      <c r="CM30" s="167"/>
      <c r="CN30" s="167"/>
      <c r="CO30" s="167"/>
      <c r="CP30" s="167"/>
      <c r="CQ30" s="167"/>
      <c r="CR30" s="167"/>
      <c r="CS30" s="167"/>
      <c r="CT30" s="167"/>
      <c r="CU30" s="167"/>
      <c r="CV30" s="167"/>
      <c r="CW30" s="167"/>
      <c r="CX30" s="167"/>
      <c r="CY30" s="167"/>
      <c r="CZ30" s="167"/>
      <c r="DA30" s="167"/>
      <c r="DB30" s="167"/>
      <c r="DC30" s="167"/>
      <c r="DD30" s="167"/>
      <c r="DE30" s="167"/>
      <c r="DF30" s="167"/>
      <c r="DG30" s="168"/>
      <c r="DK30" s="170"/>
      <c r="DV30" s="171"/>
    </row>
    <row r="31" spans="2:126">
      <c r="B31" s="166"/>
      <c r="C31" s="167"/>
      <c r="D31" s="167"/>
      <c r="E31" s="167"/>
      <c r="F31" s="167"/>
      <c r="G31" s="167"/>
      <c r="H31" s="167"/>
      <c r="I31" s="167"/>
      <c r="J31" s="167"/>
      <c r="K31" s="167"/>
      <c r="L31" s="167"/>
      <c r="M31" s="167"/>
      <c r="N31" s="167"/>
      <c r="O31" s="167"/>
      <c r="P31" s="167"/>
      <c r="Q31" s="167"/>
      <c r="R31" s="167"/>
      <c r="S31" s="167"/>
      <c r="T31" s="167"/>
      <c r="U31" s="167"/>
      <c r="V31" s="167"/>
      <c r="W31" s="167"/>
      <c r="X31" s="167"/>
      <c r="Y31" s="167"/>
      <c r="Z31" s="167"/>
      <c r="AA31" s="167"/>
      <c r="AB31" s="167"/>
      <c r="AC31" s="167"/>
      <c r="AD31" s="167"/>
      <c r="AE31" s="167"/>
      <c r="AF31" s="167"/>
      <c r="AG31" s="167"/>
      <c r="AH31" s="167"/>
      <c r="AI31" s="167"/>
      <c r="AJ31" s="167"/>
      <c r="AK31" s="167"/>
      <c r="AL31" s="167"/>
      <c r="AM31" s="167"/>
      <c r="AN31" s="167"/>
      <c r="AO31" s="167"/>
      <c r="AP31" s="167"/>
      <c r="AQ31" s="167"/>
      <c r="AR31" s="168"/>
      <c r="AV31" s="166"/>
      <c r="AW31" s="167"/>
      <c r="AX31" s="167"/>
      <c r="AY31" s="167"/>
      <c r="AZ31" s="167"/>
      <c r="BA31" s="167"/>
      <c r="BB31" s="167"/>
      <c r="BC31" s="167"/>
      <c r="BD31" s="167"/>
      <c r="BE31" s="167"/>
      <c r="BF31" s="167"/>
      <c r="BG31" s="167"/>
      <c r="BH31" s="167"/>
      <c r="BI31" s="167"/>
      <c r="BJ31" s="167"/>
      <c r="BK31" s="167"/>
      <c r="BL31" s="167"/>
      <c r="BM31" s="167"/>
      <c r="BN31" s="167"/>
      <c r="BO31" s="167"/>
      <c r="BP31" s="167"/>
      <c r="BQ31" s="167"/>
      <c r="BR31" s="167"/>
      <c r="BS31" s="167"/>
      <c r="BT31" s="167"/>
      <c r="BU31" s="167"/>
      <c r="BV31" s="167"/>
      <c r="BW31" s="167"/>
      <c r="BX31" s="167"/>
      <c r="BY31" s="167"/>
      <c r="BZ31" s="168"/>
      <c r="CC31" s="166"/>
      <c r="CD31" s="167"/>
      <c r="CE31" s="167"/>
      <c r="CF31" s="167"/>
      <c r="CG31" s="167"/>
      <c r="CH31" s="167"/>
      <c r="CI31" s="167"/>
      <c r="CJ31" s="167"/>
      <c r="CK31" s="167"/>
      <c r="CL31" s="167"/>
      <c r="CM31" s="167"/>
      <c r="CN31" s="167"/>
      <c r="CO31" s="167"/>
      <c r="CP31" s="167"/>
      <c r="CQ31" s="167"/>
      <c r="CR31" s="167"/>
      <c r="CS31" s="167"/>
      <c r="CT31" s="167"/>
      <c r="CU31" s="167"/>
      <c r="CV31" s="167"/>
      <c r="CW31" s="167"/>
      <c r="CX31" s="167"/>
      <c r="CY31" s="167"/>
      <c r="CZ31" s="167"/>
      <c r="DA31" s="167"/>
      <c r="DB31" s="167"/>
      <c r="DC31" s="167"/>
      <c r="DD31" s="167"/>
      <c r="DE31" s="167"/>
      <c r="DF31" s="167"/>
      <c r="DG31" s="168"/>
      <c r="DK31" s="170"/>
      <c r="DV31" s="171"/>
    </row>
    <row r="32" spans="2:126">
      <c r="B32" s="166"/>
      <c r="C32" s="167"/>
      <c r="D32" s="167"/>
      <c r="E32" s="167"/>
      <c r="F32" s="167"/>
      <c r="G32" s="167"/>
      <c r="H32" s="167"/>
      <c r="I32" s="167"/>
      <c r="J32" s="167"/>
      <c r="K32" s="167"/>
      <c r="L32" s="167"/>
      <c r="M32" s="167"/>
      <c r="N32" s="167"/>
      <c r="O32" s="167"/>
      <c r="P32" s="167"/>
      <c r="Q32" s="167"/>
      <c r="R32" s="167"/>
      <c r="S32" s="167"/>
      <c r="T32" s="167"/>
      <c r="U32" s="167"/>
      <c r="V32" s="167"/>
      <c r="W32" s="162"/>
      <c r="X32" s="162"/>
      <c r="Y32" s="162"/>
      <c r="Z32" s="162"/>
      <c r="AA32" s="162"/>
      <c r="AB32" s="162"/>
      <c r="AC32" s="162"/>
      <c r="AD32" s="162"/>
      <c r="AE32" s="162"/>
      <c r="AF32" s="162"/>
      <c r="AG32" s="162"/>
      <c r="AH32" s="162"/>
      <c r="AI32" s="162"/>
      <c r="AJ32" s="162"/>
      <c r="AK32" s="162"/>
      <c r="AL32" s="162"/>
      <c r="AM32" s="162"/>
      <c r="AN32" s="162"/>
      <c r="AO32" s="162"/>
      <c r="AP32" s="162"/>
      <c r="AQ32" s="162"/>
      <c r="AR32" s="163"/>
      <c r="AV32" s="166"/>
      <c r="AW32" s="167"/>
      <c r="AX32" s="167"/>
      <c r="AY32" s="167"/>
      <c r="AZ32" s="167"/>
      <c r="BA32" s="167"/>
      <c r="BB32" s="167"/>
      <c r="BC32" s="167"/>
      <c r="BD32" s="167"/>
      <c r="BE32" s="167"/>
      <c r="BF32" s="167"/>
      <c r="BG32" s="167"/>
      <c r="BH32" s="167"/>
      <c r="BI32" s="167"/>
      <c r="BJ32" s="167"/>
      <c r="BK32" s="167"/>
      <c r="BL32" s="167"/>
      <c r="BM32" s="167"/>
      <c r="BN32" s="167"/>
      <c r="BO32" s="167"/>
      <c r="BP32" s="167"/>
      <c r="BQ32" s="162"/>
      <c r="BR32" s="162"/>
      <c r="BS32" s="162"/>
      <c r="BT32" s="162"/>
      <c r="BU32" s="162"/>
      <c r="BV32" s="162"/>
      <c r="BW32" s="162"/>
      <c r="BX32" s="162"/>
      <c r="BY32" s="162"/>
      <c r="BZ32" s="163"/>
      <c r="CC32" s="166"/>
      <c r="CD32" s="167"/>
      <c r="CE32" s="167"/>
      <c r="CF32" s="167"/>
      <c r="CG32" s="167"/>
      <c r="CH32" s="167"/>
      <c r="CI32" s="167"/>
      <c r="CJ32" s="167"/>
      <c r="CK32" s="167"/>
      <c r="CL32" s="167"/>
      <c r="CM32" s="167"/>
      <c r="CN32" s="167"/>
      <c r="CO32" s="167"/>
      <c r="CP32" s="167"/>
      <c r="CQ32" s="167"/>
      <c r="CR32" s="167"/>
      <c r="CS32" s="167"/>
      <c r="CT32" s="167"/>
      <c r="CU32" s="167"/>
      <c r="CV32" s="167"/>
      <c r="CW32" s="167"/>
      <c r="CX32" s="162"/>
      <c r="CY32" s="162"/>
      <c r="CZ32" s="162"/>
      <c r="DA32" s="162"/>
      <c r="DB32" s="162"/>
      <c r="DC32" s="162"/>
      <c r="DD32" s="162"/>
      <c r="DE32" s="162"/>
      <c r="DF32" s="162"/>
      <c r="DG32" s="163"/>
      <c r="DK32" s="170"/>
      <c r="DV32" s="171"/>
    </row>
    <row r="33" spans="2:126">
      <c r="B33" s="166"/>
      <c r="C33" s="167"/>
      <c r="D33" s="167"/>
      <c r="E33" s="167"/>
      <c r="F33" s="167"/>
      <c r="G33" s="167"/>
      <c r="H33" s="167"/>
      <c r="I33" s="167"/>
      <c r="J33" s="167"/>
      <c r="K33" s="167"/>
      <c r="L33" s="167"/>
      <c r="M33" s="167"/>
      <c r="N33" s="167"/>
      <c r="O33" s="167"/>
      <c r="P33" s="167"/>
      <c r="Q33" s="167"/>
      <c r="R33" s="167"/>
      <c r="S33" s="167"/>
      <c r="T33" s="167"/>
      <c r="U33" s="167"/>
      <c r="V33" s="167"/>
      <c r="W33" s="162"/>
      <c r="X33" s="162"/>
      <c r="Y33" s="162"/>
      <c r="Z33" s="162"/>
      <c r="AA33" s="162"/>
      <c r="AB33" s="162"/>
      <c r="AC33" s="162"/>
      <c r="AD33" s="162"/>
      <c r="AE33" s="162"/>
      <c r="AF33" s="162"/>
      <c r="AG33" s="162"/>
      <c r="AH33" s="162"/>
      <c r="AI33" s="162"/>
      <c r="AJ33" s="162"/>
      <c r="AK33" s="162"/>
      <c r="AL33" s="162"/>
      <c r="AM33" s="162"/>
      <c r="AN33" s="162"/>
      <c r="AO33" s="162"/>
      <c r="AP33" s="162"/>
      <c r="AQ33" s="162"/>
      <c r="AR33" s="163"/>
      <c r="AV33" s="166"/>
      <c r="AW33" s="167"/>
      <c r="AX33" s="167"/>
      <c r="AY33" s="167"/>
      <c r="AZ33" s="167"/>
      <c r="BA33" s="167"/>
      <c r="BB33" s="167"/>
      <c r="BC33" s="167"/>
      <c r="BD33" s="167"/>
      <c r="BE33" s="167"/>
      <c r="BF33" s="167"/>
      <c r="BG33" s="167"/>
      <c r="BH33" s="167"/>
      <c r="BI33" s="167"/>
      <c r="BJ33" s="167"/>
      <c r="BK33" s="167"/>
      <c r="BL33" s="167"/>
      <c r="BM33" s="167"/>
      <c r="BN33" s="167"/>
      <c r="BO33" s="167"/>
      <c r="BP33" s="167"/>
      <c r="BQ33" s="162"/>
      <c r="BR33" s="162"/>
      <c r="BS33" s="162"/>
      <c r="BT33" s="162"/>
      <c r="BU33" s="162"/>
      <c r="BV33" s="162"/>
      <c r="BW33" s="162"/>
      <c r="BX33" s="162"/>
      <c r="BY33" s="162"/>
      <c r="BZ33" s="163"/>
      <c r="CC33" s="166"/>
      <c r="CD33" s="167"/>
      <c r="CE33" s="167"/>
      <c r="CF33" s="167"/>
      <c r="CG33" s="167"/>
      <c r="CH33" s="167"/>
      <c r="CI33" s="167"/>
      <c r="CJ33" s="167"/>
      <c r="CK33" s="167"/>
      <c r="CL33" s="167"/>
      <c r="CM33" s="167"/>
      <c r="CN33" s="167"/>
      <c r="CO33" s="167"/>
      <c r="CP33" s="167"/>
      <c r="CQ33" s="167"/>
      <c r="CR33" s="167"/>
      <c r="CS33" s="167"/>
      <c r="CT33" s="167"/>
      <c r="CU33" s="167"/>
      <c r="CV33" s="167"/>
      <c r="CW33" s="167"/>
      <c r="CX33" s="162"/>
      <c r="CY33" s="162"/>
      <c r="CZ33" s="162"/>
      <c r="DA33" s="162"/>
      <c r="DB33" s="162"/>
      <c r="DC33" s="162"/>
      <c r="DD33" s="162"/>
      <c r="DE33" s="162"/>
      <c r="DF33" s="162"/>
      <c r="DG33" s="163"/>
      <c r="DK33" s="170"/>
      <c r="DV33" s="171"/>
    </row>
    <row r="34" spans="2:126">
      <c r="B34" s="166"/>
      <c r="C34" s="167"/>
      <c r="D34" s="167"/>
      <c r="E34" s="167"/>
      <c r="F34" s="167"/>
      <c r="G34" s="167"/>
      <c r="H34" s="167"/>
      <c r="I34" s="167"/>
      <c r="J34" s="167"/>
      <c r="K34" s="167"/>
      <c r="L34" s="167"/>
      <c r="M34" s="167"/>
      <c r="N34" s="167"/>
      <c r="O34" s="167"/>
      <c r="P34" s="167"/>
      <c r="Q34" s="167"/>
      <c r="R34" s="167"/>
      <c r="S34" s="167"/>
      <c r="T34" s="167"/>
      <c r="U34" s="167"/>
      <c r="V34" s="167"/>
      <c r="W34" s="162"/>
      <c r="X34" s="162"/>
      <c r="Y34" s="162"/>
      <c r="Z34" s="162"/>
      <c r="AA34" s="162"/>
      <c r="AB34" s="162"/>
      <c r="AC34" s="162"/>
      <c r="AD34" s="162"/>
      <c r="AE34" s="162"/>
      <c r="AF34" s="162"/>
      <c r="AG34" s="162"/>
      <c r="AH34" s="162"/>
      <c r="AI34" s="162"/>
      <c r="AJ34" s="162"/>
      <c r="AK34" s="162"/>
      <c r="AL34" s="162"/>
      <c r="AM34" s="162"/>
      <c r="AN34" s="162"/>
      <c r="AO34" s="162"/>
      <c r="AP34" s="162"/>
      <c r="AQ34" s="162"/>
      <c r="AR34" s="163"/>
      <c r="AV34" s="166"/>
      <c r="AW34" s="167"/>
      <c r="AX34" s="167"/>
      <c r="AY34" s="167"/>
      <c r="AZ34" s="167"/>
      <c r="BA34" s="167"/>
      <c r="BB34" s="167"/>
      <c r="BC34" s="167"/>
      <c r="BD34" s="167"/>
      <c r="BE34" s="167"/>
      <c r="BF34" s="167"/>
      <c r="BG34" s="167"/>
      <c r="BH34" s="167"/>
      <c r="BI34" s="167"/>
      <c r="BJ34" s="167"/>
      <c r="BK34" s="167"/>
      <c r="BL34" s="167"/>
      <c r="BM34" s="167"/>
      <c r="BN34" s="167"/>
      <c r="BO34" s="167"/>
      <c r="BP34" s="167"/>
      <c r="BQ34" s="162"/>
      <c r="BR34" s="162"/>
      <c r="BS34" s="162"/>
      <c r="BT34" s="162"/>
      <c r="BU34" s="162"/>
      <c r="BV34" s="162"/>
      <c r="BW34" s="162"/>
      <c r="BX34" s="162"/>
      <c r="BY34" s="162"/>
      <c r="BZ34" s="163"/>
      <c r="CC34" s="166"/>
      <c r="CD34" s="167"/>
      <c r="CE34" s="167"/>
      <c r="CF34" s="167"/>
      <c r="CG34" s="167"/>
      <c r="CH34" s="167"/>
      <c r="CI34" s="167"/>
      <c r="CJ34" s="167"/>
      <c r="CK34" s="167"/>
      <c r="CL34" s="167"/>
      <c r="CM34" s="167"/>
      <c r="CN34" s="167"/>
      <c r="CO34" s="167"/>
      <c r="CP34" s="167"/>
      <c r="CQ34" s="167"/>
      <c r="CR34" s="167"/>
      <c r="CS34" s="167"/>
      <c r="CT34" s="167"/>
      <c r="CU34" s="167"/>
      <c r="CV34" s="167"/>
      <c r="CW34" s="167"/>
      <c r="CX34" s="162"/>
      <c r="CY34" s="162"/>
      <c r="CZ34" s="162"/>
      <c r="DA34" s="162"/>
      <c r="DB34" s="162"/>
      <c r="DC34" s="162"/>
      <c r="DD34" s="162"/>
      <c r="DE34" s="162"/>
      <c r="DF34" s="162"/>
      <c r="DG34" s="163"/>
      <c r="DK34" s="170"/>
      <c r="DV34" s="171"/>
    </row>
    <row r="35" spans="2:126">
      <c r="B35" s="166"/>
      <c r="C35" s="167"/>
      <c r="D35" s="167"/>
      <c r="E35" s="167"/>
      <c r="F35" s="167"/>
      <c r="G35" s="167"/>
      <c r="H35" s="167"/>
      <c r="I35" s="167"/>
      <c r="J35" s="167"/>
      <c r="K35" s="167"/>
      <c r="L35" s="167"/>
      <c r="M35" s="167"/>
      <c r="N35" s="167"/>
      <c r="O35" s="167"/>
      <c r="P35" s="167"/>
      <c r="Q35" s="167"/>
      <c r="R35" s="167"/>
      <c r="S35" s="167"/>
      <c r="T35" s="167"/>
      <c r="U35" s="167"/>
      <c r="V35" s="167"/>
      <c r="W35" s="162"/>
      <c r="X35" s="162"/>
      <c r="Y35" s="162"/>
      <c r="Z35" s="162"/>
      <c r="AA35" s="162"/>
      <c r="AB35" s="162"/>
      <c r="AC35" s="162"/>
      <c r="AD35" s="162"/>
      <c r="AE35" s="162"/>
      <c r="AF35" s="162"/>
      <c r="AG35" s="162"/>
      <c r="AH35" s="162"/>
      <c r="AI35" s="162"/>
      <c r="AJ35" s="162"/>
      <c r="AK35" s="162"/>
      <c r="AL35" s="162"/>
      <c r="AM35" s="162"/>
      <c r="AN35" s="162"/>
      <c r="AO35" s="162"/>
      <c r="AP35" s="162"/>
      <c r="AQ35" s="162"/>
      <c r="AR35" s="163"/>
      <c r="AV35" s="166"/>
      <c r="AW35" s="167"/>
      <c r="AX35" s="167"/>
      <c r="AY35" s="167"/>
      <c r="AZ35" s="167"/>
      <c r="BA35" s="167"/>
      <c r="BB35" s="167"/>
      <c r="BC35" s="167"/>
      <c r="BD35" s="167"/>
      <c r="BE35" s="167"/>
      <c r="BF35" s="167"/>
      <c r="BG35" s="167"/>
      <c r="BH35" s="167"/>
      <c r="BI35" s="167"/>
      <c r="BJ35" s="167"/>
      <c r="BK35" s="167"/>
      <c r="BL35" s="167"/>
      <c r="BM35" s="167"/>
      <c r="BN35" s="167"/>
      <c r="BO35" s="167"/>
      <c r="BP35" s="167"/>
      <c r="BQ35" s="162"/>
      <c r="BR35" s="162"/>
      <c r="BS35" s="162"/>
      <c r="BT35" s="162"/>
      <c r="BU35" s="162"/>
      <c r="BV35" s="162"/>
      <c r="BW35" s="162"/>
      <c r="BX35" s="162"/>
      <c r="BY35" s="162"/>
      <c r="BZ35" s="163"/>
      <c r="CC35" s="166"/>
      <c r="CD35" s="167"/>
      <c r="CE35" s="167"/>
      <c r="CF35" s="167"/>
      <c r="CG35" s="167"/>
      <c r="CH35" s="167"/>
      <c r="CI35" s="167"/>
      <c r="CJ35" s="167"/>
      <c r="CK35" s="167"/>
      <c r="CL35" s="167"/>
      <c r="CM35" s="167"/>
      <c r="CN35" s="167"/>
      <c r="CO35" s="167"/>
      <c r="CP35" s="167"/>
      <c r="CQ35" s="167"/>
      <c r="CR35" s="167"/>
      <c r="CS35" s="167"/>
      <c r="CT35" s="167"/>
      <c r="CU35" s="167"/>
      <c r="CV35" s="167"/>
      <c r="CW35" s="167"/>
      <c r="CX35" s="162"/>
      <c r="CY35" s="162"/>
      <c r="CZ35" s="162"/>
      <c r="DA35" s="162"/>
      <c r="DB35" s="162"/>
      <c r="DC35" s="162"/>
      <c r="DD35" s="162"/>
      <c r="DE35" s="162"/>
      <c r="DF35" s="162"/>
      <c r="DG35" s="163"/>
      <c r="DK35" s="170"/>
      <c r="DL35" t="s">
        <v>1600</v>
      </c>
      <c r="DV35" s="171"/>
    </row>
    <row r="36" spans="2:126">
      <c r="B36" s="166"/>
      <c r="C36" s="167"/>
      <c r="D36" s="167"/>
      <c r="E36" s="167"/>
      <c r="F36" s="167"/>
      <c r="G36" s="167"/>
      <c r="H36" s="167"/>
      <c r="I36" s="167"/>
      <c r="J36" s="167"/>
      <c r="K36" s="167"/>
      <c r="L36" s="167"/>
      <c r="M36" s="167"/>
      <c r="N36" s="167"/>
      <c r="O36" s="167"/>
      <c r="P36" s="167"/>
      <c r="Q36" s="167"/>
      <c r="R36" s="167"/>
      <c r="S36" s="167"/>
      <c r="T36" s="167"/>
      <c r="U36" s="167"/>
      <c r="V36" s="167"/>
      <c r="W36" s="162"/>
      <c r="X36" s="162"/>
      <c r="Y36" s="162"/>
      <c r="Z36" s="162"/>
      <c r="AA36" s="162"/>
      <c r="AB36" s="162"/>
      <c r="AC36" s="162"/>
      <c r="AD36" s="162"/>
      <c r="AE36" s="162"/>
      <c r="AF36" s="162"/>
      <c r="AG36" s="162"/>
      <c r="AH36" s="162"/>
      <c r="AI36" s="162"/>
      <c r="AJ36" s="162"/>
      <c r="AK36" s="162"/>
      <c r="AL36" s="162"/>
      <c r="AM36" s="162"/>
      <c r="AN36" s="162"/>
      <c r="AO36" s="162"/>
      <c r="AP36" s="162"/>
      <c r="AQ36" s="162"/>
      <c r="AR36" s="163"/>
      <c r="AV36" s="166"/>
      <c r="AW36" s="167"/>
      <c r="AX36" s="167"/>
      <c r="AY36" s="167"/>
      <c r="AZ36" s="167"/>
      <c r="BA36" s="167"/>
      <c r="BB36" s="167"/>
      <c r="BC36" s="167"/>
      <c r="BD36" s="167"/>
      <c r="BE36" s="167"/>
      <c r="BF36" s="167"/>
      <c r="BG36" s="167"/>
      <c r="BH36" s="167"/>
      <c r="BI36" s="167"/>
      <c r="BJ36" s="167"/>
      <c r="BK36" s="167"/>
      <c r="BL36" s="167"/>
      <c r="BM36" s="167"/>
      <c r="BN36" s="167"/>
      <c r="BO36" s="167"/>
      <c r="BP36" s="167"/>
      <c r="BQ36" s="162"/>
      <c r="BR36" s="162"/>
      <c r="BS36" s="162"/>
      <c r="BT36" s="162"/>
      <c r="BU36" s="162"/>
      <c r="BV36" s="162"/>
      <c r="BW36" s="162"/>
      <c r="BX36" s="162"/>
      <c r="BY36" s="162"/>
      <c r="BZ36" s="163"/>
      <c r="CC36" s="166"/>
      <c r="CD36" s="167"/>
      <c r="CE36" s="167"/>
      <c r="CF36" s="167"/>
      <c r="CG36" s="167"/>
      <c r="CH36" s="167"/>
      <c r="CI36" s="167"/>
      <c r="CJ36" s="167"/>
      <c r="CK36" s="167"/>
      <c r="CL36" s="167"/>
      <c r="CM36" s="167"/>
      <c r="CN36" s="167"/>
      <c r="CO36" s="167"/>
      <c r="CP36" s="167"/>
      <c r="CQ36" s="167"/>
      <c r="CR36" s="167"/>
      <c r="CS36" s="167"/>
      <c r="CT36" s="167"/>
      <c r="CU36" s="167"/>
      <c r="CV36" s="167"/>
      <c r="CW36" s="167"/>
      <c r="CX36" s="162"/>
      <c r="CY36" s="162"/>
      <c r="CZ36" s="162"/>
      <c r="DA36" s="162"/>
      <c r="DB36" s="162"/>
      <c r="DC36" s="162"/>
      <c r="DD36" s="162"/>
      <c r="DE36" s="162"/>
      <c r="DF36" s="162"/>
      <c r="DG36" s="163"/>
      <c r="DL36" t="s">
        <v>1599</v>
      </c>
      <c r="DV36" s="171"/>
    </row>
    <row r="37" spans="2:126">
      <c r="B37" s="170"/>
      <c r="AR37" s="171"/>
      <c r="AV37" s="170"/>
      <c r="BZ37" s="171"/>
      <c r="CC37" s="170"/>
      <c r="DG37" s="171"/>
      <c r="DL37" t="s">
        <v>1602</v>
      </c>
      <c r="DV37" s="171"/>
    </row>
    <row r="38" spans="2:126">
      <c r="B38" s="173"/>
      <c r="C38" s="2113"/>
      <c r="D38" s="2113"/>
      <c r="E38" s="2113"/>
      <c r="F38" s="2113"/>
      <c r="G38" s="2113"/>
      <c r="H38" s="2113"/>
      <c r="I38" s="2113"/>
      <c r="J38" s="2114"/>
      <c r="K38" s="2114"/>
      <c r="L38" s="2114"/>
      <c r="M38" s="2114"/>
      <c r="N38" s="2114"/>
      <c r="O38" s="2114"/>
      <c r="P38" s="2114"/>
      <c r="Q38" s="2114"/>
      <c r="R38" s="2113"/>
      <c r="S38" s="2113"/>
      <c r="T38" s="2113"/>
      <c r="U38" s="2113"/>
      <c r="V38" s="2113"/>
      <c r="W38" s="2113"/>
      <c r="X38" s="2113"/>
      <c r="Y38" s="2111"/>
      <c r="Z38" s="2111"/>
      <c r="AA38" s="1573"/>
      <c r="AB38" s="1573"/>
      <c r="AC38" s="1573"/>
      <c r="AD38" s="1573"/>
      <c r="AE38" s="2111"/>
      <c r="AF38" s="2111"/>
      <c r="AG38" s="2114"/>
      <c r="AH38" s="2114"/>
      <c r="AI38" s="2114"/>
      <c r="AJ38" s="2114"/>
      <c r="AK38" s="2114"/>
      <c r="AL38" s="2114"/>
      <c r="AM38" s="2114"/>
      <c r="AN38" s="2114"/>
      <c r="AO38" s="2114"/>
      <c r="AP38" s="2114"/>
      <c r="AQ38" s="2114"/>
      <c r="AR38" s="2119"/>
      <c r="AT38" s="169"/>
      <c r="AU38" s="169"/>
      <c r="AV38" s="173"/>
      <c r="AW38" s="2113"/>
      <c r="AX38" s="2113"/>
      <c r="AY38" s="2113"/>
      <c r="AZ38" s="2113"/>
      <c r="BA38" s="2113"/>
      <c r="BB38" s="2113"/>
      <c r="BC38" s="2113"/>
      <c r="BD38" s="2114"/>
      <c r="BE38" s="2114"/>
      <c r="BF38" s="2114"/>
      <c r="BG38" s="2114"/>
      <c r="BH38" s="2114"/>
      <c r="BI38" s="2114"/>
      <c r="BJ38" s="2114"/>
      <c r="BK38" s="2114"/>
      <c r="BL38" s="2113"/>
      <c r="BM38" s="2113"/>
      <c r="BN38" s="2113"/>
      <c r="BO38" s="2113"/>
      <c r="BP38" s="2113"/>
      <c r="BQ38" s="2113"/>
      <c r="BR38" s="2113"/>
      <c r="BS38" s="2111"/>
      <c r="BT38" s="2111"/>
      <c r="BU38" s="2111"/>
      <c r="BV38" s="2111"/>
      <c r="BW38" s="2114"/>
      <c r="BX38" s="2114"/>
      <c r="BY38" s="2114"/>
      <c r="BZ38" s="2119"/>
      <c r="CB38" s="169"/>
      <c r="CC38" s="173"/>
      <c r="CD38" s="2113"/>
      <c r="CE38" s="2113"/>
      <c r="CF38" s="2113"/>
      <c r="CG38" s="2113"/>
      <c r="CH38" s="2113"/>
      <c r="CI38" s="2113"/>
      <c r="CJ38" s="2113"/>
      <c r="CK38" s="2114"/>
      <c r="CL38" s="2114"/>
      <c r="CM38" s="2114"/>
      <c r="CN38" s="2114"/>
      <c r="CO38" s="2114"/>
      <c r="CP38" s="2114"/>
      <c r="CQ38" s="2114"/>
      <c r="CR38" s="2114"/>
      <c r="CS38" s="2113"/>
      <c r="CT38" s="2113"/>
      <c r="CU38" s="2113"/>
      <c r="CV38" s="2113"/>
      <c r="CW38" s="2113"/>
      <c r="CX38" s="2113"/>
      <c r="CY38" s="2113"/>
      <c r="CZ38" s="2111"/>
      <c r="DA38" s="2111"/>
      <c r="DB38" s="2111"/>
      <c r="DC38" s="2111"/>
      <c r="DD38" s="2114"/>
      <c r="DE38" s="2114"/>
      <c r="DF38" s="2114"/>
      <c r="DG38" s="2119"/>
      <c r="DK38" s="170"/>
      <c r="DL38" t="s">
        <v>1601</v>
      </c>
      <c r="DV38" s="171"/>
    </row>
    <row r="39" spans="2:126">
      <c r="B39" s="172"/>
      <c r="C39" s="2113"/>
      <c r="D39" s="2113"/>
      <c r="E39" s="2113"/>
      <c r="F39" s="2113"/>
      <c r="G39" s="2113"/>
      <c r="H39" s="2113"/>
      <c r="I39" s="2113"/>
      <c r="J39" s="2114"/>
      <c r="K39" s="2114"/>
      <c r="L39" s="2114"/>
      <c r="M39" s="2114"/>
      <c r="N39" s="2114"/>
      <c r="O39" s="2114"/>
      <c r="P39" s="2114"/>
      <c r="Q39" s="2114"/>
      <c r="R39" s="2113"/>
      <c r="S39" s="2113"/>
      <c r="T39" s="2113"/>
      <c r="U39" s="2113"/>
      <c r="V39" s="2113"/>
      <c r="W39" s="2113"/>
      <c r="X39" s="2113"/>
      <c r="Y39" s="2111"/>
      <c r="Z39" s="2111"/>
      <c r="AA39" s="1573"/>
      <c r="AB39" s="1573"/>
      <c r="AC39" s="1573"/>
      <c r="AD39" s="1573"/>
      <c r="AE39" s="2111"/>
      <c r="AF39" s="2111"/>
      <c r="AG39" s="2111"/>
      <c r="AH39" s="2111"/>
      <c r="AI39" s="2111"/>
      <c r="AJ39" s="2111"/>
      <c r="AK39" s="2111"/>
      <c r="AL39" s="2111"/>
      <c r="AM39" s="2111"/>
      <c r="AN39" s="2111"/>
      <c r="AO39" s="2111"/>
      <c r="AP39" s="2111"/>
      <c r="AQ39" s="2111"/>
      <c r="AR39" s="2112"/>
      <c r="AT39" s="169"/>
      <c r="AU39" s="169"/>
      <c r="AV39" s="172"/>
      <c r="AW39" s="2113"/>
      <c r="AX39" s="2113"/>
      <c r="AY39" s="2113"/>
      <c r="AZ39" s="2113"/>
      <c r="BA39" s="2113"/>
      <c r="BB39" s="2113"/>
      <c r="BC39" s="2113"/>
      <c r="BD39" s="2114"/>
      <c r="BE39" s="2114"/>
      <c r="BF39" s="2114"/>
      <c r="BG39" s="2114"/>
      <c r="BH39" s="2114"/>
      <c r="BI39" s="2114"/>
      <c r="BJ39" s="2114"/>
      <c r="BK39" s="2114"/>
      <c r="BL39" s="2113"/>
      <c r="BM39" s="2113"/>
      <c r="BN39" s="2113"/>
      <c r="BO39" s="2113"/>
      <c r="BP39" s="2113"/>
      <c r="BQ39" s="2113"/>
      <c r="BR39" s="2113"/>
      <c r="BS39" s="2111"/>
      <c r="BT39" s="2111"/>
      <c r="BU39" s="2111"/>
      <c r="BV39" s="2111"/>
      <c r="BW39" s="2111"/>
      <c r="BX39" s="2111"/>
      <c r="BY39" s="2111"/>
      <c r="BZ39" s="2112"/>
      <c r="CB39" s="169"/>
      <c r="CC39" s="172"/>
      <c r="CD39" s="2113"/>
      <c r="CE39" s="2113"/>
      <c r="CF39" s="2113"/>
      <c r="CG39" s="2113"/>
      <c r="CH39" s="2113"/>
      <c r="CI39" s="2113"/>
      <c r="CJ39" s="2113"/>
      <c r="CK39" s="2114"/>
      <c r="CL39" s="2114"/>
      <c r="CM39" s="2114"/>
      <c r="CN39" s="2114"/>
      <c r="CO39" s="2114"/>
      <c r="CP39" s="2114"/>
      <c r="CQ39" s="2114"/>
      <c r="CR39" s="2114"/>
      <c r="CS39" s="2113"/>
      <c r="CT39" s="2113"/>
      <c r="CU39" s="2113"/>
      <c r="CV39" s="2113"/>
      <c r="CW39" s="2113"/>
      <c r="CX39" s="2113"/>
      <c r="CY39" s="2113"/>
      <c r="CZ39" s="2111"/>
      <c r="DA39" s="2111"/>
      <c r="DB39" s="2111"/>
      <c r="DC39" s="2111"/>
      <c r="DD39" s="2111"/>
      <c r="DE39" s="2111"/>
      <c r="DF39" s="2111"/>
      <c r="DG39" s="2112"/>
      <c r="DK39" s="170"/>
      <c r="DV39" s="171"/>
    </row>
    <row r="40" spans="2:126">
      <c r="B40" s="173"/>
      <c r="C40" s="2113"/>
      <c r="D40" s="2113"/>
      <c r="E40" s="2113"/>
      <c r="F40" s="2113"/>
      <c r="G40" s="2113"/>
      <c r="H40" s="2113"/>
      <c r="I40" s="2113"/>
      <c r="J40" s="2114"/>
      <c r="K40" s="2114"/>
      <c r="L40" s="2114"/>
      <c r="M40" s="2114"/>
      <c r="N40" s="2114"/>
      <c r="O40" s="2114"/>
      <c r="P40" s="2114"/>
      <c r="Q40" s="2114"/>
      <c r="R40" s="2113"/>
      <c r="S40" s="2113"/>
      <c r="T40" s="2113"/>
      <c r="U40" s="2113"/>
      <c r="V40" s="2113"/>
      <c r="W40" s="2113"/>
      <c r="X40" s="2113"/>
      <c r="Y40" s="2111"/>
      <c r="Z40" s="2111"/>
      <c r="AA40" s="1573"/>
      <c r="AB40" s="1573"/>
      <c r="AC40" s="1573"/>
      <c r="AD40" s="1573"/>
      <c r="AE40" s="2111"/>
      <c r="AF40" s="2111"/>
      <c r="AG40" s="2114"/>
      <c r="AH40" s="2114"/>
      <c r="AI40" s="2114"/>
      <c r="AJ40" s="2114"/>
      <c r="AK40" s="2114"/>
      <c r="AL40" s="2114"/>
      <c r="AM40" s="2114"/>
      <c r="AN40" s="2114"/>
      <c r="AO40" s="2114"/>
      <c r="AP40" s="2114"/>
      <c r="AQ40" s="2114"/>
      <c r="AR40" s="2119"/>
      <c r="AT40" s="169"/>
      <c r="AU40" s="169"/>
      <c r="AV40" s="173"/>
      <c r="AW40" s="2113"/>
      <c r="AX40" s="2113"/>
      <c r="AY40" s="2113"/>
      <c r="AZ40" s="2113"/>
      <c r="BA40" s="2113"/>
      <c r="BB40" s="2113"/>
      <c r="BC40" s="2113"/>
      <c r="BD40" s="2114"/>
      <c r="BE40" s="2114"/>
      <c r="BF40" s="2114"/>
      <c r="BG40" s="2114"/>
      <c r="BH40" s="2114"/>
      <c r="BI40" s="2114"/>
      <c r="BJ40" s="2114"/>
      <c r="BK40" s="2114"/>
      <c r="BL40" s="2113"/>
      <c r="BM40" s="2113"/>
      <c r="BN40" s="2113"/>
      <c r="BO40" s="2113"/>
      <c r="BP40" s="2113"/>
      <c r="BQ40" s="2113"/>
      <c r="BR40" s="2113"/>
      <c r="BS40" s="2111"/>
      <c r="BT40" s="2111"/>
      <c r="BU40" s="2111"/>
      <c r="BV40" s="2111"/>
      <c r="BW40" s="2114"/>
      <c r="BX40" s="2114"/>
      <c r="BY40" s="2114"/>
      <c r="BZ40" s="2119"/>
      <c r="CB40" s="169"/>
      <c r="CC40" s="173"/>
      <c r="CD40" s="2113"/>
      <c r="CE40" s="2113"/>
      <c r="CF40" s="2113"/>
      <c r="CG40" s="2113"/>
      <c r="CH40" s="2113"/>
      <c r="CI40" s="2113"/>
      <c r="CJ40" s="2113"/>
      <c r="CK40" s="2114"/>
      <c r="CL40" s="2114"/>
      <c r="CM40" s="2114"/>
      <c r="CN40" s="2114"/>
      <c r="CO40" s="2114"/>
      <c r="CP40" s="2114"/>
      <c r="CQ40" s="2114"/>
      <c r="CR40" s="2114"/>
      <c r="CS40" s="2113"/>
      <c r="CT40" s="2113"/>
      <c r="CU40" s="2113"/>
      <c r="CV40" s="2113"/>
      <c r="CW40" s="2113"/>
      <c r="CX40" s="2113"/>
      <c r="CY40" s="2113"/>
      <c r="CZ40" s="2111"/>
      <c r="DA40" s="2111"/>
      <c r="DB40" s="2111"/>
      <c r="DC40" s="2111"/>
      <c r="DD40" s="2114"/>
      <c r="DE40" s="2114"/>
      <c r="DF40" s="2114"/>
      <c r="DG40" s="2119"/>
      <c r="DK40" s="170"/>
      <c r="DV40" s="171"/>
    </row>
    <row r="41" spans="2:126">
      <c r="B41" s="172"/>
      <c r="C41" s="2113"/>
      <c r="D41" s="2113"/>
      <c r="E41" s="2113"/>
      <c r="F41" s="2113"/>
      <c r="G41" s="2113"/>
      <c r="H41" s="2113"/>
      <c r="I41" s="2113"/>
      <c r="J41" s="2114"/>
      <c r="K41" s="2114"/>
      <c r="L41" s="2114"/>
      <c r="M41" s="2114"/>
      <c r="N41" s="2114"/>
      <c r="O41" s="2114"/>
      <c r="P41" s="2114"/>
      <c r="Q41" s="2114"/>
      <c r="R41" s="2113"/>
      <c r="S41" s="2113"/>
      <c r="T41" s="2113"/>
      <c r="U41" s="2113"/>
      <c r="V41" s="2113"/>
      <c r="W41" s="2113"/>
      <c r="X41" s="2113"/>
      <c r="Y41" s="2111"/>
      <c r="Z41" s="2111"/>
      <c r="AA41" s="1573"/>
      <c r="AB41" s="1573"/>
      <c r="AC41" s="1573"/>
      <c r="AD41" s="1573"/>
      <c r="AE41" s="2111"/>
      <c r="AF41" s="2111"/>
      <c r="AG41" s="2111"/>
      <c r="AH41" s="2111"/>
      <c r="AI41" s="2111"/>
      <c r="AJ41" s="2111"/>
      <c r="AK41" s="2111"/>
      <c r="AL41" s="2111"/>
      <c r="AM41" s="2111"/>
      <c r="AN41" s="2111"/>
      <c r="AO41" s="2111"/>
      <c r="AP41" s="2111"/>
      <c r="AQ41" s="2111"/>
      <c r="AR41" s="2112"/>
      <c r="AT41" s="169"/>
      <c r="AU41" s="169"/>
      <c r="AV41" s="172"/>
      <c r="AW41" s="2113"/>
      <c r="AX41" s="2113"/>
      <c r="AY41" s="2113"/>
      <c r="AZ41" s="2113"/>
      <c r="BA41" s="2113"/>
      <c r="BB41" s="2113"/>
      <c r="BC41" s="2113"/>
      <c r="BD41" s="2114"/>
      <c r="BE41" s="2114"/>
      <c r="BF41" s="2114"/>
      <c r="BG41" s="2114"/>
      <c r="BH41" s="2114"/>
      <c r="BI41" s="2114"/>
      <c r="BJ41" s="2114"/>
      <c r="BK41" s="2114"/>
      <c r="BL41" s="2113"/>
      <c r="BM41" s="2113"/>
      <c r="BN41" s="2113"/>
      <c r="BO41" s="2113"/>
      <c r="BP41" s="2113"/>
      <c r="BQ41" s="2113"/>
      <c r="BR41" s="2113"/>
      <c r="BS41" s="2111"/>
      <c r="BT41" s="2111"/>
      <c r="BU41" s="2111"/>
      <c r="BV41" s="2111"/>
      <c r="BW41" s="2111"/>
      <c r="BX41" s="2111"/>
      <c r="BY41" s="2111"/>
      <c r="BZ41" s="2112"/>
      <c r="CB41" s="169"/>
      <c r="CC41" s="172"/>
      <c r="CD41" s="2113"/>
      <c r="CE41" s="2113"/>
      <c r="CF41" s="2113"/>
      <c r="CG41" s="2113"/>
      <c r="CH41" s="2113"/>
      <c r="CI41" s="2113"/>
      <c r="CJ41" s="2113"/>
      <c r="CK41" s="2114"/>
      <c r="CL41" s="2114"/>
      <c r="CM41" s="2114"/>
      <c r="CN41" s="2114"/>
      <c r="CO41" s="2114"/>
      <c r="CP41" s="2114"/>
      <c r="CQ41" s="2114"/>
      <c r="CR41" s="2114"/>
      <c r="CS41" s="2113"/>
      <c r="CT41" s="2113"/>
      <c r="CU41" s="2113"/>
      <c r="CV41" s="2113"/>
      <c r="CW41" s="2113"/>
      <c r="CX41" s="2113"/>
      <c r="CY41" s="2113"/>
      <c r="CZ41" s="2111"/>
      <c r="DA41" s="2111"/>
      <c r="DB41" s="2111"/>
      <c r="DC41" s="2111"/>
      <c r="DD41" s="2111"/>
      <c r="DE41" s="2111"/>
      <c r="DF41" s="2111"/>
      <c r="DG41" s="2112"/>
      <c r="DK41" s="170"/>
      <c r="DV41" s="171"/>
    </row>
    <row r="42" spans="2:126">
      <c r="B42" s="173"/>
      <c r="C42" s="2113"/>
      <c r="D42" s="2113"/>
      <c r="E42" s="2113"/>
      <c r="F42" s="2113"/>
      <c r="G42" s="2113"/>
      <c r="H42" s="2113"/>
      <c r="I42" s="2113"/>
      <c r="J42" s="2114"/>
      <c r="K42" s="2114"/>
      <c r="L42" s="2114"/>
      <c r="M42" s="2114"/>
      <c r="N42" s="2114"/>
      <c r="O42" s="2114"/>
      <c r="P42" s="2114"/>
      <c r="Q42" s="2114"/>
      <c r="R42" s="2113"/>
      <c r="S42" s="2113"/>
      <c r="T42" s="2113"/>
      <c r="U42" s="2113"/>
      <c r="V42" s="2113"/>
      <c r="W42" s="2113"/>
      <c r="X42" s="2113"/>
      <c r="Y42" s="2111"/>
      <c r="Z42" s="2111"/>
      <c r="AA42" s="1573"/>
      <c r="AB42" s="1573"/>
      <c r="AC42" s="1573"/>
      <c r="AD42" s="1573"/>
      <c r="AE42" s="2111"/>
      <c r="AF42" s="2111"/>
      <c r="AG42" s="2111"/>
      <c r="AH42" s="2111"/>
      <c r="AI42" s="2111"/>
      <c r="AJ42" s="2111"/>
      <c r="AK42" s="2111"/>
      <c r="AL42" s="2111"/>
      <c r="AM42" s="2111"/>
      <c r="AN42" s="2111"/>
      <c r="AO42" s="2111"/>
      <c r="AP42" s="2111"/>
      <c r="AQ42" s="2111"/>
      <c r="AR42" s="2112"/>
      <c r="AT42" s="169"/>
      <c r="AU42" s="169"/>
      <c r="AV42" s="173"/>
      <c r="AW42" s="2113"/>
      <c r="AX42" s="2113"/>
      <c r="AY42" s="2113"/>
      <c r="AZ42" s="2113"/>
      <c r="BA42" s="2113"/>
      <c r="BB42" s="2113"/>
      <c r="BC42" s="2113"/>
      <c r="BD42" s="2114"/>
      <c r="BE42" s="2114"/>
      <c r="BF42" s="2114"/>
      <c r="BG42" s="2114"/>
      <c r="BH42" s="2114"/>
      <c r="BI42" s="2114"/>
      <c r="BJ42" s="2114"/>
      <c r="BK42" s="2114"/>
      <c r="BL42" s="2113"/>
      <c r="BM42" s="2113"/>
      <c r="BN42" s="2113"/>
      <c r="BO42" s="2113"/>
      <c r="BP42" s="2113"/>
      <c r="BQ42" s="2113"/>
      <c r="BR42" s="2113"/>
      <c r="BS42" s="2111"/>
      <c r="BT42" s="2111"/>
      <c r="BU42" s="2111"/>
      <c r="BV42" s="2111"/>
      <c r="BW42" s="2111"/>
      <c r="BX42" s="2111"/>
      <c r="BY42" s="2111"/>
      <c r="BZ42" s="2112"/>
      <c r="CB42" s="169"/>
      <c r="CC42" s="173"/>
      <c r="CD42" s="2113"/>
      <c r="CE42" s="2113"/>
      <c r="CF42" s="2113"/>
      <c r="CG42" s="2113"/>
      <c r="CH42" s="2113"/>
      <c r="CI42" s="2113"/>
      <c r="CJ42" s="2113"/>
      <c r="CK42" s="2114"/>
      <c r="CL42" s="2114"/>
      <c r="CM42" s="2114"/>
      <c r="CN42" s="2114"/>
      <c r="CO42" s="2114"/>
      <c r="CP42" s="2114"/>
      <c r="CQ42" s="2114"/>
      <c r="CR42" s="2114"/>
      <c r="CS42" s="2113"/>
      <c r="CT42" s="2113"/>
      <c r="CU42" s="2113"/>
      <c r="CV42" s="2113"/>
      <c r="CW42" s="2113"/>
      <c r="CX42" s="2113"/>
      <c r="CY42" s="2113"/>
      <c r="CZ42" s="2111"/>
      <c r="DA42" s="2111"/>
      <c r="DB42" s="2111"/>
      <c r="DC42" s="2111"/>
      <c r="DD42" s="2111"/>
      <c r="DE42" s="2111"/>
      <c r="DF42" s="2111"/>
      <c r="DG42" s="2112"/>
      <c r="DK42" s="170"/>
      <c r="DV42" s="171"/>
    </row>
    <row r="43" spans="2:126">
      <c r="B43" s="172"/>
      <c r="C43" s="2113"/>
      <c r="D43" s="2113"/>
      <c r="E43" s="2113"/>
      <c r="F43" s="2113"/>
      <c r="G43" s="2113"/>
      <c r="H43" s="2113"/>
      <c r="I43" s="2113"/>
      <c r="J43" s="2114"/>
      <c r="K43" s="2114"/>
      <c r="L43" s="2114"/>
      <c r="M43" s="2114"/>
      <c r="N43" s="2114"/>
      <c r="O43" s="2114"/>
      <c r="P43" s="2114"/>
      <c r="Q43" s="2114"/>
      <c r="R43" s="2113"/>
      <c r="S43" s="2113"/>
      <c r="T43" s="2113"/>
      <c r="U43" s="2113"/>
      <c r="V43" s="2113"/>
      <c r="W43" s="2113"/>
      <c r="X43" s="2113"/>
      <c r="Y43" s="2111"/>
      <c r="Z43" s="2111"/>
      <c r="AA43" s="1573"/>
      <c r="AB43" s="1573"/>
      <c r="AC43" s="1573"/>
      <c r="AD43" s="1573"/>
      <c r="AE43" s="2111"/>
      <c r="AF43" s="2111"/>
      <c r="AG43" s="2111"/>
      <c r="AH43" s="2111"/>
      <c r="AI43" s="2111"/>
      <c r="AJ43" s="2111"/>
      <c r="AK43" s="2111"/>
      <c r="AL43" s="2111"/>
      <c r="AM43" s="2111"/>
      <c r="AN43" s="2111"/>
      <c r="AO43" s="2111"/>
      <c r="AP43" s="2111"/>
      <c r="AQ43" s="2111"/>
      <c r="AR43" s="2112"/>
      <c r="AT43" s="169"/>
      <c r="AU43" s="169"/>
      <c r="AV43" s="172"/>
      <c r="AW43" s="2113"/>
      <c r="AX43" s="2113"/>
      <c r="AY43" s="2113"/>
      <c r="AZ43" s="2113"/>
      <c r="BA43" s="2113"/>
      <c r="BB43" s="2113"/>
      <c r="BC43" s="2113"/>
      <c r="BD43" s="2114"/>
      <c r="BE43" s="2114"/>
      <c r="BF43" s="2114"/>
      <c r="BG43" s="2114"/>
      <c r="BH43" s="2114"/>
      <c r="BI43" s="2114"/>
      <c r="BJ43" s="2114"/>
      <c r="BK43" s="2114"/>
      <c r="BL43" s="2113"/>
      <c r="BM43" s="2113"/>
      <c r="BN43" s="2113"/>
      <c r="BO43" s="2113"/>
      <c r="BP43" s="2113"/>
      <c r="BQ43" s="2113"/>
      <c r="BR43" s="2113"/>
      <c r="BS43" s="2111"/>
      <c r="BT43" s="2111"/>
      <c r="BU43" s="2111"/>
      <c r="BV43" s="2111"/>
      <c r="BW43" s="2111"/>
      <c r="BX43" s="2111"/>
      <c r="BY43" s="2111"/>
      <c r="BZ43" s="2112"/>
      <c r="CB43" s="169"/>
      <c r="CC43" s="172"/>
      <c r="CD43" s="2113"/>
      <c r="CE43" s="2113"/>
      <c r="CF43" s="2113"/>
      <c r="CG43" s="2113"/>
      <c r="CH43" s="2113"/>
      <c r="CI43" s="2113"/>
      <c r="CJ43" s="2113"/>
      <c r="CK43" s="2114"/>
      <c r="CL43" s="2114"/>
      <c r="CM43" s="2114"/>
      <c r="CN43" s="2114"/>
      <c r="CO43" s="2114"/>
      <c r="CP43" s="2114"/>
      <c r="CQ43" s="2114"/>
      <c r="CR43" s="2114"/>
      <c r="CS43" s="2113"/>
      <c r="CT43" s="2113"/>
      <c r="CU43" s="2113"/>
      <c r="CV43" s="2113"/>
      <c r="CW43" s="2113"/>
      <c r="CX43" s="2113"/>
      <c r="CY43" s="2113"/>
      <c r="CZ43" s="2111"/>
      <c r="DA43" s="2111"/>
      <c r="DB43" s="2111"/>
      <c r="DC43" s="2111"/>
      <c r="DD43" s="2111"/>
      <c r="DE43" s="2111"/>
      <c r="DF43" s="2111"/>
      <c r="DG43" s="2112"/>
      <c r="DK43" s="170"/>
      <c r="DV43" s="171"/>
    </row>
    <row r="44" spans="2:126">
      <c r="B44" s="173"/>
      <c r="C44" s="2113"/>
      <c r="D44" s="2113"/>
      <c r="E44" s="2113"/>
      <c r="F44" s="2113"/>
      <c r="G44" s="2113"/>
      <c r="H44" s="2113"/>
      <c r="I44" s="2113"/>
      <c r="J44" s="2114"/>
      <c r="K44" s="2114"/>
      <c r="L44" s="2114"/>
      <c r="M44" s="2114"/>
      <c r="N44" s="2114"/>
      <c r="O44" s="2114"/>
      <c r="P44" s="2114"/>
      <c r="Q44" s="2114"/>
      <c r="R44" s="2113"/>
      <c r="S44" s="2113"/>
      <c r="T44" s="2113"/>
      <c r="U44" s="2113"/>
      <c r="V44" s="2113"/>
      <c r="W44" s="2113"/>
      <c r="X44" s="2113"/>
      <c r="Y44" s="2111"/>
      <c r="Z44" s="2111"/>
      <c r="AA44" s="1573"/>
      <c r="AB44" s="1573"/>
      <c r="AC44" s="1573"/>
      <c r="AD44" s="1573"/>
      <c r="AE44" s="2111"/>
      <c r="AF44" s="2111"/>
      <c r="AG44" s="2111"/>
      <c r="AH44" s="2111"/>
      <c r="AI44" s="2111"/>
      <c r="AJ44" s="2111"/>
      <c r="AK44" s="2111"/>
      <c r="AL44" s="2111"/>
      <c r="AM44" s="2111"/>
      <c r="AN44" s="2111"/>
      <c r="AO44" s="2111"/>
      <c r="AP44" s="2111"/>
      <c r="AQ44" s="2111"/>
      <c r="AR44" s="2112"/>
      <c r="AT44" s="169"/>
      <c r="AU44" s="169"/>
      <c r="AV44" s="173"/>
      <c r="AW44" s="2113"/>
      <c r="AX44" s="2113"/>
      <c r="AY44" s="2113"/>
      <c r="AZ44" s="2113"/>
      <c r="BA44" s="2113"/>
      <c r="BB44" s="2113"/>
      <c r="BC44" s="2113"/>
      <c r="BD44" s="2114"/>
      <c r="BE44" s="2114"/>
      <c r="BF44" s="2114"/>
      <c r="BG44" s="2114"/>
      <c r="BH44" s="2114"/>
      <c r="BI44" s="2114"/>
      <c r="BJ44" s="2114"/>
      <c r="BK44" s="2114"/>
      <c r="BL44" s="2113"/>
      <c r="BM44" s="2113"/>
      <c r="BN44" s="2113"/>
      <c r="BO44" s="2113"/>
      <c r="BP44" s="2113"/>
      <c r="BQ44" s="2113"/>
      <c r="BR44" s="2113"/>
      <c r="BS44" s="2111"/>
      <c r="BT44" s="2111"/>
      <c r="BU44" s="2111"/>
      <c r="BV44" s="2111"/>
      <c r="BW44" s="2111"/>
      <c r="BX44" s="2111"/>
      <c r="BY44" s="2111"/>
      <c r="BZ44" s="2112"/>
      <c r="CB44" s="169"/>
      <c r="CC44" s="173"/>
      <c r="CD44" s="2113"/>
      <c r="CE44" s="2113"/>
      <c r="CF44" s="2113"/>
      <c r="CG44" s="2113"/>
      <c r="CH44" s="2113"/>
      <c r="CI44" s="2113"/>
      <c r="CJ44" s="2113"/>
      <c r="CK44" s="2114"/>
      <c r="CL44" s="2114"/>
      <c r="CM44" s="2114"/>
      <c r="CN44" s="2114"/>
      <c r="CO44" s="2114"/>
      <c r="CP44" s="2114"/>
      <c r="CQ44" s="2114"/>
      <c r="CR44" s="2114"/>
      <c r="CS44" s="2113"/>
      <c r="CT44" s="2113"/>
      <c r="CU44" s="2113"/>
      <c r="CV44" s="2113"/>
      <c r="CW44" s="2113"/>
      <c r="CX44" s="2113"/>
      <c r="CY44" s="2113"/>
      <c r="CZ44" s="2111"/>
      <c r="DA44" s="2111"/>
      <c r="DB44" s="2111"/>
      <c r="DC44" s="2111"/>
      <c r="DD44" s="2111"/>
      <c r="DE44" s="2111"/>
      <c r="DF44" s="2111"/>
      <c r="DG44" s="2112"/>
      <c r="DK44" s="170"/>
      <c r="DV44" s="171"/>
    </row>
    <row r="45" spans="2:126">
      <c r="B45" s="172"/>
      <c r="C45" s="2113"/>
      <c r="D45" s="2113"/>
      <c r="E45" s="2113"/>
      <c r="F45" s="2113"/>
      <c r="G45" s="2113"/>
      <c r="H45" s="2113"/>
      <c r="I45" s="2113"/>
      <c r="J45" s="2114"/>
      <c r="K45" s="2114"/>
      <c r="L45" s="2114"/>
      <c r="M45" s="2114"/>
      <c r="N45" s="2114"/>
      <c r="O45" s="2114"/>
      <c r="P45" s="2114"/>
      <c r="Q45" s="2114"/>
      <c r="R45" s="2113"/>
      <c r="S45" s="2113"/>
      <c r="T45" s="2113"/>
      <c r="U45" s="2113"/>
      <c r="V45" s="2113"/>
      <c r="W45" s="2113"/>
      <c r="X45" s="2113"/>
      <c r="Y45" s="2111"/>
      <c r="Z45" s="2111"/>
      <c r="AA45" s="1573"/>
      <c r="AB45" s="1573"/>
      <c r="AC45" s="1573"/>
      <c r="AD45" s="1573"/>
      <c r="AE45" s="2111"/>
      <c r="AF45" s="2111"/>
      <c r="AG45" s="2111"/>
      <c r="AH45" s="2111"/>
      <c r="AI45" s="2111"/>
      <c r="AJ45" s="2111"/>
      <c r="AK45" s="2111"/>
      <c r="AL45" s="2111"/>
      <c r="AM45" s="2111"/>
      <c r="AN45" s="2111"/>
      <c r="AO45" s="2111"/>
      <c r="AP45" s="2111"/>
      <c r="AQ45" s="2111"/>
      <c r="AR45" s="2112"/>
      <c r="AT45" s="169"/>
      <c r="AU45" s="169"/>
      <c r="AV45" s="172"/>
      <c r="AW45" s="2113"/>
      <c r="AX45" s="2113"/>
      <c r="AY45" s="2113"/>
      <c r="AZ45" s="2113"/>
      <c r="BA45" s="2113"/>
      <c r="BB45" s="2113"/>
      <c r="BC45" s="2113"/>
      <c r="BD45" s="2114"/>
      <c r="BE45" s="2114"/>
      <c r="BF45" s="2114"/>
      <c r="BG45" s="2114"/>
      <c r="BH45" s="2114"/>
      <c r="BI45" s="2114"/>
      <c r="BJ45" s="2114"/>
      <c r="BK45" s="2114"/>
      <c r="BL45" s="2113"/>
      <c r="BM45" s="2113"/>
      <c r="BN45" s="2113"/>
      <c r="BO45" s="2113"/>
      <c r="BP45" s="2113"/>
      <c r="BQ45" s="2113"/>
      <c r="BR45" s="2113"/>
      <c r="BS45" s="2111"/>
      <c r="BT45" s="2111"/>
      <c r="BU45" s="2111"/>
      <c r="BV45" s="2111"/>
      <c r="BW45" s="2111"/>
      <c r="BX45" s="2111"/>
      <c r="BY45" s="2111"/>
      <c r="BZ45" s="2112"/>
      <c r="CB45" s="169"/>
      <c r="CC45" s="172"/>
      <c r="CD45" s="2113"/>
      <c r="CE45" s="2113"/>
      <c r="CF45" s="2113"/>
      <c r="CG45" s="2113"/>
      <c r="CH45" s="2113"/>
      <c r="CI45" s="2113"/>
      <c r="CJ45" s="2113"/>
      <c r="CK45" s="2114"/>
      <c r="CL45" s="2114"/>
      <c r="CM45" s="2114"/>
      <c r="CN45" s="2114"/>
      <c r="CO45" s="2114"/>
      <c r="CP45" s="2114"/>
      <c r="CQ45" s="2114"/>
      <c r="CR45" s="2114"/>
      <c r="CS45" s="2113"/>
      <c r="CT45" s="2113"/>
      <c r="CU45" s="2113"/>
      <c r="CV45" s="2113"/>
      <c r="CW45" s="2113"/>
      <c r="CX45" s="2113"/>
      <c r="CY45" s="2113"/>
      <c r="CZ45" s="2111"/>
      <c r="DA45" s="2111"/>
      <c r="DB45" s="2111"/>
      <c r="DC45" s="2111"/>
      <c r="DD45" s="2111"/>
      <c r="DE45" s="2111"/>
      <c r="DF45" s="2111"/>
      <c r="DG45" s="2112"/>
      <c r="DK45" s="170"/>
      <c r="DV45" s="171"/>
    </row>
    <row r="46" spans="2:126">
      <c r="B46" s="172"/>
      <c r="C46" s="2113"/>
      <c r="D46" s="2113"/>
      <c r="E46" s="2113"/>
      <c r="F46" s="2113"/>
      <c r="G46" s="2113"/>
      <c r="H46" s="2113"/>
      <c r="I46" s="2113"/>
      <c r="J46" s="2114"/>
      <c r="K46" s="2114"/>
      <c r="L46" s="2114"/>
      <c r="M46" s="2114"/>
      <c r="N46" s="2114"/>
      <c r="O46" s="2114"/>
      <c r="P46" s="2114"/>
      <c r="Q46" s="2114"/>
      <c r="R46" s="2113"/>
      <c r="S46" s="2113"/>
      <c r="T46" s="2113"/>
      <c r="U46" s="2113"/>
      <c r="V46" s="2113"/>
      <c r="W46" s="2113"/>
      <c r="X46" s="2113"/>
      <c r="Y46" s="2111"/>
      <c r="Z46" s="2111"/>
      <c r="AA46" s="1573"/>
      <c r="AB46" s="1573"/>
      <c r="AC46" s="1573"/>
      <c r="AD46" s="1573"/>
      <c r="AE46" s="2111"/>
      <c r="AF46" s="2111"/>
      <c r="AG46" s="2111"/>
      <c r="AH46" s="2111"/>
      <c r="AI46" s="2111"/>
      <c r="AJ46" s="2111"/>
      <c r="AK46" s="2111"/>
      <c r="AL46" s="2111"/>
      <c r="AM46" s="2111"/>
      <c r="AN46" s="2111"/>
      <c r="AO46" s="2111"/>
      <c r="AP46" s="2111"/>
      <c r="AQ46" s="2111"/>
      <c r="AR46" s="2112"/>
      <c r="AT46" s="169"/>
      <c r="AU46" s="169"/>
      <c r="AV46" s="172"/>
      <c r="AW46" s="2113"/>
      <c r="AX46" s="2113"/>
      <c r="AY46" s="2113"/>
      <c r="AZ46" s="2113"/>
      <c r="BA46" s="2113"/>
      <c r="BB46" s="2113"/>
      <c r="BC46" s="2113"/>
      <c r="BD46" s="2114"/>
      <c r="BE46" s="2114"/>
      <c r="BF46" s="2114"/>
      <c r="BG46" s="2114"/>
      <c r="BH46" s="2114"/>
      <c r="BI46" s="2114"/>
      <c r="BJ46" s="2114"/>
      <c r="BK46" s="2114"/>
      <c r="BL46" s="2113"/>
      <c r="BM46" s="2113"/>
      <c r="BN46" s="2113"/>
      <c r="BO46" s="2113"/>
      <c r="BP46" s="2113"/>
      <c r="BQ46" s="2113"/>
      <c r="BR46" s="2113"/>
      <c r="BS46" s="2111"/>
      <c r="BT46" s="2111"/>
      <c r="BU46" s="2111"/>
      <c r="BV46" s="2111"/>
      <c r="BW46" s="2111"/>
      <c r="BX46" s="2111"/>
      <c r="BY46" s="2111"/>
      <c r="BZ46" s="2112"/>
      <c r="CB46" s="169"/>
      <c r="CC46" s="172"/>
      <c r="CD46" s="2113"/>
      <c r="CE46" s="2113"/>
      <c r="CF46" s="2113"/>
      <c r="CG46" s="2113"/>
      <c r="CH46" s="2113"/>
      <c r="CI46" s="2113"/>
      <c r="CJ46" s="2113"/>
      <c r="CK46" s="2114"/>
      <c r="CL46" s="2114"/>
      <c r="CM46" s="2114"/>
      <c r="CN46" s="2114"/>
      <c r="CO46" s="2114"/>
      <c r="CP46" s="2114"/>
      <c r="CQ46" s="2114"/>
      <c r="CR46" s="2114"/>
      <c r="CS46" s="2113"/>
      <c r="CT46" s="2113"/>
      <c r="CU46" s="2113"/>
      <c r="CV46" s="2113"/>
      <c r="CW46" s="2113"/>
      <c r="CX46" s="2113"/>
      <c r="CY46" s="2113"/>
      <c r="CZ46" s="2111"/>
      <c r="DA46" s="2111"/>
      <c r="DB46" s="2111"/>
      <c r="DC46" s="2111"/>
      <c r="DD46" s="2111"/>
      <c r="DE46" s="2111"/>
      <c r="DF46" s="2111"/>
      <c r="DG46" s="2112"/>
      <c r="DK46" s="170"/>
      <c r="DV46" s="171"/>
    </row>
    <row r="47" spans="2:126">
      <c r="B47" s="172"/>
      <c r="C47" s="2113"/>
      <c r="D47" s="2113"/>
      <c r="E47" s="2113"/>
      <c r="F47" s="2113"/>
      <c r="G47" s="2113"/>
      <c r="H47" s="2113"/>
      <c r="I47" s="2113"/>
      <c r="J47" s="2114"/>
      <c r="K47" s="2114"/>
      <c r="L47" s="2114"/>
      <c r="M47" s="2114"/>
      <c r="N47" s="2114"/>
      <c r="O47" s="2114"/>
      <c r="P47" s="2114"/>
      <c r="Q47" s="2114"/>
      <c r="R47" s="2113"/>
      <c r="S47" s="2113"/>
      <c r="T47" s="2113"/>
      <c r="U47" s="2113"/>
      <c r="V47" s="2113"/>
      <c r="W47" s="2113"/>
      <c r="X47" s="2113"/>
      <c r="Y47" s="2111"/>
      <c r="Z47" s="2111"/>
      <c r="AA47" s="1573"/>
      <c r="AB47" s="1573"/>
      <c r="AC47" s="1573"/>
      <c r="AD47" s="1573"/>
      <c r="AE47" s="2111"/>
      <c r="AF47" s="2111"/>
      <c r="AG47" s="2111"/>
      <c r="AH47" s="2111"/>
      <c r="AI47" s="2111"/>
      <c r="AJ47" s="2111"/>
      <c r="AK47" s="2111"/>
      <c r="AL47" s="2111"/>
      <c r="AM47" s="2111"/>
      <c r="AN47" s="2111"/>
      <c r="AO47" s="2111"/>
      <c r="AP47" s="2111"/>
      <c r="AQ47" s="2111"/>
      <c r="AR47" s="2112"/>
      <c r="AT47" s="169"/>
      <c r="AU47" s="169"/>
      <c r="AV47" s="172"/>
      <c r="AW47" s="2113"/>
      <c r="AX47" s="2113"/>
      <c r="AY47" s="2113"/>
      <c r="AZ47" s="2113"/>
      <c r="BA47" s="2113"/>
      <c r="BB47" s="2113"/>
      <c r="BC47" s="2113"/>
      <c r="BD47" s="2114"/>
      <c r="BE47" s="2114"/>
      <c r="BF47" s="2114"/>
      <c r="BG47" s="2114"/>
      <c r="BH47" s="2114"/>
      <c r="BI47" s="2114"/>
      <c r="BJ47" s="2114"/>
      <c r="BK47" s="2114"/>
      <c r="BL47" s="2113"/>
      <c r="BM47" s="2113"/>
      <c r="BN47" s="2113"/>
      <c r="BO47" s="2113"/>
      <c r="BP47" s="2113"/>
      <c r="BQ47" s="2113"/>
      <c r="BR47" s="2113"/>
      <c r="BS47" s="2111"/>
      <c r="BT47" s="2111"/>
      <c r="BU47" s="2111"/>
      <c r="BV47" s="2111"/>
      <c r="BW47" s="2111"/>
      <c r="BX47" s="2111"/>
      <c r="BY47" s="2111"/>
      <c r="BZ47" s="2112"/>
      <c r="CB47" s="169"/>
      <c r="CC47" s="172"/>
      <c r="CD47" s="2113"/>
      <c r="CE47" s="2113"/>
      <c r="CF47" s="2113"/>
      <c r="CG47" s="2113"/>
      <c r="CH47" s="2113"/>
      <c r="CI47" s="2113"/>
      <c r="CJ47" s="2113"/>
      <c r="CK47" s="2114"/>
      <c r="CL47" s="2114"/>
      <c r="CM47" s="2114"/>
      <c r="CN47" s="2114"/>
      <c r="CO47" s="2114"/>
      <c r="CP47" s="2114"/>
      <c r="CQ47" s="2114"/>
      <c r="CR47" s="2114"/>
      <c r="CS47" s="2113"/>
      <c r="CT47" s="2113"/>
      <c r="CU47" s="2113"/>
      <c r="CV47" s="2113"/>
      <c r="CW47" s="2113"/>
      <c r="CX47" s="2113"/>
      <c r="CY47" s="2113"/>
      <c r="CZ47" s="2111"/>
      <c r="DA47" s="2111"/>
      <c r="DB47" s="2111"/>
      <c r="DC47" s="2111"/>
      <c r="DD47" s="2111"/>
      <c r="DE47" s="2111"/>
      <c r="DF47" s="2111"/>
      <c r="DG47" s="2112"/>
      <c r="DK47" s="170"/>
      <c r="DV47" s="171"/>
    </row>
    <row r="48" spans="2:126">
      <c r="B48" s="172"/>
      <c r="C48" s="2113"/>
      <c r="D48" s="2113"/>
      <c r="E48" s="2113"/>
      <c r="F48" s="2113"/>
      <c r="G48" s="2113"/>
      <c r="H48" s="2113"/>
      <c r="I48" s="2113"/>
      <c r="J48" s="2114"/>
      <c r="K48" s="2114"/>
      <c r="L48" s="2114"/>
      <c r="M48" s="2114"/>
      <c r="N48" s="2114"/>
      <c r="O48" s="2114"/>
      <c r="P48" s="2114"/>
      <c r="Q48" s="2114"/>
      <c r="R48" s="2113"/>
      <c r="S48" s="2113"/>
      <c r="T48" s="2113"/>
      <c r="U48" s="2113"/>
      <c r="V48" s="2113"/>
      <c r="W48" s="2113"/>
      <c r="X48" s="2113"/>
      <c r="Y48" s="2111"/>
      <c r="Z48" s="2111"/>
      <c r="AA48" s="1573"/>
      <c r="AB48" s="1573"/>
      <c r="AC48" s="1573"/>
      <c r="AD48" s="1573"/>
      <c r="AE48" s="2111"/>
      <c r="AF48" s="2111"/>
      <c r="AG48" s="2111"/>
      <c r="AH48" s="2111"/>
      <c r="AI48" s="2111"/>
      <c r="AJ48" s="2111"/>
      <c r="AK48" s="2111"/>
      <c r="AL48" s="2111"/>
      <c r="AM48" s="2111"/>
      <c r="AN48" s="2111"/>
      <c r="AO48" s="2111"/>
      <c r="AP48" s="2111"/>
      <c r="AQ48" s="2111"/>
      <c r="AR48" s="2112"/>
      <c r="AT48" s="169"/>
      <c r="AU48" s="169"/>
      <c r="AV48" s="172"/>
      <c r="AW48" s="2113"/>
      <c r="AX48" s="2113"/>
      <c r="AY48" s="2113"/>
      <c r="AZ48" s="2113"/>
      <c r="BA48" s="2113"/>
      <c r="BB48" s="2113"/>
      <c r="BC48" s="2113"/>
      <c r="BD48" s="2114"/>
      <c r="BE48" s="2114"/>
      <c r="BF48" s="2114"/>
      <c r="BG48" s="2114"/>
      <c r="BH48" s="2114"/>
      <c r="BI48" s="2114"/>
      <c r="BJ48" s="2114"/>
      <c r="BK48" s="2114"/>
      <c r="BL48" s="2113"/>
      <c r="BM48" s="2113"/>
      <c r="BN48" s="2113"/>
      <c r="BO48" s="2113"/>
      <c r="BP48" s="2113"/>
      <c r="BQ48" s="2113"/>
      <c r="BR48" s="2113"/>
      <c r="BS48" s="2111"/>
      <c r="BT48" s="2111"/>
      <c r="BU48" s="2111"/>
      <c r="BV48" s="2111"/>
      <c r="BW48" s="2111"/>
      <c r="BX48" s="2111"/>
      <c r="BY48" s="2111"/>
      <c r="BZ48" s="2112"/>
      <c r="CB48" s="169"/>
      <c r="CC48" s="172"/>
      <c r="CD48" s="2113"/>
      <c r="CE48" s="2113"/>
      <c r="CF48" s="2113"/>
      <c r="CG48" s="2113"/>
      <c r="CH48" s="2113"/>
      <c r="CI48" s="2113"/>
      <c r="CJ48" s="2113"/>
      <c r="CK48" s="2114"/>
      <c r="CL48" s="2114"/>
      <c r="CM48" s="2114"/>
      <c r="CN48" s="2114"/>
      <c r="CO48" s="2114"/>
      <c r="CP48" s="2114"/>
      <c r="CQ48" s="2114"/>
      <c r="CR48" s="2114"/>
      <c r="CS48" s="2113"/>
      <c r="CT48" s="2113"/>
      <c r="CU48" s="2113"/>
      <c r="CV48" s="2113"/>
      <c r="CW48" s="2113"/>
      <c r="CX48" s="2113"/>
      <c r="CY48" s="2113"/>
      <c r="CZ48" s="2111"/>
      <c r="DA48" s="2111"/>
      <c r="DB48" s="2111"/>
      <c r="DC48" s="2111"/>
      <c r="DD48" s="2111"/>
      <c r="DE48" s="2111"/>
      <c r="DF48" s="2111"/>
      <c r="DG48" s="2112"/>
      <c r="DK48" s="170"/>
      <c r="DV48" s="171"/>
    </row>
    <row r="49" spans="2:126">
      <c r="B49" s="173"/>
      <c r="C49" s="2113"/>
      <c r="D49" s="2113"/>
      <c r="E49" s="2113"/>
      <c r="F49" s="2113"/>
      <c r="G49" s="2113"/>
      <c r="H49" s="2113"/>
      <c r="I49" s="2113"/>
      <c r="J49" s="2114"/>
      <c r="K49" s="2114"/>
      <c r="L49" s="2114"/>
      <c r="M49" s="2114"/>
      <c r="N49" s="2114"/>
      <c r="O49" s="2114"/>
      <c r="P49" s="2114"/>
      <c r="Q49" s="2114"/>
      <c r="R49" s="2113"/>
      <c r="S49" s="2113"/>
      <c r="T49" s="2113"/>
      <c r="U49" s="2113"/>
      <c r="V49" s="2113"/>
      <c r="W49" s="2113"/>
      <c r="X49" s="2113"/>
      <c r="Y49" s="2111"/>
      <c r="Z49" s="2111"/>
      <c r="AA49" s="1573"/>
      <c r="AB49" s="1573"/>
      <c r="AC49" s="1573"/>
      <c r="AD49" s="1573"/>
      <c r="AE49" s="2111"/>
      <c r="AF49" s="2111"/>
      <c r="AG49" s="2111"/>
      <c r="AH49" s="2111"/>
      <c r="AI49" s="2111"/>
      <c r="AJ49" s="2111"/>
      <c r="AK49" s="2111"/>
      <c r="AL49" s="2111"/>
      <c r="AM49" s="2111"/>
      <c r="AN49" s="2111"/>
      <c r="AO49" s="2111"/>
      <c r="AP49" s="2111"/>
      <c r="AQ49" s="2111"/>
      <c r="AR49" s="2112"/>
      <c r="AT49" s="169"/>
      <c r="AU49" s="169"/>
      <c r="AV49" s="173"/>
      <c r="AW49" s="2113"/>
      <c r="AX49" s="2113"/>
      <c r="AY49" s="2113"/>
      <c r="AZ49" s="2113"/>
      <c r="BA49" s="2113"/>
      <c r="BB49" s="2113"/>
      <c r="BC49" s="2113"/>
      <c r="BD49" s="2114"/>
      <c r="BE49" s="2114"/>
      <c r="BF49" s="2114"/>
      <c r="BG49" s="2114"/>
      <c r="BH49" s="2114"/>
      <c r="BI49" s="2114"/>
      <c r="BJ49" s="2114"/>
      <c r="BK49" s="2114"/>
      <c r="BL49" s="2113"/>
      <c r="BM49" s="2113"/>
      <c r="BN49" s="2113"/>
      <c r="BO49" s="2113"/>
      <c r="BP49" s="2113"/>
      <c r="BQ49" s="2113"/>
      <c r="BR49" s="2113"/>
      <c r="BS49" s="2111"/>
      <c r="BT49" s="2111"/>
      <c r="BU49" s="2111"/>
      <c r="BV49" s="2111"/>
      <c r="BW49" s="2111"/>
      <c r="BX49" s="2111"/>
      <c r="BY49" s="2111"/>
      <c r="BZ49" s="2112"/>
      <c r="CB49" s="169"/>
      <c r="CC49" s="173"/>
      <c r="CD49" s="2113"/>
      <c r="CE49" s="2113"/>
      <c r="CF49" s="2113"/>
      <c r="CG49" s="2113"/>
      <c r="CH49" s="2113"/>
      <c r="CI49" s="2113"/>
      <c r="CJ49" s="2113"/>
      <c r="CK49" s="2114"/>
      <c r="CL49" s="2114"/>
      <c r="CM49" s="2114"/>
      <c r="CN49" s="2114"/>
      <c r="CO49" s="2114"/>
      <c r="CP49" s="2114"/>
      <c r="CQ49" s="2114"/>
      <c r="CR49" s="2114"/>
      <c r="CS49" s="2113"/>
      <c r="CT49" s="2113"/>
      <c r="CU49" s="2113"/>
      <c r="CV49" s="2113"/>
      <c r="CW49" s="2113"/>
      <c r="CX49" s="2113"/>
      <c r="CY49" s="2113"/>
      <c r="CZ49" s="2111"/>
      <c r="DA49" s="2111"/>
      <c r="DB49" s="2111"/>
      <c r="DC49" s="2111"/>
      <c r="DD49" s="2111"/>
      <c r="DE49" s="2111"/>
      <c r="DF49" s="2111"/>
      <c r="DG49" s="2112"/>
      <c r="DK49" s="170"/>
      <c r="DV49" s="171"/>
    </row>
    <row r="50" spans="2:126">
      <c r="B50" s="172"/>
      <c r="C50" s="2125"/>
      <c r="D50" s="2125"/>
      <c r="E50" s="2125"/>
      <c r="F50" s="2125"/>
      <c r="G50" s="2125"/>
      <c r="H50" s="2125"/>
      <c r="I50" s="2125"/>
      <c r="J50" s="2114"/>
      <c r="K50" s="2114"/>
      <c r="L50" s="2114"/>
      <c r="M50" s="2114"/>
      <c r="N50" s="2114"/>
      <c r="O50" s="2114"/>
      <c r="P50" s="2114"/>
      <c r="Q50" s="2114"/>
      <c r="R50" s="2113"/>
      <c r="S50" s="2113"/>
      <c r="T50" s="2113"/>
      <c r="U50" s="2113"/>
      <c r="V50" s="2113"/>
      <c r="W50" s="2113"/>
      <c r="X50" s="2113"/>
      <c r="Y50" s="2111"/>
      <c r="Z50" s="2111"/>
      <c r="AA50" s="1573"/>
      <c r="AB50" s="1573"/>
      <c r="AC50" s="1573"/>
      <c r="AD50" s="1573"/>
      <c r="AE50" s="2111"/>
      <c r="AF50" s="2111"/>
      <c r="AG50" s="2111"/>
      <c r="AH50" s="2111"/>
      <c r="AI50" s="2111"/>
      <c r="AJ50" s="2111"/>
      <c r="AK50" s="2111"/>
      <c r="AL50" s="2111"/>
      <c r="AM50" s="2111"/>
      <c r="AN50" s="2111"/>
      <c r="AO50" s="2111"/>
      <c r="AP50" s="2111"/>
      <c r="AQ50" s="2111"/>
      <c r="AR50" s="2112"/>
      <c r="AT50" s="169"/>
      <c r="AU50" s="169"/>
      <c r="AV50" s="172"/>
      <c r="AW50" s="2125"/>
      <c r="AX50" s="2125"/>
      <c r="AY50" s="2125"/>
      <c r="AZ50" s="2125"/>
      <c r="BA50" s="2125"/>
      <c r="BB50" s="2125"/>
      <c r="BC50" s="2125"/>
      <c r="BD50" s="2114"/>
      <c r="BE50" s="2114"/>
      <c r="BF50" s="2114"/>
      <c r="BG50" s="2114"/>
      <c r="BH50" s="2114"/>
      <c r="BI50" s="2114"/>
      <c r="BJ50" s="2114"/>
      <c r="BK50" s="2114"/>
      <c r="BL50" s="2113"/>
      <c r="BM50" s="2113"/>
      <c r="BN50" s="2113"/>
      <c r="BO50" s="2113"/>
      <c r="BP50" s="2113"/>
      <c r="BQ50" s="2113"/>
      <c r="BR50" s="2113"/>
      <c r="BS50" s="2111"/>
      <c r="BT50" s="2111"/>
      <c r="BU50" s="2111"/>
      <c r="BV50" s="2111"/>
      <c r="BW50" s="2111"/>
      <c r="BX50" s="2111"/>
      <c r="BY50" s="2111"/>
      <c r="BZ50" s="2112"/>
      <c r="CB50" s="169"/>
      <c r="CC50" s="172"/>
      <c r="CD50" s="2125"/>
      <c r="CE50" s="2125"/>
      <c r="CF50" s="2125"/>
      <c r="CG50" s="2125"/>
      <c r="CH50" s="2125"/>
      <c r="CI50" s="2125"/>
      <c r="CJ50" s="2125"/>
      <c r="CK50" s="2114"/>
      <c r="CL50" s="2114"/>
      <c r="CM50" s="2114"/>
      <c r="CN50" s="2114"/>
      <c r="CO50" s="2114"/>
      <c r="CP50" s="2114"/>
      <c r="CQ50" s="2114"/>
      <c r="CR50" s="2114"/>
      <c r="CS50" s="2113"/>
      <c r="CT50" s="2113"/>
      <c r="CU50" s="2113"/>
      <c r="CV50" s="2113"/>
      <c r="CW50" s="2113"/>
      <c r="CX50" s="2113"/>
      <c r="CY50" s="2113"/>
      <c r="CZ50" s="2111"/>
      <c r="DA50" s="2111"/>
      <c r="DB50" s="2111"/>
      <c r="DC50" s="2111"/>
      <c r="DD50" s="2111"/>
      <c r="DE50" s="2111"/>
      <c r="DF50" s="2111"/>
      <c r="DG50" s="2112"/>
      <c r="DK50" s="170"/>
      <c r="DV50" s="171"/>
    </row>
    <row r="51" spans="2:126">
      <c r="B51" s="174"/>
      <c r="C51" s="2113"/>
      <c r="D51" s="2113"/>
      <c r="E51" s="2113"/>
      <c r="F51" s="2113"/>
      <c r="G51" s="2113"/>
      <c r="H51" s="2113"/>
      <c r="I51" s="2113"/>
      <c r="J51" s="2114"/>
      <c r="K51" s="2114"/>
      <c r="L51" s="2114"/>
      <c r="M51" s="2114"/>
      <c r="N51" s="2114"/>
      <c r="O51" s="2114"/>
      <c r="P51" s="2114"/>
      <c r="Q51" s="2114"/>
      <c r="R51" s="2113"/>
      <c r="S51" s="2113"/>
      <c r="T51" s="2113"/>
      <c r="U51" s="2113"/>
      <c r="V51" s="2113"/>
      <c r="W51" s="2113"/>
      <c r="X51" s="2113"/>
      <c r="Y51" s="2111"/>
      <c r="Z51" s="2111"/>
      <c r="AA51" s="1573"/>
      <c r="AB51" s="1573"/>
      <c r="AC51" s="1573"/>
      <c r="AD51" s="1573"/>
      <c r="AE51" s="2111"/>
      <c r="AF51" s="2111"/>
      <c r="AG51" s="2111"/>
      <c r="AH51" s="2111"/>
      <c r="AI51" s="2111"/>
      <c r="AJ51" s="2111"/>
      <c r="AK51" s="2111"/>
      <c r="AL51" s="2111"/>
      <c r="AM51" s="2111"/>
      <c r="AN51" s="2111"/>
      <c r="AO51" s="2111"/>
      <c r="AP51" s="2111"/>
      <c r="AQ51" s="2111"/>
      <c r="AR51" s="2112"/>
      <c r="AT51" s="169"/>
      <c r="AU51" s="169"/>
      <c r="AV51" s="174"/>
      <c r="AW51" s="2113"/>
      <c r="AX51" s="2113"/>
      <c r="AY51" s="2113"/>
      <c r="AZ51" s="2113"/>
      <c r="BA51" s="2113"/>
      <c r="BB51" s="2113"/>
      <c r="BC51" s="2113"/>
      <c r="BD51" s="2114"/>
      <c r="BE51" s="2114"/>
      <c r="BF51" s="2114"/>
      <c r="BG51" s="2114"/>
      <c r="BH51" s="2114"/>
      <c r="BI51" s="2114"/>
      <c r="BJ51" s="2114"/>
      <c r="BK51" s="2114"/>
      <c r="BL51" s="2113"/>
      <c r="BM51" s="2113"/>
      <c r="BN51" s="2113"/>
      <c r="BO51" s="2113"/>
      <c r="BP51" s="2113"/>
      <c r="BQ51" s="2113"/>
      <c r="BR51" s="2113"/>
      <c r="BS51" s="2111"/>
      <c r="BT51" s="2111"/>
      <c r="BU51" s="2111"/>
      <c r="BV51" s="2111"/>
      <c r="BW51" s="2111"/>
      <c r="BX51" s="2111"/>
      <c r="BY51" s="2111"/>
      <c r="BZ51" s="2112"/>
      <c r="CB51" s="169"/>
      <c r="CC51" s="174"/>
      <c r="CD51" s="2113"/>
      <c r="CE51" s="2113"/>
      <c r="CF51" s="2113"/>
      <c r="CG51" s="2113"/>
      <c r="CH51" s="2113"/>
      <c r="CI51" s="2113"/>
      <c r="CJ51" s="2113"/>
      <c r="CK51" s="2114"/>
      <c r="CL51" s="2114"/>
      <c r="CM51" s="2114"/>
      <c r="CN51" s="2114"/>
      <c r="CO51" s="2114"/>
      <c r="CP51" s="2114"/>
      <c r="CQ51" s="2114"/>
      <c r="CR51" s="2114"/>
      <c r="CS51" s="2113"/>
      <c r="CT51" s="2113"/>
      <c r="CU51" s="2113"/>
      <c r="CV51" s="2113"/>
      <c r="CW51" s="2113"/>
      <c r="CX51" s="2113"/>
      <c r="CY51" s="2113"/>
      <c r="CZ51" s="2111"/>
      <c r="DA51" s="2111"/>
      <c r="DB51" s="2111"/>
      <c r="DC51" s="2111"/>
      <c r="DD51" s="2111"/>
      <c r="DE51" s="2111"/>
      <c r="DF51" s="2111"/>
      <c r="DG51" s="2112"/>
      <c r="DK51" s="170"/>
      <c r="DV51" s="171"/>
    </row>
    <row r="52" spans="2:126">
      <c r="B52" s="173"/>
      <c r="C52" s="2113"/>
      <c r="D52" s="2113"/>
      <c r="E52" s="2113"/>
      <c r="F52" s="2113"/>
      <c r="G52" s="2113"/>
      <c r="H52" s="2113"/>
      <c r="I52" s="2113"/>
      <c r="J52" s="2114"/>
      <c r="K52" s="2114"/>
      <c r="L52" s="2114"/>
      <c r="M52" s="2114"/>
      <c r="N52" s="2114"/>
      <c r="O52" s="2114"/>
      <c r="P52" s="2114"/>
      <c r="Q52" s="2114"/>
      <c r="R52" s="2113"/>
      <c r="S52" s="2113"/>
      <c r="T52" s="2113"/>
      <c r="U52" s="2113"/>
      <c r="V52" s="2113"/>
      <c r="W52" s="2113"/>
      <c r="X52" s="2113"/>
      <c r="Y52" s="2111"/>
      <c r="Z52" s="2111"/>
      <c r="AA52" s="1573"/>
      <c r="AB52" s="1573"/>
      <c r="AC52" s="1573"/>
      <c r="AD52" s="1573"/>
      <c r="AE52" s="2111"/>
      <c r="AF52" s="2111"/>
      <c r="AG52" s="2111"/>
      <c r="AH52" s="2111"/>
      <c r="AI52" s="2111"/>
      <c r="AJ52" s="2111"/>
      <c r="AK52" s="2111"/>
      <c r="AL52" s="2111"/>
      <c r="AM52" s="2111"/>
      <c r="AN52" s="2111"/>
      <c r="AO52" s="2111"/>
      <c r="AP52" s="2111"/>
      <c r="AQ52" s="2111"/>
      <c r="AR52" s="2112"/>
      <c r="AT52" s="169"/>
      <c r="AU52" s="169"/>
      <c r="AV52" s="173"/>
      <c r="AW52" s="2113"/>
      <c r="AX52" s="2113"/>
      <c r="AY52" s="2113"/>
      <c r="AZ52" s="2113"/>
      <c r="BA52" s="2113"/>
      <c r="BB52" s="2113"/>
      <c r="BC52" s="2113"/>
      <c r="BD52" s="2114"/>
      <c r="BE52" s="2114"/>
      <c r="BF52" s="2114"/>
      <c r="BG52" s="2114"/>
      <c r="BH52" s="2114"/>
      <c r="BI52" s="2114"/>
      <c r="BJ52" s="2114"/>
      <c r="BK52" s="2114"/>
      <c r="BL52" s="2113"/>
      <c r="BM52" s="2113"/>
      <c r="BN52" s="2113"/>
      <c r="BO52" s="2113"/>
      <c r="BP52" s="2113"/>
      <c r="BQ52" s="2113"/>
      <c r="BR52" s="2113"/>
      <c r="BS52" s="2111"/>
      <c r="BT52" s="2111"/>
      <c r="BU52" s="2111"/>
      <c r="BV52" s="2111"/>
      <c r="BW52" s="2111"/>
      <c r="BX52" s="2111"/>
      <c r="BY52" s="2111"/>
      <c r="BZ52" s="2112"/>
      <c r="CB52" s="169"/>
      <c r="CC52" s="173"/>
      <c r="CD52" s="2113"/>
      <c r="CE52" s="2113"/>
      <c r="CF52" s="2113"/>
      <c r="CG52" s="2113"/>
      <c r="CH52" s="2113"/>
      <c r="CI52" s="2113"/>
      <c r="CJ52" s="2113"/>
      <c r="CK52" s="2114"/>
      <c r="CL52" s="2114"/>
      <c r="CM52" s="2114"/>
      <c r="CN52" s="2114"/>
      <c r="CO52" s="2114"/>
      <c r="CP52" s="2114"/>
      <c r="CQ52" s="2114"/>
      <c r="CR52" s="2114"/>
      <c r="CS52" s="2113"/>
      <c r="CT52" s="2113"/>
      <c r="CU52" s="2113"/>
      <c r="CV52" s="2113"/>
      <c r="CW52" s="2113"/>
      <c r="CX52" s="2113"/>
      <c r="CY52" s="2113"/>
      <c r="CZ52" s="2111"/>
      <c r="DA52" s="2111"/>
      <c r="DB52" s="2111"/>
      <c r="DC52" s="2111"/>
      <c r="DD52" s="2111"/>
      <c r="DE52" s="2111"/>
      <c r="DF52" s="2111"/>
      <c r="DG52" s="2112"/>
      <c r="DK52" s="170"/>
      <c r="DV52" s="171"/>
    </row>
    <row r="53" spans="2:126">
      <c r="B53" s="172"/>
      <c r="C53" s="2113"/>
      <c r="D53" s="2113"/>
      <c r="E53" s="2113"/>
      <c r="F53" s="2113"/>
      <c r="G53" s="2113"/>
      <c r="H53" s="2113"/>
      <c r="I53" s="2113"/>
      <c r="J53" s="2114"/>
      <c r="K53" s="2114"/>
      <c r="L53" s="2114"/>
      <c r="M53" s="2114"/>
      <c r="N53" s="2114"/>
      <c r="O53" s="2114"/>
      <c r="P53" s="2114"/>
      <c r="Q53" s="2114"/>
      <c r="R53" s="2113"/>
      <c r="S53" s="2113"/>
      <c r="T53" s="2113"/>
      <c r="U53" s="2113"/>
      <c r="V53" s="2113"/>
      <c r="W53" s="2113"/>
      <c r="X53" s="2113"/>
      <c r="Y53" s="2111"/>
      <c r="Z53" s="2111"/>
      <c r="AA53" s="1573"/>
      <c r="AB53" s="1573"/>
      <c r="AC53" s="1573"/>
      <c r="AD53" s="1573"/>
      <c r="AE53" s="2111"/>
      <c r="AF53" s="2111"/>
      <c r="AG53" s="2111"/>
      <c r="AH53" s="2111"/>
      <c r="AI53" s="2111"/>
      <c r="AJ53" s="2111"/>
      <c r="AK53" s="2111"/>
      <c r="AL53" s="2111"/>
      <c r="AM53" s="2111"/>
      <c r="AN53" s="2111"/>
      <c r="AO53" s="2111"/>
      <c r="AP53" s="2111"/>
      <c r="AQ53" s="2111"/>
      <c r="AR53" s="2112"/>
      <c r="AT53" s="169"/>
      <c r="AU53" s="169"/>
      <c r="AV53" s="172"/>
      <c r="AW53" s="2113"/>
      <c r="AX53" s="2113"/>
      <c r="AY53" s="2113"/>
      <c r="AZ53" s="2113"/>
      <c r="BA53" s="2113"/>
      <c r="BB53" s="2113"/>
      <c r="BC53" s="2113"/>
      <c r="BD53" s="2114"/>
      <c r="BE53" s="2114"/>
      <c r="BF53" s="2114"/>
      <c r="BG53" s="2114"/>
      <c r="BH53" s="2114"/>
      <c r="BI53" s="2114"/>
      <c r="BJ53" s="2114"/>
      <c r="BK53" s="2114"/>
      <c r="BL53" s="2113"/>
      <c r="BM53" s="2113"/>
      <c r="BN53" s="2113"/>
      <c r="BO53" s="2113"/>
      <c r="BP53" s="2113"/>
      <c r="BQ53" s="2113"/>
      <c r="BR53" s="2113"/>
      <c r="BS53" s="2111"/>
      <c r="BT53" s="2111"/>
      <c r="BU53" s="2111"/>
      <c r="BV53" s="2111"/>
      <c r="BW53" s="2111"/>
      <c r="BX53" s="2111"/>
      <c r="BY53" s="2111"/>
      <c r="BZ53" s="2112"/>
      <c r="CB53" s="169"/>
      <c r="CC53" s="172"/>
      <c r="CD53" s="2113"/>
      <c r="CE53" s="2113"/>
      <c r="CF53" s="2113"/>
      <c r="CG53" s="2113"/>
      <c r="CH53" s="2113"/>
      <c r="CI53" s="2113"/>
      <c r="CJ53" s="2113"/>
      <c r="CK53" s="2114"/>
      <c r="CL53" s="2114"/>
      <c r="CM53" s="2114"/>
      <c r="CN53" s="2114"/>
      <c r="CO53" s="2114"/>
      <c r="CP53" s="2114"/>
      <c r="CQ53" s="2114"/>
      <c r="CR53" s="2114"/>
      <c r="CS53" s="2113"/>
      <c r="CT53" s="2113"/>
      <c r="CU53" s="2113"/>
      <c r="CV53" s="2113"/>
      <c r="CW53" s="2113"/>
      <c r="CX53" s="2113"/>
      <c r="CY53" s="2113"/>
      <c r="CZ53" s="2111"/>
      <c r="DA53" s="2111"/>
      <c r="DB53" s="2111"/>
      <c r="DC53" s="2111"/>
      <c r="DD53" s="2111"/>
      <c r="DE53" s="2111"/>
      <c r="DF53" s="2111"/>
      <c r="DG53" s="2112"/>
      <c r="DK53" s="170"/>
      <c r="DV53" s="171"/>
    </row>
    <row r="54" spans="2:126">
      <c r="B54" s="172"/>
      <c r="C54" s="2113"/>
      <c r="D54" s="2113"/>
      <c r="E54" s="2113"/>
      <c r="F54" s="2113"/>
      <c r="G54" s="2113"/>
      <c r="H54" s="2113"/>
      <c r="I54" s="2113"/>
      <c r="J54" s="2114"/>
      <c r="K54" s="2114"/>
      <c r="L54" s="2114"/>
      <c r="M54" s="2114"/>
      <c r="N54" s="2114"/>
      <c r="O54" s="2114"/>
      <c r="P54" s="2114"/>
      <c r="Q54" s="2114"/>
      <c r="R54" s="2113"/>
      <c r="S54" s="2113"/>
      <c r="T54" s="2113"/>
      <c r="U54" s="2113"/>
      <c r="V54" s="2113"/>
      <c r="W54" s="2113"/>
      <c r="X54" s="2113"/>
      <c r="Y54" s="2111"/>
      <c r="Z54" s="2111"/>
      <c r="AA54" s="1573"/>
      <c r="AB54" s="1573"/>
      <c r="AC54" s="1573"/>
      <c r="AD54" s="1573"/>
      <c r="AE54" s="2111"/>
      <c r="AF54" s="2111"/>
      <c r="AG54" s="2111"/>
      <c r="AH54" s="2111"/>
      <c r="AI54" s="2111"/>
      <c r="AJ54" s="2111"/>
      <c r="AK54" s="2111"/>
      <c r="AL54" s="2111"/>
      <c r="AM54" s="2111"/>
      <c r="AN54" s="2111"/>
      <c r="AO54" s="2111"/>
      <c r="AP54" s="2111"/>
      <c r="AQ54" s="2111"/>
      <c r="AR54" s="2112"/>
      <c r="AT54" s="169"/>
      <c r="AU54" s="169"/>
      <c r="AV54" s="172"/>
      <c r="AW54" s="2113"/>
      <c r="AX54" s="2113"/>
      <c r="AY54" s="2113"/>
      <c r="AZ54" s="2113"/>
      <c r="BA54" s="2113"/>
      <c r="BB54" s="2113"/>
      <c r="BC54" s="2113"/>
      <c r="BD54" s="2114"/>
      <c r="BE54" s="2114"/>
      <c r="BF54" s="2114"/>
      <c r="BG54" s="2114"/>
      <c r="BH54" s="2114"/>
      <c r="BI54" s="2114"/>
      <c r="BJ54" s="2114"/>
      <c r="BK54" s="2114"/>
      <c r="BL54" s="2113"/>
      <c r="BM54" s="2113"/>
      <c r="BN54" s="2113"/>
      <c r="BO54" s="2113"/>
      <c r="BP54" s="2113"/>
      <c r="BQ54" s="2113"/>
      <c r="BR54" s="2113"/>
      <c r="BS54" s="2111"/>
      <c r="BT54" s="2111"/>
      <c r="BU54" s="2111"/>
      <c r="BV54" s="2111"/>
      <c r="BW54" s="2111"/>
      <c r="BX54" s="2111"/>
      <c r="BY54" s="2111"/>
      <c r="BZ54" s="2112"/>
      <c r="CB54" s="169"/>
      <c r="CC54" s="172"/>
      <c r="CD54" s="2113"/>
      <c r="CE54" s="2113"/>
      <c r="CF54" s="2113"/>
      <c r="CG54" s="2113"/>
      <c r="CH54" s="2113"/>
      <c r="CI54" s="2113"/>
      <c r="CJ54" s="2113"/>
      <c r="CK54" s="2114"/>
      <c r="CL54" s="2114"/>
      <c r="CM54" s="2114"/>
      <c r="CN54" s="2114"/>
      <c r="CO54" s="2114"/>
      <c r="CP54" s="2114"/>
      <c r="CQ54" s="2114"/>
      <c r="CR54" s="2114"/>
      <c r="CS54" s="2113"/>
      <c r="CT54" s="2113"/>
      <c r="CU54" s="2113"/>
      <c r="CV54" s="2113"/>
      <c r="CW54" s="2113"/>
      <c r="CX54" s="2113"/>
      <c r="CY54" s="2113"/>
      <c r="CZ54" s="2111"/>
      <c r="DA54" s="2111"/>
      <c r="DB54" s="2111"/>
      <c r="DC54" s="2111"/>
      <c r="DD54" s="2111"/>
      <c r="DE54" s="2111"/>
      <c r="DF54" s="2111"/>
      <c r="DG54" s="2112"/>
      <c r="DK54" s="170"/>
      <c r="DV54" s="171"/>
    </row>
    <row r="55" spans="2:126">
      <c r="B55" s="172"/>
      <c r="C55" s="2113"/>
      <c r="D55" s="2113"/>
      <c r="E55" s="2113"/>
      <c r="F55" s="2113"/>
      <c r="G55" s="2113"/>
      <c r="H55" s="2113"/>
      <c r="I55" s="2113"/>
      <c r="J55" s="2114"/>
      <c r="K55" s="2114"/>
      <c r="L55" s="2114"/>
      <c r="M55" s="2114"/>
      <c r="N55" s="2114"/>
      <c r="O55" s="2114"/>
      <c r="P55" s="2114"/>
      <c r="Q55" s="2114"/>
      <c r="R55" s="2113"/>
      <c r="S55" s="2113"/>
      <c r="T55" s="2113"/>
      <c r="U55" s="2113"/>
      <c r="V55" s="2113"/>
      <c r="W55" s="2113"/>
      <c r="X55" s="2113"/>
      <c r="Y55" s="2111"/>
      <c r="Z55" s="2111"/>
      <c r="AA55" s="1573"/>
      <c r="AB55" s="1573"/>
      <c r="AC55" s="1573"/>
      <c r="AD55" s="1573"/>
      <c r="AE55" s="2111"/>
      <c r="AF55" s="2111"/>
      <c r="AG55" s="2111"/>
      <c r="AH55" s="2111"/>
      <c r="AI55" s="2111"/>
      <c r="AJ55" s="2111"/>
      <c r="AK55" s="2111"/>
      <c r="AL55" s="2111"/>
      <c r="AM55" s="2111"/>
      <c r="AN55" s="2111"/>
      <c r="AO55" s="2111"/>
      <c r="AP55" s="2111"/>
      <c r="AQ55" s="2111"/>
      <c r="AR55" s="2112"/>
      <c r="AT55" s="169"/>
      <c r="AU55" s="169"/>
      <c r="AV55" s="172"/>
      <c r="AW55" s="2113"/>
      <c r="AX55" s="2113"/>
      <c r="AY55" s="2113"/>
      <c r="AZ55" s="2113"/>
      <c r="BA55" s="2113"/>
      <c r="BB55" s="2113"/>
      <c r="BC55" s="2113"/>
      <c r="BD55" s="2114"/>
      <c r="BE55" s="2114"/>
      <c r="BF55" s="2114"/>
      <c r="BG55" s="2114"/>
      <c r="BH55" s="2114"/>
      <c r="BI55" s="2114"/>
      <c r="BJ55" s="2114"/>
      <c r="BK55" s="2114"/>
      <c r="BL55" s="2113"/>
      <c r="BM55" s="2113"/>
      <c r="BN55" s="2113"/>
      <c r="BO55" s="2113"/>
      <c r="BP55" s="2113"/>
      <c r="BQ55" s="2113"/>
      <c r="BR55" s="2113"/>
      <c r="BS55" s="2111"/>
      <c r="BT55" s="2111"/>
      <c r="BU55" s="2111"/>
      <c r="BV55" s="2111"/>
      <c r="BW55" s="2111"/>
      <c r="BX55" s="2111"/>
      <c r="BY55" s="2111"/>
      <c r="BZ55" s="2112"/>
      <c r="CB55" s="169"/>
      <c r="CC55" s="172"/>
      <c r="CD55" s="2113"/>
      <c r="CE55" s="2113"/>
      <c r="CF55" s="2113"/>
      <c r="CG55" s="2113"/>
      <c r="CH55" s="2113"/>
      <c r="CI55" s="2113"/>
      <c r="CJ55" s="2113"/>
      <c r="CK55" s="2114"/>
      <c r="CL55" s="2114"/>
      <c r="CM55" s="2114"/>
      <c r="CN55" s="2114"/>
      <c r="CO55" s="2114"/>
      <c r="CP55" s="2114"/>
      <c r="CQ55" s="2114"/>
      <c r="CR55" s="2114"/>
      <c r="CS55" s="2113"/>
      <c r="CT55" s="2113"/>
      <c r="CU55" s="2113"/>
      <c r="CV55" s="2113"/>
      <c r="CW55" s="2113"/>
      <c r="CX55" s="2113"/>
      <c r="CY55" s="2113"/>
      <c r="CZ55" s="2111"/>
      <c r="DA55" s="2111"/>
      <c r="DB55" s="2111"/>
      <c r="DC55" s="2111"/>
      <c r="DD55" s="2111"/>
      <c r="DE55" s="2111"/>
      <c r="DF55" s="2111"/>
      <c r="DG55" s="2112"/>
      <c r="DK55" s="170"/>
      <c r="DV55" s="171"/>
    </row>
    <row r="56" spans="2:126">
      <c r="B56" s="173"/>
      <c r="C56" s="2113"/>
      <c r="D56" s="2113"/>
      <c r="E56" s="2113"/>
      <c r="F56" s="2113"/>
      <c r="G56" s="2113"/>
      <c r="H56" s="2113"/>
      <c r="I56" s="2113"/>
      <c r="J56" s="2114"/>
      <c r="K56" s="2114"/>
      <c r="L56" s="2114"/>
      <c r="M56" s="2114"/>
      <c r="N56" s="2114"/>
      <c r="O56" s="2114"/>
      <c r="P56" s="2114"/>
      <c r="Q56" s="2114"/>
      <c r="R56" s="2113"/>
      <c r="S56" s="2113"/>
      <c r="T56" s="2113"/>
      <c r="U56" s="2113"/>
      <c r="V56" s="2113"/>
      <c r="W56" s="2113"/>
      <c r="X56" s="2113"/>
      <c r="Y56" s="2111"/>
      <c r="Z56" s="2111"/>
      <c r="AA56" s="1573"/>
      <c r="AB56" s="1573"/>
      <c r="AC56" s="1573"/>
      <c r="AD56" s="1573"/>
      <c r="AE56" s="2111"/>
      <c r="AF56" s="2111"/>
      <c r="AG56" s="2111"/>
      <c r="AH56" s="2111"/>
      <c r="AI56" s="2111"/>
      <c r="AJ56" s="2111"/>
      <c r="AK56" s="2111"/>
      <c r="AL56" s="2111"/>
      <c r="AM56" s="2111"/>
      <c r="AN56" s="2111"/>
      <c r="AO56" s="2111"/>
      <c r="AP56" s="2111"/>
      <c r="AQ56" s="2111"/>
      <c r="AR56" s="2112"/>
      <c r="AT56" s="169"/>
      <c r="AU56" s="169"/>
      <c r="AV56" s="173"/>
      <c r="AW56" s="2113"/>
      <c r="AX56" s="2113"/>
      <c r="AY56" s="2113"/>
      <c r="AZ56" s="2113"/>
      <c r="BA56" s="2113"/>
      <c r="BB56" s="2113"/>
      <c r="BC56" s="2113"/>
      <c r="BD56" s="2114"/>
      <c r="BE56" s="2114"/>
      <c r="BF56" s="2114"/>
      <c r="BG56" s="2114"/>
      <c r="BH56" s="2114"/>
      <c r="BI56" s="2114"/>
      <c r="BJ56" s="2114"/>
      <c r="BK56" s="2114"/>
      <c r="BL56" s="2113"/>
      <c r="BM56" s="2113"/>
      <c r="BN56" s="2113"/>
      <c r="BO56" s="2113"/>
      <c r="BP56" s="2113"/>
      <c r="BQ56" s="2113"/>
      <c r="BR56" s="2113"/>
      <c r="BS56" s="2111"/>
      <c r="BT56" s="2111"/>
      <c r="BU56" s="2111"/>
      <c r="BV56" s="2111"/>
      <c r="BW56" s="2111"/>
      <c r="BX56" s="2111"/>
      <c r="BY56" s="2111"/>
      <c r="BZ56" s="2112"/>
      <c r="CB56" s="169"/>
      <c r="CC56" s="173"/>
      <c r="CD56" s="2113"/>
      <c r="CE56" s="2113"/>
      <c r="CF56" s="2113"/>
      <c r="CG56" s="2113"/>
      <c r="CH56" s="2113"/>
      <c r="CI56" s="2113"/>
      <c r="CJ56" s="2113"/>
      <c r="CK56" s="2114"/>
      <c r="CL56" s="2114"/>
      <c r="CM56" s="2114"/>
      <c r="CN56" s="2114"/>
      <c r="CO56" s="2114"/>
      <c r="CP56" s="2114"/>
      <c r="CQ56" s="2114"/>
      <c r="CR56" s="2114"/>
      <c r="CS56" s="2113"/>
      <c r="CT56" s="2113"/>
      <c r="CU56" s="2113"/>
      <c r="CV56" s="2113"/>
      <c r="CW56" s="2113"/>
      <c r="CX56" s="2113"/>
      <c r="CY56" s="2113"/>
      <c r="CZ56" s="2111"/>
      <c r="DA56" s="2111"/>
      <c r="DB56" s="2111"/>
      <c r="DC56" s="2111"/>
      <c r="DD56" s="2111"/>
      <c r="DE56" s="2111"/>
      <c r="DF56" s="2111"/>
      <c r="DG56" s="2112"/>
      <c r="DK56" s="170"/>
      <c r="DV56" s="171"/>
    </row>
    <row r="57" spans="2:126" ht="17.25" thickBot="1">
      <c r="B57" s="173"/>
      <c r="C57" s="2113"/>
      <c r="D57" s="2113"/>
      <c r="E57" s="2113"/>
      <c r="F57" s="2113"/>
      <c r="G57" s="2113"/>
      <c r="H57" s="2113"/>
      <c r="I57" s="2113"/>
      <c r="J57" s="2114"/>
      <c r="K57" s="2114"/>
      <c r="L57" s="2114"/>
      <c r="M57" s="2114"/>
      <c r="N57" s="2114"/>
      <c r="O57" s="2114"/>
      <c r="P57" s="2114"/>
      <c r="Q57" s="2114"/>
      <c r="R57" s="2113"/>
      <c r="S57" s="2113"/>
      <c r="T57" s="2113"/>
      <c r="U57" s="2113"/>
      <c r="V57" s="2113"/>
      <c r="W57" s="2113"/>
      <c r="X57" s="2113"/>
      <c r="Y57" s="2111"/>
      <c r="Z57" s="2111"/>
      <c r="AA57" s="1573"/>
      <c r="AB57" s="1573"/>
      <c r="AC57" s="1573"/>
      <c r="AD57" s="1573"/>
      <c r="AE57" s="2111"/>
      <c r="AF57" s="2111"/>
      <c r="AG57" s="2111"/>
      <c r="AH57" s="2111"/>
      <c r="AI57" s="2111"/>
      <c r="AJ57" s="2111"/>
      <c r="AK57" s="2111"/>
      <c r="AL57" s="2111"/>
      <c r="AM57" s="2111"/>
      <c r="AN57" s="2111"/>
      <c r="AO57" s="2111"/>
      <c r="AP57" s="2111"/>
      <c r="AQ57" s="2111"/>
      <c r="AR57" s="2112"/>
      <c r="AV57" s="173"/>
      <c r="AW57" s="2113"/>
      <c r="AX57" s="2113"/>
      <c r="AY57" s="2113"/>
      <c r="AZ57" s="2113"/>
      <c r="BA57" s="2113"/>
      <c r="BB57" s="2113"/>
      <c r="BC57" s="2113"/>
      <c r="BD57" s="2114"/>
      <c r="BE57" s="2114"/>
      <c r="BF57" s="2114"/>
      <c r="BG57" s="2114"/>
      <c r="BH57" s="2114"/>
      <c r="BI57" s="2114"/>
      <c r="BJ57" s="2114"/>
      <c r="BK57" s="2114"/>
      <c r="BL57" s="2113"/>
      <c r="BM57" s="2113"/>
      <c r="BN57" s="2113"/>
      <c r="BO57" s="2113"/>
      <c r="BP57" s="2113"/>
      <c r="BQ57" s="2113"/>
      <c r="BR57" s="2113"/>
      <c r="BS57" s="2111"/>
      <c r="BT57" s="2111"/>
      <c r="BU57" s="2111"/>
      <c r="BV57" s="2111"/>
      <c r="BW57" s="2111"/>
      <c r="BX57" s="2111"/>
      <c r="BY57" s="2111"/>
      <c r="BZ57" s="2112"/>
      <c r="CC57" s="173"/>
      <c r="CD57" s="2113"/>
      <c r="CE57" s="2113"/>
      <c r="CF57" s="2113"/>
      <c r="CG57" s="2113"/>
      <c r="CH57" s="2113"/>
      <c r="CI57" s="2113"/>
      <c r="CJ57" s="2113"/>
      <c r="CK57" s="2114"/>
      <c r="CL57" s="2114"/>
      <c r="CM57" s="2114"/>
      <c r="CN57" s="2114"/>
      <c r="CO57" s="2114"/>
      <c r="CP57" s="2114"/>
      <c r="CQ57" s="2114"/>
      <c r="CR57" s="2114"/>
      <c r="CS57" s="2113"/>
      <c r="CT57" s="2113"/>
      <c r="CU57" s="2113"/>
      <c r="CV57" s="2113"/>
      <c r="CW57" s="2113"/>
      <c r="CX57" s="2113"/>
      <c r="CY57" s="2113"/>
      <c r="CZ57" s="2111"/>
      <c r="DA57" s="2111"/>
      <c r="DB57" s="2111"/>
      <c r="DC57" s="2111"/>
      <c r="DD57" s="2111"/>
      <c r="DE57" s="2111"/>
      <c r="DF57" s="2111"/>
      <c r="DG57" s="2112"/>
      <c r="DK57" s="778"/>
      <c r="DL57" s="808"/>
      <c r="DM57" s="808"/>
      <c r="DN57" s="808"/>
      <c r="DO57" s="808"/>
      <c r="DP57" s="808"/>
      <c r="DQ57" s="808"/>
      <c r="DR57" s="808"/>
      <c r="DS57" s="808"/>
      <c r="DT57" s="808"/>
      <c r="DU57" s="808"/>
      <c r="DV57" s="809"/>
    </row>
    <row r="58" spans="2:126" ht="17.25" thickBot="1">
      <c r="B58" s="175"/>
      <c r="C58" s="1814"/>
      <c r="D58" s="1814"/>
      <c r="E58" s="1814"/>
      <c r="F58" s="1814"/>
      <c r="G58" s="1814"/>
      <c r="H58" s="1814"/>
      <c r="I58" s="1814"/>
      <c r="J58" s="2126"/>
      <c r="K58" s="2126"/>
      <c r="L58" s="2126"/>
      <c r="M58" s="2126"/>
      <c r="N58" s="2126"/>
      <c r="O58" s="2126"/>
      <c r="P58" s="2126"/>
      <c r="Q58" s="2126"/>
      <c r="R58" s="1814"/>
      <c r="S58" s="1814"/>
      <c r="T58" s="1814"/>
      <c r="U58" s="1814"/>
      <c r="V58" s="1814"/>
      <c r="W58" s="1814"/>
      <c r="X58" s="1814"/>
      <c r="Y58" s="2127"/>
      <c r="Z58" s="2127"/>
      <c r="AA58" s="1575"/>
      <c r="AB58" s="1575"/>
      <c r="AC58" s="1575"/>
      <c r="AD58" s="1575"/>
      <c r="AE58" s="2127"/>
      <c r="AF58" s="2127"/>
      <c r="AG58" s="2127"/>
      <c r="AH58" s="2127"/>
      <c r="AI58" s="2127"/>
      <c r="AJ58" s="2127"/>
      <c r="AK58" s="2127"/>
      <c r="AL58" s="2127"/>
      <c r="AM58" s="2127"/>
      <c r="AN58" s="2127"/>
      <c r="AO58" s="2127"/>
      <c r="AP58" s="2127"/>
      <c r="AQ58" s="2127"/>
      <c r="AR58" s="2128"/>
      <c r="AV58" s="175"/>
      <c r="AW58" s="2123"/>
      <c r="AX58" s="2123"/>
      <c r="AY58" s="2123"/>
      <c r="AZ58" s="2123"/>
      <c r="BA58" s="2123"/>
      <c r="BB58" s="2123"/>
      <c r="BC58" s="2123"/>
      <c r="BD58" s="2124"/>
      <c r="BE58" s="2124"/>
      <c r="BF58" s="2124"/>
      <c r="BG58" s="2124"/>
      <c r="BH58" s="2124"/>
      <c r="BI58" s="2124"/>
      <c r="BJ58" s="2124"/>
      <c r="BK58" s="2124"/>
      <c r="BL58" s="2123"/>
      <c r="BM58" s="2123"/>
      <c r="BN58" s="2123"/>
      <c r="BO58" s="2123"/>
      <c r="BP58" s="2123"/>
      <c r="BQ58" s="2123"/>
      <c r="BR58" s="2123"/>
      <c r="BS58" s="2121"/>
      <c r="BT58" s="2121"/>
      <c r="BU58" s="2121"/>
      <c r="BV58" s="2121"/>
      <c r="BW58" s="2121"/>
      <c r="BX58" s="2121"/>
      <c r="BY58" s="2121"/>
      <c r="BZ58" s="2122"/>
      <c r="CC58" s="175"/>
      <c r="CD58" s="2123"/>
      <c r="CE58" s="2123"/>
      <c r="CF58" s="2123"/>
      <c r="CG58" s="2123"/>
      <c r="CH58" s="2123"/>
      <c r="CI58" s="2123"/>
      <c r="CJ58" s="2123"/>
      <c r="CK58" s="2124"/>
      <c r="CL58" s="2124"/>
      <c r="CM58" s="2124"/>
      <c r="CN58" s="2124"/>
      <c r="CO58" s="2124"/>
      <c r="CP58" s="2124"/>
      <c r="CQ58" s="2124"/>
      <c r="CR58" s="2124"/>
      <c r="CS58" s="2123"/>
      <c r="CT58" s="2123"/>
      <c r="CU58" s="2123"/>
      <c r="CV58" s="2123"/>
      <c r="CW58" s="2123"/>
      <c r="CX58" s="2123"/>
      <c r="CY58" s="2123"/>
      <c r="CZ58" s="2121"/>
      <c r="DA58" s="2121"/>
      <c r="DB58" s="2121"/>
      <c r="DC58" s="2121"/>
      <c r="DD58" s="2121"/>
      <c r="DE58" s="2121"/>
      <c r="DF58" s="2121"/>
      <c r="DG58" s="2122"/>
    </row>
    <row r="93" spans="50:60">
      <c r="AX93" t="s">
        <v>1150</v>
      </c>
      <c r="AY93" t="s">
        <v>1151</v>
      </c>
      <c r="BF93" t="s">
        <v>1152</v>
      </c>
      <c r="BG93" s="1868">
        <f>(17.8 * 88 * 26.7)/(1000*4.4)</f>
        <v>9.5052000000000003</v>
      </c>
      <c r="BH93" s="1868"/>
    </row>
  </sheetData>
  <mergeCells count="445">
    <mergeCell ref="C58:I58"/>
    <mergeCell ref="J58:M58"/>
    <mergeCell ref="N58:Q58"/>
    <mergeCell ref="R58:X58"/>
    <mergeCell ref="Y58:Z58"/>
    <mergeCell ref="AE58:AF58"/>
    <mergeCell ref="AG58:AR58"/>
    <mergeCell ref="C56:I56"/>
    <mergeCell ref="J56:M56"/>
    <mergeCell ref="N56:Q56"/>
    <mergeCell ref="R56:X56"/>
    <mergeCell ref="Y56:Z56"/>
    <mergeCell ref="AE56:AF56"/>
    <mergeCell ref="AG56:AR56"/>
    <mergeCell ref="C57:I57"/>
    <mergeCell ref="J57:M57"/>
    <mergeCell ref="N57:Q57"/>
    <mergeCell ref="R57:X57"/>
    <mergeCell ref="Y57:Z57"/>
    <mergeCell ref="AE57:AF57"/>
    <mergeCell ref="AG57:AR57"/>
    <mergeCell ref="C54:I54"/>
    <mergeCell ref="J54:M54"/>
    <mergeCell ref="N54:Q54"/>
    <mergeCell ref="R54:X54"/>
    <mergeCell ref="Y54:Z54"/>
    <mergeCell ref="AE54:AF54"/>
    <mergeCell ref="AG54:AR54"/>
    <mergeCell ref="C55:I55"/>
    <mergeCell ref="J55:M55"/>
    <mergeCell ref="N55:Q55"/>
    <mergeCell ref="R55:X55"/>
    <mergeCell ref="Y55:Z55"/>
    <mergeCell ref="AE55:AF55"/>
    <mergeCell ref="AG55:AR55"/>
    <mergeCell ref="C52:I52"/>
    <mergeCell ref="J52:M52"/>
    <mergeCell ref="N52:Q52"/>
    <mergeCell ref="R52:X52"/>
    <mergeCell ref="Y52:Z52"/>
    <mergeCell ref="AE52:AF52"/>
    <mergeCell ref="AG52:AR52"/>
    <mergeCell ref="C53:I53"/>
    <mergeCell ref="J53:M53"/>
    <mergeCell ref="N53:Q53"/>
    <mergeCell ref="R53:X53"/>
    <mergeCell ref="Y53:Z53"/>
    <mergeCell ref="AE53:AF53"/>
    <mergeCell ref="AG53:AR53"/>
    <mergeCell ref="C50:I50"/>
    <mergeCell ref="J50:M50"/>
    <mergeCell ref="N50:Q50"/>
    <mergeCell ref="R50:X50"/>
    <mergeCell ref="Y50:Z50"/>
    <mergeCell ref="AE50:AF50"/>
    <mergeCell ref="AG50:AR50"/>
    <mergeCell ref="C51:I51"/>
    <mergeCell ref="J51:M51"/>
    <mergeCell ref="N51:Q51"/>
    <mergeCell ref="R51:X51"/>
    <mergeCell ref="Y51:Z51"/>
    <mergeCell ref="AE51:AF51"/>
    <mergeCell ref="AG51:AR51"/>
    <mergeCell ref="C48:I48"/>
    <mergeCell ref="J48:M48"/>
    <mergeCell ref="N48:Q48"/>
    <mergeCell ref="R48:X48"/>
    <mergeCell ref="Y48:Z48"/>
    <mergeCell ref="AE48:AF48"/>
    <mergeCell ref="AG48:AR48"/>
    <mergeCell ref="C49:I49"/>
    <mergeCell ref="J49:M49"/>
    <mergeCell ref="N49:Q49"/>
    <mergeCell ref="R49:X49"/>
    <mergeCell ref="Y49:Z49"/>
    <mergeCell ref="AE49:AF49"/>
    <mergeCell ref="AG49:AR49"/>
    <mergeCell ref="C46:I46"/>
    <mergeCell ref="J46:M46"/>
    <mergeCell ref="N46:Q46"/>
    <mergeCell ref="R46:X46"/>
    <mergeCell ref="Y46:Z46"/>
    <mergeCell ref="AE46:AF46"/>
    <mergeCell ref="AG46:AR46"/>
    <mergeCell ref="C47:I47"/>
    <mergeCell ref="J47:M47"/>
    <mergeCell ref="N47:Q47"/>
    <mergeCell ref="R47:X47"/>
    <mergeCell ref="Y47:Z47"/>
    <mergeCell ref="AE47:AF47"/>
    <mergeCell ref="AG47:AR47"/>
    <mergeCell ref="C44:I44"/>
    <mergeCell ref="J44:M44"/>
    <mergeCell ref="N44:Q44"/>
    <mergeCell ref="R44:X44"/>
    <mergeCell ref="Y44:Z44"/>
    <mergeCell ref="AE44:AF44"/>
    <mergeCell ref="AG44:AR44"/>
    <mergeCell ref="C45:I45"/>
    <mergeCell ref="J45:M45"/>
    <mergeCell ref="N45:Q45"/>
    <mergeCell ref="R45:X45"/>
    <mergeCell ref="Y45:Z45"/>
    <mergeCell ref="AE45:AF45"/>
    <mergeCell ref="AG45:AR45"/>
    <mergeCell ref="C42:I42"/>
    <mergeCell ref="J42:M42"/>
    <mergeCell ref="N42:Q42"/>
    <mergeCell ref="R42:X42"/>
    <mergeCell ref="Y42:Z42"/>
    <mergeCell ref="AE42:AF42"/>
    <mergeCell ref="AG42:AR42"/>
    <mergeCell ref="C43:I43"/>
    <mergeCell ref="J43:M43"/>
    <mergeCell ref="N43:Q43"/>
    <mergeCell ref="R43:X43"/>
    <mergeCell ref="Y43:Z43"/>
    <mergeCell ref="AE43:AF43"/>
    <mergeCell ref="AG43:AR43"/>
    <mergeCell ref="C40:I40"/>
    <mergeCell ref="J40:M40"/>
    <mergeCell ref="N40:Q40"/>
    <mergeCell ref="R40:X40"/>
    <mergeCell ref="Y40:Z40"/>
    <mergeCell ref="AE40:AF40"/>
    <mergeCell ref="AG40:AR40"/>
    <mergeCell ref="C41:I41"/>
    <mergeCell ref="J41:M41"/>
    <mergeCell ref="N41:Q41"/>
    <mergeCell ref="R41:X41"/>
    <mergeCell ref="Y41:Z41"/>
    <mergeCell ref="AE41:AF41"/>
    <mergeCell ref="AG41:AR41"/>
    <mergeCell ref="B2:AR2"/>
    <mergeCell ref="C38:I38"/>
    <mergeCell ref="J38:M38"/>
    <mergeCell ref="N38:Q38"/>
    <mergeCell ref="R38:X38"/>
    <mergeCell ref="Y38:Z38"/>
    <mergeCell ref="AE38:AF38"/>
    <mergeCell ref="AG38:AR38"/>
    <mergeCell ref="C39:I39"/>
    <mergeCell ref="J39:M39"/>
    <mergeCell ref="N39:Q39"/>
    <mergeCell ref="R39:X39"/>
    <mergeCell ref="Y39:Z39"/>
    <mergeCell ref="AE39:AF39"/>
    <mergeCell ref="AG39:AR39"/>
    <mergeCell ref="BL38:BR38"/>
    <mergeCell ref="BS38:BT38"/>
    <mergeCell ref="BU38:BV38"/>
    <mergeCell ref="AV2:BZ2"/>
    <mergeCell ref="CC2:DG2"/>
    <mergeCell ref="BH39:BK39"/>
    <mergeCell ref="BL39:BR39"/>
    <mergeCell ref="BS39:BT39"/>
    <mergeCell ref="BU39:BV39"/>
    <mergeCell ref="BW39:BZ39"/>
    <mergeCell ref="DB38:DC38"/>
    <mergeCell ref="DD38:DG38"/>
    <mergeCell ref="AW39:BC39"/>
    <mergeCell ref="BW38:BZ38"/>
    <mergeCell ref="CD38:CJ38"/>
    <mergeCell ref="CK38:CN38"/>
    <mergeCell ref="CO38:CR38"/>
    <mergeCell ref="CS38:CY38"/>
    <mergeCell ref="CZ38:DA38"/>
    <mergeCell ref="AW38:BC38"/>
    <mergeCell ref="BD38:BG38"/>
    <mergeCell ref="BH38:BK38"/>
    <mergeCell ref="DD39:DG39"/>
    <mergeCell ref="AW40:BC40"/>
    <mergeCell ref="BD40:BG40"/>
    <mergeCell ref="CD39:CJ39"/>
    <mergeCell ref="CK39:CN39"/>
    <mergeCell ref="CO39:CR39"/>
    <mergeCell ref="CS39:CY39"/>
    <mergeCell ref="CZ39:DA39"/>
    <mergeCell ref="DB39:DC39"/>
    <mergeCell ref="BD39:BG39"/>
    <mergeCell ref="CK40:CN40"/>
    <mergeCell ref="CO40:CR40"/>
    <mergeCell ref="CS40:CY40"/>
    <mergeCell ref="CZ40:DA40"/>
    <mergeCell ref="DB40:DC40"/>
    <mergeCell ref="BU41:BV41"/>
    <mergeCell ref="BW41:BZ41"/>
    <mergeCell ref="CD41:CJ41"/>
    <mergeCell ref="CK41:CN41"/>
    <mergeCell ref="CO41:CR41"/>
    <mergeCell ref="CS41:CY41"/>
    <mergeCell ref="DD40:DG40"/>
    <mergeCell ref="BH40:BK40"/>
    <mergeCell ref="BL40:BR40"/>
    <mergeCell ref="BS40:BT40"/>
    <mergeCell ref="BU40:BV40"/>
    <mergeCell ref="BW40:BZ40"/>
    <mergeCell ref="CD40:CJ40"/>
    <mergeCell ref="AW41:BC41"/>
    <mergeCell ref="BD41:BG41"/>
    <mergeCell ref="BH41:BK41"/>
    <mergeCell ref="BL41:BR41"/>
    <mergeCell ref="BS41:BT41"/>
    <mergeCell ref="DB42:DC42"/>
    <mergeCell ref="DD42:DG42"/>
    <mergeCell ref="AW43:BC43"/>
    <mergeCell ref="BW42:BZ42"/>
    <mergeCell ref="CD42:CJ42"/>
    <mergeCell ref="CK42:CN42"/>
    <mergeCell ref="CO42:CR42"/>
    <mergeCell ref="CS42:CY42"/>
    <mergeCell ref="CZ42:DA42"/>
    <mergeCell ref="AW42:BC42"/>
    <mergeCell ref="BD42:BG42"/>
    <mergeCell ref="BH42:BK42"/>
    <mergeCell ref="BL42:BR42"/>
    <mergeCell ref="BS42:BT42"/>
    <mergeCell ref="BU42:BV42"/>
    <mergeCell ref="DD43:DG43"/>
    <mergeCell ref="CZ41:DA41"/>
    <mergeCell ref="DB41:DC41"/>
    <mergeCell ref="DD41:DG41"/>
    <mergeCell ref="AW44:BC44"/>
    <mergeCell ref="BD44:BG44"/>
    <mergeCell ref="CD43:CJ43"/>
    <mergeCell ref="CK43:CN43"/>
    <mergeCell ref="CO43:CR43"/>
    <mergeCell ref="CS43:CY43"/>
    <mergeCell ref="CZ43:DA43"/>
    <mergeCell ref="DB43:DC43"/>
    <mergeCell ref="BD43:BG43"/>
    <mergeCell ref="BH43:BK43"/>
    <mergeCell ref="BL43:BR43"/>
    <mergeCell ref="BS43:BT43"/>
    <mergeCell ref="BU43:BV43"/>
    <mergeCell ref="BW43:BZ43"/>
    <mergeCell ref="CS44:CY44"/>
    <mergeCell ref="CZ44:DA44"/>
    <mergeCell ref="DB44:DC44"/>
    <mergeCell ref="DD44:DG44"/>
    <mergeCell ref="BH44:BK44"/>
    <mergeCell ref="BL44:BR44"/>
    <mergeCell ref="BS44:BT44"/>
    <mergeCell ref="BU44:BV44"/>
    <mergeCell ref="BW44:BZ44"/>
    <mergeCell ref="CD44:CJ44"/>
    <mergeCell ref="BS45:BT45"/>
    <mergeCell ref="CZ45:DA45"/>
    <mergeCell ref="DB45:DC45"/>
    <mergeCell ref="DD45:DG45"/>
    <mergeCell ref="CS45:CY45"/>
    <mergeCell ref="CK44:CN44"/>
    <mergeCell ref="CO44:CR44"/>
    <mergeCell ref="BU45:BV45"/>
    <mergeCell ref="BW45:BZ45"/>
    <mergeCell ref="CD45:CJ45"/>
    <mergeCell ref="CK45:CN45"/>
    <mergeCell ref="CO45:CR45"/>
    <mergeCell ref="AW45:BC45"/>
    <mergeCell ref="BD45:BG45"/>
    <mergeCell ref="BH45:BK45"/>
    <mergeCell ref="BL45:BR45"/>
    <mergeCell ref="DB46:DC46"/>
    <mergeCell ref="DD46:DG46"/>
    <mergeCell ref="AW47:BC47"/>
    <mergeCell ref="BW46:BZ46"/>
    <mergeCell ref="CD46:CJ46"/>
    <mergeCell ref="CK46:CN46"/>
    <mergeCell ref="CO46:CR46"/>
    <mergeCell ref="CS46:CY46"/>
    <mergeCell ref="CZ46:DA46"/>
    <mergeCell ref="AW46:BC46"/>
    <mergeCell ref="BD46:BG46"/>
    <mergeCell ref="BH46:BK46"/>
    <mergeCell ref="BL46:BR46"/>
    <mergeCell ref="BS46:BT46"/>
    <mergeCell ref="BU46:BV46"/>
    <mergeCell ref="DD47:DG47"/>
    <mergeCell ref="AW48:BC48"/>
    <mergeCell ref="BD48:BG48"/>
    <mergeCell ref="CD47:CJ47"/>
    <mergeCell ref="CK47:CN47"/>
    <mergeCell ref="CO47:CR47"/>
    <mergeCell ref="CS47:CY47"/>
    <mergeCell ref="CZ47:DA47"/>
    <mergeCell ref="DB47:DC47"/>
    <mergeCell ref="BD47:BG47"/>
    <mergeCell ref="CK48:CN48"/>
    <mergeCell ref="CO48:CR48"/>
    <mergeCell ref="CS48:CY48"/>
    <mergeCell ref="CZ48:DA48"/>
    <mergeCell ref="DB48:DC48"/>
    <mergeCell ref="BH47:BK47"/>
    <mergeCell ref="BL47:BR47"/>
    <mergeCell ref="BS47:BT47"/>
    <mergeCell ref="BU47:BV47"/>
    <mergeCell ref="BW47:BZ47"/>
    <mergeCell ref="BU49:BV49"/>
    <mergeCell ref="BW49:BZ49"/>
    <mergeCell ref="CD49:CJ49"/>
    <mergeCell ref="CK49:CN49"/>
    <mergeCell ref="CO49:CR49"/>
    <mergeCell ref="CS49:CY49"/>
    <mergeCell ref="DD48:DG48"/>
    <mergeCell ref="BH48:BK48"/>
    <mergeCell ref="BL48:BR48"/>
    <mergeCell ref="BS48:BT48"/>
    <mergeCell ref="BU48:BV48"/>
    <mergeCell ref="BW48:BZ48"/>
    <mergeCell ref="CD48:CJ48"/>
    <mergeCell ref="AW49:BC49"/>
    <mergeCell ref="BD49:BG49"/>
    <mergeCell ref="BH49:BK49"/>
    <mergeCell ref="BL49:BR49"/>
    <mergeCell ref="BS49:BT49"/>
    <mergeCell ref="DB50:DC50"/>
    <mergeCell ref="DD50:DG50"/>
    <mergeCell ref="AW51:BC51"/>
    <mergeCell ref="BW50:BZ50"/>
    <mergeCell ref="CD50:CJ50"/>
    <mergeCell ref="CK50:CN50"/>
    <mergeCell ref="CO50:CR50"/>
    <mergeCell ref="CS50:CY50"/>
    <mergeCell ref="CZ50:DA50"/>
    <mergeCell ref="AW50:BC50"/>
    <mergeCell ref="BD50:BG50"/>
    <mergeCell ref="BH50:BK50"/>
    <mergeCell ref="BL50:BR50"/>
    <mergeCell ref="BS50:BT50"/>
    <mergeCell ref="BU50:BV50"/>
    <mergeCell ref="DD51:DG51"/>
    <mergeCell ref="CZ49:DA49"/>
    <mergeCell ref="DB49:DC49"/>
    <mergeCell ref="DD49:DG49"/>
    <mergeCell ref="AW52:BC52"/>
    <mergeCell ref="BD52:BG52"/>
    <mergeCell ref="CD51:CJ51"/>
    <mergeCell ref="CK51:CN51"/>
    <mergeCell ref="CO51:CR51"/>
    <mergeCell ref="CS51:CY51"/>
    <mergeCell ref="CZ51:DA51"/>
    <mergeCell ref="DB51:DC51"/>
    <mergeCell ref="BD51:BG51"/>
    <mergeCell ref="BH51:BK51"/>
    <mergeCell ref="BL51:BR51"/>
    <mergeCell ref="BS51:BT51"/>
    <mergeCell ref="BU51:BV51"/>
    <mergeCell ref="BW51:BZ51"/>
    <mergeCell ref="CS52:CY52"/>
    <mergeCell ref="CZ52:DA52"/>
    <mergeCell ref="DB52:DC52"/>
    <mergeCell ref="DD52:DG52"/>
    <mergeCell ref="BH52:BK52"/>
    <mergeCell ref="BL52:BR52"/>
    <mergeCell ref="BS52:BT52"/>
    <mergeCell ref="BU52:BV52"/>
    <mergeCell ref="BW52:BZ52"/>
    <mergeCell ref="CD52:CJ52"/>
    <mergeCell ref="BS53:BT53"/>
    <mergeCell ref="CZ53:DA53"/>
    <mergeCell ref="DB53:DC53"/>
    <mergeCell ref="DD53:DG53"/>
    <mergeCell ref="CS53:CY53"/>
    <mergeCell ref="CK52:CN52"/>
    <mergeCell ref="CO52:CR52"/>
    <mergeCell ref="BU53:BV53"/>
    <mergeCell ref="BW53:BZ53"/>
    <mergeCell ref="CD53:CJ53"/>
    <mergeCell ref="CK53:CN53"/>
    <mergeCell ref="CO53:CR53"/>
    <mergeCell ref="AW53:BC53"/>
    <mergeCell ref="BD53:BG53"/>
    <mergeCell ref="BH53:BK53"/>
    <mergeCell ref="BL53:BR53"/>
    <mergeCell ref="DB54:DC54"/>
    <mergeCell ref="DD54:DG54"/>
    <mergeCell ref="AW55:BC55"/>
    <mergeCell ref="BW54:BZ54"/>
    <mergeCell ref="CD54:CJ54"/>
    <mergeCell ref="CK54:CN54"/>
    <mergeCell ref="CO54:CR54"/>
    <mergeCell ref="CS54:CY54"/>
    <mergeCell ref="CZ54:DA54"/>
    <mergeCell ref="AW54:BC54"/>
    <mergeCell ref="BD54:BG54"/>
    <mergeCell ref="BH54:BK54"/>
    <mergeCell ref="BL54:BR54"/>
    <mergeCell ref="BS54:BT54"/>
    <mergeCell ref="BU54:BV54"/>
    <mergeCell ref="DD55:DG55"/>
    <mergeCell ref="AW56:BC56"/>
    <mergeCell ref="BD56:BG56"/>
    <mergeCell ref="CD55:CJ55"/>
    <mergeCell ref="CK55:CN55"/>
    <mergeCell ref="CO55:CR55"/>
    <mergeCell ref="CS55:CY55"/>
    <mergeCell ref="CZ55:DA55"/>
    <mergeCell ref="DB55:DC55"/>
    <mergeCell ref="BD55:BG55"/>
    <mergeCell ref="CK56:CN56"/>
    <mergeCell ref="CO56:CR56"/>
    <mergeCell ref="CS56:CY56"/>
    <mergeCell ref="CZ56:DA56"/>
    <mergeCell ref="DB56:DC56"/>
    <mergeCell ref="BH55:BK55"/>
    <mergeCell ref="BL55:BR55"/>
    <mergeCell ref="BS55:BT55"/>
    <mergeCell ref="BU55:BV55"/>
    <mergeCell ref="BW55:BZ55"/>
    <mergeCell ref="BW57:BZ57"/>
    <mergeCell ref="CD57:CJ57"/>
    <mergeCell ref="CK57:CN57"/>
    <mergeCell ref="CO57:CR57"/>
    <mergeCell ref="CS57:CY57"/>
    <mergeCell ref="DD56:DG56"/>
    <mergeCell ref="BH56:BK56"/>
    <mergeCell ref="BL56:BR56"/>
    <mergeCell ref="BS56:BT56"/>
    <mergeCell ref="BU56:BV56"/>
    <mergeCell ref="BW56:BZ56"/>
    <mergeCell ref="CD56:CJ56"/>
    <mergeCell ref="AW57:BC57"/>
    <mergeCell ref="BD57:BG57"/>
    <mergeCell ref="BH57:BK57"/>
    <mergeCell ref="BL57:BR57"/>
    <mergeCell ref="BS57:BT57"/>
    <mergeCell ref="DB58:DC58"/>
    <mergeCell ref="DD58:DG58"/>
    <mergeCell ref="BG93:BH93"/>
    <mergeCell ref="BW58:BZ58"/>
    <mergeCell ref="CD58:CJ58"/>
    <mergeCell ref="CK58:CN58"/>
    <mergeCell ref="CO58:CR58"/>
    <mergeCell ref="CS58:CY58"/>
    <mergeCell ref="CZ58:DA58"/>
    <mergeCell ref="AW58:BC58"/>
    <mergeCell ref="BD58:BG58"/>
    <mergeCell ref="BH58:BK58"/>
    <mergeCell ref="BL58:BR58"/>
    <mergeCell ref="BS58:BT58"/>
    <mergeCell ref="BU58:BV58"/>
    <mergeCell ref="CZ57:DA57"/>
    <mergeCell ref="DB57:DC57"/>
    <mergeCell ref="DD57:DG57"/>
    <mergeCell ref="BU57:BV57"/>
  </mergeCells>
  <phoneticPr fontId="11" type="noConversion"/>
  <pageMargins left="0.44" right="0.55000000000000004" top="0.74803149606299213" bottom="0.74803149606299213" header="0.31496062992125984" footer="0.31496062992125984"/>
  <pageSetup paperSize="9" scale="55" orientation="portrait" r:id="rId1"/>
  <colBreaks count="2" manualBreakCount="2">
    <brk id="45" max="57" man="1"/>
    <brk id="79" max="57" man="1"/>
  </colBreaks>
  <drawing r:id="rId2"/>
  <legacyDrawing r:id="rId3"/>
  <oleObjects>
    <mc:AlternateContent xmlns:mc="http://schemas.openxmlformats.org/markup-compatibility/2006">
      <mc:Choice Requires="x14">
        <oleObject progId="PBrush" shapeId="8203" r:id="rId4">
          <objectPr defaultSize="0" autoPict="0" r:id="rId5">
            <anchor moveWithCells="1" sizeWithCells="1">
              <from>
                <xdr:col>62</xdr:col>
                <xdr:colOff>247650</xdr:colOff>
                <xdr:row>23</xdr:row>
                <xdr:rowOff>38100</xdr:rowOff>
              </from>
              <to>
                <xdr:col>65</xdr:col>
                <xdr:colOff>47625</xdr:colOff>
                <xdr:row>24</xdr:row>
                <xdr:rowOff>171450</xdr:rowOff>
              </to>
            </anchor>
          </objectPr>
        </oleObject>
      </mc:Choice>
      <mc:Fallback>
        <oleObject progId="PBrush" shapeId="8203" r:id="rId4"/>
      </mc:Fallback>
    </mc:AlternateContent>
    <mc:AlternateContent xmlns:mc="http://schemas.openxmlformats.org/markup-compatibility/2006">
      <mc:Choice Requires="x14">
        <oleObject progId="StaticMetafile" shapeId="8204" r:id="rId6">
          <objectPr defaultSize="0" autoPict="0" r:id="rId7">
            <anchor moveWithCells="1" sizeWithCells="1">
              <from>
                <xdr:col>63</xdr:col>
                <xdr:colOff>0</xdr:colOff>
                <xdr:row>27</xdr:row>
                <xdr:rowOff>66675</xdr:rowOff>
              </from>
              <to>
                <xdr:col>66</xdr:col>
                <xdr:colOff>104775</xdr:colOff>
                <xdr:row>28</xdr:row>
                <xdr:rowOff>104775</xdr:rowOff>
              </to>
            </anchor>
          </objectPr>
        </oleObject>
      </mc:Choice>
      <mc:Fallback>
        <oleObject progId="StaticMetafile" shapeId="8204" r:id="rId6"/>
      </mc:Fallback>
    </mc:AlternateContent>
  </oleObjec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742D2-50CC-4CFA-AAFF-222F9960E678}">
  <dimension ref="A1:U102"/>
  <sheetViews>
    <sheetView view="pageBreakPreview" zoomScaleNormal="85" zoomScaleSheetLayoutView="100" workbookViewId="0">
      <selection activeCell="I51" sqref="I51"/>
    </sheetView>
  </sheetViews>
  <sheetFormatPr defaultRowHeight="16.5"/>
  <cols>
    <col min="1" max="1" width="1.625" style="194" customWidth="1"/>
    <col min="2" max="2" width="4.875" style="194" customWidth="1"/>
    <col min="3" max="3" width="25.25" style="194" customWidth="1"/>
    <col min="4" max="5" width="14.625" style="194" customWidth="1"/>
    <col min="6" max="6" width="20.25" style="194" customWidth="1"/>
    <col min="7" max="8" width="9.125" style="194" customWidth="1"/>
    <col min="9" max="9" width="15.625" style="194" customWidth="1"/>
    <col min="10" max="10" width="5.375" style="194" customWidth="1"/>
    <col min="12" max="12" width="12" customWidth="1"/>
  </cols>
  <sheetData>
    <row r="1" spans="2:21" ht="11.25" customHeight="1"/>
    <row r="2" spans="2:21" ht="27">
      <c r="B2" s="2131" t="s">
        <v>1677</v>
      </c>
      <c r="C2" s="2131"/>
      <c r="D2" s="2131"/>
      <c r="E2" s="2131"/>
      <c r="F2" s="2131"/>
      <c r="G2" s="2131"/>
      <c r="H2" s="2131"/>
      <c r="I2" s="2131"/>
      <c r="J2" s="255"/>
    </row>
    <row r="3" spans="2:21" ht="17.25" thickBot="1"/>
    <row r="4" spans="2:21">
      <c r="B4" s="217"/>
      <c r="C4" s="218"/>
      <c r="D4" s="218"/>
      <c r="E4" s="218"/>
      <c r="F4" s="218"/>
      <c r="G4" s="218"/>
      <c r="H4" s="218"/>
      <c r="I4" s="218"/>
      <c r="J4" s="219"/>
    </row>
    <row r="5" spans="2:21">
      <c r="B5" s="220"/>
      <c r="J5" s="221"/>
    </row>
    <row r="6" spans="2:21">
      <c r="B6" s="220"/>
      <c r="J6" s="221"/>
      <c r="L6" s="194"/>
      <c r="M6" s="194"/>
      <c r="N6" s="194"/>
      <c r="O6" s="194"/>
      <c r="P6" s="194"/>
      <c r="Q6" s="194"/>
      <c r="R6" s="194"/>
      <c r="S6" s="194"/>
      <c r="T6" s="194"/>
      <c r="U6" s="194"/>
    </row>
    <row r="7" spans="2:21">
      <c r="B7" s="220"/>
      <c r="J7" s="221"/>
      <c r="L7" s="194"/>
      <c r="M7" s="194"/>
      <c r="N7" s="194"/>
      <c r="O7" s="194"/>
      <c r="P7" s="194"/>
      <c r="Q7" s="194"/>
      <c r="R7" s="194"/>
      <c r="S7" s="194"/>
      <c r="T7" s="194"/>
      <c r="U7" s="194"/>
    </row>
    <row r="8" spans="2:21">
      <c r="B8" s="220"/>
      <c r="J8" s="221"/>
      <c r="L8" s="194"/>
      <c r="M8" s="194"/>
      <c r="N8" s="194"/>
      <c r="O8" s="194"/>
      <c r="P8" s="194"/>
      <c r="Q8" s="194"/>
      <c r="R8" s="194"/>
      <c r="S8" s="194"/>
      <c r="T8" s="194"/>
      <c r="U8" s="194"/>
    </row>
    <row r="9" spans="2:21">
      <c r="B9" s="220"/>
      <c r="J9" s="221"/>
      <c r="L9" s="194" t="s">
        <v>1621</v>
      </c>
      <c r="M9" s="194"/>
      <c r="N9" s="194" t="s">
        <v>1621</v>
      </c>
      <c r="O9" s="194"/>
      <c r="P9" s="194"/>
      <c r="Q9" s="194"/>
      <c r="R9" s="194"/>
      <c r="S9" s="194"/>
      <c r="T9" s="194"/>
      <c r="U9" s="194"/>
    </row>
    <row r="10" spans="2:21">
      <c r="B10" s="220"/>
      <c r="J10" s="221"/>
      <c r="L10" s="194"/>
      <c r="M10" s="194"/>
      <c r="N10" s="390"/>
      <c r="O10" s="194"/>
      <c r="P10" s="194"/>
      <c r="Q10" s="194"/>
      <c r="R10" s="194"/>
      <c r="S10" s="194"/>
      <c r="T10" s="194"/>
      <c r="U10" s="194"/>
    </row>
    <row r="11" spans="2:21">
      <c r="B11" s="220"/>
      <c r="J11" s="221"/>
      <c r="L11" s="390" t="s">
        <v>1211</v>
      </c>
      <c r="M11" s="194"/>
      <c r="N11" s="390" t="s">
        <v>1651</v>
      </c>
      <c r="O11" s="194"/>
      <c r="P11" s="194"/>
      <c r="Q11" s="194"/>
      <c r="R11" s="194"/>
      <c r="S11" s="194"/>
      <c r="T11" s="194"/>
      <c r="U11" s="194"/>
    </row>
    <row r="12" spans="2:21">
      <c r="B12" s="220"/>
      <c r="J12" s="221"/>
      <c r="L12" s="390"/>
      <c r="M12" s="194"/>
      <c r="N12" s="390"/>
      <c r="O12" s="194"/>
      <c r="P12" s="194"/>
      <c r="Q12" s="194"/>
      <c r="R12" s="194"/>
      <c r="S12" s="194"/>
      <c r="T12" s="194"/>
      <c r="U12" s="194"/>
    </row>
    <row r="13" spans="2:21">
      <c r="B13" s="220"/>
      <c r="I13" s="2132" t="s">
        <v>1678</v>
      </c>
      <c r="J13" s="2133"/>
      <c r="L13" s="390" t="s">
        <v>1448</v>
      </c>
      <c r="M13" s="194"/>
      <c r="N13" s="390" t="s">
        <v>1448</v>
      </c>
      <c r="O13" s="194"/>
      <c r="P13" s="194"/>
      <c r="Q13" s="194"/>
      <c r="R13" s="194"/>
      <c r="S13" s="194"/>
      <c r="T13" s="194"/>
      <c r="U13" s="194"/>
    </row>
    <row r="14" spans="2:21">
      <c r="B14" s="220"/>
      <c r="I14" s="2134"/>
      <c r="J14" s="2133"/>
      <c r="L14" s="390" t="s">
        <v>1447</v>
      </c>
      <c r="M14" s="194"/>
      <c r="N14" s="390" t="s">
        <v>1447</v>
      </c>
      <c r="O14" s="194"/>
      <c r="P14" s="194"/>
      <c r="Q14" s="194"/>
      <c r="R14" s="194"/>
      <c r="S14" s="194"/>
      <c r="T14" s="194"/>
      <c r="U14" s="194"/>
    </row>
    <row r="15" spans="2:21">
      <c r="B15" s="220"/>
      <c r="I15" s="2134"/>
      <c r="J15" s="2133"/>
      <c r="L15" s="390" t="s">
        <v>1212</v>
      </c>
      <c r="M15" s="194"/>
      <c r="N15" s="390" t="s">
        <v>1652</v>
      </c>
      <c r="O15" s="194"/>
      <c r="P15" s="194"/>
      <c r="Q15" s="194"/>
      <c r="R15" s="194"/>
      <c r="S15" s="194"/>
      <c r="T15" s="194"/>
      <c r="U15" s="194"/>
    </row>
    <row r="16" spans="2:21">
      <c r="B16" s="220"/>
      <c r="I16" s="2134"/>
      <c r="J16" s="2133"/>
      <c r="L16" s="813" t="s">
        <v>1626</v>
      </c>
      <c r="M16" s="194"/>
      <c r="N16" s="390" t="s">
        <v>1653</v>
      </c>
      <c r="O16" s="194"/>
      <c r="P16" s="194"/>
      <c r="Q16" s="194"/>
      <c r="R16" s="194"/>
      <c r="S16" s="194"/>
      <c r="T16" s="194"/>
      <c r="U16" s="194"/>
    </row>
    <row r="17" spans="2:21">
      <c r="B17" s="220"/>
      <c r="I17" s="2134"/>
      <c r="J17" s="2133"/>
      <c r="L17" s="390" t="s">
        <v>1421</v>
      </c>
      <c r="M17" s="194"/>
      <c r="N17" s="390"/>
      <c r="O17" s="194"/>
      <c r="P17" s="194"/>
      <c r="Q17" s="194"/>
      <c r="R17" s="194"/>
      <c r="S17" s="194"/>
      <c r="T17" s="194"/>
      <c r="U17" s="194"/>
    </row>
    <row r="18" spans="2:21">
      <c r="B18" s="220"/>
      <c r="I18" s="2134"/>
      <c r="J18" s="2133"/>
      <c r="L18" s="390"/>
      <c r="M18" s="194"/>
      <c r="N18" s="390"/>
      <c r="O18" s="194"/>
      <c r="P18" s="194"/>
      <c r="Q18" s="194"/>
      <c r="R18" s="194"/>
      <c r="S18" s="194"/>
      <c r="T18" s="194"/>
      <c r="U18" s="194"/>
    </row>
    <row r="19" spans="2:21">
      <c r="B19" s="220"/>
      <c r="I19" s="2134"/>
      <c r="J19" s="2133"/>
      <c r="L19" s="390"/>
      <c r="M19" s="194"/>
      <c r="N19" s="390"/>
      <c r="O19" s="194"/>
      <c r="P19" s="194"/>
      <c r="Q19" s="194"/>
      <c r="R19" s="194"/>
      <c r="S19" s="194"/>
      <c r="T19" s="194"/>
      <c r="U19" s="194"/>
    </row>
    <row r="20" spans="2:21">
      <c r="B20" s="220"/>
      <c r="I20" s="2134"/>
      <c r="J20" s="2133"/>
      <c r="L20" s="390" t="s">
        <v>1445</v>
      </c>
      <c r="M20" s="194"/>
      <c r="N20" s="390"/>
      <c r="O20" s="194"/>
      <c r="P20" s="194"/>
      <c r="Q20" s="194"/>
      <c r="R20" s="194"/>
      <c r="S20" s="194"/>
      <c r="T20" s="194"/>
      <c r="U20" s="194"/>
    </row>
    <row r="21" spans="2:21">
      <c r="B21" s="220"/>
      <c r="I21" s="2134"/>
      <c r="J21" s="2133"/>
      <c r="L21" s="390" t="s">
        <v>1215</v>
      </c>
      <c r="M21" s="194"/>
      <c r="N21" s="390" t="s">
        <v>1215</v>
      </c>
      <c r="O21" s="194"/>
      <c r="P21" s="194"/>
      <c r="Q21" s="194"/>
      <c r="R21" s="194"/>
      <c r="S21" s="194"/>
      <c r="T21" s="194"/>
      <c r="U21" s="194"/>
    </row>
    <row r="22" spans="2:21">
      <c r="B22" s="220"/>
      <c r="I22" s="2134"/>
      <c r="J22" s="2133"/>
      <c r="L22" s="194"/>
      <c r="M22" s="194"/>
      <c r="N22" s="194"/>
      <c r="O22" s="194"/>
      <c r="P22" s="194"/>
      <c r="Q22" s="194"/>
      <c r="R22" s="194"/>
      <c r="S22" s="194"/>
      <c r="T22" s="194"/>
      <c r="U22" s="194"/>
    </row>
    <row r="23" spans="2:21">
      <c r="B23" s="220"/>
      <c r="I23" s="2134"/>
      <c r="J23" s="2133"/>
      <c r="L23" s="194"/>
      <c r="M23" s="194"/>
      <c r="N23" s="194"/>
      <c r="O23" s="194"/>
      <c r="P23" s="194"/>
      <c r="Q23" s="194"/>
      <c r="R23" s="194"/>
      <c r="S23" s="194"/>
      <c r="T23" s="194"/>
      <c r="U23" s="194"/>
    </row>
    <row r="24" spans="2:21">
      <c r="B24" s="220"/>
      <c r="I24" s="2134"/>
      <c r="J24" s="2133"/>
      <c r="L24" s="194"/>
      <c r="M24" s="194"/>
      <c r="N24" s="194"/>
      <c r="O24" s="194"/>
      <c r="P24" s="194"/>
      <c r="Q24" s="390"/>
      <c r="R24" s="194"/>
      <c r="S24" s="194"/>
      <c r="T24" s="194"/>
      <c r="U24" s="194"/>
    </row>
    <row r="25" spans="2:21">
      <c r="B25" s="220"/>
      <c r="I25" s="2134"/>
      <c r="J25" s="2133"/>
      <c r="L25" s="194"/>
      <c r="M25" s="194"/>
      <c r="N25" s="194"/>
      <c r="O25" s="194"/>
      <c r="P25" s="194"/>
      <c r="Q25" s="194"/>
      <c r="R25" s="194"/>
      <c r="S25" s="194"/>
      <c r="T25" s="194"/>
      <c r="U25" s="194"/>
    </row>
    <row r="26" spans="2:21">
      <c r="B26" s="220"/>
      <c r="I26" s="2134"/>
      <c r="J26" s="2133"/>
      <c r="L26" s="194"/>
      <c r="M26" s="194"/>
      <c r="N26" s="194"/>
      <c r="O26" s="194"/>
      <c r="P26" s="194"/>
      <c r="Q26" s="194"/>
      <c r="R26" s="194"/>
      <c r="S26" s="194"/>
      <c r="T26" s="194"/>
      <c r="U26" s="194"/>
    </row>
    <row r="27" spans="2:21">
      <c r="B27" s="220"/>
      <c r="I27" s="2134"/>
      <c r="J27" s="2133"/>
      <c r="M27" s="194"/>
      <c r="N27" s="194"/>
      <c r="O27" s="194"/>
      <c r="P27" s="194"/>
      <c r="Q27" s="194"/>
      <c r="R27" s="194"/>
      <c r="S27" s="194"/>
      <c r="T27" s="194"/>
      <c r="U27" s="194"/>
    </row>
    <row r="28" spans="2:21">
      <c r="B28" s="220"/>
      <c r="J28" s="221"/>
      <c r="L28" s="194"/>
      <c r="M28" s="194"/>
      <c r="N28" s="194"/>
      <c r="O28" s="194"/>
      <c r="P28" s="194"/>
      <c r="Q28" s="194"/>
      <c r="R28" s="194"/>
      <c r="S28" s="194"/>
      <c r="T28" s="194"/>
      <c r="U28" s="194"/>
    </row>
    <row r="29" spans="2:21">
      <c r="B29" s="220"/>
      <c r="J29" s="221"/>
    </row>
    <row r="30" spans="2:21">
      <c r="B30" s="220"/>
      <c r="J30" s="221"/>
    </row>
    <row r="31" spans="2:21">
      <c r="B31" s="220"/>
      <c r="J31" s="221"/>
    </row>
    <row r="32" spans="2:21" ht="17.25" thickBot="1">
      <c r="B32" s="220"/>
      <c r="J32" s="221"/>
    </row>
    <row r="33" spans="2:15">
      <c r="B33" s="220"/>
      <c r="J33" s="221"/>
      <c r="L33" s="359"/>
      <c r="M33" s="361"/>
      <c r="N33" s="363"/>
      <c r="O33" s="364"/>
    </row>
    <row r="34" spans="2:15" ht="17.25" thickBot="1">
      <c r="B34" s="222"/>
      <c r="C34" s="223"/>
      <c r="D34" s="223"/>
      <c r="E34" s="223"/>
      <c r="F34" s="223"/>
      <c r="G34" s="223"/>
      <c r="H34" s="223"/>
      <c r="I34" s="223"/>
      <c r="J34" s="224"/>
      <c r="L34" s="360"/>
      <c r="M34" s="362"/>
      <c r="N34" s="365"/>
      <c r="O34" s="366"/>
    </row>
    <row r="36" spans="2:15" ht="17.25" thickBot="1">
      <c r="B36" s="209" t="s">
        <v>722</v>
      </c>
      <c r="H36" s="22"/>
    </row>
    <row r="37" spans="2:15" ht="17.25" thickBot="1">
      <c r="B37" s="202" t="s">
        <v>130</v>
      </c>
      <c r="C37" s="817" t="s">
        <v>131</v>
      </c>
      <c r="D37" s="817" t="s">
        <v>132</v>
      </c>
      <c r="E37" s="817" t="s">
        <v>133</v>
      </c>
      <c r="F37" s="817" t="s">
        <v>134</v>
      </c>
      <c r="G37" s="204" t="s">
        <v>135</v>
      </c>
      <c r="H37" s="817" t="s">
        <v>136</v>
      </c>
      <c r="I37" s="2129" t="s">
        <v>137</v>
      </c>
      <c r="J37" s="2130"/>
    </row>
    <row r="38" spans="2:15" ht="17.25" customHeight="1">
      <c r="B38" s="818" t="s">
        <v>649</v>
      </c>
      <c r="C38" s="820" t="s">
        <v>2009</v>
      </c>
      <c r="D38" s="821" t="s">
        <v>1654</v>
      </c>
      <c r="E38" s="821" t="s">
        <v>138</v>
      </c>
      <c r="F38" s="821" t="s">
        <v>651</v>
      </c>
      <c r="G38" s="205" t="s">
        <v>200</v>
      </c>
      <c r="H38" s="823"/>
      <c r="I38" s="823"/>
      <c r="J38" s="824"/>
      <c r="K38" s="548"/>
    </row>
    <row r="39" spans="2:15" ht="17.25" customHeight="1">
      <c r="B39" s="819" t="s">
        <v>653</v>
      </c>
      <c r="C39" s="814" t="s">
        <v>1177</v>
      </c>
      <c r="D39" s="821" t="s">
        <v>138</v>
      </c>
      <c r="E39" s="821" t="s">
        <v>654</v>
      </c>
      <c r="F39" s="821" t="s">
        <v>655</v>
      </c>
      <c r="G39" s="205" t="s">
        <v>200</v>
      </c>
      <c r="H39" s="825"/>
      <c r="I39" s="821"/>
      <c r="J39" s="826"/>
      <c r="K39" s="548"/>
    </row>
    <row r="40" spans="2:15" ht="17.25" customHeight="1">
      <c r="B40" s="819" t="s">
        <v>657</v>
      </c>
      <c r="C40" s="814" t="s">
        <v>1178</v>
      </c>
      <c r="D40" s="821" t="s">
        <v>1654</v>
      </c>
      <c r="E40" s="821" t="s">
        <v>1578</v>
      </c>
      <c r="F40" s="822" t="s">
        <v>1579</v>
      </c>
      <c r="G40" s="205" t="s">
        <v>200</v>
      </c>
      <c r="H40" s="823"/>
      <c r="I40" s="822"/>
      <c r="J40" s="827"/>
      <c r="K40" s="548"/>
      <c r="L40" s="329"/>
    </row>
    <row r="41" spans="2:15" ht="17.25" customHeight="1">
      <c r="B41" s="815" t="s">
        <v>658</v>
      </c>
      <c r="C41" s="814" t="s">
        <v>1179</v>
      </c>
      <c r="D41" s="822" t="s">
        <v>1636</v>
      </c>
      <c r="E41" s="821" t="s">
        <v>138</v>
      </c>
      <c r="F41" s="821" t="s">
        <v>659</v>
      </c>
      <c r="G41" s="205" t="s">
        <v>1649</v>
      </c>
      <c r="H41" s="825"/>
      <c r="I41" s="821"/>
      <c r="J41" s="826"/>
      <c r="K41" s="548"/>
    </row>
    <row r="42" spans="2:15" ht="17.25" customHeight="1">
      <c r="B42" s="815" t="s">
        <v>660</v>
      </c>
      <c r="C42" s="814" t="s">
        <v>1179</v>
      </c>
      <c r="D42" s="822" t="s">
        <v>1637</v>
      </c>
      <c r="E42" s="821" t="s">
        <v>138</v>
      </c>
      <c r="F42" s="821" t="s">
        <v>1638</v>
      </c>
      <c r="G42" s="205" t="s">
        <v>1649</v>
      </c>
      <c r="H42" s="825"/>
      <c r="I42" s="821"/>
      <c r="J42" s="826"/>
      <c r="K42" s="548"/>
    </row>
    <row r="43" spans="2:15" s="22" customFormat="1" ht="17.25">
      <c r="B43" s="816" t="s">
        <v>661</v>
      </c>
      <c r="C43" s="821" t="s">
        <v>1369</v>
      </c>
      <c r="D43" s="821" t="s">
        <v>460</v>
      </c>
      <c r="E43" s="821" t="s">
        <v>456</v>
      </c>
      <c r="F43" s="822" t="s">
        <v>1639</v>
      </c>
      <c r="G43" s="205" t="s">
        <v>343</v>
      </c>
      <c r="H43" s="825"/>
      <c r="I43" s="821" t="s">
        <v>664</v>
      </c>
      <c r="J43" s="826">
        <f>H43/8</f>
        <v>0</v>
      </c>
    </row>
    <row r="44" spans="2:15" ht="17.25" customHeight="1">
      <c r="B44" s="815" t="s">
        <v>665</v>
      </c>
      <c r="C44" s="814" t="s">
        <v>199</v>
      </c>
      <c r="D44" s="822" t="s">
        <v>1655</v>
      </c>
      <c r="E44" s="821" t="s">
        <v>1656</v>
      </c>
      <c r="F44" s="821" t="s">
        <v>666</v>
      </c>
      <c r="G44" s="674" t="s">
        <v>1483</v>
      </c>
      <c r="H44" s="825"/>
      <c r="I44" s="821"/>
      <c r="J44" s="828"/>
      <c r="K44" s="548"/>
    </row>
    <row r="45" spans="2:15" ht="17.25" customHeight="1">
      <c r="B45" s="815" t="s">
        <v>434</v>
      </c>
      <c r="C45" s="814" t="s">
        <v>1614</v>
      </c>
      <c r="D45" s="822" t="s">
        <v>1655</v>
      </c>
      <c r="E45" s="821" t="s">
        <v>1656</v>
      </c>
      <c r="F45" s="821" t="s">
        <v>667</v>
      </c>
      <c r="G45" s="674" t="s">
        <v>668</v>
      </c>
      <c r="H45" s="825"/>
      <c r="I45" s="821"/>
      <c r="J45" s="826"/>
      <c r="K45" s="548"/>
    </row>
    <row r="46" spans="2:15" ht="17.25">
      <c r="B46" s="201" t="s">
        <v>435</v>
      </c>
      <c r="C46" s="821" t="s">
        <v>669</v>
      </c>
      <c r="D46" s="821" t="s">
        <v>1654</v>
      </c>
      <c r="E46" s="821" t="s">
        <v>138</v>
      </c>
      <c r="F46" s="821" t="s">
        <v>651</v>
      </c>
      <c r="G46" s="205" t="s">
        <v>1658</v>
      </c>
      <c r="H46" s="825"/>
      <c r="I46" s="821" t="s">
        <v>671</v>
      </c>
      <c r="J46" s="826">
        <f>H46/2</f>
        <v>0</v>
      </c>
    </row>
    <row r="47" spans="2:15" ht="17.25">
      <c r="B47" s="201" t="s">
        <v>436</v>
      </c>
      <c r="C47" s="821" t="s">
        <v>672</v>
      </c>
      <c r="D47" s="821" t="s">
        <v>1657</v>
      </c>
      <c r="E47" s="821" t="s">
        <v>673</v>
      </c>
      <c r="F47" s="821" t="s">
        <v>655</v>
      </c>
      <c r="G47" s="205" t="s">
        <v>1658</v>
      </c>
      <c r="H47" s="825"/>
      <c r="I47" s="821" t="s">
        <v>671</v>
      </c>
      <c r="J47" s="826">
        <f>H47/2</f>
        <v>0</v>
      </c>
    </row>
    <row r="48" spans="2:15" ht="17.25">
      <c r="B48" s="201" t="s">
        <v>437</v>
      </c>
      <c r="C48" s="821" t="s">
        <v>675</v>
      </c>
      <c r="D48" s="822" t="s">
        <v>1657</v>
      </c>
      <c r="E48" s="822" t="s">
        <v>1580</v>
      </c>
      <c r="F48" s="822" t="s">
        <v>1579</v>
      </c>
      <c r="G48" s="674" t="s">
        <v>1659</v>
      </c>
      <c r="H48" s="825"/>
      <c r="I48" s="822" t="s">
        <v>671</v>
      </c>
      <c r="J48" s="829">
        <f>H48/2</f>
        <v>0</v>
      </c>
    </row>
    <row r="49" spans="2:10" ht="17.25">
      <c r="B49" s="201" t="s">
        <v>438</v>
      </c>
      <c r="C49" s="821" t="s">
        <v>676</v>
      </c>
      <c r="D49" s="822" t="s">
        <v>677</v>
      </c>
      <c r="E49" s="821" t="s">
        <v>138</v>
      </c>
      <c r="F49" s="822" t="s">
        <v>659</v>
      </c>
      <c r="G49" s="674" t="s">
        <v>1660</v>
      </c>
      <c r="H49" s="825"/>
      <c r="I49" s="822" t="s">
        <v>671</v>
      </c>
      <c r="J49" s="829">
        <f>H49/2</f>
        <v>0</v>
      </c>
    </row>
    <row r="50" spans="2:10" ht="17.25">
      <c r="B50" s="201" t="s">
        <v>439</v>
      </c>
      <c r="C50" s="821" t="s">
        <v>676</v>
      </c>
      <c r="D50" s="822" t="s">
        <v>1582</v>
      </c>
      <c r="E50" s="821" t="s">
        <v>138</v>
      </c>
      <c r="F50" s="822" t="s">
        <v>1581</v>
      </c>
      <c r="G50" s="674" t="s">
        <v>1660</v>
      </c>
      <c r="H50" s="825"/>
      <c r="I50" s="822" t="s">
        <v>671</v>
      </c>
      <c r="J50" s="829">
        <f>H50/2</f>
        <v>0</v>
      </c>
    </row>
    <row r="51" spans="2:10" ht="17.25">
      <c r="B51" s="201" t="s">
        <v>859</v>
      </c>
      <c r="C51" s="821" t="s">
        <v>856</v>
      </c>
      <c r="D51" s="821" t="s">
        <v>138</v>
      </c>
      <c r="E51" s="821" t="s">
        <v>1163</v>
      </c>
      <c r="F51" s="821" t="s">
        <v>857</v>
      </c>
      <c r="G51" s="205" t="s">
        <v>668</v>
      </c>
      <c r="H51" s="825"/>
      <c r="I51" s="821"/>
      <c r="J51" s="827"/>
    </row>
    <row r="52" spans="2:10" ht="17.25">
      <c r="B52" s="198"/>
      <c r="C52" s="195"/>
      <c r="D52" s="195"/>
      <c r="E52" s="195"/>
      <c r="F52" s="195"/>
      <c r="G52" s="205"/>
      <c r="H52" s="207"/>
      <c r="I52" s="195"/>
      <c r="J52" s="213"/>
    </row>
    <row r="53" spans="2:10" ht="17.25">
      <c r="B53" s="200"/>
      <c r="C53" s="195"/>
      <c r="D53" s="195"/>
      <c r="E53" s="195"/>
      <c r="F53" s="195"/>
      <c r="G53" s="205"/>
      <c r="H53" s="207"/>
      <c r="I53" s="195"/>
      <c r="J53" s="213"/>
    </row>
    <row r="54" spans="2:10" ht="17.25">
      <c r="B54" s="198"/>
      <c r="C54" s="195" t="s">
        <v>346</v>
      </c>
      <c r="D54" s="195"/>
      <c r="E54" s="195"/>
      <c r="F54" s="195" t="s">
        <v>427</v>
      </c>
      <c r="G54" s="205" t="s">
        <v>343</v>
      </c>
      <c r="H54" s="732"/>
      <c r="I54" s="195" t="s">
        <v>850</v>
      </c>
      <c r="J54" s="214"/>
    </row>
    <row r="55" spans="2:10" ht="17.25">
      <c r="B55" s="198"/>
      <c r="C55" s="195" t="s">
        <v>374</v>
      </c>
      <c r="D55" s="195"/>
      <c r="E55" s="195"/>
      <c r="F55" s="195" t="s">
        <v>427</v>
      </c>
      <c r="G55" s="205" t="s">
        <v>200</v>
      </c>
      <c r="H55" s="732"/>
      <c r="I55" s="195"/>
      <c r="J55" s="213"/>
    </row>
    <row r="56" spans="2:10" ht="17.25">
      <c r="B56" s="198"/>
      <c r="C56" s="195" t="s">
        <v>755</v>
      </c>
      <c r="D56" s="195"/>
      <c r="E56" s="195"/>
      <c r="F56" s="195" t="s">
        <v>427</v>
      </c>
      <c r="G56" s="205" t="s">
        <v>1661</v>
      </c>
      <c r="H56" s="732"/>
      <c r="I56" s="195" t="s">
        <v>678</v>
      </c>
      <c r="J56" s="213"/>
    </row>
    <row r="57" spans="2:10" ht="17.25">
      <c r="B57" s="198"/>
      <c r="C57" s="677" t="s">
        <v>1391</v>
      </c>
      <c r="D57" s="195"/>
      <c r="E57" s="677"/>
      <c r="F57" s="677" t="s">
        <v>427</v>
      </c>
      <c r="G57" s="674" t="s">
        <v>343</v>
      </c>
      <c r="H57" s="732"/>
      <c r="I57" s="677" t="s">
        <v>678</v>
      </c>
      <c r="J57" s="213"/>
    </row>
    <row r="58" spans="2:10" ht="17.25">
      <c r="B58" s="200"/>
      <c r="C58" s="195" t="s">
        <v>372</v>
      </c>
      <c r="D58" s="195"/>
      <c r="E58" s="195"/>
      <c r="F58" s="195" t="s">
        <v>428</v>
      </c>
      <c r="G58" s="205" t="s">
        <v>200</v>
      </c>
      <c r="H58" s="732"/>
      <c r="I58" s="195" t="s">
        <v>678</v>
      </c>
      <c r="J58" s="214"/>
    </row>
    <row r="59" spans="2:10" ht="18" thickBot="1">
      <c r="B59" s="203"/>
      <c r="C59" s="199"/>
      <c r="D59" s="199"/>
      <c r="E59" s="199"/>
      <c r="F59" s="199"/>
      <c r="G59" s="206"/>
      <c r="H59" s="208"/>
      <c r="I59" s="199"/>
      <c r="J59" s="215"/>
    </row>
    <row r="61" spans="2:10" ht="17.25" thickBot="1">
      <c r="B61" s="209" t="s">
        <v>1167</v>
      </c>
      <c r="H61" s="22"/>
    </row>
    <row r="62" spans="2:10" ht="17.25" thickBot="1">
      <c r="B62" s="202" t="s">
        <v>130</v>
      </c>
      <c r="C62" s="817" t="s">
        <v>131</v>
      </c>
      <c r="D62" s="817" t="s">
        <v>132</v>
      </c>
      <c r="E62" s="817" t="s">
        <v>133</v>
      </c>
      <c r="F62" s="817" t="s">
        <v>134</v>
      </c>
      <c r="G62" s="204" t="s">
        <v>135</v>
      </c>
      <c r="H62" s="817" t="s">
        <v>136</v>
      </c>
      <c r="I62" s="2129" t="s">
        <v>137</v>
      </c>
      <c r="J62" s="2130"/>
    </row>
    <row r="63" spans="2:10" ht="17.25">
      <c r="B63" s="196" t="s">
        <v>705</v>
      </c>
      <c r="C63" s="195" t="s">
        <v>198</v>
      </c>
      <c r="D63" s="195" t="s">
        <v>729</v>
      </c>
      <c r="E63" s="195" t="s">
        <v>706</v>
      </c>
      <c r="F63" s="195" t="s">
        <v>707</v>
      </c>
      <c r="G63" s="205" t="s">
        <v>200</v>
      </c>
      <c r="H63" s="732"/>
      <c r="I63" s="195"/>
      <c r="J63" s="214"/>
    </row>
    <row r="64" spans="2:10" ht="17.25">
      <c r="B64" s="196" t="s">
        <v>708</v>
      </c>
      <c r="C64" s="195" t="s">
        <v>198</v>
      </c>
      <c r="D64" s="195" t="s">
        <v>729</v>
      </c>
      <c r="E64" s="195" t="s">
        <v>709</v>
      </c>
      <c r="F64" s="195" t="s">
        <v>710</v>
      </c>
      <c r="G64" s="205" t="s">
        <v>200</v>
      </c>
      <c r="H64" s="732"/>
      <c r="I64" s="195"/>
      <c r="J64" s="214"/>
    </row>
    <row r="65" spans="2:10" ht="17.25">
      <c r="B65" s="196" t="s">
        <v>711</v>
      </c>
      <c r="C65" s="195" t="s">
        <v>198</v>
      </c>
      <c r="D65" s="195" t="s">
        <v>729</v>
      </c>
      <c r="E65" s="677" t="s">
        <v>1478</v>
      </c>
      <c r="F65" s="677" t="s">
        <v>712</v>
      </c>
      <c r="G65" s="674" t="s">
        <v>1483</v>
      </c>
      <c r="H65" s="732"/>
      <c r="I65" s="195"/>
      <c r="J65" s="635">
        <f>H65/2</f>
        <v>0</v>
      </c>
    </row>
    <row r="66" spans="2:10" ht="17.25">
      <c r="B66" s="196" t="s">
        <v>713</v>
      </c>
      <c r="C66" s="195" t="s">
        <v>344</v>
      </c>
      <c r="D66" s="195" t="s">
        <v>729</v>
      </c>
      <c r="E66" s="195" t="s">
        <v>706</v>
      </c>
      <c r="F66" s="195" t="s">
        <v>714</v>
      </c>
      <c r="G66" s="205" t="s">
        <v>200</v>
      </c>
      <c r="H66" s="733"/>
      <c r="I66" s="195"/>
      <c r="J66" s="214"/>
    </row>
    <row r="67" spans="2:10" ht="17.25">
      <c r="B67" s="196" t="s">
        <v>715</v>
      </c>
      <c r="C67" s="195" t="s">
        <v>344</v>
      </c>
      <c r="D67" s="195" t="s">
        <v>729</v>
      </c>
      <c r="E67" s="195" t="s">
        <v>716</v>
      </c>
      <c r="F67" s="195" t="s">
        <v>717</v>
      </c>
      <c r="G67" s="205" t="s">
        <v>200</v>
      </c>
      <c r="H67" s="733"/>
      <c r="I67" s="195"/>
      <c r="J67" s="214"/>
    </row>
    <row r="68" spans="2:10" ht="17.25">
      <c r="B68" s="197" t="s">
        <v>718</v>
      </c>
      <c r="C68" s="256" t="s">
        <v>719</v>
      </c>
      <c r="D68" s="195" t="s">
        <v>729</v>
      </c>
      <c r="E68" s="675" t="s">
        <v>1479</v>
      </c>
      <c r="F68" s="675" t="s">
        <v>1297</v>
      </c>
      <c r="G68" s="676" t="s">
        <v>1171</v>
      </c>
      <c r="H68" s="734"/>
      <c r="I68" s="256"/>
      <c r="J68" s="257"/>
    </row>
    <row r="69" spans="2:10" ht="17.25">
      <c r="B69" s="201" t="s">
        <v>139</v>
      </c>
      <c r="C69" s="195" t="s">
        <v>341</v>
      </c>
      <c r="D69" s="195" t="s">
        <v>1617</v>
      </c>
      <c r="E69" s="195" t="s">
        <v>1656</v>
      </c>
      <c r="F69" s="195" t="s">
        <v>1679</v>
      </c>
      <c r="G69" s="676" t="s">
        <v>1171</v>
      </c>
      <c r="H69" s="732"/>
      <c r="I69" s="195"/>
      <c r="J69" s="214"/>
    </row>
    <row r="70" spans="2:10" ht="17.25">
      <c r="B70" s="198"/>
      <c r="C70" s="195" t="s">
        <v>341</v>
      </c>
      <c r="D70" s="195" t="s">
        <v>1619</v>
      </c>
      <c r="E70" s="195" t="s">
        <v>1656</v>
      </c>
      <c r="F70" s="195" t="s">
        <v>1680</v>
      </c>
      <c r="G70" s="676" t="s">
        <v>1171</v>
      </c>
      <c r="H70" s="732"/>
      <c r="I70" s="195"/>
      <c r="J70" s="214"/>
    </row>
    <row r="71" spans="2:10" ht="17.25">
      <c r="B71" s="198"/>
      <c r="C71" s="195" t="s">
        <v>341</v>
      </c>
      <c r="D71" s="195" t="s">
        <v>1617</v>
      </c>
      <c r="E71" s="195" t="s">
        <v>1656</v>
      </c>
      <c r="F71" s="195" t="s">
        <v>1662</v>
      </c>
      <c r="G71" s="676" t="s">
        <v>1171</v>
      </c>
      <c r="H71" s="732"/>
      <c r="I71" s="195"/>
      <c r="J71" s="214">
        <f>H71/3</f>
        <v>0</v>
      </c>
    </row>
    <row r="72" spans="2:10" ht="17.25">
      <c r="B72" s="201" t="s">
        <v>201</v>
      </c>
      <c r="C72" s="195" t="s">
        <v>198</v>
      </c>
      <c r="D72" s="195" t="s">
        <v>1272</v>
      </c>
      <c r="E72" s="195" t="s">
        <v>1273</v>
      </c>
      <c r="F72" s="195" t="s">
        <v>1635</v>
      </c>
      <c r="G72" s="205" t="s">
        <v>1523</v>
      </c>
      <c r="H72" s="732"/>
      <c r="I72" s="195"/>
      <c r="J72" s="214">
        <f>H72/4</f>
        <v>0</v>
      </c>
    </row>
    <row r="73" spans="2:10" ht="17.25">
      <c r="B73" s="201" t="s">
        <v>431</v>
      </c>
      <c r="C73" s="195" t="s">
        <v>344</v>
      </c>
      <c r="D73" s="195" t="s">
        <v>1272</v>
      </c>
      <c r="E73" s="195" t="s">
        <v>1273</v>
      </c>
      <c r="F73" s="195" t="s">
        <v>1634</v>
      </c>
      <c r="G73" s="205" t="s">
        <v>200</v>
      </c>
      <c r="H73" s="732"/>
      <c r="I73" s="195"/>
      <c r="J73" s="214"/>
    </row>
    <row r="74" spans="2:10" ht="17.25">
      <c r="B74" s="201" t="s">
        <v>432</v>
      </c>
      <c r="C74" s="195" t="s">
        <v>372</v>
      </c>
      <c r="D74" s="195" t="s">
        <v>1481</v>
      </c>
      <c r="E74" s="195"/>
      <c r="F74" s="195" t="s">
        <v>428</v>
      </c>
      <c r="G74" s="205" t="s">
        <v>200</v>
      </c>
      <c r="H74" s="732"/>
      <c r="I74" s="195"/>
      <c r="J74" s="213"/>
    </row>
    <row r="75" spans="2:10" ht="17.25">
      <c r="B75" s="201" t="s">
        <v>433</v>
      </c>
      <c r="C75" s="230" t="s">
        <v>345</v>
      </c>
      <c r="D75" s="195" t="s">
        <v>1482</v>
      </c>
      <c r="E75" s="230"/>
      <c r="F75" s="230" t="s">
        <v>720</v>
      </c>
      <c r="G75" s="231" t="s">
        <v>200</v>
      </c>
      <c r="H75" s="732"/>
      <c r="I75" s="195"/>
      <c r="J75" s="213"/>
    </row>
    <row r="76" spans="2:10" ht="17.25">
      <c r="B76" s="198"/>
      <c r="C76" s="195" t="s">
        <v>1168</v>
      </c>
      <c r="D76" s="195" t="s">
        <v>1459</v>
      </c>
      <c r="E76" s="195"/>
      <c r="F76" s="195" t="s">
        <v>1169</v>
      </c>
      <c r="G76" s="205" t="s">
        <v>1171</v>
      </c>
      <c r="H76" s="733"/>
      <c r="I76" s="195"/>
      <c r="J76" s="214"/>
    </row>
    <row r="77" spans="2:10" ht="17.25">
      <c r="B77" s="198"/>
      <c r="C77" s="195" t="s">
        <v>830</v>
      </c>
      <c r="D77" s="195" t="s">
        <v>1172</v>
      </c>
      <c r="E77" s="195" t="s">
        <v>429</v>
      </c>
      <c r="F77" s="195" t="s">
        <v>430</v>
      </c>
      <c r="G77" s="205" t="s">
        <v>1173</v>
      </c>
      <c r="H77" s="734"/>
      <c r="I77" s="636"/>
      <c r="J77" s="639">
        <f>H77/2</f>
        <v>0</v>
      </c>
    </row>
    <row r="78" spans="2:10" ht="17.25">
      <c r="B78" s="198"/>
      <c r="C78" s="636" t="s">
        <v>1447</v>
      </c>
      <c r="D78" s="636" t="s">
        <v>1459</v>
      </c>
      <c r="E78" s="636"/>
      <c r="F78" s="636" t="s">
        <v>1222</v>
      </c>
      <c r="G78" s="637" t="s">
        <v>1171</v>
      </c>
      <c r="H78" s="735"/>
      <c r="I78" s="636"/>
      <c r="J78" s="638"/>
    </row>
    <row r="79" spans="2:10" ht="17.25">
      <c r="B79" s="198"/>
      <c r="C79" s="636" t="s">
        <v>1448</v>
      </c>
      <c r="D79" s="636" t="s">
        <v>1459</v>
      </c>
      <c r="E79" s="636"/>
      <c r="F79" s="636" t="s">
        <v>1222</v>
      </c>
      <c r="G79" s="637" t="s">
        <v>1171</v>
      </c>
      <c r="H79" s="735"/>
      <c r="I79" s="636"/>
      <c r="J79" s="638"/>
    </row>
    <row r="80" spans="2:10" ht="17.25">
      <c r="B80" s="198"/>
      <c r="C80" s="636" t="s">
        <v>1282</v>
      </c>
      <c r="D80" s="636" t="s">
        <v>1458</v>
      </c>
      <c r="E80" s="636"/>
      <c r="F80" s="636" t="s">
        <v>1222</v>
      </c>
      <c r="G80" s="637" t="s">
        <v>1171</v>
      </c>
      <c r="H80" s="735"/>
      <c r="I80" s="636"/>
      <c r="J80" s="638"/>
    </row>
    <row r="81" spans="2:10" ht="17.25">
      <c r="B81" s="198"/>
      <c r="C81" s="677" t="s">
        <v>1391</v>
      </c>
      <c r="D81" s="677" t="s">
        <v>1392</v>
      </c>
      <c r="E81" s="677"/>
      <c r="F81" s="677" t="s">
        <v>427</v>
      </c>
      <c r="G81" s="674" t="s">
        <v>343</v>
      </c>
      <c r="H81" s="673"/>
      <c r="I81" s="677" t="s">
        <v>678</v>
      </c>
      <c r="J81" s="213"/>
    </row>
    <row r="82" spans="2:10" ht="18" thickBot="1">
      <c r="B82" s="203"/>
      <c r="C82" s="199"/>
      <c r="D82" s="199"/>
      <c r="E82" s="199"/>
      <c r="F82" s="199"/>
      <c r="G82" s="206"/>
      <c r="H82" s="208"/>
      <c r="I82" s="199"/>
      <c r="J82" s="215"/>
    </row>
    <row r="84" spans="2:10" ht="17.25" thickBot="1">
      <c r="B84" s="209" t="s">
        <v>721</v>
      </c>
      <c r="H84" s="22"/>
    </row>
    <row r="85" spans="2:10" ht="17.25" thickBot="1">
      <c r="B85" s="202" t="s">
        <v>130</v>
      </c>
      <c r="C85" s="817" t="s">
        <v>131</v>
      </c>
      <c r="D85" s="817" t="s">
        <v>132</v>
      </c>
      <c r="E85" s="817" t="s">
        <v>133</v>
      </c>
      <c r="F85" s="817" t="s">
        <v>134</v>
      </c>
      <c r="G85" s="204" t="s">
        <v>135</v>
      </c>
      <c r="H85" s="817" t="s">
        <v>136</v>
      </c>
      <c r="I85" s="2129" t="s">
        <v>137</v>
      </c>
      <c r="J85" s="2130"/>
    </row>
    <row r="86" spans="2:10">
      <c r="B86" s="216" t="s">
        <v>679</v>
      </c>
      <c r="C86" s="195" t="s">
        <v>199</v>
      </c>
      <c r="D86" s="195" t="s">
        <v>1274</v>
      </c>
      <c r="E86" s="195" t="s">
        <v>1276</v>
      </c>
      <c r="F86" s="195" t="s">
        <v>681</v>
      </c>
      <c r="G86" s="205" t="s">
        <v>200</v>
      </c>
      <c r="H86" s="732"/>
      <c r="I86" s="195" t="s">
        <v>682</v>
      </c>
      <c r="J86" s="214"/>
    </row>
    <row r="87" spans="2:10" ht="17.25">
      <c r="B87" s="196" t="s">
        <v>683</v>
      </c>
      <c r="C87" s="195" t="s">
        <v>198</v>
      </c>
      <c r="D87" s="195" t="s">
        <v>680</v>
      </c>
      <c r="E87" s="195" t="s">
        <v>1164</v>
      </c>
      <c r="F87" s="195" t="s">
        <v>1165</v>
      </c>
      <c r="G87" s="205" t="s">
        <v>200</v>
      </c>
      <c r="H87" s="732"/>
      <c r="I87" s="195"/>
      <c r="J87" s="214"/>
    </row>
    <row r="88" spans="2:10" ht="17.25">
      <c r="B88" s="201" t="s">
        <v>684</v>
      </c>
      <c r="C88" s="195" t="s">
        <v>198</v>
      </c>
      <c r="D88" s="195" t="s">
        <v>1166</v>
      </c>
      <c r="E88" s="195" t="s">
        <v>685</v>
      </c>
      <c r="F88" s="195" t="s">
        <v>686</v>
      </c>
      <c r="G88" s="205" t="s">
        <v>1271</v>
      </c>
      <c r="H88" s="732"/>
      <c r="I88" s="195"/>
      <c r="J88" s="214">
        <f>H88/4</f>
        <v>0</v>
      </c>
    </row>
    <row r="89" spans="2:10" ht="17.25">
      <c r="B89" s="201" t="s">
        <v>687</v>
      </c>
      <c r="C89" s="195" t="s">
        <v>198</v>
      </c>
      <c r="D89" s="195" t="s">
        <v>1164</v>
      </c>
      <c r="E89" s="195" t="s">
        <v>688</v>
      </c>
      <c r="F89" s="195" t="s">
        <v>689</v>
      </c>
      <c r="G89" s="205" t="s">
        <v>200</v>
      </c>
      <c r="H89" s="732"/>
      <c r="I89" s="195"/>
      <c r="J89" s="214"/>
    </row>
    <row r="90" spans="2:10" ht="17.25">
      <c r="B90" s="201" t="s">
        <v>690</v>
      </c>
      <c r="C90" s="195" t="s">
        <v>344</v>
      </c>
      <c r="D90" s="195" t="s">
        <v>1275</v>
      </c>
      <c r="E90" s="195" t="s">
        <v>1276</v>
      </c>
      <c r="F90" s="195" t="s">
        <v>681</v>
      </c>
      <c r="G90" s="205" t="s">
        <v>200</v>
      </c>
      <c r="H90" s="683"/>
      <c r="I90" s="195"/>
      <c r="J90" s="213"/>
    </row>
    <row r="91" spans="2:10" ht="17.25">
      <c r="B91" s="201" t="s">
        <v>691</v>
      </c>
      <c r="C91" s="195" t="s">
        <v>344</v>
      </c>
      <c r="D91" s="195" t="s">
        <v>680</v>
      </c>
      <c r="E91" s="195" t="s">
        <v>685</v>
      </c>
      <c r="F91" s="195" t="s">
        <v>686</v>
      </c>
      <c r="G91" s="205" t="s">
        <v>200</v>
      </c>
      <c r="H91" s="732"/>
      <c r="I91" s="195"/>
      <c r="J91" s="213"/>
    </row>
    <row r="92" spans="2:10" ht="17.25">
      <c r="B92" s="201" t="s">
        <v>692</v>
      </c>
      <c r="C92" s="195" t="s">
        <v>344</v>
      </c>
      <c r="D92" s="195" t="s">
        <v>1164</v>
      </c>
      <c r="E92" s="195" t="s">
        <v>688</v>
      </c>
      <c r="F92" s="195" t="s">
        <v>689</v>
      </c>
      <c r="G92" s="205" t="s">
        <v>200</v>
      </c>
      <c r="H92" s="732"/>
      <c r="I92" s="195"/>
      <c r="J92" s="213"/>
    </row>
    <row r="93" spans="2:10" ht="17.25">
      <c r="B93" s="201" t="s">
        <v>693</v>
      </c>
      <c r="C93" s="195" t="s">
        <v>694</v>
      </c>
      <c r="D93" s="195" t="s">
        <v>695</v>
      </c>
      <c r="E93" s="195" t="s">
        <v>685</v>
      </c>
      <c r="F93" s="195" t="s">
        <v>696</v>
      </c>
      <c r="G93" s="205" t="s">
        <v>200</v>
      </c>
      <c r="H93" s="732"/>
      <c r="I93" s="195"/>
      <c r="J93" s="214"/>
    </row>
    <row r="94" spans="2:10" ht="17.25">
      <c r="B94" s="201" t="s">
        <v>697</v>
      </c>
      <c r="C94" s="230" t="s">
        <v>345</v>
      </c>
      <c r="D94" s="195" t="s">
        <v>685</v>
      </c>
      <c r="E94" s="230"/>
      <c r="F94" s="195" t="s">
        <v>698</v>
      </c>
      <c r="G94" s="231" t="s">
        <v>200</v>
      </c>
      <c r="H94" s="832"/>
      <c r="I94" s="195"/>
      <c r="J94" s="213"/>
    </row>
    <row r="95" spans="2:10" ht="17.25">
      <c r="B95" s="201" t="s">
        <v>699</v>
      </c>
      <c r="C95" s="195" t="s">
        <v>341</v>
      </c>
      <c r="D95" s="195" t="s">
        <v>700</v>
      </c>
      <c r="E95" s="195" t="s">
        <v>701</v>
      </c>
      <c r="F95" s="195" t="s">
        <v>702</v>
      </c>
      <c r="G95" s="205" t="s">
        <v>200</v>
      </c>
      <c r="H95" s="832"/>
      <c r="I95" s="212"/>
      <c r="J95" s="229"/>
    </row>
    <row r="96" spans="2:10" s="22" customFormat="1" ht="17.25">
      <c r="B96" s="201" t="s">
        <v>703</v>
      </c>
      <c r="C96" s="195" t="s">
        <v>1372</v>
      </c>
      <c r="D96" s="195" t="s">
        <v>460</v>
      </c>
      <c r="E96" s="195" t="s">
        <v>456</v>
      </c>
      <c r="F96" s="195" t="s">
        <v>704</v>
      </c>
      <c r="G96" s="205" t="s">
        <v>343</v>
      </c>
      <c r="H96" s="832"/>
      <c r="I96" s="195"/>
      <c r="J96" s="214"/>
    </row>
    <row r="97" spans="2:10" s="194" customFormat="1" ht="17.25">
      <c r="B97" s="198"/>
      <c r="C97" s="260" t="s">
        <v>347</v>
      </c>
      <c r="D97" s="260" t="s">
        <v>701</v>
      </c>
      <c r="E97" s="260"/>
      <c r="F97" s="260" t="s">
        <v>427</v>
      </c>
      <c r="G97" s="261" t="s">
        <v>200</v>
      </c>
      <c r="H97" s="833"/>
      <c r="I97" s="260"/>
      <c r="J97" s="262"/>
    </row>
    <row r="98" spans="2:10" s="194" customFormat="1" ht="17.25">
      <c r="B98" s="198"/>
      <c r="C98" s="260" t="s">
        <v>374</v>
      </c>
      <c r="D98" s="260" t="s">
        <v>701</v>
      </c>
      <c r="E98" s="260"/>
      <c r="F98" s="260" t="s">
        <v>427</v>
      </c>
      <c r="G98" s="261" t="s">
        <v>200</v>
      </c>
      <c r="H98" s="834"/>
      <c r="I98" s="260"/>
      <c r="J98" s="262"/>
    </row>
    <row r="99" spans="2:10" s="194" customFormat="1" ht="17.25">
      <c r="B99" s="198"/>
      <c r="C99" s="260" t="s">
        <v>737</v>
      </c>
      <c r="D99" s="260" t="s">
        <v>701</v>
      </c>
      <c r="E99" s="260"/>
      <c r="F99" s="260" t="s">
        <v>428</v>
      </c>
      <c r="G99" s="261" t="s">
        <v>200</v>
      </c>
      <c r="H99" s="833"/>
      <c r="I99" s="260"/>
      <c r="J99" s="262"/>
    </row>
    <row r="100" spans="2:10" s="194" customFormat="1" ht="17.25">
      <c r="B100" s="198"/>
      <c r="C100" s="265" t="s">
        <v>345</v>
      </c>
      <c r="D100" s="260" t="s">
        <v>701</v>
      </c>
      <c r="E100" s="265"/>
      <c r="F100" s="265" t="s">
        <v>740</v>
      </c>
      <c r="G100" s="266" t="s">
        <v>200</v>
      </c>
      <c r="H100" s="833"/>
      <c r="I100" s="260"/>
      <c r="J100" s="262"/>
    </row>
    <row r="101" spans="2:10" ht="18" thickBot="1">
      <c r="B101" s="203"/>
      <c r="C101" s="199"/>
      <c r="D101" s="199"/>
      <c r="E101" s="199"/>
      <c r="F101" s="199"/>
      <c r="G101" s="206"/>
      <c r="H101" s="208"/>
      <c r="I101" s="199"/>
      <c r="J101" s="258"/>
    </row>
    <row r="102" spans="2:10" ht="17.25">
      <c r="B102" s="259"/>
      <c r="C102" s="210"/>
      <c r="D102" s="210"/>
      <c r="E102" s="210"/>
      <c r="F102" s="210"/>
      <c r="G102" s="211"/>
      <c r="H102" s="34"/>
      <c r="I102" s="210"/>
      <c r="J102" s="237"/>
    </row>
  </sheetData>
  <mergeCells count="5">
    <mergeCell ref="I62:J62"/>
    <mergeCell ref="I85:J85"/>
    <mergeCell ref="B2:I2"/>
    <mergeCell ref="I37:J37"/>
    <mergeCell ref="I13:J27"/>
  </mergeCells>
  <phoneticPr fontId="60" type="noConversion"/>
  <printOptions horizontalCentered="1"/>
  <pageMargins left="0.23622047244094491" right="0.23622047244094491" top="0.70866141732283472" bottom="0.43307086614173229" header="0.31496062992125984" footer="0.31496062992125984"/>
  <pageSetup paperSize="9" scale="74" orientation="portrait" horizontalDpi="4294967292" r:id="rId1"/>
  <drawing r:id="rId2"/>
  <legacyDrawing r:id="rId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26"/>
  <dimension ref="A1:U107"/>
  <sheetViews>
    <sheetView view="pageBreakPreview" topLeftCell="A22" zoomScaleNormal="85" zoomScaleSheetLayoutView="100" workbookViewId="0">
      <selection activeCell="J28" sqref="J28:R28"/>
    </sheetView>
  </sheetViews>
  <sheetFormatPr defaultRowHeight="16.5"/>
  <cols>
    <col min="1" max="1" width="1.625" style="194" customWidth="1"/>
    <col min="2" max="2" width="4.875" style="194" customWidth="1"/>
    <col min="3" max="3" width="25.25" style="194" customWidth="1"/>
    <col min="4" max="5" width="14.625" style="194" customWidth="1"/>
    <col min="6" max="6" width="20.25" style="194" customWidth="1"/>
    <col min="7" max="8" width="9.125" style="194" customWidth="1"/>
    <col min="9" max="9" width="13.375" style="1586" customWidth="1"/>
    <col min="10" max="10" width="5.375" style="194" customWidth="1"/>
    <col min="12" max="12" width="12" customWidth="1"/>
  </cols>
  <sheetData>
    <row r="1" spans="2:21" ht="11.25" customHeight="1"/>
    <row r="2" spans="2:21" ht="27">
      <c r="B2" s="2131" t="s">
        <v>2954</v>
      </c>
      <c r="C2" s="2131"/>
      <c r="D2" s="2131"/>
      <c r="E2" s="2131"/>
      <c r="F2" s="2131"/>
      <c r="G2" s="2131"/>
      <c r="H2" s="2131"/>
      <c r="I2" s="2131"/>
      <c r="J2" s="255"/>
    </row>
    <row r="3" spans="2:21" ht="17.25" thickBot="1"/>
    <row r="4" spans="2:21">
      <c r="B4" s="217"/>
      <c r="C4" s="218"/>
      <c r="D4" s="218"/>
      <c r="E4" s="218"/>
      <c r="F4" s="218"/>
      <c r="G4" s="218"/>
      <c r="H4" s="218"/>
      <c r="I4" s="1587"/>
      <c r="J4" s="219"/>
    </row>
    <row r="5" spans="2:21">
      <c r="B5" s="220"/>
      <c r="J5" s="221"/>
    </row>
    <row r="6" spans="2:21">
      <c r="B6" s="220"/>
      <c r="J6" s="221"/>
      <c r="L6" s="194"/>
      <c r="M6" s="194"/>
      <c r="N6" s="194"/>
      <c r="O6" s="194"/>
      <c r="P6" s="194"/>
      <c r="Q6" s="194"/>
      <c r="R6" s="194"/>
      <c r="S6" s="194"/>
      <c r="T6" s="194"/>
      <c r="U6" s="194"/>
    </row>
    <row r="7" spans="2:21">
      <c r="B7" s="220"/>
      <c r="J7" s="221"/>
      <c r="L7" s="194"/>
      <c r="M7" s="194"/>
      <c r="N7" s="194"/>
      <c r="O7" s="194"/>
      <c r="P7" s="194"/>
      <c r="Q7" s="194"/>
      <c r="R7" s="194"/>
      <c r="S7" s="194"/>
      <c r="T7" s="194"/>
      <c r="U7" s="194"/>
    </row>
    <row r="8" spans="2:21">
      <c r="B8" s="220"/>
      <c r="J8" s="221"/>
      <c r="L8" s="194"/>
      <c r="M8" s="194"/>
      <c r="N8" s="194"/>
      <c r="O8" s="194"/>
      <c r="P8" s="194"/>
      <c r="Q8" s="194"/>
      <c r="R8" s="194"/>
      <c r="S8" s="194"/>
      <c r="T8" s="194"/>
      <c r="U8" s="194"/>
    </row>
    <row r="9" spans="2:21">
      <c r="B9" s="220"/>
      <c r="J9" s="221"/>
      <c r="L9" s="194" t="s">
        <v>1621</v>
      </c>
      <c r="M9" s="194"/>
      <c r="N9" s="194" t="s">
        <v>1621</v>
      </c>
      <c r="O9" s="194"/>
      <c r="P9" s="194" t="s">
        <v>1622</v>
      </c>
      <c r="Q9" s="194"/>
      <c r="R9" s="194" t="s">
        <v>1683</v>
      </c>
      <c r="S9" s="194"/>
      <c r="T9" s="194" t="s">
        <v>1621</v>
      </c>
      <c r="U9" s="194"/>
    </row>
    <row r="10" spans="2:21">
      <c r="B10" s="220"/>
      <c r="J10" s="221"/>
      <c r="L10" s="194"/>
      <c r="M10" s="194"/>
      <c r="N10" s="390"/>
      <c r="O10" s="194"/>
      <c r="P10" s="194"/>
      <c r="Q10" s="194"/>
      <c r="R10" s="194"/>
      <c r="S10" s="194"/>
      <c r="T10" s="390"/>
      <c r="U10" s="194"/>
    </row>
    <row r="11" spans="2:21">
      <c r="B11" s="220"/>
      <c r="J11" s="221"/>
      <c r="L11" s="390" t="s">
        <v>1211</v>
      </c>
      <c r="M11" s="194"/>
      <c r="N11" s="390" t="s">
        <v>1632</v>
      </c>
      <c r="O11" s="194"/>
      <c r="P11" s="194" t="s">
        <v>1623</v>
      </c>
      <c r="Q11" s="194"/>
      <c r="R11" s="194" t="s">
        <v>1633</v>
      </c>
      <c r="S11" s="194"/>
      <c r="T11" s="390" t="s">
        <v>1640</v>
      </c>
      <c r="U11" s="194"/>
    </row>
    <row r="12" spans="2:21">
      <c r="B12" s="220"/>
      <c r="J12" s="221"/>
      <c r="L12" s="390"/>
      <c r="M12" s="194"/>
      <c r="N12" s="390"/>
      <c r="O12" s="194"/>
      <c r="P12" s="194"/>
      <c r="Q12" s="194"/>
      <c r="R12" s="194"/>
      <c r="S12" s="194"/>
      <c r="T12" s="390"/>
      <c r="U12" s="194"/>
    </row>
    <row r="13" spans="2:21">
      <c r="B13" s="220"/>
      <c r="J13" s="221"/>
      <c r="L13" s="390" t="s">
        <v>1448</v>
      </c>
      <c r="M13" s="194"/>
      <c r="N13" s="390" t="s">
        <v>1448</v>
      </c>
      <c r="O13" s="194"/>
      <c r="P13" s="194"/>
      <c r="Q13" s="194"/>
      <c r="R13" s="194" t="s">
        <v>1631</v>
      </c>
      <c r="S13" s="194"/>
      <c r="T13" s="390" t="s">
        <v>1448</v>
      </c>
      <c r="U13" s="194"/>
    </row>
    <row r="14" spans="2:21">
      <c r="B14" s="220"/>
      <c r="J14" s="221"/>
      <c r="L14" s="390" t="s">
        <v>1447</v>
      </c>
      <c r="M14" s="194"/>
      <c r="N14" s="390" t="s">
        <v>1447</v>
      </c>
      <c r="O14" s="194"/>
      <c r="P14" s="194"/>
      <c r="Q14" s="194"/>
      <c r="R14" s="194" t="s">
        <v>1624</v>
      </c>
      <c r="S14" s="194"/>
      <c r="T14" s="390" t="s">
        <v>1447</v>
      </c>
      <c r="U14" s="194"/>
    </row>
    <row r="15" spans="2:21">
      <c r="B15" s="220"/>
      <c r="J15" s="221"/>
      <c r="L15" s="390" t="s">
        <v>1212</v>
      </c>
      <c r="M15" s="194"/>
      <c r="N15" s="390"/>
      <c r="O15" s="194"/>
      <c r="P15" s="194"/>
      <c r="Q15" s="194"/>
      <c r="R15" s="194" t="s">
        <v>1625</v>
      </c>
      <c r="S15" s="194"/>
      <c r="T15" s="390" t="s">
        <v>1641</v>
      </c>
      <c r="U15" s="194"/>
    </row>
    <row r="16" spans="2:21">
      <c r="B16" s="220"/>
      <c r="J16" s="221"/>
      <c r="L16" s="813" t="s">
        <v>1626</v>
      </c>
      <c r="M16" s="194"/>
      <c r="N16" s="390" t="s">
        <v>1218</v>
      </c>
      <c r="O16" s="194"/>
      <c r="P16" s="194" t="s">
        <v>1443</v>
      </c>
      <c r="Q16" s="194"/>
      <c r="R16" s="194" t="s">
        <v>1216</v>
      </c>
      <c r="S16" s="194"/>
      <c r="T16" s="390"/>
      <c r="U16" s="194"/>
    </row>
    <row r="17" spans="2:21">
      <c r="B17" s="220"/>
      <c r="J17" s="221"/>
      <c r="L17" s="390" t="s">
        <v>1421</v>
      </c>
      <c r="M17" s="194"/>
      <c r="N17" s="390" t="s">
        <v>1627</v>
      </c>
      <c r="O17" s="194"/>
      <c r="P17" s="194" t="s">
        <v>1444</v>
      </c>
      <c r="Q17" s="194"/>
      <c r="R17" s="194" t="s">
        <v>1217</v>
      </c>
      <c r="S17" s="194"/>
      <c r="T17" s="390"/>
      <c r="U17" s="194"/>
    </row>
    <row r="18" spans="2:21" ht="31.5">
      <c r="B18" s="220"/>
      <c r="J18" s="221"/>
      <c r="K18" s="836"/>
      <c r="L18" s="390" t="s">
        <v>1628</v>
      </c>
      <c r="M18" s="194"/>
      <c r="N18" s="390" t="s">
        <v>1268</v>
      </c>
      <c r="O18" s="194"/>
      <c r="P18" s="194"/>
      <c r="Q18" s="194"/>
      <c r="R18" s="194" t="s">
        <v>1629</v>
      </c>
      <c r="S18" s="194"/>
      <c r="T18" s="390"/>
      <c r="U18" s="194"/>
    </row>
    <row r="19" spans="2:21">
      <c r="B19" s="220"/>
      <c r="J19" s="221"/>
      <c r="L19" s="390"/>
      <c r="M19" s="194"/>
      <c r="N19" s="390" t="s">
        <v>1630</v>
      </c>
      <c r="O19" s="194"/>
      <c r="P19" s="194"/>
      <c r="Q19" s="194"/>
      <c r="R19" s="194"/>
      <c r="S19" s="194"/>
      <c r="T19" s="390"/>
      <c r="U19" s="194"/>
    </row>
    <row r="20" spans="2:21">
      <c r="B20" s="220"/>
      <c r="J20" s="221"/>
      <c r="L20" s="390" t="s">
        <v>1445</v>
      </c>
      <c r="M20" s="194"/>
      <c r="N20" s="390"/>
      <c r="O20" s="194"/>
      <c r="P20" s="194"/>
      <c r="Q20" s="194"/>
      <c r="R20" s="194"/>
      <c r="S20" s="194"/>
      <c r="T20" s="390"/>
      <c r="U20" s="194"/>
    </row>
    <row r="21" spans="2:21">
      <c r="B21" s="220"/>
      <c r="J21" s="221"/>
      <c r="L21" s="390" t="s">
        <v>1215</v>
      </c>
      <c r="M21" s="194"/>
      <c r="N21" s="390" t="s">
        <v>1215</v>
      </c>
      <c r="O21" s="194"/>
      <c r="P21" s="194"/>
      <c r="Q21" s="194"/>
      <c r="R21" s="194"/>
      <c r="S21" s="194"/>
      <c r="T21" s="390" t="s">
        <v>1215</v>
      </c>
      <c r="U21" s="194"/>
    </row>
    <row r="22" spans="2:21">
      <c r="B22" s="220"/>
      <c r="J22" s="221"/>
      <c r="L22" s="194"/>
      <c r="M22" s="194"/>
      <c r="N22" s="194"/>
      <c r="O22" s="194"/>
      <c r="P22" s="194"/>
      <c r="Q22" s="194"/>
      <c r="R22" s="194"/>
      <c r="S22" s="194"/>
      <c r="T22" s="194"/>
      <c r="U22" s="194"/>
    </row>
    <row r="23" spans="2:21">
      <c r="B23" s="220"/>
      <c r="J23" s="221"/>
      <c r="L23" s="194"/>
      <c r="M23" s="194"/>
      <c r="N23" s="194"/>
      <c r="O23" s="194"/>
      <c r="P23" s="194"/>
      <c r="Q23" s="194"/>
      <c r="R23" s="194"/>
      <c r="S23" s="194"/>
      <c r="T23" s="194"/>
      <c r="U23" s="194"/>
    </row>
    <row r="24" spans="2:21">
      <c r="B24" s="220"/>
      <c r="J24" s="221"/>
      <c r="L24" s="194"/>
      <c r="M24" s="194"/>
      <c r="N24" s="194"/>
      <c r="O24" s="194"/>
      <c r="P24" s="194"/>
      <c r="Q24" s="390"/>
      <c r="R24" s="194"/>
      <c r="S24" s="194"/>
      <c r="T24" s="194"/>
      <c r="U24" s="194"/>
    </row>
    <row r="25" spans="2:21">
      <c r="B25" s="220"/>
      <c r="J25" s="221"/>
      <c r="L25" s="194"/>
      <c r="M25" s="194"/>
      <c r="N25" s="194"/>
      <c r="O25" s="194"/>
      <c r="P25" s="194"/>
      <c r="Q25" s="194"/>
      <c r="R25" s="194"/>
      <c r="S25" s="194"/>
      <c r="T25" s="194"/>
      <c r="U25" s="194"/>
    </row>
    <row r="26" spans="2:21">
      <c r="B26" s="220"/>
      <c r="J26" s="221"/>
      <c r="L26" s="194"/>
      <c r="M26" s="194"/>
      <c r="N26" s="194"/>
      <c r="O26" s="194"/>
      <c r="P26" s="194"/>
      <c r="Q26" s="194"/>
      <c r="R26" s="194"/>
      <c r="S26" s="194"/>
      <c r="T26" s="194"/>
      <c r="U26" s="194"/>
    </row>
    <row r="27" spans="2:21">
      <c r="B27" s="220"/>
      <c r="J27" s="221"/>
      <c r="L27" s="194"/>
      <c r="M27" s="194"/>
      <c r="N27" s="194"/>
      <c r="O27" s="194"/>
      <c r="P27" s="194"/>
      <c r="Q27" s="194"/>
      <c r="R27" s="194"/>
      <c r="S27" s="194"/>
      <c r="T27" s="194"/>
      <c r="U27" s="194"/>
    </row>
    <row r="28" spans="2:21">
      <c r="B28" s="220"/>
      <c r="J28" s="221"/>
      <c r="L28" s="194"/>
      <c r="M28" s="194"/>
      <c r="N28" s="194"/>
      <c r="O28" s="194"/>
      <c r="P28" s="194"/>
      <c r="Q28" s="194"/>
      <c r="R28" s="194"/>
      <c r="S28" s="194"/>
      <c r="T28" s="194"/>
      <c r="U28" s="194"/>
    </row>
    <row r="29" spans="2:21">
      <c r="B29" s="220"/>
      <c r="J29" s="221"/>
    </row>
    <row r="30" spans="2:21">
      <c r="B30" s="220"/>
      <c r="J30" s="221"/>
    </row>
    <row r="31" spans="2:21">
      <c r="B31" s="220"/>
      <c r="J31" s="221"/>
    </row>
    <row r="32" spans="2:21">
      <c r="B32" s="220"/>
      <c r="J32" s="221"/>
    </row>
    <row r="33" spans="2:16">
      <c r="B33" s="220"/>
      <c r="J33" s="221"/>
    </row>
    <row r="34" spans="2:16" ht="17.25" thickBot="1">
      <c r="B34" s="222"/>
      <c r="C34" s="223"/>
      <c r="D34" s="223"/>
      <c r="E34" s="223"/>
      <c r="F34" s="223"/>
      <c r="G34" s="223"/>
      <c r="H34" s="223"/>
      <c r="I34" s="1588"/>
      <c r="J34" s="224"/>
    </row>
    <row r="36" spans="2:16">
      <c r="B36" s="209" t="s">
        <v>722</v>
      </c>
      <c r="H36" s="22"/>
    </row>
    <row r="37" spans="2:16">
      <c r="B37" s="1618" t="s">
        <v>644</v>
      </c>
      <c r="C37" s="1619" t="s">
        <v>131</v>
      </c>
      <c r="D37" s="1619" t="s">
        <v>645</v>
      </c>
      <c r="E37" s="1619" t="s">
        <v>133</v>
      </c>
      <c r="F37" s="1619" t="s">
        <v>646</v>
      </c>
      <c r="G37" s="1620" t="s">
        <v>135</v>
      </c>
      <c r="H37" s="1619" t="s">
        <v>647</v>
      </c>
      <c r="I37" s="2139" t="s">
        <v>648</v>
      </c>
      <c r="J37" s="2139"/>
    </row>
    <row r="38" spans="2:16" ht="17.25" customHeight="1">
      <c r="B38" s="1601" t="s">
        <v>649</v>
      </c>
      <c r="C38" s="1624" t="s">
        <v>3156</v>
      </c>
      <c r="D38" s="212" t="s">
        <v>1613</v>
      </c>
      <c r="E38" s="212" t="s">
        <v>650</v>
      </c>
      <c r="F38" s="212" t="s">
        <v>651</v>
      </c>
      <c r="G38" s="1622" t="s">
        <v>1171</v>
      </c>
      <c r="H38" s="1623">
        <f>ROUNDUP((80.5+2+44+2+19.7+4.2),0)</f>
        <v>153</v>
      </c>
      <c r="I38" s="1625"/>
      <c r="J38" s="1594"/>
      <c r="K38" s="548"/>
    </row>
    <row r="39" spans="2:16" ht="17.25" customHeight="1">
      <c r="B39" s="1595" t="s">
        <v>653</v>
      </c>
      <c r="C39" s="814" t="s">
        <v>1177</v>
      </c>
      <c r="D39" s="811" t="s">
        <v>558</v>
      </c>
      <c r="E39" s="811" t="s">
        <v>654</v>
      </c>
      <c r="F39" s="811" t="s">
        <v>655</v>
      </c>
      <c r="G39" s="1593" t="s">
        <v>656</v>
      </c>
      <c r="H39" s="831">
        <f>1+1+4+1+1</f>
        <v>8</v>
      </c>
      <c r="I39" s="1589"/>
      <c r="J39" s="1596"/>
      <c r="K39" s="548"/>
    </row>
    <row r="40" spans="2:16" ht="17.25" customHeight="1">
      <c r="B40" s="2140" t="s">
        <v>657</v>
      </c>
      <c r="C40" s="2135" t="s">
        <v>1178</v>
      </c>
      <c r="D40" s="811" t="s">
        <v>1613</v>
      </c>
      <c r="E40" s="811" t="s">
        <v>1578</v>
      </c>
      <c r="F40" s="811" t="s">
        <v>1579</v>
      </c>
      <c r="G40" s="1593" t="s">
        <v>1615</v>
      </c>
      <c r="H40" s="831">
        <f>ROUNDUP((80.5+2+44+2+19.7+4.2)*2,0)</f>
        <v>305</v>
      </c>
      <c r="I40" s="1589"/>
      <c r="J40" s="1597"/>
      <c r="K40" s="548"/>
      <c r="L40" s="329"/>
    </row>
    <row r="41" spans="2:16" ht="17.25" hidden="1" customHeight="1">
      <c r="B41" s="2141"/>
      <c r="C41" s="2136"/>
      <c r="D41" s="811" t="s">
        <v>1613</v>
      </c>
      <c r="E41" s="811" t="s">
        <v>1578</v>
      </c>
      <c r="F41" s="811" t="s">
        <v>1579</v>
      </c>
      <c r="G41" s="1593" t="s">
        <v>343</v>
      </c>
      <c r="H41" s="831"/>
      <c r="I41" s="1589"/>
      <c r="J41" s="1597"/>
      <c r="L41" s="329"/>
    </row>
    <row r="42" spans="2:16" ht="17.25" customHeight="1">
      <c r="B42" s="2137" t="s">
        <v>658</v>
      </c>
      <c r="C42" s="2135" t="s">
        <v>1179</v>
      </c>
      <c r="D42" s="811" t="s">
        <v>1636</v>
      </c>
      <c r="E42" s="811" t="s">
        <v>1477</v>
      </c>
      <c r="F42" s="811" t="s">
        <v>659</v>
      </c>
      <c r="G42" s="1593" t="s">
        <v>652</v>
      </c>
      <c r="H42" s="831">
        <f>1+1+5+1</f>
        <v>8</v>
      </c>
      <c r="I42" s="1589"/>
      <c r="J42" s="1596"/>
      <c r="K42" s="548"/>
    </row>
    <row r="43" spans="2:16" ht="17.25" hidden="1" customHeight="1">
      <c r="B43" s="2138"/>
      <c r="C43" s="2136"/>
      <c r="D43" s="811" t="s">
        <v>1636</v>
      </c>
      <c r="E43" s="811" t="s">
        <v>1477</v>
      </c>
      <c r="F43" s="811" t="s">
        <v>659</v>
      </c>
      <c r="G43" s="1593" t="s">
        <v>200</v>
      </c>
      <c r="H43" s="831"/>
      <c r="I43" s="1589"/>
      <c r="J43" s="1596"/>
    </row>
    <row r="44" spans="2:16" ht="17.25" customHeight="1">
      <c r="B44" s="2137" t="s">
        <v>660</v>
      </c>
      <c r="C44" s="2135" t="s">
        <v>1179</v>
      </c>
      <c r="D44" s="811" t="s">
        <v>1637</v>
      </c>
      <c r="E44" s="811" t="s">
        <v>3142</v>
      </c>
      <c r="F44" s="811" t="s">
        <v>1162</v>
      </c>
      <c r="G44" s="1593" t="s">
        <v>1171</v>
      </c>
      <c r="H44" s="831">
        <f>(1+1+2+1+2)</f>
        <v>7</v>
      </c>
      <c r="I44" s="1589"/>
      <c r="J44" s="1597"/>
      <c r="K44" s="548"/>
    </row>
    <row r="45" spans="2:16" ht="17.25" customHeight="1">
      <c r="B45" s="2138"/>
      <c r="C45" s="2136"/>
      <c r="D45" s="811" t="s">
        <v>1637</v>
      </c>
      <c r="E45" s="811" t="s">
        <v>3142</v>
      </c>
      <c r="F45" s="811" t="s">
        <v>1162</v>
      </c>
      <c r="G45" s="1593" t="s">
        <v>343</v>
      </c>
      <c r="H45" s="831">
        <f>(1+1+5+1)</f>
        <v>8</v>
      </c>
      <c r="I45" s="1589"/>
      <c r="J45" s="1597"/>
      <c r="P45" t="s">
        <v>3137</v>
      </c>
    </row>
    <row r="46" spans="2:16" s="22" customFormat="1" ht="17.25">
      <c r="B46" s="1598" t="s">
        <v>661</v>
      </c>
      <c r="C46" s="1589" t="s">
        <v>1369</v>
      </c>
      <c r="D46" s="811" t="s">
        <v>662</v>
      </c>
      <c r="E46" s="811" t="s">
        <v>663</v>
      </c>
      <c r="F46" s="811" t="s">
        <v>3141</v>
      </c>
      <c r="G46" s="1593" t="s">
        <v>343</v>
      </c>
      <c r="H46" s="831">
        <f>3*8</f>
        <v>24</v>
      </c>
      <c r="I46" s="1589" t="s">
        <v>664</v>
      </c>
      <c r="J46" s="1596">
        <f>H46/8</f>
        <v>3</v>
      </c>
    </row>
    <row r="47" spans="2:16" ht="17.25" customHeight="1">
      <c r="B47" s="2137" t="s">
        <v>665</v>
      </c>
      <c r="C47" s="2135" t="s">
        <v>199</v>
      </c>
      <c r="D47" s="811" t="s">
        <v>1689</v>
      </c>
      <c r="E47" s="811" t="s">
        <v>1270</v>
      </c>
      <c r="F47" s="811" t="s">
        <v>1686</v>
      </c>
      <c r="G47" s="1593" t="s">
        <v>1483</v>
      </c>
      <c r="H47" s="831">
        <f>9*2</f>
        <v>18</v>
      </c>
      <c r="I47" s="1589"/>
      <c r="J47" s="1599"/>
      <c r="K47" s="548"/>
    </row>
    <row r="48" spans="2:16" ht="17.25" customHeight="1">
      <c r="B48" s="2138"/>
      <c r="C48" s="2136"/>
      <c r="D48" s="811" t="s">
        <v>1688</v>
      </c>
      <c r="E48" s="811" t="s">
        <v>1270</v>
      </c>
      <c r="F48" s="811" t="s">
        <v>1687</v>
      </c>
      <c r="G48" s="1593" t="s">
        <v>668</v>
      </c>
      <c r="H48" s="831">
        <v>10</v>
      </c>
      <c r="I48" s="1589"/>
      <c r="J48" s="1599"/>
    </row>
    <row r="49" spans="2:11" ht="17.25" customHeight="1">
      <c r="B49" s="2137" t="s">
        <v>434</v>
      </c>
      <c r="C49" s="2135" t="s">
        <v>1614</v>
      </c>
      <c r="D49" s="811" t="s">
        <v>1689</v>
      </c>
      <c r="E49" s="811" t="s">
        <v>1270</v>
      </c>
      <c r="F49" s="811" t="s">
        <v>667</v>
      </c>
      <c r="G49" s="1593" t="s">
        <v>668</v>
      </c>
      <c r="H49" s="1626">
        <f>H47/3</f>
        <v>6</v>
      </c>
      <c r="I49" s="1589"/>
      <c r="J49" s="1596"/>
      <c r="K49" s="548"/>
    </row>
    <row r="50" spans="2:11" ht="17.25" customHeight="1">
      <c r="B50" s="2138"/>
      <c r="C50" s="2136"/>
      <c r="D50" s="811" t="s">
        <v>1688</v>
      </c>
      <c r="E50" s="811" t="s">
        <v>1270</v>
      </c>
      <c r="F50" s="811" t="s">
        <v>666</v>
      </c>
      <c r="G50" s="1593" t="s">
        <v>668</v>
      </c>
      <c r="H50" s="831">
        <f>H48/2</f>
        <v>5</v>
      </c>
      <c r="I50" s="1589"/>
      <c r="J50" s="1596"/>
    </row>
    <row r="51" spans="2:11" ht="17.25">
      <c r="B51" s="1600" t="s">
        <v>435</v>
      </c>
      <c r="C51" s="1589" t="s">
        <v>3157</v>
      </c>
      <c r="D51" s="811" t="s">
        <v>1663</v>
      </c>
      <c r="E51" s="811" t="s">
        <v>3142</v>
      </c>
      <c r="F51" s="811" t="s">
        <v>670</v>
      </c>
      <c r="G51" s="1593" t="s">
        <v>1658</v>
      </c>
      <c r="H51" s="831">
        <f>4*2</f>
        <v>8</v>
      </c>
      <c r="I51" s="1589" t="s">
        <v>671</v>
      </c>
      <c r="J51" s="1596">
        <f>H51/2</f>
        <v>4</v>
      </c>
    </row>
    <row r="52" spans="2:11" ht="17.25">
      <c r="B52" s="1600" t="s">
        <v>436</v>
      </c>
      <c r="C52" s="1589" t="s">
        <v>672</v>
      </c>
      <c r="D52" s="811" t="s">
        <v>558</v>
      </c>
      <c r="E52" s="811" t="s">
        <v>673</v>
      </c>
      <c r="F52" s="811" t="s">
        <v>674</v>
      </c>
      <c r="G52" s="1593" t="s">
        <v>1658</v>
      </c>
      <c r="H52" s="831">
        <f>4*2</f>
        <v>8</v>
      </c>
      <c r="I52" s="1589" t="s">
        <v>671</v>
      </c>
      <c r="J52" s="1596">
        <f>H52/2</f>
        <v>4</v>
      </c>
    </row>
    <row r="53" spans="2:11" ht="17.25">
      <c r="B53" s="1600" t="s">
        <v>437</v>
      </c>
      <c r="C53" s="1589" t="s">
        <v>675</v>
      </c>
      <c r="D53" s="811" t="s">
        <v>1476</v>
      </c>
      <c r="E53" s="811" t="s">
        <v>1580</v>
      </c>
      <c r="F53" s="811" t="s">
        <v>1579</v>
      </c>
      <c r="G53" s="1593" t="s">
        <v>3158</v>
      </c>
      <c r="H53" s="831">
        <f>3*4</f>
        <v>12</v>
      </c>
      <c r="I53" s="1589" t="s">
        <v>671</v>
      </c>
      <c r="J53" s="1596">
        <f>H53/3</f>
        <v>4</v>
      </c>
    </row>
    <row r="54" spans="2:11" ht="17.25">
      <c r="B54" s="1600" t="s">
        <v>438</v>
      </c>
      <c r="C54" s="1589" t="s">
        <v>676</v>
      </c>
      <c r="D54" s="811" t="s">
        <v>677</v>
      </c>
      <c r="E54" s="811" t="s">
        <v>558</v>
      </c>
      <c r="F54" s="811" t="s">
        <v>659</v>
      </c>
      <c r="G54" s="1593" t="s">
        <v>1660</v>
      </c>
      <c r="H54" s="831">
        <f>2*2</f>
        <v>4</v>
      </c>
      <c r="I54" s="1589" t="s">
        <v>671</v>
      </c>
      <c r="J54" s="1596">
        <f>H54/2</f>
        <v>2</v>
      </c>
    </row>
    <row r="55" spans="2:11" ht="17.25">
      <c r="B55" s="1600" t="s">
        <v>439</v>
      </c>
      <c r="C55" s="1589" t="s">
        <v>676</v>
      </c>
      <c r="D55" s="811" t="s">
        <v>1582</v>
      </c>
      <c r="E55" s="811" t="s">
        <v>558</v>
      </c>
      <c r="F55" s="811" t="s">
        <v>1581</v>
      </c>
      <c r="G55" s="1593" t="s">
        <v>1616</v>
      </c>
      <c r="H55" s="831">
        <f>2*4</f>
        <v>8</v>
      </c>
      <c r="I55" s="1589" t="s">
        <v>671</v>
      </c>
      <c r="J55" s="1596">
        <f>H55/4</f>
        <v>2</v>
      </c>
    </row>
    <row r="56" spans="2:11" ht="17.25">
      <c r="B56" s="1600" t="s">
        <v>859</v>
      </c>
      <c r="C56" s="1589" t="s">
        <v>856</v>
      </c>
      <c r="D56" s="811" t="s">
        <v>558</v>
      </c>
      <c r="E56" s="811" t="s">
        <v>1163</v>
      </c>
      <c r="F56" s="811" t="s">
        <v>857</v>
      </c>
      <c r="G56" s="1593" t="s">
        <v>3162</v>
      </c>
      <c r="H56" s="831">
        <f>6+7+8+9</f>
        <v>30</v>
      </c>
      <c r="I56" s="1589"/>
      <c r="J56" s="1597"/>
    </row>
    <row r="57" spans="2:11" ht="17.25" hidden="1">
      <c r="B57" s="1601"/>
      <c r="C57" s="1589"/>
      <c r="D57" s="811"/>
      <c r="E57" s="811"/>
      <c r="F57" s="811"/>
      <c r="G57" s="1593"/>
      <c r="H57" s="1602"/>
      <c r="I57" s="1589"/>
      <c r="J57" s="1597"/>
    </row>
    <row r="58" spans="2:11" ht="17.25" hidden="1">
      <c r="B58" s="1603"/>
      <c r="C58" s="1589"/>
      <c r="D58" s="811"/>
      <c r="E58" s="811"/>
      <c r="F58" s="811"/>
      <c r="G58" s="1593"/>
      <c r="H58" s="1602"/>
      <c r="I58" s="1589"/>
      <c r="J58" s="1597"/>
    </row>
    <row r="59" spans="2:11" ht="17.25">
      <c r="B59" s="1601"/>
      <c r="C59" s="1589" t="s">
        <v>346</v>
      </c>
      <c r="D59" s="811" t="s">
        <v>1675</v>
      </c>
      <c r="E59" s="811"/>
      <c r="F59" s="811" t="s">
        <v>427</v>
      </c>
      <c r="G59" s="1593" t="s">
        <v>343</v>
      </c>
      <c r="H59" s="831">
        <f>8*4</f>
        <v>32</v>
      </c>
      <c r="I59" s="1589" t="s">
        <v>1691</v>
      </c>
      <c r="J59" s="1596"/>
    </row>
    <row r="60" spans="2:11" ht="17.25" hidden="1">
      <c r="B60" s="1601"/>
      <c r="C60" s="1589" t="s">
        <v>374</v>
      </c>
      <c r="D60" s="811"/>
      <c r="E60" s="811"/>
      <c r="F60" s="811" t="s">
        <v>427</v>
      </c>
      <c r="G60" s="1593" t="s">
        <v>200</v>
      </c>
      <c r="H60" s="812"/>
      <c r="I60" s="1589"/>
      <c r="J60" s="1597"/>
    </row>
    <row r="61" spans="2:11" ht="17.25" hidden="1">
      <c r="B61" s="1601"/>
      <c r="C61" s="1589" t="s">
        <v>755</v>
      </c>
      <c r="D61" s="811"/>
      <c r="E61" s="811"/>
      <c r="F61" s="811" t="s">
        <v>427</v>
      </c>
      <c r="G61" s="1593" t="s">
        <v>734</v>
      </c>
      <c r="H61" s="812"/>
      <c r="I61" s="1589" t="s">
        <v>678</v>
      </c>
      <c r="J61" s="1597"/>
    </row>
    <row r="62" spans="2:11" ht="17.25" hidden="1">
      <c r="B62" s="1601"/>
      <c r="C62" s="1589" t="s">
        <v>1391</v>
      </c>
      <c r="D62" s="811"/>
      <c r="E62" s="811"/>
      <c r="F62" s="811" t="s">
        <v>427</v>
      </c>
      <c r="G62" s="1593" t="s">
        <v>343</v>
      </c>
      <c r="H62" s="812"/>
      <c r="I62" s="1589" t="s">
        <v>678</v>
      </c>
      <c r="J62" s="1597"/>
    </row>
    <row r="63" spans="2:11" ht="17.25">
      <c r="B63" s="1598"/>
      <c r="C63" s="1589" t="s">
        <v>372</v>
      </c>
      <c r="D63" s="811"/>
      <c r="E63" s="811"/>
      <c r="F63" s="811" t="s">
        <v>428</v>
      </c>
      <c r="G63" s="1593" t="s">
        <v>200</v>
      </c>
      <c r="H63" s="831">
        <v>8</v>
      </c>
      <c r="I63" s="1589" t="s">
        <v>1664</v>
      </c>
      <c r="J63" s="1596"/>
    </row>
    <row r="64" spans="2:11" ht="18" hidden="1" thickBot="1">
      <c r="B64" s="203"/>
      <c r="C64" s="199"/>
      <c r="D64" s="199"/>
      <c r="E64" s="199"/>
      <c r="F64" s="199"/>
      <c r="G64" s="206"/>
      <c r="H64" s="208"/>
      <c r="I64" s="1590"/>
      <c r="J64" s="215"/>
    </row>
    <row r="66" spans="2:10">
      <c r="B66" s="209" t="s">
        <v>3200</v>
      </c>
      <c r="H66" s="22"/>
    </row>
    <row r="67" spans="2:10">
      <c r="B67" s="1618" t="s">
        <v>130</v>
      </c>
      <c r="C67" s="1619" t="s">
        <v>131</v>
      </c>
      <c r="D67" s="1619" t="s">
        <v>132</v>
      </c>
      <c r="E67" s="1619" t="s">
        <v>133</v>
      </c>
      <c r="F67" s="1619" t="s">
        <v>134</v>
      </c>
      <c r="G67" s="1620" t="s">
        <v>135</v>
      </c>
      <c r="H67" s="1619" t="s">
        <v>136</v>
      </c>
      <c r="I67" s="2139" t="s">
        <v>137</v>
      </c>
      <c r="J67" s="2139"/>
    </row>
    <row r="68" spans="2:10" ht="18" customHeight="1">
      <c r="B68" s="1621" t="s">
        <v>3184</v>
      </c>
      <c r="C68" s="212" t="s">
        <v>198</v>
      </c>
      <c r="D68" s="212" t="s">
        <v>1170</v>
      </c>
      <c r="E68" s="212" t="s">
        <v>706</v>
      </c>
      <c r="F68" s="212" t="s">
        <v>707</v>
      </c>
      <c r="G68" s="1622" t="s">
        <v>200</v>
      </c>
      <c r="H68" s="1623">
        <f>1+1+2+5+1+1</f>
        <v>11</v>
      </c>
      <c r="I68" s="1591"/>
      <c r="J68" s="1594"/>
    </row>
    <row r="69" spans="2:10" ht="17.25">
      <c r="B69" s="1604" t="s">
        <v>3185</v>
      </c>
      <c r="C69" s="811" t="s">
        <v>198</v>
      </c>
      <c r="D69" s="811" t="s">
        <v>1170</v>
      </c>
      <c r="E69" s="811" t="s">
        <v>709</v>
      </c>
      <c r="F69" s="811" t="s">
        <v>710</v>
      </c>
      <c r="G69" s="1593" t="s">
        <v>200</v>
      </c>
      <c r="H69" s="831">
        <f>(1+1+7+1+1)*2</f>
        <v>22</v>
      </c>
      <c r="I69" s="1589"/>
      <c r="J69" s="1596"/>
    </row>
    <row r="70" spans="2:10" ht="17.25">
      <c r="B70" s="1604" t="s">
        <v>3186</v>
      </c>
      <c r="C70" s="811" t="s">
        <v>198</v>
      </c>
      <c r="D70" s="811" t="s">
        <v>1170</v>
      </c>
      <c r="E70" s="811" t="s">
        <v>1478</v>
      </c>
      <c r="F70" s="811" t="s">
        <v>712</v>
      </c>
      <c r="G70" s="1593" t="s">
        <v>1483</v>
      </c>
      <c r="H70" s="831">
        <f>(1+1+2+6+2+1+1)*2</f>
        <v>28</v>
      </c>
      <c r="I70" s="1589"/>
      <c r="J70" s="1605">
        <f>H70/2</f>
        <v>14</v>
      </c>
    </row>
    <row r="71" spans="2:10" ht="17.25">
      <c r="B71" s="1604" t="s">
        <v>3187</v>
      </c>
      <c r="C71" s="811" t="s">
        <v>344</v>
      </c>
      <c r="D71" s="811" t="s">
        <v>1170</v>
      </c>
      <c r="E71" s="811" t="s">
        <v>706</v>
      </c>
      <c r="F71" s="811" t="s">
        <v>714</v>
      </c>
      <c r="G71" s="1593" t="s">
        <v>200</v>
      </c>
      <c r="H71" s="652">
        <f>H68</f>
        <v>11</v>
      </c>
      <c r="I71" s="1589"/>
      <c r="J71" s="1596"/>
    </row>
    <row r="72" spans="2:10" ht="17.25">
      <c r="B72" s="1604" t="s">
        <v>3188</v>
      </c>
      <c r="C72" s="811" t="s">
        <v>344</v>
      </c>
      <c r="D72" s="811" t="s">
        <v>1170</v>
      </c>
      <c r="E72" s="811" t="s">
        <v>716</v>
      </c>
      <c r="F72" s="811" t="s">
        <v>717</v>
      </c>
      <c r="G72" s="1593" t="s">
        <v>200</v>
      </c>
      <c r="H72" s="652">
        <f>H69/4</f>
        <v>5.5</v>
      </c>
      <c r="I72" s="1589"/>
      <c r="J72" s="1596"/>
    </row>
    <row r="73" spans="2:10" ht="17.25">
      <c r="B73" s="1606" t="s">
        <v>3189</v>
      </c>
      <c r="C73" s="1607" t="s">
        <v>719</v>
      </c>
      <c r="D73" s="811" t="s">
        <v>1170</v>
      </c>
      <c r="E73" s="1607" t="s">
        <v>1479</v>
      </c>
      <c r="F73" s="1607" t="s">
        <v>1297</v>
      </c>
      <c r="G73" s="1608" t="s">
        <v>1171</v>
      </c>
      <c r="H73" s="1609">
        <f>H70/2</f>
        <v>14</v>
      </c>
      <c r="I73" s="1610"/>
      <c r="J73" s="1611"/>
    </row>
    <row r="74" spans="2:10" ht="17.25">
      <c r="B74" s="1600" t="s">
        <v>3190</v>
      </c>
      <c r="C74" s="811" t="s">
        <v>341</v>
      </c>
      <c r="D74" s="811" t="s">
        <v>1617</v>
      </c>
      <c r="E74" s="811" t="s">
        <v>1270</v>
      </c>
      <c r="F74" s="811" t="s">
        <v>1618</v>
      </c>
      <c r="G74" s="1608" t="s">
        <v>1171</v>
      </c>
      <c r="H74" s="831">
        <f>1+8+1</f>
        <v>10</v>
      </c>
      <c r="I74" s="1589"/>
      <c r="J74" s="1596"/>
    </row>
    <row r="75" spans="2:10" ht="17.25">
      <c r="B75" s="1604" t="s">
        <v>3191</v>
      </c>
      <c r="C75" s="811" t="s">
        <v>341</v>
      </c>
      <c r="D75" s="811" t="s">
        <v>1619</v>
      </c>
      <c r="E75" s="811" t="s">
        <v>1270</v>
      </c>
      <c r="F75" s="811" t="s">
        <v>1620</v>
      </c>
      <c r="G75" s="1608" t="s">
        <v>1171</v>
      </c>
      <c r="H75" s="831">
        <f>1+8+1</f>
        <v>10</v>
      </c>
      <c r="I75" s="1589"/>
      <c r="J75" s="1596"/>
    </row>
    <row r="76" spans="2:10" ht="17.25" hidden="1">
      <c r="B76" s="1604" t="s">
        <v>3192</v>
      </c>
      <c r="C76" s="811" t="s">
        <v>341</v>
      </c>
      <c r="D76" s="811" t="s">
        <v>1480</v>
      </c>
      <c r="E76" s="811" t="s">
        <v>1665</v>
      </c>
      <c r="F76" s="811" t="s">
        <v>1666</v>
      </c>
      <c r="G76" s="1593" t="s">
        <v>1667</v>
      </c>
      <c r="H76" s="831"/>
      <c r="I76" s="1589"/>
      <c r="J76" s="1596">
        <f>H76/3</f>
        <v>0</v>
      </c>
    </row>
    <row r="77" spans="2:10" ht="17.25">
      <c r="B77" s="1600" t="s">
        <v>3193</v>
      </c>
      <c r="C77" s="811" t="s">
        <v>198</v>
      </c>
      <c r="D77" s="811" t="s">
        <v>1272</v>
      </c>
      <c r="E77" s="811" t="s">
        <v>1273</v>
      </c>
      <c r="F77" s="811" t="s">
        <v>1748</v>
      </c>
      <c r="G77" s="1593" t="s">
        <v>1523</v>
      </c>
      <c r="H77" s="831">
        <f>(1+2+1)*4</f>
        <v>16</v>
      </c>
      <c r="I77" s="1589"/>
      <c r="J77" s="1596">
        <f>H77/4</f>
        <v>4</v>
      </c>
    </row>
    <row r="78" spans="2:10" ht="17.25">
      <c r="B78" s="1600" t="s">
        <v>3194</v>
      </c>
      <c r="C78" s="811" t="s">
        <v>344</v>
      </c>
      <c r="D78" s="811" t="s">
        <v>1272</v>
      </c>
      <c r="E78" s="811" t="s">
        <v>1273</v>
      </c>
      <c r="F78" s="811" t="s">
        <v>1634</v>
      </c>
      <c r="G78" s="1593" t="s">
        <v>200</v>
      </c>
      <c r="H78" s="831">
        <f>H77/4</f>
        <v>4</v>
      </c>
      <c r="I78" s="1589"/>
      <c r="J78" s="1596"/>
    </row>
    <row r="79" spans="2:10" ht="17.25">
      <c r="B79" s="1600" t="s">
        <v>3195</v>
      </c>
      <c r="C79" s="811" t="s">
        <v>372</v>
      </c>
      <c r="D79" s="811" t="s">
        <v>1481</v>
      </c>
      <c r="E79" s="811"/>
      <c r="F79" s="811" t="s">
        <v>428</v>
      </c>
      <c r="G79" s="1593" t="s">
        <v>200</v>
      </c>
      <c r="H79" s="831">
        <v>2</v>
      </c>
      <c r="I79" s="1589" t="s">
        <v>1750</v>
      </c>
      <c r="J79" s="1597"/>
    </row>
    <row r="80" spans="2:10" ht="17.25" hidden="1">
      <c r="B80" s="1600" t="s">
        <v>3196</v>
      </c>
      <c r="C80" s="1612" t="s">
        <v>345</v>
      </c>
      <c r="D80" s="811" t="s">
        <v>1668</v>
      </c>
      <c r="E80" s="1612"/>
      <c r="F80" s="1612" t="s">
        <v>720</v>
      </c>
      <c r="G80" s="1613" t="s">
        <v>200</v>
      </c>
      <c r="H80" s="831"/>
      <c r="I80" s="1589" t="s">
        <v>1750</v>
      </c>
      <c r="J80" s="1597"/>
    </row>
    <row r="81" spans="2:10" ht="17.25" hidden="1">
      <c r="B81" s="1604" t="s">
        <v>3197</v>
      </c>
      <c r="C81" s="811" t="s">
        <v>1168</v>
      </c>
      <c r="D81" s="811" t="s">
        <v>1459</v>
      </c>
      <c r="E81" s="811"/>
      <c r="F81" s="811" t="s">
        <v>1169</v>
      </c>
      <c r="G81" s="1593" t="s">
        <v>1171</v>
      </c>
      <c r="H81" s="652"/>
      <c r="I81" s="1589"/>
      <c r="J81" s="1596"/>
    </row>
    <row r="82" spans="2:10" ht="17.25">
      <c r="B82" s="1604" t="s">
        <v>3198</v>
      </c>
      <c r="C82" s="811" t="s">
        <v>830</v>
      </c>
      <c r="D82" s="811" t="s">
        <v>1172</v>
      </c>
      <c r="E82" s="811" t="s">
        <v>429</v>
      </c>
      <c r="F82" s="811" t="s">
        <v>430</v>
      </c>
      <c r="G82" s="1593" t="s">
        <v>1173</v>
      </c>
      <c r="H82" s="1609">
        <f>(1+1+6+1+1)*2</f>
        <v>20</v>
      </c>
      <c r="I82" s="1610"/>
      <c r="J82" s="1614">
        <f>H82/2</f>
        <v>10</v>
      </c>
    </row>
    <row r="83" spans="2:10" ht="17.25" hidden="1">
      <c r="B83" s="1604" t="s">
        <v>3199</v>
      </c>
      <c r="C83" s="1607" t="s">
        <v>1456</v>
      </c>
      <c r="D83" s="1607" t="s">
        <v>1459</v>
      </c>
      <c r="E83" s="1607"/>
      <c r="F83" s="1607" t="s">
        <v>1222</v>
      </c>
      <c r="G83" s="1608" t="s">
        <v>1171</v>
      </c>
      <c r="H83" s="1609"/>
      <c r="I83" s="1610"/>
      <c r="J83" s="1611"/>
    </row>
    <row r="84" spans="2:10" ht="17.25" hidden="1">
      <c r="B84" s="1604"/>
      <c r="C84" s="1607" t="s">
        <v>1457</v>
      </c>
      <c r="D84" s="1607" t="s">
        <v>1459</v>
      </c>
      <c r="E84" s="1607"/>
      <c r="F84" s="1607" t="s">
        <v>1222</v>
      </c>
      <c r="G84" s="1608" t="s">
        <v>1171</v>
      </c>
      <c r="H84" s="1609"/>
      <c r="I84" s="1610"/>
      <c r="J84" s="1611"/>
    </row>
    <row r="85" spans="2:10" ht="17.25" hidden="1">
      <c r="B85" s="1604"/>
      <c r="C85" s="811" t="s">
        <v>1282</v>
      </c>
      <c r="D85" s="811" t="s">
        <v>1458</v>
      </c>
      <c r="E85" s="811"/>
      <c r="F85" s="811" t="s">
        <v>1222</v>
      </c>
      <c r="G85" s="1593" t="s">
        <v>1223</v>
      </c>
      <c r="H85" s="831"/>
      <c r="I85" s="1589" t="s">
        <v>1669</v>
      </c>
      <c r="J85" s="1596"/>
    </row>
    <row r="86" spans="2:10" ht="17.25">
      <c r="B86" s="1604"/>
      <c r="C86" s="811" t="s">
        <v>1391</v>
      </c>
      <c r="D86" s="811" t="s">
        <v>3183</v>
      </c>
      <c r="E86" s="811"/>
      <c r="F86" s="811" t="s">
        <v>427</v>
      </c>
      <c r="G86" s="1593" t="s">
        <v>343</v>
      </c>
      <c r="H86" s="831"/>
      <c r="I86" s="1589" t="s">
        <v>678</v>
      </c>
      <c r="J86" s="1597"/>
    </row>
    <row r="87" spans="2:10" ht="17.25" thickBot="1">
      <c r="B87" s="199"/>
      <c r="C87" s="199"/>
      <c r="D87" s="199"/>
      <c r="E87" s="199"/>
      <c r="F87" s="199"/>
      <c r="G87" s="206"/>
      <c r="H87" s="208"/>
      <c r="I87" s="1590"/>
      <c r="J87" s="215"/>
    </row>
    <row r="89" spans="2:10">
      <c r="B89" s="209" t="s">
        <v>721</v>
      </c>
      <c r="H89" s="22"/>
    </row>
    <row r="90" spans="2:10">
      <c r="B90" s="1618" t="s">
        <v>130</v>
      </c>
      <c r="C90" s="1619" t="s">
        <v>131</v>
      </c>
      <c r="D90" s="1619" t="s">
        <v>132</v>
      </c>
      <c r="E90" s="1619" t="s">
        <v>133</v>
      </c>
      <c r="F90" s="1619" t="s">
        <v>134</v>
      </c>
      <c r="G90" s="1620" t="s">
        <v>135</v>
      </c>
      <c r="H90" s="1619" t="s">
        <v>136</v>
      </c>
      <c r="I90" s="2139" t="s">
        <v>137</v>
      </c>
      <c r="J90" s="2139"/>
    </row>
    <row r="91" spans="2:10" ht="17.25">
      <c r="B91" s="1621" t="s">
        <v>3184</v>
      </c>
      <c r="C91" s="1612" t="s">
        <v>199</v>
      </c>
      <c r="D91" s="1612" t="s">
        <v>1670</v>
      </c>
      <c r="E91" s="1612" t="s">
        <v>1671</v>
      </c>
      <c r="F91" s="1612" t="s">
        <v>681</v>
      </c>
      <c r="G91" s="1613" t="s">
        <v>200</v>
      </c>
      <c r="H91" s="652">
        <f>1+10+1</f>
        <v>12</v>
      </c>
      <c r="I91" s="1616"/>
      <c r="J91" s="1617"/>
    </row>
    <row r="92" spans="2:10" ht="17.25">
      <c r="B92" s="1604" t="s">
        <v>3185</v>
      </c>
      <c r="C92" s="1612" t="s">
        <v>198</v>
      </c>
      <c r="D92" s="1612" t="s">
        <v>1671</v>
      </c>
      <c r="E92" s="1612" t="s">
        <v>1672</v>
      </c>
      <c r="F92" s="1612" t="s">
        <v>1672</v>
      </c>
      <c r="G92" s="1613" t="s">
        <v>200</v>
      </c>
      <c r="H92" s="652">
        <f>1+7+1</f>
        <v>9</v>
      </c>
      <c r="I92" s="1616"/>
      <c r="J92" s="1617"/>
    </row>
    <row r="93" spans="2:10" ht="17.25">
      <c r="B93" s="1600" t="s">
        <v>3186</v>
      </c>
      <c r="C93" s="1612" t="s">
        <v>198</v>
      </c>
      <c r="D93" s="1612" t="s">
        <v>1672</v>
      </c>
      <c r="E93" s="1612" t="s">
        <v>685</v>
      </c>
      <c r="F93" s="1612" t="s">
        <v>686</v>
      </c>
      <c r="G93" s="1613" t="s">
        <v>3206</v>
      </c>
      <c r="H93" s="1711">
        <f>(1+25+1)*3*3</f>
        <v>243</v>
      </c>
      <c r="I93" s="1616" t="s">
        <v>1673</v>
      </c>
      <c r="J93" s="1617"/>
    </row>
    <row r="94" spans="2:10" ht="17.25" hidden="1">
      <c r="B94" s="1600" t="s">
        <v>3187</v>
      </c>
      <c r="C94" s="1612" t="s">
        <v>198</v>
      </c>
      <c r="D94" s="1612" t="s">
        <v>1164</v>
      </c>
      <c r="E94" s="1612" t="s">
        <v>688</v>
      </c>
      <c r="F94" s="1612" t="s">
        <v>689</v>
      </c>
      <c r="G94" s="1613" t="s">
        <v>200</v>
      </c>
      <c r="H94" s="652"/>
      <c r="I94" s="1616"/>
      <c r="J94" s="1617"/>
    </row>
    <row r="95" spans="2:10" ht="17.25">
      <c r="B95" s="1600" t="s">
        <v>3188</v>
      </c>
      <c r="C95" s="1612" t="s">
        <v>344</v>
      </c>
      <c r="D95" s="1612" t="s">
        <v>1672</v>
      </c>
      <c r="E95" s="1612" t="s">
        <v>1674</v>
      </c>
      <c r="F95" s="1612" t="s">
        <v>681</v>
      </c>
      <c r="G95" s="1613" t="s">
        <v>200</v>
      </c>
      <c r="H95" s="652">
        <f>H91</f>
        <v>12</v>
      </c>
      <c r="I95" s="1616"/>
      <c r="J95" s="683"/>
    </row>
    <row r="96" spans="2:10" ht="17.25">
      <c r="B96" s="1600" t="s">
        <v>3189</v>
      </c>
      <c r="C96" s="1612" t="s">
        <v>344</v>
      </c>
      <c r="D96" s="1612" t="s">
        <v>1648</v>
      </c>
      <c r="E96" s="1612" t="s">
        <v>685</v>
      </c>
      <c r="F96" s="1612" t="s">
        <v>686</v>
      </c>
      <c r="G96" s="1613" t="s">
        <v>200</v>
      </c>
      <c r="H96" s="652">
        <f>H93/3</f>
        <v>81</v>
      </c>
      <c r="I96" s="1616"/>
      <c r="J96" s="683"/>
    </row>
    <row r="97" spans="2:11" ht="17.25" hidden="1">
      <c r="B97" s="1600" t="s">
        <v>3190</v>
      </c>
      <c r="C97" s="1612" t="s">
        <v>344</v>
      </c>
      <c r="D97" s="1612" t="s">
        <v>1164</v>
      </c>
      <c r="E97" s="1612" t="s">
        <v>688</v>
      </c>
      <c r="F97" s="1612" t="s">
        <v>689</v>
      </c>
      <c r="G97" s="1613" t="s">
        <v>200</v>
      </c>
      <c r="H97" s="652"/>
      <c r="I97" s="1616"/>
      <c r="J97" s="683"/>
    </row>
    <row r="98" spans="2:11" ht="17.25" hidden="1">
      <c r="B98" s="1600" t="s">
        <v>3191</v>
      </c>
      <c r="C98" s="1612" t="s">
        <v>694</v>
      </c>
      <c r="D98" s="1612" t="s">
        <v>695</v>
      </c>
      <c r="E98" s="1612" t="s">
        <v>685</v>
      </c>
      <c r="F98" s="1612" t="s">
        <v>696</v>
      </c>
      <c r="G98" s="1613" t="s">
        <v>200</v>
      </c>
      <c r="H98" s="652"/>
      <c r="I98" s="1616"/>
      <c r="J98" s="1617"/>
    </row>
    <row r="99" spans="2:11" ht="17.25" hidden="1">
      <c r="B99" s="1600" t="s">
        <v>3192</v>
      </c>
      <c r="C99" s="1612" t="s">
        <v>345</v>
      </c>
      <c r="D99" s="1612" t="s">
        <v>685</v>
      </c>
      <c r="E99" s="1612"/>
      <c r="F99" s="1612" t="s">
        <v>698</v>
      </c>
      <c r="G99" s="1613" t="s">
        <v>200</v>
      </c>
      <c r="H99" s="652"/>
      <c r="I99" s="1616"/>
      <c r="J99" s="683"/>
    </row>
    <row r="100" spans="2:11" ht="17.25" hidden="1">
      <c r="B100" s="1600" t="s">
        <v>3193</v>
      </c>
      <c r="C100" s="1612" t="s">
        <v>341</v>
      </c>
      <c r="D100" s="1612" t="s">
        <v>700</v>
      </c>
      <c r="E100" s="1612" t="s">
        <v>701</v>
      </c>
      <c r="F100" s="1612" t="s">
        <v>702</v>
      </c>
      <c r="G100" s="1613" t="s">
        <v>200</v>
      </c>
      <c r="H100" s="652"/>
      <c r="I100" s="1616"/>
      <c r="J100" s="1617"/>
      <c r="K100" s="194"/>
    </row>
    <row r="101" spans="2:11" s="22" customFormat="1" ht="17.25">
      <c r="B101" s="1600" t="s">
        <v>3194</v>
      </c>
      <c r="C101" s="1612" t="s">
        <v>1372</v>
      </c>
      <c r="D101" s="1612" t="s">
        <v>460</v>
      </c>
      <c r="E101" s="1612" t="s">
        <v>456</v>
      </c>
      <c r="F101" s="1612" t="s">
        <v>704</v>
      </c>
      <c r="G101" s="1613" t="s">
        <v>343</v>
      </c>
      <c r="H101" s="652">
        <v>3</v>
      </c>
      <c r="I101" s="1616" t="s">
        <v>1749</v>
      </c>
      <c r="J101" s="1617"/>
      <c r="K101" s="194"/>
    </row>
    <row r="102" spans="2:11" s="194" customFormat="1" ht="17.25" hidden="1">
      <c r="B102" s="1604"/>
      <c r="C102" s="1612" t="s">
        <v>347</v>
      </c>
      <c r="D102" s="1612" t="s">
        <v>1676</v>
      </c>
      <c r="E102" s="1612"/>
      <c r="F102" s="1612" t="s">
        <v>427</v>
      </c>
      <c r="G102" s="1613" t="s">
        <v>200</v>
      </c>
      <c r="H102" s="652"/>
      <c r="I102" s="1616"/>
      <c r="J102" s="683"/>
    </row>
    <row r="103" spans="2:11" s="194" customFormat="1" ht="17.25" hidden="1">
      <c r="B103" s="1604"/>
      <c r="C103" s="1612" t="s">
        <v>374</v>
      </c>
      <c r="D103" s="1612" t="s">
        <v>1676</v>
      </c>
      <c r="E103" s="1612"/>
      <c r="F103" s="1612" t="s">
        <v>427</v>
      </c>
      <c r="G103" s="1613" t="s">
        <v>200</v>
      </c>
      <c r="H103" s="652"/>
      <c r="I103" s="1616"/>
      <c r="J103" s="683"/>
    </row>
    <row r="104" spans="2:11" s="194" customFormat="1" ht="17.25">
      <c r="B104" s="1604"/>
      <c r="C104" s="1612" t="s">
        <v>737</v>
      </c>
      <c r="D104" s="1612" t="s">
        <v>1676</v>
      </c>
      <c r="E104" s="1612"/>
      <c r="F104" s="1612" t="s">
        <v>428</v>
      </c>
      <c r="G104" s="1613" t="s">
        <v>738</v>
      </c>
      <c r="H104" s="652"/>
      <c r="I104" s="1616" t="s">
        <v>1690</v>
      </c>
      <c r="J104" s="683"/>
      <c r="K104"/>
    </row>
    <row r="105" spans="2:11" s="194" customFormat="1" ht="17.25" hidden="1">
      <c r="B105" s="1604"/>
      <c r="C105" s="1612" t="s">
        <v>739</v>
      </c>
      <c r="D105" s="1612" t="s">
        <v>1676</v>
      </c>
      <c r="E105" s="1612"/>
      <c r="F105" s="1612" t="s">
        <v>740</v>
      </c>
      <c r="G105" s="1613" t="s">
        <v>738</v>
      </c>
      <c r="H105" s="652"/>
      <c r="I105" s="1616"/>
      <c r="J105" s="683"/>
    </row>
    <row r="106" spans="2:11" ht="18" thickBot="1">
      <c r="B106" s="203"/>
      <c r="C106" s="199"/>
      <c r="D106" s="199"/>
      <c r="E106" s="199"/>
      <c r="F106" s="199"/>
      <c r="G106" s="206"/>
      <c r="H106" s="830"/>
      <c r="I106" s="1590"/>
      <c r="J106" s="258"/>
    </row>
    <row r="107" spans="2:11" ht="17.25">
      <c r="B107" s="259"/>
      <c r="C107" s="210"/>
      <c r="D107" s="210"/>
      <c r="E107" s="210"/>
      <c r="F107" s="210"/>
      <c r="G107" s="211"/>
      <c r="H107" s="34"/>
      <c r="I107" s="1592"/>
      <c r="J107" s="237"/>
    </row>
  </sheetData>
  <mergeCells count="14">
    <mergeCell ref="C47:C48"/>
    <mergeCell ref="B47:B48"/>
    <mergeCell ref="C49:C50"/>
    <mergeCell ref="B49:B50"/>
    <mergeCell ref="I90:J90"/>
    <mergeCell ref="I67:J67"/>
    <mergeCell ref="C42:C43"/>
    <mergeCell ref="B42:B43"/>
    <mergeCell ref="C44:C45"/>
    <mergeCell ref="B44:B45"/>
    <mergeCell ref="B2:I2"/>
    <mergeCell ref="I37:J37"/>
    <mergeCell ref="B40:B41"/>
    <mergeCell ref="C40:C41"/>
  </mergeCells>
  <phoneticPr fontId="60" type="noConversion"/>
  <printOptions horizontalCentered="1"/>
  <pageMargins left="0.23622047244094491" right="0.23622047244094491" top="0.70866141732283472" bottom="0.43307086614173229" header="0.31496062992125984" footer="0.31496062992125984"/>
  <pageSetup paperSize="9" scale="74" orientation="portrait" horizontalDpi="4294967292" r:id="rId1"/>
  <rowBreaks count="1" manualBreakCount="1">
    <brk id="64" max="9" man="1"/>
  </rowBreaks>
  <drawing r:id="rId2"/>
  <legacy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6473D-ECC9-4B5C-BF36-2B53806EFC51}">
  <dimension ref="A1:U107"/>
  <sheetViews>
    <sheetView view="pageBreakPreview" topLeftCell="A15" zoomScaleNormal="85" zoomScaleSheetLayoutView="100" workbookViewId="0">
      <selection activeCell="J28" sqref="J28:R28"/>
    </sheetView>
  </sheetViews>
  <sheetFormatPr defaultRowHeight="16.5"/>
  <cols>
    <col min="1" max="1" width="1.625" style="194" customWidth="1"/>
    <col min="2" max="2" width="4.875" style="194" customWidth="1"/>
    <col min="3" max="3" width="25.25" style="194" customWidth="1"/>
    <col min="4" max="5" width="14.625" style="194" customWidth="1"/>
    <col min="6" max="6" width="20.25" style="194" customWidth="1"/>
    <col min="7" max="8" width="9.125" style="194" customWidth="1"/>
    <col min="9" max="9" width="10.5" style="1586" customWidth="1"/>
    <col min="10" max="10" width="5.375" style="194" customWidth="1"/>
    <col min="12" max="12" width="12" customWidth="1"/>
  </cols>
  <sheetData>
    <row r="1" spans="2:21" ht="11.25" customHeight="1"/>
    <row r="2" spans="2:21" ht="27">
      <c r="B2" s="2131" t="s">
        <v>3148</v>
      </c>
      <c r="C2" s="2131"/>
      <c r="D2" s="2131"/>
      <c r="E2" s="2131"/>
      <c r="F2" s="2131"/>
      <c r="G2" s="2131"/>
      <c r="H2" s="2131"/>
      <c r="I2" s="2131"/>
      <c r="J2" s="255"/>
    </row>
    <row r="3" spans="2:21" ht="17.25" thickBot="1"/>
    <row r="4" spans="2:21">
      <c r="B4" s="217"/>
      <c r="C4" s="218"/>
      <c r="D4" s="218"/>
      <c r="E4" s="218"/>
      <c r="F4" s="1628"/>
      <c r="G4" s="218"/>
      <c r="H4" s="218"/>
      <c r="I4" s="1587"/>
      <c r="J4" s="219"/>
    </row>
    <row r="5" spans="2:21">
      <c r="B5" s="220"/>
      <c r="F5" s="1629"/>
      <c r="J5" s="221"/>
    </row>
    <row r="6" spans="2:21">
      <c r="B6" s="220"/>
      <c r="F6" s="1629"/>
      <c r="J6" s="221"/>
      <c r="L6" s="194"/>
      <c r="M6" s="194"/>
      <c r="N6" s="194"/>
      <c r="O6" s="194"/>
      <c r="P6" s="194"/>
      <c r="Q6" s="194"/>
      <c r="R6" s="194"/>
      <c r="S6" s="194"/>
      <c r="T6" s="194"/>
      <c r="U6" s="194"/>
    </row>
    <row r="7" spans="2:21">
      <c r="B7" s="220"/>
      <c r="F7" s="1629"/>
      <c r="J7" s="221"/>
      <c r="L7" s="194"/>
      <c r="M7" s="194"/>
      <c r="N7" s="194"/>
      <c r="O7" s="194"/>
      <c r="P7" s="194"/>
      <c r="Q7" s="194"/>
      <c r="R7" s="194"/>
      <c r="S7" s="194"/>
      <c r="T7" s="194"/>
      <c r="U7" s="194"/>
    </row>
    <row r="8" spans="2:21">
      <c r="B8" s="220"/>
      <c r="F8" s="1629"/>
      <c r="J8" s="221"/>
      <c r="L8" s="194"/>
      <c r="M8" s="194"/>
      <c r="N8" s="194"/>
      <c r="O8" s="194"/>
      <c r="P8" s="194"/>
      <c r="Q8" s="194"/>
      <c r="R8" s="194"/>
      <c r="S8" s="194"/>
      <c r="T8" s="194"/>
      <c r="U8" s="194"/>
    </row>
    <row r="9" spans="2:21">
      <c r="B9" s="220"/>
      <c r="F9" s="1629"/>
      <c r="J9" s="221"/>
      <c r="L9" s="194"/>
      <c r="M9" s="194"/>
      <c r="N9" s="194"/>
      <c r="O9" s="194"/>
      <c r="P9" s="194"/>
      <c r="Q9" s="194"/>
      <c r="R9" s="194"/>
      <c r="S9" s="194"/>
      <c r="T9" s="194"/>
      <c r="U9" s="194"/>
    </row>
    <row r="10" spans="2:21">
      <c r="B10" s="220"/>
      <c r="F10" s="1629"/>
      <c r="J10" s="221"/>
      <c r="L10" s="194"/>
      <c r="M10" s="194"/>
      <c r="N10" s="390"/>
      <c r="O10" s="194"/>
      <c r="P10" s="194"/>
      <c r="Q10" s="194"/>
      <c r="R10" s="194"/>
      <c r="S10" s="194"/>
      <c r="T10" s="390"/>
      <c r="U10" s="194"/>
    </row>
    <row r="11" spans="2:21">
      <c r="B11" s="220"/>
      <c r="F11" s="1629"/>
      <c r="J11" s="221"/>
      <c r="L11" s="390"/>
      <c r="M11" s="194"/>
      <c r="N11" s="390"/>
      <c r="O11" s="194"/>
      <c r="P11" s="194"/>
      <c r="Q11" s="194"/>
      <c r="R11" s="194"/>
      <c r="S11" s="194"/>
      <c r="T11" s="390"/>
      <c r="U11" s="194"/>
    </row>
    <row r="12" spans="2:21">
      <c r="B12" s="220"/>
      <c r="F12" s="1629"/>
      <c r="J12" s="221"/>
      <c r="L12" s="390"/>
      <c r="M12" s="194"/>
      <c r="N12" s="390"/>
      <c r="O12" s="194"/>
      <c r="P12" s="194"/>
      <c r="Q12" s="194"/>
      <c r="R12" s="194"/>
      <c r="S12" s="194"/>
      <c r="T12" s="390"/>
      <c r="U12" s="194"/>
    </row>
    <row r="13" spans="2:21">
      <c r="B13" s="220"/>
      <c r="F13" s="1629"/>
      <c r="J13" s="221"/>
      <c r="L13" s="390"/>
      <c r="M13" s="194"/>
      <c r="N13" s="390"/>
      <c r="O13" s="194"/>
      <c r="P13" s="194"/>
      <c r="Q13" s="194"/>
      <c r="R13" s="194"/>
      <c r="S13" s="194"/>
      <c r="T13" s="390"/>
      <c r="U13" s="194"/>
    </row>
    <row r="14" spans="2:21">
      <c r="B14" s="220"/>
      <c r="F14" s="1629"/>
      <c r="J14" s="221"/>
      <c r="L14" s="390"/>
      <c r="M14" s="194"/>
      <c r="N14" s="390"/>
      <c r="O14" s="194"/>
      <c r="P14" s="194"/>
      <c r="Q14" s="194"/>
      <c r="R14" s="194"/>
      <c r="S14" s="194"/>
      <c r="T14" s="390"/>
      <c r="U14" s="194"/>
    </row>
    <row r="15" spans="2:21">
      <c r="B15" s="220"/>
      <c r="F15" s="1629"/>
      <c r="J15" s="221"/>
      <c r="L15" s="390"/>
      <c r="M15" s="194"/>
      <c r="N15" s="390"/>
      <c r="O15" s="194"/>
      <c r="P15" s="194"/>
      <c r="Q15" s="194"/>
      <c r="R15" s="194"/>
      <c r="S15" s="194"/>
      <c r="T15" s="390"/>
      <c r="U15" s="194"/>
    </row>
    <row r="16" spans="2:21">
      <c r="B16" s="220"/>
      <c r="F16" s="1629"/>
      <c r="J16" s="221"/>
      <c r="L16" s="813"/>
      <c r="M16" s="194"/>
      <c r="N16" s="390"/>
      <c r="O16" s="194"/>
      <c r="P16" s="194"/>
      <c r="Q16" s="194"/>
      <c r="R16" s="194"/>
      <c r="S16" s="194"/>
      <c r="T16" s="390"/>
      <c r="U16" s="194"/>
    </row>
    <row r="17" spans="2:21">
      <c r="B17" s="220"/>
      <c r="F17" s="1629"/>
      <c r="J17" s="221"/>
      <c r="L17" s="390"/>
      <c r="M17" s="194"/>
      <c r="N17" s="390"/>
      <c r="O17" s="194"/>
      <c r="P17" s="194"/>
      <c r="Q17" s="194"/>
      <c r="R17" s="194"/>
      <c r="S17" s="194"/>
      <c r="T17" s="390"/>
      <c r="U17" s="194"/>
    </row>
    <row r="18" spans="2:21" ht="31.5">
      <c r="B18" s="220"/>
      <c r="F18" s="1629"/>
      <c r="J18" s="221"/>
      <c r="K18" s="836"/>
      <c r="L18" s="390"/>
      <c r="M18" s="194"/>
      <c r="N18" s="390"/>
      <c r="O18" s="194"/>
      <c r="P18" s="194"/>
      <c r="Q18" s="194"/>
      <c r="R18" s="194"/>
      <c r="S18" s="194"/>
      <c r="T18" s="390"/>
      <c r="U18" s="194"/>
    </row>
    <row r="19" spans="2:21">
      <c r="B19" s="220"/>
      <c r="F19" s="1629"/>
      <c r="J19" s="221"/>
      <c r="L19" s="390"/>
      <c r="M19" s="194"/>
      <c r="N19" s="390"/>
      <c r="O19" s="194"/>
      <c r="P19" s="194"/>
      <c r="Q19" s="194"/>
      <c r="R19" s="194"/>
      <c r="S19" s="194"/>
      <c r="T19" s="390"/>
      <c r="U19" s="194"/>
    </row>
    <row r="20" spans="2:21">
      <c r="B20" s="220"/>
      <c r="F20" s="1629"/>
      <c r="J20" s="221"/>
      <c r="L20" s="390"/>
      <c r="M20" s="194"/>
      <c r="N20" s="390"/>
      <c r="O20" s="194"/>
      <c r="P20" s="194"/>
      <c r="Q20" s="194"/>
      <c r="R20" s="194"/>
      <c r="S20" s="194"/>
      <c r="T20" s="390"/>
      <c r="U20" s="194"/>
    </row>
    <row r="21" spans="2:21">
      <c r="B21" s="220"/>
      <c r="F21" s="1629"/>
      <c r="J21" s="221"/>
      <c r="L21" s="390"/>
      <c r="M21" s="194"/>
      <c r="N21" s="390"/>
      <c r="O21" s="194"/>
      <c r="P21" s="194"/>
      <c r="Q21" s="194"/>
      <c r="R21" s="194"/>
      <c r="S21" s="194"/>
      <c r="T21" s="390"/>
      <c r="U21" s="194"/>
    </row>
    <row r="22" spans="2:21">
      <c r="B22" s="220"/>
      <c r="F22" s="1629"/>
      <c r="J22" s="221"/>
      <c r="L22" s="194"/>
      <c r="M22" s="194"/>
      <c r="N22" s="194"/>
      <c r="O22" s="194"/>
      <c r="P22" s="194"/>
      <c r="Q22" s="194"/>
      <c r="R22" s="194"/>
      <c r="S22" s="194"/>
      <c r="T22" s="194"/>
      <c r="U22" s="194"/>
    </row>
    <row r="23" spans="2:21">
      <c r="B23" s="220"/>
      <c r="F23" s="1629"/>
      <c r="J23" s="221"/>
      <c r="L23" s="194"/>
      <c r="M23" s="194"/>
      <c r="N23" s="194"/>
      <c r="O23" s="194"/>
      <c r="P23" s="194"/>
      <c r="Q23" s="194"/>
      <c r="R23" s="194"/>
      <c r="S23" s="194"/>
      <c r="T23" s="194"/>
      <c r="U23" s="194"/>
    </row>
    <row r="24" spans="2:21">
      <c r="B24" s="220"/>
      <c r="F24" s="1629"/>
      <c r="J24" s="221"/>
      <c r="L24" s="194"/>
      <c r="M24" s="194"/>
      <c r="N24" s="194"/>
      <c r="O24" s="194"/>
      <c r="P24" s="194"/>
      <c r="Q24" s="390"/>
      <c r="R24" s="194"/>
      <c r="S24" s="194"/>
      <c r="T24" s="194"/>
      <c r="U24" s="194"/>
    </row>
    <row r="25" spans="2:21">
      <c r="B25" s="220"/>
      <c r="F25" s="1629"/>
      <c r="J25" s="221"/>
      <c r="L25" s="194"/>
      <c r="M25" s="194"/>
      <c r="N25" s="194"/>
      <c r="O25" s="194"/>
      <c r="P25" s="194"/>
      <c r="Q25" s="194"/>
      <c r="R25" s="194"/>
      <c r="S25" s="194"/>
      <c r="T25" s="194"/>
      <c r="U25" s="194"/>
    </row>
    <row r="26" spans="2:21">
      <c r="B26" s="220"/>
      <c r="F26" s="1629"/>
      <c r="J26" s="221"/>
      <c r="L26" s="194"/>
      <c r="M26" s="194"/>
      <c r="N26" s="194"/>
      <c r="O26" s="194"/>
      <c r="P26" s="194"/>
      <c r="Q26" s="194"/>
      <c r="R26" s="194"/>
      <c r="S26" s="194"/>
      <c r="T26" s="194"/>
      <c r="U26" s="194"/>
    </row>
    <row r="27" spans="2:21">
      <c r="B27" s="220"/>
      <c r="F27" s="1629"/>
      <c r="J27" s="221"/>
      <c r="L27" s="194"/>
      <c r="M27" s="194"/>
      <c r="N27" s="194"/>
      <c r="O27" s="194"/>
      <c r="P27" s="194"/>
      <c r="Q27" s="194"/>
      <c r="R27" s="194"/>
      <c r="S27" s="194"/>
      <c r="T27" s="194"/>
      <c r="U27" s="194"/>
    </row>
    <row r="28" spans="2:21">
      <c r="B28" s="220"/>
      <c r="F28" s="1629"/>
      <c r="J28" s="221"/>
      <c r="L28" s="194"/>
      <c r="M28" s="194"/>
      <c r="N28" s="194"/>
      <c r="O28" s="194"/>
      <c r="P28" s="194"/>
      <c r="Q28" s="194"/>
      <c r="R28" s="194"/>
      <c r="S28" s="194"/>
      <c r="T28" s="194"/>
      <c r="U28" s="194"/>
    </row>
    <row r="29" spans="2:21">
      <c r="B29" s="220"/>
      <c r="F29" s="1629"/>
      <c r="J29" s="221"/>
    </row>
    <row r="30" spans="2:21">
      <c r="B30" s="220"/>
      <c r="F30" s="1629"/>
      <c r="J30" s="221"/>
    </row>
    <row r="31" spans="2:21">
      <c r="B31" s="220"/>
      <c r="F31" s="1629"/>
      <c r="J31" s="221"/>
    </row>
    <row r="32" spans="2:21">
      <c r="B32" s="220"/>
      <c r="F32" s="1629"/>
      <c r="J32" s="221"/>
    </row>
    <row r="33" spans="2:16">
      <c r="B33" s="220"/>
      <c r="F33" s="1629"/>
      <c r="J33" s="221"/>
      <c r="L33" s="1586"/>
      <c r="M33" s="348"/>
      <c r="N33" s="1586"/>
      <c r="O33" s="348"/>
    </row>
    <row r="34" spans="2:16" ht="17.25" thickBot="1">
      <c r="B34" s="222"/>
      <c r="C34" s="223"/>
      <c r="D34" s="223"/>
      <c r="E34" s="223"/>
      <c r="F34" s="1630"/>
      <c r="G34" s="1631"/>
      <c r="H34" s="1631"/>
      <c r="I34" s="1632"/>
      <c r="J34" s="1633"/>
      <c r="L34" s="1586"/>
      <c r="M34" s="348"/>
      <c r="N34" s="1586"/>
      <c r="O34" s="348"/>
    </row>
    <row r="36" spans="2:16">
      <c r="B36" s="209" t="s">
        <v>722</v>
      </c>
      <c r="H36" s="22"/>
    </row>
    <row r="37" spans="2:16">
      <c r="B37" s="1618" t="s">
        <v>130</v>
      </c>
      <c r="C37" s="1619" t="s">
        <v>131</v>
      </c>
      <c r="D37" s="1619" t="s">
        <v>132</v>
      </c>
      <c r="E37" s="1619" t="s">
        <v>133</v>
      </c>
      <c r="F37" s="1619" t="s">
        <v>134</v>
      </c>
      <c r="G37" s="1620" t="s">
        <v>135</v>
      </c>
      <c r="H37" s="1619" t="s">
        <v>136</v>
      </c>
      <c r="I37" s="2139" t="s">
        <v>137</v>
      </c>
      <c r="J37" s="2139"/>
    </row>
    <row r="38" spans="2:16" ht="17.25" customHeight="1">
      <c r="B38" s="1601" t="s">
        <v>649</v>
      </c>
      <c r="C38" s="1624" t="s">
        <v>3156</v>
      </c>
      <c r="D38" s="212" t="s">
        <v>3179</v>
      </c>
      <c r="E38" s="212" t="s">
        <v>650</v>
      </c>
      <c r="F38" s="212" t="s">
        <v>651</v>
      </c>
      <c r="G38" s="1622" t="s">
        <v>1171</v>
      </c>
      <c r="H38" s="1623">
        <v>150</v>
      </c>
      <c r="I38" s="1625"/>
      <c r="J38" s="1594"/>
      <c r="K38" s="548"/>
    </row>
    <row r="39" spans="2:16" ht="17.25" customHeight="1">
      <c r="B39" s="1595" t="s">
        <v>653</v>
      </c>
      <c r="C39" s="814" t="s">
        <v>1177</v>
      </c>
      <c r="D39" s="811" t="s">
        <v>558</v>
      </c>
      <c r="E39" s="811" t="s">
        <v>654</v>
      </c>
      <c r="F39" s="811" t="s">
        <v>655</v>
      </c>
      <c r="G39" s="1593" t="s">
        <v>200</v>
      </c>
      <c r="H39" s="831">
        <f>1+1+4+1+1</f>
        <v>8</v>
      </c>
      <c r="I39" s="1589"/>
      <c r="J39" s="1596"/>
      <c r="K39" s="548"/>
    </row>
    <row r="40" spans="2:16" ht="17.25" customHeight="1">
      <c r="B40" s="2140" t="s">
        <v>657</v>
      </c>
      <c r="C40" s="2135" t="s">
        <v>1178</v>
      </c>
      <c r="D40" s="212" t="s">
        <v>3179</v>
      </c>
      <c r="E40" s="811" t="s">
        <v>1578</v>
      </c>
      <c r="F40" s="811" t="s">
        <v>1579</v>
      </c>
      <c r="G40" s="1593" t="s">
        <v>1171</v>
      </c>
      <c r="H40" s="1623">
        <v>150</v>
      </c>
      <c r="I40" s="1589"/>
      <c r="J40" s="1597"/>
      <c r="K40" s="548"/>
      <c r="L40" s="329"/>
    </row>
    <row r="41" spans="2:16" ht="17.25" hidden="1" customHeight="1">
      <c r="B41" s="2141"/>
      <c r="C41" s="2136"/>
      <c r="D41" s="811" t="s">
        <v>1613</v>
      </c>
      <c r="E41" s="811" t="s">
        <v>1578</v>
      </c>
      <c r="F41" s="811" t="s">
        <v>1579</v>
      </c>
      <c r="G41" s="1593" t="s">
        <v>343</v>
      </c>
      <c r="H41" s="831"/>
      <c r="I41" s="1589"/>
      <c r="J41" s="1597"/>
      <c r="L41" s="329"/>
    </row>
    <row r="42" spans="2:16" ht="17.25" customHeight="1">
      <c r="B42" s="2137" t="s">
        <v>658</v>
      </c>
      <c r="C42" s="2135" t="s">
        <v>1179</v>
      </c>
      <c r="D42" s="811" t="s">
        <v>1636</v>
      </c>
      <c r="E42" s="811" t="s">
        <v>1477</v>
      </c>
      <c r="F42" s="811" t="s">
        <v>659</v>
      </c>
      <c r="G42" s="1593" t="s">
        <v>200</v>
      </c>
      <c r="H42" s="831">
        <f>1+1+5+1</f>
        <v>8</v>
      </c>
      <c r="I42" s="1589"/>
      <c r="J42" s="1596"/>
      <c r="K42" s="548"/>
    </row>
    <row r="43" spans="2:16" ht="17.25" hidden="1" customHeight="1">
      <c r="B43" s="2138"/>
      <c r="C43" s="2136"/>
      <c r="D43" s="811" t="s">
        <v>1636</v>
      </c>
      <c r="E43" s="811" t="s">
        <v>1477</v>
      </c>
      <c r="F43" s="811" t="s">
        <v>659</v>
      </c>
      <c r="G43" s="1593" t="s">
        <v>200</v>
      </c>
      <c r="H43" s="831"/>
      <c r="I43" s="1589"/>
      <c r="J43" s="1596"/>
    </row>
    <row r="44" spans="2:16" ht="17.25" customHeight="1">
      <c r="B44" s="2137" t="s">
        <v>660</v>
      </c>
      <c r="C44" s="2135" t="s">
        <v>1179</v>
      </c>
      <c r="D44" s="811" t="s">
        <v>1637</v>
      </c>
      <c r="E44" s="811" t="s">
        <v>3142</v>
      </c>
      <c r="F44" s="811" t="s">
        <v>1162</v>
      </c>
      <c r="G44" s="1593" t="s">
        <v>1171</v>
      </c>
      <c r="H44" s="831">
        <f>(1+1+2+1+2)</f>
        <v>7</v>
      </c>
      <c r="I44" s="1589"/>
      <c r="J44" s="1597"/>
      <c r="K44" s="548"/>
    </row>
    <row r="45" spans="2:16" ht="17.25" hidden="1" customHeight="1">
      <c r="B45" s="2138"/>
      <c r="C45" s="2136"/>
      <c r="D45" s="811" t="s">
        <v>1637</v>
      </c>
      <c r="E45" s="811" t="s">
        <v>3142</v>
      </c>
      <c r="F45" s="811" t="s">
        <v>1162</v>
      </c>
      <c r="G45" s="1593" t="s">
        <v>343</v>
      </c>
      <c r="H45" s="831"/>
      <c r="I45" s="1589"/>
      <c r="J45" s="1597"/>
      <c r="P45" t="s">
        <v>1234</v>
      </c>
    </row>
    <row r="46" spans="2:16" s="22" customFormat="1" ht="17.25">
      <c r="B46" s="1598" t="s">
        <v>661</v>
      </c>
      <c r="C46" s="1589" t="s">
        <v>1369</v>
      </c>
      <c r="D46" s="811" t="s">
        <v>460</v>
      </c>
      <c r="E46" s="811" t="s">
        <v>456</v>
      </c>
      <c r="F46" s="811" t="s">
        <v>3141</v>
      </c>
      <c r="G46" s="1593" t="s">
        <v>343</v>
      </c>
      <c r="H46" s="831">
        <f>3*8</f>
        <v>24</v>
      </c>
      <c r="I46" s="1589" t="s">
        <v>664</v>
      </c>
      <c r="J46" s="1596">
        <f>H46/8</f>
        <v>3</v>
      </c>
    </row>
    <row r="47" spans="2:16" ht="17.25" customHeight="1">
      <c r="B47" s="2137" t="s">
        <v>665</v>
      </c>
      <c r="C47" s="2135" t="s">
        <v>199</v>
      </c>
      <c r="D47" s="811" t="s">
        <v>1689</v>
      </c>
      <c r="E47" s="811" t="s">
        <v>1270</v>
      </c>
      <c r="F47" s="811" t="s">
        <v>1686</v>
      </c>
      <c r="G47" s="1593" t="s">
        <v>1483</v>
      </c>
      <c r="H47" s="831">
        <f>9*2</f>
        <v>18</v>
      </c>
      <c r="I47" s="1589"/>
      <c r="J47" s="1599"/>
      <c r="K47" s="548"/>
    </row>
    <row r="48" spans="2:16" ht="17.25" customHeight="1">
      <c r="B48" s="2138"/>
      <c r="C48" s="2136"/>
      <c r="D48" s="811" t="s">
        <v>1688</v>
      </c>
      <c r="E48" s="811" t="s">
        <v>1270</v>
      </c>
      <c r="F48" s="811" t="s">
        <v>1687</v>
      </c>
      <c r="G48" s="1593" t="s">
        <v>668</v>
      </c>
      <c r="H48" s="831">
        <v>10</v>
      </c>
      <c r="I48" s="1589"/>
      <c r="J48" s="1599"/>
    </row>
    <row r="49" spans="2:11" ht="17.25" customHeight="1">
      <c r="B49" s="2137" t="s">
        <v>434</v>
      </c>
      <c r="C49" s="2135" t="s">
        <v>1614</v>
      </c>
      <c r="D49" s="811" t="s">
        <v>1689</v>
      </c>
      <c r="E49" s="811" t="s">
        <v>1270</v>
      </c>
      <c r="F49" s="811" t="s">
        <v>667</v>
      </c>
      <c r="G49" s="1593" t="s">
        <v>668</v>
      </c>
      <c r="H49" s="1626">
        <f>H47/3</f>
        <v>6</v>
      </c>
      <c r="I49" s="1589"/>
      <c r="J49" s="1596"/>
      <c r="K49" s="548"/>
    </row>
    <row r="50" spans="2:11" ht="17.25" customHeight="1">
      <c r="B50" s="2138"/>
      <c r="C50" s="2136"/>
      <c r="D50" s="811" t="s">
        <v>1688</v>
      </c>
      <c r="E50" s="811" t="s">
        <v>1270</v>
      </c>
      <c r="F50" s="811" t="s">
        <v>666</v>
      </c>
      <c r="G50" s="1593" t="s">
        <v>668</v>
      </c>
      <c r="H50" s="831">
        <f>H48/2</f>
        <v>5</v>
      </c>
      <c r="I50" s="1589"/>
      <c r="J50" s="1596"/>
    </row>
    <row r="51" spans="2:11" ht="17.25">
      <c r="B51" s="1600" t="s">
        <v>435</v>
      </c>
      <c r="C51" s="1589" t="s">
        <v>669</v>
      </c>
      <c r="D51" s="212" t="s">
        <v>3179</v>
      </c>
      <c r="E51" s="811" t="s">
        <v>3142</v>
      </c>
      <c r="F51" s="811" t="s">
        <v>651</v>
      </c>
      <c r="G51" s="1593" t="s">
        <v>1658</v>
      </c>
      <c r="H51" s="831">
        <v>8</v>
      </c>
      <c r="I51" s="1589"/>
      <c r="J51" s="1596"/>
    </row>
    <row r="52" spans="2:11" ht="17.25">
      <c r="B52" s="1600" t="s">
        <v>436</v>
      </c>
      <c r="C52" s="1589" t="s">
        <v>672</v>
      </c>
      <c r="D52" s="811" t="s">
        <v>558</v>
      </c>
      <c r="E52" s="811" t="s">
        <v>673</v>
      </c>
      <c r="F52" s="811" t="s">
        <v>655</v>
      </c>
      <c r="G52" s="1593" t="s">
        <v>1658</v>
      </c>
      <c r="H52" s="831">
        <v>8</v>
      </c>
      <c r="I52" s="1589"/>
      <c r="J52" s="1596"/>
    </row>
    <row r="53" spans="2:11" ht="17.25">
      <c r="B53" s="1600" t="s">
        <v>437</v>
      </c>
      <c r="C53" s="1589" t="s">
        <v>675</v>
      </c>
      <c r="D53" s="811" t="s">
        <v>1476</v>
      </c>
      <c r="E53" s="811" t="s">
        <v>1580</v>
      </c>
      <c r="F53" s="811" t="s">
        <v>1579</v>
      </c>
      <c r="G53" s="1593" t="s">
        <v>1659</v>
      </c>
      <c r="H53" s="831">
        <v>6</v>
      </c>
      <c r="I53" s="1589"/>
      <c r="J53" s="1596"/>
    </row>
    <row r="54" spans="2:11" ht="17.25">
      <c r="B54" s="1600" t="s">
        <v>438</v>
      </c>
      <c r="C54" s="1589" t="s">
        <v>676</v>
      </c>
      <c r="D54" s="811" t="s">
        <v>677</v>
      </c>
      <c r="E54" s="811" t="s">
        <v>558</v>
      </c>
      <c r="F54" s="811" t="s">
        <v>659</v>
      </c>
      <c r="G54" s="1593" t="s">
        <v>1660</v>
      </c>
      <c r="H54" s="831">
        <v>4</v>
      </c>
      <c r="I54" s="1589"/>
      <c r="J54" s="1596"/>
    </row>
    <row r="55" spans="2:11" ht="17.25">
      <c r="B55" s="1600" t="s">
        <v>439</v>
      </c>
      <c r="C55" s="1589" t="s">
        <v>676</v>
      </c>
      <c r="D55" s="811" t="s">
        <v>1582</v>
      </c>
      <c r="E55" s="811" t="s">
        <v>558</v>
      </c>
      <c r="F55" s="811" t="s">
        <v>1581</v>
      </c>
      <c r="G55" s="1593" t="s">
        <v>1660</v>
      </c>
      <c r="H55" s="831">
        <v>4</v>
      </c>
      <c r="I55" s="1589"/>
      <c r="J55" s="1596"/>
    </row>
    <row r="56" spans="2:11" ht="17.25">
      <c r="B56" s="1600" t="s">
        <v>859</v>
      </c>
      <c r="C56" s="1589" t="s">
        <v>856</v>
      </c>
      <c r="D56" s="811" t="s">
        <v>558</v>
      </c>
      <c r="E56" s="811" t="s">
        <v>1163</v>
      </c>
      <c r="F56" s="811" t="s">
        <v>857</v>
      </c>
      <c r="G56" s="1593" t="s">
        <v>668</v>
      </c>
      <c r="H56" s="831">
        <f>3+4+6</f>
        <v>13</v>
      </c>
      <c r="I56" s="1589"/>
      <c r="J56" s="1597"/>
    </row>
    <row r="57" spans="2:11" ht="17.25" hidden="1">
      <c r="B57" s="1601"/>
      <c r="C57" s="1589"/>
      <c r="D57" s="811"/>
      <c r="E57" s="811"/>
      <c r="F57" s="811"/>
      <c r="G57" s="1593"/>
      <c r="H57" s="1602"/>
      <c r="I57" s="1589"/>
      <c r="J57" s="1597"/>
    </row>
    <row r="58" spans="2:11" ht="17.25" hidden="1">
      <c r="B58" s="1603"/>
      <c r="C58" s="1589"/>
      <c r="D58" s="811"/>
      <c r="E58" s="811"/>
      <c r="F58" s="811"/>
      <c r="G58" s="1593"/>
      <c r="H58" s="1602"/>
      <c r="I58" s="1589"/>
      <c r="J58" s="1597"/>
    </row>
    <row r="59" spans="2:11" ht="17.25">
      <c r="B59" s="1601"/>
      <c r="C59" s="1589" t="s">
        <v>346</v>
      </c>
      <c r="D59" s="811" t="s">
        <v>1675</v>
      </c>
      <c r="E59" s="811"/>
      <c r="F59" s="811" t="s">
        <v>427</v>
      </c>
      <c r="G59" s="1593" t="s">
        <v>343</v>
      </c>
      <c r="H59" s="831">
        <f>6*4</f>
        <v>24</v>
      </c>
      <c r="I59" s="1589" t="s">
        <v>1691</v>
      </c>
      <c r="J59" s="1596"/>
    </row>
    <row r="60" spans="2:11" ht="17.25" hidden="1">
      <c r="B60" s="1601"/>
      <c r="C60" s="1589" t="s">
        <v>374</v>
      </c>
      <c r="D60" s="811"/>
      <c r="E60" s="811"/>
      <c r="F60" s="811" t="s">
        <v>427</v>
      </c>
      <c r="G60" s="1593" t="s">
        <v>200</v>
      </c>
      <c r="H60" s="812"/>
      <c r="I60" s="1589"/>
      <c r="J60" s="1597"/>
    </row>
    <row r="61" spans="2:11" ht="17.25" hidden="1">
      <c r="B61" s="1601"/>
      <c r="C61" s="1589" t="s">
        <v>755</v>
      </c>
      <c r="D61" s="811"/>
      <c r="E61" s="811"/>
      <c r="F61" s="811" t="s">
        <v>427</v>
      </c>
      <c r="G61" s="1593" t="s">
        <v>734</v>
      </c>
      <c r="H61" s="812"/>
      <c r="I61" s="1589" t="s">
        <v>678</v>
      </c>
      <c r="J61" s="1597"/>
    </row>
    <row r="62" spans="2:11" ht="17.25" hidden="1">
      <c r="B62" s="1601"/>
      <c r="C62" s="1589" t="s">
        <v>1391</v>
      </c>
      <c r="D62" s="811"/>
      <c r="E62" s="811"/>
      <c r="F62" s="811" t="s">
        <v>427</v>
      </c>
      <c r="G62" s="1593" t="s">
        <v>343</v>
      </c>
      <c r="H62" s="812"/>
      <c r="I62" s="1589" t="s">
        <v>678</v>
      </c>
      <c r="J62" s="1597"/>
    </row>
    <row r="63" spans="2:11" ht="17.25">
      <c r="B63" s="1598"/>
      <c r="C63" s="1589" t="s">
        <v>372</v>
      </c>
      <c r="D63" s="811"/>
      <c r="E63" s="811"/>
      <c r="F63" s="811" t="s">
        <v>428</v>
      </c>
      <c r="G63" s="1593" t="s">
        <v>200</v>
      </c>
      <c r="H63" s="831">
        <v>6</v>
      </c>
      <c r="I63" s="1589" t="s">
        <v>1664</v>
      </c>
      <c r="J63" s="1596"/>
    </row>
    <row r="64" spans="2:11" ht="18" hidden="1" thickBot="1">
      <c r="B64" s="203"/>
      <c r="C64" s="199"/>
      <c r="D64" s="199"/>
      <c r="E64" s="199"/>
      <c r="F64" s="199"/>
      <c r="G64" s="206"/>
      <c r="H64" s="208"/>
      <c r="I64" s="1590"/>
      <c r="J64" s="215"/>
    </row>
    <row r="66" spans="2:10">
      <c r="B66" s="209" t="s">
        <v>3200</v>
      </c>
      <c r="H66" s="22"/>
    </row>
    <row r="67" spans="2:10">
      <c r="B67" s="1618" t="s">
        <v>130</v>
      </c>
      <c r="C67" s="1619" t="s">
        <v>131</v>
      </c>
      <c r="D67" s="1619" t="s">
        <v>132</v>
      </c>
      <c r="E67" s="1619" t="s">
        <v>133</v>
      </c>
      <c r="F67" s="1619" t="s">
        <v>134</v>
      </c>
      <c r="G67" s="1620" t="s">
        <v>135</v>
      </c>
      <c r="H67" s="1619" t="s">
        <v>136</v>
      </c>
      <c r="I67" s="2139" t="s">
        <v>137</v>
      </c>
      <c r="J67" s="2139"/>
    </row>
    <row r="68" spans="2:10" ht="17.25">
      <c r="B68" s="1621" t="s">
        <v>705</v>
      </c>
      <c r="C68" s="212" t="s">
        <v>198</v>
      </c>
      <c r="D68" s="212" t="s">
        <v>729</v>
      </c>
      <c r="E68" s="212" t="s">
        <v>706</v>
      </c>
      <c r="F68" s="212" t="s">
        <v>707</v>
      </c>
      <c r="G68" s="1622" t="s">
        <v>200</v>
      </c>
      <c r="H68" s="1623">
        <f>(1+1+7+1+1)</f>
        <v>11</v>
      </c>
      <c r="I68" s="1591"/>
      <c r="J68" s="1594"/>
    </row>
    <row r="69" spans="2:10" ht="17.25">
      <c r="B69" s="1604" t="s">
        <v>708</v>
      </c>
      <c r="C69" s="811" t="s">
        <v>198</v>
      </c>
      <c r="D69" s="811" t="s">
        <v>729</v>
      </c>
      <c r="E69" s="811" t="s">
        <v>709</v>
      </c>
      <c r="F69" s="811" t="s">
        <v>710</v>
      </c>
      <c r="G69" s="1593" t="s">
        <v>200</v>
      </c>
      <c r="H69" s="831">
        <f>(1+1+7+1+1)*1</f>
        <v>11</v>
      </c>
      <c r="I69" s="1589"/>
      <c r="J69" s="1596"/>
    </row>
    <row r="70" spans="2:10" ht="17.25">
      <c r="B70" s="1604" t="s">
        <v>711</v>
      </c>
      <c r="C70" s="811" t="s">
        <v>198</v>
      </c>
      <c r="D70" s="811" t="s">
        <v>729</v>
      </c>
      <c r="E70" s="811" t="s">
        <v>1478</v>
      </c>
      <c r="F70" s="811" t="s">
        <v>712</v>
      </c>
      <c r="G70" s="1593" t="s">
        <v>1483</v>
      </c>
      <c r="H70" s="831">
        <f>(1+1+2+6+2+1+1)*2</f>
        <v>28</v>
      </c>
      <c r="I70" s="1589"/>
      <c r="J70" s="1605">
        <f>H70/2</f>
        <v>14</v>
      </c>
    </row>
    <row r="71" spans="2:10" ht="17.25">
      <c r="B71" s="1604" t="s">
        <v>713</v>
      </c>
      <c r="C71" s="811" t="s">
        <v>344</v>
      </c>
      <c r="D71" s="811" t="s">
        <v>729</v>
      </c>
      <c r="E71" s="811" t="s">
        <v>706</v>
      </c>
      <c r="F71" s="811" t="s">
        <v>714</v>
      </c>
      <c r="G71" s="1593" t="s">
        <v>200</v>
      </c>
      <c r="H71" s="652">
        <f>H68</f>
        <v>11</v>
      </c>
      <c r="I71" s="1589"/>
      <c r="J71" s="1596"/>
    </row>
    <row r="72" spans="2:10" ht="17.25">
      <c r="B72" s="1604" t="s">
        <v>715</v>
      </c>
      <c r="C72" s="811" t="s">
        <v>344</v>
      </c>
      <c r="D72" s="811" t="s">
        <v>729</v>
      </c>
      <c r="E72" s="811" t="s">
        <v>716</v>
      </c>
      <c r="F72" s="811" t="s">
        <v>717</v>
      </c>
      <c r="G72" s="1593" t="s">
        <v>200</v>
      </c>
      <c r="H72" s="652">
        <f>ROUNDUP(H69/4,0)</f>
        <v>3</v>
      </c>
      <c r="I72" s="1589"/>
      <c r="J72" s="1596"/>
    </row>
    <row r="73" spans="2:10" ht="17.25">
      <c r="B73" s="1606" t="s">
        <v>718</v>
      </c>
      <c r="C73" s="1607" t="s">
        <v>719</v>
      </c>
      <c r="D73" s="811" t="s">
        <v>729</v>
      </c>
      <c r="E73" s="1607" t="s">
        <v>1479</v>
      </c>
      <c r="F73" s="1607" t="s">
        <v>1297</v>
      </c>
      <c r="G73" s="1608" t="s">
        <v>1171</v>
      </c>
      <c r="H73" s="1609">
        <f>H70/2</f>
        <v>14</v>
      </c>
      <c r="I73" s="1610"/>
      <c r="J73" s="1611"/>
    </row>
    <row r="74" spans="2:10" ht="17.25">
      <c r="B74" s="1600" t="s">
        <v>139</v>
      </c>
      <c r="C74" s="811" t="s">
        <v>341</v>
      </c>
      <c r="D74" s="811" t="s">
        <v>1617</v>
      </c>
      <c r="E74" s="811" t="s">
        <v>1270</v>
      </c>
      <c r="F74" s="811" t="s">
        <v>1618</v>
      </c>
      <c r="G74" s="1608" t="s">
        <v>1171</v>
      </c>
      <c r="H74" s="831">
        <f>1+8+1</f>
        <v>10</v>
      </c>
      <c r="I74" s="1589"/>
      <c r="J74" s="1596"/>
    </row>
    <row r="75" spans="2:10" ht="17.25">
      <c r="B75" s="1604"/>
      <c r="C75" s="811" t="s">
        <v>341</v>
      </c>
      <c r="D75" s="811" t="s">
        <v>1619</v>
      </c>
      <c r="E75" s="811" t="s">
        <v>1270</v>
      </c>
      <c r="F75" s="811" t="s">
        <v>1620</v>
      </c>
      <c r="G75" s="1608" t="s">
        <v>1171</v>
      </c>
      <c r="H75" s="831">
        <f>1+8+1</f>
        <v>10</v>
      </c>
      <c r="I75" s="1589"/>
      <c r="J75" s="1596"/>
    </row>
    <row r="76" spans="2:10" ht="17.25" hidden="1">
      <c r="B76" s="1604"/>
      <c r="C76" s="811" t="s">
        <v>341</v>
      </c>
      <c r="D76" s="811" t="s">
        <v>1480</v>
      </c>
      <c r="E76" s="811" t="s">
        <v>1665</v>
      </c>
      <c r="F76" s="811" t="s">
        <v>1666</v>
      </c>
      <c r="G76" s="1593" t="s">
        <v>1667</v>
      </c>
      <c r="H76" s="831"/>
      <c r="I76" s="1589"/>
      <c r="J76" s="1596">
        <f>H76/3</f>
        <v>0</v>
      </c>
    </row>
    <row r="77" spans="2:10" ht="17.25">
      <c r="B77" s="1600" t="s">
        <v>201</v>
      </c>
      <c r="C77" s="811" t="s">
        <v>198</v>
      </c>
      <c r="D77" s="811" t="s">
        <v>1272</v>
      </c>
      <c r="E77" s="811" t="s">
        <v>1273</v>
      </c>
      <c r="F77" s="811" t="s">
        <v>3304</v>
      </c>
      <c r="G77" s="1593" t="s">
        <v>3303</v>
      </c>
      <c r="H77" s="831">
        <f>(1+2+1)</f>
        <v>4</v>
      </c>
      <c r="I77" s="1589"/>
      <c r="J77" s="1596">
        <f>H77/4</f>
        <v>1</v>
      </c>
    </row>
    <row r="78" spans="2:10" ht="17.25">
      <c r="B78" s="1600" t="s">
        <v>431</v>
      </c>
      <c r="C78" s="811" t="s">
        <v>344</v>
      </c>
      <c r="D78" s="811" t="s">
        <v>1272</v>
      </c>
      <c r="E78" s="811" t="s">
        <v>1273</v>
      </c>
      <c r="F78" s="811" t="s">
        <v>1634</v>
      </c>
      <c r="G78" s="1593" t="s">
        <v>200</v>
      </c>
      <c r="H78" s="831">
        <f>H77/4</f>
        <v>1</v>
      </c>
      <c r="I78" s="1589"/>
      <c r="J78" s="1596"/>
    </row>
    <row r="79" spans="2:10" ht="17.25">
      <c r="B79" s="1600" t="s">
        <v>432</v>
      </c>
      <c r="C79" s="811" t="s">
        <v>372</v>
      </c>
      <c r="D79" s="811" t="s">
        <v>1481</v>
      </c>
      <c r="E79" s="811"/>
      <c r="F79" s="811" t="s">
        <v>428</v>
      </c>
      <c r="G79" s="1593" t="s">
        <v>200</v>
      </c>
      <c r="H79" s="831">
        <v>1</v>
      </c>
      <c r="I79" s="1589" t="s">
        <v>1750</v>
      </c>
      <c r="J79" s="1597"/>
    </row>
    <row r="80" spans="2:10" ht="17.25" hidden="1">
      <c r="B80" s="1600" t="s">
        <v>433</v>
      </c>
      <c r="C80" s="1612" t="s">
        <v>345</v>
      </c>
      <c r="D80" s="811" t="s">
        <v>1668</v>
      </c>
      <c r="E80" s="1612"/>
      <c r="F80" s="1612" t="s">
        <v>720</v>
      </c>
      <c r="G80" s="1613" t="s">
        <v>200</v>
      </c>
      <c r="H80" s="831"/>
      <c r="I80" s="1589" t="s">
        <v>1750</v>
      </c>
      <c r="J80" s="1597"/>
    </row>
    <row r="81" spans="2:10" ht="17.25" hidden="1">
      <c r="B81" s="1604"/>
      <c r="C81" s="811" t="s">
        <v>1168</v>
      </c>
      <c r="D81" s="811" t="s">
        <v>1459</v>
      </c>
      <c r="E81" s="811"/>
      <c r="F81" s="811" t="s">
        <v>1169</v>
      </c>
      <c r="G81" s="1593" t="s">
        <v>1171</v>
      </c>
      <c r="H81" s="652"/>
      <c r="I81" s="1589"/>
      <c r="J81" s="1596"/>
    </row>
    <row r="82" spans="2:10" ht="17.25">
      <c r="B82" s="1604"/>
      <c r="C82" s="811" t="s">
        <v>830</v>
      </c>
      <c r="D82" s="811" t="s">
        <v>1172</v>
      </c>
      <c r="E82" s="811" t="s">
        <v>429</v>
      </c>
      <c r="F82" s="811" t="s">
        <v>430</v>
      </c>
      <c r="G82" s="1593" t="s">
        <v>1173</v>
      </c>
      <c r="H82" s="1609">
        <f>(1+1+6+1+1)*2</f>
        <v>20</v>
      </c>
      <c r="I82" s="1610"/>
      <c r="J82" s="1614">
        <f>H82/2</f>
        <v>10</v>
      </c>
    </row>
    <row r="83" spans="2:10" ht="17.25" hidden="1">
      <c r="B83" s="1604"/>
      <c r="C83" s="1607" t="s">
        <v>1447</v>
      </c>
      <c r="D83" s="1607" t="s">
        <v>1459</v>
      </c>
      <c r="E83" s="1607"/>
      <c r="F83" s="1607" t="s">
        <v>1222</v>
      </c>
      <c r="G83" s="1608" t="s">
        <v>1171</v>
      </c>
      <c r="H83" s="1609"/>
      <c r="I83" s="1610"/>
      <c r="J83" s="1611"/>
    </row>
    <row r="84" spans="2:10" ht="17.25" hidden="1">
      <c r="B84" s="1604"/>
      <c r="C84" s="1607" t="s">
        <v>1448</v>
      </c>
      <c r="D84" s="1607" t="s">
        <v>1459</v>
      </c>
      <c r="E84" s="1607"/>
      <c r="F84" s="1607" t="s">
        <v>1222</v>
      </c>
      <c r="G84" s="1608" t="s">
        <v>1171</v>
      </c>
      <c r="H84" s="1609"/>
      <c r="I84" s="1610"/>
      <c r="J84" s="1611"/>
    </row>
    <row r="85" spans="2:10" ht="17.25" hidden="1">
      <c r="B85" s="1604"/>
      <c r="C85" s="811" t="s">
        <v>1282</v>
      </c>
      <c r="D85" s="811" t="s">
        <v>1458</v>
      </c>
      <c r="E85" s="811"/>
      <c r="F85" s="811" t="s">
        <v>1222</v>
      </c>
      <c r="G85" s="1593" t="s">
        <v>1171</v>
      </c>
      <c r="H85" s="831"/>
      <c r="I85" s="1589" t="s">
        <v>1669</v>
      </c>
      <c r="J85" s="1611"/>
    </row>
    <row r="86" spans="2:10" ht="17.25" hidden="1">
      <c r="B86" s="1604"/>
      <c r="C86" s="811" t="s">
        <v>1391</v>
      </c>
      <c r="D86" s="811" t="s">
        <v>1392</v>
      </c>
      <c r="E86" s="811"/>
      <c r="F86" s="811" t="s">
        <v>427</v>
      </c>
      <c r="G86" s="1593" t="s">
        <v>343</v>
      </c>
      <c r="H86" s="831"/>
      <c r="I86" s="1589" t="s">
        <v>678</v>
      </c>
      <c r="J86" s="1597"/>
    </row>
    <row r="87" spans="2:10" ht="18" hidden="1" thickBot="1">
      <c r="B87" s="203"/>
      <c r="C87" s="199"/>
      <c r="D87" s="199"/>
      <c r="E87" s="199"/>
      <c r="F87" s="199"/>
      <c r="G87" s="206"/>
      <c r="H87" s="208"/>
      <c r="I87" s="1590"/>
      <c r="J87" s="215"/>
    </row>
    <row r="89" spans="2:10" hidden="1">
      <c r="B89" s="209" t="s">
        <v>721</v>
      </c>
      <c r="H89" s="22"/>
    </row>
    <row r="90" spans="2:10" hidden="1">
      <c r="B90" s="1618" t="s">
        <v>130</v>
      </c>
      <c r="C90" s="1619" t="s">
        <v>131</v>
      </c>
      <c r="D90" s="1619" t="s">
        <v>132</v>
      </c>
      <c r="E90" s="1619" t="s">
        <v>133</v>
      </c>
      <c r="F90" s="1619" t="s">
        <v>134</v>
      </c>
      <c r="G90" s="1620" t="s">
        <v>135</v>
      </c>
      <c r="H90" s="1619" t="s">
        <v>136</v>
      </c>
      <c r="I90" s="2139" t="s">
        <v>137</v>
      </c>
      <c r="J90" s="2139"/>
    </row>
    <row r="91" spans="2:10" hidden="1">
      <c r="B91" s="1615" t="s">
        <v>679</v>
      </c>
      <c r="C91" s="1612" t="s">
        <v>199</v>
      </c>
      <c r="D91" s="1612" t="s">
        <v>1670</v>
      </c>
      <c r="E91" s="1612" t="s">
        <v>1671</v>
      </c>
      <c r="F91" s="1612" t="s">
        <v>681</v>
      </c>
      <c r="G91" s="1613" t="s">
        <v>200</v>
      </c>
      <c r="H91" s="652"/>
      <c r="I91" s="1616"/>
      <c r="J91" s="1617"/>
    </row>
    <row r="92" spans="2:10" ht="17.25" hidden="1">
      <c r="B92" s="1604" t="s">
        <v>683</v>
      </c>
      <c r="C92" s="1612" t="s">
        <v>198</v>
      </c>
      <c r="D92" s="1612" t="s">
        <v>1671</v>
      </c>
      <c r="E92" s="1612" t="s">
        <v>1672</v>
      </c>
      <c r="F92" s="1612" t="s">
        <v>1672</v>
      </c>
      <c r="G92" s="1613" t="s">
        <v>200</v>
      </c>
      <c r="H92" s="652"/>
      <c r="I92" s="1616"/>
      <c r="J92" s="1617"/>
    </row>
    <row r="93" spans="2:10" ht="17.25" hidden="1">
      <c r="B93" s="1600" t="s">
        <v>684</v>
      </c>
      <c r="C93" s="1612" t="s">
        <v>198</v>
      </c>
      <c r="D93" s="1612" t="s">
        <v>1672</v>
      </c>
      <c r="E93" s="1612" t="s">
        <v>685</v>
      </c>
      <c r="F93" s="1612" t="s">
        <v>686</v>
      </c>
      <c r="G93" s="1613" t="s">
        <v>1684</v>
      </c>
      <c r="H93" s="652"/>
      <c r="I93" s="1616" t="s">
        <v>1673</v>
      </c>
      <c r="J93" s="1617"/>
    </row>
    <row r="94" spans="2:10" ht="17.25" hidden="1">
      <c r="B94" s="1600" t="s">
        <v>687</v>
      </c>
      <c r="C94" s="1612" t="s">
        <v>198</v>
      </c>
      <c r="D94" s="1612" t="s">
        <v>1164</v>
      </c>
      <c r="E94" s="1612" t="s">
        <v>688</v>
      </c>
      <c r="F94" s="1612" t="s">
        <v>689</v>
      </c>
      <c r="G94" s="1613" t="s">
        <v>200</v>
      </c>
      <c r="H94" s="652"/>
      <c r="I94" s="1616"/>
      <c r="J94" s="1617"/>
    </row>
    <row r="95" spans="2:10" ht="17.25" hidden="1">
      <c r="B95" s="1600" t="s">
        <v>690</v>
      </c>
      <c r="C95" s="1612" t="s">
        <v>344</v>
      </c>
      <c r="D95" s="1612" t="s">
        <v>1672</v>
      </c>
      <c r="E95" s="1612" t="s">
        <v>1674</v>
      </c>
      <c r="F95" s="1612" t="s">
        <v>681</v>
      </c>
      <c r="G95" s="1613" t="s">
        <v>200</v>
      </c>
      <c r="H95" s="652"/>
      <c r="I95" s="1616"/>
      <c r="J95" s="683"/>
    </row>
    <row r="96" spans="2:10" ht="17.25" hidden="1">
      <c r="B96" s="1600" t="s">
        <v>691</v>
      </c>
      <c r="C96" s="1612" t="s">
        <v>344</v>
      </c>
      <c r="D96" s="1612" t="s">
        <v>1648</v>
      </c>
      <c r="E96" s="1612" t="s">
        <v>685</v>
      </c>
      <c r="F96" s="1612" t="s">
        <v>686</v>
      </c>
      <c r="G96" s="1613" t="s">
        <v>200</v>
      </c>
      <c r="H96" s="652"/>
      <c r="I96" s="1616"/>
      <c r="J96" s="683"/>
    </row>
    <row r="97" spans="2:11" ht="17.25" hidden="1">
      <c r="B97" s="1600" t="s">
        <v>692</v>
      </c>
      <c r="C97" s="1612" t="s">
        <v>344</v>
      </c>
      <c r="D97" s="1612" t="s">
        <v>1164</v>
      </c>
      <c r="E97" s="1612" t="s">
        <v>688</v>
      </c>
      <c r="F97" s="1612" t="s">
        <v>689</v>
      </c>
      <c r="G97" s="1613" t="s">
        <v>200</v>
      </c>
      <c r="H97" s="652"/>
      <c r="I97" s="1616"/>
      <c r="J97" s="683"/>
    </row>
    <row r="98" spans="2:11" ht="17.25" hidden="1">
      <c r="B98" s="1600" t="s">
        <v>693</v>
      </c>
      <c r="C98" s="1612" t="s">
        <v>694</v>
      </c>
      <c r="D98" s="1612" t="s">
        <v>695</v>
      </c>
      <c r="E98" s="1612" t="s">
        <v>685</v>
      </c>
      <c r="F98" s="1612" t="s">
        <v>696</v>
      </c>
      <c r="G98" s="1613" t="s">
        <v>200</v>
      </c>
      <c r="H98" s="652"/>
      <c r="I98" s="1616"/>
      <c r="J98" s="1617"/>
    </row>
    <row r="99" spans="2:11" ht="17.25" hidden="1">
      <c r="B99" s="1600" t="s">
        <v>697</v>
      </c>
      <c r="C99" s="1612" t="s">
        <v>345</v>
      </c>
      <c r="D99" s="1612" t="s">
        <v>685</v>
      </c>
      <c r="E99" s="1612"/>
      <c r="F99" s="1612" t="s">
        <v>698</v>
      </c>
      <c r="G99" s="1613" t="s">
        <v>200</v>
      </c>
      <c r="H99" s="652"/>
      <c r="I99" s="1616"/>
      <c r="J99" s="683"/>
    </row>
    <row r="100" spans="2:11" ht="17.25" hidden="1">
      <c r="B100" s="1600" t="s">
        <v>699</v>
      </c>
      <c r="C100" s="1612" t="s">
        <v>341</v>
      </c>
      <c r="D100" s="1612" t="s">
        <v>700</v>
      </c>
      <c r="E100" s="1612" t="s">
        <v>701</v>
      </c>
      <c r="F100" s="1612" t="s">
        <v>702</v>
      </c>
      <c r="G100" s="1613" t="s">
        <v>200</v>
      </c>
      <c r="H100" s="652"/>
      <c r="I100" s="1616"/>
      <c r="J100" s="1617"/>
      <c r="K100" s="194"/>
    </row>
    <row r="101" spans="2:11" s="22" customFormat="1" ht="17.25" hidden="1">
      <c r="B101" s="1600" t="s">
        <v>703</v>
      </c>
      <c r="C101" s="1612" t="s">
        <v>1372</v>
      </c>
      <c r="D101" s="1612" t="s">
        <v>460</v>
      </c>
      <c r="E101" s="1612" t="s">
        <v>456</v>
      </c>
      <c r="F101" s="1612" t="s">
        <v>704</v>
      </c>
      <c r="G101" s="1613" t="s">
        <v>343</v>
      </c>
      <c r="H101" s="652"/>
      <c r="I101" s="1616" t="s">
        <v>1749</v>
      </c>
      <c r="J101" s="1617"/>
      <c r="K101" s="194"/>
    </row>
    <row r="102" spans="2:11" s="194" customFormat="1" ht="17.25" hidden="1">
      <c r="B102" s="1604"/>
      <c r="C102" s="1612" t="s">
        <v>347</v>
      </c>
      <c r="D102" s="1612" t="s">
        <v>1676</v>
      </c>
      <c r="E102" s="1612"/>
      <c r="F102" s="1612" t="s">
        <v>427</v>
      </c>
      <c r="G102" s="1613" t="s">
        <v>200</v>
      </c>
      <c r="H102" s="652"/>
      <c r="I102" s="1616"/>
      <c r="J102" s="683"/>
    </row>
    <row r="103" spans="2:11" s="194" customFormat="1" ht="17.25" hidden="1">
      <c r="B103" s="1604"/>
      <c r="C103" s="1612" t="s">
        <v>374</v>
      </c>
      <c r="D103" s="1612" t="s">
        <v>1676</v>
      </c>
      <c r="E103" s="1612"/>
      <c r="F103" s="1612" t="s">
        <v>427</v>
      </c>
      <c r="G103" s="1613" t="s">
        <v>200</v>
      </c>
      <c r="H103" s="652"/>
      <c r="I103" s="1616"/>
      <c r="J103" s="683"/>
    </row>
    <row r="104" spans="2:11" s="194" customFormat="1" ht="17.25" hidden="1">
      <c r="B104" s="1604"/>
      <c r="C104" s="1612" t="s">
        <v>737</v>
      </c>
      <c r="D104" s="1612" t="s">
        <v>1676</v>
      </c>
      <c r="E104" s="1612"/>
      <c r="F104" s="1612" t="s">
        <v>428</v>
      </c>
      <c r="G104" s="1613" t="s">
        <v>200</v>
      </c>
      <c r="H104" s="652"/>
      <c r="I104" s="1616" t="s">
        <v>1690</v>
      </c>
      <c r="J104" s="683"/>
      <c r="K104"/>
    </row>
    <row r="105" spans="2:11" s="194" customFormat="1" ht="17.25" hidden="1">
      <c r="B105" s="1604"/>
      <c r="C105" s="1612" t="s">
        <v>345</v>
      </c>
      <c r="D105" s="1612" t="s">
        <v>1676</v>
      </c>
      <c r="E105" s="1612"/>
      <c r="F105" s="1612" t="s">
        <v>740</v>
      </c>
      <c r="G105" s="1613" t="s">
        <v>200</v>
      </c>
      <c r="H105" s="652"/>
      <c r="I105" s="1616"/>
      <c r="J105" s="683"/>
    </row>
    <row r="106" spans="2:11" ht="18" hidden="1" thickBot="1">
      <c r="B106" s="203"/>
      <c r="C106" s="199"/>
      <c r="D106" s="199"/>
      <c r="E106" s="199"/>
      <c r="F106" s="199"/>
      <c r="G106" s="206"/>
      <c r="H106" s="830"/>
      <c r="I106" s="1590"/>
      <c r="J106" s="258"/>
    </row>
    <row r="107" spans="2:11" ht="17.25">
      <c r="B107" s="259"/>
      <c r="C107" s="210"/>
      <c r="D107" s="210"/>
      <c r="E107" s="210"/>
      <c r="F107" s="210"/>
      <c r="G107" s="211"/>
      <c r="H107" s="34"/>
      <c r="I107" s="1592"/>
      <c r="J107" s="237"/>
    </row>
  </sheetData>
  <mergeCells count="14">
    <mergeCell ref="I67:J67"/>
    <mergeCell ref="I90:J90"/>
    <mergeCell ref="B44:B45"/>
    <mergeCell ref="C44:C45"/>
    <mergeCell ref="B47:B48"/>
    <mergeCell ref="C47:C48"/>
    <mergeCell ref="B49:B50"/>
    <mergeCell ref="C49:C50"/>
    <mergeCell ref="B2:I2"/>
    <mergeCell ref="I37:J37"/>
    <mergeCell ref="B40:B41"/>
    <mergeCell ref="C40:C41"/>
    <mergeCell ref="B42:B43"/>
    <mergeCell ref="C42:C43"/>
  </mergeCells>
  <phoneticPr fontId="60" type="noConversion"/>
  <printOptions horizontalCentered="1"/>
  <pageMargins left="0.23622047244094491" right="0.23622047244094491" top="0.70866141732283472" bottom="0.43307086614173229" header="0.31496062992125984" footer="0.31496062992125984"/>
  <pageSetup paperSize="9" scale="74" orientation="portrait" horizontalDpi="4294967292" r:id="rId1"/>
  <rowBreaks count="1" manualBreakCount="1">
    <brk id="64" max="9" man="1"/>
  </row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B6FF7-D3B8-4C63-BE21-D959B72503FA}">
  <sheetPr>
    <pageSetUpPr fitToPage="1"/>
  </sheetPr>
  <dimension ref="A1:S27"/>
  <sheetViews>
    <sheetView view="pageBreakPreview" zoomScaleNormal="100" zoomScaleSheetLayoutView="100" workbookViewId="0">
      <selection activeCell="M17" sqref="M17"/>
    </sheetView>
  </sheetViews>
  <sheetFormatPr defaultRowHeight="16.5"/>
  <cols>
    <col min="1" max="1" width="6.375" customWidth="1"/>
    <col min="2" max="2" width="21.5" customWidth="1"/>
    <col min="3" max="3" width="15.25" customWidth="1"/>
    <col min="4" max="4" width="11.5" customWidth="1"/>
    <col min="5" max="5" width="14.25" customWidth="1"/>
    <col min="6" max="6" width="6.5" customWidth="1"/>
    <col min="7" max="7" width="6.75" customWidth="1"/>
    <col min="8" max="8" width="7" customWidth="1"/>
    <col min="9" max="9" width="8.25" customWidth="1"/>
  </cols>
  <sheetData>
    <row r="1" spans="1:19" ht="33.75">
      <c r="A1" s="356" t="s">
        <v>1470</v>
      </c>
      <c r="B1" s="349"/>
      <c r="C1" s="349"/>
      <c r="D1" s="349"/>
      <c r="E1" s="349"/>
      <c r="F1" s="349"/>
      <c r="G1" s="349"/>
      <c r="H1" s="349"/>
      <c r="I1" s="349"/>
    </row>
    <row r="2" spans="1:19" ht="24.95" customHeight="1">
      <c r="A2" s="167" t="s">
        <v>2007</v>
      </c>
      <c r="F2" s="348"/>
      <c r="K2" t="s">
        <v>816</v>
      </c>
    </row>
    <row r="3" spans="1:19" ht="24.95" customHeight="1">
      <c r="A3" s="431" t="s">
        <v>817</v>
      </c>
      <c r="B3" s="432" t="s">
        <v>818</v>
      </c>
      <c r="C3" s="432" t="s">
        <v>819</v>
      </c>
      <c r="D3" s="432" t="s">
        <v>820</v>
      </c>
      <c r="E3" s="432" t="s">
        <v>821</v>
      </c>
      <c r="F3" s="432" t="s">
        <v>822</v>
      </c>
      <c r="G3" s="432" t="s">
        <v>823</v>
      </c>
      <c r="H3" s="432" t="s">
        <v>824</v>
      </c>
      <c r="I3" s="433" t="s">
        <v>825</v>
      </c>
      <c r="K3" s="352" t="s">
        <v>824</v>
      </c>
      <c r="L3" s="352" t="s">
        <v>1685</v>
      </c>
      <c r="M3" s="352"/>
      <c r="N3" s="352"/>
      <c r="O3" s="352"/>
      <c r="P3" s="352"/>
      <c r="Q3" s="352"/>
      <c r="R3" s="352"/>
      <c r="S3" s="352"/>
    </row>
    <row r="4" spans="1:19" ht="24.95" customHeight="1">
      <c r="A4" s="2142" t="s">
        <v>1536</v>
      </c>
      <c r="B4" s="409" t="s">
        <v>341</v>
      </c>
      <c r="C4" s="409" t="s">
        <v>827</v>
      </c>
      <c r="D4" s="409" t="s">
        <v>342</v>
      </c>
      <c r="E4" s="409" t="s">
        <v>1011</v>
      </c>
      <c r="F4" s="410" t="s">
        <v>814</v>
      </c>
      <c r="G4" s="411">
        <v>1</v>
      </c>
      <c r="H4" s="411">
        <f t="shared" ref="H4:H27" si="0">INT(G4*K4)</f>
        <v>10</v>
      </c>
      <c r="I4" s="372"/>
      <c r="J4" s="350" t="s">
        <v>1539</v>
      </c>
      <c r="K4" s="351">
        <f>SUM(L4:S4)</f>
        <v>10</v>
      </c>
      <c r="L4" s="683">
        <f>1+1+6+1+1</f>
        <v>10</v>
      </c>
      <c r="M4" s="652"/>
      <c r="N4" s="652"/>
      <c r="O4" s="652"/>
      <c r="P4" s="652"/>
      <c r="Q4" s="652"/>
      <c r="R4" s="652"/>
      <c r="S4" s="351"/>
    </row>
    <row r="5" spans="1:19" ht="24.95" customHeight="1">
      <c r="A5" s="2143"/>
      <c r="B5" s="409" t="s">
        <v>341</v>
      </c>
      <c r="C5" s="409" t="s">
        <v>828</v>
      </c>
      <c r="D5" s="409" t="s">
        <v>342</v>
      </c>
      <c r="E5" s="409" t="s">
        <v>1010</v>
      </c>
      <c r="F5" s="410" t="s">
        <v>814</v>
      </c>
      <c r="G5" s="411">
        <v>1</v>
      </c>
      <c r="H5" s="411">
        <f t="shared" si="0"/>
        <v>10</v>
      </c>
      <c r="I5" s="372"/>
      <c r="J5" s="350" t="s">
        <v>1539</v>
      </c>
      <c r="K5" s="351">
        <f t="shared" ref="K5:K27" si="1">SUM(L5:S5)</f>
        <v>10</v>
      </c>
      <c r="L5" s="683">
        <f>L4</f>
        <v>10</v>
      </c>
      <c r="M5" s="652"/>
      <c r="N5" s="652"/>
      <c r="O5" s="652"/>
      <c r="P5" s="652"/>
      <c r="Q5" s="652"/>
      <c r="R5" s="652"/>
      <c r="S5" s="351"/>
    </row>
    <row r="6" spans="1:19" ht="24.95" customHeight="1">
      <c r="A6" s="2143"/>
      <c r="B6" s="409" t="s">
        <v>341</v>
      </c>
      <c r="C6" s="409" t="s">
        <v>1033</v>
      </c>
      <c r="D6" s="409" t="s">
        <v>342</v>
      </c>
      <c r="E6" s="409" t="s">
        <v>1034</v>
      </c>
      <c r="F6" s="410" t="s">
        <v>814</v>
      </c>
      <c r="G6" s="411">
        <v>1</v>
      </c>
      <c r="H6" s="411">
        <f t="shared" si="0"/>
        <v>10</v>
      </c>
      <c r="I6" s="372"/>
      <c r="J6" s="350" t="s">
        <v>1539</v>
      </c>
      <c r="K6" s="351">
        <f t="shared" si="1"/>
        <v>10</v>
      </c>
      <c r="L6" s="683">
        <f>L4</f>
        <v>10</v>
      </c>
      <c r="M6" s="652"/>
      <c r="N6" s="652"/>
      <c r="O6" s="652"/>
      <c r="P6" s="652"/>
      <c r="Q6" s="652"/>
      <c r="R6" s="652"/>
      <c r="S6" s="351"/>
    </row>
    <row r="7" spans="1:19" s="22" customFormat="1" ht="24.95" customHeight="1">
      <c r="A7" s="2143"/>
      <c r="B7" s="457" t="s">
        <v>1372</v>
      </c>
      <c r="C7" s="457" t="s">
        <v>1035</v>
      </c>
      <c r="D7" s="457" t="s">
        <v>829</v>
      </c>
      <c r="E7" s="457" t="s">
        <v>426</v>
      </c>
      <c r="F7" s="394" t="s">
        <v>814</v>
      </c>
      <c r="G7" s="393">
        <v>1</v>
      </c>
      <c r="H7" s="393">
        <f t="shared" si="0"/>
        <v>3</v>
      </c>
      <c r="I7" s="682"/>
      <c r="J7" s="34" t="s">
        <v>1539</v>
      </c>
      <c r="K7" s="587">
        <f t="shared" si="1"/>
        <v>3</v>
      </c>
      <c r="L7" s="683">
        <v>3</v>
      </c>
      <c r="M7" s="683"/>
      <c r="N7" s="683"/>
      <c r="O7" s="683"/>
      <c r="P7" s="683"/>
      <c r="Q7" s="683"/>
      <c r="R7" s="683"/>
      <c r="S7" s="587"/>
    </row>
    <row r="8" spans="1:19" s="194" customFormat="1" ht="24.95" customHeight="1">
      <c r="A8" s="2143"/>
      <c r="B8" s="409" t="s">
        <v>830</v>
      </c>
      <c r="C8" s="409" t="s">
        <v>831</v>
      </c>
      <c r="D8" s="409" t="s">
        <v>429</v>
      </c>
      <c r="E8" s="409" t="s">
        <v>430</v>
      </c>
      <c r="F8" s="410" t="s">
        <v>814</v>
      </c>
      <c r="G8" s="411">
        <v>4</v>
      </c>
      <c r="H8" s="411">
        <f t="shared" si="0"/>
        <v>12</v>
      </c>
      <c r="I8" s="372" t="s">
        <v>1681</v>
      </c>
      <c r="J8" s="350"/>
      <c r="K8" s="351">
        <f t="shared" si="1"/>
        <v>3</v>
      </c>
      <c r="L8" s="652">
        <f>1+1+1</f>
        <v>3</v>
      </c>
      <c r="M8" s="652"/>
      <c r="N8" s="652"/>
      <c r="O8" s="652"/>
      <c r="P8" s="652"/>
      <c r="Q8" s="652"/>
      <c r="R8" s="652"/>
      <c r="S8" s="351"/>
    </row>
    <row r="9" spans="1:19" s="194" customFormat="1" ht="24.95" customHeight="1">
      <c r="A9" s="2143"/>
      <c r="B9" s="409" t="s">
        <v>833</v>
      </c>
      <c r="C9" s="409" t="s">
        <v>831</v>
      </c>
      <c r="D9" s="409" t="s">
        <v>429</v>
      </c>
      <c r="E9" s="409" t="s">
        <v>834</v>
      </c>
      <c r="F9" s="410" t="s">
        <v>814</v>
      </c>
      <c r="G9" s="411">
        <v>2</v>
      </c>
      <c r="H9" s="411">
        <f t="shared" si="0"/>
        <v>6</v>
      </c>
      <c r="I9" s="372"/>
      <c r="J9" s="350"/>
      <c r="K9" s="351">
        <f t="shared" si="1"/>
        <v>3</v>
      </c>
      <c r="L9" s="652">
        <f>1+1+1</f>
        <v>3</v>
      </c>
      <c r="M9" s="652"/>
      <c r="N9" s="652"/>
      <c r="O9" s="652"/>
      <c r="P9" s="652"/>
      <c r="Q9" s="652"/>
      <c r="R9" s="652"/>
      <c r="S9" s="351"/>
    </row>
    <row r="10" spans="1:19" s="194" customFormat="1" ht="24.95" customHeight="1">
      <c r="A10" s="2143"/>
      <c r="B10" s="409" t="s">
        <v>835</v>
      </c>
      <c r="C10" s="409" t="s">
        <v>1237</v>
      </c>
      <c r="D10" s="409" t="s">
        <v>1175</v>
      </c>
      <c r="E10" s="409" t="s">
        <v>1176</v>
      </c>
      <c r="F10" s="410" t="s">
        <v>814</v>
      </c>
      <c r="G10" s="411">
        <v>1</v>
      </c>
      <c r="H10" s="411">
        <f t="shared" si="0"/>
        <v>3</v>
      </c>
      <c r="I10" s="372"/>
      <c r="J10" s="350"/>
      <c r="K10" s="351">
        <f t="shared" si="1"/>
        <v>3</v>
      </c>
      <c r="L10" s="652">
        <f>1+1+1</f>
        <v>3</v>
      </c>
      <c r="M10" s="652"/>
      <c r="N10" s="652"/>
      <c r="O10" s="652"/>
      <c r="P10" s="652"/>
      <c r="Q10" s="652"/>
      <c r="R10" s="652"/>
      <c r="S10" s="351"/>
    </row>
    <row r="11" spans="1:19" s="22" customFormat="1" ht="24.95" customHeight="1">
      <c r="A11" s="2143"/>
      <c r="B11" s="457" t="s">
        <v>1018</v>
      </c>
      <c r="C11" s="457" t="s">
        <v>1237</v>
      </c>
      <c r="D11" s="457" t="s">
        <v>1175</v>
      </c>
      <c r="E11" s="457" t="s">
        <v>838</v>
      </c>
      <c r="F11" s="394" t="s">
        <v>814</v>
      </c>
      <c r="G11" s="393">
        <v>1</v>
      </c>
      <c r="H11" s="393">
        <f t="shared" si="0"/>
        <v>3</v>
      </c>
      <c r="I11" s="682"/>
      <c r="J11" s="34"/>
      <c r="K11" s="587">
        <f t="shared" si="1"/>
        <v>3</v>
      </c>
      <c r="L11" s="683">
        <f>L10</f>
        <v>3</v>
      </c>
      <c r="M11" s="683"/>
      <c r="N11" s="683"/>
      <c r="O11" s="683"/>
      <c r="P11" s="683"/>
      <c r="Q11" s="683"/>
      <c r="R11" s="683"/>
      <c r="S11" s="587"/>
    </row>
    <row r="12" spans="1:19" s="22" customFormat="1" ht="24.95" customHeight="1">
      <c r="A12" s="2143"/>
      <c r="B12" s="457" t="s">
        <v>835</v>
      </c>
      <c r="C12" s="457" t="s">
        <v>839</v>
      </c>
      <c r="D12" s="457" t="s">
        <v>459</v>
      </c>
      <c r="E12" s="457" t="s">
        <v>840</v>
      </c>
      <c r="F12" s="394" t="s">
        <v>814</v>
      </c>
      <c r="G12" s="393">
        <v>1</v>
      </c>
      <c r="H12" s="393">
        <f t="shared" si="0"/>
        <v>3</v>
      </c>
      <c r="I12" s="682"/>
      <c r="J12" s="34"/>
      <c r="K12" s="587">
        <f t="shared" si="1"/>
        <v>3</v>
      </c>
      <c r="L12" s="683">
        <f>1+1+1</f>
        <v>3</v>
      </c>
      <c r="M12" s="683"/>
      <c r="N12" s="683"/>
      <c r="O12" s="683"/>
      <c r="P12" s="683"/>
      <c r="Q12" s="683"/>
      <c r="R12" s="652"/>
      <c r="S12" s="587"/>
    </row>
    <row r="13" spans="1:19" s="22" customFormat="1" ht="24.95" customHeight="1">
      <c r="A13" s="2143"/>
      <c r="B13" s="457" t="s">
        <v>1018</v>
      </c>
      <c r="C13" s="457" t="s">
        <v>839</v>
      </c>
      <c r="D13" s="457" t="s">
        <v>459</v>
      </c>
      <c r="E13" s="457" t="s">
        <v>838</v>
      </c>
      <c r="F13" s="394" t="s">
        <v>814</v>
      </c>
      <c r="G13" s="393">
        <v>1</v>
      </c>
      <c r="H13" s="393">
        <f t="shared" si="0"/>
        <v>3</v>
      </c>
      <c r="I13" s="682"/>
      <c r="J13" s="34"/>
      <c r="K13" s="587">
        <f t="shared" si="1"/>
        <v>3</v>
      </c>
      <c r="L13" s="683">
        <f>1+1+1</f>
        <v>3</v>
      </c>
      <c r="M13" s="683"/>
      <c r="N13" s="683"/>
      <c r="O13" s="683"/>
      <c r="P13" s="683"/>
      <c r="Q13" s="683"/>
      <c r="R13" s="683"/>
      <c r="S13" s="587"/>
    </row>
    <row r="14" spans="1:19" s="22" customFormat="1" ht="24.95" customHeight="1">
      <c r="A14" s="2144"/>
      <c r="B14" s="457" t="s">
        <v>842</v>
      </c>
      <c r="C14" s="457" t="s">
        <v>1014</v>
      </c>
      <c r="D14" s="457" t="s">
        <v>1013</v>
      </c>
      <c r="E14" s="457" t="s">
        <v>1015</v>
      </c>
      <c r="F14" s="394" t="s">
        <v>814</v>
      </c>
      <c r="G14" s="393">
        <v>1</v>
      </c>
      <c r="H14" s="393">
        <f t="shared" si="0"/>
        <v>0</v>
      </c>
      <c r="I14" s="682" t="s">
        <v>1236</v>
      </c>
      <c r="J14" s="34" t="s">
        <v>1538</v>
      </c>
      <c r="K14" s="587">
        <f t="shared" si="1"/>
        <v>0</v>
      </c>
      <c r="L14" s="683"/>
      <c r="M14" s="683"/>
      <c r="N14" s="683"/>
      <c r="O14" s="683"/>
      <c r="P14" s="683"/>
      <c r="Q14" s="683"/>
      <c r="R14" s="652"/>
      <c r="S14" s="587"/>
    </row>
    <row r="15" spans="1:19" s="194" customFormat="1" ht="24.95" customHeight="1">
      <c r="A15" s="2142" t="s">
        <v>1537</v>
      </c>
      <c r="B15" s="409" t="s">
        <v>341</v>
      </c>
      <c r="C15" s="409" t="s">
        <v>827</v>
      </c>
      <c r="D15" s="409" t="s">
        <v>342</v>
      </c>
      <c r="E15" s="409" t="s">
        <v>1031</v>
      </c>
      <c r="F15" s="410" t="s">
        <v>814</v>
      </c>
      <c r="G15" s="411">
        <v>1</v>
      </c>
      <c r="H15" s="411">
        <f t="shared" si="0"/>
        <v>11</v>
      </c>
      <c r="I15" s="372"/>
      <c r="J15" s="350" t="s">
        <v>1539</v>
      </c>
      <c r="K15" s="351">
        <f t="shared" si="1"/>
        <v>11</v>
      </c>
      <c r="L15" s="652">
        <f>1+1+7+1+1</f>
        <v>11</v>
      </c>
      <c r="M15" s="652"/>
      <c r="N15" s="652"/>
      <c r="O15" s="652"/>
      <c r="P15" s="652"/>
      <c r="Q15" s="652"/>
      <c r="R15" s="652"/>
      <c r="S15" s="351"/>
    </row>
    <row r="16" spans="1:19" s="194" customFormat="1" ht="24.95" customHeight="1">
      <c r="A16" s="2145"/>
      <c r="B16" s="409" t="s">
        <v>341</v>
      </c>
      <c r="C16" s="409" t="s">
        <v>828</v>
      </c>
      <c r="D16" s="409" t="s">
        <v>342</v>
      </c>
      <c r="E16" s="409" t="s">
        <v>1032</v>
      </c>
      <c r="F16" s="410" t="s">
        <v>814</v>
      </c>
      <c r="G16" s="411">
        <v>1</v>
      </c>
      <c r="H16" s="411">
        <f t="shared" si="0"/>
        <v>11</v>
      </c>
      <c r="I16" s="372"/>
      <c r="J16" s="350" t="s">
        <v>1539</v>
      </c>
      <c r="K16" s="351">
        <f t="shared" si="1"/>
        <v>11</v>
      </c>
      <c r="L16" s="652">
        <f>L15</f>
        <v>11</v>
      </c>
      <c r="M16" s="652"/>
      <c r="N16" s="652"/>
      <c r="O16" s="652"/>
      <c r="P16" s="652"/>
      <c r="Q16" s="652"/>
      <c r="R16" s="652"/>
      <c r="S16" s="351"/>
    </row>
    <row r="17" spans="1:19" s="194" customFormat="1" ht="24.95" customHeight="1">
      <c r="A17" s="2145"/>
      <c r="B17" s="409" t="s">
        <v>341</v>
      </c>
      <c r="C17" s="409" t="s">
        <v>846</v>
      </c>
      <c r="D17" s="409" t="s">
        <v>342</v>
      </c>
      <c r="E17" s="409" t="s">
        <v>1034</v>
      </c>
      <c r="F17" s="410" t="s">
        <v>814</v>
      </c>
      <c r="G17" s="411">
        <v>1</v>
      </c>
      <c r="H17" s="411">
        <f t="shared" si="0"/>
        <v>11</v>
      </c>
      <c r="I17" s="372"/>
      <c r="J17" s="350" t="s">
        <v>1539</v>
      </c>
      <c r="K17" s="351">
        <f t="shared" si="1"/>
        <v>11</v>
      </c>
      <c r="L17" s="652">
        <f>L15</f>
        <v>11</v>
      </c>
      <c r="M17" s="652"/>
      <c r="N17" s="652"/>
      <c r="O17" s="652"/>
      <c r="P17" s="652"/>
      <c r="Q17" s="652"/>
      <c r="R17" s="652"/>
      <c r="S17" s="351"/>
    </row>
    <row r="18" spans="1:19" s="194" customFormat="1" ht="24.95" customHeight="1">
      <c r="A18" s="2145"/>
      <c r="B18" s="409" t="s">
        <v>1372</v>
      </c>
      <c r="C18" s="409" t="s">
        <v>1035</v>
      </c>
      <c r="D18" s="409" t="s">
        <v>829</v>
      </c>
      <c r="E18" s="409" t="s">
        <v>426</v>
      </c>
      <c r="F18" s="410" t="s">
        <v>814</v>
      </c>
      <c r="G18" s="411">
        <v>1</v>
      </c>
      <c r="H18" s="411">
        <f t="shared" si="0"/>
        <v>0</v>
      </c>
      <c r="I18" s="372"/>
      <c r="J18" s="350" t="s">
        <v>1539</v>
      </c>
      <c r="K18" s="351">
        <f t="shared" si="1"/>
        <v>0</v>
      </c>
      <c r="L18" s="652"/>
      <c r="M18" s="652"/>
      <c r="N18" s="652"/>
      <c r="O18" s="652"/>
      <c r="P18" s="652"/>
      <c r="Q18" s="652"/>
      <c r="R18" s="652"/>
      <c r="S18" s="351"/>
    </row>
    <row r="19" spans="1:19" s="194" customFormat="1" ht="24.95" customHeight="1">
      <c r="A19" s="2145"/>
      <c r="B19" s="409" t="s">
        <v>830</v>
      </c>
      <c r="C19" s="409" t="s">
        <v>831</v>
      </c>
      <c r="D19" s="409" t="s">
        <v>429</v>
      </c>
      <c r="E19" s="409" t="s">
        <v>430</v>
      </c>
      <c r="F19" s="410" t="s">
        <v>814</v>
      </c>
      <c r="G19" s="411">
        <v>2</v>
      </c>
      <c r="H19" s="411">
        <f t="shared" si="0"/>
        <v>6</v>
      </c>
      <c r="I19" s="372" t="s">
        <v>1296</v>
      </c>
      <c r="J19" s="350" t="s">
        <v>1539</v>
      </c>
      <c r="K19" s="351">
        <f t="shared" si="1"/>
        <v>3</v>
      </c>
      <c r="L19" s="351">
        <f t="shared" ref="L19:L24" si="2">1+1+1</f>
        <v>3</v>
      </c>
      <c r="M19" s="351"/>
      <c r="N19" s="351"/>
      <c r="O19" s="351"/>
      <c r="P19" s="351"/>
      <c r="Q19" s="351"/>
      <c r="R19" s="652"/>
      <c r="S19" s="351"/>
    </row>
    <row r="20" spans="1:19" s="194" customFormat="1" ht="24.95" customHeight="1">
      <c r="A20" s="2145"/>
      <c r="B20" s="409" t="s">
        <v>833</v>
      </c>
      <c r="C20" s="409" t="s">
        <v>831</v>
      </c>
      <c r="D20" s="409" t="s">
        <v>429</v>
      </c>
      <c r="E20" s="409" t="s">
        <v>834</v>
      </c>
      <c r="F20" s="410" t="s">
        <v>814</v>
      </c>
      <c r="G20" s="411">
        <v>2</v>
      </c>
      <c r="H20" s="411">
        <f t="shared" si="0"/>
        <v>6</v>
      </c>
      <c r="I20" s="372"/>
      <c r="J20" s="350" t="s">
        <v>1539</v>
      </c>
      <c r="K20" s="351">
        <f t="shared" si="1"/>
        <v>3</v>
      </c>
      <c r="L20" s="351">
        <f t="shared" si="2"/>
        <v>3</v>
      </c>
      <c r="M20" s="351"/>
      <c r="N20" s="351"/>
      <c r="O20" s="351"/>
      <c r="P20" s="351"/>
      <c r="Q20" s="351"/>
      <c r="R20" s="351"/>
      <c r="S20" s="351"/>
    </row>
    <row r="21" spans="1:19" s="194" customFormat="1" ht="24.95" customHeight="1">
      <c r="A21" s="2145"/>
      <c r="B21" s="409" t="s">
        <v>835</v>
      </c>
      <c r="C21" s="409" t="s">
        <v>1017</v>
      </c>
      <c r="D21" s="409" t="s">
        <v>836</v>
      </c>
      <c r="E21" s="409" t="s">
        <v>837</v>
      </c>
      <c r="F21" s="410" t="s">
        <v>814</v>
      </c>
      <c r="G21" s="411">
        <v>2</v>
      </c>
      <c r="H21" s="411">
        <f t="shared" si="0"/>
        <v>6</v>
      </c>
      <c r="I21" s="372"/>
      <c r="J21" s="350" t="s">
        <v>1539</v>
      </c>
      <c r="K21" s="351">
        <f t="shared" si="1"/>
        <v>3</v>
      </c>
      <c r="L21" s="351">
        <f t="shared" si="2"/>
        <v>3</v>
      </c>
      <c r="M21" s="351"/>
      <c r="N21" s="351"/>
      <c r="O21" s="351"/>
      <c r="P21" s="351"/>
      <c r="Q21" s="351"/>
      <c r="R21" s="652"/>
      <c r="S21" s="351"/>
    </row>
    <row r="22" spans="1:19" s="194" customFormat="1" ht="24.95" customHeight="1">
      <c r="A22" s="2145"/>
      <c r="B22" s="409" t="s">
        <v>719</v>
      </c>
      <c r="C22" s="409" t="s">
        <v>1017</v>
      </c>
      <c r="D22" s="409" t="s">
        <v>836</v>
      </c>
      <c r="E22" s="409" t="s">
        <v>838</v>
      </c>
      <c r="F22" s="410" t="s">
        <v>814</v>
      </c>
      <c r="G22" s="411">
        <v>2</v>
      </c>
      <c r="H22" s="411">
        <f t="shared" si="0"/>
        <v>6</v>
      </c>
      <c r="I22" s="372"/>
      <c r="J22" s="350" t="s">
        <v>1539</v>
      </c>
      <c r="K22" s="351">
        <f t="shared" si="1"/>
        <v>3</v>
      </c>
      <c r="L22" s="351">
        <f t="shared" si="2"/>
        <v>3</v>
      </c>
      <c r="M22" s="351"/>
      <c r="N22" s="351"/>
      <c r="O22" s="351"/>
      <c r="P22" s="351"/>
      <c r="Q22" s="351"/>
      <c r="R22" s="351"/>
      <c r="S22" s="351"/>
    </row>
    <row r="23" spans="1:19" s="194" customFormat="1" ht="24.95" customHeight="1">
      <c r="A23" s="2145"/>
      <c r="B23" s="409" t="s">
        <v>835</v>
      </c>
      <c r="C23" s="409" t="s">
        <v>839</v>
      </c>
      <c r="D23" s="409" t="s">
        <v>459</v>
      </c>
      <c r="E23" s="409" t="s">
        <v>840</v>
      </c>
      <c r="F23" s="410" t="s">
        <v>814</v>
      </c>
      <c r="G23" s="411">
        <v>1</v>
      </c>
      <c r="H23" s="411">
        <f t="shared" si="0"/>
        <v>3</v>
      </c>
      <c r="I23" s="372"/>
      <c r="J23" s="350" t="s">
        <v>1539</v>
      </c>
      <c r="K23" s="351">
        <f t="shared" si="1"/>
        <v>3</v>
      </c>
      <c r="L23" s="351">
        <f t="shared" si="2"/>
        <v>3</v>
      </c>
      <c r="M23" s="351"/>
      <c r="N23" s="351"/>
      <c r="O23" s="351"/>
      <c r="P23" s="351"/>
      <c r="Q23" s="351"/>
      <c r="R23" s="351"/>
      <c r="S23" s="351"/>
    </row>
    <row r="24" spans="1:19" s="194" customFormat="1" ht="24.95" customHeight="1">
      <c r="A24" s="2145"/>
      <c r="B24" s="409" t="s">
        <v>719</v>
      </c>
      <c r="C24" s="409" t="s">
        <v>839</v>
      </c>
      <c r="D24" s="409" t="s">
        <v>459</v>
      </c>
      <c r="E24" s="409" t="s">
        <v>838</v>
      </c>
      <c r="F24" s="410" t="s">
        <v>814</v>
      </c>
      <c r="G24" s="411">
        <v>1</v>
      </c>
      <c r="H24" s="411">
        <f t="shared" si="0"/>
        <v>3</v>
      </c>
      <c r="I24" s="372"/>
      <c r="J24" s="350" t="s">
        <v>1539</v>
      </c>
      <c r="K24" s="351">
        <f t="shared" si="1"/>
        <v>3</v>
      </c>
      <c r="L24" s="351">
        <f t="shared" si="2"/>
        <v>3</v>
      </c>
      <c r="M24" s="351"/>
      <c r="N24" s="351"/>
      <c r="O24" s="351"/>
      <c r="P24" s="351"/>
      <c r="Q24" s="351"/>
      <c r="R24" s="351"/>
      <c r="S24" s="351"/>
    </row>
    <row r="25" spans="1:19" s="194" customFormat="1" ht="24.95" customHeight="1">
      <c r="A25" s="2145"/>
      <c r="B25" s="409" t="s">
        <v>842</v>
      </c>
      <c r="C25" s="409" t="s">
        <v>843</v>
      </c>
      <c r="D25" s="409" t="s">
        <v>841</v>
      </c>
      <c r="E25" s="409" t="s">
        <v>1015</v>
      </c>
      <c r="F25" s="410" t="s">
        <v>814</v>
      </c>
      <c r="G25" s="411">
        <v>1</v>
      </c>
      <c r="H25" s="411">
        <f t="shared" si="0"/>
        <v>0</v>
      </c>
      <c r="I25" s="372" t="s">
        <v>1296</v>
      </c>
      <c r="J25" s="350" t="s">
        <v>1539</v>
      </c>
      <c r="K25" s="351">
        <f t="shared" si="1"/>
        <v>0</v>
      </c>
      <c r="L25" s="351"/>
      <c r="M25" s="351"/>
      <c r="N25" s="351"/>
      <c r="O25" s="351"/>
      <c r="P25" s="351"/>
      <c r="Q25" s="351"/>
      <c r="R25" s="652"/>
      <c r="S25" s="351"/>
    </row>
    <row r="26" spans="1:19" ht="24.95" customHeight="1">
      <c r="A26" s="2145"/>
      <c r="B26" s="409" t="s">
        <v>842</v>
      </c>
      <c r="C26" s="409" t="s">
        <v>844</v>
      </c>
      <c r="D26" s="409" t="s">
        <v>155</v>
      </c>
      <c r="E26" s="409" t="s">
        <v>1016</v>
      </c>
      <c r="F26" s="410" t="s">
        <v>814</v>
      </c>
      <c r="G26" s="411">
        <v>1</v>
      </c>
      <c r="H26" s="411">
        <f t="shared" si="0"/>
        <v>0</v>
      </c>
      <c r="I26" s="372" t="s">
        <v>1161</v>
      </c>
      <c r="J26" s="350"/>
      <c r="K26" s="351">
        <f t="shared" si="1"/>
        <v>0</v>
      </c>
      <c r="L26" s="587"/>
      <c r="M26" s="351"/>
      <c r="N26" s="351"/>
      <c r="O26" s="351"/>
      <c r="P26" s="351"/>
      <c r="Q26" s="351"/>
      <c r="R26" s="587"/>
      <c r="S26" s="351"/>
    </row>
    <row r="27" spans="1:19" ht="24.95" customHeight="1">
      <c r="A27" s="2146"/>
      <c r="B27" s="412" t="s">
        <v>847</v>
      </c>
      <c r="C27" s="412" t="s">
        <v>155</v>
      </c>
      <c r="D27" s="412" t="s">
        <v>845</v>
      </c>
      <c r="E27" s="412" t="s">
        <v>1016</v>
      </c>
      <c r="F27" s="413" t="s">
        <v>814</v>
      </c>
      <c r="G27" s="414">
        <v>1</v>
      </c>
      <c r="H27" s="414">
        <f t="shared" si="0"/>
        <v>0</v>
      </c>
      <c r="I27" s="434"/>
      <c r="J27" s="350"/>
      <c r="K27" s="351">
        <f t="shared" si="1"/>
        <v>0</v>
      </c>
      <c r="L27" s="587"/>
      <c r="M27" s="351"/>
      <c r="N27" s="351"/>
      <c r="O27" s="351"/>
      <c r="P27" s="351"/>
      <c r="Q27" s="351"/>
      <c r="R27" s="587"/>
      <c r="S27" s="351"/>
    </row>
  </sheetData>
  <mergeCells count="2">
    <mergeCell ref="A4:A14"/>
    <mergeCell ref="A15:A27"/>
  </mergeCells>
  <phoneticPr fontId="60" type="noConversion"/>
  <pageMargins left="0.39370078740157483" right="0.23622047244094491" top="0.74803149606299213" bottom="0.55118110236220474" header="0.31496062992125984" footer="0.31496062992125984"/>
  <pageSetup paperSize="9" scale="92" orientation="portrait"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27">
    <pageSetUpPr fitToPage="1"/>
  </sheetPr>
  <dimension ref="A1:S97"/>
  <sheetViews>
    <sheetView view="pageBreakPreview" zoomScale="85" zoomScaleNormal="100" zoomScaleSheetLayoutView="85" workbookViewId="0">
      <selection activeCell="J28" sqref="J28:R28"/>
    </sheetView>
  </sheetViews>
  <sheetFormatPr defaultRowHeight="16.5"/>
  <cols>
    <col min="1" max="1" width="6.375" customWidth="1"/>
    <col min="2" max="2" width="21.5" customWidth="1"/>
    <col min="3" max="3" width="15.25" customWidth="1"/>
    <col min="4" max="4" width="11.5" customWidth="1"/>
    <col min="5" max="5" width="14.25" customWidth="1"/>
    <col min="6" max="6" width="6.5" style="348" customWidth="1"/>
    <col min="7" max="7" width="6.75" customWidth="1"/>
    <col min="8" max="8" width="7" customWidth="1"/>
    <col min="9" max="9" width="12.125" bestFit="1" customWidth="1"/>
  </cols>
  <sheetData>
    <row r="1" spans="1:19" ht="24.95" customHeight="1">
      <c r="A1" s="356" t="s">
        <v>3232</v>
      </c>
      <c r="B1" s="349"/>
      <c r="C1" s="349"/>
      <c r="D1" s="349"/>
      <c r="E1" s="349"/>
      <c r="F1" s="349"/>
      <c r="G1" s="349"/>
      <c r="H1" s="349"/>
      <c r="I1" s="349"/>
    </row>
    <row r="2" spans="1:19" ht="30.75" customHeight="1">
      <c r="A2" s="167" t="s">
        <v>3205</v>
      </c>
    </row>
    <row r="3" spans="1:19" ht="24.95" customHeight="1">
      <c r="A3" s="431" t="s">
        <v>817</v>
      </c>
      <c r="B3" s="432" t="s">
        <v>818</v>
      </c>
      <c r="C3" s="432" t="s">
        <v>819</v>
      </c>
      <c r="D3" s="432" t="s">
        <v>820</v>
      </c>
      <c r="E3" s="432" t="s">
        <v>821</v>
      </c>
      <c r="F3" s="432" t="s">
        <v>822</v>
      </c>
      <c r="G3" s="432" t="s">
        <v>823</v>
      </c>
      <c r="H3" s="432" t="s">
        <v>824</v>
      </c>
      <c r="I3" s="433" t="s">
        <v>825</v>
      </c>
      <c r="K3" s="1585" t="s">
        <v>824</v>
      </c>
      <c r="L3" s="1585" t="s">
        <v>1621</v>
      </c>
      <c r="M3" s="1585" t="s">
        <v>3143</v>
      </c>
      <c r="N3" s="348"/>
      <c r="O3" s="348"/>
      <c r="P3" s="348"/>
      <c r="Q3" s="348"/>
      <c r="R3" s="348"/>
      <c r="S3" s="348"/>
    </row>
    <row r="4" spans="1:19" s="350" customFormat="1" ht="24.95" customHeight="1">
      <c r="A4" s="2142" t="s">
        <v>3231</v>
      </c>
      <c r="B4" s="409" t="s">
        <v>341</v>
      </c>
      <c r="C4" s="409" t="s">
        <v>827</v>
      </c>
      <c r="D4" s="409" t="s">
        <v>342</v>
      </c>
      <c r="E4" s="409" t="s">
        <v>1031</v>
      </c>
      <c r="F4" s="410" t="s">
        <v>814</v>
      </c>
      <c r="G4" s="411">
        <v>1</v>
      </c>
      <c r="H4" s="411">
        <f>INT(G4*K4)</f>
        <v>13</v>
      </c>
      <c r="I4" s="372"/>
      <c r="K4" s="652">
        <f>SUM(L4:S4)</f>
        <v>13</v>
      </c>
      <c r="L4" s="652">
        <f>2+9+2</f>
        <v>13</v>
      </c>
      <c r="M4" s="652"/>
    </row>
    <row r="5" spans="1:19" s="350" customFormat="1" ht="24.95" customHeight="1">
      <c r="A5" s="2143"/>
      <c r="B5" s="409" t="s">
        <v>341</v>
      </c>
      <c r="C5" s="409" t="s">
        <v>828</v>
      </c>
      <c r="D5" s="409" t="s">
        <v>342</v>
      </c>
      <c r="E5" s="409" t="s">
        <v>1032</v>
      </c>
      <c r="F5" s="410" t="s">
        <v>814</v>
      </c>
      <c r="G5" s="411">
        <v>1</v>
      </c>
      <c r="H5" s="411">
        <f t="shared" ref="H5:H27" si="0">INT(G5*K5)</f>
        <v>13</v>
      </c>
      <c r="I5" s="372"/>
      <c r="K5" s="652">
        <f t="shared" ref="K5:K27" si="1">SUM(L5:S5)</f>
        <v>13</v>
      </c>
      <c r="L5" s="652">
        <f>2+9+2</f>
        <v>13</v>
      </c>
      <c r="M5" s="652"/>
    </row>
    <row r="6" spans="1:19" s="350" customFormat="1" ht="24.95" customHeight="1">
      <c r="A6" s="2143"/>
      <c r="B6" s="409" t="s">
        <v>341</v>
      </c>
      <c r="C6" s="409" t="s">
        <v>1033</v>
      </c>
      <c r="D6" s="409" t="s">
        <v>342</v>
      </c>
      <c r="E6" s="409" t="s">
        <v>1034</v>
      </c>
      <c r="F6" s="410" t="s">
        <v>814</v>
      </c>
      <c r="G6" s="411">
        <v>1</v>
      </c>
      <c r="H6" s="411">
        <f t="shared" si="0"/>
        <v>13</v>
      </c>
      <c r="I6" s="372"/>
      <c r="K6" s="652">
        <f t="shared" si="1"/>
        <v>13</v>
      </c>
      <c r="L6" s="652">
        <f>2+9+2</f>
        <v>13</v>
      </c>
      <c r="M6" s="652"/>
    </row>
    <row r="7" spans="1:19" s="34" customFormat="1" ht="24.95" customHeight="1">
      <c r="A7" s="2143"/>
      <c r="B7" s="457" t="s">
        <v>1373</v>
      </c>
      <c r="C7" s="457" t="s">
        <v>1035</v>
      </c>
      <c r="D7" s="457" t="s">
        <v>1278</v>
      </c>
      <c r="E7" s="457" t="s">
        <v>426</v>
      </c>
      <c r="F7" s="394" t="s">
        <v>814</v>
      </c>
      <c r="G7" s="393">
        <v>1</v>
      </c>
      <c r="H7" s="393">
        <f t="shared" si="0"/>
        <v>3</v>
      </c>
      <c r="I7" s="682"/>
      <c r="K7" s="683">
        <f t="shared" si="1"/>
        <v>3</v>
      </c>
      <c r="L7" s="683">
        <v>3</v>
      </c>
      <c r="M7" s="652"/>
    </row>
    <row r="8" spans="1:19" s="34" customFormat="1" ht="24.95" customHeight="1">
      <c r="A8" s="2143"/>
      <c r="B8" s="457" t="s">
        <v>830</v>
      </c>
      <c r="C8" s="457" t="s">
        <v>831</v>
      </c>
      <c r="D8" s="457" t="s">
        <v>429</v>
      </c>
      <c r="E8" s="457" t="s">
        <v>430</v>
      </c>
      <c r="F8" s="394" t="s">
        <v>814</v>
      </c>
      <c r="G8" s="393">
        <v>8</v>
      </c>
      <c r="H8" s="393">
        <f>INT(G8*K8)</f>
        <v>32</v>
      </c>
      <c r="I8" s="682" t="s">
        <v>832</v>
      </c>
      <c r="K8" s="683">
        <f t="shared" si="1"/>
        <v>4</v>
      </c>
      <c r="L8" s="683"/>
      <c r="M8" s="683">
        <v>4</v>
      </c>
    </row>
    <row r="9" spans="1:19" s="34" customFormat="1" ht="24.95" customHeight="1">
      <c r="A9" s="2143"/>
      <c r="B9" s="457" t="s">
        <v>833</v>
      </c>
      <c r="C9" s="457" t="s">
        <v>831</v>
      </c>
      <c r="D9" s="457" t="s">
        <v>429</v>
      </c>
      <c r="E9" s="457" t="s">
        <v>834</v>
      </c>
      <c r="F9" s="394" t="s">
        <v>814</v>
      </c>
      <c r="G9" s="393">
        <f>G8/2</f>
        <v>4</v>
      </c>
      <c r="H9" s="393">
        <f t="shared" si="0"/>
        <v>16</v>
      </c>
      <c r="I9" s="682"/>
      <c r="K9" s="683">
        <f t="shared" si="1"/>
        <v>4</v>
      </c>
      <c r="L9" s="683"/>
      <c r="M9" s="683">
        <v>4</v>
      </c>
    </row>
    <row r="10" spans="1:19" s="34" customFormat="1" ht="24.95" customHeight="1">
      <c r="A10" s="2143"/>
      <c r="B10" s="457" t="s">
        <v>835</v>
      </c>
      <c r="C10" s="457" t="s">
        <v>1237</v>
      </c>
      <c r="D10" s="457" t="s">
        <v>1175</v>
      </c>
      <c r="E10" s="457" t="s">
        <v>1176</v>
      </c>
      <c r="F10" s="394" t="s">
        <v>814</v>
      </c>
      <c r="G10" s="393">
        <v>1</v>
      </c>
      <c r="H10" s="393">
        <f t="shared" si="0"/>
        <v>9</v>
      </c>
      <c r="I10" s="682"/>
      <c r="K10" s="683">
        <f t="shared" si="1"/>
        <v>9</v>
      </c>
      <c r="L10" s="733">
        <v>9</v>
      </c>
      <c r="M10" s="652"/>
      <c r="N10" s="1627"/>
    </row>
    <row r="11" spans="1:19" s="34" customFormat="1" ht="24.95" customHeight="1">
      <c r="A11" s="2143"/>
      <c r="B11" s="457" t="s">
        <v>1018</v>
      </c>
      <c r="C11" s="457" t="s">
        <v>1237</v>
      </c>
      <c r="D11" s="457" t="s">
        <v>1175</v>
      </c>
      <c r="E11" s="457" t="s">
        <v>838</v>
      </c>
      <c r="F11" s="394" t="s">
        <v>814</v>
      </c>
      <c r="G11" s="393">
        <v>1</v>
      </c>
      <c r="H11" s="393">
        <f t="shared" si="0"/>
        <v>9</v>
      </c>
      <c r="I11" s="682"/>
      <c r="K11" s="683">
        <f t="shared" si="1"/>
        <v>9</v>
      </c>
      <c r="L11" s="733">
        <v>9</v>
      </c>
      <c r="M11" s="652"/>
    </row>
    <row r="12" spans="1:19" s="34" customFormat="1" ht="24.95" customHeight="1">
      <c r="A12" s="2143"/>
      <c r="B12" s="457" t="s">
        <v>835</v>
      </c>
      <c r="C12" s="457" t="s">
        <v>839</v>
      </c>
      <c r="D12" s="457" t="s">
        <v>459</v>
      </c>
      <c r="E12" s="457" t="s">
        <v>840</v>
      </c>
      <c r="F12" s="394" t="s">
        <v>814</v>
      </c>
      <c r="G12" s="393">
        <v>1</v>
      </c>
      <c r="H12" s="393">
        <f t="shared" si="0"/>
        <v>12</v>
      </c>
      <c r="I12" s="682"/>
      <c r="K12" s="683">
        <f t="shared" si="1"/>
        <v>12</v>
      </c>
      <c r="L12" s="683">
        <v>12</v>
      </c>
      <c r="M12" s="652"/>
      <c r="N12" s="350"/>
    </row>
    <row r="13" spans="1:19" s="34" customFormat="1" ht="24.95" customHeight="1">
      <c r="A13" s="2143"/>
      <c r="B13" s="457" t="s">
        <v>1018</v>
      </c>
      <c r="C13" s="457" t="s">
        <v>839</v>
      </c>
      <c r="D13" s="457" t="s">
        <v>459</v>
      </c>
      <c r="E13" s="457" t="s">
        <v>838</v>
      </c>
      <c r="F13" s="394" t="s">
        <v>814</v>
      </c>
      <c r="G13" s="393">
        <v>1</v>
      </c>
      <c r="H13" s="393">
        <f t="shared" si="0"/>
        <v>12</v>
      </c>
      <c r="I13" s="682"/>
      <c r="K13" s="683">
        <f t="shared" si="1"/>
        <v>12</v>
      </c>
      <c r="L13" s="683">
        <f>L12</f>
        <v>12</v>
      </c>
      <c r="M13" s="652"/>
      <c r="N13" s="350"/>
    </row>
    <row r="14" spans="1:19" s="34" customFormat="1" ht="24.95" hidden="1" customHeight="1">
      <c r="A14" s="2144"/>
      <c r="B14" s="457" t="s">
        <v>842</v>
      </c>
      <c r="C14" s="457" t="s">
        <v>1235</v>
      </c>
      <c r="D14" s="457" t="s">
        <v>1059</v>
      </c>
      <c r="E14" s="457" t="s">
        <v>1060</v>
      </c>
      <c r="F14" s="394" t="s">
        <v>814</v>
      </c>
      <c r="G14" s="393">
        <v>1</v>
      </c>
      <c r="H14" s="393">
        <f>K14*G14</f>
        <v>0</v>
      </c>
      <c r="I14" s="682" t="s">
        <v>1269</v>
      </c>
      <c r="K14" s="683">
        <f t="shared" si="1"/>
        <v>0</v>
      </c>
      <c r="L14" s="683"/>
      <c r="M14" s="652"/>
    </row>
    <row r="15" spans="1:19" s="34" customFormat="1" ht="24.95" customHeight="1">
      <c r="A15" s="2142" t="s">
        <v>3203</v>
      </c>
      <c r="B15" s="457" t="s">
        <v>341</v>
      </c>
      <c r="C15" s="457" t="s">
        <v>827</v>
      </c>
      <c r="D15" s="457" t="s">
        <v>342</v>
      </c>
      <c r="E15" s="457" t="s">
        <v>1031</v>
      </c>
      <c r="F15" s="394" t="s">
        <v>814</v>
      </c>
      <c r="G15" s="393">
        <v>1</v>
      </c>
      <c r="H15" s="393">
        <f t="shared" si="0"/>
        <v>13</v>
      </c>
      <c r="I15" s="682"/>
      <c r="K15" s="683">
        <f t="shared" si="1"/>
        <v>13</v>
      </c>
      <c r="L15" s="683"/>
      <c r="M15" s="652">
        <f>2+9+2</f>
        <v>13</v>
      </c>
    </row>
    <row r="16" spans="1:19" s="34" customFormat="1" ht="24.95" customHeight="1">
      <c r="A16" s="2145"/>
      <c r="B16" s="457" t="s">
        <v>341</v>
      </c>
      <c r="C16" s="457" t="s">
        <v>828</v>
      </c>
      <c r="D16" s="457" t="s">
        <v>342</v>
      </c>
      <c r="E16" s="457" t="s">
        <v>1032</v>
      </c>
      <c r="F16" s="394" t="s">
        <v>814</v>
      </c>
      <c r="G16" s="393">
        <v>1</v>
      </c>
      <c r="H16" s="393">
        <f t="shared" si="0"/>
        <v>13</v>
      </c>
      <c r="I16" s="682"/>
      <c r="K16" s="683">
        <f t="shared" si="1"/>
        <v>13</v>
      </c>
      <c r="L16" s="683"/>
      <c r="M16" s="652">
        <f t="shared" ref="M16:M17" si="2">2+9+2</f>
        <v>13</v>
      </c>
    </row>
    <row r="17" spans="1:14" s="34" customFormat="1" ht="24.95" customHeight="1">
      <c r="A17" s="2145"/>
      <c r="B17" s="457" t="s">
        <v>341</v>
      </c>
      <c r="C17" s="457" t="s">
        <v>846</v>
      </c>
      <c r="D17" s="457" t="s">
        <v>342</v>
      </c>
      <c r="E17" s="457" t="s">
        <v>1034</v>
      </c>
      <c r="F17" s="394" t="s">
        <v>814</v>
      </c>
      <c r="G17" s="393">
        <v>1</v>
      </c>
      <c r="H17" s="393">
        <f t="shared" si="0"/>
        <v>13</v>
      </c>
      <c r="I17" s="682"/>
      <c r="K17" s="683">
        <f t="shared" si="1"/>
        <v>13</v>
      </c>
      <c r="L17" s="683"/>
      <c r="M17" s="652">
        <f t="shared" si="2"/>
        <v>13</v>
      </c>
    </row>
    <row r="18" spans="1:14" s="34" customFormat="1" ht="24.95" customHeight="1">
      <c r="A18" s="2145"/>
      <c r="B18" s="457" t="s">
        <v>1373</v>
      </c>
      <c r="C18" s="457" t="s">
        <v>1035</v>
      </c>
      <c r="D18" s="457" t="s">
        <v>1278</v>
      </c>
      <c r="E18" s="457" t="s">
        <v>426</v>
      </c>
      <c r="F18" s="394" t="s">
        <v>814</v>
      </c>
      <c r="G18" s="393">
        <v>1</v>
      </c>
      <c r="H18" s="393">
        <f t="shared" si="0"/>
        <v>3</v>
      </c>
      <c r="I18" s="682"/>
      <c r="K18" s="683">
        <f t="shared" si="1"/>
        <v>3</v>
      </c>
      <c r="L18" s="683"/>
      <c r="M18" s="652">
        <v>3</v>
      </c>
    </row>
    <row r="19" spans="1:14" s="350" customFormat="1" ht="24.95" customHeight="1">
      <c r="A19" s="2145"/>
      <c r="B19" s="409" t="s">
        <v>830</v>
      </c>
      <c r="C19" s="409" t="s">
        <v>831</v>
      </c>
      <c r="D19" s="409" t="s">
        <v>429</v>
      </c>
      <c r="E19" s="409" t="s">
        <v>430</v>
      </c>
      <c r="F19" s="410" t="s">
        <v>814</v>
      </c>
      <c r="G19" s="411">
        <v>1</v>
      </c>
      <c r="H19" s="411">
        <f t="shared" si="0"/>
        <v>0</v>
      </c>
      <c r="I19" s="372" t="s">
        <v>1513</v>
      </c>
      <c r="K19" s="652">
        <f t="shared" si="1"/>
        <v>0</v>
      </c>
      <c r="L19" s="652"/>
      <c r="M19" s="683"/>
    </row>
    <row r="20" spans="1:14" s="350" customFormat="1" ht="24.95" customHeight="1">
      <c r="A20" s="2145"/>
      <c r="B20" s="409" t="s">
        <v>833</v>
      </c>
      <c r="C20" s="409" t="s">
        <v>831</v>
      </c>
      <c r="D20" s="409" t="s">
        <v>429</v>
      </c>
      <c r="E20" s="409" t="s">
        <v>834</v>
      </c>
      <c r="F20" s="410" t="s">
        <v>814</v>
      </c>
      <c r="G20" s="411">
        <f>ROUNDUP(G19/2,0)</f>
        <v>1</v>
      </c>
      <c r="H20" s="411">
        <f t="shared" si="0"/>
        <v>0</v>
      </c>
      <c r="I20" s="372"/>
      <c r="K20" s="652">
        <f t="shared" si="1"/>
        <v>0</v>
      </c>
      <c r="L20" s="652"/>
      <c r="M20" s="683"/>
    </row>
    <row r="21" spans="1:14" s="350" customFormat="1" ht="24.95" customHeight="1">
      <c r="A21" s="2145"/>
      <c r="B21" s="409" t="s">
        <v>835</v>
      </c>
      <c r="C21" s="409" t="s">
        <v>1238</v>
      </c>
      <c r="D21" s="409" t="s">
        <v>836</v>
      </c>
      <c r="E21" s="409" t="s">
        <v>837</v>
      </c>
      <c r="F21" s="410" t="s">
        <v>814</v>
      </c>
      <c r="G21" s="411">
        <v>2</v>
      </c>
      <c r="H21" s="411">
        <f t="shared" si="0"/>
        <v>18</v>
      </c>
      <c r="I21" s="372"/>
      <c r="K21" s="652">
        <f t="shared" si="1"/>
        <v>9</v>
      </c>
      <c r="L21" s="733"/>
      <c r="M21" s="652">
        <v>9</v>
      </c>
    </row>
    <row r="22" spans="1:14" s="350" customFormat="1" ht="24.95" customHeight="1">
      <c r="A22" s="2145"/>
      <c r="B22" s="409" t="s">
        <v>719</v>
      </c>
      <c r="C22" s="409" t="s">
        <v>1238</v>
      </c>
      <c r="D22" s="409" t="s">
        <v>836</v>
      </c>
      <c r="E22" s="409" t="s">
        <v>838</v>
      </c>
      <c r="F22" s="410" t="s">
        <v>814</v>
      </c>
      <c r="G22" s="411">
        <f>ROUND(G21/2,0)</f>
        <v>1</v>
      </c>
      <c r="H22" s="411">
        <f t="shared" si="0"/>
        <v>9</v>
      </c>
      <c r="I22" s="372"/>
      <c r="K22" s="652">
        <f t="shared" si="1"/>
        <v>9</v>
      </c>
      <c r="L22" s="733"/>
      <c r="M22" s="652">
        <v>9</v>
      </c>
      <c r="N22" s="1627"/>
    </row>
    <row r="23" spans="1:14" s="350" customFormat="1" ht="24.95" customHeight="1">
      <c r="A23" s="2145"/>
      <c r="B23" s="409" t="s">
        <v>835</v>
      </c>
      <c r="C23" s="409" t="s">
        <v>839</v>
      </c>
      <c r="D23" s="409" t="s">
        <v>459</v>
      </c>
      <c r="E23" s="409" t="s">
        <v>840</v>
      </c>
      <c r="F23" s="410" t="s">
        <v>814</v>
      </c>
      <c r="G23" s="411">
        <v>1</v>
      </c>
      <c r="H23" s="411">
        <f t="shared" si="0"/>
        <v>12</v>
      </c>
      <c r="I23" s="372"/>
      <c r="K23" s="652">
        <f t="shared" si="1"/>
        <v>12</v>
      </c>
      <c r="L23" s="652"/>
      <c r="M23" s="652">
        <v>12</v>
      </c>
      <c r="N23" s="1627"/>
    </row>
    <row r="24" spans="1:14" s="350" customFormat="1" ht="24.95" customHeight="1">
      <c r="A24" s="2145"/>
      <c r="B24" s="409" t="s">
        <v>719</v>
      </c>
      <c r="C24" s="409" t="s">
        <v>839</v>
      </c>
      <c r="D24" s="409" t="s">
        <v>459</v>
      </c>
      <c r="E24" s="409" t="s">
        <v>838</v>
      </c>
      <c r="F24" s="410" t="s">
        <v>814</v>
      </c>
      <c r="G24" s="411">
        <v>1</v>
      </c>
      <c r="H24" s="411">
        <f t="shared" si="0"/>
        <v>12</v>
      </c>
      <c r="I24" s="372"/>
      <c r="K24" s="652">
        <f t="shared" si="1"/>
        <v>12</v>
      </c>
      <c r="L24" s="652"/>
      <c r="M24" s="652">
        <f>M23</f>
        <v>12</v>
      </c>
    </row>
    <row r="25" spans="1:14" s="350" customFormat="1" ht="24.95" hidden="1" customHeight="1">
      <c r="A25" s="2145"/>
      <c r="B25" s="409" t="s">
        <v>842</v>
      </c>
      <c r="C25" s="409" t="s">
        <v>843</v>
      </c>
      <c r="D25" s="409" t="s">
        <v>841</v>
      </c>
      <c r="E25" s="409" t="s">
        <v>1015</v>
      </c>
      <c r="F25" s="410" t="s">
        <v>814</v>
      </c>
      <c r="G25" s="411">
        <v>3</v>
      </c>
      <c r="H25" s="411">
        <f t="shared" si="0"/>
        <v>0</v>
      </c>
      <c r="I25" s="372" t="s">
        <v>1513</v>
      </c>
      <c r="K25" s="652">
        <f t="shared" si="1"/>
        <v>0</v>
      </c>
      <c r="L25" s="652"/>
      <c r="M25" s="652"/>
    </row>
    <row r="26" spans="1:14" s="350" customFormat="1" ht="24.95" hidden="1" customHeight="1">
      <c r="A26" s="2145"/>
      <c r="B26" s="409" t="s">
        <v>842</v>
      </c>
      <c r="C26" s="409" t="s">
        <v>844</v>
      </c>
      <c r="D26" s="409" t="s">
        <v>155</v>
      </c>
      <c r="E26" s="409" t="s">
        <v>1016</v>
      </c>
      <c r="F26" s="410" t="s">
        <v>814</v>
      </c>
      <c r="G26" s="411">
        <v>3</v>
      </c>
      <c r="H26" s="411">
        <f t="shared" si="0"/>
        <v>0</v>
      </c>
      <c r="I26" s="736" t="s">
        <v>1514</v>
      </c>
      <c r="K26" s="652">
        <f t="shared" si="1"/>
        <v>0</v>
      </c>
      <c r="L26" s="652"/>
      <c r="M26" s="652"/>
    </row>
    <row r="27" spans="1:14" s="350" customFormat="1" ht="24.95" hidden="1" customHeight="1">
      <c r="A27" s="2146"/>
      <c r="B27" s="412" t="s">
        <v>847</v>
      </c>
      <c r="C27" s="412" t="s">
        <v>155</v>
      </c>
      <c r="D27" s="412" t="s">
        <v>845</v>
      </c>
      <c r="E27" s="412" t="s">
        <v>1016</v>
      </c>
      <c r="F27" s="413" t="s">
        <v>814</v>
      </c>
      <c r="G27" s="414">
        <v>3</v>
      </c>
      <c r="H27" s="414">
        <f t="shared" si="0"/>
        <v>0</v>
      </c>
      <c r="I27" s="737" t="s">
        <v>1487</v>
      </c>
      <c r="K27" s="652">
        <f t="shared" si="1"/>
        <v>0</v>
      </c>
      <c r="L27" s="652"/>
      <c r="M27" s="652"/>
    </row>
    <row r="28" spans="1:14" ht="24.95" customHeight="1"/>
    <row r="29" spans="1:14" ht="30.75" customHeight="1"/>
    <row r="30" spans="1:14" ht="24.95" customHeight="1"/>
    <row r="31" spans="1:14" s="350" customFormat="1" ht="24.95" customHeight="1"/>
    <row r="32" spans="1:14" s="350" customFormat="1" ht="24.95" customHeight="1"/>
    <row r="33" s="350" customFormat="1" ht="24.95" customHeight="1"/>
    <row r="34" s="350" customFormat="1" ht="24.95" customHeight="1"/>
    <row r="35" s="350" customFormat="1" ht="24.95" customHeight="1"/>
    <row r="36" s="350" customFormat="1" ht="24.95" customHeight="1"/>
    <row r="37" s="350" customFormat="1" ht="24.95" customHeight="1"/>
    <row r="38" s="350" customFormat="1" ht="24.95" customHeight="1"/>
    <row r="39" s="350" customFormat="1" ht="24.95" customHeight="1"/>
    <row r="40" s="350" customFormat="1" ht="24.95" customHeight="1"/>
    <row r="41" s="350" customFormat="1" ht="24.95" customHeight="1"/>
    <row r="42" s="350" customFormat="1" ht="24.95" customHeight="1"/>
    <row r="43" s="350" customFormat="1" ht="24.95" customHeight="1"/>
    <row r="44" s="350" customFormat="1" ht="24.95" customHeight="1"/>
    <row r="45" s="350" customFormat="1" ht="24.95" customHeight="1"/>
    <row r="46" s="350" customFormat="1" ht="24.95" customHeight="1"/>
    <row r="47" s="350" customFormat="1" ht="24.95" customHeight="1"/>
    <row r="48" s="350" customFormat="1" ht="24.95" customHeight="1"/>
    <row r="49" s="350" customFormat="1" ht="24.95" customHeight="1"/>
    <row r="50" s="350" customFormat="1" ht="24.95" customHeight="1"/>
    <row r="51" s="350" customFormat="1" ht="24.95" customHeight="1"/>
    <row r="52" s="350" customFormat="1" ht="24.95" customHeight="1"/>
    <row r="53" s="350" customFormat="1" ht="24.95" customHeight="1"/>
    <row r="54" s="350" customFormat="1" ht="24.95" customHeight="1"/>
    <row r="55" s="350" customFormat="1" ht="24.95" customHeight="1"/>
    <row r="56" s="350" customFormat="1" ht="24.95" customHeight="1"/>
    <row r="57" s="350" customFormat="1" ht="24.95" customHeight="1"/>
    <row r="58" s="350" customFormat="1" ht="24.95" customHeight="1"/>
    <row r="59" s="350" customFormat="1" ht="24.95" customHeight="1"/>
    <row r="60" s="350" customFormat="1" ht="24.95" customHeight="1"/>
    <row r="61" s="350" customFormat="1" ht="24.95" customHeight="1"/>
    <row r="62" s="350" customFormat="1" ht="24.95" customHeight="1"/>
    <row r="63" ht="24.95" customHeight="1"/>
    <row r="64" ht="30.75" customHeight="1"/>
    <row r="65" ht="24.95" customHeight="1"/>
    <row r="66" s="350" customFormat="1" ht="24.95" customHeight="1"/>
    <row r="67" s="350" customFormat="1" ht="24.95" customHeight="1"/>
    <row r="68" s="350" customFormat="1" ht="24.95" customHeight="1"/>
    <row r="69" s="350" customFormat="1" ht="24.95" customHeight="1"/>
    <row r="70" s="350" customFormat="1" ht="24.95" customHeight="1"/>
    <row r="71" s="350" customFormat="1" ht="24.95" customHeight="1"/>
    <row r="72" s="350" customFormat="1" ht="24.95" customHeight="1"/>
    <row r="73" s="350" customFormat="1" ht="24.95" customHeight="1"/>
    <row r="74" s="350" customFormat="1" ht="24.95" customHeight="1"/>
    <row r="75" s="350" customFormat="1" ht="24.95" customHeight="1"/>
    <row r="76" s="350" customFormat="1" ht="24.95" customHeight="1"/>
    <row r="77" s="350" customFormat="1" ht="24.95" customHeight="1"/>
    <row r="78" s="350" customFormat="1" ht="24.95" customHeight="1"/>
    <row r="79" s="350" customFormat="1" ht="24.95" customHeight="1"/>
    <row r="80" s="350" customFormat="1" ht="24.95" customHeight="1"/>
    <row r="81" s="350" customFormat="1" ht="24.95" customHeight="1"/>
    <row r="82" s="350" customFormat="1" ht="24.95" customHeight="1"/>
    <row r="83" s="350" customFormat="1" ht="24.95" customHeight="1"/>
    <row r="84" s="350" customFormat="1" ht="24.95" customHeight="1"/>
    <row r="85" s="350" customFormat="1" ht="24.95" customHeight="1"/>
    <row r="86" s="350" customFormat="1" ht="24.95" customHeight="1"/>
    <row r="87" s="350" customFormat="1" ht="24.95" customHeight="1"/>
    <row r="88" s="350" customFormat="1" ht="24.95" customHeight="1"/>
    <row r="89" s="350" customFormat="1" ht="24.95" customHeight="1"/>
    <row r="90" s="350" customFormat="1" ht="24.95" customHeight="1"/>
    <row r="91" s="350" customFormat="1" ht="24.95" customHeight="1"/>
    <row r="92" s="350" customFormat="1" ht="24.95" customHeight="1"/>
    <row r="93" s="350" customFormat="1" ht="24.95" customHeight="1"/>
    <row r="94" s="350" customFormat="1" ht="24.95" customHeight="1"/>
    <row r="95" s="350" customFormat="1" ht="24.95" customHeight="1"/>
    <row r="96" s="350" customFormat="1" ht="24.95" customHeight="1"/>
    <row r="97" s="350" customFormat="1" ht="24.95" customHeight="1"/>
  </sheetData>
  <mergeCells count="2">
    <mergeCell ref="A15:A27"/>
    <mergeCell ref="A4:A14"/>
  </mergeCells>
  <phoneticPr fontId="60" type="noConversion"/>
  <pageMargins left="0.31496062992125984" right="0.35433070866141736" top="0.74803149606299213" bottom="0.74803149606299213" header="0.31496062992125984" footer="0.31496062992125984"/>
  <pageSetup paperSize="9" scale="88" orientation="portrait" r:id="rId1"/>
  <rowBreaks count="2" manualBreakCount="2">
    <brk id="27" max="8" man="1"/>
    <brk id="62" max="8" man="1"/>
  </rowBreaks>
  <drawing r:id="rId2"/>
  <legacyDrawing r:id="rId3"/>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A26E9-FAFB-467F-80C3-92680C3193D5}">
  <sheetPr>
    <pageSetUpPr fitToPage="1"/>
  </sheetPr>
  <dimension ref="A1:M97"/>
  <sheetViews>
    <sheetView view="pageBreakPreview" zoomScaleNormal="100" zoomScaleSheetLayoutView="100" workbookViewId="0">
      <selection activeCell="J28" sqref="J28:R28"/>
    </sheetView>
  </sheetViews>
  <sheetFormatPr defaultRowHeight="16.5"/>
  <cols>
    <col min="1" max="1" width="6.375" customWidth="1"/>
    <col min="2" max="2" width="21.5" customWidth="1"/>
    <col min="3" max="3" width="15.25" customWidth="1"/>
    <col min="4" max="4" width="11.5" customWidth="1"/>
    <col min="5" max="5" width="14.25" customWidth="1"/>
    <col min="6" max="6" width="6.5" style="348" customWidth="1"/>
    <col min="7" max="7" width="6.75" customWidth="1"/>
    <col min="8" max="8" width="7" customWidth="1"/>
    <col min="9" max="9" width="12.125" bestFit="1" customWidth="1"/>
  </cols>
  <sheetData>
    <row r="1" spans="1:13" ht="24.95" customHeight="1">
      <c r="A1" s="356" t="s">
        <v>2998</v>
      </c>
      <c r="B1" s="349"/>
      <c r="C1" s="349"/>
      <c r="D1" s="349"/>
      <c r="E1" s="349"/>
      <c r="F1" s="349"/>
      <c r="G1" s="349"/>
      <c r="H1" s="349"/>
      <c r="I1" s="349"/>
    </row>
    <row r="2" spans="1:13" ht="30.75" customHeight="1">
      <c r="A2" s="167" t="s">
        <v>3204</v>
      </c>
      <c r="K2" t="s">
        <v>816</v>
      </c>
    </row>
    <row r="3" spans="1:13" ht="24.95" customHeight="1">
      <c r="A3" s="431" t="s">
        <v>817</v>
      </c>
      <c r="B3" s="432" t="s">
        <v>818</v>
      </c>
      <c r="C3" s="432" t="s">
        <v>819</v>
      </c>
      <c r="D3" s="432" t="s">
        <v>820</v>
      </c>
      <c r="E3" s="432" t="s">
        <v>821</v>
      </c>
      <c r="F3" s="432" t="s">
        <v>822</v>
      </c>
      <c r="G3" s="432" t="s">
        <v>823</v>
      </c>
      <c r="H3" s="432" t="s">
        <v>824</v>
      </c>
      <c r="I3" s="433" t="s">
        <v>825</v>
      </c>
      <c r="K3" s="352" t="s">
        <v>824</v>
      </c>
      <c r="L3" s="352" t="s">
        <v>1621</v>
      </c>
      <c r="M3" s="352" t="s">
        <v>1647</v>
      </c>
    </row>
    <row r="4" spans="1:13" s="350" customFormat="1" ht="24.95" customHeight="1">
      <c r="A4" s="2142" t="s">
        <v>3231</v>
      </c>
      <c r="B4" s="409" t="s">
        <v>341</v>
      </c>
      <c r="C4" s="409" t="s">
        <v>827</v>
      </c>
      <c r="D4" s="409" t="s">
        <v>342</v>
      </c>
      <c r="E4" s="409" t="s">
        <v>1031</v>
      </c>
      <c r="F4" s="410" t="s">
        <v>814</v>
      </c>
      <c r="G4" s="411">
        <v>1</v>
      </c>
      <c r="H4" s="411">
        <f t="shared" ref="H4:H27" si="0">INT(G4*K4)</f>
        <v>8</v>
      </c>
      <c r="I4" s="372"/>
      <c r="K4" s="351">
        <f t="shared" ref="K4:K27" si="1">SUM(L4:M4)</f>
        <v>8</v>
      </c>
      <c r="L4" s="351">
        <f>1+6+1</f>
        <v>8</v>
      </c>
      <c r="M4" s="351"/>
    </row>
    <row r="5" spans="1:13" s="350" customFormat="1" ht="24.95" customHeight="1">
      <c r="A5" s="2143"/>
      <c r="B5" s="409" t="s">
        <v>341</v>
      </c>
      <c r="C5" s="409" t="s">
        <v>828</v>
      </c>
      <c r="D5" s="409" t="s">
        <v>342</v>
      </c>
      <c r="E5" s="409" t="s">
        <v>1032</v>
      </c>
      <c r="F5" s="410" t="s">
        <v>814</v>
      </c>
      <c r="G5" s="411">
        <v>1</v>
      </c>
      <c r="H5" s="411">
        <f t="shared" si="0"/>
        <v>8</v>
      </c>
      <c r="I5" s="372"/>
      <c r="K5" s="351">
        <f t="shared" si="1"/>
        <v>8</v>
      </c>
      <c r="L5" s="351">
        <f t="shared" ref="L5:L6" si="2">L4</f>
        <v>8</v>
      </c>
      <c r="M5" s="351"/>
    </row>
    <row r="6" spans="1:13" s="350" customFormat="1" ht="24.95" customHeight="1">
      <c r="A6" s="2143"/>
      <c r="B6" s="409" t="s">
        <v>341</v>
      </c>
      <c r="C6" s="409" t="s">
        <v>1033</v>
      </c>
      <c r="D6" s="409" t="s">
        <v>342</v>
      </c>
      <c r="E6" s="409" t="s">
        <v>1034</v>
      </c>
      <c r="F6" s="410" t="s">
        <v>814</v>
      </c>
      <c r="G6" s="411">
        <v>1</v>
      </c>
      <c r="H6" s="411">
        <f t="shared" si="0"/>
        <v>8</v>
      </c>
      <c r="I6" s="372"/>
      <c r="K6" s="351">
        <f t="shared" si="1"/>
        <v>8</v>
      </c>
      <c r="L6" s="351">
        <f t="shared" si="2"/>
        <v>8</v>
      </c>
      <c r="M6" s="351"/>
    </row>
    <row r="7" spans="1:13" s="34" customFormat="1" ht="24.95" customHeight="1">
      <c r="A7" s="2143"/>
      <c r="B7" s="457" t="s">
        <v>1372</v>
      </c>
      <c r="C7" s="457" t="s">
        <v>1035</v>
      </c>
      <c r="D7" s="457" t="s">
        <v>1278</v>
      </c>
      <c r="E7" s="457" t="s">
        <v>426</v>
      </c>
      <c r="F7" s="394" t="s">
        <v>814</v>
      </c>
      <c r="G7" s="393">
        <v>1</v>
      </c>
      <c r="H7" s="393">
        <f t="shared" si="0"/>
        <v>3</v>
      </c>
      <c r="I7" s="682"/>
      <c r="K7" s="587">
        <f t="shared" si="1"/>
        <v>3</v>
      </c>
      <c r="L7" s="587">
        <v>3</v>
      </c>
      <c r="M7" s="351"/>
    </row>
    <row r="8" spans="1:13" s="34" customFormat="1" ht="24.95" customHeight="1">
      <c r="A8" s="2143"/>
      <c r="B8" s="457" t="s">
        <v>830</v>
      </c>
      <c r="C8" s="457" t="s">
        <v>831</v>
      </c>
      <c r="D8" s="457" t="s">
        <v>429</v>
      </c>
      <c r="E8" s="457" t="s">
        <v>430</v>
      </c>
      <c r="F8" s="394" t="s">
        <v>814</v>
      </c>
      <c r="G8" s="393">
        <v>8</v>
      </c>
      <c r="H8" s="393">
        <f t="shared" si="0"/>
        <v>32</v>
      </c>
      <c r="I8" s="682" t="s">
        <v>832</v>
      </c>
      <c r="K8" s="587">
        <f t="shared" si="1"/>
        <v>4</v>
      </c>
      <c r="L8" s="587">
        <f>1+2+1</f>
        <v>4</v>
      </c>
      <c r="M8" s="587"/>
    </row>
    <row r="9" spans="1:13" s="34" customFormat="1" ht="24.95" customHeight="1">
      <c r="A9" s="2143"/>
      <c r="B9" s="457" t="s">
        <v>833</v>
      </c>
      <c r="C9" s="457" t="s">
        <v>831</v>
      </c>
      <c r="D9" s="457" t="s">
        <v>429</v>
      </c>
      <c r="E9" s="457" t="s">
        <v>834</v>
      </c>
      <c r="F9" s="394" t="s">
        <v>814</v>
      </c>
      <c r="G9" s="393">
        <f>G8/2</f>
        <v>4</v>
      </c>
      <c r="H9" s="393">
        <f t="shared" si="0"/>
        <v>16</v>
      </c>
      <c r="I9" s="682"/>
      <c r="K9" s="587">
        <f t="shared" si="1"/>
        <v>4</v>
      </c>
      <c r="L9" s="587">
        <f>1+2+1</f>
        <v>4</v>
      </c>
      <c r="M9" s="587"/>
    </row>
    <row r="10" spans="1:13" s="34" customFormat="1" ht="24.95" customHeight="1">
      <c r="A10" s="2143"/>
      <c r="B10" s="457" t="s">
        <v>835</v>
      </c>
      <c r="C10" s="457" t="s">
        <v>1237</v>
      </c>
      <c r="D10" s="457" t="s">
        <v>1175</v>
      </c>
      <c r="E10" s="457" t="s">
        <v>1176</v>
      </c>
      <c r="F10" s="394" t="s">
        <v>814</v>
      </c>
      <c r="G10" s="393">
        <v>1</v>
      </c>
      <c r="H10" s="393">
        <f t="shared" si="0"/>
        <v>6</v>
      </c>
      <c r="I10" s="682"/>
      <c r="K10" s="587">
        <f t="shared" si="1"/>
        <v>6</v>
      </c>
      <c r="L10" s="694">
        <f>1+1+2+1+1</f>
        <v>6</v>
      </c>
      <c r="M10" s="652"/>
    </row>
    <row r="11" spans="1:13" s="34" customFormat="1" ht="24.95" customHeight="1">
      <c r="A11" s="2143"/>
      <c r="B11" s="457" t="s">
        <v>1018</v>
      </c>
      <c r="C11" s="457" t="s">
        <v>1237</v>
      </c>
      <c r="D11" s="457" t="s">
        <v>1175</v>
      </c>
      <c r="E11" s="457" t="s">
        <v>838</v>
      </c>
      <c r="F11" s="394" t="s">
        <v>814</v>
      </c>
      <c r="G11" s="393">
        <v>1</v>
      </c>
      <c r="H11" s="393">
        <f t="shared" si="0"/>
        <v>6</v>
      </c>
      <c r="I11" s="682"/>
      <c r="K11" s="587">
        <f t="shared" si="1"/>
        <v>6</v>
      </c>
      <c r="L11" s="694">
        <f>L10</f>
        <v>6</v>
      </c>
      <c r="M11" s="351"/>
    </row>
    <row r="12" spans="1:13" s="34" customFormat="1" ht="24.95" customHeight="1">
      <c r="A12" s="2143"/>
      <c r="B12" s="457" t="s">
        <v>835</v>
      </c>
      <c r="C12" s="457" t="s">
        <v>839</v>
      </c>
      <c r="D12" s="457" t="s">
        <v>459</v>
      </c>
      <c r="E12" s="457" t="s">
        <v>840</v>
      </c>
      <c r="F12" s="394" t="s">
        <v>814</v>
      </c>
      <c r="G12" s="393">
        <v>1</v>
      </c>
      <c r="H12" s="393">
        <f>K12</f>
        <v>8</v>
      </c>
      <c r="I12" s="682"/>
      <c r="K12" s="587">
        <f t="shared" si="1"/>
        <v>8</v>
      </c>
      <c r="L12" s="587">
        <v>8</v>
      </c>
      <c r="M12" s="351"/>
    </row>
    <row r="13" spans="1:13" s="34" customFormat="1" ht="24.95" customHeight="1">
      <c r="A13" s="2143"/>
      <c r="B13" s="457" t="s">
        <v>1018</v>
      </c>
      <c r="C13" s="457" t="s">
        <v>839</v>
      </c>
      <c r="D13" s="457" t="s">
        <v>459</v>
      </c>
      <c r="E13" s="457" t="s">
        <v>838</v>
      </c>
      <c r="F13" s="394" t="s">
        <v>814</v>
      </c>
      <c r="G13" s="393">
        <v>1</v>
      </c>
      <c r="H13" s="393">
        <f>K13</f>
        <v>8</v>
      </c>
      <c r="I13" s="682"/>
      <c r="K13" s="587">
        <f t="shared" si="1"/>
        <v>8</v>
      </c>
      <c r="L13" s="587">
        <v>8</v>
      </c>
      <c r="M13" s="351"/>
    </row>
    <row r="14" spans="1:13" s="34" customFormat="1" ht="24.95" hidden="1" customHeight="1">
      <c r="A14" s="2144"/>
      <c r="B14" s="457" t="s">
        <v>842</v>
      </c>
      <c r="C14" s="457" t="s">
        <v>1235</v>
      </c>
      <c r="D14" s="457" t="s">
        <v>1059</v>
      </c>
      <c r="E14" s="457" t="s">
        <v>1015</v>
      </c>
      <c r="F14" s="394" t="s">
        <v>814</v>
      </c>
      <c r="G14" s="393">
        <v>1</v>
      </c>
      <c r="H14" s="393">
        <f t="shared" si="0"/>
        <v>0</v>
      </c>
      <c r="I14" s="682" t="s">
        <v>1269</v>
      </c>
      <c r="K14" s="587">
        <f t="shared" si="1"/>
        <v>0</v>
      </c>
      <c r="L14" s="587"/>
      <c r="M14" s="351"/>
    </row>
    <row r="15" spans="1:13" s="34" customFormat="1" ht="24.95" hidden="1" customHeight="1">
      <c r="A15" s="2142" t="s">
        <v>3203</v>
      </c>
      <c r="B15" s="457" t="s">
        <v>341</v>
      </c>
      <c r="C15" s="457" t="s">
        <v>827</v>
      </c>
      <c r="D15" s="457" t="s">
        <v>342</v>
      </c>
      <c r="E15" s="457" t="s">
        <v>1031</v>
      </c>
      <c r="F15" s="394" t="s">
        <v>814</v>
      </c>
      <c r="G15" s="393">
        <v>1</v>
      </c>
      <c r="H15" s="393">
        <f t="shared" si="0"/>
        <v>0</v>
      </c>
      <c r="I15" s="682"/>
      <c r="K15" s="587">
        <f t="shared" si="1"/>
        <v>0</v>
      </c>
      <c r="L15" s="587"/>
      <c r="M15" s="351"/>
    </row>
    <row r="16" spans="1:13" s="34" customFormat="1" ht="24.95" hidden="1" customHeight="1">
      <c r="A16" s="2145"/>
      <c r="B16" s="457" t="s">
        <v>341</v>
      </c>
      <c r="C16" s="457" t="s">
        <v>828</v>
      </c>
      <c r="D16" s="457" t="s">
        <v>342</v>
      </c>
      <c r="E16" s="457" t="s">
        <v>1032</v>
      </c>
      <c r="F16" s="394" t="s">
        <v>814</v>
      </c>
      <c r="G16" s="393">
        <v>1</v>
      </c>
      <c r="H16" s="393">
        <f t="shared" si="0"/>
        <v>0</v>
      </c>
      <c r="I16" s="682"/>
      <c r="K16" s="587">
        <f t="shared" si="1"/>
        <v>0</v>
      </c>
      <c r="L16" s="587"/>
      <c r="M16" s="351"/>
    </row>
    <row r="17" spans="1:13" s="34" customFormat="1" ht="24.95" hidden="1" customHeight="1">
      <c r="A17" s="2145"/>
      <c r="B17" s="457" t="s">
        <v>341</v>
      </c>
      <c r="C17" s="457" t="s">
        <v>846</v>
      </c>
      <c r="D17" s="457" t="s">
        <v>342</v>
      </c>
      <c r="E17" s="457" t="s">
        <v>1034</v>
      </c>
      <c r="F17" s="394" t="s">
        <v>814</v>
      </c>
      <c r="G17" s="393">
        <v>1</v>
      </c>
      <c r="H17" s="393">
        <f t="shared" si="0"/>
        <v>0</v>
      </c>
      <c r="I17" s="682"/>
      <c r="K17" s="587">
        <f t="shared" si="1"/>
        <v>0</v>
      </c>
      <c r="L17" s="587"/>
      <c r="M17" s="351"/>
    </row>
    <row r="18" spans="1:13" s="34" customFormat="1" ht="24.95" hidden="1" customHeight="1">
      <c r="A18" s="2145"/>
      <c r="B18" s="457" t="s">
        <v>1372</v>
      </c>
      <c r="C18" s="457" t="s">
        <v>1035</v>
      </c>
      <c r="D18" s="457" t="s">
        <v>1278</v>
      </c>
      <c r="E18" s="457" t="s">
        <v>426</v>
      </c>
      <c r="F18" s="394" t="s">
        <v>814</v>
      </c>
      <c r="G18" s="393">
        <v>1</v>
      </c>
      <c r="H18" s="393">
        <f t="shared" si="0"/>
        <v>0</v>
      </c>
      <c r="I18" s="682"/>
      <c r="K18" s="587">
        <f t="shared" si="1"/>
        <v>0</v>
      </c>
      <c r="L18" s="587"/>
      <c r="M18" s="351"/>
    </row>
    <row r="19" spans="1:13" s="350" customFormat="1" ht="24.95" hidden="1" customHeight="1">
      <c r="A19" s="2145"/>
      <c r="B19" s="409" t="s">
        <v>830</v>
      </c>
      <c r="C19" s="409" t="s">
        <v>831</v>
      </c>
      <c r="D19" s="409" t="s">
        <v>429</v>
      </c>
      <c r="E19" s="409" t="s">
        <v>430</v>
      </c>
      <c r="F19" s="410" t="s">
        <v>814</v>
      </c>
      <c r="G19" s="411">
        <v>6</v>
      </c>
      <c r="H19" s="411">
        <f t="shared" si="0"/>
        <v>0</v>
      </c>
      <c r="I19" s="372" t="s">
        <v>1513</v>
      </c>
      <c r="K19" s="351">
        <f t="shared" si="1"/>
        <v>0</v>
      </c>
      <c r="L19" s="351"/>
      <c r="M19" s="587"/>
    </row>
    <row r="20" spans="1:13" s="350" customFormat="1" ht="24.95" hidden="1" customHeight="1">
      <c r="A20" s="2145"/>
      <c r="B20" s="409" t="s">
        <v>833</v>
      </c>
      <c r="C20" s="409" t="s">
        <v>831</v>
      </c>
      <c r="D20" s="409" t="s">
        <v>429</v>
      </c>
      <c r="E20" s="409" t="s">
        <v>834</v>
      </c>
      <c r="F20" s="410" t="s">
        <v>814</v>
      </c>
      <c r="G20" s="411">
        <v>3</v>
      </c>
      <c r="H20" s="411">
        <f t="shared" si="0"/>
        <v>0</v>
      </c>
      <c r="I20" s="372"/>
      <c r="K20" s="351">
        <f t="shared" si="1"/>
        <v>0</v>
      </c>
      <c r="L20" s="351"/>
      <c r="M20" s="587"/>
    </row>
    <row r="21" spans="1:13" s="350" customFormat="1" ht="24.95" hidden="1" customHeight="1">
      <c r="A21" s="2145"/>
      <c r="B21" s="409" t="s">
        <v>835</v>
      </c>
      <c r="C21" s="409" t="s">
        <v>1017</v>
      </c>
      <c r="D21" s="409" t="s">
        <v>836</v>
      </c>
      <c r="E21" s="409" t="s">
        <v>837</v>
      </c>
      <c r="F21" s="410" t="s">
        <v>814</v>
      </c>
      <c r="G21" s="411">
        <v>6</v>
      </c>
      <c r="H21" s="411">
        <f t="shared" si="0"/>
        <v>0</v>
      </c>
      <c r="I21" s="372"/>
      <c r="K21" s="351">
        <f t="shared" si="1"/>
        <v>0</v>
      </c>
      <c r="L21" s="694"/>
      <c r="M21" s="652"/>
    </row>
    <row r="22" spans="1:13" s="350" customFormat="1" ht="24.95" hidden="1" customHeight="1">
      <c r="A22" s="2145"/>
      <c r="B22" s="409" t="s">
        <v>719</v>
      </c>
      <c r="C22" s="409" t="s">
        <v>1017</v>
      </c>
      <c r="D22" s="409" t="s">
        <v>836</v>
      </c>
      <c r="E22" s="409" t="s">
        <v>838</v>
      </c>
      <c r="F22" s="410" t="s">
        <v>814</v>
      </c>
      <c r="G22" s="411">
        <f>ROUND(G21/2,0)</f>
        <v>3</v>
      </c>
      <c r="H22" s="411">
        <f t="shared" si="0"/>
        <v>0</v>
      </c>
      <c r="I22" s="372"/>
      <c r="K22" s="351">
        <f t="shared" si="1"/>
        <v>0</v>
      </c>
      <c r="L22" s="694"/>
      <c r="M22" s="351"/>
    </row>
    <row r="23" spans="1:13" s="350" customFormat="1" ht="24.95" hidden="1" customHeight="1">
      <c r="A23" s="2145"/>
      <c r="B23" s="409" t="s">
        <v>835</v>
      </c>
      <c r="C23" s="409" t="s">
        <v>839</v>
      </c>
      <c r="D23" s="409" t="s">
        <v>459</v>
      </c>
      <c r="E23" s="409" t="s">
        <v>840</v>
      </c>
      <c r="F23" s="410" t="s">
        <v>814</v>
      </c>
      <c r="G23" s="411">
        <v>1</v>
      </c>
      <c r="H23" s="411">
        <f t="shared" si="0"/>
        <v>0</v>
      </c>
      <c r="I23" s="372"/>
      <c r="K23" s="351">
        <f t="shared" si="1"/>
        <v>0</v>
      </c>
      <c r="L23" s="351"/>
      <c r="M23" s="351"/>
    </row>
    <row r="24" spans="1:13" s="350" customFormat="1" ht="24.95" hidden="1" customHeight="1">
      <c r="A24" s="2145"/>
      <c r="B24" s="409" t="s">
        <v>719</v>
      </c>
      <c r="C24" s="409" t="s">
        <v>839</v>
      </c>
      <c r="D24" s="409" t="s">
        <v>459</v>
      </c>
      <c r="E24" s="409" t="s">
        <v>838</v>
      </c>
      <c r="F24" s="410" t="s">
        <v>814</v>
      </c>
      <c r="G24" s="411">
        <v>1</v>
      </c>
      <c r="H24" s="411">
        <f t="shared" si="0"/>
        <v>0</v>
      </c>
      <c r="I24" s="372"/>
      <c r="K24" s="351">
        <f t="shared" si="1"/>
        <v>0</v>
      </c>
      <c r="L24" s="351"/>
      <c r="M24" s="351"/>
    </row>
    <row r="25" spans="1:13" s="350" customFormat="1" ht="24.95" hidden="1" customHeight="1">
      <c r="A25" s="2145"/>
      <c r="B25" s="409" t="s">
        <v>842</v>
      </c>
      <c r="C25" s="409" t="s">
        <v>843</v>
      </c>
      <c r="D25" s="409" t="s">
        <v>841</v>
      </c>
      <c r="E25" s="409" t="s">
        <v>1015</v>
      </c>
      <c r="F25" s="410" t="s">
        <v>814</v>
      </c>
      <c r="G25" s="411">
        <v>3</v>
      </c>
      <c r="H25" s="411">
        <f t="shared" si="0"/>
        <v>0</v>
      </c>
      <c r="I25" s="372" t="s">
        <v>1513</v>
      </c>
      <c r="K25" s="351">
        <f t="shared" si="1"/>
        <v>0</v>
      </c>
      <c r="L25" s="351"/>
      <c r="M25" s="351"/>
    </row>
    <row r="26" spans="1:13" s="350" customFormat="1" ht="24.95" hidden="1" customHeight="1">
      <c r="A26" s="2145"/>
      <c r="B26" s="409" t="s">
        <v>842</v>
      </c>
      <c r="C26" s="409" t="s">
        <v>844</v>
      </c>
      <c r="D26" s="409" t="s">
        <v>155</v>
      </c>
      <c r="E26" s="409" t="s">
        <v>1016</v>
      </c>
      <c r="F26" s="410" t="s">
        <v>814</v>
      </c>
      <c r="G26" s="411">
        <v>3</v>
      </c>
      <c r="H26" s="411">
        <f t="shared" si="0"/>
        <v>0</v>
      </c>
      <c r="I26" s="736" t="s">
        <v>1514</v>
      </c>
      <c r="K26" s="351">
        <f t="shared" si="1"/>
        <v>0</v>
      </c>
      <c r="L26" s="351"/>
      <c r="M26" s="351"/>
    </row>
    <row r="27" spans="1:13" s="350" customFormat="1" ht="24.95" hidden="1" customHeight="1">
      <c r="A27" s="2146"/>
      <c r="B27" s="412" t="s">
        <v>847</v>
      </c>
      <c r="C27" s="412" t="s">
        <v>155</v>
      </c>
      <c r="D27" s="412" t="s">
        <v>845</v>
      </c>
      <c r="E27" s="412" t="s">
        <v>1016</v>
      </c>
      <c r="F27" s="413" t="s">
        <v>814</v>
      </c>
      <c r="G27" s="414">
        <v>3</v>
      </c>
      <c r="H27" s="414">
        <f t="shared" si="0"/>
        <v>0</v>
      </c>
      <c r="I27" s="737" t="s">
        <v>1487</v>
      </c>
      <c r="K27" s="351">
        <f t="shared" si="1"/>
        <v>0</v>
      </c>
      <c r="L27" s="351"/>
      <c r="M27" s="351"/>
    </row>
    <row r="28" spans="1:13" ht="24.95" customHeight="1"/>
    <row r="29" spans="1:13" ht="30.75" customHeight="1"/>
    <row r="30" spans="1:13" ht="24.95" customHeight="1"/>
    <row r="31" spans="1:13" s="350" customFormat="1" ht="24.95" customHeight="1"/>
    <row r="32" spans="1:13" s="350" customFormat="1" ht="24.95" customHeight="1"/>
    <row r="33" s="350" customFormat="1" ht="24.95" customHeight="1"/>
    <row r="34" s="350" customFormat="1" ht="24.95" customHeight="1"/>
    <row r="35" s="350" customFormat="1" ht="24.95" customHeight="1"/>
    <row r="36" s="350" customFormat="1" ht="24.95" customHeight="1"/>
    <row r="37" s="350" customFormat="1" ht="24.95" customHeight="1"/>
    <row r="38" s="350" customFormat="1" ht="24.95" customHeight="1"/>
    <row r="39" s="350" customFormat="1" ht="24.95" customHeight="1"/>
    <row r="40" s="350" customFormat="1" ht="24.95" customHeight="1"/>
    <row r="41" s="350" customFormat="1" ht="24.95" customHeight="1"/>
    <row r="42" s="350" customFormat="1" ht="24.95" customHeight="1"/>
    <row r="43" s="350" customFormat="1" ht="24.95" customHeight="1"/>
    <row r="44" s="350" customFormat="1" ht="24.95" customHeight="1"/>
    <row r="45" s="350" customFormat="1" ht="24.95" customHeight="1"/>
    <row r="46" s="350" customFormat="1" ht="24.95" customHeight="1"/>
    <row r="47" s="350" customFormat="1" ht="24.95" customHeight="1"/>
    <row r="48" s="350" customFormat="1" ht="24.95" customHeight="1"/>
    <row r="49" s="350" customFormat="1" ht="24.95" customHeight="1"/>
    <row r="50" s="350" customFormat="1" ht="24.95" customHeight="1"/>
    <row r="51" s="350" customFormat="1" ht="24.95" customHeight="1"/>
    <row r="52" s="350" customFormat="1" ht="24.95" customHeight="1"/>
    <row r="53" s="350" customFormat="1" ht="24.95" customHeight="1"/>
    <row r="54" s="350" customFormat="1" ht="24.95" customHeight="1"/>
    <row r="55" s="350" customFormat="1" ht="24.95" customHeight="1"/>
    <row r="56" s="350" customFormat="1" ht="24.95" customHeight="1"/>
    <row r="57" s="350" customFormat="1" ht="24.95" customHeight="1"/>
    <row r="58" s="350" customFormat="1" ht="24.95" customHeight="1"/>
    <row r="59" s="350" customFormat="1" ht="24.95" customHeight="1"/>
    <row r="60" s="350" customFormat="1" ht="24.95" customHeight="1"/>
    <row r="61" s="350" customFormat="1" ht="24.95" customHeight="1"/>
    <row r="62" s="350" customFormat="1" ht="24.95" customHeight="1"/>
    <row r="63" ht="24.95" customHeight="1"/>
    <row r="64" ht="30.75" customHeight="1"/>
    <row r="65" ht="24.95" customHeight="1"/>
    <row r="66" s="350" customFormat="1" ht="24.95" customHeight="1"/>
    <row r="67" s="350" customFormat="1" ht="24.95" customHeight="1"/>
    <row r="68" s="350" customFormat="1" ht="24.95" customHeight="1"/>
    <row r="69" s="350" customFormat="1" ht="24.95" customHeight="1"/>
    <row r="70" s="350" customFormat="1" ht="24.95" customHeight="1"/>
    <row r="71" s="350" customFormat="1" ht="24.95" customHeight="1"/>
    <row r="72" s="350" customFormat="1" ht="24.95" customHeight="1"/>
    <row r="73" s="350" customFormat="1" ht="24.95" customHeight="1"/>
    <row r="74" s="350" customFormat="1" ht="24.95" customHeight="1"/>
    <row r="75" s="350" customFormat="1" ht="24.95" customHeight="1"/>
    <row r="76" s="350" customFormat="1" ht="24.95" customHeight="1"/>
    <row r="77" s="350" customFormat="1" ht="24.95" customHeight="1"/>
    <row r="78" s="350" customFormat="1" ht="24.95" customHeight="1"/>
    <row r="79" s="350" customFormat="1" ht="24.95" customHeight="1"/>
    <row r="80" s="350" customFormat="1" ht="24.95" customHeight="1"/>
    <row r="81" s="350" customFormat="1" ht="24.95" customHeight="1"/>
    <row r="82" s="350" customFormat="1" ht="24.95" customHeight="1"/>
    <row r="83" s="350" customFormat="1" ht="24.95" customHeight="1"/>
    <row r="84" s="350" customFormat="1" ht="24.95" customHeight="1"/>
    <row r="85" s="350" customFormat="1" ht="24.95" customHeight="1"/>
    <row r="86" s="350" customFormat="1" ht="24.95" customHeight="1"/>
    <row r="87" s="350" customFormat="1" ht="24.95" customHeight="1"/>
    <row r="88" s="350" customFormat="1" ht="24.95" customHeight="1"/>
    <row r="89" s="350" customFormat="1" ht="24.95" customHeight="1"/>
    <row r="90" s="350" customFormat="1" ht="24.95" customHeight="1"/>
    <row r="91" s="350" customFormat="1" ht="24.95" customHeight="1"/>
    <row r="92" s="350" customFormat="1" ht="24.95" customHeight="1"/>
    <row r="93" s="350" customFormat="1" ht="24.95" customHeight="1"/>
    <row r="94" s="350" customFormat="1" ht="24.95" customHeight="1"/>
    <row r="95" s="350" customFormat="1" ht="24.95" customHeight="1"/>
    <row r="96" s="350" customFormat="1" ht="24.95" customHeight="1"/>
    <row r="97" s="350" customFormat="1" ht="24.95" customHeight="1"/>
  </sheetData>
  <mergeCells count="2">
    <mergeCell ref="A4:A14"/>
    <mergeCell ref="A15:A27"/>
  </mergeCells>
  <phoneticPr fontId="60" type="noConversion"/>
  <pageMargins left="0.31496062992125984" right="0.35433070866141736" top="0.74803149606299213" bottom="0.74803149606299213" header="0.31496062992125984" footer="0.31496062992125984"/>
  <pageSetup paperSize="9" scale="88" orientation="portrait" r:id="rId1"/>
  <rowBreaks count="2" manualBreakCount="2">
    <brk id="27" max="8" man="1"/>
    <brk id="62" max="8" man="1"/>
  </rowBreaks>
  <drawing r:id="rId2"/>
  <legacy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28">
    <pageSetUpPr fitToPage="1"/>
  </sheetPr>
  <dimension ref="A1:M27"/>
  <sheetViews>
    <sheetView view="pageBreakPreview" zoomScale="85" zoomScaleNormal="100" zoomScaleSheetLayoutView="85" workbookViewId="0">
      <selection activeCell="J28" sqref="J28:R28"/>
    </sheetView>
  </sheetViews>
  <sheetFormatPr defaultRowHeight="16.5"/>
  <cols>
    <col min="1" max="1" width="6.375" customWidth="1"/>
    <col min="2" max="2" width="21.5" customWidth="1"/>
    <col min="3" max="3" width="15.25" customWidth="1"/>
    <col min="4" max="4" width="11.5" customWidth="1"/>
    <col min="5" max="5" width="14.25" customWidth="1"/>
    <col min="6" max="6" width="6.5" customWidth="1"/>
    <col min="7" max="7" width="6.75" customWidth="1"/>
    <col min="8" max="8" width="7" customWidth="1"/>
    <col min="9" max="9" width="8.25" customWidth="1"/>
    <col min="11" max="13" width="9" customWidth="1"/>
  </cols>
  <sheetData>
    <row r="1" spans="1:13" ht="33.75">
      <c r="A1" s="356" t="s">
        <v>2999</v>
      </c>
      <c r="B1" s="349"/>
      <c r="C1" s="349"/>
      <c r="D1" s="349"/>
      <c r="E1" s="349"/>
      <c r="F1" s="349"/>
      <c r="G1" s="349"/>
      <c r="H1" s="349"/>
      <c r="I1" s="349"/>
    </row>
    <row r="2" spans="1:13" ht="24.95" customHeight="1">
      <c r="A2" s="167" t="s">
        <v>3202</v>
      </c>
      <c r="F2" s="348"/>
      <c r="K2" t="s">
        <v>816</v>
      </c>
    </row>
    <row r="3" spans="1:13" ht="24.95" customHeight="1">
      <c r="A3" s="431" t="s">
        <v>817</v>
      </c>
      <c r="B3" s="432" t="s">
        <v>818</v>
      </c>
      <c r="C3" s="432" t="s">
        <v>819</v>
      </c>
      <c r="D3" s="432" t="s">
        <v>820</v>
      </c>
      <c r="E3" s="432" t="s">
        <v>821</v>
      </c>
      <c r="F3" s="432" t="s">
        <v>822</v>
      </c>
      <c r="G3" s="432" t="s">
        <v>823</v>
      </c>
      <c r="H3" s="432" t="s">
        <v>824</v>
      </c>
      <c r="I3" s="433" t="s">
        <v>825</v>
      </c>
      <c r="K3" s="352" t="s">
        <v>824</v>
      </c>
      <c r="L3" s="352" t="s">
        <v>3160</v>
      </c>
      <c r="M3" s="352" t="s">
        <v>3161</v>
      </c>
    </row>
    <row r="4" spans="1:13" ht="24.95" customHeight="1">
      <c r="A4" s="2142" t="s">
        <v>3229</v>
      </c>
      <c r="B4" s="409" t="s">
        <v>341</v>
      </c>
      <c r="C4" s="409" t="s">
        <v>827</v>
      </c>
      <c r="D4" s="409" t="s">
        <v>1745</v>
      </c>
      <c r="E4" s="409" t="s">
        <v>1011</v>
      </c>
      <c r="F4" s="410" t="s">
        <v>814</v>
      </c>
      <c r="G4" s="411">
        <v>1</v>
      </c>
      <c r="H4" s="411">
        <f t="shared" ref="H4:H27" si="0">INT(G4*K4)</f>
        <v>9</v>
      </c>
      <c r="I4" s="372"/>
      <c r="J4" s="350"/>
      <c r="K4" s="351">
        <f t="shared" ref="K4:K27" si="1">SUM(L4:M4)</f>
        <v>9</v>
      </c>
      <c r="L4" s="683">
        <f>(1+7+1)</f>
        <v>9</v>
      </c>
      <c r="M4" s="683"/>
    </row>
    <row r="5" spans="1:13" ht="24.95" customHeight="1">
      <c r="A5" s="2143"/>
      <c r="B5" s="409" t="s">
        <v>341</v>
      </c>
      <c r="C5" s="409" t="s">
        <v>828</v>
      </c>
      <c r="D5" s="409" t="s">
        <v>1745</v>
      </c>
      <c r="E5" s="409" t="s">
        <v>1010</v>
      </c>
      <c r="F5" s="410" t="s">
        <v>814</v>
      </c>
      <c r="G5" s="411">
        <v>1</v>
      </c>
      <c r="H5" s="411">
        <f t="shared" si="0"/>
        <v>9</v>
      </c>
      <c r="I5" s="372"/>
      <c r="J5" s="350"/>
      <c r="K5" s="351">
        <f t="shared" si="1"/>
        <v>9</v>
      </c>
      <c r="L5" s="683">
        <f>(1+7+1)</f>
        <v>9</v>
      </c>
      <c r="M5" s="683"/>
    </row>
    <row r="6" spans="1:13" ht="24.95" customHeight="1">
      <c r="A6" s="2143"/>
      <c r="B6" s="409" t="s">
        <v>341</v>
      </c>
      <c r="C6" s="409" t="s">
        <v>1033</v>
      </c>
      <c r="D6" s="409" t="s">
        <v>1745</v>
      </c>
      <c r="E6" s="409" t="s">
        <v>1034</v>
      </c>
      <c r="F6" s="410" t="s">
        <v>814</v>
      </c>
      <c r="G6" s="411">
        <v>1</v>
      </c>
      <c r="H6" s="411">
        <f t="shared" si="0"/>
        <v>9</v>
      </c>
      <c r="I6" s="372"/>
      <c r="J6" s="350"/>
      <c r="K6" s="351">
        <f t="shared" si="1"/>
        <v>9</v>
      </c>
      <c r="L6" s="683">
        <f>L5</f>
        <v>9</v>
      </c>
      <c r="M6" s="652"/>
    </row>
    <row r="7" spans="1:13" s="22" customFormat="1" ht="24.95" customHeight="1">
      <c r="A7" s="2143"/>
      <c r="B7" s="457" t="s">
        <v>1372</v>
      </c>
      <c r="C7" s="457" t="s">
        <v>1035</v>
      </c>
      <c r="D7" s="457" t="s">
        <v>829</v>
      </c>
      <c r="E7" s="457" t="s">
        <v>426</v>
      </c>
      <c r="F7" s="394" t="s">
        <v>814</v>
      </c>
      <c r="G7" s="393">
        <v>1</v>
      </c>
      <c r="H7" s="393">
        <f t="shared" si="0"/>
        <v>3</v>
      </c>
      <c r="I7" s="682"/>
      <c r="J7" s="34"/>
      <c r="K7" s="587">
        <f t="shared" si="1"/>
        <v>3</v>
      </c>
      <c r="L7" s="683">
        <v>3</v>
      </c>
      <c r="M7" s="683"/>
    </row>
    <row r="8" spans="1:13" s="194" customFormat="1" ht="24.95" customHeight="1">
      <c r="A8" s="2143"/>
      <c r="B8" s="409" t="s">
        <v>830</v>
      </c>
      <c r="C8" s="409" t="s">
        <v>831</v>
      </c>
      <c r="D8" s="409" t="s">
        <v>429</v>
      </c>
      <c r="E8" s="409" t="s">
        <v>430</v>
      </c>
      <c r="F8" s="410" t="s">
        <v>814</v>
      </c>
      <c r="G8" s="411">
        <v>8</v>
      </c>
      <c r="H8" s="411">
        <f t="shared" si="0"/>
        <v>24</v>
      </c>
      <c r="I8" s="372" t="s">
        <v>1682</v>
      </c>
      <c r="J8" s="350"/>
      <c r="K8" s="351">
        <f t="shared" si="1"/>
        <v>3</v>
      </c>
      <c r="L8" s="652">
        <f>1+1+1</f>
        <v>3</v>
      </c>
      <c r="M8" s="652"/>
    </row>
    <row r="9" spans="1:13" s="194" customFormat="1" ht="24.95" customHeight="1">
      <c r="A9" s="2143"/>
      <c r="B9" s="409" t="s">
        <v>833</v>
      </c>
      <c r="C9" s="409" t="s">
        <v>831</v>
      </c>
      <c r="D9" s="409" t="s">
        <v>429</v>
      </c>
      <c r="E9" s="409" t="s">
        <v>834</v>
      </c>
      <c r="F9" s="410" t="s">
        <v>814</v>
      </c>
      <c r="G9" s="411">
        <f>G8/2</f>
        <v>4</v>
      </c>
      <c r="H9" s="411">
        <f t="shared" si="0"/>
        <v>12</v>
      </c>
      <c r="I9" s="372"/>
      <c r="J9" s="350"/>
      <c r="K9" s="351">
        <f t="shared" si="1"/>
        <v>3</v>
      </c>
      <c r="L9" s="652">
        <f>1+1+1</f>
        <v>3</v>
      </c>
      <c r="M9" s="652"/>
    </row>
    <row r="10" spans="1:13" s="194" customFormat="1" ht="24.95" hidden="1" customHeight="1">
      <c r="A10" s="2143"/>
      <c r="B10" s="409" t="s">
        <v>835</v>
      </c>
      <c r="C10" s="409" t="s">
        <v>1237</v>
      </c>
      <c r="D10" s="409" t="s">
        <v>1175</v>
      </c>
      <c r="E10" s="409" t="s">
        <v>1176</v>
      </c>
      <c r="F10" s="410" t="s">
        <v>814</v>
      </c>
      <c r="G10" s="411">
        <v>2</v>
      </c>
      <c r="H10" s="411">
        <f t="shared" si="0"/>
        <v>0</v>
      </c>
      <c r="I10" s="372" t="s">
        <v>1540</v>
      </c>
      <c r="J10" s="350"/>
      <c r="K10" s="351">
        <f t="shared" si="1"/>
        <v>0</v>
      </c>
      <c r="L10" s="652"/>
      <c r="M10" s="652"/>
    </row>
    <row r="11" spans="1:13" s="22" customFormat="1" ht="24.95" hidden="1" customHeight="1">
      <c r="A11" s="2143"/>
      <c r="B11" s="457" t="s">
        <v>1018</v>
      </c>
      <c r="C11" s="457" t="s">
        <v>1237</v>
      </c>
      <c r="D11" s="457" t="s">
        <v>1175</v>
      </c>
      <c r="E11" s="457" t="s">
        <v>838</v>
      </c>
      <c r="F11" s="394" t="s">
        <v>814</v>
      </c>
      <c r="G11" s="393">
        <v>1</v>
      </c>
      <c r="H11" s="393">
        <f t="shared" si="0"/>
        <v>0</v>
      </c>
      <c r="I11" s="682"/>
      <c r="J11" s="34"/>
      <c r="K11" s="587">
        <f t="shared" si="1"/>
        <v>0</v>
      </c>
      <c r="L11" s="652"/>
      <c r="M11" s="652"/>
    </row>
    <row r="12" spans="1:13" s="22" customFormat="1" ht="24.95" customHeight="1">
      <c r="A12" s="2143"/>
      <c r="B12" s="457" t="s">
        <v>835</v>
      </c>
      <c r="C12" s="457" t="s">
        <v>839</v>
      </c>
      <c r="D12" s="457" t="s">
        <v>459</v>
      </c>
      <c r="E12" s="457" t="s">
        <v>840</v>
      </c>
      <c r="F12" s="394" t="s">
        <v>814</v>
      </c>
      <c r="G12" s="393">
        <v>1</v>
      </c>
      <c r="H12" s="393">
        <f t="shared" si="0"/>
        <v>3</v>
      </c>
      <c r="I12" s="682"/>
      <c r="J12" s="34"/>
      <c r="K12" s="587">
        <f t="shared" si="1"/>
        <v>3</v>
      </c>
      <c r="L12" s="683">
        <v>3</v>
      </c>
      <c r="M12" s="683"/>
    </row>
    <row r="13" spans="1:13" s="22" customFormat="1" ht="24.95" customHeight="1">
      <c r="A13" s="2143"/>
      <c r="B13" s="457" t="s">
        <v>1018</v>
      </c>
      <c r="C13" s="457" t="s">
        <v>839</v>
      </c>
      <c r="D13" s="457" t="s">
        <v>459</v>
      </c>
      <c r="E13" s="457" t="s">
        <v>838</v>
      </c>
      <c r="F13" s="394" t="s">
        <v>814</v>
      </c>
      <c r="G13" s="393">
        <v>1</v>
      </c>
      <c r="H13" s="393">
        <f t="shared" si="0"/>
        <v>3</v>
      </c>
      <c r="I13" s="682"/>
      <c r="J13" s="34"/>
      <c r="K13" s="587">
        <f t="shared" si="1"/>
        <v>3</v>
      </c>
      <c r="L13" s="683">
        <v>3</v>
      </c>
      <c r="M13" s="683"/>
    </row>
    <row r="14" spans="1:13" s="22" customFormat="1" ht="24.95" hidden="1" customHeight="1">
      <c r="A14" s="2144"/>
      <c r="B14" s="457" t="s">
        <v>842</v>
      </c>
      <c r="C14" s="457" t="s">
        <v>1014</v>
      </c>
      <c r="D14" s="457" t="s">
        <v>1013</v>
      </c>
      <c r="E14" s="457" t="s">
        <v>1015</v>
      </c>
      <c r="F14" s="394" t="s">
        <v>814</v>
      </c>
      <c r="G14" s="393">
        <v>1</v>
      </c>
      <c r="H14" s="393">
        <f t="shared" si="0"/>
        <v>0</v>
      </c>
      <c r="I14" s="682" t="s">
        <v>1236</v>
      </c>
      <c r="J14" s="34"/>
      <c r="K14" s="587">
        <f t="shared" si="1"/>
        <v>0</v>
      </c>
      <c r="L14" s="683"/>
      <c r="M14" s="683"/>
    </row>
    <row r="15" spans="1:13" s="194" customFormat="1" ht="24.95" customHeight="1">
      <c r="A15" s="2142" t="s">
        <v>3230</v>
      </c>
      <c r="B15" s="409" t="s">
        <v>341</v>
      </c>
      <c r="C15" s="409" t="s">
        <v>827</v>
      </c>
      <c r="D15" s="409" t="s">
        <v>342</v>
      </c>
      <c r="E15" s="409" t="s">
        <v>1031</v>
      </c>
      <c r="F15" s="410" t="s">
        <v>814</v>
      </c>
      <c r="G15" s="411">
        <v>1</v>
      </c>
      <c r="H15" s="411">
        <f t="shared" si="0"/>
        <v>9</v>
      </c>
      <c r="I15" s="372"/>
      <c r="J15" s="350"/>
      <c r="K15" s="351">
        <f t="shared" si="1"/>
        <v>9</v>
      </c>
      <c r="L15" s="652"/>
      <c r="M15" s="683">
        <f>(1+7+1)</f>
        <v>9</v>
      </c>
    </row>
    <row r="16" spans="1:13" s="194" customFormat="1" ht="24.95" customHeight="1">
      <c r="A16" s="2145"/>
      <c r="B16" s="409" t="s">
        <v>341</v>
      </c>
      <c r="C16" s="409" t="s">
        <v>828</v>
      </c>
      <c r="D16" s="409" t="s">
        <v>342</v>
      </c>
      <c r="E16" s="409" t="s">
        <v>1032</v>
      </c>
      <c r="F16" s="410" t="s">
        <v>814</v>
      </c>
      <c r="G16" s="411">
        <v>1</v>
      </c>
      <c r="H16" s="411">
        <f t="shared" si="0"/>
        <v>9</v>
      </c>
      <c r="I16" s="372"/>
      <c r="J16" s="350"/>
      <c r="K16" s="351">
        <f t="shared" si="1"/>
        <v>9</v>
      </c>
      <c r="L16" s="652"/>
      <c r="M16" s="683">
        <f>(1+7+1)</f>
        <v>9</v>
      </c>
    </row>
    <row r="17" spans="1:13" s="194" customFormat="1" ht="24.95" customHeight="1">
      <c r="A17" s="2145"/>
      <c r="B17" s="409" t="s">
        <v>341</v>
      </c>
      <c r="C17" s="409" t="s">
        <v>846</v>
      </c>
      <c r="D17" s="409" t="s">
        <v>342</v>
      </c>
      <c r="E17" s="409" t="s">
        <v>1034</v>
      </c>
      <c r="F17" s="410" t="s">
        <v>814</v>
      </c>
      <c r="G17" s="411">
        <v>1</v>
      </c>
      <c r="H17" s="411">
        <f t="shared" si="0"/>
        <v>9</v>
      </c>
      <c r="I17" s="372"/>
      <c r="J17" s="350"/>
      <c r="K17" s="351">
        <f t="shared" si="1"/>
        <v>9</v>
      </c>
      <c r="L17" s="652"/>
      <c r="M17" s="652">
        <f>M16</f>
        <v>9</v>
      </c>
    </row>
    <row r="18" spans="1:13" s="194" customFormat="1" ht="24.95" customHeight="1">
      <c r="A18" s="2145"/>
      <c r="B18" s="409" t="s">
        <v>1372</v>
      </c>
      <c r="C18" s="409" t="s">
        <v>1035</v>
      </c>
      <c r="D18" s="409" t="s">
        <v>829</v>
      </c>
      <c r="E18" s="409" t="s">
        <v>426</v>
      </c>
      <c r="F18" s="410" t="s">
        <v>814</v>
      </c>
      <c r="G18" s="411">
        <v>1</v>
      </c>
      <c r="H18" s="411">
        <f t="shared" si="0"/>
        <v>3</v>
      </c>
      <c r="I18" s="372"/>
      <c r="J18" s="350"/>
      <c r="K18" s="351">
        <f t="shared" si="1"/>
        <v>3</v>
      </c>
      <c r="L18" s="652"/>
      <c r="M18" s="683">
        <v>3</v>
      </c>
    </row>
    <row r="19" spans="1:13" s="194" customFormat="1" ht="24.95" customHeight="1">
      <c r="A19" s="2145"/>
      <c r="B19" s="409" t="s">
        <v>830</v>
      </c>
      <c r="C19" s="409" t="s">
        <v>831</v>
      </c>
      <c r="D19" s="409" t="s">
        <v>429</v>
      </c>
      <c r="E19" s="409" t="s">
        <v>430</v>
      </c>
      <c r="F19" s="410" t="s">
        <v>814</v>
      </c>
      <c r="G19" s="411">
        <v>8</v>
      </c>
      <c r="H19" s="411">
        <f t="shared" si="0"/>
        <v>0</v>
      </c>
      <c r="I19" s="372" t="s">
        <v>1296</v>
      </c>
      <c r="J19" s="350"/>
      <c r="K19" s="351">
        <f t="shared" si="1"/>
        <v>0</v>
      </c>
      <c r="L19" s="351"/>
      <c r="M19" s="652"/>
    </row>
    <row r="20" spans="1:13" s="194" customFormat="1" ht="24.95" customHeight="1">
      <c r="A20" s="2145"/>
      <c r="B20" s="409" t="s">
        <v>833</v>
      </c>
      <c r="C20" s="409" t="s">
        <v>831</v>
      </c>
      <c r="D20" s="409" t="s">
        <v>429</v>
      </c>
      <c r="E20" s="409" t="s">
        <v>834</v>
      </c>
      <c r="F20" s="410" t="s">
        <v>814</v>
      </c>
      <c r="G20" s="411">
        <v>4</v>
      </c>
      <c r="H20" s="411">
        <f t="shared" si="0"/>
        <v>0</v>
      </c>
      <c r="I20" s="372"/>
      <c r="J20" s="350"/>
      <c r="K20" s="351">
        <f t="shared" si="1"/>
        <v>0</v>
      </c>
      <c r="L20" s="351"/>
      <c r="M20" s="652"/>
    </row>
    <row r="21" spans="1:13" s="194" customFormat="1" ht="24.95" customHeight="1">
      <c r="A21" s="2145"/>
      <c r="B21" s="409" t="s">
        <v>835</v>
      </c>
      <c r="C21" s="409" t="s">
        <v>1017</v>
      </c>
      <c r="D21" s="409" t="s">
        <v>836</v>
      </c>
      <c r="E21" s="409" t="s">
        <v>837</v>
      </c>
      <c r="F21" s="410" t="s">
        <v>814</v>
      </c>
      <c r="G21" s="411">
        <v>2</v>
      </c>
      <c r="H21" s="411">
        <f t="shared" si="0"/>
        <v>10</v>
      </c>
      <c r="I21" s="372"/>
      <c r="J21" s="350"/>
      <c r="K21" s="351">
        <f t="shared" si="1"/>
        <v>5</v>
      </c>
      <c r="L21" s="683"/>
      <c r="M21" s="652">
        <v>5</v>
      </c>
    </row>
    <row r="22" spans="1:13" s="194" customFormat="1" ht="24.95" customHeight="1">
      <c r="A22" s="2145"/>
      <c r="B22" s="409" t="s">
        <v>719</v>
      </c>
      <c r="C22" s="409" t="s">
        <v>1017</v>
      </c>
      <c r="D22" s="409" t="s">
        <v>836</v>
      </c>
      <c r="E22" s="409" t="s">
        <v>838</v>
      </c>
      <c r="F22" s="410" t="s">
        <v>814</v>
      </c>
      <c r="G22" s="411">
        <f>G21/2</f>
        <v>1</v>
      </c>
      <c r="H22" s="411">
        <f t="shared" si="0"/>
        <v>5</v>
      </c>
      <c r="I22" s="372"/>
      <c r="J22" s="350"/>
      <c r="K22" s="351">
        <f t="shared" si="1"/>
        <v>5</v>
      </c>
      <c r="L22" s="683"/>
      <c r="M22" s="652">
        <v>5</v>
      </c>
    </row>
    <row r="23" spans="1:13" s="194" customFormat="1" ht="24.95" customHeight="1">
      <c r="A23" s="2145"/>
      <c r="B23" s="409" t="s">
        <v>835</v>
      </c>
      <c r="C23" s="409" t="s">
        <v>839</v>
      </c>
      <c r="D23" s="409" t="s">
        <v>459</v>
      </c>
      <c r="E23" s="409" t="s">
        <v>840</v>
      </c>
      <c r="F23" s="410" t="s">
        <v>814</v>
      </c>
      <c r="G23" s="411">
        <v>1</v>
      </c>
      <c r="H23" s="411">
        <f t="shared" si="0"/>
        <v>4</v>
      </c>
      <c r="I23" s="372"/>
      <c r="J23" s="350"/>
      <c r="K23" s="351">
        <f t="shared" si="1"/>
        <v>4</v>
      </c>
      <c r="L23" s="351"/>
      <c r="M23" s="683">
        <v>4</v>
      </c>
    </row>
    <row r="24" spans="1:13" s="194" customFormat="1" ht="24.95" customHeight="1">
      <c r="A24" s="2145"/>
      <c r="B24" s="409" t="s">
        <v>719</v>
      </c>
      <c r="C24" s="409" t="s">
        <v>839</v>
      </c>
      <c r="D24" s="409" t="s">
        <v>459</v>
      </c>
      <c r="E24" s="409" t="s">
        <v>838</v>
      </c>
      <c r="F24" s="410" t="s">
        <v>814</v>
      </c>
      <c r="G24" s="411">
        <v>1</v>
      </c>
      <c r="H24" s="411">
        <f t="shared" si="0"/>
        <v>4</v>
      </c>
      <c r="I24" s="372"/>
      <c r="J24" s="350"/>
      <c r="K24" s="351">
        <f t="shared" si="1"/>
        <v>4</v>
      </c>
      <c r="L24" s="351"/>
      <c r="M24" s="683">
        <v>4</v>
      </c>
    </row>
    <row r="25" spans="1:13" s="194" customFormat="1" ht="24.95" hidden="1" customHeight="1">
      <c r="A25" s="2145"/>
      <c r="B25" s="409" t="s">
        <v>842</v>
      </c>
      <c r="C25" s="409" t="s">
        <v>843</v>
      </c>
      <c r="D25" s="409" t="s">
        <v>841</v>
      </c>
      <c r="E25" s="409" t="s">
        <v>1015</v>
      </c>
      <c r="F25" s="410" t="s">
        <v>814</v>
      </c>
      <c r="G25" s="411">
        <v>1</v>
      </c>
      <c r="H25" s="411">
        <f t="shared" si="0"/>
        <v>0</v>
      </c>
      <c r="I25" s="372" t="s">
        <v>1296</v>
      </c>
      <c r="J25" s="350"/>
      <c r="K25" s="351">
        <f t="shared" si="1"/>
        <v>0</v>
      </c>
      <c r="L25" s="351"/>
      <c r="M25" s="683"/>
    </row>
    <row r="26" spans="1:13" ht="24.95" hidden="1" customHeight="1">
      <c r="A26" s="2145"/>
      <c r="B26" s="409" t="s">
        <v>842</v>
      </c>
      <c r="C26" s="409" t="s">
        <v>844</v>
      </c>
      <c r="D26" s="409" t="s">
        <v>155</v>
      </c>
      <c r="E26" s="409" t="s">
        <v>1016</v>
      </c>
      <c r="F26" s="410" t="s">
        <v>814</v>
      </c>
      <c r="G26" s="411">
        <v>1</v>
      </c>
      <c r="H26" s="411">
        <f t="shared" si="0"/>
        <v>0</v>
      </c>
      <c r="I26" s="372" t="s">
        <v>1161</v>
      </c>
      <c r="J26" s="350"/>
      <c r="K26" s="351">
        <f t="shared" si="1"/>
        <v>0</v>
      </c>
      <c r="L26" s="587"/>
      <c r="M26" s="351"/>
    </row>
    <row r="27" spans="1:13" ht="24.95" hidden="1" customHeight="1">
      <c r="A27" s="2146"/>
      <c r="B27" s="412" t="s">
        <v>847</v>
      </c>
      <c r="C27" s="412" t="s">
        <v>155</v>
      </c>
      <c r="D27" s="412" t="s">
        <v>845</v>
      </c>
      <c r="E27" s="412" t="s">
        <v>1016</v>
      </c>
      <c r="F27" s="413" t="s">
        <v>814</v>
      </c>
      <c r="G27" s="414">
        <v>1</v>
      </c>
      <c r="H27" s="414">
        <f t="shared" si="0"/>
        <v>0</v>
      </c>
      <c r="I27" s="434"/>
      <c r="J27" s="350"/>
      <c r="K27" s="351">
        <f t="shared" si="1"/>
        <v>0</v>
      </c>
      <c r="L27" s="587"/>
      <c r="M27" s="351"/>
    </row>
  </sheetData>
  <mergeCells count="2">
    <mergeCell ref="A4:A14"/>
    <mergeCell ref="A15:A27"/>
  </mergeCells>
  <phoneticPr fontId="60" type="noConversion"/>
  <pageMargins left="0.39370078740157483" right="0.23622047244094491" top="0.74803149606299213" bottom="0.55118110236220474" header="0.31496062992125984" footer="0.31496062992125984"/>
  <pageSetup paperSize="9" scale="92"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1A29B-F1F6-403C-B20D-B075E1CC77ED}">
  <dimension ref="A1:BY50"/>
  <sheetViews>
    <sheetView view="pageBreakPreview" zoomScale="85" zoomScaleNormal="100" zoomScaleSheetLayoutView="85" workbookViewId="0">
      <selection activeCell="J28" sqref="J28:R28"/>
    </sheetView>
  </sheetViews>
  <sheetFormatPr defaultRowHeight="20.100000000000001" customHeight="1"/>
  <cols>
    <col min="1" max="2" width="1.75" style="1442" customWidth="1"/>
    <col min="3" max="8" width="2.75" style="1442" customWidth="1"/>
    <col min="9" max="9" width="3.625" style="1442" customWidth="1"/>
    <col min="10" max="18" width="2.625" style="1442" customWidth="1"/>
    <col min="19" max="27" width="2.75" style="1442" customWidth="1"/>
    <col min="28" max="30" width="2.875" style="1442" customWidth="1"/>
    <col min="31" max="32" width="3.125" style="1442" customWidth="1"/>
    <col min="33" max="35" width="2.375" style="1442" customWidth="1"/>
    <col min="36" max="38" width="2.75" style="1442" customWidth="1"/>
    <col min="39" max="42" width="2" style="1442" customWidth="1"/>
    <col min="43" max="43" width="5.125" style="1442" customWidth="1"/>
    <col min="44" max="44" width="3.25" style="1442" customWidth="1"/>
    <col min="45" max="89" width="2.75" style="1442" customWidth="1"/>
    <col min="90" max="16384" width="9" style="1442"/>
  </cols>
  <sheetData>
    <row r="1" spans="1:56" ht="38.25">
      <c r="A1" s="2229" t="s">
        <v>2955</v>
      </c>
      <c r="B1" s="2229"/>
      <c r="C1" s="2229"/>
      <c r="D1" s="2229"/>
      <c r="E1" s="2229"/>
      <c r="F1" s="2229"/>
      <c r="G1" s="2229"/>
      <c r="H1" s="2229"/>
      <c r="I1" s="2229"/>
      <c r="J1" s="2229"/>
      <c r="K1" s="2229"/>
      <c r="L1" s="2229"/>
      <c r="M1" s="2229"/>
      <c r="N1" s="2229"/>
      <c r="O1" s="2229"/>
      <c r="P1" s="2229"/>
      <c r="Q1" s="2229"/>
      <c r="R1" s="2229"/>
      <c r="S1" s="2229"/>
      <c r="T1" s="2229"/>
      <c r="U1" s="2229"/>
      <c r="V1" s="2229"/>
      <c r="W1" s="2229"/>
      <c r="X1" s="2229"/>
      <c r="Y1" s="2229"/>
      <c r="Z1" s="2229"/>
      <c r="AA1" s="2229"/>
      <c r="AB1" s="2229"/>
      <c r="AC1" s="2229"/>
      <c r="AD1" s="2229"/>
      <c r="AE1" s="2229"/>
      <c r="AF1" s="2229"/>
      <c r="AG1" s="2229"/>
      <c r="AH1" s="2229"/>
      <c r="AI1" s="2229"/>
      <c r="AJ1" s="2229"/>
      <c r="AK1" s="2229"/>
      <c r="AL1" s="2229"/>
      <c r="AM1" s="2229"/>
      <c r="AN1" s="2229"/>
      <c r="AO1" s="2229"/>
      <c r="AP1" s="2229"/>
      <c r="AQ1" s="2229"/>
      <c r="AR1" s="2229"/>
      <c r="AS1" s="2229"/>
    </row>
    <row r="2" spans="1:56" ht="13.5" customHeight="1">
      <c r="A2" s="1487"/>
      <c r="B2" s="1487"/>
      <c r="C2" s="1487"/>
      <c r="D2" s="1487"/>
      <c r="E2" s="1487"/>
      <c r="F2" s="1487"/>
      <c r="G2" s="1487"/>
      <c r="H2" s="1487"/>
      <c r="I2" s="1487"/>
      <c r="J2" s="1487"/>
      <c r="K2" s="1487"/>
      <c r="L2" s="1487"/>
      <c r="M2" s="1487"/>
      <c r="N2" s="1487"/>
      <c r="O2" s="1487"/>
      <c r="P2" s="1487"/>
      <c r="Q2" s="1487"/>
      <c r="R2" s="1487"/>
      <c r="S2" s="1487"/>
      <c r="T2" s="1487"/>
      <c r="U2" s="1487"/>
      <c r="V2" s="1487"/>
      <c r="W2" s="1487"/>
      <c r="X2" s="1487"/>
      <c r="Y2" s="1487"/>
      <c r="Z2" s="1487"/>
      <c r="AA2" s="1487"/>
      <c r="AB2" s="1487"/>
      <c r="AC2" s="1487"/>
      <c r="AD2" s="1487"/>
      <c r="AE2" s="1487"/>
      <c r="AF2" s="1487"/>
      <c r="AG2" s="1487"/>
      <c r="AH2" s="1487"/>
      <c r="AI2" s="1487"/>
      <c r="AJ2" s="1487"/>
      <c r="AK2" s="1487"/>
      <c r="AL2" s="1487"/>
      <c r="AM2" s="1487"/>
      <c r="AN2" s="1487"/>
      <c r="AO2" s="1487"/>
      <c r="AP2" s="1487"/>
      <c r="AQ2" s="1487"/>
      <c r="AR2" s="1487"/>
      <c r="AS2" s="1470"/>
    </row>
    <row r="3" spans="1:56" s="1443" customFormat="1" ht="20.100000000000001" customHeight="1">
      <c r="A3" s="1486" t="s">
        <v>2514</v>
      </c>
      <c r="B3" s="1486"/>
      <c r="C3" s="1485"/>
      <c r="D3" s="1485"/>
      <c r="E3" s="1485"/>
      <c r="F3" s="1485"/>
      <c r="G3" s="1485"/>
      <c r="H3" s="1485"/>
      <c r="I3" s="1485"/>
      <c r="J3" s="1485"/>
      <c r="K3" s="1485"/>
      <c r="L3" s="1485"/>
      <c r="M3" s="1485"/>
      <c r="N3" s="1485"/>
      <c r="O3" s="1485"/>
      <c r="P3" s="1485"/>
      <c r="Q3" s="1485"/>
      <c r="R3" s="1485"/>
      <c r="S3" s="1485"/>
      <c r="T3" s="1485"/>
      <c r="U3" s="1485"/>
      <c r="V3" s="1485"/>
      <c r="W3" s="1485"/>
      <c r="X3" s="1485"/>
      <c r="Y3" s="1485"/>
      <c r="Z3" s="1485"/>
      <c r="AA3" s="1485"/>
      <c r="AB3" s="1485"/>
      <c r="AC3" s="1485"/>
      <c r="AD3" s="1485"/>
      <c r="AE3" s="1485"/>
      <c r="AF3" s="1485"/>
      <c r="AG3" s="1485"/>
      <c r="AH3" s="1485"/>
      <c r="AI3" s="1485"/>
      <c r="AJ3" s="1485"/>
      <c r="AK3" s="1485"/>
      <c r="AL3" s="1485"/>
      <c r="AM3" s="1485"/>
      <c r="AN3" s="1485"/>
      <c r="AO3" s="1485"/>
      <c r="AP3" s="1485"/>
      <c r="AQ3" s="1485"/>
      <c r="AR3" s="1485"/>
      <c r="AS3" s="1485"/>
      <c r="AT3" s="1444"/>
    </row>
    <row r="4" spans="1:56" s="1444" customFormat="1" ht="20.100000000000001" customHeight="1">
      <c r="B4" s="1444" t="s">
        <v>2969</v>
      </c>
    </row>
    <row r="5" spans="1:56" s="1444" customFormat="1" ht="20.100000000000001" customHeight="1"/>
    <row r="6" spans="1:56" s="1443" customFormat="1" ht="20.100000000000001" customHeight="1">
      <c r="A6" s="1486" t="s">
        <v>2513</v>
      </c>
      <c r="B6" s="1486"/>
      <c r="C6" s="1485"/>
      <c r="D6" s="1485"/>
      <c r="E6" s="1485"/>
      <c r="F6" s="1485"/>
      <c r="G6" s="1485"/>
      <c r="H6" s="1485"/>
      <c r="I6" s="1485"/>
      <c r="J6" s="1485"/>
      <c r="K6" s="1485"/>
      <c r="L6" s="1485"/>
      <c r="M6" s="1485"/>
      <c r="N6" s="1485"/>
      <c r="O6" s="1485"/>
      <c r="P6" s="1485"/>
      <c r="Q6" s="1485"/>
      <c r="R6" s="1485"/>
      <c r="S6" s="1485"/>
      <c r="T6" s="1485"/>
      <c r="U6" s="1485"/>
      <c r="V6" s="1485"/>
      <c r="W6" s="1485"/>
      <c r="X6" s="1485"/>
      <c r="Y6" s="1485"/>
      <c r="Z6" s="1485"/>
      <c r="AA6" s="1485"/>
      <c r="AB6" s="1485"/>
      <c r="AC6" s="1485"/>
      <c r="AD6" s="1485"/>
      <c r="AE6" s="1485"/>
      <c r="AF6" s="1485"/>
      <c r="AG6" s="1485"/>
      <c r="AH6" s="1485"/>
      <c r="AI6" s="1485"/>
      <c r="AJ6" s="1485"/>
      <c r="AK6" s="1485"/>
      <c r="AL6" s="1485"/>
      <c r="AM6" s="1485"/>
      <c r="AN6" s="1485"/>
      <c r="AO6" s="1485"/>
      <c r="AP6" s="1485"/>
      <c r="AQ6" s="1485"/>
      <c r="AR6" s="1485"/>
      <c r="AS6" s="1485"/>
      <c r="AT6" s="1444"/>
    </row>
    <row r="7" spans="1:56" s="1444" customFormat="1" ht="20.100000000000001" customHeight="1">
      <c r="B7" s="1444" t="s">
        <v>2512</v>
      </c>
    </row>
    <row r="8" spans="1:56" s="1444" customFormat="1" ht="20.100000000000001" customHeight="1">
      <c r="C8" s="2230" t="s">
        <v>2511</v>
      </c>
      <c r="D8" s="2231"/>
      <c r="E8" s="2231"/>
      <c r="F8" s="2231"/>
      <c r="G8" s="2231"/>
      <c r="H8" s="2231"/>
      <c r="I8" s="2231"/>
      <c r="J8" s="2231"/>
      <c r="K8" s="2231" t="s">
        <v>2510</v>
      </c>
      <c r="L8" s="2231"/>
      <c r="M8" s="2231"/>
      <c r="N8" s="2231"/>
      <c r="O8" s="2231"/>
      <c r="P8" s="2231"/>
      <c r="Q8" s="2231"/>
      <c r="R8" s="2231"/>
      <c r="S8" s="2231"/>
      <c r="T8" s="2231" t="s">
        <v>817</v>
      </c>
      <c r="U8" s="2231"/>
      <c r="V8" s="2236"/>
      <c r="W8" s="2230" t="s">
        <v>2509</v>
      </c>
      <c r="X8" s="2231"/>
      <c r="Y8" s="2231"/>
      <c r="Z8" s="2231"/>
      <c r="AA8" s="2231"/>
      <c r="AB8" s="2231"/>
      <c r="AC8" s="2231"/>
      <c r="AD8" s="2231"/>
      <c r="AE8" s="2239"/>
      <c r="AF8" s="2240" t="s">
        <v>2508</v>
      </c>
      <c r="AG8" s="2236"/>
      <c r="AH8" s="2230" t="s">
        <v>2507</v>
      </c>
      <c r="AI8" s="2231"/>
      <c r="AJ8" s="2231"/>
      <c r="AK8" s="2231"/>
      <c r="AL8" s="2231"/>
      <c r="AM8" s="2239"/>
      <c r="AN8" s="2240" t="s">
        <v>825</v>
      </c>
      <c r="AO8" s="2231"/>
      <c r="AP8" s="2231"/>
      <c r="AQ8" s="2231"/>
      <c r="AR8" s="2239"/>
    </row>
    <row r="9" spans="1:56" s="1444" customFormat="1" ht="20.100000000000001" customHeight="1">
      <c r="C9" s="2232"/>
      <c r="D9" s="2233"/>
      <c r="E9" s="2233"/>
      <c r="F9" s="2233"/>
      <c r="G9" s="2233"/>
      <c r="H9" s="2233"/>
      <c r="I9" s="2233"/>
      <c r="J9" s="2233"/>
      <c r="K9" s="2233"/>
      <c r="L9" s="2233"/>
      <c r="M9" s="2233"/>
      <c r="N9" s="2233"/>
      <c r="O9" s="2233"/>
      <c r="P9" s="2233"/>
      <c r="Q9" s="2233"/>
      <c r="R9" s="2233"/>
      <c r="S9" s="2233"/>
      <c r="T9" s="2233"/>
      <c r="U9" s="2233"/>
      <c r="V9" s="2237"/>
      <c r="W9" s="2245" t="s">
        <v>2506</v>
      </c>
      <c r="X9" s="2246"/>
      <c r="Y9" s="2246"/>
      <c r="Z9" s="2249" t="s">
        <v>2505</v>
      </c>
      <c r="AA9" s="2246"/>
      <c r="AB9" s="2246"/>
      <c r="AC9" s="2250" t="s">
        <v>2504</v>
      </c>
      <c r="AD9" s="2246"/>
      <c r="AE9" s="2251"/>
      <c r="AF9" s="2241"/>
      <c r="AG9" s="2237"/>
      <c r="AH9" s="2253" t="s">
        <v>2503</v>
      </c>
      <c r="AI9" s="2249"/>
      <c r="AJ9" s="2249"/>
      <c r="AK9" s="2250" t="s">
        <v>2502</v>
      </c>
      <c r="AL9" s="2249"/>
      <c r="AM9" s="2256"/>
      <c r="AN9" s="2241"/>
      <c r="AO9" s="2233"/>
      <c r="AP9" s="2233"/>
      <c r="AQ9" s="2233"/>
      <c r="AR9" s="2243"/>
    </row>
    <row r="10" spans="1:56" s="1444" customFormat="1" ht="20.100000000000001" customHeight="1">
      <c r="C10" s="2234"/>
      <c r="D10" s="2235"/>
      <c r="E10" s="2235"/>
      <c r="F10" s="2235"/>
      <c r="G10" s="2235"/>
      <c r="H10" s="2235"/>
      <c r="I10" s="2235"/>
      <c r="J10" s="2235"/>
      <c r="K10" s="2235"/>
      <c r="L10" s="2235"/>
      <c r="M10" s="2235"/>
      <c r="N10" s="2235"/>
      <c r="O10" s="2235"/>
      <c r="P10" s="2235"/>
      <c r="Q10" s="2235"/>
      <c r="R10" s="2235"/>
      <c r="S10" s="2235"/>
      <c r="T10" s="2235"/>
      <c r="U10" s="2235"/>
      <c r="V10" s="2238"/>
      <c r="W10" s="2247"/>
      <c r="X10" s="2248"/>
      <c r="Y10" s="2248"/>
      <c r="Z10" s="2248"/>
      <c r="AA10" s="2248"/>
      <c r="AB10" s="2248"/>
      <c r="AC10" s="2248"/>
      <c r="AD10" s="2248"/>
      <c r="AE10" s="2252"/>
      <c r="AF10" s="2242"/>
      <c r="AG10" s="2238"/>
      <c r="AH10" s="2254"/>
      <c r="AI10" s="2255"/>
      <c r="AJ10" s="2255"/>
      <c r="AK10" s="2255"/>
      <c r="AL10" s="2255"/>
      <c r="AM10" s="2257"/>
      <c r="AN10" s="2242"/>
      <c r="AO10" s="2235"/>
      <c r="AP10" s="2235"/>
      <c r="AQ10" s="2235"/>
      <c r="AR10" s="2244"/>
    </row>
    <row r="11" spans="1:56" s="1443" customFormat="1" ht="20.100000000000001" customHeight="1">
      <c r="C11" s="2214" t="s">
        <v>2498</v>
      </c>
      <c r="D11" s="2212"/>
      <c r="E11" s="2212"/>
      <c r="F11" s="2212"/>
      <c r="G11" s="2212"/>
      <c r="H11" s="2212"/>
      <c r="I11" s="2212"/>
      <c r="J11" s="2212"/>
      <c r="K11" s="2212" t="s">
        <v>2501</v>
      </c>
      <c r="L11" s="2212"/>
      <c r="M11" s="2212"/>
      <c r="N11" s="2212"/>
      <c r="O11" s="2212"/>
      <c r="P11" s="2212"/>
      <c r="Q11" s="2212"/>
      <c r="R11" s="2212"/>
      <c r="S11" s="2212"/>
      <c r="T11" s="2212" t="s">
        <v>2488</v>
      </c>
      <c r="U11" s="2212"/>
      <c r="V11" s="2213"/>
      <c r="W11" s="2214">
        <v>48</v>
      </c>
      <c r="X11" s="2212"/>
      <c r="Y11" s="2212"/>
      <c r="Z11" s="2215">
        <v>11.87</v>
      </c>
      <c r="AA11" s="2215"/>
      <c r="AB11" s="2215"/>
      <c r="AC11" s="2212">
        <f>ROUND(W11*Z11,0)</f>
        <v>570</v>
      </c>
      <c r="AD11" s="2212"/>
      <c r="AE11" s="2223"/>
      <c r="AF11" s="2224">
        <v>2</v>
      </c>
      <c r="AG11" s="2213"/>
      <c r="AH11" s="2225">
        <f>Z11*AF11</f>
        <v>23.74</v>
      </c>
      <c r="AI11" s="2226"/>
      <c r="AJ11" s="2226"/>
      <c r="AK11" s="2227">
        <f t="shared" ref="AK11:AK20" si="0">AC11*AF11</f>
        <v>1140</v>
      </c>
      <c r="AL11" s="2227"/>
      <c r="AM11" s="2228"/>
      <c r="AN11" s="2224"/>
      <c r="AO11" s="2212"/>
      <c r="AP11" s="2212"/>
      <c r="AQ11" s="2212"/>
      <c r="AR11" s="2223"/>
    </row>
    <row r="12" spans="1:56" s="1443" customFormat="1" ht="20.100000000000001" hidden="1" customHeight="1">
      <c r="C12" s="2211" t="s">
        <v>2498</v>
      </c>
      <c r="D12" s="2203"/>
      <c r="E12" s="2203"/>
      <c r="F12" s="2203"/>
      <c r="G12" s="2203"/>
      <c r="H12" s="2203"/>
      <c r="I12" s="2203"/>
      <c r="J12" s="2203"/>
      <c r="K12" s="2212" t="s">
        <v>2500</v>
      </c>
      <c r="L12" s="2212"/>
      <c r="M12" s="2212"/>
      <c r="N12" s="2212"/>
      <c r="O12" s="2212"/>
      <c r="P12" s="2212"/>
      <c r="Q12" s="2212"/>
      <c r="R12" s="2212"/>
      <c r="S12" s="2212"/>
      <c r="T12" s="2212" t="s">
        <v>2488</v>
      </c>
      <c r="U12" s="2212"/>
      <c r="V12" s="2213"/>
      <c r="W12" s="2214">
        <v>48</v>
      </c>
      <c r="X12" s="2212"/>
      <c r="Y12" s="2212"/>
      <c r="Z12" s="2215">
        <v>5.03</v>
      </c>
      <c r="AA12" s="2215"/>
      <c r="AB12" s="2215"/>
      <c r="AC12" s="2212">
        <f>ROUND(W12*Z12,0)</f>
        <v>241</v>
      </c>
      <c r="AD12" s="2212"/>
      <c r="AE12" s="2223"/>
      <c r="AF12" s="2224">
        <v>0</v>
      </c>
      <c r="AG12" s="2213"/>
      <c r="AH12" s="2199">
        <f t="shared" ref="AH12:AH20" si="1">Z12*AF12</f>
        <v>0</v>
      </c>
      <c r="AI12" s="2200"/>
      <c r="AJ12" s="2200"/>
      <c r="AK12" s="2201">
        <f t="shared" si="0"/>
        <v>0</v>
      </c>
      <c r="AL12" s="2201"/>
      <c r="AM12" s="2202"/>
      <c r="AN12" s="2197"/>
      <c r="AO12" s="2203"/>
      <c r="AP12" s="2203"/>
      <c r="AQ12" s="2203"/>
      <c r="AR12" s="2204"/>
    </row>
    <row r="13" spans="1:56" s="1443" customFormat="1" ht="20.100000000000001" customHeight="1">
      <c r="C13" s="2211" t="s">
        <v>2498</v>
      </c>
      <c r="D13" s="2203"/>
      <c r="E13" s="2203"/>
      <c r="F13" s="2203"/>
      <c r="G13" s="2203"/>
      <c r="H13" s="2203"/>
      <c r="I13" s="2203"/>
      <c r="J13" s="2203"/>
      <c r="K13" s="2212" t="s">
        <v>2499</v>
      </c>
      <c r="L13" s="2212"/>
      <c r="M13" s="2212"/>
      <c r="N13" s="2212"/>
      <c r="O13" s="2212"/>
      <c r="P13" s="2212"/>
      <c r="Q13" s="2212"/>
      <c r="R13" s="2212"/>
      <c r="S13" s="2212"/>
      <c r="T13" s="2212" t="s">
        <v>2488</v>
      </c>
      <c r="U13" s="2212"/>
      <c r="V13" s="2213"/>
      <c r="W13" s="2214">
        <v>48</v>
      </c>
      <c r="X13" s="2212"/>
      <c r="Y13" s="2212"/>
      <c r="Z13" s="2215">
        <v>0.56999999999999995</v>
      </c>
      <c r="AA13" s="2215"/>
      <c r="AB13" s="2215"/>
      <c r="AC13" s="2212">
        <f>ROUND(W13*Z13,0)</f>
        <v>27</v>
      </c>
      <c r="AD13" s="2212"/>
      <c r="AE13" s="2223"/>
      <c r="AF13" s="2224">
        <v>2</v>
      </c>
      <c r="AG13" s="2213"/>
      <c r="AH13" s="2199">
        <f t="shared" si="1"/>
        <v>1.1399999999999999</v>
      </c>
      <c r="AI13" s="2200"/>
      <c r="AJ13" s="2200"/>
      <c r="AK13" s="2201">
        <f t="shared" si="0"/>
        <v>54</v>
      </c>
      <c r="AL13" s="2201"/>
      <c r="AM13" s="2202"/>
      <c r="AN13" s="2197"/>
      <c r="AO13" s="2203"/>
      <c r="AP13" s="2203"/>
      <c r="AQ13" s="2203"/>
      <c r="AR13" s="2204"/>
    </row>
    <row r="14" spans="1:56" s="1443" customFormat="1" ht="20.100000000000001" customHeight="1">
      <c r="C14" s="2211" t="s">
        <v>2498</v>
      </c>
      <c r="D14" s="2203"/>
      <c r="E14" s="2203"/>
      <c r="F14" s="2203"/>
      <c r="G14" s="2203"/>
      <c r="H14" s="2203"/>
      <c r="I14" s="2203"/>
      <c r="J14" s="2203"/>
      <c r="K14" s="2212" t="s">
        <v>2497</v>
      </c>
      <c r="L14" s="2212"/>
      <c r="M14" s="2212"/>
      <c r="N14" s="2212"/>
      <c r="O14" s="2212"/>
      <c r="P14" s="2212"/>
      <c r="Q14" s="2212"/>
      <c r="R14" s="2212"/>
      <c r="S14" s="2212"/>
      <c r="T14" s="2212" t="s">
        <v>2488</v>
      </c>
      <c r="U14" s="2212"/>
      <c r="V14" s="2213"/>
      <c r="W14" s="2214">
        <v>48</v>
      </c>
      <c r="X14" s="2212"/>
      <c r="Y14" s="2212"/>
      <c r="Z14" s="2215">
        <v>0.44</v>
      </c>
      <c r="AA14" s="2215"/>
      <c r="AB14" s="2215"/>
      <c r="AC14" s="2212">
        <f>ROUND(W14*Z14,0)</f>
        <v>21</v>
      </c>
      <c r="AD14" s="2212"/>
      <c r="AE14" s="2223"/>
      <c r="AF14" s="2224">
        <v>4</v>
      </c>
      <c r="AG14" s="2213"/>
      <c r="AH14" s="2199">
        <f t="shared" si="1"/>
        <v>1.76</v>
      </c>
      <c r="AI14" s="2200"/>
      <c r="AJ14" s="2200"/>
      <c r="AK14" s="2201">
        <f t="shared" si="0"/>
        <v>84</v>
      </c>
      <c r="AL14" s="2201"/>
      <c r="AM14" s="2202"/>
      <c r="AN14" s="2197"/>
      <c r="AO14" s="2203"/>
      <c r="AP14" s="2203"/>
      <c r="AQ14" s="2203"/>
      <c r="AR14" s="2204"/>
      <c r="AU14" s="2221" t="s">
        <v>2956</v>
      </c>
      <c r="AV14" s="2221"/>
      <c r="AW14" s="2221"/>
      <c r="AX14" s="2221"/>
      <c r="AY14" s="2221"/>
      <c r="AZ14" s="2222"/>
      <c r="BA14" s="2222"/>
      <c r="BB14" s="2222"/>
      <c r="BC14" s="2222"/>
      <c r="BD14" s="2222"/>
    </row>
    <row r="15" spans="1:56" s="1443" customFormat="1" ht="20.100000000000001" hidden="1" customHeight="1">
      <c r="C15" s="2211" t="s">
        <v>2496</v>
      </c>
      <c r="D15" s="2203"/>
      <c r="E15" s="2203"/>
      <c r="F15" s="2203"/>
      <c r="G15" s="2203"/>
      <c r="H15" s="2203"/>
      <c r="I15" s="2203"/>
      <c r="J15" s="2203"/>
      <c r="K15" s="2212" t="s">
        <v>2495</v>
      </c>
      <c r="L15" s="2212"/>
      <c r="M15" s="2212"/>
      <c r="N15" s="2212"/>
      <c r="O15" s="2212"/>
      <c r="P15" s="2212"/>
      <c r="Q15" s="2212"/>
      <c r="R15" s="2212"/>
      <c r="S15" s="2212"/>
      <c r="T15" s="2212" t="s">
        <v>2488</v>
      </c>
      <c r="U15" s="2212"/>
      <c r="V15" s="2213"/>
      <c r="W15" s="2214">
        <v>48</v>
      </c>
      <c r="X15" s="2212"/>
      <c r="Y15" s="2212"/>
      <c r="Z15" s="2215"/>
      <c r="AA15" s="2215"/>
      <c r="AB15" s="2215"/>
      <c r="AC15" s="2212">
        <f>ROUND(W15*Z15,0)</f>
        <v>0</v>
      </c>
      <c r="AD15" s="2212"/>
      <c r="AE15" s="2223"/>
      <c r="AF15" s="2224">
        <v>0</v>
      </c>
      <c r="AG15" s="2213"/>
      <c r="AH15" s="2199">
        <f t="shared" si="1"/>
        <v>0</v>
      </c>
      <c r="AI15" s="2200"/>
      <c r="AJ15" s="2200"/>
      <c r="AK15" s="2201">
        <f t="shared" si="0"/>
        <v>0</v>
      </c>
      <c r="AL15" s="2201"/>
      <c r="AM15" s="2202"/>
      <c r="AN15" s="2197"/>
      <c r="AO15" s="2203"/>
      <c r="AP15" s="2203"/>
      <c r="AQ15" s="2203"/>
      <c r="AR15" s="2204"/>
    </row>
    <row r="16" spans="1:56" s="1443" customFormat="1" ht="20.100000000000001" hidden="1" customHeight="1">
      <c r="C16" s="2211" t="s">
        <v>2494</v>
      </c>
      <c r="D16" s="2203"/>
      <c r="E16" s="2203"/>
      <c r="F16" s="2203"/>
      <c r="G16" s="2203"/>
      <c r="H16" s="2203"/>
      <c r="I16" s="2203"/>
      <c r="J16" s="2203"/>
      <c r="K16" s="2203" t="s">
        <v>2493</v>
      </c>
      <c r="L16" s="2203"/>
      <c r="M16" s="2203"/>
      <c r="N16" s="2203"/>
      <c r="O16" s="2203"/>
      <c r="P16" s="2203"/>
      <c r="Q16" s="2203"/>
      <c r="R16" s="2203"/>
      <c r="S16" s="2203"/>
      <c r="T16" s="2203" t="s">
        <v>2488</v>
      </c>
      <c r="U16" s="2203"/>
      <c r="V16" s="2198"/>
      <c r="W16" s="2211">
        <v>48</v>
      </c>
      <c r="X16" s="2203"/>
      <c r="Y16" s="2203"/>
      <c r="Z16" s="2220">
        <v>3</v>
      </c>
      <c r="AA16" s="2220"/>
      <c r="AB16" s="2220"/>
      <c r="AC16" s="2203">
        <f t="shared" ref="AC16:AC20" si="2">ROUND(W16*Z16,0)</f>
        <v>144</v>
      </c>
      <c r="AD16" s="2203"/>
      <c r="AE16" s="2204"/>
      <c r="AF16" s="2197">
        <v>0</v>
      </c>
      <c r="AG16" s="2198"/>
      <c r="AH16" s="2199">
        <f t="shared" si="1"/>
        <v>0</v>
      </c>
      <c r="AI16" s="2200"/>
      <c r="AJ16" s="2200"/>
      <c r="AK16" s="2201">
        <f t="shared" si="0"/>
        <v>0</v>
      </c>
      <c r="AL16" s="2201"/>
      <c r="AM16" s="2202"/>
      <c r="AN16" s="2197"/>
      <c r="AO16" s="2203"/>
      <c r="AP16" s="2203"/>
      <c r="AQ16" s="2203"/>
      <c r="AR16" s="2204"/>
    </row>
    <row r="17" spans="2:77" s="1443" customFormat="1" ht="20.100000000000001" customHeight="1">
      <c r="C17" s="2211" t="s">
        <v>2492</v>
      </c>
      <c r="D17" s="2203"/>
      <c r="E17" s="2203"/>
      <c r="F17" s="2203"/>
      <c r="G17" s="2203"/>
      <c r="H17" s="2203"/>
      <c r="I17" s="2203"/>
      <c r="J17" s="2203"/>
      <c r="K17" s="2203" t="s">
        <v>1003</v>
      </c>
      <c r="L17" s="2203"/>
      <c r="M17" s="2203"/>
      <c r="N17" s="2203"/>
      <c r="O17" s="2203"/>
      <c r="P17" s="2203"/>
      <c r="Q17" s="2203"/>
      <c r="R17" s="2203"/>
      <c r="S17" s="2203"/>
      <c r="T17" s="2203" t="s">
        <v>2488</v>
      </c>
      <c r="U17" s="2203"/>
      <c r="V17" s="2198"/>
      <c r="W17" s="2211">
        <v>48</v>
      </c>
      <c r="X17" s="2203"/>
      <c r="Y17" s="2203"/>
      <c r="Z17" s="2220">
        <v>1</v>
      </c>
      <c r="AA17" s="2220"/>
      <c r="AB17" s="2220"/>
      <c r="AC17" s="2203">
        <f t="shared" si="2"/>
        <v>48</v>
      </c>
      <c r="AD17" s="2203"/>
      <c r="AE17" s="2204"/>
      <c r="AF17" s="2197">
        <v>1</v>
      </c>
      <c r="AG17" s="2198"/>
      <c r="AH17" s="2199">
        <f>Z17*AF17</f>
        <v>1</v>
      </c>
      <c r="AI17" s="2200"/>
      <c r="AJ17" s="2200"/>
      <c r="AK17" s="2201">
        <f t="shared" si="0"/>
        <v>48</v>
      </c>
      <c r="AL17" s="2201"/>
      <c r="AM17" s="2202"/>
      <c r="AN17" s="2197"/>
      <c r="AO17" s="2203"/>
      <c r="AP17" s="2203"/>
      <c r="AQ17" s="2203"/>
      <c r="AR17" s="2204"/>
    </row>
    <row r="18" spans="2:77" s="1443" customFormat="1" ht="20.100000000000001" customHeight="1">
      <c r="C18" s="2211" t="s">
        <v>2957</v>
      </c>
      <c r="D18" s="2203"/>
      <c r="E18" s="2203"/>
      <c r="F18" s="2203"/>
      <c r="G18" s="2203"/>
      <c r="H18" s="2203"/>
      <c r="I18" s="2203"/>
      <c r="J18" s="2203"/>
      <c r="K18" s="2203" t="s">
        <v>2958</v>
      </c>
      <c r="L18" s="2203"/>
      <c r="M18" s="2203"/>
      <c r="N18" s="2203"/>
      <c r="O18" s="2203"/>
      <c r="P18" s="2203"/>
      <c r="Q18" s="2203"/>
      <c r="R18" s="2203"/>
      <c r="S18" s="2203"/>
      <c r="T18" s="2203" t="s">
        <v>2488</v>
      </c>
      <c r="U18" s="2203"/>
      <c r="V18" s="2198"/>
      <c r="W18" s="2211">
        <v>48</v>
      </c>
      <c r="X18" s="2203"/>
      <c r="Y18" s="2203"/>
      <c r="Z18" s="2220">
        <v>1</v>
      </c>
      <c r="AA18" s="2220"/>
      <c r="AB18" s="2220"/>
      <c r="AC18" s="2203">
        <f t="shared" si="2"/>
        <v>48</v>
      </c>
      <c r="AD18" s="2203"/>
      <c r="AE18" s="2204"/>
      <c r="AF18" s="2197">
        <v>1</v>
      </c>
      <c r="AG18" s="2198"/>
      <c r="AH18" s="2199">
        <f>Z18*AF18</f>
        <v>1</v>
      </c>
      <c r="AI18" s="2200"/>
      <c r="AJ18" s="2200"/>
      <c r="AK18" s="2201">
        <f t="shared" si="0"/>
        <v>48</v>
      </c>
      <c r="AL18" s="2201"/>
      <c r="AM18" s="2202"/>
      <c r="AN18" s="2197"/>
      <c r="AO18" s="2203"/>
      <c r="AP18" s="2203"/>
      <c r="AQ18" s="2203"/>
      <c r="AR18" s="2204"/>
    </row>
    <row r="19" spans="2:77" s="1443" customFormat="1" ht="20.100000000000001" customHeight="1">
      <c r="C19" s="2211" t="s">
        <v>2490</v>
      </c>
      <c r="D19" s="2203"/>
      <c r="E19" s="2203"/>
      <c r="F19" s="2203"/>
      <c r="G19" s="2203"/>
      <c r="H19" s="2203"/>
      <c r="I19" s="2203"/>
      <c r="J19" s="2203"/>
      <c r="K19" s="2203" t="s">
        <v>2491</v>
      </c>
      <c r="L19" s="2203"/>
      <c r="M19" s="2203"/>
      <c r="N19" s="2203"/>
      <c r="O19" s="2203"/>
      <c r="P19" s="2203"/>
      <c r="Q19" s="2203"/>
      <c r="R19" s="2203"/>
      <c r="S19" s="2203"/>
      <c r="T19" s="2212" t="s">
        <v>2488</v>
      </c>
      <c r="U19" s="2212"/>
      <c r="V19" s="2213"/>
      <c r="W19" s="2214">
        <v>48</v>
      </c>
      <c r="X19" s="2212"/>
      <c r="Y19" s="2212"/>
      <c r="Z19" s="2215">
        <v>1</v>
      </c>
      <c r="AA19" s="2215"/>
      <c r="AB19" s="2215"/>
      <c r="AC19" s="2203">
        <f t="shared" si="2"/>
        <v>48</v>
      </c>
      <c r="AD19" s="2203"/>
      <c r="AE19" s="2204"/>
      <c r="AF19" s="2197">
        <v>1</v>
      </c>
      <c r="AG19" s="2198"/>
      <c r="AH19" s="2199">
        <f t="shared" ref="AH19" si="3">Z19*AF19</f>
        <v>1</v>
      </c>
      <c r="AI19" s="2200"/>
      <c r="AJ19" s="2200"/>
      <c r="AK19" s="2201">
        <f t="shared" si="0"/>
        <v>48</v>
      </c>
      <c r="AL19" s="2201"/>
      <c r="AM19" s="2202"/>
      <c r="AN19" s="2197"/>
      <c r="AO19" s="2203"/>
      <c r="AP19" s="2203"/>
      <c r="AQ19" s="2203"/>
      <c r="AR19" s="2204"/>
    </row>
    <row r="20" spans="2:77" s="1443" customFormat="1" ht="20.100000000000001" customHeight="1">
      <c r="C20" s="2205" t="s">
        <v>2489</v>
      </c>
      <c r="D20" s="2206"/>
      <c r="E20" s="2206"/>
      <c r="F20" s="2206"/>
      <c r="G20" s="2206"/>
      <c r="H20" s="2206"/>
      <c r="I20" s="2206"/>
      <c r="J20" s="2206"/>
      <c r="K20" s="2206"/>
      <c r="L20" s="2206"/>
      <c r="M20" s="2206"/>
      <c r="N20" s="2206"/>
      <c r="O20" s="2206"/>
      <c r="P20" s="2206"/>
      <c r="Q20" s="2206"/>
      <c r="R20" s="2206"/>
      <c r="S20" s="2206"/>
      <c r="T20" s="2206" t="s">
        <v>2488</v>
      </c>
      <c r="U20" s="2206"/>
      <c r="V20" s="2207"/>
      <c r="W20" s="2205">
        <v>48</v>
      </c>
      <c r="X20" s="2206"/>
      <c r="Y20" s="2206"/>
      <c r="Z20" s="2208">
        <v>1</v>
      </c>
      <c r="AA20" s="2208"/>
      <c r="AB20" s="2208"/>
      <c r="AC20" s="2206">
        <f t="shared" si="2"/>
        <v>48</v>
      </c>
      <c r="AD20" s="2206"/>
      <c r="AE20" s="2209"/>
      <c r="AF20" s="2210">
        <v>1</v>
      </c>
      <c r="AG20" s="2207"/>
      <c r="AH20" s="2216">
        <f t="shared" si="1"/>
        <v>1</v>
      </c>
      <c r="AI20" s="2217"/>
      <c r="AJ20" s="2217"/>
      <c r="AK20" s="2218">
        <f t="shared" si="0"/>
        <v>48</v>
      </c>
      <c r="AL20" s="2218"/>
      <c r="AM20" s="2219"/>
      <c r="AN20" s="2210" t="s">
        <v>2487</v>
      </c>
      <c r="AO20" s="2206"/>
      <c r="AP20" s="2206"/>
      <c r="AQ20" s="2206"/>
      <c r="AR20" s="2209"/>
    </row>
    <row r="21" spans="2:77" s="1443" customFormat="1" ht="20.100000000000001" customHeight="1">
      <c r="C21" s="2187" t="s">
        <v>2486</v>
      </c>
      <c r="D21" s="2188"/>
      <c r="E21" s="2188"/>
      <c r="F21" s="2188"/>
      <c r="G21" s="2188"/>
      <c r="H21" s="2188"/>
      <c r="I21" s="2188"/>
      <c r="J21" s="2188"/>
      <c r="K21" s="2188"/>
      <c r="L21" s="2188"/>
      <c r="M21" s="2188"/>
      <c r="N21" s="2188"/>
      <c r="O21" s="2188"/>
      <c r="P21" s="2188"/>
      <c r="Q21" s="2188"/>
      <c r="R21" s="2188"/>
      <c r="S21" s="2188"/>
      <c r="T21" s="2188"/>
      <c r="U21" s="2188"/>
      <c r="V21" s="2188"/>
      <c r="W21" s="2188"/>
      <c r="X21" s="2188"/>
      <c r="Y21" s="2188"/>
      <c r="Z21" s="2188"/>
      <c r="AA21" s="2188"/>
      <c r="AB21" s="2188"/>
      <c r="AC21" s="2188"/>
      <c r="AD21" s="2188"/>
      <c r="AE21" s="2188"/>
      <c r="AF21" s="2188"/>
      <c r="AG21" s="2189"/>
      <c r="AH21" s="2190">
        <f>SUM(AH11:AJ20)</f>
        <v>30.64</v>
      </c>
      <c r="AI21" s="2191"/>
      <c r="AJ21" s="2191"/>
      <c r="AK21" s="2192">
        <f>SUM(AK11:AM20)</f>
        <v>1470</v>
      </c>
      <c r="AL21" s="2192"/>
      <c r="AM21" s="2193"/>
      <c r="AN21" s="2194"/>
      <c r="AO21" s="2195"/>
      <c r="AP21" s="2195"/>
      <c r="AQ21" s="2195"/>
      <c r="AR21" s="2196"/>
    </row>
    <row r="22" spans="2:77" s="1443" customFormat="1" ht="20.100000000000001" customHeight="1">
      <c r="C22" s="1444" t="s">
        <v>2485</v>
      </c>
    </row>
    <row r="23" spans="2:77" s="1443" customFormat="1" ht="20.100000000000001" customHeight="1">
      <c r="C23" s="1444" t="s">
        <v>2959</v>
      </c>
    </row>
    <row r="24" spans="2:77" s="1444" customFormat="1" ht="20.100000000000001" customHeight="1">
      <c r="B24" s="1444" t="s">
        <v>2960</v>
      </c>
    </row>
    <row r="25" spans="2:77" s="1444" customFormat="1" ht="20.100000000000001" customHeight="1"/>
    <row r="26" spans="2:77" s="1444" customFormat="1" ht="20.100000000000001" customHeight="1">
      <c r="AB26" s="1468" t="s">
        <v>2484</v>
      </c>
      <c r="AC26" s="1466"/>
      <c r="AD26" s="1466"/>
      <c r="AE26" s="1466"/>
      <c r="AF26" s="1466"/>
      <c r="AG26" s="1466"/>
      <c r="AH26" s="1466"/>
      <c r="AI26" s="1466"/>
      <c r="AJ26" s="1466"/>
      <c r="AK26" s="1466"/>
      <c r="AL26" s="1466"/>
      <c r="AM26" s="1466"/>
      <c r="AN26" s="1466"/>
      <c r="AO26" s="1466"/>
      <c r="AP26" s="1466"/>
      <c r="AQ26" s="1466"/>
      <c r="AR26" s="1465"/>
    </row>
    <row r="27" spans="2:77" s="1444" customFormat="1" ht="20.100000000000001" customHeight="1">
      <c r="AB27" s="1463"/>
      <c r="AC27" s="1444" t="str">
        <f>"I = ("&amp;R29&amp;"+"&amp;R30&amp;"/"&amp;R31&amp;") * 1.2"</f>
        <v>I = (30.64+200/10) * 1.2</v>
      </c>
      <c r="AR27" s="1483"/>
      <c r="BB27" s="1454"/>
      <c r="BC27" s="1454"/>
      <c r="BD27" s="1454"/>
      <c r="BE27" s="1454"/>
      <c r="BF27" s="1454"/>
      <c r="BG27" s="1454"/>
      <c r="BH27" s="1454"/>
      <c r="BI27" s="1454"/>
      <c r="BJ27" s="1454"/>
      <c r="BK27" s="1454"/>
      <c r="BL27" s="1454"/>
      <c r="BM27" s="1454"/>
      <c r="BN27" s="1454"/>
      <c r="BO27" s="1454"/>
      <c r="BP27" s="1454"/>
      <c r="BQ27" s="1454"/>
      <c r="BR27" s="1454"/>
      <c r="BS27" s="1454"/>
      <c r="BT27" s="1454"/>
      <c r="BU27" s="1454"/>
      <c r="BV27" s="1454"/>
      <c r="BW27" s="1454"/>
      <c r="BX27" s="1454"/>
      <c r="BY27" s="1454"/>
    </row>
    <row r="28" spans="2:77" s="1444" customFormat="1" ht="20.100000000000001" customHeight="1">
      <c r="D28" s="2147" t="s">
        <v>2472</v>
      </c>
      <c r="E28" s="2147"/>
      <c r="F28" s="2147" t="s">
        <v>2471</v>
      </c>
      <c r="G28" s="2147"/>
      <c r="H28" s="2147"/>
      <c r="I28" s="2147"/>
      <c r="J28" s="2147"/>
      <c r="K28" s="2147"/>
      <c r="L28" s="2147"/>
      <c r="M28" s="2147"/>
      <c r="N28" s="2147"/>
      <c r="O28" s="2147"/>
      <c r="P28" s="2147"/>
      <c r="Q28" s="2147"/>
      <c r="R28" s="2147" t="s">
        <v>2470</v>
      </c>
      <c r="S28" s="2147"/>
      <c r="T28" s="2147"/>
      <c r="U28" s="2147" t="s">
        <v>39</v>
      </c>
      <c r="V28" s="2147"/>
      <c r="W28" s="2147"/>
      <c r="X28" s="2147"/>
      <c r="Y28" s="2147"/>
      <c r="AB28" s="1463"/>
      <c r="AC28" s="1444" t="s">
        <v>2483</v>
      </c>
      <c r="AE28" s="2184">
        <f>ROUNDUP((R29+R30/R31)*1.2,2)</f>
        <v>60.769999999999996</v>
      </c>
      <c r="AF28" s="2184"/>
      <c r="AG28" s="2184"/>
      <c r="AH28" s="2184"/>
      <c r="AI28" s="1444" t="s">
        <v>2482</v>
      </c>
      <c r="AR28" s="1483"/>
      <c r="BB28" s="1454"/>
      <c r="BC28" s="1454"/>
      <c r="BD28" s="1454"/>
      <c r="BE28" s="1454"/>
      <c r="BF28" s="1454"/>
      <c r="BG28" s="1454"/>
      <c r="BH28" s="1454"/>
      <c r="BI28" s="1454"/>
      <c r="BJ28" s="1454"/>
      <c r="BK28" s="1454"/>
      <c r="BL28" s="1454"/>
      <c r="BM28" s="1454"/>
      <c r="BN28" s="1454"/>
      <c r="BO28" s="1454"/>
      <c r="BP28" s="1454"/>
      <c r="BQ28" s="1454"/>
      <c r="BR28" s="1454"/>
      <c r="BS28" s="1454"/>
      <c r="BT28" s="1454"/>
      <c r="BU28" s="1454"/>
      <c r="BV28" s="1454"/>
      <c r="BW28" s="1454"/>
      <c r="BX28" s="1454"/>
      <c r="BY28" s="1454"/>
    </row>
    <row r="29" spans="2:77" s="1444" customFormat="1" ht="20.100000000000001" customHeight="1">
      <c r="D29" s="2147" t="s">
        <v>2482</v>
      </c>
      <c r="E29" s="2147"/>
      <c r="F29" s="2147" t="s">
        <v>2481</v>
      </c>
      <c r="G29" s="2147"/>
      <c r="H29" s="2147"/>
      <c r="I29" s="2147"/>
      <c r="J29" s="2147"/>
      <c r="K29" s="2147"/>
      <c r="L29" s="2147"/>
      <c r="M29" s="2147"/>
      <c r="N29" s="2147"/>
      <c r="O29" s="2147"/>
      <c r="P29" s="2147"/>
      <c r="Q29" s="2147"/>
      <c r="R29" s="2185">
        <f>AH21</f>
        <v>30.64</v>
      </c>
      <c r="S29" s="2175"/>
      <c r="T29" s="2176"/>
      <c r="U29" s="2147"/>
      <c r="V29" s="2147"/>
      <c r="W29" s="2147"/>
      <c r="X29" s="2147"/>
      <c r="Y29" s="2147"/>
      <c r="AB29" s="1463"/>
      <c r="AD29" s="1563" t="s">
        <v>2480</v>
      </c>
      <c r="AE29" s="2186">
        <v>100</v>
      </c>
      <c r="AF29" s="2186"/>
      <c r="AG29" s="2186"/>
      <c r="AH29" s="2186"/>
      <c r="AI29" s="1484" t="s">
        <v>2479</v>
      </c>
      <c r="AR29" s="1483"/>
      <c r="BB29" s="1454"/>
      <c r="BC29" s="1454"/>
      <c r="BD29" s="1454"/>
      <c r="BE29" s="1454"/>
      <c r="BF29" s="1454"/>
      <c r="BG29" s="1454"/>
      <c r="BH29" s="1454"/>
      <c r="BI29" s="1454"/>
      <c r="BJ29" s="1454"/>
      <c r="BK29" s="1454"/>
      <c r="BL29" s="1454"/>
      <c r="BM29" s="1454"/>
      <c r="BN29" s="1454"/>
      <c r="BO29" s="1454"/>
      <c r="BP29" s="1454"/>
      <c r="BQ29" s="1454"/>
      <c r="BR29" s="1454"/>
      <c r="BS29" s="1454"/>
      <c r="BT29" s="1454"/>
      <c r="BU29" s="1454"/>
      <c r="BV29" s="1454"/>
      <c r="BW29" s="1454"/>
      <c r="BX29" s="1454"/>
      <c r="BY29" s="1454"/>
    </row>
    <row r="30" spans="2:77" s="1444" customFormat="1" ht="20.100000000000001" customHeight="1">
      <c r="D30" s="2147" t="s">
        <v>2463</v>
      </c>
      <c r="E30" s="2147"/>
      <c r="F30" s="2147" t="s">
        <v>2478</v>
      </c>
      <c r="G30" s="2147"/>
      <c r="H30" s="2147"/>
      <c r="I30" s="2147"/>
      <c r="J30" s="2147"/>
      <c r="K30" s="2147"/>
      <c r="L30" s="2147"/>
      <c r="M30" s="2147"/>
      <c r="N30" s="2147"/>
      <c r="O30" s="2147"/>
      <c r="P30" s="2147"/>
      <c r="Q30" s="2147"/>
      <c r="R30" s="2181">
        <f>AE43</f>
        <v>200</v>
      </c>
      <c r="S30" s="2182"/>
      <c r="T30" s="2183"/>
      <c r="U30" s="2147"/>
      <c r="V30" s="2147"/>
      <c r="W30" s="2147"/>
      <c r="X30" s="2147"/>
      <c r="Y30" s="2147"/>
      <c r="AB30" s="1463"/>
      <c r="AE30" s="1482"/>
      <c r="AF30" s="1482"/>
      <c r="AG30" s="1482"/>
      <c r="AH30" s="1482"/>
      <c r="AI30" s="1482"/>
      <c r="AJ30" s="1482"/>
      <c r="AK30" s="1482"/>
      <c r="AL30" s="1482"/>
      <c r="AM30" s="1482"/>
      <c r="AN30" s="1482"/>
      <c r="AO30" s="1482"/>
      <c r="AP30" s="1482"/>
      <c r="AQ30" s="1482"/>
      <c r="AR30" s="1480"/>
      <c r="BB30" s="1454"/>
      <c r="BC30" s="1454"/>
      <c r="BD30" s="1454"/>
      <c r="BE30" s="1454"/>
      <c r="BF30" s="1454"/>
      <c r="BG30" s="1454"/>
      <c r="BH30" s="1454"/>
      <c r="BI30" s="1454"/>
      <c r="BJ30" s="1454"/>
      <c r="BK30" s="1454"/>
      <c r="BL30" s="1454"/>
      <c r="BM30" s="1454"/>
      <c r="BN30" s="1454"/>
      <c r="BO30" s="1454"/>
      <c r="BP30" s="1454"/>
      <c r="BQ30" s="1454"/>
      <c r="BR30" s="1454"/>
      <c r="BS30" s="1454"/>
      <c r="BT30" s="1454"/>
      <c r="BU30" s="1454"/>
      <c r="BV30" s="1454"/>
      <c r="BW30" s="1454"/>
      <c r="BX30" s="1454"/>
      <c r="BY30" s="1454"/>
    </row>
    <row r="31" spans="2:77" s="1444" customFormat="1" ht="20.100000000000001" customHeight="1">
      <c r="D31" s="2156" t="s">
        <v>2477</v>
      </c>
      <c r="E31" s="2157"/>
      <c r="F31" s="2156" t="s">
        <v>2476</v>
      </c>
      <c r="G31" s="2159"/>
      <c r="H31" s="2159"/>
      <c r="I31" s="2159"/>
      <c r="J31" s="2159"/>
      <c r="K31" s="2159"/>
      <c r="L31" s="2159"/>
      <c r="M31" s="2159"/>
      <c r="N31" s="2159"/>
      <c r="O31" s="2159"/>
      <c r="P31" s="2159"/>
      <c r="Q31" s="2157"/>
      <c r="R31" s="2174">
        <v>10</v>
      </c>
      <c r="S31" s="2175"/>
      <c r="T31" s="2176"/>
      <c r="U31" s="2174" t="s">
        <v>2475</v>
      </c>
      <c r="V31" s="2175"/>
      <c r="W31" s="2175"/>
      <c r="X31" s="2175"/>
      <c r="Y31" s="2176"/>
      <c r="AB31" s="1463"/>
      <c r="AC31" s="1477" t="s">
        <v>2474</v>
      </c>
      <c r="AD31" s="1477" t="s">
        <v>2473</v>
      </c>
      <c r="AE31" s="1481"/>
      <c r="AF31" s="1481"/>
      <c r="AG31" s="1481"/>
      <c r="AH31" s="1481"/>
      <c r="AI31" s="1481"/>
      <c r="AJ31" s="1481"/>
      <c r="AK31" s="1481"/>
      <c r="AL31" s="1481"/>
      <c r="AM31" s="1481"/>
      <c r="AN31" s="1481"/>
      <c r="AO31" s="1481"/>
      <c r="AP31" s="1481"/>
      <c r="AQ31" s="1481"/>
      <c r="AR31" s="1480"/>
      <c r="BB31" s="1454"/>
      <c r="BC31" s="1454"/>
      <c r="BD31" s="1454"/>
      <c r="BE31" s="1454"/>
      <c r="BF31" s="1454"/>
      <c r="BG31" s="1454"/>
      <c r="BH31" s="1454"/>
      <c r="BI31" s="1454"/>
      <c r="BJ31" s="1454"/>
      <c r="BK31" s="1454"/>
      <c r="BL31" s="1454"/>
      <c r="BM31" s="1454"/>
      <c r="BN31" s="1454"/>
      <c r="BO31" s="1454"/>
      <c r="BP31" s="1454"/>
      <c r="BQ31" s="1454"/>
      <c r="BR31" s="1454"/>
      <c r="BS31" s="1454"/>
      <c r="BT31" s="1454"/>
      <c r="BU31" s="1454"/>
      <c r="BV31" s="1454"/>
      <c r="BW31" s="1454"/>
      <c r="BX31" s="1454"/>
      <c r="BY31" s="1454"/>
    </row>
    <row r="32" spans="2:77" s="1444" customFormat="1" ht="20.100000000000001" customHeight="1">
      <c r="D32" s="1444" t="s">
        <v>2450</v>
      </c>
      <c r="E32" s="1454"/>
      <c r="F32" s="1454"/>
      <c r="G32" s="1454"/>
      <c r="H32" s="1454"/>
      <c r="I32" s="1454"/>
      <c r="J32" s="1454"/>
      <c r="K32" s="1454"/>
      <c r="L32" s="1454"/>
      <c r="M32" s="1454"/>
      <c r="N32" s="1454"/>
      <c r="O32" s="1454"/>
      <c r="P32" s="1454"/>
      <c r="Q32" s="1454"/>
      <c r="R32" s="1454"/>
      <c r="S32" s="1454"/>
      <c r="T32" s="1454"/>
      <c r="U32" s="1454"/>
      <c r="V32" s="1454"/>
      <c r="W32" s="1454"/>
      <c r="X32" s="1454"/>
      <c r="Y32" s="1454"/>
      <c r="AB32" s="1479"/>
      <c r="AC32" s="1478"/>
      <c r="AD32" s="1477" t="s">
        <v>3140</v>
      </c>
      <c r="AE32" s="1476"/>
      <c r="AF32" s="1476"/>
      <c r="AG32" s="1476"/>
      <c r="AH32" s="1476"/>
      <c r="AI32" s="1476"/>
      <c r="AJ32" s="1476"/>
      <c r="AK32" s="1476"/>
      <c r="AL32" s="1476"/>
      <c r="AM32" s="1476"/>
      <c r="AN32" s="1476"/>
      <c r="AO32" s="1476"/>
      <c r="AP32" s="1476"/>
      <c r="AQ32" s="1476"/>
      <c r="AR32" s="1455"/>
      <c r="AS32" s="1454"/>
      <c r="BB32" s="1454"/>
      <c r="BC32" s="1454"/>
      <c r="BD32" s="1454"/>
      <c r="BE32" s="1454"/>
      <c r="BF32" s="1454"/>
      <c r="BG32" s="1454"/>
      <c r="BH32" s="1454"/>
      <c r="BI32" s="1454"/>
      <c r="BJ32" s="1454"/>
      <c r="BK32" s="1454"/>
      <c r="BL32" s="1454"/>
      <c r="BM32" s="1454"/>
      <c r="BN32" s="1454"/>
      <c r="BO32" s="1454"/>
      <c r="BP32" s="1454"/>
      <c r="BQ32" s="1454"/>
      <c r="BR32" s="1454"/>
      <c r="BS32" s="1454"/>
      <c r="BT32" s="1454"/>
      <c r="BU32" s="1454"/>
      <c r="BV32" s="1454"/>
      <c r="BW32" s="1454"/>
      <c r="BX32" s="1454"/>
      <c r="BY32" s="1454"/>
    </row>
    <row r="33" spans="2:77" s="1444" customFormat="1" ht="20.100000000000001" customHeight="1">
      <c r="E33" s="1454"/>
      <c r="F33" s="1454"/>
      <c r="G33" s="1454"/>
      <c r="H33" s="1454"/>
      <c r="I33" s="1454"/>
      <c r="J33" s="1454"/>
      <c r="K33" s="1454"/>
      <c r="L33" s="1454"/>
      <c r="M33" s="1454"/>
      <c r="N33" s="1454"/>
      <c r="O33" s="1454"/>
      <c r="P33" s="1454"/>
      <c r="Q33" s="1454"/>
      <c r="R33" s="1454"/>
      <c r="S33" s="1454"/>
      <c r="T33" s="1454"/>
      <c r="U33" s="1454"/>
      <c r="V33" s="1454"/>
      <c r="W33" s="1454"/>
      <c r="X33" s="1454"/>
      <c r="Y33" s="1454"/>
      <c r="AB33" s="1479"/>
      <c r="AC33" s="1477" t="s">
        <v>2474</v>
      </c>
      <c r="AD33" s="1477" t="s">
        <v>2962</v>
      </c>
      <c r="AE33" s="1476"/>
      <c r="AF33" s="1476"/>
      <c r="AG33" s="1476"/>
      <c r="AH33" s="1476"/>
      <c r="AI33" s="1476"/>
      <c r="AJ33" s="1476"/>
      <c r="AK33" s="1476"/>
      <c r="AL33" s="1476"/>
      <c r="AM33" s="1476"/>
      <c r="AN33" s="1476"/>
      <c r="AO33" s="1476"/>
      <c r="AP33" s="1476"/>
      <c r="AQ33" s="1476"/>
      <c r="AR33" s="1455"/>
      <c r="AS33" s="1454"/>
      <c r="BB33" s="1454"/>
      <c r="BC33" s="1454"/>
      <c r="BD33" s="1454"/>
      <c r="BE33" s="1454"/>
      <c r="BF33" s="1454"/>
      <c r="BG33" s="1454"/>
      <c r="BH33" s="1454"/>
      <c r="BI33" s="1454"/>
      <c r="BJ33" s="1454"/>
      <c r="BK33" s="1454"/>
      <c r="BL33" s="1454"/>
      <c r="BM33" s="1454"/>
      <c r="BN33" s="1454"/>
      <c r="BO33" s="1454"/>
      <c r="BP33" s="1454"/>
      <c r="BQ33" s="1454"/>
      <c r="BR33" s="1454"/>
      <c r="BS33" s="1454"/>
      <c r="BT33" s="1454"/>
      <c r="BU33" s="1454"/>
      <c r="BV33" s="1454"/>
      <c r="BW33" s="1454"/>
      <c r="BX33" s="1454"/>
      <c r="BY33" s="1454"/>
    </row>
    <row r="34" spans="2:77" s="1444" customFormat="1" ht="20.100000000000001" customHeight="1">
      <c r="E34" s="1454"/>
      <c r="F34" s="1454"/>
      <c r="G34" s="1454"/>
      <c r="H34" s="1454"/>
      <c r="I34" s="1454"/>
      <c r="J34" s="1454"/>
      <c r="K34" s="1454"/>
      <c r="L34" s="1454"/>
      <c r="M34" s="1454"/>
      <c r="N34" s="1454"/>
      <c r="O34" s="1454"/>
      <c r="P34" s="1454"/>
      <c r="Q34" s="1454"/>
      <c r="R34" s="1454"/>
      <c r="S34" s="1454"/>
      <c r="T34" s="1454"/>
      <c r="U34" s="1454"/>
      <c r="V34" s="1454"/>
      <c r="W34" s="1454"/>
      <c r="X34" s="1454"/>
      <c r="Y34" s="1454"/>
      <c r="AB34" s="1479"/>
      <c r="AC34" s="1478"/>
      <c r="AD34" s="1477" t="s">
        <v>3138</v>
      </c>
      <c r="AE34" s="1476"/>
      <c r="AF34" s="1476"/>
      <c r="AG34" s="1476"/>
      <c r="AH34" s="1476"/>
      <c r="AI34" s="1476"/>
      <c r="AJ34" s="1476"/>
      <c r="AK34" s="1476"/>
      <c r="AL34" s="1476"/>
      <c r="AM34" s="1476"/>
      <c r="AN34" s="1476"/>
      <c r="AO34" s="1476"/>
      <c r="AP34" s="1476"/>
      <c r="AQ34" s="1476"/>
      <c r="AR34" s="1455"/>
      <c r="AS34" s="1454"/>
      <c r="BB34" s="1454"/>
      <c r="BC34" s="1454"/>
      <c r="BD34" s="1454"/>
      <c r="BE34" s="1454"/>
      <c r="BF34" s="1454"/>
      <c r="BG34" s="1454"/>
      <c r="BH34" s="1454"/>
      <c r="BI34" s="1454"/>
      <c r="BJ34" s="1454"/>
      <c r="BK34" s="1454"/>
      <c r="BL34" s="1454"/>
      <c r="BM34" s="1454"/>
      <c r="BN34" s="1454"/>
      <c r="BO34" s="1454"/>
      <c r="BP34" s="1454"/>
      <c r="BQ34" s="1454"/>
      <c r="BR34" s="1454"/>
      <c r="BS34" s="1454"/>
      <c r="BT34" s="1454"/>
      <c r="BU34" s="1454"/>
      <c r="BV34" s="1454"/>
      <c r="BW34" s="1454"/>
      <c r="BX34" s="1454"/>
      <c r="BY34" s="1454"/>
    </row>
    <row r="35" spans="2:77" s="1443" customFormat="1" ht="20.100000000000001" customHeight="1">
      <c r="D35" s="1485"/>
      <c r="E35" s="1485"/>
      <c r="F35" s="1485"/>
      <c r="G35" s="1485"/>
      <c r="H35" s="1485"/>
      <c r="I35" s="1485"/>
      <c r="J35" s="1485"/>
      <c r="K35" s="1485"/>
      <c r="L35" s="1485"/>
      <c r="M35" s="1485"/>
      <c r="N35" s="1485"/>
      <c r="O35" s="1485"/>
      <c r="P35" s="1485"/>
      <c r="Q35" s="1485"/>
      <c r="R35" s="1485"/>
      <c r="S35" s="1485"/>
      <c r="T35" s="1485"/>
      <c r="U35" s="1485"/>
      <c r="V35" s="1485"/>
      <c r="W35" s="1485"/>
      <c r="X35" s="1485"/>
      <c r="Y35" s="1485"/>
      <c r="AB35" s="1475"/>
      <c r="AC35" s="1447"/>
      <c r="AD35" s="1474"/>
      <c r="AE35" s="1473"/>
      <c r="AF35" s="1473"/>
      <c r="AG35" s="1473"/>
      <c r="AH35" s="1473"/>
      <c r="AI35" s="1473"/>
      <c r="AJ35" s="1473"/>
      <c r="AK35" s="1473"/>
      <c r="AL35" s="1473"/>
      <c r="AM35" s="1473"/>
      <c r="AN35" s="1473"/>
      <c r="AO35" s="1473"/>
      <c r="AP35" s="1473"/>
      <c r="AQ35" s="1473"/>
      <c r="AR35" s="1472"/>
      <c r="AS35" s="1444"/>
      <c r="BB35" s="1454"/>
      <c r="BC35" s="1454"/>
      <c r="BD35" s="1454"/>
      <c r="BE35" s="1454"/>
      <c r="BF35" s="1454"/>
      <c r="BG35" s="1454"/>
      <c r="BH35" s="1454"/>
      <c r="BI35" s="1454"/>
      <c r="BJ35" s="1454"/>
      <c r="BK35" s="1454"/>
      <c r="BL35" s="1454"/>
      <c r="BM35" s="1454"/>
      <c r="BN35" s="1454"/>
      <c r="BO35" s="1454"/>
      <c r="BP35" s="1454"/>
      <c r="BQ35" s="1454"/>
      <c r="BR35" s="1454"/>
      <c r="BS35" s="1454"/>
      <c r="BT35" s="1454"/>
      <c r="BU35" s="1454"/>
      <c r="BV35" s="1454"/>
      <c r="BW35" s="1454"/>
      <c r="BX35" s="1454"/>
      <c r="BY35" s="1454"/>
    </row>
    <row r="36" spans="2:77" ht="20.100000000000001" customHeight="1">
      <c r="B36" s="1444" t="s">
        <v>2964</v>
      </c>
      <c r="C36" s="1471"/>
      <c r="D36" s="1471"/>
      <c r="E36" s="1471"/>
      <c r="F36" s="1471"/>
      <c r="G36" s="1471"/>
      <c r="H36" s="1471"/>
      <c r="I36" s="1471"/>
      <c r="J36" s="1471"/>
      <c r="K36" s="1471"/>
      <c r="L36" s="1471"/>
      <c r="M36" s="1471"/>
      <c r="N36" s="1471"/>
      <c r="O36" s="1471"/>
      <c r="P36" s="1471"/>
      <c r="Q36" s="1471"/>
      <c r="R36" s="1471"/>
      <c r="S36" s="1471"/>
      <c r="T36" s="1471"/>
      <c r="U36" s="1471"/>
      <c r="V36" s="1471"/>
      <c r="W36" s="1471"/>
      <c r="X36" s="1471"/>
      <c r="Y36" s="1471"/>
      <c r="Z36" s="1471"/>
      <c r="AA36" s="1471"/>
      <c r="AB36" s="1471"/>
      <c r="AC36" s="1471"/>
      <c r="AD36" s="1471"/>
      <c r="AE36" s="1471"/>
      <c r="AF36" s="1471"/>
      <c r="AG36" s="1471"/>
      <c r="AH36" s="1471"/>
      <c r="AI36" s="1471"/>
      <c r="AJ36" s="1471"/>
      <c r="AK36" s="1471"/>
      <c r="AL36" s="1471"/>
      <c r="AM36" s="1471"/>
      <c r="AN36" s="1471"/>
      <c r="AO36" s="1471"/>
      <c r="AP36" s="1471"/>
      <c r="AQ36" s="1471"/>
      <c r="AR36" s="1471"/>
      <c r="AS36" s="1470"/>
      <c r="BB36" s="1454"/>
      <c r="BC36" s="1454"/>
      <c r="BD36" s="1454"/>
      <c r="BE36" s="1454"/>
      <c r="BF36" s="1454"/>
      <c r="BG36" s="1454"/>
      <c r="BH36" s="1454"/>
      <c r="BI36" s="1454"/>
      <c r="BJ36" s="1454"/>
      <c r="BK36" s="1454"/>
      <c r="BL36" s="1454"/>
      <c r="BM36" s="1454"/>
      <c r="BN36" s="1454"/>
      <c r="BO36" s="1454"/>
      <c r="BP36" s="1454"/>
      <c r="BQ36" s="1454"/>
      <c r="BR36" s="1454"/>
      <c r="BS36" s="1454"/>
      <c r="BT36" s="1454"/>
      <c r="BU36" s="1454"/>
      <c r="BV36" s="1454"/>
      <c r="BW36" s="1454"/>
      <c r="BX36" s="1454"/>
      <c r="BY36" s="1454"/>
    </row>
    <row r="37" spans="2:77" s="1453" customFormat="1" ht="20.100000000000001" customHeight="1">
      <c r="B37" s="1469"/>
      <c r="AS37" s="1454"/>
      <c r="BB37" s="1454"/>
      <c r="BC37" s="1454"/>
      <c r="BD37" s="1454"/>
      <c r="BE37" s="1454"/>
      <c r="BF37" s="1454"/>
      <c r="BG37" s="1454"/>
      <c r="BH37" s="1454"/>
      <c r="BI37" s="1454"/>
      <c r="BJ37" s="1454"/>
      <c r="BK37" s="1454"/>
      <c r="BL37" s="1454"/>
      <c r="BM37" s="1454"/>
      <c r="BN37" s="1454"/>
      <c r="BO37" s="1454"/>
      <c r="BP37" s="1454"/>
      <c r="BQ37" s="1454"/>
      <c r="BR37" s="1454"/>
      <c r="BS37" s="1454"/>
      <c r="BT37" s="1454"/>
      <c r="BU37" s="1454"/>
      <c r="BV37" s="1454"/>
      <c r="BW37" s="1454"/>
      <c r="BX37" s="1454"/>
      <c r="BY37" s="1454"/>
    </row>
    <row r="38" spans="2:77" s="1453" customFormat="1" ht="20.100000000000001" customHeight="1">
      <c r="AS38" s="1454"/>
      <c r="BB38" s="1454"/>
      <c r="BC38" s="1454"/>
      <c r="BD38" s="1454"/>
      <c r="BE38" s="1454"/>
      <c r="BF38" s="1454"/>
      <c r="BG38" s="1454"/>
      <c r="BH38" s="1454"/>
      <c r="BI38" s="1454"/>
      <c r="BJ38" s="1454"/>
      <c r="BK38" s="1454"/>
      <c r="BL38" s="1454"/>
      <c r="BM38" s="1454"/>
      <c r="BN38" s="1454"/>
      <c r="BO38" s="1454"/>
      <c r="BP38" s="1454"/>
      <c r="BQ38" s="1454"/>
      <c r="BR38" s="1454"/>
      <c r="BS38" s="1454"/>
      <c r="BT38" s="1454"/>
      <c r="BU38" s="1454"/>
      <c r="BV38" s="1454"/>
      <c r="BW38" s="1454"/>
      <c r="BX38" s="1454"/>
      <c r="BY38" s="1454"/>
    </row>
    <row r="39" spans="2:77" s="1453" customFormat="1" ht="20.100000000000001" customHeight="1">
      <c r="AS39" s="1454"/>
      <c r="BB39" s="1454"/>
      <c r="BC39" s="1454"/>
      <c r="BD39" s="1454"/>
      <c r="BE39" s="1454"/>
      <c r="BF39" s="1454"/>
      <c r="BG39" s="1454"/>
      <c r="BH39" s="1454"/>
      <c r="BI39" s="1454"/>
      <c r="BJ39" s="1454"/>
      <c r="BK39" s="1454"/>
      <c r="BL39" s="1454"/>
      <c r="BM39" s="1454"/>
      <c r="BN39" s="1454"/>
      <c r="BO39" s="1454"/>
      <c r="BP39" s="1454"/>
      <c r="BQ39" s="1454"/>
      <c r="BR39" s="1454"/>
      <c r="BS39" s="1454"/>
      <c r="BT39" s="1454"/>
      <c r="BU39" s="1454"/>
      <c r="BV39" s="1454"/>
      <c r="BW39" s="1454"/>
      <c r="BX39" s="1454"/>
      <c r="BY39" s="1454"/>
    </row>
    <row r="40" spans="2:77" s="1453" customFormat="1" ht="20.100000000000001" customHeight="1">
      <c r="D40" s="2147" t="s">
        <v>2472</v>
      </c>
      <c r="E40" s="2147"/>
      <c r="F40" s="2147" t="s">
        <v>2471</v>
      </c>
      <c r="G40" s="2147"/>
      <c r="H40" s="2147"/>
      <c r="I40" s="2147"/>
      <c r="J40" s="2147"/>
      <c r="K40" s="2147"/>
      <c r="L40" s="2147"/>
      <c r="M40" s="2147"/>
      <c r="N40" s="2147"/>
      <c r="O40" s="2147"/>
      <c r="P40" s="2147"/>
      <c r="Q40" s="2147"/>
      <c r="R40" s="2147" t="s">
        <v>2470</v>
      </c>
      <c r="S40" s="2147"/>
      <c r="T40" s="2147"/>
      <c r="U40" s="2147" t="s">
        <v>39</v>
      </c>
      <c r="V40" s="2147"/>
      <c r="W40" s="2147"/>
      <c r="X40" s="2147"/>
      <c r="Y40" s="2147"/>
      <c r="Z40" s="1454"/>
      <c r="AB40" s="1468" t="s">
        <v>2469</v>
      </c>
      <c r="AC40" s="1466"/>
      <c r="AD40" s="1466"/>
      <c r="AE40" s="1466"/>
      <c r="AF40" s="1466"/>
      <c r="AG40" s="1466"/>
      <c r="AH40" s="1466"/>
      <c r="AI40" s="1466"/>
      <c r="AJ40" s="1466"/>
      <c r="AK40" s="1466"/>
      <c r="AL40" s="1466"/>
      <c r="AM40" s="1466"/>
      <c r="AN40" s="1467"/>
      <c r="AO40" s="1467"/>
      <c r="AP40" s="1467"/>
      <c r="AQ40" s="1466"/>
      <c r="AR40" s="1465"/>
      <c r="AS40" s="1454"/>
      <c r="BB40" s="1454"/>
      <c r="BC40" s="1454"/>
      <c r="BD40" s="1454"/>
      <c r="BE40" s="1454"/>
      <c r="BF40" s="1454"/>
      <c r="BG40" s="1454"/>
      <c r="BH40" s="1454"/>
      <c r="BI40" s="1454"/>
      <c r="BJ40" s="1454"/>
      <c r="BK40" s="1454"/>
      <c r="BL40" s="1454"/>
      <c r="BM40" s="1454"/>
      <c r="BN40" s="1454"/>
      <c r="BO40" s="1454"/>
      <c r="BP40" s="1454"/>
      <c r="BQ40" s="1454"/>
      <c r="BR40" s="1454"/>
      <c r="BS40" s="1454"/>
      <c r="BT40" s="1454"/>
      <c r="BU40" s="1454"/>
      <c r="BV40" s="1454"/>
      <c r="BW40" s="1454"/>
      <c r="BX40" s="1454"/>
      <c r="BY40" s="1454"/>
    </row>
    <row r="41" spans="2:77" s="1453" customFormat="1" ht="20.100000000000001" customHeight="1">
      <c r="D41" s="2147" t="s">
        <v>2468</v>
      </c>
      <c r="E41" s="2147"/>
      <c r="F41" s="2179" t="s">
        <v>2467</v>
      </c>
      <c r="G41" s="2179"/>
      <c r="H41" s="2179"/>
      <c r="I41" s="2179"/>
      <c r="J41" s="2179"/>
      <c r="K41" s="2179"/>
      <c r="L41" s="2179"/>
      <c r="M41" s="2179"/>
      <c r="N41" s="2179"/>
      <c r="O41" s="2179"/>
      <c r="P41" s="2179"/>
      <c r="Q41" s="2179"/>
      <c r="R41" s="2174">
        <v>0.8</v>
      </c>
      <c r="S41" s="2175"/>
      <c r="T41" s="2176"/>
      <c r="U41" s="2180"/>
      <c r="V41" s="2180"/>
      <c r="W41" s="2180"/>
      <c r="X41" s="2180"/>
      <c r="Y41" s="2180"/>
      <c r="Z41" s="1454"/>
      <c r="AB41" s="1463"/>
      <c r="AC41" s="1444" t="str">
        <f>"AH = { (1*"&amp;R42&amp;")/("&amp;R41&amp;"*"&amp;R45&amp;"*"&amp;R46&amp;") } * "&amp;R48&amp;" * 1.2"</f>
        <v>AH = { (1*3)/(0.8*1*0.77) } * 30.64 * 1.2</v>
      </c>
      <c r="AD41" s="1444"/>
      <c r="AE41" s="1450"/>
      <c r="AF41" s="1450"/>
      <c r="AG41" s="1444"/>
      <c r="AH41" s="1444"/>
      <c r="AI41" s="1444"/>
      <c r="AJ41" s="1444"/>
      <c r="AK41" s="1450"/>
      <c r="AL41" s="1444"/>
      <c r="AM41" s="1444"/>
      <c r="AN41" s="1450"/>
      <c r="AO41" s="1450"/>
      <c r="AP41" s="1450"/>
      <c r="AQ41" s="1450"/>
      <c r="AR41" s="1464"/>
      <c r="AS41" s="1454"/>
      <c r="BB41" s="1454"/>
      <c r="BC41" s="1454"/>
      <c r="BD41" s="1454"/>
      <c r="BE41" s="1454"/>
      <c r="BF41" s="1454"/>
      <c r="BG41" s="1454"/>
      <c r="BH41" s="1454"/>
      <c r="BI41" s="1454"/>
      <c r="BJ41" s="1454"/>
      <c r="BK41" s="1454"/>
      <c r="BL41" s="1454"/>
      <c r="BM41" s="1454"/>
      <c r="BN41" s="1454"/>
      <c r="BO41" s="1454"/>
      <c r="BP41" s="1454"/>
      <c r="BQ41" s="1454"/>
      <c r="BR41" s="1454"/>
      <c r="BS41" s="1454"/>
      <c r="BT41" s="1454"/>
      <c r="BU41" s="1454"/>
      <c r="BV41" s="1454"/>
      <c r="BW41" s="1454"/>
      <c r="BX41" s="1454"/>
      <c r="BY41" s="1454"/>
    </row>
    <row r="42" spans="2:77" s="1453" customFormat="1" ht="20.100000000000001" customHeight="1">
      <c r="D42" s="2154" t="s">
        <v>2466</v>
      </c>
      <c r="E42" s="2155"/>
      <c r="F42" s="2154" t="s">
        <v>2465</v>
      </c>
      <c r="G42" s="2158"/>
      <c r="H42" s="2158"/>
      <c r="I42" s="2158"/>
      <c r="J42" s="2158"/>
      <c r="K42" s="2158"/>
      <c r="L42" s="2158"/>
      <c r="M42" s="2158"/>
      <c r="N42" s="2158"/>
      <c r="O42" s="2158"/>
      <c r="P42" s="2158"/>
      <c r="Q42" s="2155"/>
      <c r="R42" s="2169">
        <v>3</v>
      </c>
      <c r="S42" s="2170"/>
      <c r="T42" s="2171"/>
      <c r="U42" s="2172" t="s">
        <v>1609</v>
      </c>
      <c r="V42" s="2172"/>
      <c r="W42" s="2172"/>
      <c r="X42" s="2172"/>
      <c r="Y42" s="2172"/>
      <c r="Z42" s="1454"/>
      <c r="AB42" s="1463"/>
      <c r="AC42" s="1450"/>
      <c r="AD42" s="1444" t="s">
        <v>2464</v>
      </c>
      <c r="AE42" s="2173">
        <f>ROUNDUP(((1*R42)/(R41*R45*R46))*R48*1.2,2)</f>
        <v>179.07</v>
      </c>
      <c r="AF42" s="2173"/>
      <c r="AG42" s="2173"/>
      <c r="AH42" s="2173"/>
      <c r="AI42" s="1444" t="s">
        <v>2463</v>
      </c>
      <c r="AJ42" s="1444"/>
      <c r="AK42" s="1444"/>
      <c r="AL42" s="1444"/>
      <c r="AM42" s="1444"/>
      <c r="AN42" s="1444"/>
      <c r="AO42" s="1444"/>
      <c r="AP42" s="1450"/>
      <c r="AQ42" s="1450"/>
      <c r="AR42" s="1457"/>
      <c r="AS42" s="1454"/>
      <c r="BB42" s="1454"/>
      <c r="BC42" s="1454"/>
      <c r="BD42" s="1454"/>
      <c r="BE42" s="1454"/>
      <c r="BF42" s="1454"/>
      <c r="BG42" s="1454"/>
      <c r="BH42" s="1454"/>
      <c r="BI42" s="1454"/>
      <c r="BJ42" s="1454"/>
      <c r="BK42" s="1454"/>
      <c r="BL42" s="1454"/>
      <c r="BM42" s="1454"/>
      <c r="BN42" s="1454"/>
      <c r="BO42" s="1454"/>
      <c r="BP42" s="1454"/>
      <c r="BQ42" s="1454"/>
      <c r="BR42" s="1454"/>
      <c r="BS42" s="1454"/>
      <c r="BT42" s="1454"/>
      <c r="BU42" s="1454"/>
      <c r="BV42" s="1454"/>
      <c r="BW42" s="1454"/>
      <c r="BX42" s="1454"/>
      <c r="BY42" s="1454"/>
    </row>
    <row r="43" spans="2:77" s="1453" customFormat="1" ht="20.100000000000001" customHeight="1">
      <c r="D43" s="2166"/>
      <c r="E43" s="2167"/>
      <c r="F43" s="2166"/>
      <c r="G43" s="2168"/>
      <c r="H43" s="2168"/>
      <c r="I43" s="2168"/>
      <c r="J43" s="2168"/>
      <c r="K43" s="2168"/>
      <c r="L43" s="2168"/>
      <c r="M43" s="2168"/>
      <c r="N43" s="2168"/>
      <c r="O43" s="2168"/>
      <c r="P43" s="2168"/>
      <c r="Q43" s="2167"/>
      <c r="R43" s="2174">
        <v>4</v>
      </c>
      <c r="S43" s="2175"/>
      <c r="T43" s="2176"/>
      <c r="U43" s="2177" t="s">
        <v>2462</v>
      </c>
      <c r="V43" s="2177"/>
      <c r="W43" s="2177"/>
      <c r="X43" s="2177"/>
      <c r="Y43" s="2177"/>
      <c r="Z43" s="1454"/>
      <c r="AB43" s="1458"/>
      <c r="AC43" s="1460"/>
      <c r="AD43" s="1462" t="s">
        <v>2461</v>
      </c>
      <c r="AE43" s="2178">
        <v>200</v>
      </c>
      <c r="AF43" s="2178"/>
      <c r="AG43" s="2178"/>
      <c r="AH43" s="2178"/>
      <c r="AI43" s="1461" t="s">
        <v>2460</v>
      </c>
      <c r="AJ43" s="1460"/>
      <c r="AK43" s="1460"/>
      <c r="AL43" s="1460"/>
      <c r="AM43" s="1460"/>
      <c r="AN43" s="1460"/>
      <c r="AO43" s="1460"/>
      <c r="AP43" s="1459"/>
      <c r="AQ43" s="1459"/>
      <c r="AR43" s="1457"/>
      <c r="AS43" s="1454"/>
      <c r="BB43" s="1454"/>
      <c r="BC43" s="1454"/>
      <c r="BD43" s="1454"/>
      <c r="BE43" s="1454"/>
      <c r="BF43" s="1454"/>
      <c r="BG43" s="1454"/>
      <c r="BH43" s="1454"/>
      <c r="BI43" s="1454"/>
      <c r="BJ43" s="1454"/>
      <c r="BK43" s="1454"/>
      <c r="BL43" s="1454"/>
      <c r="BM43" s="1454"/>
      <c r="BN43" s="1454"/>
      <c r="BO43" s="1454"/>
      <c r="BP43" s="1454"/>
      <c r="BQ43" s="1454"/>
      <c r="BR43" s="1454"/>
      <c r="BS43" s="1454"/>
      <c r="BT43" s="1454"/>
      <c r="BU43" s="1454"/>
      <c r="BV43" s="1454"/>
      <c r="BW43" s="1454"/>
      <c r="BX43" s="1454"/>
      <c r="BY43" s="1454"/>
    </row>
    <row r="44" spans="2:77" s="1453" customFormat="1" ht="20.100000000000001" customHeight="1">
      <c r="D44" s="2156"/>
      <c r="E44" s="2157"/>
      <c r="F44" s="2156"/>
      <c r="G44" s="2159"/>
      <c r="H44" s="2159"/>
      <c r="I44" s="2159"/>
      <c r="J44" s="2159"/>
      <c r="K44" s="2159"/>
      <c r="L44" s="2159"/>
      <c r="M44" s="2159"/>
      <c r="N44" s="2159"/>
      <c r="O44" s="2159"/>
      <c r="P44" s="2159"/>
      <c r="Q44" s="2157"/>
      <c r="R44" s="2174">
        <v>16</v>
      </c>
      <c r="S44" s="2175"/>
      <c r="T44" s="2176"/>
      <c r="U44" s="2151" t="s">
        <v>2459</v>
      </c>
      <c r="V44" s="2152"/>
      <c r="W44" s="2152"/>
      <c r="X44" s="2152"/>
      <c r="Y44" s="2153"/>
      <c r="Z44" s="1454"/>
      <c r="AB44" s="1458"/>
      <c r="AC44" s="1451"/>
      <c r="AD44" s="1451"/>
      <c r="AE44" s="1451"/>
      <c r="AF44" s="1450"/>
      <c r="AG44" s="1450"/>
      <c r="AH44" s="1450"/>
      <c r="AI44" s="1450"/>
      <c r="AJ44" s="1450"/>
      <c r="AK44" s="1450"/>
      <c r="AL44" s="1450"/>
      <c r="AM44" s="1450"/>
      <c r="AN44" s="1450"/>
      <c r="AO44" s="1450"/>
      <c r="AP44" s="1450"/>
      <c r="AQ44" s="1450"/>
      <c r="AR44" s="1457"/>
      <c r="AS44" s="1454"/>
      <c r="BB44" s="1454"/>
      <c r="BC44" s="1454"/>
      <c r="BD44" s="1454"/>
      <c r="BE44" s="1454"/>
      <c r="BF44" s="1454"/>
      <c r="BG44" s="1454"/>
      <c r="BH44" s="1454"/>
      <c r="BI44" s="1454"/>
      <c r="BJ44" s="1454"/>
      <c r="BK44" s="1454"/>
      <c r="BL44" s="1454"/>
      <c r="BM44" s="1454"/>
      <c r="BN44" s="1454"/>
      <c r="BO44" s="1454"/>
      <c r="BP44" s="1454"/>
      <c r="BQ44" s="1454"/>
      <c r="BR44" s="1454"/>
      <c r="BS44" s="1454"/>
      <c r="BT44" s="1454"/>
      <c r="BU44" s="1454"/>
      <c r="BV44" s="1454"/>
      <c r="BW44" s="1454"/>
      <c r="BX44" s="1454"/>
      <c r="BY44" s="1454"/>
    </row>
    <row r="45" spans="2:77" s="1453" customFormat="1" ht="20.100000000000001" customHeight="1">
      <c r="D45" s="2147" t="s">
        <v>2458</v>
      </c>
      <c r="E45" s="2147"/>
      <c r="F45" s="2147" t="s">
        <v>2457</v>
      </c>
      <c r="G45" s="2147"/>
      <c r="H45" s="2147"/>
      <c r="I45" s="2147"/>
      <c r="J45" s="2147"/>
      <c r="K45" s="2147"/>
      <c r="L45" s="2147"/>
      <c r="M45" s="2147"/>
      <c r="N45" s="2147"/>
      <c r="O45" s="2147"/>
      <c r="P45" s="2147"/>
      <c r="Q45" s="2147"/>
      <c r="R45" s="2148">
        <v>1</v>
      </c>
      <c r="S45" s="2149"/>
      <c r="T45" s="2150"/>
      <c r="U45" s="2151" t="s">
        <v>2965</v>
      </c>
      <c r="V45" s="2152"/>
      <c r="W45" s="2152"/>
      <c r="X45" s="2152"/>
      <c r="Y45" s="2153"/>
      <c r="AB45" s="1458"/>
      <c r="AC45" s="1451"/>
      <c r="AD45" s="1451"/>
      <c r="AE45" s="1451"/>
      <c r="AF45" s="1450"/>
      <c r="AG45" s="1450"/>
      <c r="AH45" s="1450"/>
      <c r="AI45" s="1450"/>
      <c r="AJ45" s="1450"/>
      <c r="AK45" s="1450"/>
      <c r="AL45" s="1450"/>
      <c r="AM45" s="1450"/>
      <c r="AN45" s="1450"/>
      <c r="AO45" s="1450"/>
      <c r="AP45" s="1450"/>
      <c r="AQ45" s="1450"/>
      <c r="AR45" s="1457"/>
      <c r="AS45" s="1454"/>
      <c r="BB45" s="1454"/>
      <c r="BC45" s="1454"/>
      <c r="BD45" s="1454"/>
      <c r="BE45" s="1454"/>
      <c r="BF45" s="1454"/>
      <c r="BG45" s="1454"/>
      <c r="BH45" s="1454"/>
      <c r="BI45" s="1454"/>
      <c r="BJ45" s="1454"/>
      <c r="BK45" s="1454"/>
      <c r="BL45" s="1454"/>
      <c r="BM45" s="1454"/>
      <c r="BN45" s="1454"/>
      <c r="BO45" s="1454"/>
      <c r="BP45" s="1454"/>
      <c r="BQ45" s="1454"/>
      <c r="BR45" s="1454"/>
      <c r="BS45" s="1454"/>
      <c r="BT45" s="1454"/>
      <c r="BU45" s="1454"/>
      <c r="BV45" s="1454"/>
      <c r="BW45" s="1454"/>
      <c r="BX45" s="1454"/>
      <c r="BY45" s="1454"/>
    </row>
    <row r="46" spans="2:77" s="1453" customFormat="1" ht="20.100000000000001" customHeight="1">
      <c r="D46" s="2154" t="s">
        <v>2456</v>
      </c>
      <c r="E46" s="2155"/>
      <c r="F46" s="2154" t="s">
        <v>2455</v>
      </c>
      <c r="G46" s="2158"/>
      <c r="H46" s="2158"/>
      <c r="I46" s="2158"/>
      <c r="J46" s="2158"/>
      <c r="K46" s="2158"/>
      <c r="L46" s="2158"/>
      <c r="M46" s="2158"/>
      <c r="N46" s="2158"/>
      <c r="O46" s="2158"/>
      <c r="P46" s="2158"/>
      <c r="Q46" s="2155"/>
      <c r="R46" s="2160">
        <v>0.77</v>
      </c>
      <c r="S46" s="2161"/>
      <c r="T46" s="2162"/>
      <c r="U46" s="2163" t="s">
        <v>2454</v>
      </c>
      <c r="V46" s="2164"/>
      <c r="W46" s="2164"/>
      <c r="X46" s="2164"/>
      <c r="Y46" s="2165"/>
      <c r="AB46" s="1456"/>
      <c r="AC46" s="1451"/>
      <c r="AD46" s="1451"/>
      <c r="AE46" s="1451"/>
      <c r="AF46" s="1450"/>
      <c r="AG46" s="1450"/>
      <c r="AH46" s="1450"/>
      <c r="AI46" s="1450"/>
      <c r="AJ46" s="1450"/>
      <c r="AK46" s="1450"/>
      <c r="AL46" s="1450"/>
      <c r="AM46" s="1450"/>
      <c r="AN46" s="1450"/>
      <c r="AO46" s="1450"/>
      <c r="AP46" s="1450"/>
      <c r="AQ46" s="1450"/>
      <c r="AR46" s="1455"/>
      <c r="AS46" s="1454"/>
    </row>
    <row r="47" spans="2:77" ht="20.100000000000001" customHeight="1">
      <c r="D47" s="2156"/>
      <c r="E47" s="2157"/>
      <c r="F47" s="2156"/>
      <c r="G47" s="2159"/>
      <c r="H47" s="2159"/>
      <c r="I47" s="2159"/>
      <c r="J47" s="2159"/>
      <c r="K47" s="2159"/>
      <c r="L47" s="2159"/>
      <c r="M47" s="2159"/>
      <c r="N47" s="2159"/>
      <c r="O47" s="2159"/>
      <c r="P47" s="2159"/>
      <c r="Q47" s="2157"/>
      <c r="R47" s="2148">
        <v>0.82</v>
      </c>
      <c r="S47" s="2149"/>
      <c r="T47" s="2150"/>
      <c r="U47" s="2151" t="s">
        <v>2453</v>
      </c>
      <c r="V47" s="2152"/>
      <c r="W47" s="2152"/>
      <c r="X47" s="2152"/>
      <c r="Y47" s="2153"/>
      <c r="AB47" s="1452"/>
      <c r="AC47" s="1564"/>
      <c r="AD47" s="1564"/>
      <c r="AE47" s="1564"/>
      <c r="AF47" s="1564"/>
      <c r="AG47" s="1564"/>
      <c r="AH47" s="1564"/>
      <c r="AI47" s="1564"/>
      <c r="AJ47" s="1564"/>
      <c r="AK47" s="1564"/>
      <c r="AL47" s="1564"/>
      <c r="AM47" s="1564"/>
      <c r="AN47" s="1565"/>
      <c r="AO47" s="1565"/>
      <c r="AP47" s="1565"/>
      <c r="AQ47" s="1565"/>
      <c r="AR47" s="1449"/>
    </row>
    <row r="48" spans="2:77" ht="20.100000000000001" customHeight="1">
      <c r="D48" s="2147" t="s">
        <v>2452</v>
      </c>
      <c r="E48" s="2147"/>
      <c r="F48" s="2147" t="s">
        <v>2451</v>
      </c>
      <c r="G48" s="2147"/>
      <c r="H48" s="2147"/>
      <c r="I48" s="2147"/>
      <c r="J48" s="2147"/>
      <c r="K48" s="2147"/>
      <c r="L48" s="2147"/>
      <c r="M48" s="2147"/>
      <c r="N48" s="2147"/>
      <c r="O48" s="2147"/>
      <c r="P48" s="2147"/>
      <c r="Q48" s="2147"/>
      <c r="R48" s="2148">
        <f>AH21</f>
        <v>30.64</v>
      </c>
      <c r="S48" s="2149"/>
      <c r="T48" s="2150"/>
      <c r="U48" s="2151"/>
      <c r="V48" s="2152"/>
      <c r="W48" s="2152"/>
      <c r="X48" s="2152"/>
      <c r="Y48" s="2153"/>
      <c r="AB48" s="1448"/>
      <c r="AC48" s="1447"/>
      <c r="AD48" s="1447"/>
      <c r="AE48" s="1447"/>
      <c r="AF48" s="1447"/>
      <c r="AG48" s="1447"/>
      <c r="AH48" s="1447"/>
      <c r="AI48" s="1447"/>
      <c r="AJ48" s="1447"/>
      <c r="AK48" s="1447"/>
      <c r="AL48" s="1447"/>
      <c r="AM48" s="1447"/>
      <c r="AN48" s="1446"/>
      <c r="AO48" s="1446"/>
      <c r="AP48" s="1446"/>
      <c r="AQ48" s="1446"/>
      <c r="AR48" s="1445"/>
    </row>
    <row r="49" spans="4:25" ht="20.100000000000001" customHeight="1">
      <c r="D49" s="1444" t="s">
        <v>2450</v>
      </c>
      <c r="E49" s="1443"/>
      <c r="F49" s="1443"/>
      <c r="G49" s="1443"/>
      <c r="H49" s="1443"/>
      <c r="I49" s="1443"/>
      <c r="J49" s="1443"/>
      <c r="K49" s="1443"/>
      <c r="L49" s="1443"/>
      <c r="M49" s="1443"/>
      <c r="N49" s="1443"/>
      <c r="O49" s="1443"/>
      <c r="P49" s="1443"/>
      <c r="Q49" s="1443"/>
      <c r="R49" s="1443"/>
      <c r="S49" s="1443"/>
      <c r="T49" s="1443"/>
      <c r="U49" s="1443"/>
      <c r="V49" s="1443"/>
      <c r="W49" s="1443"/>
      <c r="X49" s="1443"/>
      <c r="Y49" s="1443"/>
    </row>
    <row r="50" spans="4:25" ht="20.100000000000001" customHeight="1">
      <c r="D50" s="1444" t="s">
        <v>2449</v>
      </c>
      <c r="E50" s="1443"/>
      <c r="F50" s="1443"/>
      <c r="G50" s="1443"/>
      <c r="H50" s="1443"/>
      <c r="I50" s="1443"/>
      <c r="J50" s="1443"/>
      <c r="K50" s="1443"/>
      <c r="L50" s="1443"/>
      <c r="M50" s="1443"/>
      <c r="N50" s="1443"/>
      <c r="O50" s="1443"/>
      <c r="P50" s="1443"/>
      <c r="Q50" s="1443"/>
      <c r="R50" s="1443"/>
      <c r="S50" s="1443"/>
      <c r="T50" s="1443"/>
      <c r="U50" s="1443"/>
      <c r="V50" s="1443"/>
      <c r="W50" s="1443"/>
      <c r="X50" s="1443"/>
      <c r="Y50" s="1443"/>
    </row>
  </sheetData>
  <mergeCells count="167">
    <mergeCell ref="A1:AS1"/>
    <mergeCell ref="C8:J10"/>
    <mergeCell ref="K8:S10"/>
    <mergeCell ref="T8:V10"/>
    <mergeCell ref="W8:AE8"/>
    <mergeCell ref="AF8:AG10"/>
    <mergeCell ref="AH8:AM8"/>
    <mergeCell ref="AN8:AR10"/>
    <mergeCell ref="W9:Y10"/>
    <mergeCell ref="Z9:AB10"/>
    <mergeCell ref="AC9:AE10"/>
    <mergeCell ref="AH9:AJ10"/>
    <mergeCell ref="AK9:AM10"/>
    <mergeCell ref="AN11:AR11"/>
    <mergeCell ref="C12:J12"/>
    <mergeCell ref="K12:S12"/>
    <mergeCell ref="T12:V12"/>
    <mergeCell ref="W12:Y12"/>
    <mergeCell ref="Z12:AB12"/>
    <mergeCell ref="AC12:AE12"/>
    <mergeCell ref="AF12:AG12"/>
    <mergeCell ref="AH12:AJ12"/>
    <mergeCell ref="AK12:AM12"/>
    <mergeCell ref="AN12:AR12"/>
    <mergeCell ref="C11:J11"/>
    <mergeCell ref="K11:S11"/>
    <mergeCell ref="T11:V11"/>
    <mergeCell ref="W11:Y11"/>
    <mergeCell ref="Z11:AB11"/>
    <mergeCell ref="AC11:AE11"/>
    <mergeCell ref="AF11:AG11"/>
    <mergeCell ref="AH11:AJ11"/>
    <mergeCell ref="AK11:AM11"/>
    <mergeCell ref="AN13:AR13"/>
    <mergeCell ref="C14:J14"/>
    <mergeCell ref="K14:S14"/>
    <mergeCell ref="T14:V14"/>
    <mergeCell ref="W14:Y14"/>
    <mergeCell ref="Z14:AB14"/>
    <mergeCell ref="AC14:AE14"/>
    <mergeCell ref="AF14:AG14"/>
    <mergeCell ref="AH14:AJ14"/>
    <mergeCell ref="AK14:AM14"/>
    <mergeCell ref="AN14:AR14"/>
    <mergeCell ref="C13:J13"/>
    <mergeCell ref="K13:S13"/>
    <mergeCell ref="T13:V13"/>
    <mergeCell ref="W13:Y13"/>
    <mergeCell ref="Z13:AB13"/>
    <mergeCell ref="AC13:AE13"/>
    <mergeCell ref="AF13:AG13"/>
    <mergeCell ref="AH13:AJ13"/>
    <mergeCell ref="AK13:AM13"/>
    <mergeCell ref="AU14:BD14"/>
    <mergeCell ref="C15:J15"/>
    <mergeCell ref="K15:S15"/>
    <mergeCell ref="T15:V15"/>
    <mergeCell ref="W15:Y15"/>
    <mergeCell ref="Z15:AB15"/>
    <mergeCell ref="AC15:AE15"/>
    <mergeCell ref="AF15:AG15"/>
    <mergeCell ref="AH15:AJ15"/>
    <mergeCell ref="AK15:AM15"/>
    <mergeCell ref="AN15:AR15"/>
    <mergeCell ref="AN16:AR16"/>
    <mergeCell ref="C17:J17"/>
    <mergeCell ref="K17:S17"/>
    <mergeCell ref="T17:V17"/>
    <mergeCell ref="W17:Y17"/>
    <mergeCell ref="Z17:AB17"/>
    <mergeCell ref="AC17:AE17"/>
    <mergeCell ref="AF17:AG17"/>
    <mergeCell ref="AH17:AJ17"/>
    <mergeCell ref="AK17:AM17"/>
    <mergeCell ref="AN17:AR17"/>
    <mergeCell ref="C16:J16"/>
    <mergeCell ref="K16:S16"/>
    <mergeCell ref="T16:V16"/>
    <mergeCell ref="W16:Y16"/>
    <mergeCell ref="Z16:AB16"/>
    <mergeCell ref="AC16:AE16"/>
    <mergeCell ref="AF16:AG16"/>
    <mergeCell ref="AH16:AJ16"/>
    <mergeCell ref="AK16:AM16"/>
    <mergeCell ref="AN18:AR18"/>
    <mergeCell ref="C19:J19"/>
    <mergeCell ref="K19:S19"/>
    <mergeCell ref="T19:V19"/>
    <mergeCell ref="W19:Y19"/>
    <mergeCell ref="Z19:AB19"/>
    <mergeCell ref="AC19:AE19"/>
    <mergeCell ref="AH20:AJ20"/>
    <mergeCell ref="AK20:AM20"/>
    <mergeCell ref="AN20:AR20"/>
    <mergeCell ref="C18:J18"/>
    <mergeCell ref="K18:S18"/>
    <mergeCell ref="T18:V18"/>
    <mergeCell ref="W18:Y18"/>
    <mergeCell ref="Z18:AB18"/>
    <mergeCell ref="AC18:AE18"/>
    <mergeCell ref="AF18:AG18"/>
    <mergeCell ref="AH18:AJ18"/>
    <mergeCell ref="AK18:AM18"/>
    <mergeCell ref="C21:AG21"/>
    <mergeCell ref="AH21:AJ21"/>
    <mergeCell ref="AK21:AM21"/>
    <mergeCell ref="AN21:AR21"/>
    <mergeCell ref="AF19:AG19"/>
    <mergeCell ref="AH19:AJ19"/>
    <mergeCell ref="AK19:AM19"/>
    <mergeCell ref="AN19:AR19"/>
    <mergeCell ref="C20:S20"/>
    <mergeCell ref="T20:V20"/>
    <mergeCell ref="W20:Y20"/>
    <mergeCell ref="Z20:AB20"/>
    <mergeCell ref="AC20:AE20"/>
    <mergeCell ref="AF20:AG20"/>
    <mergeCell ref="D28:E28"/>
    <mergeCell ref="F28:Q28"/>
    <mergeCell ref="R28:T28"/>
    <mergeCell ref="U28:Y28"/>
    <mergeCell ref="AE28:AH28"/>
    <mergeCell ref="D29:E29"/>
    <mergeCell ref="F29:Q29"/>
    <mergeCell ref="R29:T29"/>
    <mergeCell ref="U29:Y29"/>
    <mergeCell ref="AE29:AH29"/>
    <mergeCell ref="D40:E40"/>
    <mergeCell ref="F40:Q40"/>
    <mergeCell ref="R40:T40"/>
    <mergeCell ref="U40:Y40"/>
    <mergeCell ref="D41:E41"/>
    <mergeCell ref="F41:Q41"/>
    <mergeCell ref="R41:T41"/>
    <mergeCell ref="U41:Y41"/>
    <mergeCell ref="D30:E30"/>
    <mergeCell ref="F30:Q30"/>
    <mergeCell ref="R30:T30"/>
    <mergeCell ref="U30:Y30"/>
    <mergeCell ref="D31:E31"/>
    <mergeCell ref="F31:Q31"/>
    <mergeCell ref="R31:T31"/>
    <mergeCell ref="U31:Y31"/>
    <mergeCell ref="D42:E44"/>
    <mergeCell ref="F42:Q44"/>
    <mergeCell ref="R42:T42"/>
    <mergeCell ref="U42:Y42"/>
    <mergeCell ref="AE42:AH42"/>
    <mergeCell ref="R43:T43"/>
    <mergeCell ref="U43:Y43"/>
    <mergeCell ref="AE43:AH43"/>
    <mergeCell ref="R44:T44"/>
    <mergeCell ref="U44:Y44"/>
    <mergeCell ref="D48:E48"/>
    <mergeCell ref="F48:Q48"/>
    <mergeCell ref="R48:T48"/>
    <mergeCell ref="U48:Y48"/>
    <mergeCell ref="D45:E45"/>
    <mergeCell ref="F45:Q45"/>
    <mergeCell ref="R45:T45"/>
    <mergeCell ref="U45:Y45"/>
    <mergeCell ref="D46:E47"/>
    <mergeCell ref="F46:Q47"/>
    <mergeCell ref="R46:T46"/>
    <mergeCell ref="U46:Y46"/>
    <mergeCell ref="R47:T47"/>
    <mergeCell ref="U47:Y47"/>
  </mergeCells>
  <phoneticPr fontId="60" type="noConversion"/>
  <printOptions horizontalCentered="1"/>
  <pageMargins left="0.23622047244094491" right="0.23622047244094491" top="0.74803149606299213" bottom="0.74803149606299213" header="0.31496062992125984" footer="0.31496062992125984"/>
  <pageSetup paperSize="9" scale="73" orientation="portrait" horizontalDpi="1200" verticalDpi="1200"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FF87A-D147-412E-A82E-3F291252047A}">
  <dimension ref="A1:CO111"/>
  <sheetViews>
    <sheetView view="pageBreakPreview" topLeftCell="A33" zoomScale="85" zoomScaleNormal="55" zoomScaleSheetLayoutView="85" workbookViewId="0">
      <selection activeCell="J28" sqref="J28:R28"/>
    </sheetView>
  </sheetViews>
  <sheetFormatPr defaultRowHeight="20.100000000000001" customHeight="1"/>
  <cols>
    <col min="1" max="2" width="1.75" style="1443" customWidth="1"/>
    <col min="3" max="8" width="2.75" style="1443" customWidth="1"/>
    <col min="9" max="9" width="3.625" style="1443" customWidth="1"/>
    <col min="10" max="18" width="2.625" style="1443" customWidth="1"/>
    <col min="19" max="27" width="2.75" style="1443" customWidth="1"/>
    <col min="28" max="30" width="2.875" style="1443" customWidth="1"/>
    <col min="31" max="32" width="3.125" style="1443" customWidth="1"/>
    <col min="33" max="35" width="2.375" style="1443" customWidth="1"/>
    <col min="36" max="38" width="2.75" style="1443" customWidth="1"/>
    <col min="39" max="43" width="2" style="1443" customWidth="1"/>
    <col min="44" max="44" width="3.25" style="1443" customWidth="1"/>
    <col min="45" max="91" width="2.75" style="1443" customWidth="1"/>
    <col min="92" max="16384" width="9" style="1443"/>
  </cols>
  <sheetData>
    <row r="1" spans="1:48" ht="38.25">
      <c r="A1" s="2335" t="s">
        <v>2966</v>
      </c>
      <c r="B1" s="2335"/>
      <c r="C1" s="2335"/>
      <c r="D1" s="2335"/>
      <c r="E1" s="2335"/>
      <c r="F1" s="2335"/>
      <c r="G1" s="2335"/>
      <c r="H1" s="2335"/>
      <c r="I1" s="2335"/>
      <c r="J1" s="2335"/>
      <c r="K1" s="2335"/>
      <c r="L1" s="2335"/>
      <c r="M1" s="2335"/>
      <c r="N1" s="2335"/>
      <c r="O1" s="2335"/>
      <c r="P1" s="2335"/>
      <c r="Q1" s="2335"/>
      <c r="R1" s="2335"/>
      <c r="S1" s="2335"/>
      <c r="T1" s="2335"/>
      <c r="U1" s="2335"/>
      <c r="V1" s="2335"/>
      <c r="W1" s="2335"/>
      <c r="X1" s="2335"/>
      <c r="Y1" s="2335"/>
      <c r="Z1" s="2335"/>
      <c r="AA1" s="2335"/>
      <c r="AB1" s="2335"/>
      <c r="AC1" s="2335"/>
      <c r="AD1" s="2335"/>
      <c r="AE1" s="2335"/>
      <c r="AF1" s="2335"/>
      <c r="AG1" s="2335"/>
      <c r="AH1" s="2335"/>
      <c r="AI1" s="2335"/>
      <c r="AJ1" s="2335"/>
      <c r="AK1" s="2335"/>
      <c r="AL1" s="2335"/>
      <c r="AM1" s="2335"/>
      <c r="AN1" s="2335"/>
      <c r="AO1" s="2335"/>
      <c r="AP1" s="2335"/>
      <c r="AQ1" s="2335"/>
      <c r="AR1" s="2335"/>
      <c r="AS1" s="1495"/>
      <c r="AT1" s="1469"/>
      <c r="AU1" s="1469"/>
      <c r="AV1" s="1469"/>
    </row>
    <row r="2" spans="1:48" ht="20.100000000000001" customHeight="1">
      <c r="A2" s="1485"/>
      <c r="B2" s="1485"/>
      <c r="C2" s="1485"/>
      <c r="D2" s="1485"/>
      <c r="E2" s="1485"/>
      <c r="F2" s="1485"/>
      <c r="G2" s="1485"/>
      <c r="H2" s="1485"/>
      <c r="I2" s="1485"/>
      <c r="J2" s="1485"/>
      <c r="K2" s="1485"/>
      <c r="L2" s="1485"/>
      <c r="M2" s="1485"/>
      <c r="N2" s="1485"/>
      <c r="O2" s="1485"/>
      <c r="P2" s="1485"/>
      <c r="Q2" s="1485"/>
      <c r="R2" s="1485"/>
      <c r="S2" s="1485"/>
      <c r="T2" s="1485"/>
      <c r="U2" s="1485"/>
      <c r="V2" s="1485"/>
      <c r="W2" s="1485"/>
      <c r="X2" s="1485"/>
      <c r="Y2" s="1485"/>
      <c r="Z2" s="1485"/>
      <c r="AA2" s="1485"/>
      <c r="AB2" s="1485"/>
      <c r="AC2" s="1485"/>
      <c r="AD2" s="1485"/>
      <c r="AE2" s="1485"/>
      <c r="AF2" s="1485"/>
      <c r="AG2" s="1485"/>
      <c r="AH2" s="1485"/>
      <c r="AI2" s="1485"/>
      <c r="AJ2" s="1485"/>
      <c r="AK2" s="1485"/>
      <c r="AL2" s="1485"/>
      <c r="AM2" s="1485"/>
      <c r="AN2" s="1485"/>
      <c r="AO2" s="1485"/>
      <c r="AP2" s="1485"/>
      <c r="AQ2" s="1485"/>
      <c r="AS2" s="1494"/>
      <c r="AT2" s="1444"/>
      <c r="AU2" s="1444"/>
      <c r="AV2" s="1444"/>
    </row>
    <row r="3" spans="1:48" ht="20.100000000000001" customHeight="1">
      <c r="A3" s="1486" t="s">
        <v>2514</v>
      </c>
      <c r="B3" s="1486"/>
      <c r="C3" s="1485"/>
      <c r="D3" s="1485"/>
      <c r="E3" s="1485"/>
      <c r="F3" s="1485"/>
      <c r="G3" s="1485"/>
      <c r="H3" s="1485"/>
      <c r="I3" s="1485"/>
      <c r="J3" s="1485"/>
      <c r="K3" s="1485"/>
      <c r="L3" s="1485"/>
      <c r="M3" s="1485"/>
      <c r="N3" s="1485"/>
      <c r="O3" s="1485"/>
      <c r="P3" s="1485"/>
      <c r="Q3" s="1485"/>
      <c r="R3" s="1485"/>
      <c r="S3" s="1485"/>
      <c r="T3" s="1485"/>
      <c r="U3" s="1485"/>
      <c r="V3" s="1485"/>
      <c r="W3" s="1485"/>
      <c r="X3" s="1485"/>
      <c r="Y3" s="1485"/>
      <c r="Z3" s="1485"/>
      <c r="AA3" s="1485"/>
      <c r="AB3" s="1485"/>
      <c r="AC3" s="1485"/>
      <c r="AD3" s="1485"/>
      <c r="AE3" s="1485"/>
      <c r="AF3" s="1485"/>
      <c r="AG3" s="1485"/>
      <c r="AH3" s="1485"/>
      <c r="AI3" s="1485"/>
      <c r="AJ3" s="1485"/>
      <c r="AK3" s="1485"/>
      <c r="AL3" s="1485"/>
      <c r="AM3" s="1485"/>
      <c r="AN3" s="1485"/>
      <c r="AO3" s="1485"/>
      <c r="AP3" s="1485"/>
      <c r="AQ3" s="1485"/>
      <c r="AR3" s="1485"/>
      <c r="AS3" s="1485"/>
      <c r="AT3" s="1444"/>
      <c r="AU3" s="1444"/>
      <c r="AV3" s="1444"/>
    </row>
    <row r="4" spans="1:48" s="1444" customFormat="1" ht="20.100000000000001" customHeight="1">
      <c r="B4" s="1444" t="s">
        <v>2969</v>
      </c>
    </row>
    <row r="5" spans="1:48" s="1444" customFormat="1" ht="20.100000000000001" customHeight="1"/>
    <row r="6" spans="1:48" ht="20.100000000000001" customHeight="1">
      <c r="A6" s="1486" t="s">
        <v>2513</v>
      </c>
      <c r="B6" s="1486"/>
      <c r="C6" s="1485"/>
      <c r="D6" s="1485"/>
      <c r="E6" s="1485"/>
      <c r="F6" s="1485"/>
      <c r="G6" s="1485"/>
      <c r="H6" s="1485"/>
      <c r="I6" s="1485"/>
      <c r="J6" s="1485"/>
      <c r="K6" s="1485"/>
      <c r="L6" s="1485"/>
      <c r="M6" s="1485"/>
      <c r="N6" s="1485"/>
      <c r="O6" s="1485"/>
      <c r="P6" s="1485"/>
      <c r="Q6" s="1485"/>
      <c r="R6" s="1485"/>
      <c r="S6" s="1485"/>
      <c r="T6" s="1485"/>
      <c r="U6" s="1485"/>
      <c r="V6" s="1485"/>
      <c r="W6" s="1485"/>
      <c r="X6" s="1485"/>
      <c r="Y6" s="1485"/>
      <c r="Z6" s="1485"/>
      <c r="AA6" s="1485"/>
      <c r="AB6" s="1485"/>
      <c r="AC6" s="1485"/>
      <c r="AD6" s="1485"/>
      <c r="AE6" s="1485"/>
      <c r="AF6" s="1485"/>
      <c r="AG6" s="1485"/>
      <c r="AH6" s="1485"/>
      <c r="AI6" s="1485"/>
      <c r="AJ6" s="1485"/>
      <c r="AK6" s="1485"/>
      <c r="AL6" s="1485"/>
      <c r="AM6" s="1485"/>
      <c r="AN6" s="1485"/>
      <c r="AO6" s="1485"/>
      <c r="AP6" s="1485"/>
      <c r="AQ6" s="1485"/>
      <c r="AR6" s="1485"/>
      <c r="AS6" s="1485"/>
      <c r="AT6" s="1444"/>
      <c r="AU6" s="1444"/>
      <c r="AV6" s="1444"/>
    </row>
    <row r="7" spans="1:48" s="1444" customFormat="1" ht="20.100000000000001" customHeight="1">
      <c r="B7" s="1444" t="s">
        <v>2570</v>
      </c>
    </row>
    <row r="8" spans="1:48" s="1444" customFormat="1" ht="20.100000000000001" customHeight="1">
      <c r="C8" s="2336" t="s">
        <v>2511</v>
      </c>
      <c r="D8" s="2337"/>
      <c r="E8" s="2337"/>
      <c r="F8" s="2337"/>
      <c r="G8" s="2337"/>
      <c r="H8" s="2337"/>
      <c r="I8" s="2337"/>
      <c r="J8" s="2337" t="s">
        <v>2510</v>
      </c>
      <c r="K8" s="2337"/>
      <c r="L8" s="2337"/>
      <c r="M8" s="2337"/>
      <c r="N8" s="2337"/>
      <c r="O8" s="2337"/>
      <c r="P8" s="2337"/>
      <c r="Q8" s="2337"/>
      <c r="R8" s="2337"/>
      <c r="S8" s="2337" t="s">
        <v>817</v>
      </c>
      <c r="T8" s="2337"/>
      <c r="U8" s="2342"/>
      <c r="V8" s="2345" t="s">
        <v>2509</v>
      </c>
      <c r="W8" s="2346"/>
      <c r="X8" s="2346"/>
      <c r="Y8" s="2346"/>
      <c r="Z8" s="2346"/>
      <c r="AA8" s="2346"/>
      <c r="AB8" s="2346"/>
      <c r="AC8" s="2346"/>
      <c r="AD8" s="2347"/>
      <c r="AE8" s="2348" t="s">
        <v>2508</v>
      </c>
      <c r="AF8" s="2342"/>
      <c r="AG8" s="2345" t="s">
        <v>2507</v>
      </c>
      <c r="AH8" s="2346"/>
      <c r="AI8" s="2346"/>
      <c r="AJ8" s="2346"/>
      <c r="AK8" s="2346"/>
      <c r="AL8" s="2347"/>
      <c r="AM8" s="2348" t="s">
        <v>825</v>
      </c>
      <c r="AN8" s="2337"/>
      <c r="AO8" s="2337"/>
      <c r="AP8" s="2337"/>
      <c r="AQ8" s="2351"/>
    </row>
    <row r="9" spans="1:48" s="1444" customFormat="1" ht="20.100000000000001" customHeight="1">
      <c r="C9" s="2338"/>
      <c r="D9" s="2339"/>
      <c r="E9" s="2339"/>
      <c r="F9" s="2339"/>
      <c r="G9" s="2339"/>
      <c r="H9" s="2339"/>
      <c r="I9" s="2339"/>
      <c r="J9" s="2339"/>
      <c r="K9" s="2339"/>
      <c r="L9" s="2339"/>
      <c r="M9" s="2339"/>
      <c r="N9" s="2339"/>
      <c r="O9" s="2339"/>
      <c r="P9" s="2339"/>
      <c r="Q9" s="2339"/>
      <c r="R9" s="2339"/>
      <c r="S9" s="2339"/>
      <c r="T9" s="2339"/>
      <c r="U9" s="2343"/>
      <c r="V9" s="2354" t="s">
        <v>2506</v>
      </c>
      <c r="W9" s="2355"/>
      <c r="X9" s="2355"/>
      <c r="Y9" s="2358" t="s">
        <v>2505</v>
      </c>
      <c r="Z9" s="2355"/>
      <c r="AA9" s="2355"/>
      <c r="AB9" s="2358" t="s">
        <v>2569</v>
      </c>
      <c r="AC9" s="2355"/>
      <c r="AD9" s="2359"/>
      <c r="AE9" s="2349"/>
      <c r="AF9" s="2343"/>
      <c r="AG9" s="2354" t="s">
        <v>2568</v>
      </c>
      <c r="AH9" s="2358"/>
      <c r="AI9" s="2358"/>
      <c r="AJ9" s="2358" t="s">
        <v>2567</v>
      </c>
      <c r="AK9" s="2358"/>
      <c r="AL9" s="2363"/>
      <c r="AM9" s="2349"/>
      <c r="AN9" s="2339"/>
      <c r="AO9" s="2339"/>
      <c r="AP9" s="2339"/>
      <c r="AQ9" s="2352"/>
    </row>
    <row r="10" spans="1:48" s="1444" customFormat="1" ht="20.100000000000001" customHeight="1">
      <c r="C10" s="2340"/>
      <c r="D10" s="2341"/>
      <c r="E10" s="2341"/>
      <c r="F10" s="2341"/>
      <c r="G10" s="2341"/>
      <c r="H10" s="2341"/>
      <c r="I10" s="2341"/>
      <c r="J10" s="2341"/>
      <c r="K10" s="2341"/>
      <c r="L10" s="2341"/>
      <c r="M10" s="2341"/>
      <c r="N10" s="2341"/>
      <c r="O10" s="2341"/>
      <c r="P10" s="2341"/>
      <c r="Q10" s="2341"/>
      <c r="R10" s="2341"/>
      <c r="S10" s="2341"/>
      <c r="T10" s="2341"/>
      <c r="U10" s="2344"/>
      <c r="V10" s="2356"/>
      <c r="W10" s="2357"/>
      <c r="X10" s="2357"/>
      <c r="Y10" s="2357"/>
      <c r="Z10" s="2357"/>
      <c r="AA10" s="2357"/>
      <c r="AB10" s="2357"/>
      <c r="AC10" s="2357"/>
      <c r="AD10" s="2360"/>
      <c r="AE10" s="2350"/>
      <c r="AF10" s="2344"/>
      <c r="AG10" s="2361"/>
      <c r="AH10" s="2362"/>
      <c r="AI10" s="2362"/>
      <c r="AJ10" s="2362"/>
      <c r="AK10" s="2362"/>
      <c r="AL10" s="2364"/>
      <c r="AM10" s="2350"/>
      <c r="AN10" s="2341"/>
      <c r="AO10" s="2341"/>
      <c r="AP10" s="2341"/>
      <c r="AQ10" s="2353"/>
    </row>
    <row r="11" spans="1:48" s="1444" customFormat="1" ht="20.100000000000001" customHeight="1">
      <c r="C11" s="2292" t="s">
        <v>2566</v>
      </c>
      <c r="D11" s="2284"/>
      <c r="E11" s="2284"/>
      <c r="F11" s="2284"/>
      <c r="G11" s="2284"/>
      <c r="H11" s="2284"/>
      <c r="I11" s="2284"/>
      <c r="J11" s="2284" t="s">
        <v>2565</v>
      </c>
      <c r="K11" s="2284"/>
      <c r="L11" s="2284"/>
      <c r="M11" s="2284"/>
      <c r="N11" s="2284"/>
      <c r="O11" s="2284"/>
      <c r="P11" s="2284"/>
      <c r="Q11" s="2284"/>
      <c r="R11" s="2284"/>
      <c r="S11" s="2284" t="s">
        <v>2536</v>
      </c>
      <c r="T11" s="2284"/>
      <c r="U11" s="2285"/>
      <c r="V11" s="2286">
        <v>220</v>
      </c>
      <c r="W11" s="2287"/>
      <c r="X11" s="2287"/>
      <c r="Y11" s="2288">
        <v>1</v>
      </c>
      <c r="Z11" s="2288"/>
      <c r="AA11" s="2288"/>
      <c r="AB11" s="2287">
        <f t="shared" ref="AB11:AB17" si="0">V11*Y11</f>
        <v>220</v>
      </c>
      <c r="AC11" s="2287"/>
      <c r="AD11" s="2289"/>
      <c r="AE11" s="2290">
        <v>1</v>
      </c>
      <c r="AF11" s="2291"/>
      <c r="AG11" s="2277">
        <f t="shared" ref="AG11:AG17" si="1">Y11*AE11</f>
        <v>1</v>
      </c>
      <c r="AH11" s="2278"/>
      <c r="AI11" s="2278"/>
      <c r="AJ11" s="2279">
        <f t="shared" ref="AJ11:AJ17" si="2">AB11*AE11</f>
        <v>220</v>
      </c>
      <c r="AK11" s="2279"/>
      <c r="AL11" s="2280"/>
      <c r="AM11" s="2303" t="s">
        <v>2564</v>
      </c>
      <c r="AN11" s="2304"/>
      <c r="AO11" s="2304"/>
      <c r="AP11" s="2304"/>
      <c r="AQ11" s="2305"/>
    </row>
    <row r="12" spans="1:48" s="1444" customFormat="1" ht="20.100000000000001" customHeight="1">
      <c r="C12" s="2292" t="s">
        <v>2563</v>
      </c>
      <c r="D12" s="2284"/>
      <c r="E12" s="2284"/>
      <c r="F12" s="2284"/>
      <c r="G12" s="2284"/>
      <c r="H12" s="2284"/>
      <c r="I12" s="2284"/>
      <c r="J12" s="2284" t="s">
        <v>2562</v>
      </c>
      <c r="K12" s="2284"/>
      <c r="L12" s="2284"/>
      <c r="M12" s="2284"/>
      <c r="N12" s="2284"/>
      <c r="O12" s="2284"/>
      <c r="P12" s="2284"/>
      <c r="Q12" s="2284"/>
      <c r="R12" s="2284"/>
      <c r="S12" s="2284" t="s">
        <v>2536</v>
      </c>
      <c r="T12" s="2284"/>
      <c r="U12" s="2285"/>
      <c r="V12" s="2286">
        <v>220</v>
      </c>
      <c r="W12" s="2287"/>
      <c r="X12" s="2287"/>
      <c r="Y12" s="2288">
        <v>7</v>
      </c>
      <c r="Z12" s="2288"/>
      <c r="AA12" s="2288"/>
      <c r="AB12" s="2287">
        <f t="shared" si="0"/>
        <v>1540</v>
      </c>
      <c r="AC12" s="2287"/>
      <c r="AD12" s="2289"/>
      <c r="AE12" s="2290">
        <v>0</v>
      </c>
      <c r="AF12" s="2291"/>
      <c r="AG12" s="2277">
        <f t="shared" si="1"/>
        <v>0</v>
      </c>
      <c r="AH12" s="2278"/>
      <c r="AI12" s="2278"/>
      <c r="AJ12" s="2279">
        <f t="shared" si="2"/>
        <v>0</v>
      </c>
      <c r="AK12" s="2279"/>
      <c r="AL12" s="2280"/>
      <c r="AM12" s="2332"/>
      <c r="AN12" s="2333"/>
      <c r="AO12" s="2333"/>
      <c r="AP12" s="2333"/>
      <c r="AQ12" s="2334"/>
    </row>
    <row r="13" spans="1:48" s="1444" customFormat="1" ht="20.100000000000001" customHeight="1">
      <c r="C13" s="2292" t="s">
        <v>2561</v>
      </c>
      <c r="D13" s="2284"/>
      <c r="E13" s="2284"/>
      <c r="F13" s="2284"/>
      <c r="G13" s="2284"/>
      <c r="H13" s="2284"/>
      <c r="I13" s="2284"/>
      <c r="J13" s="2284" t="s">
        <v>2560</v>
      </c>
      <c r="K13" s="2284"/>
      <c r="L13" s="2284"/>
      <c r="M13" s="2284"/>
      <c r="N13" s="2284"/>
      <c r="O13" s="2284"/>
      <c r="P13" s="2284"/>
      <c r="Q13" s="2284"/>
      <c r="R13" s="2284"/>
      <c r="S13" s="2284" t="s">
        <v>2536</v>
      </c>
      <c r="T13" s="2284"/>
      <c r="U13" s="2285"/>
      <c r="V13" s="2286">
        <v>220</v>
      </c>
      <c r="W13" s="2287"/>
      <c r="X13" s="2287"/>
      <c r="Y13" s="2288">
        <v>0.2</v>
      </c>
      <c r="Z13" s="2288"/>
      <c r="AA13" s="2288"/>
      <c r="AB13" s="2287">
        <f t="shared" si="0"/>
        <v>44</v>
      </c>
      <c r="AC13" s="2287"/>
      <c r="AD13" s="2289"/>
      <c r="AE13" s="2290">
        <v>0</v>
      </c>
      <c r="AF13" s="2291"/>
      <c r="AG13" s="2277">
        <f t="shared" si="1"/>
        <v>0</v>
      </c>
      <c r="AH13" s="2278"/>
      <c r="AI13" s="2278"/>
      <c r="AJ13" s="2279">
        <f t="shared" si="2"/>
        <v>0</v>
      </c>
      <c r="AK13" s="2279"/>
      <c r="AL13" s="2280"/>
      <c r="AM13" s="2332"/>
      <c r="AN13" s="2333"/>
      <c r="AO13" s="2333"/>
      <c r="AP13" s="2333"/>
      <c r="AQ13" s="2334"/>
    </row>
    <row r="14" spans="1:48" s="1444" customFormat="1" ht="20.100000000000001" customHeight="1">
      <c r="C14" s="2292" t="s">
        <v>2559</v>
      </c>
      <c r="D14" s="2284"/>
      <c r="E14" s="2284"/>
      <c r="F14" s="2284"/>
      <c r="G14" s="2284"/>
      <c r="H14" s="2284"/>
      <c r="I14" s="2284"/>
      <c r="J14" s="2284" t="s">
        <v>938</v>
      </c>
      <c r="K14" s="2284"/>
      <c r="L14" s="2284"/>
      <c r="M14" s="2284"/>
      <c r="N14" s="2284"/>
      <c r="O14" s="2284"/>
      <c r="P14" s="2284"/>
      <c r="Q14" s="2284"/>
      <c r="R14" s="2284"/>
      <c r="S14" s="2284" t="s">
        <v>2536</v>
      </c>
      <c r="T14" s="2284"/>
      <c r="U14" s="2285"/>
      <c r="V14" s="2286">
        <v>220</v>
      </c>
      <c r="W14" s="2287"/>
      <c r="X14" s="2287"/>
      <c r="Y14" s="2288">
        <v>0.2</v>
      </c>
      <c r="Z14" s="2288"/>
      <c r="AA14" s="2288"/>
      <c r="AB14" s="2287">
        <f t="shared" si="0"/>
        <v>44</v>
      </c>
      <c r="AC14" s="2287"/>
      <c r="AD14" s="2289"/>
      <c r="AE14" s="2295">
        <v>2</v>
      </c>
      <c r="AF14" s="2296"/>
      <c r="AG14" s="2277">
        <f t="shared" si="1"/>
        <v>0.4</v>
      </c>
      <c r="AH14" s="2278"/>
      <c r="AI14" s="2278"/>
      <c r="AJ14" s="2279">
        <f t="shared" si="2"/>
        <v>88</v>
      </c>
      <c r="AK14" s="2279"/>
      <c r="AL14" s="2280"/>
      <c r="AM14" s="2283"/>
      <c r="AN14" s="2284"/>
      <c r="AO14" s="2284"/>
      <c r="AP14" s="2284"/>
      <c r="AQ14" s="2306"/>
    </row>
    <row r="15" spans="1:48" s="1444" customFormat="1" ht="20.100000000000001" customHeight="1">
      <c r="C15" s="2292" t="s">
        <v>2558</v>
      </c>
      <c r="D15" s="2284"/>
      <c r="E15" s="2284"/>
      <c r="F15" s="2284"/>
      <c r="G15" s="2284"/>
      <c r="H15" s="2284"/>
      <c r="I15" s="2284"/>
      <c r="J15" s="2284" t="s">
        <v>2557</v>
      </c>
      <c r="K15" s="2284"/>
      <c r="L15" s="2284"/>
      <c r="M15" s="2284"/>
      <c r="N15" s="2284"/>
      <c r="O15" s="2284"/>
      <c r="P15" s="2284"/>
      <c r="Q15" s="2284"/>
      <c r="R15" s="2284"/>
      <c r="S15" s="2284" t="s">
        <v>2536</v>
      </c>
      <c r="T15" s="2284"/>
      <c r="U15" s="2285"/>
      <c r="V15" s="2286">
        <v>220</v>
      </c>
      <c r="W15" s="2287"/>
      <c r="X15" s="2287"/>
      <c r="Y15" s="2288">
        <v>3</v>
      </c>
      <c r="Z15" s="2288"/>
      <c r="AA15" s="2288"/>
      <c r="AB15" s="2287">
        <f t="shared" si="0"/>
        <v>660</v>
      </c>
      <c r="AC15" s="2287"/>
      <c r="AD15" s="2289"/>
      <c r="AE15" s="2290">
        <v>1</v>
      </c>
      <c r="AF15" s="2291"/>
      <c r="AG15" s="2277">
        <f t="shared" si="1"/>
        <v>3</v>
      </c>
      <c r="AH15" s="2278"/>
      <c r="AI15" s="2278"/>
      <c r="AJ15" s="2279">
        <f t="shared" si="2"/>
        <v>660</v>
      </c>
      <c r="AK15" s="2279"/>
      <c r="AL15" s="2280"/>
      <c r="AM15" s="2283"/>
      <c r="AN15" s="2284"/>
      <c r="AO15" s="2284"/>
      <c r="AP15" s="2284"/>
      <c r="AQ15" s="2306"/>
    </row>
    <row r="16" spans="1:48" s="1444" customFormat="1" ht="20.100000000000001" customHeight="1">
      <c r="C16" s="2292" t="s">
        <v>2556</v>
      </c>
      <c r="D16" s="2284"/>
      <c r="E16" s="2284"/>
      <c r="F16" s="2284"/>
      <c r="G16" s="2284"/>
      <c r="H16" s="2284"/>
      <c r="I16" s="2284"/>
      <c r="J16" s="2284" t="s">
        <v>2555</v>
      </c>
      <c r="K16" s="2284"/>
      <c r="L16" s="2284"/>
      <c r="M16" s="2284"/>
      <c r="N16" s="2284"/>
      <c r="O16" s="2284"/>
      <c r="P16" s="2284"/>
      <c r="Q16" s="2284"/>
      <c r="R16" s="2284"/>
      <c r="S16" s="2284" t="s">
        <v>2536</v>
      </c>
      <c r="T16" s="2284"/>
      <c r="U16" s="2285"/>
      <c r="V16" s="2286">
        <v>220</v>
      </c>
      <c r="W16" s="2287"/>
      <c r="X16" s="2287"/>
      <c r="Y16" s="2288">
        <v>1</v>
      </c>
      <c r="Z16" s="2288"/>
      <c r="AA16" s="2288"/>
      <c r="AB16" s="2287">
        <f t="shared" si="0"/>
        <v>220</v>
      </c>
      <c r="AC16" s="2287"/>
      <c r="AD16" s="2289"/>
      <c r="AE16" s="2290">
        <v>4</v>
      </c>
      <c r="AF16" s="2291"/>
      <c r="AG16" s="2277">
        <f t="shared" si="1"/>
        <v>4</v>
      </c>
      <c r="AH16" s="2278"/>
      <c r="AI16" s="2278"/>
      <c r="AJ16" s="2279">
        <f t="shared" si="2"/>
        <v>880</v>
      </c>
      <c r="AK16" s="2279"/>
      <c r="AL16" s="2280"/>
      <c r="AM16" s="2283"/>
      <c r="AN16" s="2284"/>
      <c r="AO16" s="2284"/>
      <c r="AP16" s="2284"/>
      <c r="AQ16" s="2306"/>
    </row>
    <row r="17" spans="3:56" s="1444" customFormat="1" ht="20.100000000000001" customHeight="1">
      <c r="C17" s="2292" t="s">
        <v>2554</v>
      </c>
      <c r="D17" s="2284"/>
      <c r="E17" s="2284"/>
      <c r="F17" s="2284"/>
      <c r="G17" s="2284"/>
      <c r="H17" s="2284"/>
      <c r="I17" s="2284"/>
      <c r="J17" s="2284" t="s">
        <v>2553</v>
      </c>
      <c r="K17" s="2284"/>
      <c r="L17" s="2284"/>
      <c r="M17" s="2284"/>
      <c r="N17" s="2284"/>
      <c r="O17" s="2284"/>
      <c r="P17" s="2284"/>
      <c r="Q17" s="2284"/>
      <c r="R17" s="2284"/>
      <c r="S17" s="2284" t="s">
        <v>2536</v>
      </c>
      <c r="T17" s="2284"/>
      <c r="U17" s="2285"/>
      <c r="V17" s="2286">
        <v>220</v>
      </c>
      <c r="W17" s="2287"/>
      <c r="X17" s="2287"/>
      <c r="Y17" s="2288">
        <v>1.2</v>
      </c>
      <c r="Z17" s="2288"/>
      <c r="AA17" s="2288"/>
      <c r="AB17" s="2287">
        <f t="shared" si="0"/>
        <v>264</v>
      </c>
      <c r="AC17" s="2287"/>
      <c r="AD17" s="2289"/>
      <c r="AE17" s="2290">
        <v>1</v>
      </c>
      <c r="AF17" s="2291"/>
      <c r="AG17" s="2277">
        <f t="shared" si="1"/>
        <v>1.2</v>
      </c>
      <c r="AH17" s="2278"/>
      <c r="AI17" s="2278"/>
      <c r="AJ17" s="2279">
        <f t="shared" si="2"/>
        <v>264</v>
      </c>
      <c r="AK17" s="2279"/>
      <c r="AL17" s="2280"/>
      <c r="AM17" s="2283"/>
      <c r="AN17" s="2284"/>
      <c r="AO17" s="2284"/>
      <c r="AP17" s="2284"/>
      <c r="AQ17" s="2306"/>
    </row>
    <row r="18" spans="3:56" s="1444" customFormat="1" ht="20.100000000000001" customHeight="1">
      <c r="C18" s="2317" t="s">
        <v>2535</v>
      </c>
      <c r="D18" s="2318"/>
      <c r="E18" s="2318"/>
      <c r="F18" s="2318"/>
      <c r="G18" s="2318"/>
      <c r="H18" s="2318"/>
      <c r="I18" s="2318"/>
      <c r="J18" s="2318"/>
      <c r="K18" s="2318"/>
      <c r="L18" s="2318"/>
      <c r="M18" s="2318"/>
      <c r="N18" s="2318"/>
      <c r="O18" s="2318"/>
      <c r="P18" s="2318"/>
      <c r="Q18" s="2318"/>
      <c r="R18" s="2318"/>
      <c r="S18" s="2318"/>
      <c r="T18" s="2318"/>
      <c r="U18" s="2318"/>
      <c r="V18" s="2318"/>
      <c r="W18" s="2318"/>
      <c r="X18" s="2318"/>
      <c r="Y18" s="2318"/>
      <c r="Z18" s="2318"/>
      <c r="AA18" s="2318"/>
      <c r="AB18" s="2318"/>
      <c r="AC18" s="2318"/>
      <c r="AD18" s="2318"/>
      <c r="AE18" s="2318"/>
      <c r="AF18" s="2319"/>
      <c r="AG18" s="2313">
        <f>SUM(AG11:AI17)</f>
        <v>9.6</v>
      </c>
      <c r="AH18" s="2314"/>
      <c r="AI18" s="2314"/>
      <c r="AJ18" s="2315">
        <f>SUM(AJ11:AL17)</f>
        <v>2112</v>
      </c>
      <c r="AK18" s="2315"/>
      <c r="AL18" s="2316"/>
      <c r="AM18" s="2307"/>
      <c r="AN18" s="2308"/>
      <c r="AO18" s="2308"/>
      <c r="AP18" s="2308"/>
      <c r="AQ18" s="2309"/>
    </row>
    <row r="19" spans="3:56" s="1444" customFormat="1" ht="20.100000000000001" customHeight="1">
      <c r="C19" s="2320" t="s">
        <v>2413</v>
      </c>
      <c r="D19" s="2304"/>
      <c r="E19" s="2304"/>
      <c r="F19" s="2304"/>
      <c r="G19" s="2304"/>
      <c r="H19" s="2304"/>
      <c r="I19" s="2304"/>
      <c r="J19" s="2304" t="s">
        <v>2552</v>
      </c>
      <c r="K19" s="2304"/>
      <c r="L19" s="2304"/>
      <c r="M19" s="2304"/>
      <c r="N19" s="2304"/>
      <c r="O19" s="2304"/>
      <c r="P19" s="2304"/>
      <c r="Q19" s="2304"/>
      <c r="R19" s="2304"/>
      <c r="S19" s="2304" t="s">
        <v>2536</v>
      </c>
      <c r="T19" s="2304"/>
      <c r="U19" s="2321"/>
      <c r="V19" s="2322">
        <v>220</v>
      </c>
      <c r="W19" s="2323"/>
      <c r="X19" s="2323"/>
      <c r="Y19" s="2324">
        <v>1</v>
      </c>
      <c r="Z19" s="2324"/>
      <c r="AA19" s="2324"/>
      <c r="AB19" s="2323">
        <f t="shared" ref="AB19:AB30" si="3">V19*Y19</f>
        <v>220</v>
      </c>
      <c r="AC19" s="2323"/>
      <c r="AD19" s="2325"/>
      <c r="AE19" s="2326">
        <v>1</v>
      </c>
      <c r="AF19" s="2327"/>
      <c r="AG19" s="2328">
        <f t="shared" ref="AG19:AG30" si="4">Y19*AE19</f>
        <v>1</v>
      </c>
      <c r="AH19" s="2329"/>
      <c r="AI19" s="2329"/>
      <c r="AJ19" s="2330">
        <f t="shared" ref="AJ19:AJ20" si="5">AB19*AE19</f>
        <v>220</v>
      </c>
      <c r="AK19" s="2330"/>
      <c r="AL19" s="2331"/>
      <c r="AM19" s="2303" t="s">
        <v>2551</v>
      </c>
      <c r="AN19" s="2304"/>
      <c r="AO19" s="2304"/>
      <c r="AP19" s="2304"/>
      <c r="AQ19" s="2305"/>
    </row>
    <row r="20" spans="3:56" s="1444" customFormat="1" ht="20.100000000000001" customHeight="1">
      <c r="C20" s="2292"/>
      <c r="D20" s="2284"/>
      <c r="E20" s="2284"/>
      <c r="F20" s="2284"/>
      <c r="G20" s="2284"/>
      <c r="H20" s="2284"/>
      <c r="I20" s="2284"/>
      <c r="J20" s="2284" t="s">
        <v>2550</v>
      </c>
      <c r="K20" s="2284"/>
      <c r="L20" s="2284"/>
      <c r="M20" s="2284"/>
      <c r="N20" s="2284"/>
      <c r="O20" s="2284"/>
      <c r="P20" s="2284"/>
      <c r="Q20" s="2284"/>
      <c r="R20" s="2284"/>
      <c r="S20" s="2284" t="s">
        <v>2536</v>
      </c>
      <c r="T20" s="2284"/>
      <c r="U20" s="2285"/>
      <c r="V20" s="2286">
        <v>220</v>
      </c>
      <c r="W20" s="2287"/>
      <c r="X20" s="2287"/>
      <c r="Y20" s="2288">
        <v>4</v>
      </c>
      <c r="Z20" s="2288"/>
      <c r="AA20" s="2288"/>
      <c r="AB20" s="2287">
        <f t="shared" si="3"/>
        <v>880</v>
      </c>
      <c r="AC20" s="2287"/>
      <c r="AD20" s="2289"/>
      <c r="AE20" s="2290">
        <v>1</v>
      </c>
      <c r="AF20" s="2291"/>
      <c r="AG20" s="2277">
        <f t="shared" si="4"/>
        <v>4</v>
      </c>
      <c r="AH20" s="2278"/>
      <c r="AI20" s="2278"/>
      <c r="AJ20" s="2279">
        <f t="shared" si="5"/>
        <v>880</v>
      </c>
      <c r="AK20" s="2279"/>
      <c r="AL20" s="2280"/>
      <c r="AM20" s="2283"/>
      <c r="AN20" s="2284"/>
      <c r="AO20" s="2284"/>
      <c r="AP20" s="2284"/>
      <c r="AQ20" s="2306"/>
    </row>
    <row r="21" spans="3:56" s="1444" customFormat="1" ht="20.100000000000001" customHeight="1">
      <c r="C21" s="2292" t="s">
        <v>2547</v>
      </c>
      <c r="D21" s="2284"/>
      <c r="E21" s="2284"/>
      <c r="F21" s="2284"/>
      <c r="G21" s="2284"/>
      <c r="H21" s="2284"/>
      <c r="I21" s="2284"/>
      <c r="J21" s="2284" t="s">
        <v>1584</v>
      </c>
      <c r="K21" s="2284"/>
      <c r="L21" s="2284"/>
      <c r="M21" s="2284"/>
      <c r="N21" s="2284"/>
      <c r="O21" s="2284"/>
      <c r="P21" s="2284"/>
      <c r="Q21" s="2284"/>
      <c r="R21" s="2284"/>
      <c r="S21" s="2284" t="s">
        <v>2536</v>
      </c>
      <c r="T21" s="2284"/>
      <c r="U21" s="2285"/>
      <c r="V21" s="2301">
        <v>220</v>
      </c>
      <c r="W21" s="2293"/>
      <c r="X21" s="2293"/>
      <c r="Y21" s="2302">
        <v>2.59</v>
      </c>
      <c r="Z21" s="2302"/>
      <c r="AA21" s="2302"/>
      <c r="AB21" s="2293">
        <f t="shared" si="3"/>
        <v>569.79999999999995</v>
      </c>
      <c r="AC21" s="2293"/>
      <c r="AD21" s="2294"/>
      <c r="AE21" s="2295">
        <v>2</v>
      </c>
      <c r="AF21" s="2296"/>
      <c r="AG21" s="2297">
        <f t="shared" si="4"/>
        <v>5.18</v>
      </c>
      <c r="AH21" s="2298"/>
      <c r="AI21" s="2298"/>
      <c r="AJ21" s="2299">
        <f>AB21*AE21</f>
        <v>1139.5999999999999</v>
      </c>
      <c r="AK21" s="2299"/>
      <c r="AL21" s="2300"/>
      <c r="AM21" s="2283"/>
      <c r="AN21" s="2284"/>
      <c r="AO21" s="2284"/>
      <c r="AP21" s="2284"/>
      <c r="AQ21" s="2306"/>
    </row>
    <row r="22" spans="3:56" s="1444" customFormat="1" ht="20.100000000000001" customHeight="1">
      <c r="C22" s="2292" t="s">
        <v>2547</v>
      </c>
      <c r="D22" s="2284"/>
      <c r="E22" s="2284"/>
      <c r="F22" s="2284"/>
      <c r="G22" s="2284"/>
      <c r="H22" s="2284"/>
      <c r="I22" s="2284"/>
      <c r="J22" s="2284" t="s">
        <v>2549</v>
      </c>
      <c r="K22" s="2284"/>
      <c r="L22" s="2284"/>
      <c r="M22" s="2284"/>
      <c r="N22" s="2284"/>
      <c r="O22" s="2284"/>
      <c r="P22" s="2284"/>
      <c r="Q22" s="2284"/>
      <c r="R22" s="2284"/>
      <c r="S22" s="2284" t="s">
        <v>2536</v>
      </c>
      <c r="T22" s="2284"/>
      <c r="U22" s="2285"/>
      <c r="V22" s="2301">
        <v>220</v>
      </c>
      <c r="W22" s="2293"/>
      <c r="X22" s="2293"/>
      <c r="Y22" s="2302">
        <v>1.1000000000000001</v>
      </c>
      <c r="Z22" s="2302"/>
      <c r="AA22" s="2302"/>
      <c r="AB22" s="2293">
        <f t="shared" si="3"/>
        <v>242.00000000000003</v>
      </c>
      <c r="AC22" s="2293"/>
      <c r="AD22" s="2294"/>
      <c r="AE22" s="2295">
        <v>0</v>
      </c>
      <c r="AF22" s="2296"/>
      <c r="AG22" s="2297">
        <f t="shared" si="4"/>
        <v>0</v>
      </c>
      <c r="AH22" s="2298"/>
      <c r="AI22" s="2298"/>
      <c r="AJ22" s="2299">
        <f>AB22*AE22</f>
        <v>0</v>
      </c>
      <c r="AK22" s="2299"/>
      <c r="AL22" s="2300"/>
      <c r="AM22" s="2283"/>
      <c r="AN22" s="2284"/>
      <c r="AO22" s="2284"/>
      <c r="AP22" s="2284"/>
      <c r="AQ22" s="2306"/>
    </row>
    <row r="23" spans="3:56" s="1444" customFormat="1" ht="20.100000000000001" customHeight="1">
      <c r="C23" s="2292" t="s">
        <v>2547</v>
      </c>
      <c r="D23" s="2284"/>
      <c r="E23" s="2284"/>
      <c r="F23" s="2284"/>
      <c r="G23" s="2284"/>
      <c r="H23" s="2284"/>
      <c r="I23" s="2284"/>
      <c r="J23" s="2284" t="s">
        <v>2548</v>
      </c>
      <c r="K23" s="2284"/>
      <c r="L23" s="2284"/>
      <c r="M23" s="2284"/>
      <c r="N23" s="2284"/>
      <c r="O23" s="2284"/>
      <c r="P23" s="2284"/>
      <c r="Q23" s="2284"/>
      <c r="R23" s="2284"/>
      <c r="S23" s="2284" t="s">
        <v>2536</v>
      </c>
      <c r="T23" s="2284"/>
      <c r="U23" s="2285"/>
      <c r="V23" s="2286">
        <v>220</v>
      </c>
      <c r="W23" s="2287"/>
      <c r="X23" s="2287"/>
      <c r="Y23" s="2288">
        <v>0.12</v>
      </c>
      <c r="Z23" s="2288"/>
      <c r="AA23" s="2288"/>
      <c r="AB23" s="2287">
        <f t="shared" si="3"/>
        <v>26.4</v>
      </c>
      <c r="AC23" s="2287"/>
      <c r="AD23" s="2289"/>
      <c r="AE23" s="2290">
        <v>2</v>
      </c>
      <c r="AF23" s="2291"/>
      <c r="AG23" s="2277">
        <f t="shared" si="4"/>
        <v>0.24</v>
      </c>
      <c r="AH23" s="2278"/>
      <c r="AI23" s="2278"/>
      <c r="AJ23" s="2279">
        <f>AB23*AE23</f>
        <v>52.8</v>
      </c>
      <c r="AK23" s="2279"/>
      <c r="AL23" s="2280"/>
      <c r="AM23" s="2283"/>
      <c r="AN23" s="2284"/>
      <c r="AO23" s="2284"/>
      <c r="AP23" s="2284"/>
      <c r="AQ23" s="2306"/>
    </row>
    <row r="24" spans="3:56" s="1444" customFormat="1" ht="20.100000000000001" customHeight="1">
      <c r="C24" s="2292" t="s">
        <v>2547</v>
      </c>
      <c r="D24" s="2284"/>
      <c r="E24" s="2284"/>
      <c r="F24" s="2284"/>
      <c r="G24" s="2284"/>
      <c r="H24" s="2284"/>
      <c r="I24" s="2284"/>
      <c r="J24" s="2284" t="s">
        <v>2546</v>
      </c>
      <c r="K24" s="2284"/>
      <c r="L24" s="2284"/>
      <c r="M24" s="2284"/>
      <c r="N24" s="2284"/>
      <c r="O24" s="2284"/>
      <c r="P24" s="2284"/>
      <c r="Q24" s="2284"/>
      <c r="R24" s="2284"/>
      <c r="S24" s="2284" t="s">
        <v>2536</v>
      </c>
      <c r="T24" s="2284"/>
      <c r="U24" s="2285"/>
      <c r="V24" s="2286">
        <v>220</v>
      </c>
      <c r="W24" s="2287"/>
      <c r="X24" s="2287"/>
      <c r="Y24" s="2288">
        <v>0.1</v>
      </c>
      <c r="Z24" s="2288"/>
      <c r="AA24" s="2288"/>
      <c r="AB24" s="2287">
        <f t="shared" si="3"/>
        <v>22</v>
      </c>
      <c r="AC24" s="2287"/>
      <c r="AD24" s="2289"/>
      <c r="AE24" s="2290">
        <v>5</v>
      </c>
      <c r="AF24" s="2291"/>
      <c r="AG24" s="2277">
        <f t="shared" si="4"/>
        <v>0.5</v>
      </c>
      <c r="AH24" s="2278"/>
      <c r="AI24" s="2278"/>
      <c r="AJ24" s="2279">
        <f>AB24*AE24</f>
        <v>110</v>
      </c>
      <c r="AK24" s="2279"/>
      <c r="AL24" s="2280"/>
      <c r="AM24" s="2283"/>
      <c r="AN24" s="2284"/>
      <c r="AO24" s="2284"/>
      <c r="AP24" s="2284"/>
      <c r="AQ24" s="2306"/>
      <c r="AU24" s="2221" t="s">
        <v>2956</v>
      </c>
      <c r="AV24" s="2221"/>
      <c r="AW24" s="2221"/>
      <c r="AX24" s="2221"/>
      <c r="AY24" s="2221"/>
      <c r="AZ24" s="2222"/>
      <c r="BA24" s="2222"/>
      <c r="BB24" s="2222"/>
      <c r="BC24" s="2222"/>
      <c r="BD24" s="2222"/>
    </row>
    <row r="25" spans="3:56" s="1444" customFormat="1" ht="20.100000000000001" hidden="1" customHeight="1">
      <c r="C25" s="2292" t="s">
        <v>2545</v>
      </c>
      <c r="D25" s="2284"/>
      <c r="E25" s="2284"/>
      <c r="F25" s="2284"/>
      <c r="G25" s="2284"/>
      <c r="H25" s="2284"/>
      <c r="I25" s="2284"/>
      <c r="J25" s="2284" t="s">
        <v>2544</v>
      </c>
      <c r="K25" s="2284"/>
      <c r="L25" s="2284"/>
      <c r="M25" s="2284"/>
      <c r="N25" s="2284"/>
      <c r="O25" s="2284"/>
      <c r="P25" s="2284"/>
      <c r="Q25" s="2284"/>
      <c r="R25" s="2284"/>
      <c r="S25" s="2284" t="s">
        <v>2536</v>
      </c>
      <c r="T25" s="2284"/>
      <c r="U25" s="2285"/>
      <c r="V25" s="2286">
        <v>220</v>
      </c>
      <c r="W25" s="2287"/>
      <c r="X25" s="2287"/>
      <c r="Y25" s="2288"/>
      <c r="Z25" s="2288"/>
      <c r="AA25" s="2288"/>
      <c r="AB25" s="2287">
        <f t="shared" si="3"/>
        <v>0</v>
      </c>
      <c r="AC25" s="2287"/>
      <c r="AD25" s="2289"/>
      <c r="AE25" s="2290">
        <v>0</v>
      </c>
      <c r="AF25" s="2291"/>
      <c r="AG25" s="2277">
        <f t="shared" si="4"/>
        <v>0</v>
      </c>
      <c r="AH25" s="2278"/>
      <c r="AI25" s="2278"/>
      <c r="AJ25" s="2279">
        <f t="shared" ref="AJ25:AJ27" si="6">AB25*AE25</f>
        <v>0</v>
      </c>
      <c r="AK25" s="2279"/>
      <c r="AL25" s="2280"/>
      <c r="AM25" s="2283"/>
      <c r="AN25" s="2284"/>
      <c r="AO25" s="2284"/>
      <c r="AP25" s="2284"/>
      <c r="AQ25" s="2306"/>
    </row>
    <row r="26" spans="3:56" s="1444" customFormat="1" ht="20.100000000000001" hidden="1" customHeight="1">
      <c r="C26" s="2292" t="s">
        <v>2543</v>
      </c>
      <c r="D26" s="2284"/>
      <c r="E26" s="2284"/>
      <c r="F26" s="2284"/>
      <c r="G26" s="2284"/>
      <c r="H26" s="2284"/>
      <c r="I26" s="2284"/>
      <c r="J26" s="2284" t="s">
        <v>2542</v>
      </c>
      <c r="K26" s="2284"/>
      <c r="L26" s="2284"/>
      <c r="M26" s="2284"/>
      <c r="N26" s="2284"/>
      <c r="O26" s="2284"/>
      <c r="P26" s="2284"/>
      <c r="Q26" s="2284"/>
      <c r="R26" s="2284"/>
      <c r="S26" s="2284" t="s">
        <v>2536</v>
      </c>
      <c r="T26" s="2284"/>
      <c r="U26" s="2285"/>
      <c r="V26" s="2286">
        <v>220</v>
      </c>
      <c r="W26" s="2287"/>
      <c r="X26" s="2287"/>
      <c r="Y26" s="2288"/>
      <c r="Z26" s="2288"/>
      <c r="AA26" s="2288"/>
      <c r="AB26" s="2287">
        <f t="shared" si="3"/>
        <v>0</v>
      </c>
      <c r="AC26" s="2287"/>
      <c r="AD26" s="2289"/>
      <c r="AE26" s="2290">
        <v>0</v>
      </c>
      <c r="AF26" s="2291"/>
      <c r="AG26" s="2277">
        <f t="shared" si="4"/>
        <v>0</v>
      </c>
      <c r="AH26" s="2278"/>
      <c r="AI26" s="2278"/>
      <c r="AJ26" s="2279">
        <f t="shared" si="6"/>
        <v>0</v>
      </c>
      <c r="AK26" s="2279"/>
      <c r="AL26" s="2280"/>
      <c r="AM26" s="2283"/>
      <c r="AN26" s="2284"/>
      <c r="AO26" s="2284"/>
      <c r="AP26" s="2284"/>
      <c r="AQ26" s="2306"/>
    </row>
    <row r="27" spans="3:56" s="1444" customFormat="1" ht="20.100000000000001" customHeight="1">
      <c r="C27" s="2292" t="s">
        <v>2541</v>
      </c>
      <c r="D27" s="2284"/>
      <c r="E27" s="2284"/>
      <c r="F27" s="2284"/>
      <c r="G27" s="2284"/>
      <c r="H27" s="2284"/>
      <c r="I27" s="2284"/>
      <c r="J27" s="2284" t="s">
        <v>2540</v>
      </c>
      <c r="K27" s="2284"/>
      <c r="L27" s="2284"/>
      <c r="M27" s="2284"/>
      <c r="N27" s="2284"/>
      <c r="O27" s="2284"/>
      <c r="P27" s="2284"/>
      <c r="Q27" s="2284"/>
      <c r="R27" s="2284"/>
      <c r="S27" s="2284" t="s">
        <v>2536</v>
      </c>
      <c r="T27" s="2284"/>
      <c r="U27" s="2285"/>
      <c r="V27" s="2286">
        <v>220</v>
      </c>
      <c r="W27" s="2287"/>
      <c r="X27" s="2287"/>
      <c r="Y27" s="2288">
        <v>0.2</v>
      </c>
      <c r="Z27" s="2288"/>
      <c r="AA27" s="2288"/>
      <c r="AB27" s="2287">
        <f t="shared" si="3"/>
        <v>44</v>
      </c>
      <c r="AC27" s="2287"/>
      <c r="AD27" s="2289"/>
      <c r="AE27" s="2290">
        <v>1</v>
      </c>
      <c r="AF27" s="2291"/>
      <c r="AG27" s="2277">
        <f>Y27*AE27</f>
        <v>0.2</v>
      </c>
      <c r="AH27" s="2278"/>
      <c r="AI27" s="2278"/>
      <c r="AJ27" s="2279">
        <f t="shared" si="6"/>
        <v>44</v>
      </c>
      <c r="AK27" s="2279"/>
      <c r="AL27" s="2280"/>
      <c r="AM27" s="2283"/>
      <c r="AN27" s="2284"/>
      <c r="AO27" s="2284"/>
      <c r="AP27" s="2284"/>
      <c r="AQ27" s="2306"/>
    </row>
    <row r="28" spans="3:56" s="1444" customFormat="1" ht="20.100000000000001" customHeight="1">
      <c r="C28" s="2292" t="s">
        <v>2539</v>
      </c>
      <c r="D28" s="2284"/>
      <c r="E28" s="2284"/>
      <c r="F28" s="2284"/>
      <c r="G28" s="2284"/>
      <c r="H28" s="2284"/>
      <c r="I28" s="2284"/>
      <c r="J28" s="2284"/>
      <c r="K28" s="2284"/>
      <c r="L28" s="2284"/>
      <c r="M28" s="2284"/>
      <c r="N28" s="2284"/>
      <c r="O28" s="2284"/>
      <c r="P28" s="2284"/>
      <c r="Q28" s="2284"/>
      <c r="R28" s="2284"/>
      <c r="S28" s="2284" t="s">
        <v>2536</v>
      </c>
      <c r="T28" s="2284"/>
      <c r="U28" s="2285"/>
      <c r="V28" s="2286">
        <v>220</v>
      </c>
      <c r="W28" s="2287"/>
      <c r="X28" s="2287"/>
      <c r="Y28" s="2288">
        <v>0.5</v>
      </c>
      <c r="Z28" s="2288"/>
      <c r="AA28" s="2288"/>
      <c r="AB28" s="2287">
        <f t="shared" si="3"/>
        <v>110</v>
      </c>
      <c r="AC28" s="2287"/>
      <c r="AD28" s="2289"/>
      <c r="AE28" s="2290">
        <v>1</v>
      </c>
      <c r="AF28" s="2291"/>
      <c r="AG28" s="2277">
        <f t="shared" si="4"/>
        <v>0.5</v>
      </c>
      <c r="AH28" s="2278"/>
      <c r="AI28" s="2278"/>
      <c r="AJ28" s="2279">
        <f>AB28*AE28</f>
        <v>110</v>
      </c>
      <c r="AK28" s="2279"/>
      <c r="AL28" s="2280"/>
      <c r="AM28" s="2283"/>
      <c r="AN28" s="2284"/>
      <c r="AO28" s="2284"/>
      <c r="AP28" s="2284"/>
      <c r="AQ28" s="2306"/>
    </row>
    <row r="29" spans="3:56" s="1444" customFormat="1" ht="20.100000000000001" customHeight="1">
      <c r="C29" s="2292" t="s">
        <v>2538</v>
      </c>
      <c r="D29" s="2284"/>
      <c r="E29" s="2284"/>
      <c r="F29" s="2284"/>
      <c r="G29" s="2284"/>
      <c r="H29" s="2284"/>
      <c r="I29" s="2284"/>
      <c r="J29" s="2284"/>
      <c r="K29" s="2284"/>
      <c r="L29" s="2284"/>
      <c r="M29" s="2284"/>
      <c r="N29" s="2284"/>
      <c r="O29" s="2284"/>
      <c r="P29" s="2284"/>
      <c r="Q29" s="2284"/>
      <c r="R29" s="2284"/>
      <c r="S29" s="2284" t="s">
        <v>2536</v>
      </c>
      <c r="T29" s="2284"/>
      <c r="U29" s="2285"/>
      <c r="V29" s="2286">
        <v>220</v>
      </c>
      <c r="W29" s="2287"/>
      <c r="X29" s="2287"/>
      <c r="Y29" s="2288">
        <v>0.5</v>
      </c>
      <c r="Z29" s="2288"/>
      <c r="AA29" s="2288"/>
      <c r="AB29" s="2287">
        <f t="shared" si="3"/>
        <v>110</v>
      </c>
      <c r="AC29" s="2287"/>
      <c r="AD29" s="2289"/>
      <c r="AE29" s="2290">
        <v>1</v>
      </c>
      <c r="AF29" s="2291"/>
      <c r="AG29" s="2277">
        <f t="shared" si="4"/>
        <v>0.5</v>
      </c>
      <c r="AH29" s="2278"/>
      <c r="AI29" s="2278"/>
      <c r="AJ29" s="2279">
        <f>AB29*AE29</f>
        <v>110</v>
      </c>
      <c r="AK29" s="2279"/>
      <c r="AL29" s="2280"/>
      <c r="AM29" s="2283"/>
      <c r="AN29" s="2284"/>
      <c r="AO29" s="2284"/>
      <c r="AP29" s="2284"/>
      <c r="AQ29" s="2306"/>
    </row>
    <row r="30" spans="3:56" s="1444" customFormat="1" ht="20.100000000000001" customHeight="1">
      <c r="C30" s="2281" t="s">
        <v>2537</v>
      </c>
      <c r="D30" s="2282"/>
      <c r="E30" s="2282"/>
      <c r="F30" s="2282"/>
      <c r="G30" s="2282"/>
      <c r="H30" s="2282"/>
      <c r="I30" s="2282"/>
      <c r="J30" s="2282"/>
      <c r="K30" s="2282"/>
      <c r="L30" s="2282"/>
      <c r="M30" s="2282"/>
      <c r="N30" s="2282"/>
      <c r="O30" s="2282"/>
      <c r="P30" s="2282"/>
      <c r="Q30" s="2282"/>
      <c r="R30" s="2283"/>
      <c r="S30" s="2284" t="s">
        <v>2536</v>
      </c>
      <c r="T30" s="2284"/>
      <c r="U30" s="2285"/>
      <c r="V30" s="2286">
        <v>220</v>
      </c>
      <c r="W30" s="2287"/>
      <c r="X30" s="2287"/>
      <c r="Y30" s="2288">
        <v>0.5</v>
      </c>
      <c r="Z30" s="2288"/>
      <c r="AA30" s="2288"/>
      <c r="AB30" s="2287">
        <f t="shared" si="3"/>
        <v>110</v>
      </c>
      <c r="AC30" s="2287"/>
      <c r="AD30" s="2289"/>
      <c r="AE30" s="2290">
        <v>1</v>
      </c>
      <c r="AF30" s="2291"/>
      <c r="AG30" s="2277">
        <f t="shared" si="4"/>
        <v>0.5</v>
      </c>
      <c r="AH30" s="2278"/>
      <c r="AI30" s="2278"/>
      <c r="AJ30" s="2279">
        <f>AB30*AE30</f>
        <v>110</v>
      </c>
      <c r="AK30" s="2279"/>
      <c r="AL30" s="2280"/>
      <c r="AM30" s="2283"/>
      <c r="AN30" s="2284"/>
      <c r="AO30" s="2284"/>
      <c r="AP30" s="2284"/>
      <c r="AQ30" s="2306"/>
    </row>
    <row r="31" spans="3:56" s="1444" customFormat="1" ht="20.100000000000001" customHeight="1">
      <c r="C31" s="2310" t="s">
        <v>2535</v>
      </c>
      <c r="D31" s="2311"/>
      <c r="E31" s="2311"/>
      <c r="F31" s="2311"/>
      <c r="G31" s="2311"/>
      <c r="H31" s="2311"/>
      <c r="I31" s="2311"/>
      <c r="J31" s="2311"/>
      <c r="K31" s="2311"/>
      <c r="L31" s="2311"/>
      <c r="M31" s="2311"/>
      <c r="N31" s="2311"/>
      <c r="O31" s="2311"/>
      <c r="P31" s="2311"/>
      <c r="Q31" s="2311"/>
      <c r="R31" s="2311"/>
      <c r="S31" s="2311"/>
      <c r="T31" s="2311"/>
      <c r="U31" s="2311"/>
      <c r="V31" s="2311"/>
      <c r="W31" s="2311"/>
      <c r="X31" s="2311"/>
      <c r="Y31" s="2311"/>
      <c r="Z31" s="2311"/>
      <c r="AA31" s="2311"/>
      <c r="AB31" s="2311"/>
      <c r="AC31" s="2311"/>
      <c r="AD31" s="2311"/>
      <c r="AE31" s="2311"/>
      <c r="AF31" s="2312"/>
      <c r="AG31" s="2313">
        <f>SUM(AG19:AI30)</f>
        <v>12.62</v>
      </c>
      <c r="AH31" s="2314"/>
      <c r="AI31" s="2314"/>
      <c r="AJ31" s="2315">
        <f>SUM(AJ19:AL30)</f>
        <v>2776.4</v>
      </c>
      <c r="AK31" s="2315"/>
      <c r="AL31" s="2316"/>
      <c r="AM31" s="2307"/>
      <c r="AN31" s="2308"/>
      <c r="AO31" s="2308"/>
      <c r="AP31" s="2308"/>
      <c r="AQ31" s="2309"/>
    </row>
    <row r="32" spans="3:56" s="1444" customFormat="1" ht="20.100000000000001" customHeight="1">
      <c r="C32" s="2270" t="s">
        <v>2534</v>
      </c>
      <c r="D32" s="2271"/>
      <c r="E32" s="2271"/>
      <c r="F32" s="2271"/>
      <c r="G32" s="2271"/>
      <c r="H32" s="2271"/>
      <c r="I32" s="2271"/>
      <c r="J32" s="2271"/>
      <c r="K32" s="2271"/>
      <c r="L32" s="2271"/>
      <c r="M32" s="2271"/>
      <c r="N32" s="2271"/>
      <c r="O32" s="2271"/>
      <c r="P32" s="2271"/>
      <c r="Q32" s="2271"/>
      <c r="R32" s="2271"/>
      <c r="S32" s="2271"/>
      <c r="T32" s="2271"/>
      <c r="U32" s="2271"/>
      <c r="V32" s="2271"/>
      <c r="W32" s="2271"/>
      <c r="X32" s="2271"/>
      <c r="Y32" s="2271"/>
      <c r="Z32" s="2271"/>
      <c r="AA32" s="2271"/>
      <c r="AB32" s="2271"/>
      <c r="AC32" s="2271"/>
      <c r="AD32" s="2271"/>
      <c r="AE32" s="2271"/>
      <c r="AF32" s="2272"/>
      <c r="AG32" s="2273">
        <f>SUM(AG31,AG18)</f>
        <v>22.22</v>
      </c>
      <c r="AH32" s="2274"/>
      <c r="AI32" s="2274"/>
      <c r="AJ32" s="2275">
        <f>SUM(AJ31,AJ18)</f>
        <v>4888.3999999999996</v>
      </c>
      <c r="AK32" s="2275"/>
      <c r="AL32" s="2276"/>
      <c r="AM32" s="2266"/>
      <c r="AN32" s="2267"/>
      <c r="AO32" s="2267"/>
      <c r="AP32" s="2267"/>
      <c r="AQ32" s="2268"/>
    </row>
    <row r="33" spans="2:51" s="1444" customFormat="1" ht="20.100000000000001" customHeight="1">
      <c r="C33" s="1444" t="s">
        <v>2533</v>
      </c>
    </row>
    <row r="34" spans="2:51" s="1444" customFormat="1" ht="20.100000000000001" customHeight="1"/>
    <row r="35" spans="2:51" s="1444" customFormat="1" ht="20.100000000000001" customHeight="1">
      <c r="B35" s="1444" t="s">
        <v>2967</v>
      </c>
    </row>
    <row r="36" spans="2:51" s="1444" customFormat="1" ht="20.100000000000001" customHeight="1"/>
    <row r="37" spans="2:51" s="1444" customFormat="1" ht="20.100000000000001" customHeight="1"/>
    <row r="38" spans="2:51" s="1444" customFormat="1" ht="20.100000000000001" customHeight="1"/>
    <row r="39" spans="2:51" s="1444" customFormat="1" ht="20.100000000000001" customHeight="1">
      <c r="D39" s="2147" t="s">
        <v>2472</v>
      </c>
      <c r="E39" s="2147"/>
      <c r="F39" s="2147" t="s">
        <v>2471</v>
      </c>
      <c r="G39" s="2147"/>
      <c r="H39" s="2147"/>
      <c r="I39" s="2147"/>
      <c r="J39" s="2147"/>
      <c r="K39" s="2147"/>
      <c r="L39" s="2147"/>
      <c r="M39" s="2147"/>
      <c r="N39" s="2147"/>
      <c r="O39" s="2147"/>
      <c r="P39" s="2147"/>
      <c r="Q39" s="2147"/>
      <c r="R39" s="2147" t="s">
        <v>2470</v>
      </c>
      <c r="S39" s="2147"/>
      <c r="T39" s="2147"/>
      <c r="U39" s="2147" t="s">
        <v>39</v>
      </c>
      <c r="V39" s="2147"/>
      <c r="W39" s="2147"/>
      <c r="X39" s="2147"/>
      <c r="Y39" s="2147"/>
      <c r="AB39" s="1468" t="s">
        <v>2532</v>
      </c>
      <c r="AC39" s="1466"/>
      <c r="AD39" s="1466"/>
      <c r="AE39" s="1466"/>
      <c r="AF39" s="1466"/>
      <c r="AG39" s="1466"/>
      <c r="AH39" s="1466"/>
      <c r="AI39" s="1466"/>
      <c r="AJ39" s="1466"/>
      <c r="AK39" s="1466"/>
      <c r="AL39" s="1466"/>
      <c r="AM39" s="1466"/>
      <c r="AN39" s="1466"/>
      <c r="AO39" s="1466"/>
      <c r="AP39" s="1466"/>
      <c r="AQ39" s="1466"/>
      <c r="AR39" s="1465"/>
      <c r="AY39" s="1488"/>
    </row>
    <row r="40" spans="2:51" s="1444" customFormat="1" ht="20.100000000000001" customHeight="1">
      <c r="D40" s="2154" t="s">
        <v>2531</v>
      </c>
      <c r="E40" s="2155"/>
      <c r="F40" s="2269" t="s">
        <v>2530</v>
      </c>
      <c r="G40" s="2158"/>
      <c r="H40" s="2158"/>
      <c r="I40" s="2158"/>
      <c r="J40" s="2158"/>
      <c r="K40" s="2158"/>
      <c r="L40" s="2158"/>
      <c r="M40" s="2158"/>
      <c r="N40" s="2158"/>
      <c r="O40" s="2158"/>
      <c r="P40" s="2158"/>
      <c r="Q40" s="2155"/>
      <c r="R40" s="2174">
        <f>ROUNDUP(AJ18/1000,2)</f>
        <v>2.1199999999999997</v>
      </c>
      <c r="S40" s="2175"/>
      <c r="T40" s="2176"/>
      <c r="U40" s="2147" t="s">
        <v>2524</v>
      </c>
      <c r="V40" s="2147"/>
      <c r="W40" s="2147"/>
      <c r="X40" s="2147"/>
      <c r="Y40" s="2147"/>
      <c r="AB40" s="1463"/>
      <c r="AC40" s="1444" t="str">
        <f>"P={ ("&amp;R40&amp;"*"&amp;R42*100&amp;"%)/("&amp;R43&amp;"*"&amp;R45&amp;")"</f>
        <v>P={ (2.12*120%)/(0.6*0.8)</v>
      </c>
      <c r="AR40" s="1483"/>
      <c r="AY40" s="1488"/>
    </row>
    <row r="41" spans="2:51" s="1444" customFormat="1" ht="20.100000000000001" customHeight="1">
      <c r="D41" s="2156"/>
      <c r="E41" s="2157"/>
      <c r="F41" s="2156"/>
      <c r="G41" s="2159"/>
      <c r="H41" s="2159"/>
      <c r="I41" s="2159"/>
      <c r="J41" s="2159"/>
      <c r="K41" s="2159"/>
      <c r="L41" s="2159"/>
      <c r="M41" s="2159"/>
      <c r="N41" s="2159"/>
      <c r="O41" s="2159"/>
      <c r="P41" s="2159"/>
      <c r="Q41" s="2157"/>
      <c r="R41" s="2174">
        <f>ROUNDUP(AJ31/1000,2)</f>
        <v>2.78</v>
      </c>
      <c r="S41" s="2175"/>
      <c r="T41" s="2176"/>
      <c r="U41" s="2147" t="s">
        <v>2522</v>
      </c>
      <c r="V41" s="2147"/>
      <c r="W41" s="2147"/>
      <c r="X41" s="2147"/>
      <c r="Y41" s="2147"/>
      <c r="AB41" s="1463"/>
      <c r="AE41" s="1444" t="str">
        <f>" + ("&amp;R41&amp;"*"&amp;R42*100&amp;"%)/("&amp;R44&amp;"*"&amp;R45&amp;") } * 1.2"</f>
        <v xml:space="preserve"> + (2.78*120%)/(0.8*0.8) } * 1.2</v>
      </c>
      <c r="AR41" s="1483"/>
      <c r="AY41" s="1488"/>
    </row>
    <row r="42" spans="2:51" s="1444" customFormat="1" ht="20.100000000000001" customHeight="1">
      <c r="D42" s="2147" t="s">
        <v>2529</v>
      </c>
      <c r="E42" s="2147"/>
      <c r="F42" s="2147" t="s">
        <v>2528</v>
      </c>
      <c r="G42" s="2147"/>
      <c r="H42" s="2147"/>
      <c r="I42" s="2147"/>
      <c r="J42" s="2147"/>
      <c r="K42" s="2147"/>
      <c r="L42" s="2147"/>
      <c r="M42" s="2147"/>
      <c r="N42" s="2147"/>
      <c r="O42" s="2147"/>
      <c r="P42" s="2147"/>
      <c r="Q42" s="2147"/>
      <c r="R42" s="2265">
        <v>1.2</v>
      </c>
      <c r="S42" s="2147"/>
      <c r="T42" s="2147"/>
      <c r="U42" s="2147"/>
      <c r="V42" s="2147"/>
      <c r="W42" s="2147"/>
      <c r="X42" s="2147"/>
      <c r="Y42" s="2147"/>
      <c r="AB42" s="1463"/>
      <c r="AD42" s="1444" t="s">
        <v>2464</v>
      </c>
      <c r="AE42" s="2173">
        <f>ROUNDUP((((R40*R42)/(R43*R45))+((R41*R42)/(R44*R45)))*1.2,2)</f>
        <v>12.62</v>
      </c>
      <c r="AF42" s="2173"/>
      <c r="AG42" s="2173"/>
      <c r="AH42" s="2173"/>
      <c r="AI42" s="1444" t="s">
        <v>2527</v>
      </c>
      <c r="AR42" s="1483"/>
      <c r="AY42" s="1488"/>
    </row>
    <row r="43" spans="2:51" s="1444" customFormat="1" ht="20.100000000000001" customHeight="1">
      <c r="D43" s="2154" t="s">
        <v>2526</v>
      </c>
      <c r="E43" s="2155"/>
      <c r="F43" s="2154" t="s">
        <v>2525</v>
      </c>
      <c r="G43" s="2158"/>
      <c r="H43" s="2158"/>
      <c r="I43" s="2158"/>
      <c r="J43" s="2158"/>
      <c r="K43" s="2158"/>
      <c r="L43" s="2158"/>
      <c r="M43" s="2158"/>
      <c r="N43" s="2158"/>
      <c r="O43" s="2158"/>
      <c r="P43" s="2158"/>
      <c r="Q43" s="2155"/>
      <c r="R43" s="2174">
        <v>0.6</v>
      </c>
      <c r="S43" s="2175"/>
      <c r="T43" s="2176"/>
      <c r="U43" s="2174" t="s">
        <v>2524</v>
      </c>
      <c r="V43" s="2175"/>
      <c r="W43" s="2175"/>
      <c r="X43" s="2175"/>
      <c r="Y43" s="2176"/>
      <c r="AB43" s="1463"/>
      <c r="AC43" s="1493"/>
      <c r="AD43" s="1462" t="s">
        <v>2461</v>
      </c>
      <c r="AE43" s="2264">
        <v>15</v>
      </c>
      <c r="AF43" s="2264"/>
      <c r="AG43" s="2264"/>
      <c r="AH43" s="2264"/>
      <c r="AI43" s="1461" t="s">
        <v>2523</v>
      </c>
      <c r="AJ43" s="1460"/>
      <c r="AK43" s="1460"/>
      <c r="AL43" s="1460"/>
      <c r="AM43" s="1460"/>
      <c r="AN43" s="1460"/>
      <c r="AO43" s="1460"/>
      <c r="AP43" s="1493"/>
      <c r="AQ43" s="1493"/>
      <c r="AR43" s="1483"/>
      <c r="AY43" s="1488"/>
    </row>
    <row r="44" spans="2:51" s="1444" customFormat="1" ht="20.100000000000001" customHeight="1">
      <c r="D44" s="2156"/>
      <c r="E44" s="2157"/>
      <c r="F44" s="2156"/>
      <c r="G44" s="2159"/>
      <c r="H44" s="2159"/>
      <c r="I44" s="2159"/>
      <c r="J44" s="2159"/>
      <c r="K44" s="2159"/>
      <c r="L44" s="2159"/>
      <c r="M44" s="2159"/>
      <c r="N44" s="2159"/>
      <c r="O44" s="2159"/>
      <c r="P44" s="2159"/>
      <c r="Q44" s="2157"/>
      <c r="R44" s="2174">
        <v>0.8</v>
      </c>
      <c r="S44" s="2175"/>
      <c r="T44" s="2176"/>
      <c r="U44" s="2174" t="s">
        <v>2522</v>
      </c>
      <c r="V44" s="2175"/>
      <c r="W44" s="2175"/>
      <c r="X44" s="2175"/>
      <c r="Y44" s="2176"/>
      <c r="AB44" s="1463"/>
      <c r="AR44" s="1483"/>
      <c r="AY44" s="1488"/>
    </row>
    <row r="45" spans="2:51" s="1444" customFormat="1" ht="20.100000000000001" customHeight="1">
      <c r="D45" s="2174" t="s">
        <v>2521</v>
      </c>
      <c r="E45" s="2176"/>
      <c r="F45" s="2174" t="s">
        <v>2520</v>
      </c>
      <c r="G45" s="2175"/>
      <c r="H45" s="2175"/>
      <c r="I45" s="2175"/>
      <c r="J45" s="2175"/>
      <c r="K45" s="2175"/>
      <c r="L45" s="2175"/>
      <c r="M45" s="2175"/>
      <c r="N45" s="2175"/>
      <c r="O45" s="2175"/>
      <c r="P45" s="2175"/>
      <c r="Q45" s="2176"/>
      <c r="R45" s="2174">
        <v>0.8</v>
      </c>
      <c r="S45" s="2175"/>
      <c r="T45" s="2176"/>
      <c r="U45" s="2174"/>
      <c r="V45" s="2175"/>
      <c r="W45" s="2175"/>
      <c r="X45" s="2175"/>
      <c r="Y45" s="2176"/>
      <c r="AB45" s="1492"/>
      <c r="AC45" s="1473"/>
      <c r="AD45" s="1473"/>
      <c r="AE45" s="1473"/>
      <c r="AF45" s="1473"/>
      <c r="AG45" s="1473"/>
      <c r="AH45" s="1473"/>
      <c r="AI45" s="1473"/>
      <c r="AJ45" s="1473"/>
      <c r="AK45" s="1473"/>
      <c r="AL45" s="1473"/>
      <c r="AM45" s="1473"/>
      <c r="AN45" s="1473"/>
      <c r="AO45" s="1473"/>
      <c r="AP45" s="1473"/>
      <c r="AQ45" s="1473"/>
      <c r="AR45" s="1472"/>
      <c r="AY45" s="1488"/>
    </row>
    <row r="46" spans="2:51" s="1444" customFormat="1" ht="20.100000000000001" customHeight="1">
      <c r="D46" s="1444" t="s">
        <v>2450</v>
      </c>
      <c r="AY46" s="1488"/>
    </row>
    <row r="47" spans="2:51" s="1444" customFormat="1" ht="20.100000000000001" customHeight="1">
      <c r="E47" s="1444" t="s">
        <v>2519</v>
      </c>
      <c r="AY47" s="1488"/>
    </row>
    <row r="48" spans="2:51" s="1444" customFormat="1" ht="20.100000000000001" customHeight="1">
      <c r="E48" s="1444" t="s">
        <v>2518</v>
      </c>
      <c r="AY48" s="1488"/>
    </row>
    <row r="50" spans="2:44" s="1444" customFormat="1" ht="20.100000000000001" customHeight="1">
      <c r="B50" s="1444" t="s">
        <v>2968</v>
      </c>
    </row>
    <row r="51" spans="2:44" ht="20.100000000000001" customHeight="1">
      <c r="D51" s="1450"/>
      <c r="E51" s="1450"/>
      <c r="F51" s="1450"/>
      <c r="G51" s="1450"/>
      <c r="H51" s="1450"/>
      <c r="I51" s="1450"/>
      <c r="J51" s="1450"/>
      <c r="K51" s="1450"/>
      <c r="L51" s="1450"/>
      <c r="M51" s="1450"/>
      <c r="N51" s="1450"/>
      <c r="O51" s="1450"/>
      <c r="P51" s="1450"/>
      <c r="Q51" s="1450"/>
      <c r="R51" s="1450"/>
      <c r="S51" s="1450"/>
      <c r="T51" s="1450"/>
      <c r="U51" s="1450"/>
      <c r="V51" s="1450"/>
      <c r="W51" s="1450"/>
      <c r="X51" s="1450"/>
      <c r="Y51" s="1450"/>
      <c r="Z51" s="1450"/>
      <c r="AA51" s="1450"/>
    </row>
    <row r="52" spans="2:44" ht="20.100000000000001" customHeight="1">
      <c r="D52" s="1450"/>
      <c r="E52" s="1450"/>
      <c r="F52" s="1450"/>
      <c r="G52" s="1450"/>
      <c r="H52" s="1450"/>
      <c r="I52" s="1450"/>
      <c r="J52" s="1450"/>
      <c r="K52" s="1450"/>
      <c r="L52" s="1450"/>
      <c r="M52" s="1450"/>
      <c r="N52" s="1450"/>
      <c r="O52" s="1450"/>
      <c r="P52" s="1450"/>
      <c r="Q52" s="1450"/>
      <c r="R52" s="1450"/>
      <c r="S52" s="1450"/>
      <c r="T52" s="1450"/>
      <c r="U52" s="1450"/>
      <c r="V52" s="1450"/>
      <c r="W52" s="1450"/>
      <c r="X52" s="1450"/>
      <c r="Y52" s="1450"/>
      <c r="Z52" s="1450"/>
      <c r="AA52" s="1450"/>
    </row>
    <row r="53" spans="2:44" ht="20.100000000000001" customHeight="1">
      <c r="D53" s="1450"/>
      <c r="E53" s="1450"/>
      <c r="F53" s="1450"/>
      <c r="G53" s="1450"/>
      <c r="H53" s="1450"/>
      <c r="I53" s="1450"/>
      <c r="J53" s="1450"/>
      <c r="K53" s="1450"/>
      <c r="L53" s="1450"/>
      <c r="M53" s="1450"/>
      <c r="N53" s="1450"/>
      <c r="O53" s="1450"/>
      <c r="P53" s="1450"/>
      <c r="Q53" s="1450"/>
      <c r="R53" s="1450"/>
      <c r="S53" s="1450"/>
      <c r="T53" s="1450"/>
      <c r="U53" s="1450"/>
      <c r="V53" s="1450"/>
      <c r="W53" s="1450"/>
      <c r="X53" s="1450"/>
      <c r="Y53" s="1450"/>
      <c r="Z53" s="1450"/>
      <c r="AA53" s="1450"/>
    </row>
    <row r="54" spans="2:44" ht="20.100000000000001" customHeight="1">
      <c r="D54" s="2147" t="s">
        <v>2472</v>
      </c>
      <c r="E54" s="2147"/>
      <c r="F54" s="2147" t="s">
        <v>2471</v>
      </c>
      <c r="G54" s="2147"/>
      <c r="H54" s="2147"/>
      <c r="I54" s="2147"/>
      <c r="J54" s="2147"/>
      <c r="K54" s="2147"/>
      <c r="L54" s="2147"/>
      <c r="M54" s="2147"/>
      <c r="N54" s="2147"/>
      <c r="O54" s="2147"/>
      <c r="P54" s="2147"/>
      <c r="Q54" s="2147"/>
      <c r="R54" s="2147" t="s">
        <v>2470</v>
      </c>
      <c r="S54" s="2147"/>
      <c r="T54" s="2147"/>
      <c r="U54" s="2147" t="s">
        <v>39</v>
      </c>
      <c r="V54" s="2147"/>
      <c r="W54" s="2147"/>
      <c r="X54" s="2147"/>
      <c r="Y54" s="2147"/>
      <c r="Z54" s="1450"/>
      <c r="AA54" s="1450"/>
      <c r="AB54" s="1468" t="s">
        <v>2517</v>
      </c>
      <c r="AC54" s="1466"/>
      <c r="AD54" s="1466"/>
      <c r="AE54" s="1466"/>
      <c r="AF54" s="1466"/>
      <c r="AG54" s="1466"/>
      <c r="AH54" s="1466"/>
      <c r="AI54" s="1466"/>
      <c r="AJ54" s="1466"/>
      <c r="AK54" s="1466"/>
      <c r="AL54" s="1466"/>
      <c r="AM54" s="1466"/>
      <c r="AN54" s="1467"/>
      <c r="AO54" s="1467"/>
      <c r="AP54" s="1467"/>
      <c r="AQ54" s="1466"/>
      <c r="AR54" s="1465"/>
    </row>
    <row r="55" spans="2:44" ht="20.100000000000001" customHeight="1">
      <c r="D55" s="2147" t="s">
        <v>2468</v>
      </c>
      <c r="E55" s="2147"/>
      <c r="F55" s="2179" t="s">
        <v>2467</v>
      </c>
      <c r="G55" s="2179"/>
      <c r="H55" s="2179"/>
      <c r="I55" s="2179"/>
      <c r="J55" s="2179"/>
      <c r="K55" s="2179"/>
      <c r="L55" s="2179"/>
      <c r="M55" s="2179"/>
      <c r="N55" s="2179"/>
      <c r="O55" s="2179"/>
      <c r="P55" s="2179"/>
      <c r="Q55" s="2179"/>
      <c r="R55" s="2174">
        <v>0.8</v>
      </c>
      <c r="S55" s="2175"/>
      <c r="T55" s="2176"/>
      <c r="U55" s="2180"/>
      <c r="V55" s="2180"/>
      <c r="W55" s="2180"/>
      <c r="X55" s="2180"/>
      <c r="Y55" s="2180"/>
      <c r="Z55" s="1450"/>
      <c r="AA55" s="1450"/>
      <c r="AB55" s="1463"/>
      <c r="AC55" s="1444" t="str">
        <f>"AH = { (1*"&amp;R56&amp;")/("&amp;R55&amp;"*"&amp;R59&amp;"*"&amp;R60&amp;") } * "&amp;R62&amp;" * 1.2"</f>
        <v>AH = { (1*3)/(0.8*1*0.77) } * 22.22 * 1.2</v>
      </c>
      <c r="AD55" s="1444"/>
      <c r="AE55" s="1450"/>
      <c r="AF55" s="1450"/>
      <c r="AG55" s="1444"/>
      <c r="AH55" s="1444"/>
      <c r="AI55" s="1444"/>
      <c r="AJ55" s="1444"/>
      <c r="AK55" s="1450"/>
      <c r="AL55" s="1444"/>
      <c r="AM55" s="1444"/>
      <c r="AN55" s="1450"/>
      <c r="AO55" s="1450"/>
      <c r="AP55" s="1450"/>
      <c r="AQ55" s="1450"/>
      <c r="AR55" s="1464"/>
    </row>
    <row r="56" spans="2:44" ht="20.100000000000001" customHeight="1">
      <c r="D56" s="2154" t="s">
        <v>2466</v>
      </c>
      <c r="E56" s="2155"/>
      <c r="F56" s="2154" t="s">
        <v>2465</v>
      </c>
      <c r="G56" s="2158"/>
      <c r="H56" s="2158"/>
      <c r="I56" s="2158"/>
      <c r="J56" s="2158"/>
      <c r="K56" s="2158"/>
      <c r="L56" s="2158"/>
      <c r="M56" s="2158"/>
      <c r="N56" s="2158"/>
      <c r="O56" s="2158"/>
      <c r="P56" s="2158"/>
      <c r="Q56" s="2155"/>
      <c r="R56" s="2169">
        <v>3</v>
      </c>
      <c r="S56" s="2170"/>
      <c r="T56" s="2171"/>
      <c r="U56" s="2172" t="s">
        <v>1609</v>
      </c>
      <c r="V56" s="2172"/>
      <c r="W56" s="2172"/>
      <c r="X56" s="2172"/>
      <c r="Y56" s="2172"/>
      <c r="Z56" s="1450"/>
      <c r="AA56" s="1450"/>
      <c r="AB56" s="1463"/>
      <c r="AC56" s="1450"/>
      <c r="AD56" s="1444" t="s">
        <v>2464</v>
      </c>
      <c r="AE56" s="2173">
        <f>ROUNDUP(((1*R56)/(R55*R59*R60))*R62*1.2,2)</f>
        <v>129.85999999999999</v>
      </c>
      <c r="AF56" s="2173"/>
      <c r="AG56" s="2173"/>
      <c r="AH56" s="2173"/>
      <c r="AI56" s="1444" t="s">
        <v>2463</v>
      </c>
      <c r="AJ56" s="1444"/>
      <c r="AK56" s="1444"/>
      <c r="AL56" s="1444"/>
      <c r="AM56" s="1444"/>
      <c r="AN56" s="1444"/>
      <c r="AO56" s="1444"/>
      <c r="AP56" s="1450"/>
      <c r="AQ56" s="1450"/>
      <c r="AR56" s="1457"/>
    </row>
    <row r="57" spans="2:44" ht="20.100000000000001" customHeight="1">
      <c r="D57" s="2166"/>
      <c r="E57" s="2167"/>
      <c r="F57" s="2166"/>
      <c r="G57" s="2168"/>
      <c r="H57" s="2168"/>
      <c r="I57" s="2168"/>
      <c r="J57" s="2168"/>
      <c r="K57" s="2168"/>
      <c r="L57" s="2168"/>
      <c r="M57" s="2168"/>
      <c r="N57" s="2168"/>
      <c r="O57" s="2168"/>
      <c r="P57" s="2168"/>
      <c r="Q57" s="2167"/>
      <c r="R57" s="2174">
        <v>4</v>
      </c>
      <c r="S57" s="2175"/>
      <c r="T57" s="2176"/>
      <c r="U57" s="2177" t="s">
        <v>2462</v>
      </c>
      <c r="V57" s="2177"/>
      <c r="W57" s="2177"/>
      <c r="X57" s="2177"/>
      <c r="Y57" s="2177"/>
      <c r="Z57" s="1450"/>
      <c r="AA57" s="1450"/>
      <c r="AB57" s="1458"/>
      <c r="AC57" s="1460"/>
      <c r="AD57" s="1462" t="s">
        <v>2461</v>
      </c>
      <c r="AE57" s="2264">
        <v>150</v>
      </c>
      <c r="AF57" s="2264"/>
      <c r="AG57" s="2264"/>
      <c r="AH57" s="2264"/>
      <c r="AI57" s="1461" t="s">
        <v>2460</v>
      </c>
      <c r="AJ57" s="1460"/>
      <c r="AK57" s="1460"/>
      <c r="AL57" s="1460"/>
      <c r="AM57" s="1460"/>
      <c r="AN57" s="1460"/>
      <c r="AO57" s="1460"/>
      <c r="AP57" s="1459"/>
      <c r="AQ57" s="1459"/>
      <c r="AR57" s="1457"/>
    </row>
    <row r="58" spans="2:44" ht="20.100000000000001" customHeight="1">
      <c r="D58" s="2156"/>
      <c r="E58" s="2157"/>
      <c r="F58" s="2156"/>
      <c r="G58" s="2159"/>
      <c r="H58" s="2159"/>
      <c r="I58" s="2159"/>
      <c r="J58" s="2159"/>
      <c r="K58" s="2159"/>
      <c r="L58" s="2159"/>
      <c r="M58" s="2159"/>
      <c r="N58" s="2159"/>
      <c r="O58" s="2159"/>
      <c r="P58" s="2159"/>
      <c r="Q58" s="2157"/>
      <c r="R58" s="2174">
        <v>16</v>
      </c>
      <c r="S58" s="2175"/>
      <c r="T58" s="2176"/>
      <c r="U58" s="2151" t="s">
        <v>2459</v>
      </c>
      <c r="V58" s="2152"/>
      <c r="W58" s="2152"/>
      <c r="X58" s="2152"/>
      <c r="Y58" s="2153"/>
      <c r="Z58" s="1450"/>
      <c r="AA58" s="1450"/>
      <c r="AB58" s="1458"/>
      <c r="AC58" s="1451"/>
      <c r="AD58" s="1451"/>
      <c r="AE58" s="1451"/>
      <c r="AF58" s="1450"/>
      <c r="AG58" s="1450"/>
      <c r="AH58" s="1450"/>
      <c r="AI58" s="1450"/>
      <c r="AJ58" s="1450"/>
      <c r="AK58" s="1450"/>
      <c r="AL58" s="1450"/>
      <c r="AM58" s="1450"/>
      <c r="AN58" s="1450"/>
      <c r="AO58" s="1450"/>
      <c r="AP58" s="1450"/>
      <c r="AQ58" s="1450"/>
      <c r="AR58" s="1457"/>
    </row>
    <row r="59" spans="2:44" ht="20.100000000000001" customHeight="1">
      <c r="D59" s="2147" t="s">
        <v>2458</v>
      </c>
      <c r="E59" s="2147"/>
      <c r="F59" s="2147" t="s">
        <v>2457</v>
      </c>
      <c r="G59" s="2147"/>
      <c r="H59" s="2147"/>
      <c r="I59" s="2147"/>
      <c r="J59" s="2147"/>
      <c r="K59" s="2147"/>
      <c r="L59" s="2147"/>
      <c r="M59" s="2147"/>
      <c r="N59" s="2147"/>
      <c r="O59" s="2147"/>
      <c r="P59" s="2147"/>
      <c r="Q59" s="2147"/>
      <c r="R59" s="2148">
        <v>1</v>
      </c>
      <c r="S59" s="2149"/>
      <c r="T59" s="2150"/>
      <c r="U59" s="2151" t="s">
        <v>2965</v>
      </c>
      <c r="V59" s="2152"/>
      <c r="W59" s="2152"/>
      <c r="X59" s="2152"/>
      <c r="Y59" s="2153"/>
      <c r="Z59" s="1450"/>
      <c r="AA59" s="1450"/>
      <c r="AB59" s="1458"/>
      <c r="AC59" s="1450"/>
      <c r="AD59" s="1450"/>
      <c r="AE59" s="1450"/>
      <c r="AF59" s="1450"/>
      <c r="AG59" s="1450"/>
      <c r="AH59" s="1450"/>
      <c r="AI59" s="1450"/>
      <c r="AJ59" s="1450"/>
      <c r="AK59" s="1450"/>
      <c r="AL59" s="1450"/>
      <c r="AM59" s="1450"/>
      <c r="AN59" s="1450"/>
      <c r="AO59" s="1450"/>
      <c r="AP59" s="1450"/>
      <c r="AQ59" s="1450"/>
      <c r="AR59" s="1457"/>
    </row>
    <row r="60" spans="2:44" ht="20.100000000000001" customHeight="1">
      <c r="D60" s="2154" t="s">
        <v>2456</v>
      </c>
      <c r="E60" s="2155"/>
      <c r="F60" s="2154" t="s">
        <v>2455</v>
      </c>
      <c r="G60" s="2158"/>
      <c r="H60" s="2158"/>
      <c r="I60" s="2158"/>
      <c r="J60" s="2158"/>
      <c r="K60" s="2158"/>
      <c r="L60" s="2158"/>
      <c r="M60" s="2158"/>
      <c r="N60" s="2158"/>
      <c r="O60" s="2158"/>
      <c r="P60" s="2158"/>
      <c r="Q60" s="2155"/>
      <c r="R60" s="2169">
        <v>0.77</v>
      </c>
      <c r="S60" s="2170"/>
      <c r="T60" s="2171"/>
      <c r="U60" s="2261" t="s">
        <v>2454</v>
      </c>
      <c r="V60" s="2262"/>
      <c r="W60" s="2262"/>
      <c r="X60" s="2262"/>
      <c r="Y60" s="2263"/>
      <c r="Z60" s="1450"/>
      <c r="AA60" s="1450"/>
      <c r="AB60" s="1458"/>
      <c r="AC60" s="1450"/>
      <c r="AD60" s="1450"/>
      <c r="AE60" s="1450"/>
      <c r="AF60" s="1450"/>
      <c r="AG60" s="1450"/>
      <c r="AH60" s="1450"/>
      <c r="AI60" s="1450"/>
      <c r="AJ60" s="1450"/>
      <c r="AK60" s="1450"/>
      <c r="AL60" s="1450"/>
      <c r="AM60" s="1450"/>
      <c r="AN60" s="1450"/>
      <c r="AO60" s="1450"/>
      <c r="AP60" s="1450"/>
      <c r="AQ60" s="1450"/>
      <c r="AR60" s="1457"/>
    </row>
    <row r="61" spans="2:44" ht="20.100000000000001" customHeight="1">
      <c r="D61" s="2156"/>
      <c r="E61" s="2157"/>
      <c r="F61" s="2156"/>
      <c r="G61" s="2159"/>
      <c r="H61" s="2159"/>
      <c r="I61" s="2159"/>
      <c r="J61" s="2159"/>
      <c r="K61" s="2159"/>
      <c r="L61" s="2159"/>
      <c r="M61" s="2159"/>
      <c r="N61" s="2159"/>
      <c r="O61" s="2159"/>
      <c r="P61" s="2159"/>
      <c r="Q61" s="2157"/>
      <c r="R61" s="2148">
        <v>0.82</v>
      </c>
      <c r="S61" s="2149"/>
      <c r="T61" s="2150"/>
      <c r="U61" s="2151" t="s">
        <v>2453</v>
      </c>
      <c r="V61" s="2152"/>
      <c r="W61" s="2152"/>
      <c r="X61" s="2152"/>
      <c r="Y61" s="2153"/>
      <c r="Z61" s="1450"/>
      <c r="AA61" s="1450"/>
      <c r="AB61" s="1479"/>
      <c r="AC61" s="1454"/>
      <c r="AD61" s="1454"/>
      <c r="AE61" s="1454"/>
      <c r="AF61" s="1454"/>
      <c r="AG61" s="1454"/>
      <c r="AH61" s="1454"/>
      <c r="AI61" s="1454"/>
      <c r="AJ61" s="1454"/>
      <c r="AK61" s="1454"/>
      <c r="AL61" s="1454"/>
      <c r="AM61" s="1454"/>
      <c r="AN61" s="1454"/>
      <c r="AO61" s="1454"/>
      <c r="AP61" s="1454"/>
      <c r="AQ61" s="1454"/>
      <c r="AR61" s="1455"/>
    </row>
    <row r="62" spans="2:44" ht="20.100000000000001" customHeight="1">
      <c r="D62" s="2147" t="s">
        <v>2452</v>
      </c>
      <c r="E62" s="2147"/>
      <c r="F62" s="2147" t="s">
        <v>2451</v>
      </c>
      <c r="G62" s="2147"/>
      <c r="H62" s="2147"/>
      <c r="I62" s="2147"/>
      <c r="J62" s="2147"/>
      <c r="K62" s="2147"/>
      <c r="L62" s="2147"/>
      <c r="M62" s="2147"/>
      <c r="N62" s="2147"/>
      <c r="O62" s="2147"/>
      <c r="P62" s="2147"/>
      <c r="Q62" s="2147"/>
      <c r="R62" s="2258">
        <f>AG32</f>
        <v>22.22</v>
      </c>
      <c r="S62" s="2259"/>
      <c r="T62" s="2260"/>
      <c r="U62" s="2151"/>
      <c r="V62" s="2152"/>
      <c r="W62" s="2152"/>
      <c r="X62" s="2152"/>
      <c r="Y62" s="2153"/>
      <c r="Z62" s="1450"/>
      <c r="AA62" s="1450"/>
      <c r="AB62" s="1491"/>
      <c r="AC62" s="1490"/>
      <c r="AD62" s="1490"/>
      <c r="AE62" s="1490"/>
      <c r="AF62" s="1490"/>
      <c r="AG62" s="1490"/>
      <c r="AH62" s="1490"/>
      <c r="AI62" s="1490"/>
      <c r="AJ62" s="1490"/>
      <c r="AK62" s="1490"/>
      <c r="AL62" s="1490"/>
      <c r="AM62" s="1490"/>
      <c r="AN62" s="1490"/>
      <c r="AO62" s="1490"/>
      <c r="AP62" s="1490"/>
      <c r="AQ62" s="1490"/>
      <c r="AR62" s="1489"/>
    </row>
    <row r="63" spans="2:44" ht="20.100000000000001" customHeight="1">
      <c r="D63" s="1444" t="s">
        <v>2450</v>
      </c>
    </row>
    <row r="64" spans="2:44" ht="20.100000000000001" customHeight="1">
      <c r="D64" s="1444" t="s">
        <v>2449</v>
      </c>
    </row>
    <row r="65" spans="1:93" ht="20.100000000000001" customHeight="1">
      <c r="D65" s="1444"/>
    </row>
    <row r="66" spans="1:93" ht="20.100000000000001" customHeight="1">
      <c r="AS66" s="1485"/>
      <c r="AT66" s="1444"/>
      <c r="AU66" s="1444"/>
      <c r="AV66" s="1444"/>
      <c r="AX66" s="1454"/>
      <c r="AY66" s="1454"/>
      <c r="AZ66" s="1454"/>
      <c r="BA66" s="1454"/>
      <c r="BB66" s="1454"/>
      <c r="BC66" s="1454"/>
      <c r="BD66" s="1454"/>
      <c r="BE66" s="1454"/>
      <c r="BF66" s="1454"/>
      <c r="BG66" s="1454"/>
      <c r="BH66" s="1454"/>
      <c r="BI66" s="1454"/>
      <c r="BJ66" s="1454"/>
      <c r="BK66" s="1454"/>
      <c r="BL66" s="1454"/>
      <c r="BM66" s="1454"/>
      <c r="BN66" s="1454"/>
      <c r="BO66" s="1454"/>
      <c r="BP66" s="1454"/>
      <c r="BQ66" s="1454"/>
      <c r="BR66" s="1454"/>
      <c r="BS66" s="1454"/>
      <c r="BT66" s="1454"/>
      <c r="BU66" s="1454"/>
      <c r="BV66" s="1454"/>
      <c r="BW66" s="1454"/>
      <c r="BX66" s="1454"/>
      <c r="BY66" s="1454"/>
      <c r="BZ66" s="1454"/>
      <c r="CA66" s="1454"/>
      <c r="CB66" s="1454"/>
      <c r="CC66" s="1454"/>
      <c r="CD66" s="1454"/>
      <c r="CE66" s="1454"/>
      <c r="CF66" s="1454"/>
      <c r="CG66" s="1454"/>
      <c r="CH66" s="1454"/>
      <c r="CI66" s="1454"/>
      <c r="CJ66" s="1454"/>
      <c r="CK66" s="1454"/>
      <c r="CL66" s="1454"/>
      <c r="CM66" s="1454"/>
      <c r="CN66" s="1454"/>
      <c r="CO66" s="1454"/>
    </row>
    <row r="67" spans="1:93" s="1450" customFormat="1" ht="20.100000000000001" customHeight="1">
      <c r="AX67" s="1454"/>
      <c r="AY67" s="1454"/>
      <c r="AZ67" s="1454"/>
      <c r="BA67" s="1454"/>
      <c r="BB67" s="1454"/>
      <c r="BC67" s="1454"/>
      <c r="BD67" s="1454"/>
      <c r="BE67" s="1454"/>
      <c r="BF67" s="1454"/>
      <c r="BG67" s="1454"/>
      <c r="BH67" s="1454"/>
      <c r="BI67" s="1454"/>
      <c r="BJ67" s="1454"/>
      <c r="BK67" s="1454"/>
      <c r="BL67" s="1454"/>
      <c r="BM67" s="1454"/>
      <c r="BN67" s="1454"/>
      <c r="BO67" s="1454"/>
      <c r="BP67" s="1454"/>
      <c r="BQ67" s="1454"/>
      <c r="BR67" s="1454"/>
      <c r="BS67" s="1454"/>
      <c r="BT67" s="1454"/>
      <c r="BU67" s="1454"/>
      <c r="BV67" s="1454"/>
      <c r="BW67" s="1454"/>
      <c r="BX67" s="1454"/>
      <c r="BY67" s="1454"/>
      <c r="BZ67" s="1454"/>
      <c r="CA67" s="1454"/>
      <c r="CB67" s="1454"/>
      <c r="CC67" s="1454"/>
      <c r="CD67" s="1454"/>
      <c r="CE67" s="1454"/>
      <c r="CF67" s="1454"/>
      <c r="CG67" s="1454"/>
      <c r="CH67" s="1454"/>
      <c r="CI67" s="1454"/>
      <c r="CJ67" s="1454"/>
      <c r="CK67" s="1454"/>
      <c r="CL67" s="1454"/>
      <c r="CM67" s="1454"/>
      <c r="CN67" s="1454"/>
      <c r="CO67" s="1454"/>
    </row>
    <row r="68" spans="1:93" s="1450" customFormat="1" ht="20.100000000000001" customHeight="1">
      <c r="AS68" s="1444"/>
      <c r="AT68" s="1444"/>
      <c r="AX68" s="1454"/>
      <c r="AY68" s="1454"/>
      <c r="AZ68" s="1454"/>
      <c r="BA68" s="1454"/>
      <c r="BB68" s="1454"/>
      <c r="BC68" s="1454"/>
      <c r="BD68" s="1454"/>
      <c r="BE68" s="1454"/>
      <c r="BF68" s="1454"/>
      <c r="BG68" s="1454"/>
      <c r="BH68" s="1454"/>
      <c r="BI68" s="1454"/>
      <c r="BJ68" s="1454"/>
      <c r="BK68" s="1454"/>
      <c r="BL68" s="1454"/>
      <c r="BM68" s="1454"/>
      <c r="BN68" s="1454"/>
      <c r="BO68" s="1454"/>
      <c r="BP68" s="1454"/>
      <c r="BQ68" s="1454"/>
      <c r="BR68" s="1454"/>
      <c r="BS68" s="1454"/>
      <c r="BT68" s="1454"/>
      <c r="BU68" s="1454"/>
      <c r="BV68" s="1454"/>
      <c r="BW68" s="1454"/>
      <c r="BX68" s="1454"/>
      <c r="BY68" s="1454"/>
      <c r="BZ68" s="1454"/>
      <c r="CA68" s="1454"/>
      <c r="CB68" s="1454"/>
      <c r="CC68" s="1454"/>
      <c r="CD68" s="1454"/>
      <c r="CE68" s="1454"/>
      <c r="CF68" s="1454"/>
      <c r="CG68" s="1454"/>
      <c r="CH68" s="1454"/>
      <c r="CI68" s="1454"/>
      <c r="CJ68" s="1454"/>
      <c r="CK68" s="1454"/>
      <c r="CL68" s="1454"/>
      <c r="CM68" s="1454"/>
      <c r="CN68" s="1454"/>
      <c r="CO68" s="1454"/>
    </row>
    <row r="69" spans="1:93" s="1450" customFormat="1" ht="20.100000000000001" customHeight="1">
      <c r="AT69" s="1444"/>
      <c r="AX69" s="1454"/>
      <c r="AY69" s="1454"/>
      <c r="AZ69" s="1454"/>
      <c r="BA69" s="1454"/>
      <c r="BB69" s="1454"/>
      <c r="BC69" s="1454"/>
      <c r="BD69" s="1454"/>
      <c r="BE69" s="1454"/>
      <c r="BF69" s="1454"/>
      <c r="BG69" s="1454"/>
      <c r="BH69" s="1454"/>
      <c r="BI69" s="1454"/>
      <c r="BJ69" s="1454"/>
      <c r="BK69" s="1454"/>
      <c r="BL69" s="1454"/>
      <c r="BM69" s="1454"/>
      <c r="BN69" s="1454"/>
      <c r="BO69" s="1454"/>
      <c r="BP69" s="1454"/>
      <c r="BQ69" s="1454"/>
      <c r="BR69" s="1454"/>
      <c r="BS69" s="1454"/>
      <c r="BT69" s="1454"/>
      <c r="BU69" s="1454"/>
      <c r="BV69" s="1454"/>
      <c r="BW69" s="1454"/>
      <c r="BX69" s="1454"/>
      <c r="BY69" s="1454"/>
      <c r="BZ69" s="1454"/>
      <c r="CA69" s="1454"/>
      <c r="CB69" s="1454"/>
      <c r="CC69" s="1454"/>
      <c r="CD69" s="1454"/>
      <c r="CE69" s="1454"/>
      <c r="CF69" s="1454"/>
      <c r="CG69" s="1454"/>
      <c r="CH69" s="1454"/>
      <c r="CI69" s="1454"/>
      <c r="CJ69" s="1454"/>
      <c r="CK69" s="1454"/>
      <c r="CL69" s="1454"/>
      <c r="CM69" s="1454"/>
      <c r="CN69" s="1454"/>
      <c r="CO69" s="1454"/>
    </row>
    <row r="70" spans="1:93" s="1450" customFormat="1" ht="20.100000000000001" customHeight="1">
      <c r="AT70" s="1444"/>
      <c r="AX70" s="1454"/>
      <c r="AY70" s="1454"/>
      <c r="AZ70" s="1454"/>
      <c r="BA70" s="1454"/>
      <c r="BB70" s="1454"/>
      <c r="BC70" s="1454"/>
      <c r="BD70" s="1454"/>
      <c r="BE70" s="1454"/>
      <c r="BF70" s="1454"/>
      <c r="BG70" s="1454"/>
      <c r="BH70" s="1454"/>
      <c r="BI70" s="1454"/>
      <c r="BJ70" s="1454"/>
      <c r="BK70" s="1454"/>
      <c r="BL70" s="1454"/>
      <c r="BM70" s="1454"/>
      <c r="BN70" s="1454"/>
      <c r="BO70" s="1454"/>
      <c r="BP70" s="1454"/>
      <c r="BQ70" s="1454"/>
      <c r="BR70" s="1454"/>
      <c r="BS70" s="1454"/>
      <c r="BT70" s="1454"/>
      <c r="BU70" s="1454"/>
      <c r="BV70" s="1454"/>
      <c r="BW70" s="1454"/>
      <c r="BX70" s="1454"/>
      <c r="BY70" s="1454"/>
      <c r="BZ70" s="1454"/>
      <c r="CA70" s="1454"/>
      <c r="CB70" s="1454"/>
      <c r="CC70" s="1454"/>
      <c r="CD70" s="1454"/>
      <c r="CE70" s="1454"/>
      <c r="CF70" s="1454"/>
      <c r="CG70" s="1454"/>
      <c r="CH70" s="1454"/>
      <c r="CI70" s="1454"/>
      <c r="CJ70" s="1454"/>
      <c r="CK70" s="1454"/>
      <c r="CL70" s="1454"/>
      <c r="CM70" s="1454"/>
      <c r="CN70" s="1454"/>
      <c r="CO70" s="1454"/>
    </row>
    <row r="71" spans="1:93" s="1450" customFormat="1" ht="20.100000000000001" customHeight="1">
      <c r="AT71" s="1444"/>
      <c r="AX71" s="1454"/>
      <c r="AY71" s="1454"/>
      <c r="AZ71" s="1454"/>
      <c r="BA71" s="1454"/>
      <c r="BB71" s="1454"/>
      <c r="BC71" s="1454"/>
      <c r="BD71" s="1454"/>
      <c r="BE71" s="1454"/>
      <c r="BF71" s="1454"/>
      <c r="BG71" s="1454"/>
      <c r="BH71" s="1454"/>
      <c r="BI71" s="1454"/>
      <c r="BJ71" s="1454"/>
      <c r="BK71" s="1454"/>
      <c r="BL71" s="1454"/>
      <c r="BM71" s="1454"/>
      <c r="BN71" s="1454"/>
      <c r="BO71" s="1454"/>
      <c r="BP71" s="1454"/>
      <c r="BQ71" s="1454"/>
      <c r="BR71" s="1454"/>
      <c r="BS71" s="1454"/>
      <c r="BT71" s="1454"/>
      <c r="BU71" s="1454"/>
      <c r="BV71" s="1454"/>
      <c r="BW71" s="1454"/>
      <c r="BX71" s="1454"/>
      <c r="BY71" s="1454"/>
      <c r="BZ71" s="1454"/>
      <c r="CA71" s="1454"/>
      <c r="CB71" s="1454"/>
      <c r="CC71" s="1454"/>
      <c r="CD71" s="1454"/>
      <c r="CE71" s="1454"/>
      <c r="CF71" s="1454"/>
      <c r="CG71" s="1454"/>
      <c r="CH71" s="1454"/>
      <c r="CI71" s="1454"/>
      <c r="CJ71" s="1454"/>
      <c r="CK71" s="1454"/>
      <c r="CL71" s="1454"/>
      <c r="CM71" s="1454"/>
      <c r="CN71" s="1454"/>
      <c r="CO71" s="1454"/>
    </row>
    <row r="72" spans="1:93" s="1450" customFormat="1" ht="20.100000000000001" customHeight="1">
      <c r="AX72" s="1454"/>
      <c r="AY72" s="1454"/>
      <c r="AZ72" s="1454"/>
      <c r="BA72" s="1454"/>
      <c r="BB72" s="1454"/>
      <c r="BC72" s="1454"/>
      <c r="BD72" s="1454"/>
      <c r="BE72" s="1454"/>
      <c r="BF72" s="1454"/>
      <c r="BG72" s="1454"/>
      <c r="BH72" s="1454"/>
      <c r="BI72" s="1454"/>
      <c r="BJ72" s="1454"/>
      <c r="BK72" s="1454"/>
      <c r="BL72" s="1454"/>
      <c r="BM72" s="1454"/>
      <c r="BN72" s="1454"/>
      <c r="BO72" s="1454"/>
      <c r="BP72" s="1454"/>
      <c r="BQ72" s="1454"/>
      <c r="BR72" s="1454"/>
      <c r="BS72" s="1454"/>
      <c r="BT72" s="1454"/>
      <c r="BU72" s="1454"/>
      <c r="BV72" s="1454"/>
      <c r="BW72" s="1454"/>
      <c r="BX72" s="1454"/>
      <c r="BY72" s="1454"/>
      <c r="BZ72" s="1454"/>
      <c r="CA72" s="1454"/>
      <c r="CB72" s="1454"/>
      <c r="CC72" s="1454"/>
      <c r="CD72" s="1454"/>
      <c r="CE72" s="1454"/>
      <c r="CF72" s="1454"/>
      <c r="CG72" s="1454"/>
      <c r="CH72" s="1454"/>
      <c r="CI72" s="1454"/>
      <c r="CJ72" s="1454"/>
      <c r="CK72" s="1454"/>
      <c r="CL72" s="1454"/>
      <c r="CM72" s="1454"/>
      <c r="CN72" s="1454"/>
      <c r="CO72" s="1454"/>
    </row>
    <row r="73" spans="1:93" s="1450" customFormat="1" ht="20.100000000000001" customHeight="1">
      <c r="AX73" s="1454"/>
      <c r="AY73" s="1454"/>
      <c r="AZ73" s="1454"/>
      <c r="BA73" s="1454"/>
      <c r="BB73" s="1454"/>
      <c r="BC73" s="1454"/>
      <c r="BD73" s="1454"/>
      <c r="BE73" s="1454"/>
      <c r="BF73" s="1454"/>
      <c r="BG73" s="1454"/>
      <c r="BH73" s="1454"/>
      <c r="BI73" s="1454"/>
      <c r="BJ73" s="1454"/>
      <c r="BK73" s="1454"/>
      <c r="BL73" s="1454"/>
      <c r="BM73" s="1454"/>
      <c r="BN73" s="1454"/>
      <c r="BO73" s="1454"/>
      <c r="BP73" s="1454"/>
      <c r="BQ73" s="1454"/>
      <c r="BR73" s="1454"/>
      <c r="BS73" s="1454"/>
      <c r="BT73" s="1454"/>
      <c r="BU73" s="1454"/>
      <c r="BV73" s="1454"/>
      <c r="BW73" s="1454"/>
      <c r="BX73" s="1454"/>
      <c r="BY73" s="1454"/>
      <c r="BZ73" s="1454"/>
      <c r="CA73" s="1454"/>
      <c r="CB73" s="1454"/>
      <c r="CC73" s="1454"/>
      <c r="CD73" s="1454"/>
      <c r="CE73" s="1454"/>
      <c r="CF73" s="1454"/>
      <c r="CG73" s="1454"/>
      <c r="CH73" s="1454"/>
      <c r="CI73" s="1454"/>
      <c r="CJ73" s="1454"/>
      <c r="CK73" s="1454"/>
      <c r="CL73" s="1454"/>
      <c r="CM73" s="1454"/>
      <c r="CN73" s="1454"/>
      <c r="CO73" s="1454"/>
    </row>
    <row r="74" spans="1:93" s="1450" customFormat="1" ht="20.100000000000001" customHeight="1">
      <c r="AX74" s="1454"/>
      <c r="AY74" s="1454"/>
      <c r="AZ74" s="1454"/>
      <c r="BA74" s="1454"/>
      <c r="BB74" s="1454"/>
      <c r="BC74" s="1454"/>
      <c r="BD74" s="1454"/>
      <c r="BE74" s="1454"/>
      <c r="BF74" s="1454"/>
      <c r="BG74" s="1454"/>
      <c r="BH74" s="1454"/>
      <c r="BI74" s="1454"/>
      <c r="BJ74" s="1454"/>
      <c r="BK74" s="1454"/>
      <c r="BL74" s="1454"/>
      <c r="BM74" s="1454"/>
      <c r="BN74" s="1454"/>
      <c r="BO74" s="1454"/>
      <c r="BP74" s="1454"/>
      <c r="BQ74" s="1454"/>
      <c r="BR74" s="1454"/>
      <c r="BS74" s="1454"/>
      <c r="BT74" s="1454"/>
      <c r="BU74" s="1454"/>
      <c r="BV74" s="1454"/>
      <c r="BW74" s="1454"/>
      <c r="BX74" s="1454"/>
      <c r="BY74" s="1454"/>
      <c r="BZ74" s="1454"/>
      <c r="CA74" s="1454"/>
      <c r="CB74" s="1454"/>
      <c r="CC74" s="1454"/>
      <c r="CD74" s="1454"/>
      <c r="CE74" s="1454"/>
      <c r="CF74" s="1454"/>
      <c r="CG74" s="1454"/>
      <c r="CH74" s="1454"/>
      <c r="CI74" s="1454"/>
      <c r="CJ74" s="1454"/>
      <c r="CK74" s="1454"/>
      <c r="CL74" s="1454"/>
      <c r="CM74" s="1454"/>
      <c r="CN74" s="1454"/>
      <c r="CO74" s="1454"/>
    </row>
    <row r="75" spans="1:93" s="1450" customFormat="1" ht="20.100000000000001" customHeight="1">
      <c r="AX75" s="1454"/>
      <c r="AY75" s="1454"/>
      <c r="AZ75" s="1454"/>
      <c r="BA75" s="1454"/>
      <c r="BB75" s="1454"/>
      <c r="BC75" s="1454"/>
      <c r="BD75" s="1454"/>
      <c r="BE75" s="1454"/>
      <c r="BF75" s="1454"/>
      <c r="BG75" s="1454"/>
      <c r="BH75" s="1454"/>
      <c r="BI75" s="1454"/>
      <c r="BJ75" s="1454"/>
      <c r="BK75" s="1454"/>
      <c r="BL75" s="1454"/>
      <c r="BM75" s="1454"/>
      <c r="BN75" s="1454"/>
      <c r="BO75" s="1454"/>
      <c r="BP75" s="1454"/>
      <c r="BQ75" s="1454"/>
      <c r="BR75" s="1454"/>
      <c r="BS75" s="1454"/>
      <c r="BT75" s="1454"/>
      <c r="BU75" s="1454"/>
      <c r="BV75" s="1454"/>
      <c r="BW75" s="1454"/>
      <c r="BX75" s="1454"/>
      <c r="BY75" s="1454"/>
      <c r="BZ75" s="1454"/>
      <c r="CA75" s="1454"/>
      <c r="CB75" s="1454"/>
      <c r="CC75" s="1454"/>
      <c r="CD75" s="1454"/>
      <c r="CE75" s="1454"/>
      <c r="CF75" s="1454"/>
      <c r="CG75" s="1454"/>
      <c r="CH75" s="1454"/>
      <c r="CI75" s="1454"/>
      <c r="CJ75" s="1454"/>
      <c r="CK75" s="1454"/>
      <c r="CL75" s="1454"/>
      <c r="CM75" s="1454"/>
      <c r="CN75" s="1454"/>
      <c r="CO75" s="1454"/>
    </row>
    <row r="76" spans="1:93" s="1450" customFormat="1" ht="20.100000000000001" customHeight="1">
      <c r="AX76" s="1454"/>
      <c r="AY76" s="1454"/>
      <c r="AZ76" s="1454"/>
      <c r="BA76" s="1454"/>
      <c r="BB76" s="1454"/>
      <c r="BC76" s="1454"/>
      <c r="BD76" s="1454"/>
      <c r="BE76" s="1454"/>
      <c r="BF76" s="1454"/>
      <c r="BG76" s="1454"/>
      <c r="BH76" s="1454"/>
      <c r="BI76" s="1454"/>
      <c r="BJ76" s="1454"/>
      <c r="BK76" s="1454"/>
      <c r="BL76" s="1454"/>
      <c r="BM76" s="1454"/>
      <c r="BN76" s="1454"/>
      <c r="BO76" s="1454"/>
      <c r="BP76" s="1454"/>
      <c r="BQ76" s="1454"/>
      <c r="BR76" s="1454"/>
      <c r="BS76" s="1454"/>
      <c r="BT76" s="1454"/>
      <c r="BU76" s="1454"/>
      <c r="BV76" s="1454"/>
      <c r="BW76" s="1454"/>
      <c r="BX76" s="1454"/>
      <c r="BY76" s="1454"/>
      <c r="BZ76" s="1454"/>
      <c r="CA76" s="1454"/>
      <c r="CB76" s="1454"/>
      <c r="CC76" s="1454"/>
      <c r="CD76" s="1454"/>
      <c r="CE76" s="1454"/>
      <c r="CF76" s="1454"/>
      <c r="CG76" s="1454"/>
      <c r="CH76" s="1454"/>
      <c r="CI76" s="1454"/>
      <c r="CJ76" s="1454"/>
      <c r="CK76" s="1454"/>
      <c r="CL76" s="1454"/>
      <c r="CM76" s="1454"/>
      <c r="CN76" s="1454"/>
      <c r="CO76" s="1454"/>
    </row>
    <row r="77" spans="1:93" s="1450" customFormat="1" ht="20.100000000000001" customHeight="1">
      <c r="AX77" s="1454"/>
      <c r="AY77" s="1454"/>
      <c r="AZ77" s="1454"/>
      <c r="BA77" s="1454"/>
      <c r="BB77" s="1454"/>
      <c r="BC77" s="1454"/>
      <c r="BD77" s="1454"/>
      <c r="BE77" s="1454"/>
      <c r="BF77" s="1454"/>
      <c r="BG77" s="1454"/>
      <c r="BH77" s="1454"/>
      <c r="BI77" s="1454"/>
      <c r="BJ77" s="1454"/>
      <c r="BK77" s="1454"/>
      <c r="BL77" s="1454"/>
      <c r="BM77" s="1454"/>
      <c r="BN77" s="1454"/>
      <c r="BO77" s="1454"/>
      <c r="BP77" s="1454"/>
      <c r="BQ77" s="1454"/>
      <c r="BR77" s="1454"/>
      <c r="BS77" s="1454"/>
      <c r="BT77" s="1454"/>
      <c r="BU77" s="1454"/>
      <c r="BV77" s="1454"/>
      <c r="BW77" s="1454"/>
      <c r="BX77" s="1454"/>
      <c r="BY77" s="1454"/>
      <c r="BZ77" s="1454"/>
      <c r="CA77" s="1454"/>
      <c r="CB77" s="1454"/>
      <c r="CC77" s="1454"/>
      <c r="CD77" s="1454"/>
      <c r="CE77" s="1454"/>
      <c r="CF77" s="1454"/>
      <c r="CG77" s="1454"/>
      <c r="CH77" s="1454"/>
      <c r="CI77" s="1454"/>
      <c r="CJ77" s="1454"/>
      <c r="CK77" s="1454"/>
      <c r="CL77" s="1454"/>
      <c r="CM77" s="1454"/>
      <c r="CN77" s="1454"/>
      <c r="CO77" s="1454"/>
    </row>
    <row r="78" spans="1:93" s="1450" customFormat="1" ht="20.100000000000001" customHeight="1">
      <c r="AX78" s="1454"/>
      <c r="AY78" s="1454"/>
      <c r="AZ78" s="1454"/>
      <c r="BA78" s="1454"/>
      <c r="BB78" s="1454"/>
      <c r="BC78" s="1454"/>
      <c r="BD78" s="1454"/>
      <c r="BE78" s="1454"/>
      <c r="BF78" s="1454"/>
      <c r="BG78" s="1454"/>
      <c r="BH78" s="1454"/>
      <c r="BI78" s="1454"/>
      <c r="BJ78" s="1454"/>
      <c r="BK78" s="1454"/>
      <c r="BL78" s="1454"/>
      <c r="BM78" s="1454"/>
      <c r="BN78" s="1454"/>
      <c r="BO78" s="1454"/>
      <c r="BP78" s="1454"/>
      <c r="BQ78" s="1454"/>
      <c r="BR78" s="1454"/>
      <c r="BS78" s="1454"/>
      <c r="BT78" s="1454"/>
      <c r="BU78" s="1454"/>
      <c r="BV78" s="1454"/>
      <c r="BW78" s="1454"/>
      <c r="BX78" s="1454"/>
      <c r="BY78" s="1454"/>
      <c r="BZ78" s="1454"/>
      <c r="CA78" s="1454"/>
      <c r="CB78" s="1454"/>
      <c r="CC78" s="1454"/>
      <c r="CD78" s="1454"/>
      <c r="CE78" s="1454"/>
      <c r="CF78" s="1454"/>
      <c r="CG78" s="1454"/>
      <c r="CH78" s="1454"/>
      <c r="CI78" s="1454"/>
      <c r="CJ78" s="1454"/>
      <c r="CK78" s="1454"/>
      <c r="CL78" s="1454"/>
      <c r="CM78" s="1454"/>
      <c r="CN78" s="1454"/>
      <c r="CO78" s="1454"/>
    </row>
    <row r="79" spans="1:93" s="1450" customFormat="1" ht="20.100000000000001" customHeight="1">
      <c r="A79" s="1488"/>
      <c r="AX79" s="1454"/>
      <c r="AY79" s="1454"/>
      <c r="AZ79" s="1454"/>
      <c r="BA79" s="1454"/>
      <c r="BB79" s="1454"/>
      <c r="BC79" s="1454"/>
      <c r="BD79" s="1454"/>
      <c r="BE79" s="1454"/>
      <c r="BF79" s="1454"/>
      <c r="BG79" s="1454"/>
      <c r="BH79" s="1454"/>
      <c r="BI79" s="1454"/>
      <c r="BJ79" s="1454"/>
      <c r="BK79" s="1454"/>
      <c r="BL79" s="1454"/>
      <c r="BM79" s="1454"/>
      <c r="BN79" s="1454"/>
      <c r="BO79" s="1454"/>
      <c r="BP79" s="1454"/>
      <c r="BQ79" s="1454"/>
      <c r="BR79" s="1454"/>
      <c r="BS79" s="1454"/>
      <c r="BT79" s="1454"/>
      <c r="BU79" s="1454"/>
      <c r="BV79" s="1454"/>
      <c r="BW79" s="1454"/>
      <c r="BX79" s="1454"/>
      <c r="BY79" s="1454"/>
      <c r="BZ79" s="1454"/>
      <c r="CA79" s="1454"/>
      <c r="CB79" s="1454"/>
      <c r="CC79" s="1454"/>
      <c r="CD79" s="1454"/>
      <c r="CE79" s="1454"/>
      <c r="CF79" s="1454"/>
      <c r="CG79" s="1454"/>
      <c r="CH79" s="1454"/>
      <c r="CI79" s="1454"/>
      <c r="CJ79" s="1454"/>
      <c r="CK79" s="1454"/>
      <c r="CL79" s="1454"/>
      <c r="CM79" s="1454"/>
      <c r="CN79" s="1454"/>
      <c r="CO79" s="1454"/>
    </row>
    <row r="80" spans="1:93" s="1450" customFormat="1" ht="20.100000000000001" customHeight="1">
      <c r="A80" s="1488" t="s">
        <v>2516</v>
      </c>
      <c r="AW80" s="1450" t="s">
        <v>2515</v>
      </c>
      <c r="AX80" s="1454"/>
      <c r="AY80" s="1454"/>
      <c r="AZ80" s="1454"/>
      <c r="BA80" s="1454"/>
      <c r="BB80" s="1454"/>
      <c r="BC80" s="1454"/>
      <c r="BD80" s="1454"/>
      <c r="BE80" s="1454"/>
      <c r="BF80" s="1454"/>
      <c r="BG80" s="1454"/>
      <c r="BH80" s="1454"/>
      <c r="BI80" s="1454"/>
      <c r="BJ80" s="1454"/>
      <c r="BK80" s="1454"/>
      <c r="BL80" s="1454"/>
      <c r="BM80" s="1454"/>
      <c r="BN80" s="1454"/>
      <c r="BO80" s="1454"/>
      <c r="BP80" s="1454"/>
      <c r="BQ80" s="1454"/>
      <c r="BR80" s="1454"/>
      <c r="BS80" s="1454"/>
      <c r="BT80" s="1454"/>
      <c r="BU80" s="1454"/>
      <c r="BV80" s="1454"/>
      <c r="BW80" s="1454"/>
      <c r="BX80" s="1454"/>
      <c r="BY80" s="1454"/>
      <c r="BZ80" s="1454"/>
      <c r="CA80" s="1454"/>
      <c r="CB80" s="1454"/>
      <c r="CC80" s="1454"/>
      <c r="CD80" s="1454"/>
      <c r="CE80" s="1454"/>
      <c r="CF80" s="1454"/>
      <c r="CG80" s="1454"/>
      <c r="CH80" s="1454"/>
      <c r="CI80" s="1454"/>
      <c r="CJ80" s="1454"/>
      <c r="CK80" s="1454"/>
      <c r="CL80" s="1454"/>
      <c r="CM80" s="1454"/>
      <c r="CN80" s="1454"/>
      <c r="CO80" s="1454"/>
    </row>
    <row r="81" spans="1:93" s="1450" customFormat="1" ht="20.100000000000001" customHeight="1">
      <c r="A81" s="1488"/>
      <c r="AX81" s="1454"/>
      <c r="AY81" s="1454"/>
      <c r="AZ81" s="1454"/>
      <c r="BA81" s="1454"/>
      <c r="BB81" s="1454"/>
      <c r="BC81" s="1454"/>
      <c r="BD81" s="1454"/>
      <c r="BE81" s="1454"/>
      <c r="BF81" s="1454"/>
      <c r="BG81" s="1454"/>
      <c r="BH81" s="1454"/>
      <c r="BI81" s="1454"/>
      <c r="BJ81" s="1454"/>
      <c r="BK81" s="1454"/>
      <c r="BL81" s="1454"/>
      <c r="BM81" s="1454"/>
      <c r="BN81" s="1454"/>
      <c r="BO81" s="1454"/>
      <c r="BP81" s="1454"/>
      <c r="BQ81" s="1454"/>
      <c r="BR81" s="1454"/>
      <c r="BS81" s="1454"/>
      <c r="BT81" s="1454"/>
      <c r="BU81" s="1454"/>
      <c r="BV81" s="1454"/>
      <c r="BW81" s="1454"/>
      <c r="BX81" s="1454"/>
      <c r="BY81" s="1454"/>
      <c r="BZ81" s="1454"/>
      <c r="CA81" s="1454"/>
      <c r="CB81" s="1454"/>
      <c r="CC81" s="1454"/>
      <c r="CD81" s="1454"/>
      <c r="CE81" s="1454"/>
      <c r="CF81" s="1454"/>
      <c r="CG81" s="1454"/>
      <c r="CH81" s="1454"/>
      <c r="CI81" s="1454"/>
      <c r="CJ81" s="1454"/>
      <c r="CK81" s="1454"/>
      <c r="CL81" s="1454"/>
      <c r="CM81" s="1454"/>
      <c r="CN81" s="1454"/>
      <c r="CO81" s="1454"/>
    </row>
    <row r="82" spans="1:93" s="1450" customFormat="1" ht="20.100000000000001" customHeight="1">
      <c r="AX82" s="1454"/>
      <c r="AY82" s="1454"/>
      <c r="AZ82" s="1454"/>
      <c r="BA82" s="1454"/>
      <c r="BB82" s="1454"/>
      <c r="BC82" s="1454"/>
      <c r="BD82" s="1454"/>
      <c r="BE82" s="1454"/>
      <c r="BF82" s="1454"/>
      <c r="BG82" s="1454"/>
      <c r="BH82" s="1454"/>
      <c r="BI82" s="1454"/>
      <c r="BJ82" s="1454"/>
      <c r="BK82" s="1454"/>
      <c r="BL82" s="1454"/>
      <c r="BM82" s="1454"/>
      <c r="BN82" s="1454"/>
      <c r="BO82" s="1454"/>
      <c r="BP82" s="1454"/>
      <c r="BQ82" s="1454"/>
      <c r="BR82" s="1454"/>
      <c r="BS82" s="1454"/>
      <c r="BT82" s="1454"/>
      <c r="BU82" s="1454"/>
      <c r="BV82" s="1454"/>
      <c r="BW82" s="1454"/>
      <c r="BX82" s="1454"/>
      <c r="BY82" s="1454"/>
      <c r="BZ82" s="1454"/>
      <c r="CA82" s="1454"/>
      <c r="CB82" s="1454"/>
      <c r="CC82" s="1454"/>
      <c r="CD82" s="1454"/>
      <c r="CE82" s="1454"/>
      <c r="CF82" s="1454"/>
      <c r="CG82" s="1454"/>
      <c r="CH82" s="1454"/>
      <c r="CI82" s="1454"/>
      <c r="CJ82" s="1454"/>
      <c r="CK82" s="1454"/>
      <c r="CL82" s="1454"/>
      <c r="CM82" s="1454"/>
      <c r="CN82" s="1454"/>
      <c r="CO82" s="1454"/>
    </row>
    <row r="83" spans="1:93" s="1450" customFormat="1" ht="20.100000000000001" customHeight="1">
      <c r="AX83" s="1454"/>
      <c r="AY83" s="1454"/>
      <c r="AZ83" s="1454"/>
      <c r="BA83" s="1454"/>
      <c r="BB83" s="1454"/>
      <c r="BC83" s="1454"/>
      <c r="BD83" s="1454"/>
      <c r="BE83" s="1454"/>
      <c r="BF83" s="1454"/>
      <c r="BG83" s="1454"/>
      <c r="BH83" s="1454"/>
      <c r="BI83" s="1454"/>
      <c r="BJ83" s="1454"/>
      <c r="BK83" s="1454"/>
      <c r="BL83" s="1454"/>
      <c r="BM83" s="1454"/>
      <c r="BN83" s="1454"/>
      <c r="BO83" s="1454"/>
      <c r="BP83" s="1454"/>
      <c r="BQ83" s="1454"/>
      <c r="BR83" s="1454"/>
      <c r="BS83" s="1454"/>
      <c r="BT83" s="1454"/>
      <c r="BU83" s="1454"/>
      <c r="BV83" s="1454"/>
      <c r="BW83" s="1454"/>
      <c r="BX83" s="1454"/>
      <c r="BY83" s="1454"/>
      <c r="BZ83" s="1454"/>
      <c r="CA83" s="1454"/>
      <c r="CB83" s="1454"/>
      <c r="CC83" s="1454"/>
      <c r="CD83" s="1454"/>
      <c r="CE83" s="1454"/>
      <c r="CF83" s="1454"/>
      <c r="CG83" s="1454"/>
      <c r="CH83" s="1454"/>
      <c r="CI83" s="1454"/>
      <c r="CJ83" s="1454"/>
      <c r="CK83" s="1454"/>
      <c r="CL83" s="1454"/>
      <c r="CM83" s="1454"/>
      <c r="CN83" s="1454"/>
      <c r="CO83" s="1454"/>
    </row>
    <row r="84" spans="1:93" s="1450" customFormat="1" ht="20.100000000000001" customHeight="1">
      <c r="AX84" s="1454"/>
      <c r="AY84" s="1454"/>
      <c r="AZ84" s="1454"/>
      <c r="BA84" s="1454"/>
      <c r="BB84" s="1454"/>
      <c r="BC84" s="1454"/>
      <c r="BD84" s="1454"/>
      <c r="BE84" s="1454"/>
      <c r="BF84" s="1454"/>
      <c r="BG84" s="1454"/>
      <c r="BH84" s="1454"/>
      <c r="BI84" s="1454"/>
      <c r="BJ84" s="1454"/>
      <c r="BK84" s="1454"/>
      <c r="BL84" s="1454"/>
      <c r="BM84" s="1454"/>
      <c r="BN84" s="1454"/>
      <c r="BO84" s="1454"/>
      <c r="BP84" s="1454"/>
      <c r="BQ84" s="1454"/>
      <c r="BR84" s="1454"/>
      <c r="BS84" s="1454"/>
      <c r="BT84" s="1454"/>
      <c r="BU84" s="1454"/>
      <c r="BV84" s="1454"/>
      <c r="BW84" s="1454"/>
      <c r="BX84" s="1454"/>
      <c r="BY84" s="1454"/>
      <c r="BZ84" s="1454"/>
      <c r="CA84" s="1454"/>
      <c r="CB84" s="1454"/>
      <c r="CC84" s="1454"/>
      <c r="CD84" s="1454"/>
      <c r="CE84" s="1454"/>
      <c r="CF84" s="1454"/>
      <c r="CG84" s="1454"/>
      <c r="CH84" s="1454"/>
      <c r="CI84" s="1454"/>
      <c r="CJ84" s="1454"/>
      <c r="CK84" s="1454"/>
      <c r="CL84" s="1454"/>
      <c r="CM84" s="1454"/>
      <c r="CN84" s="1454"/>
      <c r="CO84" s="1454"/>
    </row>
    <row r="85" spans="1:93" s="1450" customFormat="1" ht="20.100000000000001" customHeight="1">
      <c r="AX85" s="1454"/>
      <c r="AY85" s="1454"/>
      <c r="AZ85" s="1454"/>
      <c r="BA85" s="1454"/>
      <c r="BB85" s="1454"/>
      <c r="BC85" s="1454"/>
      <c r="BD85" s="1454"/>
      <c r="BE85" s="1454"/>
      <c r="BF85" s="1454"/>
      <c r="BG85" s="1454"/>
      <c r="BH85" s="1454"/>
      <c r="BI85" s="1454"/>
      <c r="BJ85" s="1454"/>
      <c r="BK85" s="1454"/>
      <c r="BL85" s="1454"/>
      <c r="BM85" s="1454"/>
      <c r="BN85" s="1454"/>
      <c r="BO85" s="1454"/>
      <c r="BP85" s="1454"/>
      <c r="BQ85" s="1454"/>
      <c r="BR85" s="1454"/>
      <c r="BS85" s="1454"/>
      <c r="BT85" s="1454"/>
      <c r="BU85" s="1454"/>
      <c r="BV85" s="1454"/>
      <c r="BW85" s="1454"/>
      <c r="BX85" s="1454"/>
      <c r="BY85" s="1454"/>
      <c r="BZ85" s="1454"/>
      <c r="CA85" s="1454"/>
      <c r="CB85" s="1454"/>
      <c r="CC85" s="1454"/>
      <c r="CD85" s="1454"/>
      <c r="CE85" s="1454"/>
      <c r="CF85" s="1454"/>
      <c r="CG85" s="1454"/>
      <c r="CH85" s="1454"/>
      <c r="CI85" s="1454"/>
      <c r="CJ85" s="1454"/>
      <c r="CK85" s="1454"/>
      <c r="CL85" s="1454"/>
      <c r="CM85" s="1454"/>
      <c r="CN85" s="1454"/>
      <c r="CO85" s="1454"/>
    </row>
    <row r="86" spans="1:93" s="1450" customFormat="1" ht="20.100000000000001" customHeight="1">
      <c r="AX86" s="1454"/>
      <c r="AY86" s="1454"/>
      <c r="AZ86" s="1454"/>
      <c r="BA86" s="1454"/>
      <c r="BB86" s="1454"/>
      <c r="BC86" s="1454"/>
      <c r="BD86" s="1454"/>
      <c r="BE86" s="1454"/>
      <c r="BF86" s="1454"/>
      <c r="BG86" s="1454"/>
      <c r="BH86" s="1454"/>
      <c r="BI86" s="1454"/>
      <c r="BJ86" s="1454"/>
      <c r="BK86" s="1454"/>
      <c r="BL86" s="1454"/>
      <c r="BM86" s="1454"/>
      <c r="BN86" s="1454"/>
      <c r="BO86" s="1454"/>
      <c r="BP86" s="1454"/>
      <c r="BQ86" s="1454"/>
      <c r="BR86" s="1454"/>
      <c r="BS86" s="1454"/>
      <c r="BT86" s="1454"/>
      <c r="BU86" s="1454"/>
      <c r="BV86" s="1454"/>
      <c r="BW86" s="1454"/>
      <c r="BX86" s="1454"/>
      <c r="BY86" s="1454"/>
      <c r="BZ86" s="1454"/>
      <c r="CA86" s="1454"/>
      <c r="CB86" s="1454"/>
      <c r="CC86" s="1454"/>
      <c r="CD86" s="1454"/>
      <c r="CE86" s="1454"/>
      <c r="CF86" s="1454"/>
      <c r="CG86" s="1454"/>
      <c r="CH86" s="1454"/>
      <c r="CI86" s="1454"/>
      <c r="CJ86" s="1454"/>
      <c r="CK86" s="1454"/>
      <c r="CL86" s="1454"/>
      <c r="CM86" s="1454"/>
      <c r="CN86" s="1454"/>
      <c r="CO86" s="1454"/>
    </row>
    <row r="87" spans="1:93" s="1450" customFormat="1" ht="20.100000000000001" customHeight="1">
      <c r="AX87" s="1454"/>
      <c r="AY87" s="1454"/>
      <c r="AZ87" s="1454"/>
      <c r="BA87" s="1454"/>
      <c r="BB87" s="1454"/>
      <c r="BC87" s="1454"/>
      <c r="BD87" s="1454"/>
      <c r="BE87" s="1454"/>
      <c r="BF87" s="1454"/>
      <c r="BG87" s="1454"/>
      <c r="BH87" s="1454"/>
      <c r="BI87" s="1454"/>
      <c r="BJ87" s="1454"/>
      <c r="BK87" s="1454"/>
      <c r="BL87" s="1454"/>
      <c r="BM87" s="1454"/>
      <c r="BN87" s="1454"/>
      <c r="BO87" s="1454"/>
      <c r="BP87" s="1454"/>
      <c r="BQ87" s="1454"/>
      <c r="BR87" s="1454"/>
      <c r="BS87" s="1454"/>
      <c r="BT87" s="1454"/>
      <c r="BU87" s="1454"/>
      <c r="BV87" s="1454"/>
      <c r="BW87" s="1454"/>
      <c r="BX87" s="1454"/>
      <c r="BY87" s="1454"/>
      <c r="BZ87" s="1454"/>
      <c r="CA87" s="1454"/>
      <c r="CB87" s="1454"/>
      <c r="CC87" s="1454"/>
      <c r="CD87" s="1454"/>
      <c r="CE87" s="1454"/>
      <c r="CF87" s="1454"/>
      <c r="CG87" s="1454"/>
      <c r="CH87" s="1454"/>
      <c r="CI87" s="1454"/>
      <c r="CJ87" s="1454"/>
      <c r="CK87" s="1454"/>
      <c r="CL87" s="1454"/>
      <c r="CM87" s="1454"/>
      <c r="CN87" s="1454"/>
      <c r="CO87" s="1454"/>
    </row>
    <row r="88" spans="1:93" s="1450" customFormat="1" ht="20.100000000000001" customHeight="1">
      <c r="AX88" s="1454"/>
      <c r="AY88" s="1454"/>
      <c r="AZ88" s="1454"/>
      <c r="BA88" s="1454"/>
      <c r="BB88" s="1454"/>
      <c r="BC88" s="1454"/>
      <c r="BD88" s="1454"/>
      <c r="BE88" s="1454"/>
      <c r="BF88" s="1454"/>
      <c r="BG88" s="1454"/>
      <c r="BH88" s="1454"/>
      <c r="BI88" s="1454"/>
      <c r="BJ88" s="1454"/>
      <c r="BK88" s="1454"/>
      <c r="BL88" s="1454"/>
      <c r="BM88" s="1454"/>
      <c r="BN88" s="1454"/>
      <c r="BO88" s="1454"/>
      <c r="BP88" s="1454"/>
      <c r="BQ88" s="1454"/>
      <c r="BR88" s="1454"/>
      <c r="BS88" s="1454"/>
      <c r="BT88" s="1454"/>
      <c r="BU88" s="1454"/>
      <c r="BV88" s="1454"/>
      <c r="BW88" s="1454"/>
      <c r="BX88" s="1454"/>
      <c r="BY88" s="1454"/>
      <c r="BZ88" s="1454"/>
      <c r="CA88" s="1454"/>
      <c r="CB88" s="1454"/>
      <c r="CC88" s="1454"/>
      <c r="CD88" s="1454"/>
      <c r="CE88" s="1454"/>
      <c r="CF88" s="1454"/>
      <c r="CG88" s="1454"/>
      <c r="CH88" s="1454"/>
      <c r="CI88" s="1454"/>
      <c r="CJ88" s="1454"/>
      <c r="CK88" s="1454"/>
      <c r="CL88" s="1454"/>
      <c r="CM88" s="1454"/>
      <c r="CN88" s="1454"/>
      <c r="CO88" s="1454"/>
    </row>
    <row r="89" spans="1:93" s="1450" customFormat="1" ht="20.100000000000001" customHeight="1">
      <c r="AB89" s="1454"/>
      <c r="AC89" s="1454"/>
      <c r="AD89" s="1454"/>
      <c r="AE89" s="1454"/>
      <c r="AF89" s="1454"/>
      <c r="AG89" s="1454"/>
      <c r="AH89" s="1454"/>
      <c r="AI89" s="1454"/>
      <c r="AJ89" s="1454"/>
      <c r="AK89" s="1454"/>
      <c r="AL89" s="1454"/>
      <c r="AM89" s="1454"/>
      <c r="AN89" s="1454"/>
      <c r="AO89" s="1454"/>
      <c r="AP89" s="1454"/>
      <c r="AQ89" s="1454"/>
      <c r="AR89" s="1454"/>
      <c r="AX89" s="1454"/>
      <c r="AY89" s="1454"/>
      <c r="AZ89" s="1454"/>
      <c r="BA89" s="1454"/>
      <c r="BB89" s="1454"/>
      <c r="BC89" s="1454"/>
      <c r="BD89" s="1454"/>
      <c r="BE89" s="1454"/>
      <c r="BF89" s="1454"/>
      <c r="BG89" s="1454"/>
      <c r="BH89" s="1454"/>
      <c r="BI89" s="1454"/>
      <c r="BJ89" s="1454"/>
      <c r="BK89" s="1454"/>
      <c r="BL89" s="1454"/>
      <c r="BM89" s="1454"/>
      <c r="BN89" s="1454"/>
      <c r="BO89" s="1454"/>
      <c r="BP89" s="1454"/>
      <c r="BQ89" s="1454"/>
      <c r="BR89" s="1454"/>
      <c r="BS89" s="1454"/>
      <c r="BT89" s="1454"/>
      <c r="BU89" s="1454"/>
      <c r="BV89" s="1454"/>
      <c r="BW89" s="1454"/>
      <c r="BX89" s="1454"/>
      <c r="BY89" s="1454"/>
      <c r="BZ89" s="1454"/>
      <c r="CA89" s="1454"/>
      <c r="CB89" s="1454"/>
      <c r="CC89" s="1454"/>
      <c r="CD89" s="1454"/>
      <c r="CE89" s="1454"/>
      <c r="CF89" s="1454"/>
      <c r="CG89" s="1454"/>
      <c r="CH89" s="1454"/>
      <c r="CI89" s="1454"/>
      <c r="CJ89" s="1454"/>
      <c r="CK89" s="1454"/>
      <c r="CL89" s="1454"/>
      <c r="CM89" s="1454"/>
      <c r="CN89" s="1454"/>
      <c r="CO89" s="1454"/>
    </row>
    <row r="90" spans="1:93" s="1450" customFormat="1" ht="20.100000000000001" customHeight="1">
      <c r="AX90" s="1454"/>
      <c r="AY90" s="1454"/>
      <c r="AZ90" s="1454"/>
      <c r="BA90" s="1454"/>
      <c r="BB90" s="1454"/>
      <c r="BC90" s="1454"/>
      <c r="BD90" s="1454"/>
      <c r="BE90" s="1454"/>
      <c r="BF90" s="1454"/>
      <c r="BG90" s="1454"/>
      <c r="BH90" s="1454"/>
      <c r="BI90" s="1454"/>
      <c r="BJ90" s="1454"/>
      <c r="BK90" s="1454"/>
      <c r="BL90" s="1454"/>
      <c r="BM90" s="1454"/>
      <c r="BN90" s="1454"/>
      <c r="BO90" s="1454"/>
      <c r="BP90" s="1454"/>
      <c r="BQ90" s="1454"/>
      <c r="BR90" s="1454"/>
      <c r="BS90" s="1454"/>
      <c r="BT90" s="1454"/>
      <c r="BU90" s="1454"/>
      <c r="BV90" s="1454"/>
      <c r="BW90" s="1454"/>
      <c r="BX90" s="1454"/>
      <c r="BY90" s="1454"/>
      <c r="BZ90" s="1454"/>
      <c r="CA90" s="1454"/>
      <c r="CB90" s="1454"/>
      <c r="CC90" s="1454"/>
      <c r="CD90" s="1454"/>
      <c r="CE90" s="1454"/>
      <c r="CF90" s="1454"/>
      <c r="CG90" s="1454"/>
      <c r="CH90" s="1454"/>
      <c r="CI90" s="1454"/>
      <c r="CJ90" s="1454"/>
      <c r="CK90" s="1454"/>
      <c r="CL90" s="1454"/>
      <c r="CM90" s="1454"/>
      <c r="CN90" s="1454"/>
      <c r="CO90" s="1454"/>
    </row>
    <row r="91" spans="1:93" s="1450" customFormat="1" ht="20.100000000000001" customHeight="1"/>
    <row r="92" spans="1:93" s="1450" customFormat="1" ht="20.100000000000001" customHeight="1"/>
    <row r="93" spans="1:93" s="1450" customFormat="1" ht="20.100000000000001" customHeight="1"/>
    <row r="94" spans="1:93" s="1450" customFormat="1" ht="20.100000000000001" customHeight="1"/>
    <row r="95" spans="1:93" s="1450" customFormat="1" ht="20.100000000000001" customHeight="1"/>
    <row r="96" spans="1:93" s="1450" customFormat="1" ht="20.100000000000001" customHeight="1"/>
    <row r="97" s="1450" customFormat="1" ht="20.100000000000001" customHeight="1"/>
    <row r="98" s="1450" customFormat="1" ht="20.100000000000001" customHeight="1"/>
    <row r="99" s="1450" customFormat="1" ht="20.100000000000001" customHeight="1"/>
    <row r="100" s="1450" customFormat="1" ht="20.100000000000001" customHeight="1"/>
    <row r="101" s="1450" customFormat="1" ht="20.100000000000001" customHeight="1"/>
    <row r="102" s="1450" customFormat="1" ht="20.100000000000001" customHeight="1"/>
    <row r="103" s="1450" customFormat="1" ht="20.100000000000001" customHeight="1"/>
    <row r="104" s="1450" customFormat="1" ht="20.100000000000001" customHeight="1"/>
    <row r="105" s="1450" customFormat="1" ht="20.100000000000001" customHeight="1"/>
    <row r="106" s="1450" customFormat="1" ht="20.100000000000001" customHeight="1"/>
    <row r="107" s="1450" customFormat="1" ht="20.100000000000001" customHeight="1"/>
    <row r="108" s="1450" customFormat="1" ht="20.100000000000001" customHeight="1"/>
    <row r="109" s="1450" customFormat="1" ht="20.100000000000001" customHeight="1"/>
    <row r="110" s="1450" customFormat="1" ht="20.100000000000001" customHeight="1"/>
    <row r="111" s="1450" customFormat="1" ht="20.100000000000001" customHeight="1"/>
  </sheetData>
  <mergeCells count="253">
    <mergeCell ref="A1:AR1"/>
    <mergeCell ref="C8:I10"/>
    <mergeCell ref="J8:R10"/>
    <mergeCell ref="S8:U10"/>
    <mergeCell ref="V8:AD8"/>
    <mergeCell ref="AE8:AF10"/>
    <mergeCell ref="AG8:AL8"/>
    <mergeCell ref="AM8:AQ10"/>
    <mergeCell ref="V9:X10"/>
    <mergeCell ref="Y9:AA10"/>
    <mergeCell ref="AB9:AD10"/>
    <mergeCell ref="AG9:AI10"/>
    <mergeCell ref="AJ9:AL10"/>
    <mergeCell ref="C11:I11"/>
    <mergeCell ref="J11:R11"/>
    <mergeCell ref="S11:U11"/>
    <mergeCell ref="V11:X11"/>
    <mergeCell ref="Y11:AA11"/>
    <mergeCell ref="AB11:AD11"/>
    <mergeCell ref="AE11:AF11"/>
    <mergeCell ref="AG11:AI11"/>
    <mergeCell ref="AJ11:AL11"/>
    <mergeCell ref="AM11:AQ18"/>
    <mergeCell ref="C12:I12"/>
    <mergeCell ref="J12:R12"/>
    <mergeCell ref="S12:U12"/>
    <mergeCell ref="V12:X12"/>
    <mergeCell ref="Y12:AA12"/>
    <mergeCell ref="AB12:AD12"/>
    <mergeCell ref="AE12:AF12"/>
    <mergeCell ref="AG12:AI12"/>
    <mergeCell ref="AJ12:AL12"/>
    <mergeCell ref="C13:I13"/>
    <mergeCell ref="J13:R13"/>
    <mergeCell ref="S13:U13"/>
    <mergeCell ref="V13:X13"/>
    <mergeCell ref="Y13:AA13"/>
    <mergeCell ref="AB13:AD13"/>
    <mergeCell ref="AE13:AF13"/>
    <mergeCell ref="AG13:AI13"/>
    <mergeCell ref="AJ13:AL13"/>
    <mergeCell ref="C14:I14"/>
    <mergeCell ref="J14:R14"/>
    <mergeCell ref="S14:U14"/>
    <mergeCell ref="V14:X14"/>
    <mergeCell ref="Y14:AA14"/>
    <mergeCell ref="AB14:AD14"/>
    <mergeCell ref="AE14:AF14"/>
    <mergeCell ref="AG14:AI14"/>
    <mergeCell ref="AJ14:AL14"/>
    <mergeCell ref="AE15:AF15"/>
    <mergeCell ref="AG15:AI15"/>
    <mergeCell ref="AJ15:AL15"/>
    <mergeCell ref="C16:I16"/>
    <mergeCell ref="J16:R16"/>
    <mergeCell ref="S16:U16"/>
    <mergeCell ref="V16:X16"/>
    <mergeCell ref="Y16:AA16"/>
    <mergeCell ref="AB16:AD16"/>
    <mergeCell ref="AE16:AF16"/>
    <mergeCell ref="C15:I15"/>
    <mergeCell ref="J15:R15"/>
    <mergeCell ref="S15:U15"/>
    <mergeCell ref="V15:X15"/>
    <mergeCell ref="Y15:AA15"/>
    <mergeCell ref="AB15:AD15"/>
    <mergeCell ref="AG16:AI16"/>
    <mergeCell ref="AJ16:AL16"/>
    <mergeCell ref="C17:I17"/>
    <mergeCell ref="J17:R17"/>
    <mergeCell ref="S17:U17"/>
    <mergeCell ref="V17:X17"/>
    <mergeCell ref="Y17:AA17"/>
    <mergeCell ref="AB17:AD17"/>
    <mergeCell ref="AE17:AF17"/>
    <mergeCell ref="AG17:AI17"/>
    <mergeCell ref="AJ17:AL17"/>
    <mergeCell ref="C31:AF31"/>
    <mergeCell ref="AG31:AI31"/>
    <mergeCell ref="AJ31:AL31"/>
    <mergeCell ref="C18:AF18"/>
    <mergeCell ref="AG18:AI18"/>
    <mergeCell ref="AJ18:AL18"/>
    <mergeCell ref="C19:I20"/>
    <mergeCell ref="J19:R19"/>
    <mergeCell ref="S19:U19"/>
    <mergeCell ref="V19:X19"/>
    <mergeCell ref="Y19:AA19"/>
    <mergeCell ref="AB19:AD19"/>
    <mergeCell ref="AE19:AF19"/>
    <mergeCell ref="AG19:AI19"/>
    <mergeCell ref="AJ19:AL19"/>
    <mergeCell ref="AG20:AI20"/>
    <mergeCell ref="AJ20:AL20"/>
    <mergeCell ref="AE23:AF23"/>
    <mergeCell ref="AG23:AI23"/>
    <mergeCell ref="AJ23:AL23"/>
    <mergeCell ref="AG24:AI24"/>
    <mergeCell ref="AJ24:AL24"/>
    <mergeCell ref="AE28:AF28"/>
    <mergeCell ref="AG28:AI28"/>
    <mergeCell ref="AG21:AI21"/>
    <mergeCell ref="AJ21:AL21"/>
    <mergeCell ref="C23:I23"/>
    <mergeCell ref="J23:R23"/>
    <mergeCell ref="S23:U23"/>
    <mergeCell ref="V23:X23"/>
    <mergeCell ref="Y23:AA23"/>
    <mergeCell ref="AB23:AD23"/>
    <mergeCell ref="C22:I22"/>
    <mergeCell ref="J22:R22"/>
    <mergeCell ref="S22:U22"/>
    <mergeCell ref="V22:X22"/>
    <mergeCell ref="Y22:AA22"/>
    <mergeCell ref="AU24:BD24"/>
    <mergeCell ref="C25:I25"/>
    <mergeCell ref="J25:R25"/>
    <mergeCell ref="S25:U25"/>
    <mergeCell ref="V25:X25"/>
    <mergeCell ref="Y25:AA25"/>
    <mergeCell ref="AB25:AD25"/>
    <mergeCell ref="AE25:AF25"/>
    <mergeCell ref="AG25:AI25"/>
    <mergeCell ref="AJ25:AL25"/>
    <mergeCell ref="C24:I24"/>
    <mergeCell ref="J24:R24"/>
    <mergeCell ref="S24:U24"/>
    <mergeCell ref="V24:X24"/>
    <mergeCell ref="Y24:AA24"/>
    <mergeCell ref="AB24:AD24"/>
    <mergeCell ref="AE24:AF24"/>
    <mergeCell ref="AM19:AQ31"/>
    <mergeCell ref="J20:R20"/>
    <mergeCell ref="S20:U20"/>
    <mergeCell ref="V20:X20"/>
    <mergeCell ref="Y20:AA20"/>
    <mergeCell ref="AB20:AD20"/>
    <mergeCell ref="AJ28:AL28"/>
    <mergeCell ref="AE20:AF20"/>
    <mergeCell ref="AE27:AF27"/>
    <mergeCell ref="AG27:AI27"/>
    <mergeCell ref="AJ27:AL27"/>
    <mergeCell ref="C26:I26"/>
    <mergeCell ref="J26:R26"/>
    <mergeCell ref="S26:U26"/>
    <mergeCell ref="V26:X26"/>
    <mergeCell ref="Y26:AA26"/>
    <mergeCell ref="AB26:AD26"/>
    <mergeCell ref="AE26:AF26"/>
    <mergeCell ref="AG26:AI26"/>
    <mergeCell ref="AJ26:AL26"/>
    <mergeCell ref="AB22:AD22"/>
    <mergeCell ref="AE22:AF22"/>
    <mergeCell ref="AG22:AI22"/>
    <mergeCell ref="AJ22:AL22"/>
    <mergeCell ref="C21:I21"/>
    <mergeCell ref="J21:R21"/>
    <mergeCell ref="S21:U21"/>
    <mergeCell ref="V21:X21"/>
    <mergeCell ref="Y21:AA21"/>
    <mergeCell ref="AB21:AD21"/>
    <mergeCell ref="AE21:AF21"/>
    <mergeCell ref="C28:I28"/>
    <mergeCell ref="J28:R28"/>
    <mergeCell ref="S28:U28"/>
    <mergeCell ref="V28:X28"/>
    <mergeCell ref="Y28:AA28"/>
    <mergeCell ref="AB28:AD28"/>
    <mergeCell ref="C27:I27"/>
    <mergeCell ref="J27:R27"/>
    <mergeCell ref="S27:U27"/>
    <mergeCell ref="V27:X27"/>
    <mergeCell ref="Y27:AA27"/>
    <mergeCell ref="AB27:AD27"/>
    <mergeCell ref="AG29:AI29"/>
    <mergeCell ref="AJ29:AL29"/>
    <mergeCell ref="C30:R30"/>
    <mergeCell ref="S30:U30"/>
    <mergeCell ref="V30:X30"/>
    <mergeCell ref="Y30:AA30"/>
    <mergeCell ref="AB30:AD30"/>
    <mergeCell ref="AE30:AF30"/>
    <mergeCell ref="AG30:AI30"/>
    <mergeCell ref="AJ30:AL30"/>
    <mergeCell ref="C29:I29"/>
    <mergeCell ref="J29:R29"/>
    <mergeCell ref="S29:U29"/>
    <mergeCell ref="V29:X29"/>
    <mergeCell ref="Y29:AA29"/>
    <mergeCell ref="AB29:AD29"/>
    <mergeCell ref="AE29:AF29"/>
    <mergeCell ref="AM32:AQ32"/>
    <mergeCell ref="D39:E39"/>
    <mergeCell ref="F39:Q39"/>
    <mergeCell ref="R39:T39"/>
    <mergeCell ref="U39:Y39"/>
    <mergeCell ref="D40:E41"/>
    <mergeCell ref="F40:Q41"/>
    <mergeCell ref="R40:T40"/>
    <mergeCell ref="U40:Y40"/>
    <mergeCell ref="R41:T41"/>
    <mergeCell ref="C32:AF32"/>
    <mergeCell ref="AG32:AI32"/>
    <mergeCell ref="AJ32:AL32"/>
    <mergeCell ref="AE43:AH43"/>
    <mergeCell ref="R44:T44"/>
    <mergeCell ref="U44:Y44"/>
    <mergeCell ref="U41:Y41"/>
    <mergeCell ref="D42:E42"/>
    <mergeCell ref="F42:Q42"/>
    <mergeCell ref="R42:T42"/>
    <mergeCell ref="U42:Y42"/>
    <mergeCell ref="AE42:AH42"/>
    <mergeCell ref="D45:E45"/>
    <mergeCell ref="F45:Q45"/>
    <mergeCell ref="R45:T45"/>
    <mergeCell ref="U45:Y45"/>
    <mergeCell ref="D54:E54"/>
    <mergeCell ref="F54:Q54"/>
    <mergeCell ref="R54:T54"/>
    <mergeCell ref="U54:Y54"/>
    <mergeCell ref="D43:E44"/>
    <mergeCell ref="F43:Q44"/>
    <mergeCell ref="R43:T43"/>
    <mergeCell ref="U43:Y43"/>
    <mergeCell ref="AE56:AH56"/>
    <mergeCell ref="R57:T57"/>
    <mergeCell ref="U57:Y57"/>
    <mergeCell ref="AE57:AH57"/>
    <mergeCell ref="R58:T58"/>
    <mergeCell ref="U58:Y58"/>
    <mergeCell ref="D55:E55"/>
    <mergeCell ref="F55:Q55"/>
    <mergeCell ref="R55:T55"/>
    <mergeCell ref="U55:Y55"/>
    <mergeCell ref="D56:E58"/>
    <mergeCell ref="F56:Q58"/>
    <mergeCell ref="R56:T56"/>
    <mergeCell ref="U56:Y56"/>
    <mergeCell ref="D62:E62"/>
    <mergeCell ref="F62:Q62"/>
    <mergeCell ref="R62:T62"/>
    <mergeCell ref="U62:Y62"/>
    <mergeCell ref="D59:E59"/>
    <mergeCell ref="F59:Q59"/>
    <mergeCell ref="R59:T59"/>
    <mergeCell ref="U59:Y59"/>
    <mergeCell ref="D60:E61"/>
    <mergeCell ref="F60:Q61"/>
    <mergeCell ref="R60:T60"/>
    <mergeCell ref="U60:Y60"/>
    <mergeCell ref="R61:T61"/>
    <mergeCell ref="U61:Y61"/>
  </mergeCells>
  <phoneticPr fontId="60" type="noConversion"/>
  <printOptions horizontalCentered="1"/>
  <pageMargins left="0.23622047244094491" right="0.23622047244094491" top="0.74803149606299213" bottom="0.39370078740157483" header="0.31496062992125984" footer="0.31496062992125984"/>
  <pageSetup paperSize="9" scale="59" orientation="portrait" horizontalDpi="1200" verticalDpi="1200"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3B3DE-0851-4B52-8255-E18D3BE68B47}">
  <dimension ref="A1:BY50"/>
  <sheetViews>
    <sheetView view="pageBreakPreview" topLeftCell="A17" zoomScale="85" zoomScaleNormal="100" zoomScaleSheetLayoutView="85" workbookViewId="0">
      <selection activeCell="J28" sqref="J28:R28"/>
    </sheetView>
  </sheetViews>
  <sheetFormatPr defaultRowHeight="20.100000000000001" customHeight="1"/>
  <cols>
    <col min="1" max="2" width="1.75" style="1442" customWidth="1"/>
    <col min="3" max="8" width="2.75" style="1442" customWidth="1"/>
    <col min="9" max="9" width="3.625" style="1442" customWidth="1"/>
    <col min="10" max="18" width="2.625" style="1442" customWidth="1"/>
    <col min="19" max="27" width="2.75" style="1442" customWidth="1"/>
    <col min="28" max="30" width="2.875" style="1442" customWidth="1"/>
    <col min="31" max="32" width="3.125" style="1442" customWidth="1"/>
    <col min="33" max="35" width="2.375" style="1442" customWidth="1"/>
    <col min="36" max="38" width="2.75" style="1442" customWidth="1"/>
    <col min="39" max="42" width="2" style="1442" customWidth="1"/>
    <col min="43" max="43" width="5.125" style="1442" customWidth="1"/>
    <col min="44" max="44" width="3.25" style="1442" customWidth="1"/>
    <col min="45" max="89" width="2.75" style="1442" customWidth="1"/>
    <col min="90" max="16384" width="9" style="1442"/>
  </cols>
  <sheetData>
    <row r="1" spans="1:46" ht="38.25">
      <c r="A1" s="2229" t="s">
        <v>2955</v>
      </c>
      <c r="B1" s="2229"/>
      <c r="C1" s="2229"/>
      <c r="D1" s="2229"/>
      <c r="E1" s="2229"/>
      <c r="F1" s="2229"/>
      <c r="G1" s="2229"/>
      <c r="H1" s="2229"/>
      <c r="I1" s="2229"/>
      <c r="J1" s="2229"/>
      <c r="K1" s="2229"/>
      <c r="L1" s="2229"/>
      <c r="M1" s="2229"/>
      <c r="N1" s="2229"/>
      <c r="O1" s="2229"/>
      <c r="P1" s="2229"/>
      <c r="Q1" s="2229"/>
      <c r="R1" s="2229"/>
      <c r="S1" s="2229"/>
      <c r="T1" s="2229"/>
      <c r="U1" s="2229"/>
      <c r="V1" s="2229"/>
      <c r="W1" s="2229"/>
      <c r="X1" s="2229"/>
      <c r="Y1" s="2229"/>
      <c r="Z1" s="2229"/>
      <c r="AA1" s="2229"/>
      <c r="AB1" s="2229"/>
      <c r="AC1" s="2229"/>
      <c r="AD1" s="2229"/>
      <c r="AE1" s="2229"/>
      <c r="AF1" s="2229"/>
      <c r="AG1" s="2229"/>
      <c r="AH1" s="2229"/>
      <c r="AI1" s="2229"/>
      <c r="AJ1" s="2229"/>
      <c r="AK1" s="2229"/>
      <c r="AL1" s="2229"/>
      <c r="AM1" s="2229"/>
      <c r="AN1" s="2229"/>
      <c r="AO1" s="2229"/>
      <c r="AP1" s="2229"/>
      <c r="AQ1" s="2229"/>
      <c r="AR1" s="2229"/>
      <c r="AS1" s="2229"/>
    </row>
    <row r="2" spans="1:46" ht="13.5" customHeight="1">
      <c r="A2" s="1487"/>
      <c r="B2" s="1487"/>
      <c r="C2" s="1487"/>
      <c r="D2" s="1487"/>
      <c r="E2" s="1487"/>
      <c r="F2" s="1487"/>
      <c r="G2" s="1487"/>
      <c r="H2" s="1487"/>
      <c r="I2" s="1487"/>
      <c r="J2" s="1487"/>
      <c r="K2" s="1487"/>
      <c r="L2" s="1487"/>
      <c r="M2" s="1487"/>
      <c r="N2" s="1487"/>
      <c r="O2" s="1487"/>
      <c r="P2" s="1487"/>
      <c r="Q2" s="1487"/>
      <c r="R2" s="1487"/>
      <c r="S2" s="1487"/>
      <c r="T2" s="1487"/>
      <c r="U2" s="1487"/>
      <c r="V2" s="1487"/>
      <c r="W2" s="1487"/>
      <c r="X2" s="1487"/>
      <c r="Y2" s="1487"/>
      <c r="Z2" s="1487"/>
      <c r="AA2" s="1487"/>
      <c r="AB2" s="1487"/>
      <c r="AC2" s="1487"/>
      <c r="AD2" s="1487"/>
      <c r="AE2" s="1487"/>
      <c r="AF2" s="1487"/>
      <c r="AG2" s="1487"/>
      <c r="AH2" s="1487"/>
      <c r="AI2" s="1487"/>
      <c r="AJ2" s="1487"/>
      <c r="AK2" s="1487"/>
      <c r="AL2" s="1487"/>
      <c r="AM2" s="1487"/>
      <c r="AN2" s="1487"/>
      <c r="AO2" s="1487"/>
      <c r="AP2" s="1487"/>
      <c r="AQ2" s="1487"/>
      <c r="AR2" s="1487"/>
      <c r="AS2" s="1470"/>
    </row>
    <row r="3" spans="1:46" s="1443" customFormat="1" ht="20.100000000000001" customHeight="1">
      <c r="A3" s="1486" t="s">
        <v>2514</v>
      </c>
      <c r="B3" s="1486"/>
      <c r="C3" s="1485"/>
      <c r="D3" s="1485"/>
      <c r="E3" s="1485"/>
      <c r="F3" s="1485"/>
      <c r="G3" s="1485"/>
      <c r="H3" s="1485"/>
      <c r="I3" s="1485"/>
      <c r="J3" s="1485"/>
      <c r="K3" s="1485"/>
      <c r="L3" s="1485"/>
      <c r="M3" s="1485"/>
      <c r="N3" s="1485"/>
      <c r="O3" s="1485"/>
      <c r="P3" s="1485"/>
      <c r="Q3" s="1485"/>
      <c r="R3" s="1485"/>
      <c r="S3" s="1485"/>
      <c r="T3" s="1485"/>
      <c r="U3" s="1485"/>
      <c r="V3" s="1485"/>
      <c r="W3" s="1485"/>
      <c r="X3" s="1485"/>
      <c r="Y3" s="1485"/>
      <c r="Z3" s="1485"/>
      <c r="AA3" s="1485"/>
      <c r="AB3" s="1485"/>
      <c r="AC3" s="1485"/>
      <c r="AD3" s="1485"/>
      <c r="AE3" s="1485"/>
      <c r="AF3" s="1485"/>
      <c r="AG3" s="1485"/>
      <c r="AH3" s="1485"/>
      <c r="AI3" s="1485"/>
      <c r="AJ3" s="1485"/>
      <c r="AK3" s="1485"/>
      <c r="AL3" s="1485"/>
      <c r="AM3" s="1485"/>
      <c r="AN3" s="1485"/>
      <c r="AO3" s="1485"/>
      <c r="AP3" s="1485"/>
      <c r="AQ3" s="1485"/>
      <c r="AR3" s="1485"/>
      <c r="AS3" s="1485"/>
      <c r="AT3" s="1444"/>
    </row>
    <row r="4" spans="1:46" s="1444" customFormat="1" ht="20.100000000000001" customHeight="1">
      <c r="B4" s="1444" t="s">
        <v>2971</v>
      </c>
    </row>
    <row r="5" spans="1:46" s="1444" customFormat="1" ht="20.100000000000001" customHeight="1"/>
    <row r="6" spans="1:46" s="1443" customFormat="1" ht="20.100000000000001" customHeight="1">
      <c r="A6" s="1486" t="s">
        <v>2513</v>
      </c>
      <c r="B6" s="1486"/>
      <c r="C6" s="1485"/>
      <c r="D6" s="1485"/>
      <c r="E6" s="1485"/>
      <c r="F6" s="1485"/>
      <c r="G6" s="1485"/>
      <c r="H6" s="1485"/>
      <c r="I6" s="1485"/>
      <c r="J6" s="1485"/>
      <c r="K6" s="1485"/>
      <c r="L6" s="1485"/>
      <c r="M6" s="1485"/>
      <c r="N6" s="1485"/>
      <c r="O6" s="1485"/>
      <c r="P6" s="1485"/>
      <c r="Q6" s="1485"/>
      <c r="R6" s="1485"/>
      <c r="S6" s="1485"/>
      <c r="T6" s="1485"/>
      <c r="U6" s="1485"/>
      <c r="V6" s="1485"/>
      <c r="W6" s="1485"/>
      <c r="X6" s="1485"/>
      <c r="Y6" s="1485"/>
      <c r="Z6" s="1485"/>
      <c r="AA6" s="1485"/>
      <c r="AB6" s="1485"/>
      <c r="AC6" s="1485"/>
      <c r="AD6" s="1485"/>
      <c r="AE6" s="1485"/>
      <c r="AF6" s="1485"/>
      <c r="AG6" s="1485"/>
      <c r="AH6" s="1485"/>
      <c r="AI6" s="1485"/>
      <c r="AJ6" s="1485"/>
      <c r="AK6" s="1485"/>
      <c r="AL6" s="1485"/>
      <c r="AM6" s="1485"/>
      <c r="AN6" s="1485"/>
      <c r="AO6" s="1485"/>
      <c r="AP6" s="1485"/>
      <c r="AQ6" s="1485"/>
      <c r="AR6" s="1485"/>
      <c r="AS6" s="1485"/>
      <c r="AT6" s="1444"/>
    </row>
    <row r="7" spans="1:46" s="1444" customFormat="1" ht="20.100000000000001" customHeight="1">
      <c r="B7" s="1444" t="s">
        <v>2512</v>
      </c>
    </row>
    <row r="8" spans="1:46" s="1444" customFormat="1" ht="20.100000000000001" customHeight="1">
      <c r="C8" s="2230" t="s">
        <v>2511</v>
      </c>
      <c r="D8" s="2231"/>
      <c r="E8" s="2231"/>
      <c r="F8" s="2231"/>
      <c r="G8" s="2231"/>
      <c r="H8" s="2231"/>
      <c r="I8" s="2231"/>
      <c r="J8" s="2231"/>
      <c r="K8" s="2231" t="s">
        <v>2510</v>
      </c>
      <c r="L8" s="2231"/>
      <c r="M8" s="2231"/>
      <c r="N8" s="2231"/>
      <c r="O8" s="2231"/>
      <c r="P8" s="2231"/>
      <c r="Q8" s="2231"/>
      <c r="R8" s="2231"/>
      <c r="S8" s="2231"/>
      <c r="T8" s="2231" t="s">
        <v>817</v>
      </c>
      <c r="U8" s="2231"/>
      <c r="V8" s="2236"/>
      <c r="W8" s="2230" t="s">
        <v>2509</v>
      </c>
      <c r="X8" s="2231"/>
      <c r="Y8" s="2231"/>
      <c r="Z8" s="2231"/>
      <c r="AA8" s="2231"/>
      <c r="AB8" s="2231"/>
      <c r="AC8" s="2231"/>
      <c r="AD8" s="2231"/>
      <c r="AE8" s="2239"/>
      <c r="AF8" s="2240" t="s">
        <v>2508</v>
      </c>
      <c r="AG8" s="2236"/>
      <c r="AH8" s="2230" t="s">
        <v>2507</v>
      </c>
      <c r="AI8" s="2231"/>
      <c r="AJ8" s="2231"/>
      <c r="AK8" s="2231"/>
      <c r="AL8" s="2231"/>
      <c r="AM8" s="2239"/>
      <c r="AN8" s="2240" t="s">
        <v>825</v>
      </c>
      <c r="AO8" s="2231"/>
      <c r="AP8" s="2231"/>
      <c r="AQ8" s="2231"/>
      <c r="AR8" s="2239"/>
    </row>
    <row r="9" spans="1:46" s="1444" customFormat="1" ht="20.100000000000001" customHeight="1">
      <c r="C9" s="2232"/>
      <c r="D9" s="2233"/>
      <c r="E9" s="2233"/>
      <c r="F9" s="2233"/>
      <c r="G9" s="2233"/>
      <c r="H9" s="2233"/>
      <c r="I9" s="2233"/>
      <c r="J9" s="2233"/>
      <c r="K9" s="2233"/>
      <c r="L9" s="2233"/>
      <c r="M9" s="2233"/>
      <c r="N9" s="2233"/>
      <c r="O9" s="2233"/>
      <c r="P9" s="2233"/>
      <c r="Q9" s="2233"/>
      <c r="R9" s="2233"/>
      <c r="S9" s="2233"/>
      <c r="T9" s="2233"/>
      <c r="U9" s="2233"/>
      <c r="V9" s="2237"/>
      <c r="W9" s="2245" t="s">
        <v>2506</v>
      </c>
      <c r="X9" s="2246"/>
      <c r="Y9" s="2246"/>
      <c r="Z9" s="2249" t="s">
        <v>2505</v>
      </c>
      <c r="AA9" s="2246"/>
      <c r="AB9" s="2246"/>
      <c r="AC9" s="2250" t="s">
        <v>2504</v>
      </c>
      <c r="AD9" s="2246"/>
      <c r="AE9" s="2251"/>
      <c r="AF9" s="2241"/>
      <c r="AG9" s="2237"/>
      <c r="AH9" s="2253" t="s">
        <v>2503</v>
      </c>
      <c r="AI9" s="2249"/>
      <c r="AJ9" s="2249"/>
      <c r="AK9" s="2250" t="s">
        <v>2502</v>
      </c>
      <c r="AL9" s="2249"/>
      <c r="AM9" s="2256"/>
      <c r="AN9" s="2241"/>
      <c r="AO9" s="2233"/>
      <c r="AP9" s="2233"/>
      <c r="AQ9" s="2233"/>
      <c r="AR9" s="2243"/>
    </row>
    <row r="10" spans="1:46" s="1444" customFormat="1" ht="20.100000000000001" customHeight="1">
      <c r="C10" s="2234"/>
      <c r="D10" s="2235"/>
      <c r="E10" s="2235"/>
      <c r="F10" s="2235"/>
      <c r="G10" s="2235"/>
      <c r="H10" s="2235"/>
      <c r="I10" s="2235"/>
      <c r="J10" s="2235"/>
      <c r="K10" s="2235"/>
      <c r="L10" s="2235"/>
      <c r="M10" s="2235"/>
      <c r="N10" s="2235"/>
      <c r="O10" s="2235"/>
      <c r="P10" s="2235"/>
      <c r="Q10" s="2235"/>
      <c r="R10" s="2235"/>
      <c r="S10" s="2235"/>
      <c r="T10" s="2235"/>
      <c r="U10" s="2235"/>
      <c r="V10" s="2238"/>
      <c r="W10" s="2247"/>
      <c r="X10" s="2248"/>
      <c r="Y10" s="2248"/>
      <c r="Z10" s="2248"/>
      <c r="AA10" s="2248"/>
      <c r="AB10" s="2248"/>
      <c r="AC10" s="2248"/>
      <c r="AD10" s="2248"/>
      <c r="AE10" s="2252"/>
      <c r="AF10" s="2242"/>
      <c r="AG10" s="2238"/>
      <c r="AH10" s="2254"/>
      <c r="AI10" s="2255"/>
      <c r="AJ10" s="2255"/>
      <c r="AK10" s="2255"/>
      <c r="AL10" s="2255"/>
      <c r="AM10" s="2257"/>
      <c r="AN10" s="2242"/>
      <c r="AO10" s="2235"/>
      <c r="AP10" s="2235"/>
      <c r="AQ10" s="2235"/>
      <c r="AR10" s="2244"/>
    </row>
    <row r="11" spans="1:46" s="1443" customFormat="1" ht="20.100000000000001" customHeight="1">
      <c r="C11" s="2214" t="s">
        <v>2498</v>
      </c>
      <c r="D11" s="2212"/>
      <c r="E11" s="2212"/>
      <c r="F11" s="2212"/>
      <c r="G11" s="2212"/>
      <c r="H11" s="2212"/>
      <c r="I11" s="2212"/>
      <c r="J11" s="2212"/>
      <c r="K11" s="2212" t="s">
        <v>2501</v>
      </c>
      <c r="L11" s="2212"/>
      <c r="M11" s="2212"/>
      <c r="N11" s="2212"/>
      <c r="O11" s="2212"/>
      <c r="P11" s="2212"/>
      <c r="Q11" s="2212"/>
      <c r="R11" s="2212"/>
      <c r="S11" s="2212"/>
      <c r="T11" s="2212" t="s">
        <v>2488</v>
      </c>
      <c r="U11" s="2212"/>
      <c r="V11" s="2213"/>
      <c r="W11" s="2214">
        <v>48</v>
      </c>
      <c r="X11" s="2212"/>
      <c r="Y11" s="2212"/>
      <c r="Z11" s="2215">
        <v>11.87</v>
      </c>
      <c r="AA11" s="2215"/>
      <c r="AB11" s="2215"/>
      <c r="AC11" s="2212">
        <f>ROUND(W11*Z11,0)</f>
        <v>570</v>
      </c>
      <c r="AD11" s="2212"/>
      <c r="AE11" s="2223"/>
      <c r="AF11" s="2224">
        <v>1</v>
      </c>
      <c r="AG11" s="2213"/>
      <c r="AH11" s="2225">
        <f>Z11*AF11</f>
        <v>11.87</v>
      </c>
      <c r="AI11" s="2226"/>
      <c r="AJ11" s="2226"/>
      <c r="AK11" s="2227">
        <f t="shared" ref="AK11:AK20" si="0">AC11*AF11</f>
        <v>570</v>
      </c>
      <c r="AL11" s="2227"/>
      <c r="AM11" s="2228"/>
      <c r="AN11" s="2224"/>
      <c r="AO11" s="2212"/>
      <c r="AP11" s="2212"/>
      <c r="AQ11" s="2212"/>
      <c r="AR11" s="2223"/>
    </row>
    <row r="12" spans="1:46" s="1443" customFormat="1" ht="20.100000000000001" customHeight="1">
      <c r="C12" s="2211" t="s">
        <v>2498</v>
      </c>
      <c r="D12" s="2203"/>
      <c r="E12" s="2203"/>
      <c r="F12" s="2203"/>
      <c r="G12" s="2203"/>
      <c r="H12" s="2203"/>
      <c r="I12" s="2203"/>
      <c r="J12" s="2203"/>
      <c r="K12" s="2212" t="s">
        <v>2500</v>
      </c>
      <c r="L12" s="2212"/>
      <c r="M12" s="2212"/>
      <c r="N12" s="2212"/>
      <c r="O12" s="2212"/>
      <c r="P12" s="2212"/>
      <c r="Q12" s="2212"/>
      <c r="R12" s="2212"/>
      <c r="S12" s="2212"/>
      <c r="T12" s="2212" t="s">
        <v>2488</v>
      </c>
      <c r="U12" s="2212"/>
      <c r="V12" s="2213"/>
      <c r="W12" s="2214">
        <v>48</v>
      </c>
      <c r="X12" s="2212"/>
      <c r="Y12" s="2212"/>
      <c r="Z12" s="2215">
        <v>5.03</v>
      </c>
      <c r="AA12" s="2215"/>
      <c r="AB12" s="2215"/>
      <c r="AC12" s="2212">
        <f>ROUND(W12*Z12,0)</f>
        <v>241</v>
      </c>
      <c r="AD12" s="2212"/>
      <c r="AE12" s="2223"/>
      <c r="AF12" s="2224">
        <v>0</v>
      </c>
      <c r="AG12" s="2213"/>
      <c r="AH12" s="2199">
        <f t="shared" ref="AH12:AH20" si="1">Z12*AF12</f>
        <v>0</v>
      </c>
      <c r="AI12" s="2200"/>
      <c r="AJ12" s="2200"/>
      <c r="AK12" s="2201">
        <f t="shared" si="0"/>
        <v>0</v>
      </c>
      <c r="AL12" s="2201"/>
      <c r="AM12" s="2202"/>
      <c r="AN12" s="2197"/>
      <c r="AO12" s="2203"/>
      <c r="AP12" s="2203"/>
      <c r="AQ12" s="2203"/>
      <c r="AR12" s="2204"/>
    </row>
    <row r="13" spans="1:46" s="1443" customFormat="1" ht="20.100000000000001" customHeight="1">
      <c r="C13" s="2211" t="s">
        <v>2498</v>
      </c>
      <c r="D13" s="2203"/>
      <c r="E13" s="2203"/>
      <c r="F13" s="2203"/>
      <c r="G13" s="2203"/>
      <c r="H13" s="2203"/>
      <c r="I13" s="2203"/>
      <c r="J13" s="2203"/>
      <c r="K13" s="2212" t="s">
        <v>2499</v>
      </c>
      <c r="L13" s="2212"/>
      <c r="M13" s="2212"/>
      <c r="N13" s="2212"/>
      <c r="O13" s="2212"/>
      <c r="P13" s="2212"/>
      <c r="Q13" s="2212"/>
      <c r="R13" s="2212"/>
      <c r="S13" s="2212"/>
      <c r="T13" s="2212" t="s">
        <v>2488</v>
      </c>
      <c r="U13" s="2212"/>
      <c r="V13" s="2213"/>
      <c r="W13" s="2214">
        <v>48</v>
      </c>
      <c r="X13" s="2212"/>
      <c r="Y13" s="2212"/>
      <c r="Z13" s="2215">
        <v>0.56999999999999995</v>
      </c>
      <c r="AA13" s="2215"/>
      <c r="AB13" s="2215"/>
      <c r="AC13" s="2212">
        <f>ROUND(W13*Z13,0)</f>
        <v>27</v>
      </c>
      <c r="AD13" s="2212"/>
      <c r="AE13" s="2223"/>
      <c r="AF13" s="2224">
        <v>1</v>
      </c>
      <c r="AG13" s="2213"/>
      <c r="AH13" s="2199">
        <f t="shared" si="1"/>
        <v>0.56999999999999995</v>
      </c>
      <c r="AI13" s="2200"/>
      <c r="AJ13" s="2200"/>
      <c r="AK13" s="2201">
        <f t="shared" si="0"/>
        <v>27</v>
      </c>
      <c r="AL13" s="2201"/>
      <c r="AM13" s="2202"/>
      <c r="AN13" s="2197"/>
      <c r="AO13" s="2203"/>
      <c r="AP13" s="2203"/>
      <c r="AQ13" s="2203"/>
      <c r="AR13" s="2204"/>
    </row>
    <row r="14" spans="1:46" s="1443" customFormat="1" ht="20.100000000000001" customHeight="1">
      <c r="C14" s="2211" t="s">
        <v>2498</v>
      </c>
      <c r="D14" s="2203"/>
      <c r="E14" s="2203"/>
      <c r="F14" s="2203"/>
      <c r="G14" s="2203"/>
      <c r="H14" s="2203"/>
      <c r="I14" s="2203"/>
      <c r="J14" s="2203"/>
      <c r="K14" s="2212" t="s">
        <v>2497</v>
      </c>
      <c r="L14" s="2212"/>
      <c r="M14" s="2212"/>
      <c r="N14" s="2212"/>
      <c r="O14" s="2212"/>
      <c r="P14" s="2212"/>
      <c r="Q14" s="2212"/>
      <c r="R14" s="2212"/>
      <c r="S14" s="2212"/>
      <c r="T14" s="2212" t="s">
        <v>2488</v>
      </c>
      <c r="U14" s="2212"/>
      <c r="V14" s="2213"/>
      <c r="W14" s="2214">
        <v>48</v>
      </c>
      <c r="X14" s="2212"/>
      <c r="Y14" s="2212"/>
      <c r="Z14" s="2215">
        <v>0.44</v>
      </c>
      <c r="AA14" s="2215"/>
      <c r="AB14" s="2215"/>
      <c r="AC14" s="2212">
        <f>ROUND(W14*Z14,0)</f>
        <v>21</v>
      </c>
      <c r="AD14" s="2212"/>
      <c r="AE14" s="2223"/>
      <c r="AF14" s="2224">
        <v>3</v>
      </c>
      <c r="AG14" s="2213"/>
      <c r="AH14" s="2199">
        <f t="shared" si="1"/>
        <v>1.32</v>
      </c>
      <c r="AI14" s="2200"/>
      <c r="AJ14" s="2200"/>
      <c r="AK14" s="2201">
        <f t="shared" si="0"/>
        <v>63</v>
      </c>
      <c r="AL14" s="2201"/>
      <c r="AM14" s="2202"/>
      <c r="AN14" s="2197"/>
      <c r="AO14" s="2203"/>
      <c r="AP14" s="2203"/>
      <c r="AQ14" s="2203"/>
      <c r="AR14" s="2204"/>
    </row>
    <row r="15" spans="1:46" s="1443" customFormat="1" ht="20.100000000000001" hidden="1" customHeight="1">
      <c r="C15" s="2211" t="s">
        <v>2496</v>
      </c>
      <c r="D15" s="2203"/>
      <c r="E15" s="2203"/>
      <c r="F15" s="2203"/>
      <c r="G15" s="2203"/>
      <c r="H15" s="2203"/>
      <c r="I15" s="2203"/>
      <c r="J15" s="2203"/>
      <c r="K15" s="2212" t="s">
        <v>2495</v>
      </c>
      <c r="L15" s="2212"/>
      <c r="M15" s="2212"/>
      <c r="N15" s="2212"/>
      <c r="O15" s="2212"/>
      <c r="P15" s="2212"/>
      <c r="Q15" s="2212"/>
      <c r="R15" s="2212"/>
      <c r="S15" s="2212"/>
      <c r="T15" s="2212" t="s">
        <v>2488</v>
      </c>
      <c r="U15" s="2212"/>
      <c r="V15" s="2213"/>
      <c r="W15" s="2214">
        <v>48</v>
      </c>
      <c r="X15" s="2212"/>
      <c r="Y15" s="2212"/>
      <c r="Z15" s="2215"/>
      <c r="AA15" s="2215"/>
      <c r="AB15" s="2215"/>
      <c r="AC15" s="2212">
        <f>ROUND(W15*Z15,0)</f>
        <v>0</v>
      </c>
      <c r="AD15" s="2212"/>
      <c r="AE15" s="2223"/>
      <c r="AF15" s="2224">
        <v>0</v>
      </c>
      <c r="AG15" s="2213"/>
      <c r="AH15" s="2199">
        <f t="shared" si="1"/>
        <v>0</v>
      </c>
      <c r="AI15" s="2200"/>
      <c r="AJ15" s="2200"/>
      <c r="AK15" s="2201">
        <f t="shared" si="0"/>
        <v>0</v>
      </c>
      <c r="AL15" s="2201"/>
      <c r="AM15" s="2202"/>
      <c r="AN15" s="2197"/>
      <c r="AO15" s="2203"/>
      <c r="AP15" s="2203"/>
      <c r="AQ15" s="2203"/>
      <c r="AR15" s="2204"/>
    </row>
    <row r="16" spans="1:46" s="1443" customFormat="1" ht="20.100000000000001" customHeight="1">
      <c r="C16" s="2211" t="s">
        <v>3246</v>
      </c>
      <c r="D16" s="2203"/>
      <c r="E16" s="2203"/>
      <c r="F16" s="2203"/>
      <c r="G16" s="2203"/>
      <c r="H16" s="2203"/>
      <c r="I16" s="2203"/>
      <c r="J16" s="2203"/>
      <c r="K16" s="2203"/>
      <c r="L16" s="2203"/>
      <c r="M16" s="2203"/>
      <c r="N16" s="2203"/>
      <c r="O16" s="2203"/>
      <c r="P16" s="2203"/>
      <c r="Q16" s="2203"/>
      <c r="R16" s="2203"/>
      <c r="S16" s="2203"/>
      <c r="T16" s="2203" t="s">
        <v>2488</v>
      </c>
      <c r="U16" s="2203"/>
      <c r="V16" s="2198"/>
      <c r="W16" s="2211">
        <v>48</v>
      </c>
      <c r="X16" s="2203"/>
      <c r="Y16" s="2203"/>
      <c r="Z16" s="2220">
        <v>1.66</v>
      </c>
      <c r="AA16" s="2220"/>
      <c r="AB16" s="2220"/>
      <c r="AC16" s="2203">
        <f t="shared" ref="AC16:AC20" si="2">ROUND(W16*Z16,0)</f>
        <v>80</v>
      </c>
      <c r="AD16" s="2203"/>
      <c r="AE16" s="2204"/>
      <c r="AF16" s="2197">
        <v>1</v>
      </c>
      <c r="AG16" s="2198"/>
      <c r="AH16" s="2199">
        <f t="shared" si="1"/>
        <v>1.66</v>
      </c>
      <c r="AI16" s="2200"/>
      <c r="AJ16" s="2200"/>
      <c r="AK16" s="2201">
        <f t="shared" si="0"/>
        <v>80</v>
      </c>
      <c r="AL16" s="2201"/>
      <c r="AM16" s="2202"/>
      <c r="AN16" s="2197"/>
      <c r="AO16" s="2203"/>
      <c r="AP16" s="2203"/>
      <c r="AQ16" s="2203"/>
      <c r="AR16" s="2204"/>
    </row>
    <row r="17" spans="2:77" s="1443" customFormat="1" ht="20.100000000000001" customHeight="1">
      <c r="C17" s="2211" t="s">
        <v>2492</v>
      </c>
      <c r="D17" s="2203"/>
      <c r="E17" s="2203"/>
      <c r="F17" s="2203"/>
      <c r="G17" s="2203"/>
      <c r="H17" s="2203"/>
      <c r="I17" s="2203"/>
      <c r="J17" s="2203"/>
      <c r="K17" s="2203" t="s">
        <v>1003</v>
      </c>
      <c r="L17" s="2203"/>
      <c r="M17" s="2203"/>
      <c r="N17" s="2203"/>
      <c r="O17" s="2203"/>
      <c r="P17" s="2203"/>
      <c r="Q17" s="2203"/>
      <c r="R17" s="2203"/>
      <c r="S17" s="2203"/>
      <c r="T17" s="2203" t="s">
        <v>2488</v>
      </c>
      <c r="U17" s="2203"/>
      <c r="V17" s="2198"/>
      <c r="W17" s="2211">
        <v>48</v>
      </c>
      <c r="X17" s="2203"/>
      <c r="Y17" s="2203"/>
      <c r="Z17" s="2220">
        <v>1</v>
      </c>
      <c r="AA17" s="2220"/>
      <c r="AB17" s="2220"/>
      <c r="AC17" s="2203">
        <f t="shared" si="2"/>
        <v>48</v>
      </c>
      <c r="AD17" s="2203"/>
      <c r="AE17" s="2204"/>
      <c r="AF17" s="2197">
        <v>1</v>
      </c>
      <c r="AG17" s="2198"/>
      <c r="AH17" s="2199">
        <f>Z17*AF17</f>
        <v>1</v>
      </c>
      <c r="AI17" s="2200"/>
      <c r="AJ17" s="2200"/>
      <c r="AK17" s="2201">
        <f t="shared" si="0"/>
        <v>48</v>
      </c>
      <c r="AL17" s="2201"/>
      <c r="AM17" s="2202"/>
      <c r="AN17" s="2197"/>
      <c r="AO17" s="2203"/>
      <c r="AP17" s="2203"/>
      <c r="AQ17" s="2203"/>
      <c r="AR17" s="2204"/>
    </row>
    <row r="18" spans="2:77" s="1443" customFormat="1" ht="20.100000000000001" customHeight="1">
      <c r="C18" s="2211" t="s">
        <v>2957</v>
      </c>
      <c r="D18" s="2203"/>
      <c r="E18" s="2203"/>
      <c r="F18" s="2203"/>
      <c r="G18" s="2203"/>
      <c r="H18" s="2203"/>
      <c r="I18" s="2203"/>
      <c r="J18" s="2203"/>
      <c r="K18" s="2203" t="s">
        <v>2958</v>
      </c>
      <c r="L18" s="2203"/>
      <c r="M18" s="2203"/>
      <c r="N18" s="2203"/>
      <c r="O18" s="2203"/>
      <c r="P18" s="2203"/>
      <c r="Q18" s="2203"/>
      <c r="R18" s="2203"/>
      <c r="S18" s="2203"/>
      <c r="T18" s="2203" t="s">
        <v>2488</v>
      </c>
      <c r="U18" s="2203"/>
      <c r="V18" s="2198"/>
      <c r="W18" s="2211">
        <v>48</v>
      </c>
      <c r="X18" s="2203"/>
      <c r="Y18" s="2203"/>
      <c r="Z18" s="2220">
        <v>1</v>
      </c>
      <c r="AA18" s="2220"/>
      <c r="AB18" s="2220"/>
      <c r="AC18" s="2203">
        <f t="shared" si="2"/>
        <v>48</v>
      </c>
      <c r="AD18" s="2203"/>
      <c r="AE18" s="2204"/>
      <c r="AF18" s="2197">
        <v>0</v>
      </c>
      <c r="AG18" s="2198"/>
      <c r="AH18" s="2199">
        <f>Z18*AF18</f>
        <v>0</v>
      </c>
      <c r="AI18" s="2200"/>
      <c r="AJ18" s="2200"/>
      <c r="AK18" s="2201">
        <f t="shared" si="0"/>
        <v>0</v>
      </c>
      <c r="AL18" s="2201"/>
      <c r="AM18" s="2202"/>
      <c r="AN18" s="2197"/>
      <c r="AO18" s="2203"/>
      <c r="AP18" s="2203"/>
      <c r="AQ18" s="2203"/>
      <c r="AR18" s="2204"/>
    </row>
    <row r="19" spans="2:77" s="1443" customFormat="1" ht="20.100000000000001" customHeight="1">
      <c r="C19" s="2211" t="s">
        <v>2490</v>
      </c>
      <c r="D19" s="2203"/>
      <c r="E19" s="2203"/>
      <c r="F19" s="2203"/>
      <c r="G19" s="2203"/>
      <c r="H19" s="2203"/>
      <c r="I19" s="2203"/>
      <c r="J19" s="2203"/>
      <c r="K19" s="2203" t="s">
        <v>2491</v>
      </c>
      <c r="L19" s="2203"/>
      <c r="M19" s="2203"/>
      <c r="N19" s="2203"/>
      <c r="O19" s="2203"/>
      <c r="P19" s="2203"/>
      <c r="Q19" s="2203"/>
      <c r="R19" s="2203"/>
      <c r="S19" s="2203"/>
      <c r="T19" s="2212" t="s">
        <v>2488</v>
      </c>
      <c r="U19" s="2212"/>
      <c r="V19" s="2213"/>
      <c r="W19" s="2214">
        <v>48</v>
      </c>
      <c r="X19" s="2212"/>
      <c r="Y19" s="2212"/>
      <c r="Z19" s="2215">
        <v>1</v>
      </c>
      <c r="AA19" s="2215"/>
      <c r="AB19" s="2215"/>
      <c r="AC19" s="2203">
        <f t="shared" si="2"/>
        <v>48</v>
      </c>
      <c r="AD19" s="2203"/>
      <c r="AE19" s="2204"/>
      <c r="AF19" s="2197">
        <v>0</v>
      </c>
      <c r="AG19" s="2198"/>
      <c r="AH19" s="2199">
        <f t="shared" ref="AH19" si="3">Z19*AF19</f>
        <v>0</v>
      </c>
      <c r="AI19" s="2200"/>
      <c r="AJ19" s="2200"/>
      <c r="AK19" s="2201">
        <f t="shared" si="0"/>
        <v>0</v>
      </c>
      <c r="AL19" s="2201"/>
      <c r="AM19" s="2202"/>
      <c r="AN19" s="2197"/>
      <c r="AO19" s="2203"/>
      <c r="AP19" s="2203"/>
      <c r="AQ19" s="2203"/>
      <c r="AR19" s="2204"/>
    </row>
    <row r="20" spans="2:77" s="1443" customFormat="1" ht="20.100000000000001" customHeight="1">
      <c r="C20" s="2205" t="s">
        <v>2489</v>
      </c>
      <c r="D20" s="2206"/>
      <c r="E20" s="2206"/>
      <c r="F20" s="2206"/>
      <c r="G20" s="2206"/>
      <c r="H20" s="2206"/>
      <c r="I20" s="2206"/>
      <c r="J20" s="2206"/>
      <c r="K20" s="2206"/>
      <c r="L20" s="2206"/>
      <c r="M20" s="2206"/>
      <c r="N20" s="2206"/>
      <c r="O20" s="2206"/>
      <c r="P20" s="2206"/>
      <c r="Q20" s="2206"/>
      <c r="R20" s="2206"/>
      <c r="S20" s="2206"/>
      <c r="T20" s="2206" t="s">
        <v>2488</v>
      </c>
      <c r="U20" s="2206"/>
      <c r="V20" s="2207"/>
      <c r="W20" s="2205">
        <v>48</v>
      </c>
      <c r="X20" s="2206"/>
      <c r="Y20" s="2206"/>
      <c r="Z20" s="2208">
        <v>1</v>
      </c>
      <c r="AA20" s="2208"/>
      <c r="AB20" s="2208"/>
      <c r="AC20" s="2206">
        <f t="shared" si="2"/>
        <v>48</v>
      </c>
      <c r="AD20" s="2206"/>
      <c r="AE20" s="2209"/>
      <c r="AF20" s="2210">
        <v>1</v>
      </c>
      <c r="AG20" s="2207"/>
      <c r="AH20" s="2216">
        <f t="shared" si="1"/>
        <v>1</v>
      </c>
      <c r="AI20" s="2217"/>
      <c r="AJ20" s="2217"/>
      <c r="AK20" s="2218">
        <f t="shared" si="0"/>
        <v>48</v>
      </c>
      <c r="AL20" s="2218"/>
      <c r="AM20" s="2219"/>
      <c r="AN20" s="2210" t="s">
        <v>2487</v>
      </c>
      <c r="AO20" s="2206"/>
      <c r="AP20" s="2206"/>
      <c r="AQ20" s="2206"/>
      <c r="AR20" s="2209"/>
    </row>
    <row r="21" spans="2:77" s="1443" customFormat="1" ht="20.100000000000001" customHeight="1">
      <c r="C21" s="2187" t="s">
        <v>2486</v>
      </c>
      <c r="D21" s="2188"/>
      <c r="E21" s="2188"/>
      <c r="F21" s="2188"/>
      <c r="G21" s="2188"/>
      <c r="H21" s="2188"/>
      <c r="I21" s="2188"/>
      <c r="J21" s="2188"/>
      <c r="K21" s="2188"/>
      <c r="L21" s="2188"/>
      <c r="M21" s="2188"/>
      <c r="N21" s="2188"/>
      <c r="O21" s="2188"/>
      <c r="P21" s="2188"/>
      <c r="Q21" s="2188"/>
      <c r="R21" s="2188"/>
      <c r="S21" s="2188"/>
      <c r="T21" s="2188"/>
      <c r="U21" s="2188"/>
      <c r="V21" s="2188"/>
      <c r="W21" s="2188"/>
      <c r="X21" s="2188"/>
      <c r="Y21" s="2188"/>
      <c r="Z21" s="2188"/>
      <c r="AA21" s="2188"/>
      <c r="AB21" s="2188"/>
      <c r="AC21" s="2188"/>
      <c r="AD21" s="2188"/>
      <c r="AE21" s="2188"/>
      <c r="AF21" s="2188"/>
      <c r="AG21" s="2189"/>
      <c r="AH21" s="2190">
        <f>SUM(AH11:AJ20)</f>
        <v>17.420000000000002</v>
      </c>
      <c r="AI21" s="2191"/>
      <c r="AJ21" s="2191"/>
      <c r="AK21" s="2192">
        <f>SUM(AK11:AM20)</f>
        <v>836</v>
      </c>
      <c r="AL21" s="2192"/>
      <c r="AM21" s="2193"/>
      <c r="AN21" s="2194"/>
      <c r="AO21" s="2195"/>
      <c r="AP21" s="2195"/>
      <c r="AQ21" s="2195"/>
      <c r="AR21" s="2196"/>
    </row>
    <row r="22" spans="2:77" s="1443" customFormat="1" ht="20.100000000000001" customHeight="1">
      <c r="C22" s="1444" t="s">
        <v>2485</v>
      </c>
    </row>
    <row r="23" spans="2:77" s="1443" customFormat="1" ht="20.100000000000001" customHeight="1">
      <c r="C23" s="1444" t="s">
        <v>2959</v>
      </c>
    </row>
    <row r="24" spans="2:77" s="1444" customFormat="1" ht="20.100000000000001" customHeight="1">
      <c r="B24" s="1444" t="s">
        <v>2960</v>
      </c>
    </row>
    <row r="25" spans="2:77" s="1444" customFormat="1" ht="20.100000000000001" customHeight="1"/>
    <row r="26" spans="2:77" s="1444" customFormat="1" ht="20.100000000000001" customHeight="1">
      <c r="AB26" s="1468" t="s">
        <v>2484</v>
      </c>
      <c r="AC26" s="1466"/>
      <c r="AD26" s="1466"/>
      <c r="AE26" s="1466"/>
      <c r="AF26" s="1466"/>
      <c r="AG26" s="1466"/>
      <c r="AH26" s="1466"/>
      <c r="AI26" s="1466"/>
      <c r="AJ26" s="1466"/>
      <c r="AK26" s="1466"/>
      <c r="AL26" s="1466"/>
      <c r="AM26" s="1466"/>
      <c r="AN26" s="1466"/>
      <c r="AO26" s="1466"/>
      <c r="AP26" s="1466"/>
      <c r="AQ26" s="1466"/>
      <c r="AR26" s="1465"/>
    </row>
    <row r="27" spans="2:77" s="1444" customFormat="1" ht="20.100000000000001" customHeight="1">
      <c r="AB27" s="1463"/>
      <c r="AC27" s="1444" t="str">
        <f>"I = ("&amp;R29&amp;"+"&amp;R30&amp;"/"&amp;R31&amp;") * 1.2"</f>
        <v>I = (17.42+150/10) * 1.2</v>
      </c>
      <c r="AR27" s="1483"/>
      <c r="BB27" s="1454"/>
      <c r="BC27" s="1454"/>
      <c r="BD27" s="1454"/>
      <c r="BE27" s="1454"/>
      <c r="BF27" s="1454"/>
      <c r="BG27" s="1454"/>
      <c r="BH27" s="1454"/>
      <c r="BI27" s="1454"/>
      <c r="BJ27" s="1454"/>
      <c r="BK27" s="1454"/>
      <c r="BL27" s="1454"/>
      <c r="BM27" s="1454"/>
      <c r="BN27" s="1454"/>
      <c r="BO27" s="1454"/>
      <c r="BP27" s="1454"/>
      <c r="BQ27" s="1454"/>
      <c r="BR27" s="1454"/>
      <c r="BS27" s="1454"/>
      <c r="BT27" s="1454"/>
      <c r="BU27" s="1454"/>
      <c r="BV27" s="1454"/>
      <c r="BW27" s="1454"/>
      <c r="BX27" s="1454"/>
      <c r="BY27" s="1454"/>
    </row>
    <row r="28" spans="2:77" s="1444" customFormat="1" ht="20.100000000000001" customHeight="1">
      <c r="D28" s="2147" t="s">
        <v>2472</v>
      </c>
      <c r="E28" s="2147"/>
      <c r="F28" s="2147" t="s">
        <v>2471</v>
      </c>
      <c r="G28" s="2147"/>
      <c r="H28" s="2147"/>
      <c r="I28" s="2147"/>
      <c r="J28" s="2147"/>
      <c r="K28" s="2147"/>
      <c r="L28" s="2147"/>
      <c r="M28" s="2147"/>
      <c r="N28" s="2147"/>
      <c r="O28" s="2147"/>
      <c r="P28" s="2147"/>
      <c r="Q28" s="2147"/>
      <c r="R28" s="2147" t="s">
        <v>2470</v>
      </c>
      <c r="S28" s="2147"/>
      <c r="T28" s="2147"/>
      <c r="U28" s="2147" t="s">
        <v>39</v>
      </c>
      <c r="V28" s="2147"/>
      <c r="W28" s="2147"/>
      <c r="X28" s="2147"/>
      <c r="Y28" s="2147"/>
      <c r="AB28" s="1463"/>
      <c r="AC28" s="1444" t="s">
        <v>2483</v>
      </c>
      <c r="AE28" s="2184">
        <f>ROUNDUP((R29+R30/R31)*1.2,2)</f>
        <v>38.909999999999997</v>
      </c>
      <c r="AF28" s="2184"/>
      <c r="AG28" s="2184"/>
      <c r="AH28" s="2184"/>
      <c r="AI28" s="1444" t="s">
        <v>2482</v>
      </c>
      <c r="AR28" s="1483"/>
      <c r="BB28" s="1454"/>
      <c r="BC28" s="1454"/>
      <c r="BD28" s="1454"/>
      <c r="BE28" s="1454"/>
      <c r="BF28" s="1454"/>
      <c r="BG28" s="1454"/>
      <c r="BH28" s="1454"/>
      <c r="BI28" s="1454"/>
      <c r="BJ28" s="1454"/>
      <c r="BK28" s="1454"/>
      <c r="BL28" s="1454"/>
      <c r="BM28" s="1454"/>
      <c r="BN28" s="1454"/>
      <c r="BO28" s="1454"/>
      <c r="BP28" s="1454"/>
      <c r="BQ28" s="1454"/>
      <c r="BR28" s="1454"/>
      <c r="BS28" s="1454"/>
      <c r="BT28" s="1454"/>
      <c r="BU28" s="1454"/>
      <c r="BV28" s="1454"/>
      <c r="BW28" s="1454"/>
      <c r="BX28" s="1454"/>
      <c r="BY28" s="1454"/>
    </row>
    <row r="29" spans="2:77" s="1444" customFormat="1" ht="20.100000000000001" customHeight="1">
      <c r="D29" s="2147" t="s">
        <v>2482</v>
      </c>
      <c r="E29" s="2147"/>
      <c r="F29" s="2147" t="s">
        <v>2481</v>
      </c>
      <c r="G29" s="2147"/>
      <c r="H29" s="2147"/>
      <c r="I29" s="2147"/>
      <c r="J29" s="2147"/>
      <c r="K29" s="2147"/>
      <c r="L29" s="2147"/>
      <c r="M29" s="2147"/>
      <c r="N29" s="2147"/>
      <c r="O29" s="2147"/>
      <c r="P29" s="2147"/>
      <c r="Q29" s="2147"/>
      <c r="R29" s="2185">
        <f>AH21</f>
        <v>17.420000000000002</v>
      </c>
      <c r="S29" s="2175"/>
      <c r="T29" s="2176"/>
      <c r="U29" s="2147"/>
      <c r="V29" s="2147"/>
      <c r="W29" s="2147"/>
      <c r="X29" s="2147"/>
      <c r="Y29" s="2147"/>
      <c r="AB29" s="1463"/>
      <c r="AD29" s="1563" t="s">
        <v>2480</v>
      </c>
      <c r="AE29" s="2186">
        <v>50</v>
      </c>
      <c r="AF29" s="2186"/>
      <c r="AG29" s="2186"/>
      <c r="AH29" s="2186"/>
      <c r="AI29" s="1484" t="s">
        <v>2479</v>
      </c>
      <c r="AR29" s="1483"/>
      <c r="BB29" s="1454"/>
      <c r="BC29" s="1454"/>
      <c r="BD29" s="1454"/>
      <c r="BE29" s="1454"/>
      <c r="BF29" s="1454"/>
      <c r="BG29" s="1454"/>
      <c r="BH29" s="1454"/>
      <c r="BI29" s="1454"/>
      <c r="BJ29" s="1454"/>
      <c r="BK29" s="1454"/>
      <c r="BL29" s="1454"/>
      <c r="BM29" s="1454"/>
      <c r="BN29" s="1454"/>
      <c r="BO29" s="1454"/>
      <c r="BP29" s="1454"/>
      <c r="BQ29" s="1454"/>
      <c r="BR29" s="1454"/>
      <c r="BS29" s="1454"/>
      <c r="BT29" s="1454"/>
      <c r="BU29" s="1454"/>
      <c r="BV29" s="1454"/>
      <c r="BW29" s="1454"/>
      <c r="BX29" s="1454"/>
      <c r="BY29" s="1454"/>
    </row>
    <row r="30" spans="2:77" s="1444" customFormat="1" ht="20.100000000000001" customHeight="1">
      <c r="D30" s="2147" t="s">
        <v>2463</v>
      </c>
      <c r="E30" s="2147"/>
      <c r="F30" s="2147" t="s">
        <v>2478</v>
      </c>
      <c r="G30" s="2147"/>
      <c r="H30" s="2147"/>
      <c r="I30" s="2147"/>
      <c r="J30" s="2147"/>
      <c r="K30" s="2147"/>
      <c r="L30" s="2147"/>
      <c r="M30" s="2147"/>
      <c r="N30" s="2147"/>
      <c r="O30" s="2147"/>
      <c r="P30" s="2147"/>
      <c r="Q30" s="2147"/>
      <c r="R30" s="2181">
        <f>AE43</f>
        <v>150</v>
      </c>
      <c r="S30" s="2182"/>
      <c r="T30" s="2183"/>
      <c r="U30" s="2147"/>
      <c r="V30" s="2147"/>
      <c r="W30" s="2147"/>
      <c r="X30" s="2147"/>
      <c r="Y30" s="2147"/>
      <c r="AB30" s="1463"/>
      <c r="AE30" s="1482"/>
      <c r="AF30" s="1482"/>
      <c r="AG30" s="1482"/>
      <c r="AH30" s="1482"/>
      <c r="AI30" s="1482"/>
      <c r="AJ30" s="1482"/>
      <c r="AK30" s="1482"/>
      <c r="AL30" s="1482"/>
      <c r="AM30" s="1482"/>
      <c r="AN30" s="1482"/>
      <c r="AO30" s="1482"/>
      <c r="AP30" s="1482"/>
      <c r="AQ30" s="1482"/>
      <c r="AR30" s="1480"/>
      <c r="BB30" s="1454"/>
      <c r="BC30" s="1454"/>
      <c r="BD30" s="1454"/>
      <c r="BE30" s="1454"/>
      <c r="BF30" s="1454"/>
      <c r="BG30" s="1454"/>
      <c r="BH30" s="1454"/>
      <c r="BI30" s="1454"/>
      <c r="BJ30" s="1454"/>
      <c r="BK30" s="1454"/>
      <c r="BL30" s="1454"/>
      <c r="BM30" s="1454"/>
      <c r="BN30" s="1454"/>
      <c r="BO30" s="1454"/>
      <c r="BP30" s="1454"/>
      <c r="BQ30" s="1454"/>
      <c r="BR30" s="1454"/>
      <c r="BS30" s="1454"/>
      <c r="BT30" s="1454"/>
      <c r="BU30" s="1454"/>
      <c r="BV30" s="1454"/>
      <c r="BW30" s="1454"/>
      <c r="BX30" s="1454"/>
      <c r="BY30" s="1454"/>
    </row>
    <row r="31" spans="2:77" s="1444" customFormat="1" ht="20.100000000000001" customHeight="1">
      <c r="D31" s="2156" t="s">
        <v>2477</v>
      </c>
      <c r="E31" s="2157"/>
      <c r="F31" s="2156" t="s">
        <v>2476</v>
      </c>
      <c r="G31" s="2159"/>
      <c r="H31" s="2159"/>
      <c r="I31" s="2159"/>
      <c r="J31" s="2159"/>
      <c r="K31" s="2159"/>
      <c r="L31" s="2159"/>
      <c r="M31" s="2159"/>
      <c r="N31" s="2159"/>
      <c r="O31" s="2159"/>
      <c r="P31" s="2159"/>
      <c r="Q31" s="2157"/>
      <c r="R31" s="2174">
        <v>10</v>
      </c>
      <c r="S31" s="2175"/>
      <c r="T31" s="2176"/>
      <c r="U31" s="2174" t="s">
        <v>2475</v>
      </c>
      <c r="V31" s="2175"/>
      <c r="W31" s="2175"/>
      <c r="X31" s="2175"/>
      <c r="Y31" s="2176"/>
      <c r="AB31" s="1463"/>
      <c r="AC31" s="1477" t="s">
        <v>2474</v>
      </c>
      <c r="AD31" s="1477" t="s">
        <v>2473</v>
      </c>
      <c r="AE31" s="1481"/>
      <c r="AF31" s="1481"/>
      <c r="AG31" s="1481"/>
      <c r="AH31" s="1481"/>
      <c r="AI31" s="1481"/>
      <c r="AJ31" s="1481"/>
      <c r="AK31" s="1481"/>
      <c r="AL31" s="1481"/>
      <c r="AM31" s="1481"/>
      <c r="AN31" s="1481"/>
      <c r="AO31" s="1481"/>
      <c r="AP31" s="1481"/>
      <c r="AQ31" s="1481"/>
      <c r="AR31" s="1480"/>
      <c r="BB31" s="1454"/>
      <c r="BC31" s="1454"/>
      <c r="BD31" s="1454"/>
      <c r="BE31" s="1454"/>
      <c r="BF31" s="1454"/>
      <c r="BG31" s="1454"/>
      <c r="BH31" s="1454"/>
      <c r="BI31" s="1454"/>
      <c r="BJ31" s="1454"/>
      <c r="BK31" s="1454"/>
      <c r="BL31" s="1454"/>
      <c r="BM31" s="1454"/>
      <c r="BN31" s="1454"/>
      <c r="BO31" s="1454"/>
      <c r="BP31" s="1454"/>
      <c r="BQ31" s="1454"/>
      <c r="BR31" s="1454"/>
      <c r="BS31" s="1454"/>
      <c r="BT31" s="1454"/>
      <c r="BU31" s="1454"/>
      <c r="BV31" s="1454"/>
      <c r="BW31" s="1454"/>
      <c r="BX31" s="1454"/>
      <c r="BY31" s="1454"/>
    </row>
    <row r="32" spans="2:77" s="1444" customFormat="1" ht="20.100000000000001" customHeight="1">
      <c r="D32" s="1444" t="s">
        <v>2450</v>
      </c>
      <c r="E32" s="1454"/>
      <c r="F32" s="1454"/>
      <c r="G32" s="1454"/>
      <c r="H32" s="1454"/>
      <c r="I32" s="1454"/>
      <c r="J32" s="1454"/>
      <c r="K32" s="1454"/>
      <c r="L32" s="1454"/>
      <c r="M32" s="1454"/>
      <c r="N32" s="1454"/>
      <c r="O32" s="1454"/>
      <c r="P32" s="1454"/>
      <c r="Q32" s="1454"/>
      <c r="R32" s="1454"/>
      <c r="S32" s="1454"/>
      <c r="T32" s="1454"/>
      <c r="U32" s="1454"/>
      <c r="V32" s="1454"/>
      <c r="W32" s="1454"/>
      <c r="X32" s="1454"/>
      <c r="Y32" s="1454"/>
      <c r="AB32" s="1479"/>
      <c r="AC32" s="1478"/>
      <c r="AD32" s="1477" t="s">
        <v>2961</v>
      </c>
      <c r="AE32" s="1476"/>
      <c r="AF32" s="1476"/>
      <c r="AG32" s="1476"/>
      <c r="AH32" s="1476"/>
      <c r="AI32" s="1476"/>
      <c r="AJ32" s="1476"/>
      <c r="AK32" s="1476"/>
      <c r="AL32" s="1476"/>
      <c r="AM32" s="1476"/>
      <c r="AN32" s="1476"/>
      <c r="AO32" s="1476"/>
      <c r="AP32" s="1476"/>
      <c r="AQ32" s="1476"/>
      <c r="AR32" s="1455"/>
      <c r="AS32" s="1454"/>
      <c r="BB32" s="1454"/>
      <c r="BC32" s="1454"/>
      <c r="BD32" s="1454"/>
      <c r="BE32" s="1454"/>
      <c r="BF32" s="1454"/>
      <c r="BG32" s="1454"/>
      <c r="BH32" s="1454"/>
      <c r="BI32" s="1454"/>
      <c r="BJ32" s="1454"/>
      <c r="BK32" s="1454"/>
      <c r="BL32" s="1454"/>
      <c r="BM32" s="1454"/>
      <c r="BN32" s="1454"/>
      <c r="BO32" s="1454"/>
      <c r="BP32" s="1454"/>
      <c r="BQ32" s="1454"/>
      <c r="BR32" s="1454"/>
      <c r="BS32" s="1454"/>
      <c r="BT32" s="1454"/>
      <c r="BU32" s="1454"/>
      <c r="BV32" s="1454"/>
      <c r="BW32" s="1454"/>
      <c r="BX32" s="1454"/>
      <c r="BY32" s="1454"/>
    </row>
    <row r="33" spans="2:77" s="1444" customFormat="1" ht="20.100000000000001" customHeight="1">
      <c r="E33" s="1454"/>
      <c r="F33" s="1454"/>
      <c r="G33" s="1454"/>
      <c r="H33" s="1454"/>
      <c r="I33" s="1454"/>
      <c r="J33" s="1454"/>
      <c r="K33" s="1454"/>
      <c r="L33" s="1454"/>
      <c r="M33" s="1454"/>
      <c r="N33" s="1454"/>
      <c r="O33" s="1454"/>
      <c r="P33" s="1454"/>
      <c r="Q33" s="1454"/>
      <c r="R33" s="1454"/>
      <c r="S33" s="1454"/>
      <c r="T33" s="1454"/>
      <c r="U33" s="1454"/>
      <c r="V33" s="1454"/>
      <c r="W33" s="1454"/>
      <c r="X33" s="1454"/>
      <c r="Y33" s="1454"/>
      <c r="AB33" s="1479"/>
      <c r="AC33" s="1477" t="s">
        <v>2474</v>
      </c>
      <c r="AD33" s="1477" t="s">
        <v>2962</v>
      </c>
      <c r="AE33" s="1476"/>
      <c r="AF33" s="1476"/>
      <c r="AG33" s="1476"/>
      <c r="AH33" s="1476"/>
      <c r="AI33" s="1476"/>
      <c r="AJ33" s="1476"/>
      <c r="AK33" s="1476"/>
      <c r="AL33" s="1476"/>
      <c r="AM33" s="1476"/>
      <c r="AN33" s="1476"/>
      <c r="AO33" s="1476"/>
      <c r="AP33" s="1476"/>
      <c r="AQ33" s="1476"/>
      <c r="AR33" s="1455"/>
      <c r="AS33" s="1454"/>
      <c r="BB33" s="1454"/>
      <c r="BC33" s="1454"/>
      <c r="BD33" s="1454"/>
      <c r="BE33" s="1454"/>
      <c r="BF33" s="1454"/>
      <c r="BG33" s="1454"/>
      <c r="BH33" s="1454"/>
      <c r="BI33" s="1454"/>
      <c r="BJ33" s="1454"/>
      <c r="BK33" s="1454"/>
      <c r="BL33" s="1454"/>
      <c r="BM33" s="1454"/>
      <c r="BN33" s="1454"/>
      <c r="BO33" s="1454"/>
      <c r="BP33" s="1454"/>
      <c r="BQ33" s="1454"/>
      <c r="BR33" s="1454"/>
      <c r="BS33" s="1454"/>
      <c r="BT33" s="1454"/>
      <c r="BU33" s="1454"/>
      <c r="BV33" s="1454"/>
      <c r="BW33" s="1454"/>
      <c r="BX33" s="1454"/>
      <c r="BY33" s="1454"/>
    </row>
    <row r="34" spans="2:77" s="1444" customFormat="1" ht="20.100000000000001" customHeight="1">
      <c r="E34" s="1454"/>
      <c r="F34" s="1454"/>
      <c r="G34" s="1454"/>
      <c r="H34" s="1454"/>
      <c r="I34" s="1454"/>
      <c r="J34" s="1454"/>
      <c r="K34" s="1454"/>
      <c r="L34" s="1454"/>
      <c r="M34" s="1454"/>
      <c r="N34" s="1454"/>
      <c r="O34" s="1454"/>
      <c r="P34" s="1454"/>
      <c r="Q34" s="1454"/>
      <c r="R34" s="1454"/>
      <c r="S34" s="1454"/>
      <c r="T34" s="1454"/>
      <c r="U34" s="1454"/>
      <c r="V34" s="1454"/>
      <c r="W34" s="1454"/>
      <c r="X34" s="1454"/>
      <c r="Y34" s="1454"/>
      <c r="AB34" s="1479"/>
      <c r="AC34" s="1478"/>
      <c r="AD34" s="1477" t="s">
        <v>2963</v>
      </c>
      <c r="AE34" s="1476"/>
      <c r="AF34" s="1476"/>
      <c r="AG34" s="1476"/>
      <c r="AH34" s="1476"/>
      <c r="AI34" s="1476"/>
      <c r="AJ34" s="1476"/>
      <c r="AK34" s="1476"/>
      <c r="AL34" s="1476"/>
      <c r="AM34" s="1476"/>
      <c r="AN34" s="1476"/>
      <c r="AO34" s="1476"/>
      <c r="AP34" s="1476"/>
      <c r="AQ34" s="1476"/>
      <c r="AR34" s="1455"/>
      <c r="AS34" s="1454"/>
      <c r="BB34" s="1454"/>
      <c r="BC34" s="1454"/>
      <c r="BD34" s="1454"/>
      <c r="BE34" s="1454"/>
      <c r="BF34" s="1454"/>
      <c r="BG34" s="1454"/>
      <c r="BH34" s="1454"/>
      <c r="BI34" s="1454"/>
      <c r="BJ34" s="1454"/>
      <c r="BK34" s="1454"/>
      <c r="BL34" s="1454"/>
      <c r="BM34" s="1454"/>
      <c r="BN34" s="1454"/>
      <c r="BO34" s="1454"/>
      <c r="BP34" s="1454"/>
      <c r="BQ34" s="1454"/>
      <c r="BR34" s="1454"/>
      <c r="BS34" s="1454"/>
      <c r="BT34" s="1454"/>
      <c r="BU34" s="1454"/>
      <c r="BV34" s="1454"/>
      <c r="BW34" s="1454"/>
      <c r="BX34" s="1454"/>
      <c r="BY34" s="1454"/>
    </row>
    <row r="35" spans="2:77" s="1443" customFormat="1" ht="20.100000000000001" customHeight="1">
      <c r="D35" s="1485"/>
      <c r="E35" s="1485"/>
      <c r="F35" s="1485"/>
      <c r="G35" s="1485"/>
      <c r="H35" s="1485"/>
      <c r="I35" s="1485"/>
      <c r="J35" s="1485"/>
      <c r="K35" s="1485"/>
      <c r="L35" s="1485"/>
      <c r="M35" s="1485"/>
      <c r="N35" s="1485"/>
      <c r="O35" s="1485"/>
      <c r="P35" s="1485"/>
      <c r="Q35" s="1485"/>
      <c r="R35" s="1485"/>
      <c r="S35" s="1485"/>
      <c r="T35" s="1485"/>
      <c r="U35" s="1485"/>
      <c r="V35" s="1485"/>
      <c r="W35" s="1485"/>
      <c r="X35" s="1485"/>
      <c r="Y35" s="1485"/>
      <c r="AB35" s="1475"/>
      <c r="AC35" s="1447"/>
      <c r="AD35" s="1474"/>
      <c r="AE35" s="1473"/>
      <c r="AF35" s="1473"/>
      <c r="AG35" s="1473"/>
      <c r="AH35" s="1473"/>
      <c r="AI35" s="1473"/>
      <c r="AJ35" s="1473"/>
      <c r="AK35" s="1473"/>
      <c r="AL35" s="1473"/>
      <c r="AM35" s="1473"/>
      <c r="AN35" s="1473"/>
      <c r="AO35" s="1473"/>
      <c r="AP35" s="1473"/>
      <c r="AQ35" s="1473"/>
      <c r="AR35" s="1472"/>
      <c r="AS35" s="1444"/>
      <c r="BB35" s="1454"/>
      <c r="BC35" s="1454"/>
      <c r="BD35" s="1454"/>
      <c r="BE35" s="1454"/>
      <c r="BF35" s="1454"/>
      <c r="BG35" s="1454"/>
      <c r="BH35" s="1454"/>
      <c r="BI35" s="1454"/>
      <c r="BJ35" s="1454"/>
      <c r="BK35" s="1454"/>
      <c r="BL35" s="1454"/>
      <c r="BM35" s="1454"/>
      <c r="BN35" s="1454"/>
      <c r="BO35" s="1454"/>
      <c r="BP35" s="1454"/>
      <c r="BQ35" s="1454"/>
      <c r="BR35" s="1454"/>
      <c r="BS35" s="1454"/>
      <c r="BT35" s="1454"/>
      <c r="BU35" s="1454"/>
      <c r="BV35" s="1454"/>
      <c r="BW35" s="1454"/>
      <c r="BX35" s="1454"/>
      <c r="BY35" s="1454"/>
    </row>
    <row r="36" spans="2:77" ht="20.100000000000001" customHeight="1">
      <c r="B36" s="1444" t="s">
        <v>2964</v>
      </c>
      <c r="C36" s="1471"/>
      <c r="D36" s="1471"/>
      <c r="E36" s="1471"/>
      <c r="F36" s="1471"/>
      <c r="G36" s="1471"/>
      <c r="H36" s="1471"/>
      <c r="I36" s="1471"/>
      <c r="J36" s="1471"/>
      <c r="K36" s="1471"/>
      <c r="L36" s="1471"/>
      <c r="M36" s="1471"/>
      <c r="N36" s="1471"/>
      <c r="O36" s="1471"/>
      <c r="P36" s="1471"/>
      <c r="Q36" s="1471"/>
      <c r="R36" s="1471"/>
      <c r="S36" s="1471"/>
      <c r="T36" s="1471"/>
      <c r="U36" s="1471"/>
      <c r="V36" s="1471"/>
      <c r="W36" s="1471"/>
      <c r="X36" s="1471"/>
      <c r="Y36" s="1471"/>
      <c r="Z36" s="1471"/>
      <c r="AA36" s="1471"/>
      <c r="AB36" s="1471"/>
      <c r="AC36" s="1471"/>
      <c r="AD36" s="1471"/>
      <c r="AE36" s="1471"/>
      <c r="AF36" s="1471"/>
      <c r="AG36" s="1471"/>
      <c r="AH36" s="1471"/>
      <c r="AI36" s="1471"/>
      <c r="AJ36" s="1471"/>
      <c r="AK36" s="1471"/>
      <c r="AL36" s="1471"/>
      <c r="AM36" s="1471"/>
      <c r="AN36" s="1471"/>
      <c r="AO36" s="1471"/>
      <c r="AP36" s="1471"/>
      <c r="AQ36" s="1471"/>
      <c r="AR36" s="1471"/>
      <c r="AS36" s="1470"/>
      <c r="BB36" s="1454"/>
      <c r="BC36" s="1454"/>
      <c r="BD36" s="1454"/>
      <c r="BE36" s="1454"/>
      <c r="BF36" s="1454"/>
      <c r="BG36" s="1454"/>
      <c r="BH36" s="1454"/>
      <c r="BI36" s="1454"/>
      <c r="BJ36" s="1454"/>
      <c r="BK36" s="1454"/>
      <c r="BL36" s="1454"/>
      <c r="BM36" s="1454"/>
      <c r="BN36" s="1454"/>
      <c r="BO36" s="1454"/>
      <c r="BP36" s="1454"/>
      <c r="BQ36" s="1454"/>
      <c r="BR36" s="1454"/>
      <c r="BS36" s="1454"/>
      <c r="BT36" s="1454"/>
      <c r="BU36" s="1454"/>
      <c r="BV36" s="1454"/>
      <c r="BW36" s="1454"/>
      <c r="BX36" s="1454"/>
      <c r="BY36" s="1454"/>
    </row>
    <row r="37" spans="2:77" s="1453" customFormat="1" ht="20.100000000000001" customHeight="1">
      <c r="B37" s="1469"/>
      <c r="AS37" s="1454"/>
      <c r="BB37" s="1454"/>
      <c r="BC37" s="1454"/>
      <c r="BD37" s="1454"/>
      <c r="BE37" s="1454"/>
      <c r="BF37" s="1454"/>
      <c r="BG37" s="1454"/>
      <c r="BH37" s="1454"/>
      <c r="BI37" s="1454"/>
      <c r="BJ37" s="1454"/>
      <c r="BK37" s="1454"/>
      <c r="BL37" s="1454"/>
      <c r="BM37" s="1454"/>
      <c r="BN37" s="1454"/>
      <c r="BO37" s="1454"/>
      <c r="BP37" s="1454"/>
      <c r="BQ37" s="1454"/>
      <c r="BR37" s="1454"/>
      <c r="BS37" s="1454"/>
      <c r="BT37" s="1454"/>
      <c r="BU37" s="1454"/>
      <c r="BV37" s="1454"/>
      <c r="BW37" s="1454"/>
      <c r="BX37" s="1454"/>
      <c r="BY37" s="1454"/>
    </row>
    <row r="38" spans="2:77" s="1453" customFormat="1" ht="20.100000000000001" customHeight="1">
      <c r="AS38" s="1454"/>
      <c r="BB38" s="1454"/>
      <c r="BC38" s="1454"/>
      <c r="BD38" s="1454"/>
      <c r="BE38" s="1454"/>
      <c r="BF38" s="1454"/>
      <c r="BG38" s="1454"/>
      <c r="BH38" s="1454"/>
      <c r="BI38" s="1454"/>
      <c r="BJ38" s="1454"/>
      <c r="BK38" s="1454"/>
      <c r="BL38" s="1454"/>
      <c r="BM38" s="1454"/>
      <c r="BN38" s="1454"/>
      <c r="BO38" s="1454"/>
      <c r="BP38" s="1454"/>
      <c r="BQ38" s="1454"/>
      <c r="BR38" s="1454"/>
      <c r="BS38" s="1454"/>
      <c r="BT38" s="1454"/>
      <c r="BU38" s="1454"/>
      <c r="BV38" s="1454"/>
      <c r="BW38" s="1454"/>
      <c r="BX38" s="1454"/>
      <c r="BY38" s="1454"/>
    </row>
    <row r="39" spans="2:77" s="1453" customFormat="1" ht="20.100000000000001" customHeight="1">
      <c r="AS39" s="1454"/>
      <c r="BB39" s="1454"/>
      <c r="BC39" s="1454"/>
      <c r="BD39" s="1454"/>
      <c r="BE39" s="1454"/>
      <c r="BF39" s="1454"/>
      <c r="BG39" s="1454"/>
      <c r="BH39" s="1454"/>
      <c r="BI39" s="1454"/>
      <c r="BJ39" s="1454"/>
      <c r="BK39" s="1454"/>
      <c r="BL39" s="1454"/>
      <c r="BM39" s="1454"/>
      <c r="BN39" s="1454"/>
      <c r="BO39" s="1454"/>
      <c r="BP39" s="1454"/>
      <c r="BQ39" s="1454"/>
      <c r="BR39" s="1454"/>
      <c r="BS39" s="1454"/>
      <c r="BT39" s="1454"/>
      <c r="BU39" s="1454"/>
      <c r="BV39" s="1454"/>
      <c r="BW39" s="1454"/>
      <c r="BX39" s="1454"/>
      <c r="BY39" s="1454"/>
    </row>
    <row r="40" spans="2:77" s="1453" customFormat="1" ht="20.100000000000001" customHeight="1">
      <c r="D40" s="2147" t="s">
        <v>2472</v>
      </c>
      <c r="E40" s="2147"/>
      <c r="F40" s="2147" t="s">
        <v>2471</v>
      </c>
      <c r="G40" s="2147"/>
      <c r="H40" s="2147"/>
      <c r="I40" s="2147"/>
      <c r="J40" s="2147"/>
      <c r="K40" s="2147"/>
      <c r="L40" s="2147"/>
      <c r="M40" s="2147"/>
      <c r="N40" s="2147"/>
      <c r="O40" s="2147"/>
      <c r="P40" s="2147"/>
      <c r="Q40" s="2147"/>
      <c r="R40" s="2147" t="s">
        <v>2470</v>
      </c>
      <c r="S40" s="2147"/>
      <c r="T40" s="2147"/>
      <c r="U40" s="2147" t="s">
        <v>39</v>
      </c>
      <c r="V40" s="2147"/>
      <c r="W40" s="2147"/>
      <c r="X40" s="2147"/>
      <c r="Y40" s="2147"/>
      <c r="Z40" s="1454"/>
      <c r="AB40" s="1468" t="s">
        <v>2469</v>
      </c>
      <c r="AC40" s="1466"/>
      <c r="AD40" s="1466"/>
      <c r="AE40" s="1466"/>
      <c r="AF40" s="1466"/>
      <c r="AG40" s="1466"/>
      <c r="AH40" s="1466"/>
      <c r="AI40" s="1466"/>
      <c r="AJ40" s="1466"/>
      <c r="AK40" s="1466"/>
      <c r="AL40" s="1466"/>
      <c r="AM40" s="1466"/>
      <c r="AN40" s="1467"/>
      <c r="AO40" s="1467"/>
      <c r="AP40" s="1467"/>
      <c r="AQ40" s="1466"/>
      <c r="AR40" s="1465"/>
      <c r="AS40" s="1454"/>
      <c r="BB40" s="1454"/>
      <c r="BC40" s="1454"/>
      <c r="BD40" s="1454"/>
      <c r="BE40" s="1454"/>
      <c r="BF40" s="1454"/>
      <c r="BG40" s="1454"/>
      <c r="BH40" s="1454"/>
      <c r="BI40" s="1454"/>
      <c r="BJ40" s="1454"/>
      <c r="BK40" s="1454"/>
      <c r="BL40" s="1454"/>
      <c r="BM40" s="1454"/>
      <c r="BN40" s="1454"/>
      <c r="BO40" s="1454"/>
      <c r="BP40" s="1454"/>
      <c r="BQ40" s="1454"/>
      <c r="BR40" s="1454"/>
      <c r="BS40" s="1454"/>
      <c r="BT40" s="1454"/>
      <c r="BU40" s="1454"/>
      <c r="BV40" s="1454"/>
      <c r="BW40" s="1454"/>
      <c r="BX40" s="1454"/>
      <c r="BY40" s="1454"/>
    </row>
    <row r="41" spans="2:77" s="1453" customFormat="1" ht="20.100000000000001" customHeight="1">
      <c r="D41" s="2147" t="s">
        <v>2468</v>
      </c>
      <c r="E41" s="2147"/>
      <c r="F41" s="2179" t="s">
        <v>2467</v>
      </c>
      <c r="G41" s="2179"/>
      <c r="H41" s="2179"/>
      <c r="I41" s="2179"/>
      <c r="J41" s="2179"/>
      <c r="K41" s="2179"/>
      <c r="L41" s="2179"/>
      <c r="M41" s="2179"/>
      <c r="N41" s="2179"/>
      <c r="O41" s="2179"/>
      <c r="P41" s="2179"/>
      <c r="Q41" s="2179"/>
      <c r="R41" s="2174">
        <v>0.8</v>
      </c>
      <c r="S41" s="2175"/>
      <c r="T41" s="2176"/>
      <c r="U41" s="2180"/>
      <c r="V41" s="2180"/>
      <c r="W41" s="2180"/>
      <c r="X41" s="2180"/>
      <c r="Y41" s="2180"/>
      <c r="Z41" s="1454"/>
      <c r="AB41" s="1463"/>
      <c r="AC41" s="1444" t="str">
        <f>"AH = { (1*"&amp;R43&amp;")/("&amp;R41&amp;"*"&amp;R45&amp;"*"&amp;R47&amp;") } * "&amp;R48&amp;" * 1.2"</f>
        <v>AH = { (1*4)/(0.8*1*0.82) } * 17.42 * 1.2</v>
      </c>
      <c r="AD41" s="1444"/>
      <c r="AE41" s="1450"/>
      <c r="AF41" s="1450"/>
      <c r="AG41" s="1444"/>
      <c r="AH41" s="1444"/>
      <c r="AI41" s="1444"/>
      <c r="AJ41" s="1444"/>
      <c r="AK41" s="1450"/>
      <c r="AL41" s="1444"/>
      <c r="AM41" s="1444"/>
      <c r="AN41" s="1450"/>
      <c r="AO41" s="1450"/>
      <c r="AP41" s="1450"/>
      <c r="AQ41" s="1450"/>
      <c r="AR41" s="1464"/>
      <c r="AS41" s="1454"/>
      <c r="BB41" s="1454"/>
      <c r="BC41" s="1454"/>
      <c r="BD41" s="1454"/>
      <c r="BE41" s="1454"/>
      <c r="BF41" s="1454"/>
      <c r="BG41" s="1454"/>
      <c r="BH41" s="1454"/>
      <c r="BI41" s="1454"/>
      <c r="BJ41" s="1454"/>
      <c r="BK41" s="1454"/>
      <c r="BL41" s="1454"/>
      <c r="BM41" s="1454"/>
      <c r="BN41" s="1454"/>
      <c r="BO41" s="1454"/>
      <c r="BP41" s="1454"/>
      <c r="BQ41" s="1454"/>
      <c r="BR41" s="1454"/>
      <c r="BS41" s="1454"/>
      <c r="BT41" s="1454"/>
      <c r="BU41" s="1454"/>
      <c r="BV41" s="1454"/>
      <c r="BW41" s="1454"/>
      <c r="BX41" s="1454"/>
      <c r="BY41" s="1454"/>
    </row>
    <row r="42" spans="2:77" s="1453" customFormat="1" ht="20.100000000000001" customHeight="1">
      <c r="D42" s="2154" t="s">
        <v>2466</v>
      </c>
      <c r="E42" s="2155"/>
      <c r="F42" s="2154" t="s">
        <v>2465</v>
      </c>
      <c r="G42" s="2158"/>
      <c r="H42" s="2158"/>
      <c r="I42" s="2158"/>
      <c r="J42" s="2158"/>
      <c r="K42" s="2158"/>
      <c r="L42" s="2158"/>
      <c r="M42" s="2158"/>
      <c r="N42" s="2158"/>
      <c r="O42" s="2158"/>
      <c r="P42" s="2158"/>
      <c r="Q42" s="2155"/>
      <c r="R42" s="2174">
        <v>3</v>
      </c>
      <c r="S42" s="2175"/>
      <c r="T42" s="2176"/>
      <c r="U42" s="2180" t="s">
        <v>1609</v>
      </c>
      <c r="V42" s="2180"/>
      <c r="W42" s="2180"/>
      <c r="X42" s="2180"/>
      <c r="Y42" s="2180"/>
      <c r="Z42" s="1454"/>
      <c r="AB42" s="1463"/>
      <c r="AC42" s="1450"/>
      <c r="AD42" s="1444" t="s">
        <v>2464</v>
      </c>
      <c r="AE42" s="2173">
        <f>ROUNDUP(((1*R43)/(R41*R45*R47))*R48*1.2,2)</f>
        <v>127.47</v>
      </c>
      <c r="AF42" s="2173"/>
      <c r="AG42" s="2173"/>
      <c r="AH42" s="2173"/>
      <c r="AI42" s="1444" t="s">
        <v>2463</v>
      </c>
      <c r="AJ42" s="1444"/>
      <c r="AK42" s="1444"/>
      <c r="AL42" s="1444"/>
      <c r="AM42" s="1444"/>
      <c r="AN42" s="1444"/>
      <c r="AO42" s="1444"/>
      <c r="AP42" s="1450"/>
      <c r="AQ42" s="1450"/>
      <c r="AR42" s="1457"/>
      <c r="AS42" s="1454"/>
      <c r="BB42" s="1454"/>
      <c r="BC42" s="1454"/>
      <c r="BD42" s="1454"/>
      <c r="BE42" s="1454"/>
      <c r="BF42" s="1454"/>
      <c r="BG42" s="1454"/>
      <c r="BH42" s="1454"/>
      <c r="BI42" s="1454"/>
      <c r="BJ42" s="1454"/>
      <c r="BK42" s="1454"/>
      <c r="BL42" s="1454"/>
      <c r="BM42" s="1454"/>
      <c r="BN42" s="1454"/>
      <c r="BO42" s="1454"/>
      <c r="BP42" s="1454"/>
      <c r="BQ42" s="1454"/>
      <c r="BR42" s="1454"/>
      <c r="BS42" s="1454"/>
      <c r="BT42" s="1454"/>
      <c r="BU42" s="1454"/>
      <c r="BV42" s="1454"/>
      <c r="BW42" s="1454"/>
      <c r="BX42" s="1454"/>
      <c r="BY42" s="1454"/>
    </row>
    <row r="43" spans="2:77" s="1453" customFormat="1" ht="20.100000000000001" customHeight="1">
      <c r="D43" s="2166"/>
      <c r="E43" s="2167"/>
      <c r="F43" s="2166"/>
      <c r="G43" s="2168"/>
      <c r="H43" s="2168"/>
      <c r="I43" s="2168"/>
      <c r="J43" s="2168"/>
      <c r="K43" s="2168"/>
      <c r="L43" s="2168"/>
      <c r="M43" s="2168"/>
      <c r="N43" s="2168"/>
      <c r="O43" s="2168"/>
      <c r="P43" s="2168"/>
      <c r="Q43" s="2167"/>
      <c r="R43" s="2371">
        <v>4</v>
      </c>
      <c r="S43" s="2372"/>
      <c r="T43" s="2373"/>
      <c r="U43" s="2374" t="s">
        <v>2462</v>
      </c>
      <c r="V43" s="2374"/>
      <c r="W43" s="2374"/>
      <c r="X43" s="2374"/>
      <c r="Y43" s="2374"/>
      <c r="Z43" s="1454"/>
      <c r="AB43" s="1458"/>
      <c r="AC43" s="1460"/>
      <c r="AD43" s="1462" t="s">
        <v>2461</v>
      </c>
      <c r="AE43" s="2178">
        <v>150</v>
      </c>
      <c r="AF43" s="2178"/>
      <c r="AG43" s="2178"/>
      <c r="AH43" s="2178"/>
      <c r="AI43" s="1461" t="s">
        <v>2460</v>
      </c>
      <c r="AJ43" s="1460"/>
      <c r="AK43" s="1460"/>
      <c r="AL43" s="1460"/>
      <c r="AM43" s="1460"/>
      <c r="AN43" s="1460"/>
      <c r="AO43" s="1460"/>
      <c r="AP43" s="1459"/>
      <c r="AQ43" s="1459"/>
      <c r="AR43" s="1457"/>
      <c r="AS43" s="1454"/>
      <c r="BB43" s="1454"/>
      <c r="BC43" s="1454"/>
      <c r="BD43" s="1454"/>
      <c r="BE43" s="1454"/>
      <c r="BF43" s="1454"/>
      <c r="BG43" s="1454"/>
      <c r="BH43" s="1454"/>
      <c r="BI43" s="1454"/>
      <c r="BJ43" s="1454"/>
      <c r="BK43" s="1454"/>
      <c r="BL43" s="1454"/>
      <c r="BM43" s="1454"/>
      <c r="BN43" s="1454"/>
      <c r="BO43" s="1454"/>
      <c r="BP43" s="1454"/>
      <c r="BQ43" s="1454"/>
      <c r="BR43" s="1454"/>
      <c r="BS43" s="1454"/>
      <c r="BT43" s="1454"/>
      <c r="BU43" s="1454"/>
      <c r="BV43" s="1454"/>
      <c r="BW43" s="1454"/>
      <c r="BX43" s="1454"/>
      <c r="BY43" s="1454"/>
    </row>
    <row r="44" spans="2:77" s="1453" customFormat="1" ht="20.100000000000001" customHeight="1">
      <c r="D44" s="2156"/>
      <c r="E44" s="2157"/>
      <c r="F44" s="2156"/>
      <c r="G44" s="2159"/>
      <c r="H44" s="2159"/>
      <c r="I44" s="2159"/>
      <c r="J44" s="2159"/>
      <c r="K44" s="2159"/>
      <c r="L44" s="2159"/>
      <c r="M44" s="2159"/>
      <c r="N44" s="2159"/>
      <c r="O44" s="2159"/>
      <c r="P44" s="2159"/>
      <c r="Q44" s="2157"/>
      <c r="R44" s="2174">
        <v>16</v>
      </c>
      <c r="S44" s="2175"/>
      <c r="T44" s="2176"/>
      <c r="U44" s="2151" t="s">
        <v>2459</v>
      </c>
      <c r="V44" s="2152"/>
      <c r="W44" s="2152"/>
      <c r="X44" s="2152"/>
      <c r="Y44" s="2153"/>
      <c r="Z44" s="1454"/>
      <c r="AB44" s="1458"/>
      <c r="AC44" s="1451"/>
      <c r="AD44" s="1451"/>
      <c r="AE44" s="1451"/>
      <c r="AF44" s="1450"/>
      <c r="AG44" s="1450"/>
      <c r="AH44" s="1450"/>
      <c r="AI44" s="1450"/>
      <c r="AJ44" s="1450"/>
      <c r="AK44" s="1450"/>
      <c r="AL44" s="1450"/>
      <c r="AM44" s="1450"/>
      <c r="AN44" s="1450"/>
      <c r="AO44" s="1450"/>
      <c r="AP44" s="1450"/>
      <c r="AQ44" s="1450"/>
      <c r="AR44" s="1457"/>
      <c r="AS44" s="1454"/>
      <c r="BB44" s="1454"/>
      <c r="BC44" s="1454"/>
      <c r="BD44" s="1454"/>
      <c r="BE44" s="1454"/>
      <c r="BF44" s="1454"/>
      <c r="BG44" s="1454"/>
      <c r="BH44" s="1454"/>
      <c r="BI44" s="1454"/>
      <c r="BJ44" s="1454"/>
      <c r="BK44" s="1454"/>
      <c r="BL44" s="1454"/>
      <c r="BM44" s="1454"/>
      <c r="BN44" s="1454"/>
      <c r="BO44" s="1454"/>
      <c r="BP44" s="1454"/>
      <c r="BQ44" s="1454"/>
      <c r="BR44" s="1454"/>
      <c r="BS44" s="1454"/>
      <c r="BT44" s="1454"/>
      <c r="BU44" s="1454"/>
      <c r="BV44" s="1454"/>
      <c r="BW44" s="1454"/>
      <c r="BX44" s="1454"/>
      <c r="BY44" s="1454"/>
    </row>
    <row r="45" spans="2:77" s="1453" customFormat="1" ht="20.100000000000001" customHeight="1">
      <c r="D45" s="2147" t="s">
        <v>2458</v>
      </c>
      <c r="E45" s="2147"/>
      <c r="F45" s="2147" t="s">
        <v>2457</v>
      </c>
      <c r="G45" s="2147"/>
      <c r="H45" s="2147"/>
      <c r="I45" s="2147"/>
      <c r="J45" s="2147"/>
      <c r="K45" s="2147"/>
      <c r="L45" s="2147"/>
      <c r="M45" s="2147"/>
      <c r="N45" s="2147"/>
      <c r="O45" s="2147"/>
      <c r="P45" s="2147"/>
      <c r="Q45" s="2147"/>
      <c r="R45" s="2148">
        <v>1</v>
      </c>
      <c r="S45" s="2149"/>
      <c r="T45" s="2150"/>
      <c r="U45" s="2151" t="s">
        <v>2965</v>
      </c>
      <c r="V45" s="2152"/>
      <c r="W45" s="2152"/>
      <c r="X45" s="2152"/>
      <c r="Y45" s="2153"/>
      <c r="AB45" s="1458"/>
      <c r="AC45" s="1451"/>
      <c r="AD45" s="1451"/>
      <c r="AE45" s="1451"/>
      <c r="AF45" s="1450"/>
      <c r="AG45" s="1450"/>
      <c r="AH45" s="1450"/>
      <c r="AI45" s="1450"/>
      <c r="AJ45" s="1450"/>
      <c r="AK45" s="1450"/>
      <c r="AL45" s="1450"/>
      <c r="AM45" s="1450"/>
      <c r="AN45" s="1450"/>
      <c r="AO45" s="1450"/>
      <c r="AP45" s="1450"/>
      <c r="AQ45" s="1450"/>
      <c r="AR45" s="1457"/>
      <c r="AS45" s="1454"/>
      <c r="BB45" s="1454"/>
      <c r="BC45" s="1454"/>
      <c r="BD45" s="1454"/>
      <c r="BE45" s="1454"/>
      <c r="BF45" s="1454"/>
      <c r="BG45" s="1454"/>
      <c r="BH45" s="1454"/>
      <c r="BI45" s="1454"/>
      <c r="BJ45" s="1454"/>
      <c r="BK45" s="1454"/>
      <c r="BL45" s="1454"/>
      <c r="BM45" s="1454"/>
      <c r="BN45" s="1454"/>
      <c r="BO45" s="1454"/>
      <c r="BP45" s="1454"/>
      <c r="BQ45" s="1454"/>
      <c r="BR45" s="1454"/>
      <c r="BS45" s="1454"/>
      <c r="BT45" s="1454"/>
      <c r="BU45" s="1454"/>
      <c r="BV45" s="1454"/>
      <c r="BW45" s="1454"/>
      <c r="BX45" s="1454"/>
      <c r="BY45" s="1454"/>
    </row>
    <row r="46" spans="2:77" s="1453" customFormat="1" ht="20.100000000000001" customHeight="1">
      <c r="D46" s="2154" t="s">
        <v>2456</v>
      </c>
      <c r="E46" s="2155"/>
      <c r="F46" s="2154" t="s">
        <v>2455</v>
      </c>
      <c r="G46" s="2158"/>
      <c r="H46" s="2158"/>
      <c r="I46" s="2158"/>
      <c r="J46" s="2158"/>
      <c r="K46" s="2158"/>
      <c r="L46" s="2158"/>
      <c r="M46" s="2158"/>
      <c r="N46" s="2158"/>
      <c r="O46" s="2158"/>
      <c r="P46" s="2158"/>
      <c r="Q46" s="2155"/>
      <c r="R46" s="2174">
        <v>0.77</v>
      </c>
      <c r="S46" s="2175"/>
      <c r="T46" s="2176"/>
      <c r="U46" s="2151" t="s">
        <v>2454</v>
      </c>
      <c r="V46" s="2152"/>
      <c r="W46" s="2152"/>
      <c r="X46" s="2152"/>
      <c r="Y46" s="2153"/>
      <c r="AB46" s="1456"/>
      <c r="AC46" s="1451"/>
      <c r="AD46" s="1451"/>
      <c r="AE46" s="1451"/>
      <c r="AF46" s="1450"/>
      <c r="AG46" s="1450"/>
      <c r="AH46" s="1450"/>
      <c r="AI46" s="1450"/>
      <c r="AJ46" s="1450"/>
      <c r="AK46" s="1450"/>
      <c r="AL46" s="1450"/>
      <c r="AM46" s="1450"/>
      <c r="AN46" s="1450"/>
      <c r="AO46" s="1450"/>
      <c r="AP46" s="1450"/>
      <c r="AQ46" s="1450"/>
      <c r="AR46" s="1455"/>
      <c r="AS46" s="1454"/>
    </row>
    <row r="47" spans="2:77" ht="20.100000000000001" customHeight="1">
      <c r="D47" s="2156"/>
      <c r="E47" s="2157"/>
      <c r="F47" s="2156"/>
      <c r="G47" s="2159"/>
      <c r="H47" s="2159"/>
      <c r="I47" s="2159"/>
      <c r="J47" s="2159"/>
      <c r="K47" s="2159"/>
      <c r="L47" s="2159"/>
      <c r="M47" s="2159"/>
      <c r="N47" s="2159"/>
      <c r="O47" s="2159"/>
      <c r="P47" s="2159"/>
      <c r="Q47" s="2157"/>
      <c r="R47" s="2365">
        <v>0.82</v>
      </c>
      <c r="S47" s="2366"/>
      <c r="T47" s="2367"/>
      <c r="U47" s="2368" t="s">
        <v>2453</v>
      </c>
      <c r="V47" s="2369"/>
      <c r="W47" s="2369"/>
      <c r="X47" s="2369"/>
      <c r="Y47" s="2370"/>
      <c r="AB47" s="1452"/>
      <c r="AC47" s="1564"/>
      <c r="AD47" s="1564"/>
      <c r="AE47" s="1564"/>
      <c r="AF47" s="1564"/>
      <c r="AG47" s="1564"/>
      <c r="AH47" s="1564"/>
      <c r="AI47" s="1564"/>
      <c r="AJ47" s="1564"/>
      <c r="AK47" s="1564"/>
      <c r="AL47" s="1564"/>
      <c r="AM47" s="1564"/>
      <c r="AN47" s="1565"/>
      <c r="AO47" s="1565"/>
      <c r="AP47" s="1565"/>
      <c r="AQ47" s="1565"/>
      <c r="AR47" s="1449"/>
    </row>
    <row r="48" spans="2:77" ht="20.100000000000001" customHeight="1">
      <c r="D48" s="2147" t="s">
        <v>2452</v>
      </c>
      <c r="E48" s="2147"/>
      <c r="F48" s="2147" t="s">
        <v>2451</v>
      </c>
      <c r="G48" s="2147"/>
      <c r="H48" s="2147"/>
      <c r="I48" s="2147"/>
      <c r="J48" s="2147"/>
      <c r="K48" s="2147"/>
      <c r="L48" s="2147"/>
      <c r="M48" s="2147"/>
      <c r="N48" s="2147"/>
      <c r="O48" s="2147"/>
      <c r="P48" s="2147"/>
      <c r="Q48" s="2147"/>
      <c r="R48" s="2148">
        <f>AH21</f>
        <v>17.420000000000002</v>
      </c>
      <c r="S48" s="2149"/>
      <c r="T48" s="2150"/>
      <c r="U48" s="2151"/>
      <c r="V48" s="2152"/>
      <c r="W48" s="2152"/>
      <c r="X48" s="2152"/>
      <c r="Y48" s="2153"/>
      <c r="AB48" s="1448"/>
      <c r="AC48" s="1447"/>
      <c r="AD48" s="1447"/>
      <c r="AE48" s="1447"/>
      <c r="AF48" s="1447"/>
      <c r="AG48" s="1447"/>
      <c r="AH48" s="1447"/>
      <c r="AI48" s="1447"/>
      <c r="AJ48" s="1447"/>
      <c r="AK48" s="1447"/>
      <c r="AL48" s="1447"/>
      <c r="AM48" s="1447"/>
      <c r="AN48" s="1446"/>
      <c r="AO48" s="1446"/>
      <c r="AP48" s="1446"/>
      <c r="AQ48" s="1446"/>
      <c r="AR48" s="1445"/>
    </row>
    <row r="49" spans="4:25" ht="20.100000000000001" customHeight="1">
      <c r="D49" s="1444" t="s">
        <v>2450</v>
      </c>
      <c r="E49" s="1443"/>
      <c r="F49" s="1443"/>
      <c r="G49" s="1443"/>
      <c r="H49" s="1443"/>
      <c r="I49" s="1443"/>
      <c r="J49" s="1443"/>
      <c r="K49" s="1443"/>
      <c r="L49" s="1443"/>
      <c r="M49" s="1443"/>
      <c r="N49" s="1443"/>
      <c r="O49" s="1443"/>
      <c r="P49" s="1443"/>
      <c r="Q49" s="1443"/>
      <c r="R49" s="1443"/>
      <c r="S49" s="1443"/>
      <c r="T49" s="1443"/>
      <c r="U49" s="1443"/>
      <c r="V49" s="1443"/>
      <c r="W49" s="1443"/>
      <c r="X49" s="1443"/>
      <c r="Y49" s="1443"/>
    </row>
    <row r="50" spans="4:25" ht="20.100000000000001" customHeight="1">
      <c r="D50" s="1444" t="s">
        <v>3228</v>
      </c>
      <c r="E50" s="1443"/>
      <c r="F50" s="1443"/>
      <c r="G50" s="1443"/>
      <c r="H50" s="1443"/>
      <c r="I50" s="1443"/>
      <c r="J50" s="1443"/>
      <c r="K50" s="1443"/>
      <c r="L50" s="1443"/>
      <c r="M50" s="1443"/>
      <c r="N50" s="1443"/>
      <c r="O50" s="1443"/>
      <c r="P50" s="1443"/>
      <c r="Q50" s="1443"/>
      <c r="R50" s="1443"/>
      <c r="S50" s="1443"/>
      <c r="T50" s="1443"/>
      <c r="U50" s="1443"/>
      <c r="V50" s="1443"/>
      <c r="W50" s="1443"/>
      <c r="X50" s="1443"/>
      <c r="Y50" s="1443"/>
    </row>
  </sheetData>
  <mergeCells count="166">
    <mergeCell ref="A1:AS1"/>
    <mergeCell ref="C8:J10"/>
    <mergeCell ref="K8:S10"/>
    <mergeCell ref="T8:V10"/>
    <mergeCell ref="W8:AE8"/>
    <mergeCell ref="AF8:AG10"/>
    <mergeCell ref="AH8:AM8"/>
    <mergeCell ref="AN8:AR10"/>
    <mergeCell ref="W9:Y10"/>
    <mergeCell ref="Z9:AB10"/>
    <mergeCell ref="AC9:AE10"/>
    <mergeCell ref="AH9:AJ10"/>
    <mergeCell ref="AK9:AM10"/>
    <mergeCell ref="AN11:AR11"/>
    <mergeCell ref="C12:J12"/>
    <mergeCell ref="K12:S12"/>
    <mergeCell ref="T12:V12"/>
    <mergeCell ref="W12:Y12"/>
    <mergeCell ref="Z12:AB12"/>
    <mergeCell ref="AC12:AE12"/>
    <mergeCell ref="AF12:AG12"/>
    <mergeCell ref="AH12:AJ12"/>
    <mergeCell ref="AK12:AM12"/>
    <mergeCell ref="AN12:AR12"/>
    <mergeCell ref="C11:J11"/>
    <mergeCell ref="K11:S11"/>
    <mergeCell ref="T11:V11"/>
    <mergeCell ref="W11:Y11"/>
    <mergeCell ref="Z11:AB11"/>
    <mergeCell ref="AC11:AE11"/>
    <mergeCell ref="AF11:AG11"/>
    <mergeCell ref="AH11:AJ11"/>
    <mergeCell ref="AK11:AM11"/>
    <mergeCell ref="AN13:AR13"/>
    <mergeCell ref="C14:J14"/>
    <mergeCell ref="K14:S14"/>
    <mergeCell ref="T14:V14"/>
    <mergeCell ref="W14:Y14"/>
    <mergeCell ref="Z14:AB14"/>
    <mergeCell ref="AC14:AE14"/>
    <mergeCell ref="AF14:AG14"/>
    <mergeCell ref="AH14:AJ14"/>
    <mergeCell ref="AK14:AM14"/>
    <mergeCell ref="AN14:AR14"/>
    <mergeCell ref="C13:J13"/>
    <mergeCell ref="K13:S13"/>
    <mergeCell ref="T13:V13"/>
    <mergeCell ref="W13:Y13"/>
    <mergeCell ref="Z13:AB13"/>
    <mergeCell ref="AC13:AE13"/>
    <mergeCell ref="AF13:AG13"/>
    <mergeCell ref="AH13:AJ13"/>
    <mergeCell ref="AK13:AM13"/>
    <mergeCell ref="AN15:AR15"/>
    <mergeCell ref="C16:J16"/>
    <mergeCell ref="K16:S16"/>
    <mergeCell ref="T16:V16"/>
    <mergeCell ref="W16:Y16"/>
    <mergeCell ref="Z16:AB16"/>
    <mergeCell ref="AC16:AE16"/>
    <mergeCell ref="AF16:AG16"/>
    <mergeCell ref="AH16:AJ16"/>
    <mergeCell ref="AK16:AM16"/>
    <mergeCell ref="AN16:AR16"/>
    <mergeCell ref="C15:J15"/>
    <mergeCell ref="K15:S15"/>
    <mergeCell ref="T15:V15"/>
    <mergeCell ref="W15:Y15"/>
    <mergeCell ref="Z15:AB15"/>
    <mergeCell ref="AC15:AE15"/>
    <mergeCell ref="AF15:AG15"/>
    <mergeCell ref="AH15:AJ15"/>
    <mergeCell ref="AK15:AM15"/>
    <mergeCell ref="AN17:AR17"/>
    <mergeCell ref="C18:J18"/>
    <mergeCell ref="K18:S18"/>
    <mergeCell ref="T18:V18"/>
    <mergeCell ref="W18:Y18"/>
    <mergeCell ref="Z18:AB18"/>
    <mergeCell ref="AC18:AE18"/>
    <mergeCell ref="AF18:AG18"/>
    <mergeCell ref="AH18:AJ18"/>
    <mergeCell ref="AK18:AM18"/>
    <mergeCell ref="AN18:AR18"/>
    <mergeCell ref="C17:J17"/>
    <mergeCell ref="K17:S17"/>
    <mergeCell ref="T17:V17"/>
    <mergeCell ref="W17:Y17"/>
    <mergeCell ref="Z17:AB17"/>
    <mergeCell ref="AC17:AE17"/>
    <mergeCell ref="AF17:AG17"/>
    <mergeCell ref="AH17:AJ17"/>
    <mergeCell ref="AK17:AM17"/>
    <mergeCell ref="C21:AG21"/>
    <mergeCell ref="AH21:AJ21"/>
    <mergeCell ref="AK21:AM21"/>
    <mergeCell ref="AN21:AR21"/>
    <mergeCell ref="AH19:AJ19"/>
    <mergeCell ref="AK19:AM19"/>
    <mergeCell ref="AN19:AR19"/>
    <mergeCell ref="C20:S20"/>
    <mergeCell ref="T20:V20"/>
    <mergeCell ref="W20:Y20"/>
    <mergeCell ref="Z20:AB20"/>
    <mergeCell ref="AC20:AE20"/>
    <mergeCell ref="AF20:AG20"/>
    <mergeCell ref="AH20:AJ20"/>
    <mergeCell ref="C19:J19"/>
    <mergeCell ref="K19:S19"/>
    <mergeCell ref="T19:V19"/>
    <mergeCell ref="W19:Y19"/>
    <mergeCell ref="Z19:AB19"/>
    <mergeCell ref="AC19:AE19"/>
    <mergeCell ref="AF19:AG19"/>
    <mergeCell ref="AK20:AM20"/>
    <mergeCell ref="AN20:AR20"/>
    <mergeCell ref="D28:E28"/>
    <mergeCell ref="F28:Q28"/>
    <mergeCell ref="R28:T28"/>
    <mergeCell ref="U28:Y28"/>
    <mergeCell ref="AE28:AH28"/>
    <mergeCell ref="D29:E29"/>
    <mergeCell ref="F29:Q29"/>
    <mergeCell ref="R29:T29"/>
    <mergeCell ref="U29:Y29"/>
    <mergeCell ref="AE29:AH29"/>
    <mergeCell ref="D40:E40"/>
    <mergeCell ref="F40:Q40"/>
    <mergeCell ref="R40:T40"/>
    <mergeCell ref="U40:Y40"/>
    <mergeCell ref="D41:E41"/>
    <mergeCell ref="F41:Q41"/>
    <mergeCell ref="R41:T41"/>
    <mergeCell ref="U41:Y41"/>
    <mergeCell ref="D30:E30"/>
    <mergeCell ref="F30:Q30"/>
    <mergeCell ref="R30:T30"/>
    <mergeCell ref="U30:Y30"/>
    <mergeCell ref="D31:E31"/>
    <mergeCell ref="F31:Q31"/>
    <mergeCell ref="R31:T31"/>
    <mergeCell ref="U31:Y31"/>
    <mergeCell ref="D42:E44"/>
    <mergeCell ref="F42:Q44"/>
    <mergeCell ref="R42:T42"/>
    <mergeCell ref="U42:Y42"/>
    <mergeCell ref="AE42:AH42"/>
    <mergeCell ref="R43:T43"/>
    <mergeCell ref="U43:Y43"/>
    <mergeCell ref="AE43:AH43"/>
    <mergeCell ref="R44:T44"/>
    <mergeCell ref="U44:Y44"/>
    <mergeCell ref="D48:E48"/>
    <mergeCell ref="F48:Q48"/>
    <mergeCell ref="R48:T48"/>
    <mergeCell ref="U48:Y48"/>
    <mergeCell ref="D45:E45"/>
    <mergeCell ref="F45:Q45"/>
    <mergeCell ref="R45:T45"/>
    <mergeCell ref="U45:Y45"/>
    <mergeCell ref="D46:E47"/>
    <mergeCell ref="F46:Q47"/>
    <mergeCell ref="R46:T46"/>
    <mergeCell ref="U46:Y46"/>
    <mergeCell ref="R47:T47"/>
    <mergeCell ref="U47:Y47"/>
  </mergeCells>
  <phoneticPr fontId="60" type="noConversion"/>
  <printOptions horizontalCentered="1"/>
  <pageMargins left="0.23622047244094491" right="0.23622047244094491" top="0.74803149606299213" bottom="0.74803149606299213" header="0.31496062992125984" footer="0.31496062992125984"/>
  <pageSetup paperSize="9" scale="73" orientation="portrait" horizontalDpi="1200" verticalDpi="1200"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3FF3B-BBB9-4DD7-85BF-7A5D94D12F53}">
  <dimension ref="A1:CO111"/>
  <sheetViews>
    <sheetView view="pageBreakPreview" topLeftCell="A30" zoomScale="85" zoomScaleNormal="55" zoomScaleSheetLayoutView="85" workbookViewId="0">
      <selection activeCell="J28" sqref="J28:R28"/>
    </sheetView>
  </sheetViews>
  <sheetFormatPr defaultRowHeight="20.100000000000001" customHeight="1"/>
  <cols>
    <col min="1" max="2" width="1.75" style="1443" customWidth="1"/>
    <col min="3" max="8" width="2.75" style="1443" customWidth="1"/>
    <col min="9" max="9" width="3.625" style="1443" customWidth="1"/>
    <col min="10" max="18" width="2.625" style="1443" customWidth="1"/>
    <col min="19" max="27" width="2.75" style="1443" customWidth="1"/>
    <col min="28" max="30" width="2.875" style="1443" customWidth="1"/>
    <col min="31" max="32" width="3.125" style="1443" customWidth="1"/>
    <col min="33" max="35" width="2.375" style="1443" customWidth="1"/>
    <col min="36" max="38" width="2.75" style="1443" customWidth="1"/>
    <col min="39" max="43" width="2" style="1443" customWidth="1"/>
    <col min="44" max="44" width="3.25" style="1443" customWidth="1"/>
    <col min="45" max="91" width="2.75" style="1443" customWidth="1"/>
    <col min="92" max="16384" width="9" style="1443"/>
  </cols>
  <sheetData>
    <row r="1" spans="1:48" ht="38.25">
      <c r="A1" s="2335" t="s">
        <v>2966</v>
      </c>
      <c r="B1" s="2335"/>
      <c r="C1" s="2335"/>
      <c r="D1" s="2335"/>
      <c r="E1" s="2335"/>
      <c r="F1" s="2335"/>
      <c r="G1" s="2335"/>
      <c r="H1" s="2335"/>
      <c r="I1" s="2335"/>
      <c r="J1" s="2335"/>
      <c r="K1" s="2335"/>
      <c r="L1" s="2335"/>
      <c r="M1" s="2335"/>
      <c r="N1" s="2335"/>
      <c r="O1" s="2335"/>
      <c r="P1" s="2335"/>
      <c r="Q1" s="2335"/>
      <c r="R1" s="2335"/>
      <c r="S1" s="2335"/>
      <c r="T1" s="2335"/>
      <c r="U1" s="2335"/>
      <c r="V1" s="2335"/>
      <c r="W1" s="2335"/>
      <c r="X1" s="2335"/>
      <c r="Y1" s="2335"/>
      <c r="Z1" s="2335"/>
      <c r="AA1" s="2335"/>
      <c r="AB1" s="2335"/>
      <c r="AC1" s="2335"/>
      <c r="AD1" s="2335"/>
      <c r="AE1" s="2335"/>
      <c r="AF1" s="2335"/>
      <c r="AG1" s="2335"/>
      <c r="AH1" s="2335"/>
      <c r="AI1" s="2335"/>
      <c r="AJ1" s="2335"/>
      <c r="AK1" s="2335"/>
      <c r="AL1" s="2335"/>
      <c r="AM1" s="2335"/>
      <c r="AN1" s="2335"/>
      <c r="AO1" s="2335"/>
      <c r="AP1" s="2335"/>
      <c r="AQ1" s="2335"/>
      <c r="AR1" s="2335"/>
      <c r="AS1" s="1495"/>
      <c r="AT1" s="1469"/>
      <c r="AU1" s="1469"/>
      <c r="AV1" s="1469"/>
    </row>
    <row r="2" spans="1:48" ht="20.100000000000001" customHeight="1">
      <c r="A2" s="1485"/>
      <c r="B2" s="1485"/>
      <c r="C2" s="1485"/>
      <c r="D2" s="1485"/>
      <c r="E2" s="1485"/>
      <c r="F2" s="1485"/>
      <c r="G2" s="1485"/>
      <c r="H2" s="1485"/>
      <c r="I2" s="1485"/>
      <c r="J2" s="1485"/>
      <c r="K2" s="1485"/>
      <c r="L2" s="1485"/>
      <c r="M2" s="1485"/>
      <c r="N2" s="1485"/>
      <c r="O2" s="1485"/>
      <c r="P2" s="1485"/>
      <c r="Q2" s="1485"/>
      <c r="R2" s="1485"/>
      <c r="S2" s="1485"/>
      <c r="T2" s="1485"/>
      <c r="U2" s="1485"/>
      <c r="V2" s="1485"/>
      <c r="W2" s="1485"/>
      <c r="X2" s="1485"/>
      <c r="Y2" s="1485"/>
      <c r="Z2" s="1485"/>
      <c r="AA2" s="1485"/>
      <c r="AB2" s="1485"/>
      <c r="AC2" s="1485"/>
      <c r="AD2" s="1485"/>
      <c r="AE2" s="1485"/>
      <c r="AF2" s="1485"/>
      <c r="AG2" s="1485"/>
      <c r="AH2" s="1485"/>
      <c r="AI2" s="1485"/>
      <c r="AJ2" s="1485"/>
      <c r="AK2" s="1485"/>
      <c r="AL2" s="1485"/>
      <c r="AM2" s="1485"/>
      <c r="AN2" s="1485"/>
      <c r="AO2" s="1485"/>
      <c r="AP2" s="1485"/>
      <c r="AQ2" s="1485"/>
      <c r="AS2" s="1494"/>
      <c r="AT2" s="1444"/>
      <c r="AU2" s="1444"/>
      <c r="AV2" s="1444"/>
    </row>
    <row r="3" spans="1:48" ht="20.100000000000001" customHeight="1">
      <c r="A3" s="1486" t="s">
        <v>2514</v>
      </c>
      <c r="B3" s="1486"/>
      <c r="C3" s="1485"/>
      <c r="D3" s="1485"/>
      <c r="E3" s="1485"/>
      <c r="F3" s="1485"/>
      <c r="G3" s="1485"/>
      <c r="H3" s="1485"/>
      <c r="I3" s="1485"/>
      <c r="J3" s="1485"/>
      <c r="K3" s="1485"/>
      <c r="L3" s="1485"/>
      <c r="M3" s="1485"/>
      <c r="N3" s="1485"/>
      <c r="O3" s="1485"/>
      <c r="P3" s="1485"/>
      <c r="Q3" s="1485"/>
      <c r="R3" s="1485"/>
      <c r="S3" s="1485"/>
      <c r="T3" s="1485"/>
      <c r="U3" s="1485"/>
      <c r="V3" s="1485"/>
      <c r="W3" s="1485"/>
      <c r="X3" s="1485"/>
      <c r="Y3" s="1485"/>
      <c r="Z3" s="1485"/>
      <c r="AA3" s="1485"/>
      <c r="AB3" s="1485"/>
      <c r="AC3" s="1485"/>
      <c r="AD3" s="1485"/>
      <c r="AE3" s="1485"/>
      <c r="AF3" s="1485"/>
      <c r="AG3" s="1485"/>
      <c r="AH3" s="1485"/>
      <c r="AI3" s="1485"/>
      <c r="AJ3" s="1485"/>
      <c r="AK3" s="1485"/>
      <c r="AL3" s="1485"/>
      <c r="AM3" s="1485"/>
      <c r="AN3" s="1485"/>
      <c r="AO3" s="1485"/>
      <c r="AP3" s="1485"/>
      <c r="AQ3" s="1485"/>
      <c r="AR3" s="1485"/>
      <c r="AS3" s="1485"/>
      <c r="AT3" s="1444"/>
      <c r="AU3" s="1444"/>
      <c r="AV3" s="1444"/>
    </row>
    <row r="4" spans="1:48" s="1444" customFormat="1" ht="20.100000000000001" customHeight="1">
      <c r="B4" s="1444" t="s">
        <v>2970</v>
      </c>
    </row>
    <row r="5" spans="1:48" s="1444" customFormat="1" ht="20.100000000000001" customHeight="1"/>
    <row r="6" spans="1:48" ht="20.100000000000001" customHeight="1">
      <c r="A6" s="1486" t="s">
        <v>2513</v>
      </c>
      <c r="B6" s="1486"/>
      <c r="C6" s="1485"/>
      <c r="D6" s="1485"/>
      <c r="E6" s="1485"/>
      <c r="F6" s="1485"/>
      <c r="G6" s="1485"/>
      <c r="H6" s="1485"/>
      <c r="I6" s="1485"/>
      <c r="J6" s="1485"/>
      <c r="K6" s="1485"/>
      <c r="L6" s="1485"/>
      <c r="M6" s="1485"/>
      <c r="N6" s="1485"/>
      <c r="O6" s="1485"/>
      <c r="P6" s="1485"/>
      <c r="Q6" s="1485"/>
      <c r="R6" s="1485"/>
      <c r="S6" s="1485"/>
      <c r="T6" s="1485"/>
      <c r="U6" s="1485"/>
      <c r="V6" s="1485"/>
      <c r="W6" s="1485"/>
      <c r="X6" s="1485"/>
      <c r="Y6" s="1485"/>
      <c r="Z6" s="1485"/>
      <c r="AA6" s="1485"/>
      <c r="AB6" s="1485"/>
      <c r="AC6" s="1485"/>
      <c r="AD6" s="1485"/>
      <c r="AE6" s="1485"/>
      <c r="AF6" s="1485"/>
      <c r="AG6" s="1485"/>
      <c r="AH6" s="1485"/>
      <c r="AI6" s="1485"/>
      <c r="AJ6" s="1485"/>
      <c r="AK6" s="1485"/>
      <c r="AL6" s="1485"/>
      <c r="AM6" s="1485"/>
      <c r="AN6" s="1485"/>
      <c r="AO6" s="1485"/>
      <c r="AP6" s="1485"/>
      <c r="AQ6" s="1485"/>
      <c r="AR6" s="1485"/>
      <c r="AS6" s="1485"/>
      <c r="AT6" s="1444"/>
      <c r="AU6" s="1444"/>
      <c r="AV6" s="1444"/>
    </row>
    <row r="7" spans="1:48" s="1444" customFormat="1" ht="20.100000000000001" customHeight="1">
      <c r="B7" s="1444" t="s">
        <v>2570</v>
      </c>
    </row>
    <row r="8" spans="1:48" s="1444" customFormat="1" ht="20.100000000000001" customHeight="1">
      <c r="C8" s="2336" t="s">
        <v>2511</v>
      </c>
      <c r="D8" s="2337"/>
      <c r="E8" s="2337"/>
      <c r="F8" s="2337"/>
      <c r="G8" s="2337"/>
      <c r="H8" s="2337"/>
      <c r="I8" s="2337"/>
      <c r="J8" s="2337" t="s">
        <v>2510</v>
      </c>
      <c r="K8" s="2337"/>
      <c r="L8" s="2337"/>
      <c r="M8" s="2337"/>
      <c r="N8" s="2337"/>
      <c r="O8" s="2337"/>
      <c r="P8" s="2337"/>
      <c r="Q8" s="2337"/>
      <c r="R8" s="2337"/>
      <c r="S8" s="2337" t="s">
        <v>817</v>
      </c>
      <c r="T8" s="2337"/>
      <c r="U8" s="2342"/>
      <c r="V8" s="2345" t="s">
        <v>2509</v>
      </c>
      <c r="W8" s="2346"/>
      <c r="X8" s="2346"/>
      <c r="Y8" s="2346"/>
      <c r="Z8" s="2346"/>
      <c r="AA8" s="2346"/>
      <c r="AB8" s="2346"/>
      <c r="AC8" s="2346"/>
      <c r="AD8" s="2347"/>
      <c r="AE8" s="2348" t="s">
        <v>2508</v>
      </c>
      <c r="AF8" s="2342"/>
      <c r="AG8" s="2345" t="s">
        <v>2507</v>
      </c>
      <c r="AH8" s="2346"/>
      <c r="AI8" s="2346"/>
      <c r="AJ8" s="2346"/>
      <c r="AK8" s="2346"/>
      <c r="AL8" s="2347"/>
      <c r="AM8" s="2348" t="s">
        <v>825</v>
      </c>
      <c r="AN8" s="2337"/>
      <c r="AO8" s="2337"/>
      <c r="AP8" s="2337"/>
      <c r="AQ8" s="2351"/>
    </row>
    <row r="9" spans="1:48" s="1444" customFormat="1" ht="20.100000000000001" customHeight="1">
      <c r="C9" s="2338"/>
      <c r="D9" s="2339"/>
      <c r="E9" s="2339"/>
      <c r="F9" s="2339"/>
      <c r="G9" s="2339"/>
      <c r="H9" s="2339"/>
      <c r="I9" s="2339"/>
      <c r="J9" s="2339"/>
      <c r="K9" s="2339"/>
      <c r="L9" s="2339"/>
      <c r="M9" s="2339"/>
      <c r="N9" s="2339"/>
      <c r="O9" s="2339"/>
      <c r="P9" s="2339"/>
      <c r="Q9" s="2339"/>
      <c r="R9" s="2339"/>
      <c r="S9" s="2339"/>
      <c r="T9" s="2339"/>
      <c r="U9" s="2343"/>
      <c r="V9" s="2354" t="s">
        <v>2506</v>
      </c>
      <c r="W9" s="2355"/>
      <c r="X9" s="2355"/>
      <c r="Y9" s="2358" t="s">
        <v>2505</v>
      </c>
      <c r="Z9" s="2355"/>
      <c r="AA9" s="2355"/>
      <c r="AB9" s="2358" t="s">
        <v>2569</v>
      </c>
      <c r="AC9" s="2355"/>
      <c r="AD9" s="2359"/>
      <c r="AE9" s="2349"/>
      <c r="AF9" s="2343"/>
      <c r="AG9" s="2354" t="s">
        <v>2568</v>
      </c>
      <c r="AH9" s="2358"/>
      <c r="AI9" s="2358"/>
      <c r="AJ9" s="2358" t="s">
        <v>2567</v>
      </c>
      <c r="AK9" s="2358"/>
      <c r="AL9" s="2363"/>
      <c r="AM9" s="2349"/>
      <c r="AN9" s="2339"/>
      <c r="AO9" s="2339"/>
      <c r="AP9" s="2339"/>
      <c r="AQ9" s="2352"/>
    </row>
    <row r="10" spans="1:48" s="1444" customFormat="1" ht="20.100000000000001" customHeight="1">
      <c r="C10" s="2340"/>
      <c r="D10" s="2341"/>
      <c r="E10" s="2341"/>
      <c r="F10" s="2341"/>
      <c r="G10" s="2341"/>
      <c r="H10" s="2341"/>
      <c r="I10" s="2341"/>
      <c r="J10" s="2341"/>
      <c r="K10" s="2341"/>
      <c r="L10" s="2341"/>
      <c r="M10" s="2341"/>
      <c r="N10" s="2341"/>
      <c r="O10" s="2341"/>
      <c r="P10" s="2341"/>
      <c r="Q10" s="2341"/>
      <c r="R10" s="2341"/>
      <c r="S10" s="2341"/>
      <c r="T10" s="2341"/>
      <c r="U10" s="2344"/>
      <c r="V10" s="2356"/>
      <c r="W10" s="2357"/>
      <c r="X10" s="2357"/>
      <c r="Y10" s="2357"/>
      <c r="Z10" s="2357"/>
      <c r="AA10" s="2357"/>
      <c r="AB10" s="2357"/>
      <c r="AC10" s="2357"/>
      <c r="AD10" s="2360"/>
      <c r="AE10" s="2350"/>
      <c r="AF10" s="2344"/>
      <c r="AG10" s="2361"/>
      <c r="AH10" s="2362"/>
      <c r="AI10" s="2362"/>
      <c r="AJ10" s="2362"/>
      <c r="AK10" s="2362"/>
      <c r="AL10" s="2364"/>
      <c r="AM10" s="2350"/>
      <c r="AN10" s="2341"/>
      <c r="AO10" s="2341"/>
      <c r="AP10" s="2341"/>
      <c r="AQ10" s="2353"/>
    </row>
    <row r="11" spans="1:48" s="1444" customFormat="1" ht="20.100000000000001" customHeight="1">
      <c r="C11" s="2292" t="s">
        <v>2566</v>
      </c>
      <c r="D11" s="2284"/>
      <c r="E11" s="2284"/>
      <c r="F11" s="2284"/>
      <c r="G11" s="2284"/>
      <c r="H11" s="2284"/>
      <c r="I11" s="2284"/>
      <c r="J11" s="2284" t="s">
        <v>2565</v>
      </c>
      <c r="K11" s="2284"/>
      <c r="L11" s="2284"/>
      <c r="M11" s="2284"/>
      <c r="N11" s="2284"/>
      <c r="O11" s="2284"/>
      <c r="P11" s="2284"/>
      <c r="Q11" s="2284"/>
      <c r="R11" s="2284"/>
      <c r="S11" s="2284" t="s">
        <v>2536</v>
      </c>
      <c r="T11" s="2284"/>
      <c r="U11" s="2285"/>
      <c r="V11" s="2286">
        <v>220</v>
      </c>
      <c r="W11" s="2287"/>
      <c r="X11" s="2287"/>
      <c r="Y11" s="2288">
        <v>1</v>
      </c>
      <c r="Z11" s="2288"/>
      <c r="AA11" s="2288"/>
      <c r="AB11" s="2287">
        <f t="shared" ref="AB11:AB17" si="0">V11*Y11</f>
        <v>220</v>
      </c>
      <c r="AC11" s="2287"/>
      <c r="AD11" s="2289"/>
      <c r="AE11" s="2290">
        <v>1</v>
      </c>
      <c r="AF11" s="2291"/>
      <c r="AG11" s="2277">
        <f t="shared" ref="AG11:AG17" si="1">Y11*AE11</f>
        <v>1</v>
      </c>
      <c r="AH11" s="2278"/>
      <c r="AI11" s="2278"/>
      <c r="AJ11" s="2279">
        <f t="shared" ref="AJ11:AJ17" si="2">AB11*AE11</f>
        <v>220</v>
      </c>
      <c r="AK11" s="2279"/>
      <c r="AL11" s="2280"/>
      <c r="AM11" s="2303" t="s">
        <v>2564</v>
      </c>
      <c r="AN11" s="2304"/>
      <c r="AO11" s="2304"/>
      <c r="AP11" s="2304"/>
      <c r="AQ11" s="2305"/>
    </row>
    <row r="12" spans="1:48" s="1444" customFormat="1" ht="20.100000000000001" customHeight="1">
      <c r="C12" s="2292" t="s">
        <v>2563</v>
      </c>
      <c r="D12" s="2284"/>
      <c r="E12" s="2284"/>
      <c r="F12" s="2284"/>
      <c r="G12" s="2284"/>
      <c r="H12" s="2284"/>
      <c r="I12" s="2284"/>
      <c r="J12" s="2284" t="s">
        <v>2562</v>
      </c>
      <c r="K12" s="2284"/>
      <c r="L12" s="2284"/>
      <c r="M12" s="2284"/>
      <c r="N12" s="2284"/>
      <c r="O12" s="2284"/>
      <c r="P12" s="2284"/>
      <c r="Q12" s="2284"/>
      <c r="R12" s="2284"/>
      <c r="S12" s="2284" t="s">
        <v>2536</v>
      </c>
      <c r="T12" s="2284"/>
      <c r="U12" s="2285"/>
      <c r="V12" s="2286">
        <v>220</v>
      </c>
      <c r="W12" s="2287"/>
      <c r="X12" s="2287"/>
      <c r="Y12" s="2288">
        <v>7</v>
      </c>
      <c r="Z12" s="2288"/>
      <c r="AA12" s="2288"/>
      <c r="AB12" s="2287">
        <f t="shared" si="0"/>
        <v>1540</v>
      </c>
      <c r="AC12" s="2287"/>
      <c r="AD12" s="2289"/>
      <c r="AE12" s="2290">
        <v>0</v>
      </c>
      <c r="AF12" s="2291"/>
      <c r="AG12" s="2277">
        <f t="shared" si="1"/>
        <v>0</v>
      </c>
      <c r="AH12" s="2278"/>
      <c r="AI12" s="2278"/>
      <c r="AJ12" s="2279">
        <f t="shared" si="2"/>
        <v>0</v>
      </c>
      <c r="AK12" s="2279"/>
      <c r="AL12" s="2280"/>
      <c r="AM12" s="2332"/>
      <c r="AN12" s="2333"/>
      <c r="AO12" s="2333"/>
      <c r="AP12" s="2333"/>
      <c r="AQ12" s="2334"/>
    </row>
    <row r="13" spans="1:48" s="1444" customFormat="1" ht="20.100000000000001" customHeight="1">
      <c r="C13" s="2292" t="s">
        <v>2561</v>
      </c>
      <c r="D13" s="2284"/>
      <c r="E13" s="2284"/>
      <c r="F13" s="2284"/>
      <c r="G13" s="2284"/>
      <c r="H13" s="2284"/>
      <c r="I13" s="2284"/>
      <c r="J13" s="2284" t="s">
        <v>2560</v>
      </c>
      <c r="K13" s="2284"/>
      <c r="L13" s="2284"/>
      <c r="M13" s="2284"/>
      <c r="N13" s="2284"/>
      <c r="O13" s="2284"/>
      <c r="P13" s="2284"/>
      <c r="Q13" s="2284"/>
      <c r="R13" s="2284"/>
      <c r="S13" s="2284" t="s">
        <v>2536</v>
      </c>
      <c r="T13" s="2284"/>
      <c r="U13" s="2285"/>
      <c r="V13" s="2286">
        <v>220</v>
      </c>
      <c r="W13" s="2287"/>
      <c r="X13" s="2287"/>
      <c r="Y13" s="2288">
        <v>0.2</v>
      </c>
      <c r="Z13" s="2288"/>
      <c r="AA13" s="2288"/>
      <c r="AB13" s="2287">
        <f t="shared" si="0"/>
        <v>44</v>
      </c>
      <c r="AC13" s="2287"/>
      <c r="AD13" s="2289"/>
      <c r="AE13" s="2290">
        <v>0</v>
      </c>
      <c r="AF13" s="2291"/>
      <c r="AG13" s="2277">
        <f t="shared" si="1"/>
        <v>0</v>
      </c>
      <c r="AH13" s="2278"/>
      <c r="AI13" s="2278"/>
      <c r="AJ13" s="2279">
        <f t="shared" si="2"/>
        <v>0</v>
      </c>
      <c r="AK13" s="2279"/>
      <c r="AL13" s="2280"/>
      <c r="AM13" s="2332"/>
      <c r="AN13" s="2333"/>
      <c r="AO13" s="2333"/>
      <c r="AP13" s="2333"/>
      <c r="AQ13" s="2334"/>
    </row>
    <row r="14" spans="1:48" s="1444" customFormat="1" ht="20.100000000000001" customHeight="1">
      <c r="C14" s="2292" t="s">
        <v>2559</v>
      </c>
      <c r="D14" s="2284"/>
      <c r="E14" s="2284"/>
      <c r="F14" s="2284"/>
      <c r="G14" s="2284"/>
      <c r="H14" s="2284"/>
      <c r="I14" s="2284"/>
      <c r="J14" s="2284" t="s">
        <v>938</v>
      </c>
      <c r="K14" s="2284"/>
      <c r="L14" s="2284"/>
      <c r="M14" s="2284"/>
      <c r="N14" s="2284"/>
      <c r="O14" s="2284"/>
      <c r="P14" s="2284"/>
      <c r="Q14" s="2284"/>
      <c r="R14" s="2284"/>
      <c r="S14" s="2284" t="s">
        <v>2536</v>
      </c>
      <c r="T14" s="2284"/>
      <c r="U14" s="2285"/>
      <c r="V14" s="2286">
        <v>220</v>
      </c>
      <c r="W14" s="2287"/>
      <c r="X14" s="2287"/>
      <c r="Y14" s="2288">
        <v>0.2</v>
      </c>
      <c r="Z14" s="2288"/>
      <c r="AA14" s="2288"/>
      <c r="AB14" s="2287">
        <f t="shared" si="0"/>
        <v>44</v>
      </c>
      <c r="AC14" s="2287"/>
      <c r="AD14" s="2289"/>
      <c r="AE14" s="2295">
        <v>0</v>
      </c>
      <c r="AF14" s="2296"/>
      <c r="AG14" s="2277">
        <f t="shared" si="1"/>
        <v>0</v>
      </c>
      <c r="AH14" s="2278"/>
      <c r="AI14" s="2278"/>
      <c r="AJ14" s="2279">
        <f t="shared" si="2"/>
        <v>0</v>
      </c>
      <c r="AK14" s="2279"/>
      <c r="AL14" s="2280"/>
      <c r="AM14" s="2283"/>
      <c r="AN14" s="2284"/>
      <c r="AO14" s="2284"/>
      <c r="AP14" s="2284"/>
      <c r="AQ14" s="2306"/>
    </row>
    <row r="15" spans="1:48" s="1444" customFormat="1" ht="20.100000000000001" customHeight="1">
      <c r="C15" s="2292" t="s">
        <v>2558</v>
      </c>
      <c r="D15" s="2284"/>
      <c r="E15" s="2284"/>
      <c r="F15" s="2284"/>
      <c r="G15" s="2284"/>
      <c r="H15" s="2284"/>
      <c r="I15" s="2284"/>
      <c r="J15" s="2284" t="s">
        <v>2557</v>
      </c>
      <c r="K15" s="2284"/>
      <c r="L15" s="2284"/>
      <c r="M15" s="2284"/>
      <c r="N15" s="2284"/>
      <c r="O15" s="2284"/>
      <c r="P15" s="2284"/>
      <c r="Q15" s="2284"/>
      <c r="R15" s="2284"/>
      <c r="S15" s="2284" t="s">
        <v>2536</v>
      </c>
      <c r="T15" s="2284"/>
      <c r="U15" s="2285"/>
      <c r="V15" s="2286">
        <v>220</v>
      </c>
      <c r="W15" s="2287"/>
      <c r="X15" s="2287"/>
      <c r="Y15" s="2288">
        <v>3</v>
      </c>
      <c r="Z15" s="2288"/>
      <c r="AA15" s="2288"/>
      <c r="AB15" s="2287">
        <f t="shared" si="0"/>
        <v>660</v>
      </c>
      <c r="AC15" s="2287"/>
      <c r="AD15" s="2289"/>
      <c r="AE15" s="2290">
        <v>0</v>
      </c>
      <c r="AF15" s="2291"/>
      <c r="AG15" s="2277">
        <f t="shared" si="1"/>
        <v>0</v>
      </c>
      <c r="AH15" s="2278"/>
      <c r="AI15" s="2278"/>
      <c r="AJ15" s="2279">
        <f t="shared" si="2"/>
        <v>0</v>
      </c>
      <c r="AK15" s="2279"/>
      <c r="AL15" s="2280"/>
      <c r="AM15" s="2283"/>
      <c r="AN15" s="2284"/>
      <c r="AO15" s="2284"/>
      <c r="AP15" s="2284"/>
      <c r="AQ15" s="2306"/>
    </row>
    <row r="16" spans="1:48" s="1444" customFormat="1" ht="20.100000000000001" customHeight="1">
      <c r="C16" s="2292" t="s">
        <v>2556</v>
      </c>
      <c r="D16" s="2284"/>
      <c r="E16" s="2284"/>
      <c r="F16" s="2284"/>
      <c r="G16" s="2284"/>
      <c r="H16" s="2284"/>
      <c r="I16" s="2284"/>
      <c r="J16" s="2284" t="s">
        <v>2555</v>
      </c>
      <c r="K16" s="2284"/>
      <c r="L16" s="2284"/>
      <c r="M16" s="2284"/>
      <c r="N16" s="2284"/>
      <c r="O16" s="2284"/>
      <c r="P16" s="2284"/>
      <c r="Q16" s="2284"/>
      <c r="R16" s="2284"/>
      <c r="S16" s="2284" t="s">
        <v>2536</v>
      </c>
      <c r="T16" s="2284"/>
      <c r="U16" s="2285"/>
      <c r="V16" s="2286">
        <v>220</v>
      </c>
      <c r="W16" s="2287"/>
      <c r="X16" s="2287"/>
      <c r="Y16" s="2288">
        <v>1</v>
      </c>
      <c r="Z16" s="2288"/>
      <c r="AA16" s="2288"/>
      <c r="AB16" s="2287">
        <f t="shared" si="0"/>
        <v>220</v>
      </c>
      <c r="AC16" s="2287"/>
      <c r="AD16" s="2289"/>
      <c r="AE16" s="2290">
        <v>1</v>
      </c>
      <c r="AF16" s="2291"/>
      <c r="AG16" s="2277">
        <f t="shared" si="1"/>
        <v>1</v>
      </c>
      <c r="AH16" s="2278"/>
      <c r="AI16" s="2278"/>
      <c r="AJ16" s="2279">
        <f t="shared" si="2"/>
        <v>220</v>
      </c>
      <c r="AK16" s="2279"/>
      <c r="AL16" s="2280"/>
      <c r="AM16" s="2283"/>
      <c r="AN16" s="2284"/>
      <c r="AO16" s="2284"/>
      <c r="AP16" s="2284"/>
      <c r="AQ16" s="2306"/>
    </row>
    <row r="17" spans="3:43" s="1444" customFormat="1" ht="20.100000000000001" customHeight="1">
      <c r="C17" s="2292" t="s">
        <v>2554</v>
      </c>
      <c r="D17" s="2284"/>
      <c r="E17" s="2284"/>
      <c r="F17" s="2284"/>
      <c r="G17" s="2284"/>
      <c r="H17" s="2284"/>
      <c r="I17" s="2284"/>
      <c r="J17" s="2284" t="s">
        <v>2553</v>
      </c>
      <c r="K17" s="2284"/>
      <c r="L17" s="2284"/>
      <c r="M17" s="2284"/>
      <c r="N17" s="2284"/>
      <c r="O17" s="2284"/>
      <c r="P17" s="2284"/>
      <c r="Q17" s="2284"/>
      <c r="R17" s="2284"/>
      <c r="S17" s="2284" t="s">
        <v>2536</v>
      </c>
      <c r="T17" s="2284"/>
      <c r="U17" s="2285"/>
      <c r="V17" s="2286">
        <v>220</v>
      </c>
      <c r="W17" s="2287"/>
      <c r="X17" s="2287"/>
      <c r="Y17" s="2288">
        <v>1.2</v>
      </c>
      <c r="Z17" s="2288"/>
      <c r="AA17" s="2288"/>
      <c r="AB17" s="2287">
        <f t="shared" si="0"/>
        <v>264</v>
      </c>
      <c r="AC17" s="2287"/>
      <c r="AD17" s="2289"/>
      <c r="AE17" s="2290">
        <v>0</v>
      </c>
      <c r="AF17" s="2291"/>
      <c r="AG17" s="2277">
        <f t="shared" si="1"/>
        <v>0</v>
      </c>
      <c r="AH17" s="2278"/>
      <c r="AI17" s="2278"/>
      <c r="AJ17" s="2279">
        <f t="shared" si="2"/>
        <v>0</v>
      </c>
      <c r="AK17" s="2279"/>
      <c r="AL17" s="2280"/>
      <c r="AM17" s="2283"/>
      <c r="AN17" s="2284"/>
      <c r="AO17" s="2284"/>
      <c r="AP17" s="2284"/>
      <c r="AQ17" s="2306"/>
    </row>
    <row r="18" spans="3:43" s="1444" customFormat="1" ht="20.100000000000001" customHeight="1">
      <c r="C18" s="2317" t="s">
        <v>2535</v>
      </c>
      <c r="D18" s="2318"/>
      <c r="E18" s="2318"/>
      <c r="F18" s="2318"/>
      <c r="G18" s="2318"/>
      <c r="H18" s="2318"/>
      <c r="I18" s="2318"/>
      <c r="J18" s="2318"/>
      <c r="K18" s="2318"/>
      <c r="L18" s="2318"/>
      <c r="M18" s="2318"/>
      <c r="N18" s="2318"/>
      <c r="O18" s="2318"/>
      <c r="P18" s="2318"/>
      <c r="Q18" s="2318"/>
      <c r="R18" s="2318"/>
      <c r="S18" s="2318"/>
      <c r="T18" s="2318"/>
      <c r="U18" s="2318"/>
      <c r="V18" s="2318"/>
      <c r="W18" s="2318"/>
      <c r="X18" s="2318"/>
      <c r="Y18" s="2318"/>
      <c r="Z18" s="2318"/>
      <c r="AA18" s="2318"/>
      <c r="AB18" s="2318"/>
      <c r="AC18" s="2318"/>
      <c r="AD18" s="2318"/>
      <c r="AE18" s="2318"/>
      <c r="AF18" s="2319"/>
      <c r="AG18" s="2313">
        <f>SUM(AG11:AI17)</f>
        <v>2</v>
      </c>
      <c r="AH18" s="2314"/>
      <c r="AI18" s="2314"/>
      <c r="AJ18" s="2315">
        <f>SUM(AJ11:AL17)</f>
        <v>440</v>
      </c>
      <c r="AK18" s="2315"/>
      <c r="AL18" s="2316"/>
      <c r="AM18" s="2307"/>
      <c r="AN18" s="2308"/>
      <c r="AO18" s="2308"/>
      <c r="AP18" s="2308"/>
      <c r="AQ18" s="2309"/>
    </row>
    <row r="19" spans="3:43" s="1444" customFormat="1" ht="20.100000000000001" customHeight="1">
      <c r="C19" s="2320" t="s">
        <v>2413</v>
      </c>
      <c r="D19" s="2304"/>
      <c r="E19" s="2304"/>
      <c r="F19" s="2304"/>
      <c r="G19" s="2304"/>
      <c r="H19" s="2304"/>
      <c r="I19" s="2304"/>
      <c r="J19" s="2304" t="s">
        <v>2552</v>
      </c>
      <c r="K19" s="2304"/>
      <c r="L19" s="2304"/>
      <c r="M19" s="2304"/>
      <c r="N19" s="2304"/>
      <c r="O19" s="2304"/>
      <c r="P19" s="2304"/>
      <c r="Q19" s="2304"/>
      <c r="R19" s="2304"/>
      <c r="S19" s="2304" t="s">
        <v>2536</v>
      </c>
      <c r="T19" s="2304"/>
      <c r="U19" s="2321"/>
      <c r="V19" s="2322">
        <v>220</v>
      </c>
      <c r="W19" s="2323"/>
      <c r="X19" s="2323"/>
      <c r="Y19" s="2324">
        <v>1</v>
      </c>
      <c r="Z19" s="2324"/>
      <c r="AA19" s="2324"/>
      <c r="AB19" s="2323">
        <f t="shared" ref="AB19:AB30" si="3">V19*Y19</f>
        <v>220</v>
      </c>
      <c r="AC19" s="2323"/>
      <c r="AD19" s="2325"/>
      <c r="AE19" s="2326">
        <v>0</v>
      </c>
      <c r="AF19" s="2327"/>
      <c r="AG19" s="2328">
        <f t="shared" ref="AG19:AG30" si="4">Y19*AE19</f>
        <v>0</v>
      </c>
      <c r="AH19" s="2329"/>
      <c r="AI19" s="2329"/>
      <c r="AJ19" s="2330">
        <f t="shared" ref="AJ19:AJ20" si="5">AB19*AE19</f>
        <v>0</v>
      </c>
      <c r="AK19" s="2330"/>
      <c r="AL19" s="2331"/>
      <c r="AM19" s="2303" t="s">
        <v>2551</v>
      </c>
      <c r="AN19" s="2304"/>
      <c r="AO19" s="2304"/>
      <c r="AP19" s="2304"/>
      <c r="AQ19" s="2305"/>
    </row>
    <row r="20" spans="3:43" s="1444" customFormat="1" ht="20.100000000000001" customHeight="1">
      <c r="C20" s="2292"/>
      <c r="D20" s="2284"/>
      <c r="E20" s="2284"/>
      <c r="F20" s="2284"/>
      <c r="G20" s="2284"/>
      <c r="H20" s="2284"/>
      <c r="I20" s="2284"/>
      <c r="J20" s="2284" t="s">
        <v>2550</v>
      </c>
      <c r="K20" s="2284"/>
      <c r="L20" s="2284"/>
      <c r="M20" s="2284"/>
      <c r="N20" s="2284"/>
      <c r="O20" s="2284"/>
      <c r="P20" s="2284"/>
      <c r="Q20" s="2284"/>
      <c r="R20" s="2284"/>
      <c r="S20" s="2284" t="s">
        <v>2536</v>
      </c>
      <c r="T20" s="2284"/>
      <c r="U20" s="2285"/>
      <c r="V20" s="2286">
        <v>220</v>
      </c>
      <c r="W20" s="2287"/>
      <c r="X20" s="2287"/>
      <c r="Y20" s="2288">
        <v>4</v>
      </c>
      <c r="Z20" s="2288"/>
      <c r="AA20" s="2288"/>
      <c r="AB20" s="2287">
        <f t="shared" si="3"/>
        <v>880</v>
      </c>
      <c r="AC20" s="2287"/>
      <c r="AD20" s="2289"/>
      <c r="AE20" s="2290">
        <v>0</v>
      </c>
      <c r="AF20" s="2291"/>
      <c r="AG20" s="2277">
        <f t="shared" si="4"/>
        <v>0</v>
      </c>
      <c r="AH20" s="2278"/>
      <c r="AI20" s="2278"/>
      <c r="AJ20" s="2279">
        <f t="shared" si="5"/>
        <v>0</v>
      </c>
      <c r="AK20" s="2279"/>
      <c r="AL20" s="2280"/>
      <c r="AM20" s="2283"/>
      <c r="AN20" s="2284"/>
      <c r="AO20" s="2284"/>
      <c r="AP20" s="2284"/>
      <c r="AQ20" s="2306"/>
    </row>
    <row r="21" spans="3:43" s="1444" customFormat="1" ht="20.100000000000001" customHeight="1">
      <c r="C21" s="2292" t="s">
        <v>2547</v>
      </c>
      <c r="D21" s="2284"/>
      <c r="E21" s="2284"/>
      <c r="F21" s="2284"/>
      <c r="G21" s="2284"/>
      <c r="H21" s="2284"/>
      <c r="I21" s="2284"/>
      <c r="J21" s="2284" t="s">
        <v>1584</v>
      </c>
      <c r="K21" s="2284"/>
      <c r="L21" s="2284"/>
      <c r="M21" s="2284"/>
      <c r="N21" s="2284"/>
      <c r="O21" s="2284"/>
      <c r="P21" s="2284"/>
      <c r="Q21" s="2284"/>
      <c r="R21" s="2284"/>
      <c r="S21" s="2284" t="s">
        <v>2536</v>
      </c>
      <c r="T21" s="2284"/>
      <c r="U21" s="2285"/>
      <c r="V21" s="2301">
        <v>220</v>
      </c>
      <c r="W21" s="2293"/>
      <c r="X21" s="2293"/>
      <c r="Y21" s="2302">
        <v>2.59</v>
      </c>
      <c r="Z21" s="2302"/>
      <c r="AA21" s="2302"/>
      <c r="AB21" s="2293">
        <f t="shared" si="3"/>
        <v>569.79999999999995</v>
      </c>
      <c r="AC21" s="2293"/>
      <c r="AD21" s="2294"/>
      <c r="AE21" s="2295">
        <v>1</v>
      </c>
      <c r="AF21" s="2296"/>
      <c r="AG21" s="2297">
        <f t="shared" si="4"/>
        <v>2.59</v>
      </c>
      <c r="AH21" s="2298"/>
      <c r="AI21" s="2298"/>
      <c r="AJ21" s="2299">
        <f>AB21*AE21</f>
        <v>569.79999999999995</v>
      </c>
      <c r="AK21" s="2299"/>
      <c r="AL21" s="2300"/>
      <c r="AM21" s="2283"/>
      <c r="AN21" s="2284"/>
      <c r="AO21" s="2284"/>
      <c r="AP21" s="2284"/>
      <c r="AQ21" s="2306"/>
    </row>
    <row r="22" spans="3:43" s="1444" customFormat="1" ht="20.100000000000001" customHeight="1">
      <c r="C22" s="2292" t="s">
        <v>2547</v>
      </c>
      <c r="D22" s="2284"/>
      <c r="E22" s="2284"/>
      <c r="F22" s="2284"/>
      <c r="G22" s="2284"/>
      <c r="H22" s="2284"/>
      <c r="I22" s="2284"/>
      <c r="J22" s="2284" t="s">
        <v>2549</v>
      </c>
      <c r="K22" s="2284"/>
      <c r="L22" s="2284"/>
      <c r="M22" s="2284"/>
      <c r="N22" s="2284"/>
      <c r="O22" s="2284"/>
      <c r="P22" s="2284"/>
      <c r="Q22" s="2284"/>
      <c r="R22" s="2284"/>
      <c r="S22" s="2284" t="s">
        <v>2536</v>
      </c>
      <c r="T22" s="2284"/>
      <c r="U22" s="2285"/>
      <c r="V22" s="2301">
        <v>220</v>
      </c>
      <c r="W22" s="2293"/>
      <c r="X22" s="2293"/>
      <c r="Y22" s="2302">
        <v>1.1000000000000001</v>
      </c>
      <c r="Z22" s="2302"/>
      <c r="AA22" s="2302"/>
      <c r="AB22" s="2293">
        <f t="shared" si="3"/>
        <v>242.00000000000003</v>
      </c>
      <c r="AC22" s="2293"/>
      <c r="AD22" s="2294"/>
      <c r="AE22" s="2295">
        <v>1</v>
      </c>
      <c r="AF22" s="2296"/>
      <c r="AG22" s="2297">
        <f t="shared" si="4"/>
        <v>1.1000000000000001</v>
      </c>
      <c r="AH22" s="2298"/>
      <c r="AI22" s="2298"/>
      <c r="AJ22" s="2299">
        <f>AB22*AE22</f>
        <v>242.00000000000003</v>
      </c>
      <c r="AK22" s="2299"/>
      <c r="AL22" s="2300"/>
      <c r="AM22" s="2283"/>
      <c r="AN22" s="2284"/>
      <c r="AO22" s="2284"/>
      <c r="AP22" s="2284"/>
      <c r="AQ22" s="2306"/>
    </row>
    <row r="23" spans="3:43" s="1444" customFormat="1" ht="20.100000000000001" customHeight="1">
      <c r="C23" s="2292" t="s">
        <v>2547</v>
      </c>
      <c r="D23" s="2284"/>
      <c r="E23" s="2284"/>
      <c r="F23" s="2284"/>
      <c r="G23" s="2284"/>
      <c r="H23" s="2284"/>
      <c r="I23" s="2284"/>
      <c r="J23" s="2284" t="s">
        <v>2548</v>
      </c>
      <c r="K23" s="2284"/>
      <c r="L23" s="2284"/>
      <c r="M23" s="2284"/>
      <c r="N23" s="2284"/>
      <c r="O23" s="2284"/>
      <c r="P23" s="2284"/>
      <c r="Q23" s="2284"/>
      <c r="R23" s="2284"/>
      <c r="S23" s="2284" t="s">
        <v>2536</v>
      </c>
      <c r="T23" s="2284"/>
      <c r="U23" s="2285"/>
      <c r="V23" s="2286">
        <v>220</v>
      </c>
      <c r="W23" s="2287"/>
      <c r="X23" s="2287"/>
      <c r="Y23" s="2288">
        <v>0.12</v>
      </c>
      <c r="Z23" s="2288"/>
      <c r="AA23" s="2288"/>
      <c r="AB23" s="2287">
        <f t="shared" si="3"/>
        <v>26.4</v>
      </c>
      <c r="AC23" s="2287"/>
      <c r="AD23" s="2289"/>
      <c r="AE23" s="2290">
        <v>1</v>
      </c>
      <c r="AF23" s="2291"/>
      <c r="AG23" s="2277">
        <f t="shared" si="4"/>
        <v>0.12</v>
      </c>
      <c r="AH23" s="2278"/>
      <c r="AI23" s="2278"/>
      <c r="AJ23" s="2279">
        <f>AB23*AE23</f>
        <v>26.4</v>
      </c>
      <c r="AK23" s="2279"/>
      <c r="AL23" s="2280"/>
      <c r="AM23" s="2283"/>
      <c r="AN23" s="2284"/>
      <c r="AO23" s="2284"/>
      <c r="AP23" s="2284"/>
      <c r="AQ23" s="2306"/>
    </row>
    <row r="24" spans="3:43" s="1444" customFormat="1" ht="20.100000000000001" customHeight="1">
      <c r="C24" s="2292" t="s">
        <v>2547</v>
      </c>
      <c r="D24" s="2284"/>
      <c r="E24" s="2284"/>
      <c r="F24" s="2284"/>
      <c r="G24" s="2284"/>
      <c r="H24" s="2284"/>
      <c r="I24" s="2284"/>
      <c r="J24" s="2284" t="s">
        <v>2546</v>
      </c>
      <c r="K24" s="2284"/>
      <c r="L24" s="2284"/>
      <c r="M24" s="2284"/>
      <c r="N24" s="2284"/>
      <c r="O24" s="2284"/>
      <c r="P24" s="2284"/>
      <c r="Q24" s="2284"/>
      <c r="R24" s="2284"/>
      <c r="S24" s="2284" t="s">
        <v>2536</v>
      </c>
      <c r="T24" s="2284"/>
      <c r="U24" s="2285"/>
      <c r="V24" s="2286">
        <v>220</v>
      </c>
      <c r="W24" s="2287"/>
      <c r="X24" s="2287"/>
      <c r="Y24" s="2288">
        <v>0.1</v>
      </c>
      <c r="Z24" s="2288"/>
      <c r="AA24" s="2288"/>
      <c r="AB24" s="2287">
        <f t="shared" si="3"/>
        <v>22</v>
      </c>
      <c r="AC24" s="2287"/>
      <c r="AD24" s="2289"/>
      <c r="AE24" s="2290">
        <v>3</v>
      </c>
      <c r="AF24" s="2291"/>
      <c r="AG24" s="2277">
        <f t="shared" si="4"/>
        <v>0.30000000000000004</v>
      </c>
      <c r="AH24" s="2278"/>
      <c r="AI24" s="2278"/>
      <c r="AJ24" s="2279">
        <f>AB24*AE24</f>
        <v>66</v>
      </c>
      <c r="AK24" s="2279"/>
      <c r="AL24" s="2280"/>
      <c r="AM24" s="2283"/>
      <c r="AN24" s="2284"/>
      <c r="AO24" s="2284"/>
      <c r="AP24" s="2284"/>
      <c r="AQ24" s="2306"/>
    </row>
    <row r="25" spans="3:43" s="1444" customFormat="1" ht="20.100000000000001" hidden="1" customHeight="1">
      <c r="C25" s="2292" t="s">
        <v>2545</v>
      </c>
      <c r="D25" s="2284"/>
      <c r="E25" s="2284"/>
      <c r="F25" s="2284"/>
      <c r="G25" s="2284"/>
      <c r="H25" s="2284"/>
      <c r="I25" s="2284"/>
      <c r="J25" s="2284" t="s">
        <v>2544</v>
      </c>
      <c r="K25" s="2284"/>
      <c r="L25" s="2284"/>
      <c r="M25" s="2284"/>
      <c r="N25" s="2284"/>
      <c r="O25" s="2284"/>
      <c r="P25" s="2284"/>
      <c r="Q25" s="2284"/>
      <c r="R25" s="2284"/>
      <c r="S25" s="2284" t="s">
        <v>2536</v>
      </c>
      <c r="T25" s="2284"/>
      <c r="U25" s="2285"/>
      <c r="V25" s="2286">
        <v>220</v>
      </c>
      <c r="W25" s="2287"/>
      <c r="X25" s="2287"/>
      <c r="Y25" s="2288"/>
      <c r="Z25" s="2288"/>
      <c r="AA25" s="2288"/>
      <c r="AB25" s="2287">
        <f t="shared" si="3"/>
        <v>0</v>
      </c>
      <c r="AC25" s="2287"/>
      <c r="AD25" s="2289"/>
      <c r="AE25" s="2290">
        <v>0</v>
      </c>
      <c r="AF25" s="2291"/>
      <c r="AG25" s="2277">
        <f t="shared" si="4"/>
        <v>0</v>
      </c>
      <c r="AH25" s="2278"/>
      <c r="AI25" s="2278"/>
      <c r="AJ25" s="2279">
        <f t="shared" ref="AJ25:AJ27" si="6">AB25*AE25</f>
        <v>0</v>
      </c>
      <c r="AK25" s="2279"/>
      <c r="AL25" s="2280"/>
      <c r="AM25" s="2283"/>
      <c r="AN25" s="2284"/>
      <c r="AO25" s="2284"/>
      <c r="AP25" s="2284"/>
      <c r="AQ25" s="2306"/>
    </row>
    <row r="26" spans="3:43" s="1444" customFormat="1" ht="20.100000000000001" hidden="1" customHeight="1">
      <c r="C26" s="2292" t="s">
        <v>2543</v>
      </c>
      <c r="D26" s="2284"/>
      <c r="E26" s="2284"/>
      <c r="F26" s="2284"/>
      <c r="G26" s="2284"/>
      <c r="H26" s="2284"/>
      <c r="I26" s="2284"/>
      <c r="J26" s="2284" t="s">
        <v>2542</v>
      </c>
      <c r="K26" s="2284"/>
      <c r="L26" s="2284"/>
      <c r="M26" s="2284"/>
      <c r="N26" s="2284"/>
      <c r="O26" s="2284"/>
      <c r="P26" s="2284"/>
      <c r="Q26" s="2284"/>
      <c r="R26" s="2284"/>
      <c r="S26" s="2284" t="s">
        <v>2536</v>
      </c>
      <c r="T26" s="2284"/>
      <c r="U26" s="2285"/>
      <c r="V26" s="2286">
        <v>220</v>
      </c>
      <c r="W26" s="2287"/>
      <c r="X26" s="2287"/>
      <c r="Y26" s="2288"/>
      <c r="Z26" s="2288"/>
      <c r="AA26" s="2288"/>
      <c r="AB26" s="2287">
        <f t="shared" si="3"/>
        <v>0</v>
      </c>
      <c r="AC26" s="2287"/>
      <c r="AD26" s="2289"/>
      <c r="AE26" s="2290">
        <v>0</v>
      </c>
      <c r="AF26" s="2291"/>
      <c r="AG26" s="2277">
        <f t="shared" si="4"/>
        <v>0</v>
      </c>
      <c r="AH26" s="2278"/>
      <c r="AI26" s="2278"/>
      <c r="AJ26" s="2279">
        <f t="shared" si="6"/>
        <v>0</v>
      </c>
      <c r="AK26" s="2279"/>
      <c r="AL26" s="2280"/>
      <c r="AM26" s="2283"/>
      <c r="AN26" s="2284"/>
      <c r="AO26" s="2284"/>
      <c r="AP26" s="2284"/>
      <c r="AQ26" s="2306"/>
    </row>
    <row r="27" spans="3:43" s="1444" customFormat="1" ht="20.100000000000001" customHeight="1">
      <c r="C27" s="2292" t="s">
        <v>2541</v>
      </c>
      <c r="D27" s="2284"/>
      <c r="E27" s="2284"/>
      <c r="F27" s="2284"/>
      <c r="G27" s="2284"/>
      <c r="H27" s="2284"/>
      <c r="I27" s="2284"/>
      <c r="J27" s="2284" t="s">
        <v>2540</v>
      </c>
      <c r="K27" s="2284"/>
      <c r="L27" s="2284"/>
      <c r="M27" s="2284"/>
      <c r="N27" s="2284"/>
      <c r="O27" s="2284"/>
      <c r="P27" s="2284"/>
      <c r="Q27" s="2284"/>
      <c r="R27" s="2284"/>
      <c r="S27" s="2284" t="s">
        <v>2536</v>
      </c>
      <c r="T27" s="2284"/>
      <c r="U27" s="2285"/>
      <c r="V27" s="2286">
        <v>220</v>
      </c>
      <c r="W27" s="2287"/>
      <c r="X27" s="2287"/>
      <c r="Y27" s="2288">
        <v>0.2</v>
      </c>
      <c r="Z27" s="2288"/>
      <c r="AA27" s="2288"/>
      <c r="AB27" s="2287">
        <f t="shared" si="3"/>
        <v>44</v>
      </c>
      <c r="AC27" s="2287"/>
      <c r="AD27" s="2289"/>
      <c r="AE27" s="2290">
        <v>0</v>
      </c>
      <c r="AF27" s="2291"/>
      <c r="AG27" s="2277">
        <f>Y27*AE27</f>
        <v>0</v>
      </c>
      <c r="AH27" s="2278"/>
      <c r="AI27" s="2278"/>
      <c r="AJ27" s="2279">
        <f t="shared" si="6"/>
        <v>0</v>
      </c>
      <c r="AK27" s="2279"/>
      <c r="AL27" s="2280"/>
      <c r="AM27" s="2283"/>
      <c r="AN27" s="2284"/>
      <c r="AO27" s="2284"/>
      <c r="AP27" s="2284"/>
      <c r="AQ27" s="2306"/>
    </row>
    <row r="28" spans="3:43" s="1444" customFormat="1" ht="20.100000000000001" customHeight="1">
      <c r="C28" s="2292" t="s">
        <v>2539</v>
      </c>
      <c r="D28" s="2284"/>
      <c r="E28" s="2284"/>
      <c r="F28" s="2284"/>
      <c r="G28" s="2284"/>
      <c r="H28" s="2284"/>
      <c r="I28" s="2284"/>
      <c r="J28" s="2284"/>
      <c r="K28" s="2284"/>
      <c r="L28" s="2284"/>
      <c r="M28" s="2284"/>
      <c r="N28" s="2284"/>
      <c r="O28" s="2284"/>
      <c r="P28" s="2284"/>
      <c r="Q28" s="2284"/>
      <c r="R28" s="2284"/>
      <c r="S28" s="2284" t="s">
        <v>2536</v>
      </c>
      <c r="T28" s="2284"/>
      <c r="U28" s="2285"/>
      <c r="V28" s="2286">
        <v>220</v>
      </c>
      <c r="W28" s="2287"/>
      <c r="X28" s="2287"/>
      <c r="Y28" s="2288">
        <v>0.5</v>
      </c>
      <c r="Z28" s="2288"/>
      <c r="AA28" s="2288"/>
      <c r="AB28" s="2287">
        <f t="shared" si="3"/>
        <v>110</v>
      </c>
      <c r="AC28" s="2287"/>
      <c r="AD28" s="2289"/>
      <c r="AE28" s="2290">
        <v>0</v>
      </c>
      <c r="AF28" s="2291"/>
      <c r="AG28" s="2277">
        <f t="shared" si="4"/>
        <v>0</v>
      </c>
      <c r="AH28" s="2278"/>
      <c r="AI28" s="2278"/>
      <c r="AJ28" s="2279">
        <f>AB28*AE28</f>
        <v>0</v>
      </c>
      <c r="AK28" s="2279"/>
      <c r="AL28" s="2280"/>
      <c r="AM28" s="2283"/>
      <c r="AN28" s="2284"/>
      <c r="AO28" s="2284"/>
      <c r="AP28" s="2284"/>
      <c r="AQ28" s="2306"/>
    </row>
    <row r="29" spans="3:43" s="1444" customFormat="1" ht="20.100000000000001" customHeight="1">
      <c r="C29" s="2292" t="s">
        <v>2538</v>
      </c>
      <c r="D29" s="2284"/>
      <c r="E29" s="2284"/>
      <c r="F29" s="2284"/>
      <c r="G29" s="2284"/>
      <c r="H29" s="2284"/>
      <c r="I29" s="2284"/>
      <c r="J29" s="2284"/>
      <c r="K29" s="2284"/>
      <c r="L29" s="2284"/>
      <c r="M29" s="2284"/>
      <c r="N29" s="2284"/>
      <c r="O29" s="2284"/>
      <c r="P29" s="2284"/>
      <c r="Q29" s="2284"/>
      <c r="R29" s="2284"/>
      <c r="S29" s="2284" t="s">
        <v>2536</v>
      </c>
      <c r="T29" s="2284"/>
      <c r="U29" s="2285"/>
      <c r="V29" s="2286">
        <v>220</v>
      </c>
      <c r="W29" s="2287"/>
      <c r="X29" s="2287"/>
      <c r="Y29" s="2288">
        <v>0.5</v>
      </c>
      <c r="Z29" s="2288"/>
      <c r="AA29" s="2288"/>
      <c r="AB29" s="2287">
        <f t="shared" si="3"/>
        <v>110</v>
      </c>
      <c r="AC29" s="2287"/>
      <c r="AD29" s="2289"/>
      <c r="AE29" s="2290">
        <v>0</v>
      </c>
      <c r="AF29" s="2291"/>
      <c r="AG29" s="2277">
        <f t="shared" si="4"/>
        <v>0</v>
      </c>
      <c r="AH29" s="2278"/>
      <c r="AI29" s="2278"/>
      <c r="AJ29" s="2279">
        <f>AB29*AE29</f>
        <v>0</v>
      </c>
      <c r="AK29" s="2279"/>
      <c r="AL29" s="2280"/>
      <c r="AM29" s="2283"/>
      <c r="AN29" s="2284"/>
      <c r="AO29" s="2284"/>
      <c r="AP29" s="2284"/>
      <c r="AQ29" s="2306"/>
    </row>
    <row r="30" spans="3:43" s="1444" customFormat="1" ht="20.100000000000001" customHeight="1">
      <c r="C30" s="2281" t="s">
        <v>2537</v>
      </c>
      <c r="D30" s="2282"/>
      <c r="E30" s="2282"/>
      <c r="F30" s="2282"/>
      <c r="G30" s="2282"/>
      <c r="H30" s="2282"/>
      <c r="I30" s="2282"/>
      <c r="J30" s="2282"/>
      <c r="K30" s="2282"/>
      <c r="L30" s="2282"/>
      <c r="M30" s="2282"/>
      <c r="N30" s="2282"/>
      <c r="O30" s="2282"/>
      <c r="P30" s="2282"/>
      <c r="Q30" s="2282"/>
      <c r="R30" s="2283"/>
      <c r="S30" s="2284" t="s">
        <v>2536</v>
      </c>
      <c r="T30" s="2284"/>
      <c r="U30" s="2285"/>
      <c r="V30" s="2286">
        <v>220</v>
      </c>
      <c r="W30" s="2287"/>
      <c r="X30" s="2287"/>
      <c r="Y30" s="2288">
        <v>0.5</v>
      </c>
      <c r="Z30" s="2288"/>
      <c r="AA30" s="2288"/>
      <c r="AB30" s="2287">
        <f t="shared" si="3"/>
        <v>110</v>
      </c>
      <c r="AC30" s="2287"/>
      <c r="AD30" s="2289"/>
      <c r="AE30" s="2290">
        <v>1</v>
      </c>
      <c r="AF30" s="2291"/>
      <c r="AG30" s="2277">
        <f t="shared" si="4"/>
        <v>0.5</v>
      </c>
      <c r="AH30" s="2278"/>
      <c r="AI30" s="2278"/>
      <c r="AJ30" s="2279">
        <f>AB30*AE30</f>
        <v>110</v>
      </c>
      <c r="AK30" s="2279"/>
      <c r="AL30" s="2280"/>
      <c r="AM30" s="2283"/>
      <c r="AN30" s="2284"/>
      <c r="AO30" s="2284"/>
      <c r="AP30" s="2284"/>
      <c r="AQ30" s="2306"/>
    </row>
    <row r="31" spans="3:43" s="1444" customFormat="1" ht="20.100000000000001" customHeight="1">
      <c r="C31" s="2310" t="s">
        <v>2535</v>
      </c>
      <c r="D31" s="2311"/>
      <c r="E31" s="2311"/>
      <c r="F31" s="2311"/>
      <c r="G31" s="2311"/>
      <c r="H31" s="2311"/>
      <c r="I31" s="2311"/>
      <c r="J31" s="2311"/>
      <c r="K31" s="2311"/>
      <c r="L31" s="2311"/>
      <c r="M31" s="2311"/>
      <c r="N31" s="2311"/>
      <c r="O31" s="2311"/>
      <c r="P31" s="2311"/>
      <c r="Q31" s="2311"/>
      <c r="R31" s="2311"/>
      <c r="S31" s="2311"/>
      <c r="T31" s="2311"/>
      <c r="U31" s="2311"/>
      <c r="V31" s="2311"/>
      <c r="W31" s="2311"/>
      <c r="X31" s="2311"/>
      <c r="Y31" s="2311"/>
      <c r="Z31" s="2311"/>
      <c r="AA31" s="2311"/>
      <c r="AB31" s="2311"/>
      <c r="AC31" s="2311"/>
      <c r="AD31" s="2311"/>
      <c r="AE31" s="2311"/>
      <c r="AF31" s="2312"/>
      <c r="AG31" s="2313">
        <f>SUM(AG19:AI30)</f>
        <v>4.6100000000000003</v>
      </c>
      <c r="AH31" s="2314"/>
      <c r="AI31" s="2314"/>
      <c r="AJ31" s="2315">
        <f>SUM(AJ19:AL30)</f>
        <v>1014.1999999999999</v>
      </c>
      <c r="AK31" s="2315"/>
      <c r="AL31" s="2316"/>
      <c r="AM31" s="2307"/>
      <c r="AN31" s="2308"/>
      <c r="AO31" s="2308"/>
      <c r="AP31" s="2308"/>
      <c r="AQ31" s="2309"/>
    </row>
    <row r="32" spans="3:43" s="1444" customFormat="1" ht="20.100000000000001" customHeight="1">
      <c r="C32" s="2270" t="s">
        <v>2534</v>
      </c>
      <c r="D32" s="2271"/>
      <c r="E32" s="2271"/>
      <c r="F32" s="2271"/>
      <c r="G32" s="2271"/>
      <c r="H32" s="2271"/>
      <c r="I32" s="2271"/>
      <c r="J32" s="2271"/>
      <c r="K32" s="2271"/>
      <c r="L32" s="2271"/>
      <c r="M32" s="2271"/>
      <c r="N32" s="2271"/>
      <c r="O32" s="2271"/>
      <c r="P32" s="2271"/>
      <c r="Q32" s="2271"/>
      <c r="R32" s="2271"/>
      <c r="S32" s="2271"/>
      <c r="T32" s="2271"/>
      <c r="U32" s="2271"/>
      <c r="V32" s="2271"/>
      <c r="W32" s="2271"/>
      <c r="X32" s="2271"/>
      <c r="Y32" s="2271"/>
      <c r="Z32" s="2271"/>
      <c r="AA32" s="2271"/>
      <c r="AB32" s="2271"/>
      <c r="AC32" s="2271"/>
      <c r="AD32" s="2271"/>
      <c r="AE32" s="2271"/>
      <c r="AF32" s="2272"/>
      <c r="AG32" s="2273">
        <f>SUM(AG31,AG18)</f>
        <v>6.61</v>
      </c>
      <c r="AH32" s="2274"/>
      <c r="AI32" s="2274"/>
      <c r="AJ32" s="2275">
        <f>SUM(AJ31,AJ18)</f>
        <v>1454.1999999999998</v>
      </c>
      <c r="AK32" s="2275"/>
      <c r="AL32" s="2276"/>
      <c r="AM32" s="2266"/>
      <c r="AN32" s="2267"/>
      <c r="AO32" s="2267"/>
      <c r="AP32" s="2267"/>
      <c r="AQ32" s="2268"/>
    </row>
    <row r="33" spans="2:51" s="1444" customFormat="1" ht="20.100000000000001" customHeight="1">
      <c r="C33" s="1444" t="s">
        <v>2533</v>
      </c>
    </row>
    <row r="34" spans="2:51" s="1444" customFormat="1" ht="20.100000000000001" customHeight="1"/>
    <row r="35" spans="2:51" s="1444" customFormat="1" ht="20.100000000000001" customHeight="1">
      <c r="B35" s="1444" t="s">
        <v>2967</v>
      </c>
    </row>
    <row r="36" spans="2:51" s="1444" customFormat="1" ht="20.100000000000001" customHeight="1"/>
    <row r="37" spans="2:51" s="1444" customFormat="1" ht="20.100000000000001" customHeight="1"/>
    <row r="38" spans="2:51" s="1444" customFormat="1" ht="20.100000000000001" customHeight="1"/>
    <row r="39" spans="2:51" s="1444" customFormat="1" ht="20.100000000000001" customHeight="1">
      <c r="D39" s="2147" t="s">
        <v>2472</v>
      </c>
      <c r="E39" s="2147"/>
      <c r="F39" s="2147" t="s">
        <v>2471</v>
      </c>
      <c r="G39" s="2147"/>
      <c r="H39" s="2147"/>
      <c r="I39" s="2147"/>
      <c r="J39" s="2147"/>
      <c r="K39" s="2147"/>
      <c r="L39" s="2147"/>
      <c r="M39" s="2147"/>
      <c r="N39" s="2147"/>
      <c r="O39" s="2147"/>
      <c r="P39" s="2147"/>
      <c r="Q39" s="2147"/>
      <c r="R39" s="2147" t="s">
        <v>2470</v>
      </c>
      <c r="S39" s="2147"/>
      <c r="T39" s="2147"/>
      <c r="U39" s="2147" t="s">
        <v>39</v>
      </c>
      <c r="V39" s="2147"/>
      <c r="W39" s="2147"/>
      <c r="X39" s="2147"/>
      <c r="Y39" s="2147"/>
      <c r="AB39" s="1468" t="s">
        <v>2532</v>
      </c>
      <c r="AC39" s="1466"/>
      <c r="AD39" s="1466"/>
      <c r="AE39" s="1466"/>
      <c r="AF39" s="1466"/>
      <c r="AG39" s="1466"/>
      <c r="AH39" s="1466"/>
      <c r="AI39" s="1466"/>
      <c r="AJ39" s="1466"/>
      <c r="AK39" s="1466"/>
      <c r="AL39" s="1466"/>
      <c r="AM39" s="1466"/>
      <c r="AN39" s="1466"/>
      <c r="AO39" s="1466"/>
      <c r="AP39" s="1466"/>
      <c r="AQ39" s="1466"/>
      <c r="AR39" s="1465"/>
      <c r="AY39" s="1488"/>
    </row>
    <row r="40" spans="2:51" s="1444" customFormat="1" ht="20.100000000000001" customHeight="1">
      <c r="D40" s="2154" t="s">
        <v>2531</v>
      </c>
      <c r="E40" s="2155"/>
      <c r="F40" s="2269" t="s">
        <v>2530</v>
      </c>
      <c r="G40" s="2158"/>
      <c r="H40" s="2158"/>
      <c r="I40" s="2158"/>
      <c r="J40" s="2158"/>
      <c r="K40" s="2158"/>
      <c r="L40" s="2158"/>
      <c r="M40" s="2158"/>
      <c r="N40" s="2158"/>
      <c r="O40" s="2158"/>
      <c r="P40" s="2158"/>
      <c r="Q40" s="2155"/>
      <c r="R40" s="2174">
        <f>ROUNDUP(AJ18/1000,2)</f>
        <v>0.44</v>
      </c>
      <c r="S40" s="2175"/>
      <c r="T40" s="2176"/>
      <c r="U40" s="2147" t="s">
        <v>2524</v>
      </c>
      <c r="V40" s="2147"/>
      <c r="W40" s="2147"/>
      <c r="X40" s="2147"/>
      <c r="Y40" s="2147"/>
      <c r="AB40" s="1463"/>
      <c r="AC40" s="1444" t="str">
        <f>"P={ ("&amp;R40&amp;"*"&amp;R42*100&amp;"%)/("&amp;R43&amp;"*"&amp;R45&amp;")"</f>
        <v>P={ (0.44*120%)/(0.6*0.8)</v>
      </c>
      <c r="AR40" s="1483"/>
      <c r="AY40" s="1488"/>
    </row>
    <row r="41" spans="2:51" s="1444" customFormat="1" ht="20.100000000000001" customHeight="1">
      <c r="D41" s="2156"/>
      <c r="E41" s="2157"/>
      <c r="F41" s="2156"/>
      <c r="G41" s="2159"/>
      <c r="H41" s="2159"/>
      <c r="I41" s="2159"/>
      <c r="J41" s="2159"/>
      <c r="K41" s="2159"/>
      <c r="L41" s="2159"/>
      <c r="M41" s="2159"/>
      <c r="N41" s="2159"/>
      <c r="O41" s="2159"/>
      <c r="P41" s="2159"/>
      <c r="Q41" s="2157"/>
      <c r="R41" s="2174">
        <f>ROUNDUP(AJ31/1000,2)</f>
        <v>1.02</v>
      </c>
      <c r="S41" s="2175"/>
      <c r="T41" s="2176"/>
      <c r="U41" s="2147" t="s">
        <v>2522</v>
      </c>
      <c r="V41" s="2147"/>
      <c r="W41" s="2147"/>
      <c r="X41" s="2147"/>
      <c r="Y41" s="2147"/>
      <c r="AB41" s="1463"/>
      <c r="AE41" s="1444" t="str">
        <f>" + ("&amp;R41&amp;"*"&amp;R42*100&amp;"%)/("&amp;R44&amp;"*"&amp;R45&amp;") } * 1.2"</f>
        <v xml:space="preserve"> + (1.02*120%)/(0.8*0.8) } * 1.2</v>
      </c>
      <c r="AR41" s="1483"/>
      <c r="AY41" s="1488"/>
    </row>
    <row r="42" spans="2:51" s="1444" customFormat="1" ht="20.100000000000001" customHeight="1">
      <c r="D42" s="2147" t="s">
        <v>2529</v>
      </c>
      <c r="E42" s="2147"/>
      <c r="F42" s="2147" t="s">
        <v>2528</v>
      </c>
      <c r="G42" s="2147"/>
      <c r="H42" s="2147"/>
      <c r="I42" s="2147"/>
      <c r="J42" s="2147"/>
      <c r="K42" s="2147"/>
      <c r="L42" s="2147"/>
      <c r="M42" s="2147"/>
      <c r="N42" s="2147"/>
      <c r="O42" s="2147"/>
      <c r="P42" s="2147"/>
      <c r="Q42" s="2147"/>
      <c r="R42" s="2265">
        <v>1.2</v>
      </c>
      <c r="S42" s="2147"/>
      <c r="T42" s="2147"/>
      <c r="U42" s="2147"/>
      <c r="V42" s="2147"/>
      <c r="W42" s="2147"/>
      <c r="X42" s="2147"/>
      <c r="Y42" s="2147"/>
      <c r="AB42" s="1463"/>
      <c r="AD42" s="1444" t="s">
        <v>2464</v>
      </c>
      <c r="AE42" s="2173">
        <f>ROUNDUP((((R40*R42)/(R43*R45))+((R41*R42)/(R44*R45)))*1.2,2)</f>
        <v>3.6199999999999997</v>
      </c>
      <c r="AF42" s="2173"/>
      <c r="AG42" s="2173"/>
      <c r="AH42" s="2173"/>
      <c r="AI42" s="1444" t="s">
        <v>2527</v>
      </c>
      <c r="AR42" s="1483"/>
      <c r="AY42" s="1488"/>
    </row>
    <row r="43" spans="2:51" s="1444" customFormat="1" ht="20.100000000000001" customHeight="1">
      <c r="D43" s="2154" t="s">
        <v>2526</v>
      </c>
      <c r="E43" s="2155"/>
      <c r="F43" s="2154" t="s">
        <v>2525</v>
      </c>
      <c r="G43" s="2158"/>
      <c r="H43" s="2158"/>
      <c r="I43" s="2158"/>
      <c r="J43" s="2158"/>
      <c r="K43" s="2158"/>
      <c r="L43" s="2158"/>
      <c r="M43" s="2158"/>
      <c r="N43" s="2158"/>
      <c r="O43" s="2158"/>
      <c r="P43" s="2158"/>
      <c r="Q43" s="2155"/>
      <c r="R43" s="2174">
        <v>0.6</v>
      </c>
      <c r="S43" s="2175"/>
      <c r="T43" s="2176"/>
      <c r="U43" s="2174" t="s">
        <v>2524</v>
      </c>
      <c r="V43" s="2175"/>
      <c r="W43" s="2175"/>
      <c r="X43" s="2175"/>
      <c r="Y43" s="2176"/>
      <c r="AB43" s="1463"/>
      <c r="AC43" s="1493"/>
      <c r="AD43" s="1462" t="s">
        <v>2461</v>
      </c>
      <c r="AE43" s="2264">
        <v>5</v>
      </c>
      <c r="AF43" s="2264"/>
      <c r="AG43" s="2264"/>
      <c r="AH43" s="2264"/>
      <c r="AI43" s="1461" t="s">
        <v>2523</v>
      </c>
      <c r="AJ43" s="1460"/>
      <c r="AK43" s="1460"/>
      <c r="AL43" s="1460"/>
      <c r="AM43" s="1460"/>
      <c r="AN43" s="1460"/>
      <c r="AO43" s="1460"/>
      <c r="AP43" s="1493"/>
      <c r="AQ43" s="1493"/>
      <c r="AR43" s="1483"/>
      <c r="AY43" s="1488"/>
    </row>
    <row r="44" spans="2:51" s="1444" customFormat="1" ht="20.100000000000001" customHeight="1">
      <c r="D44" s="2156"/>
      <c r="E44" s="2157"/>
      <c r="F44" s="2156"/>
      <c r="G44" s="2159"/>
      <c r="H44" s="2159"/>
      <c r="I44" s="2159"/>
      <c r="J44" s="2159"/>
      <c r="K44" s="2159"/>
      <c r="L44" s="2159"/>
      <c r="M44" s="2159"/>
      <c r="N44" s="2159"/>
      <c r="O44" s="2159"/>
      <c r="P44" s="2159"/>
      <c r="Q44" s="2157"/>
      <c r="R44" s="2174">
        <v>0.8</v>
      </c>
      <c r="S44" s="2175"/>
      <c r="T44" s="2176"/>
      <c r="U44" s="2174" t="s">
        <v>2522</v>
      </c>
      <c r="V44" s="2175"/>
      <c r="W44" s="2175"/>
      <c r="X44" s="2175"/>
      <c r="Y44" s="2176"/>
      <c r="AB44" s="1463"/>
      <c r="AR44" s="1483"/>
      <c r="AY44" s="1488"/>
    </row>
    <row r="45" spans="2:51" s="1444" customFormat="1" ht="20.100000000000001" customHeight="1">
      <c r="D45" s="2174" t="s">
        <v>2521</v>
      </c>
      <c r="E45" s="2176"/>
      <c r="F45" s="2174" t="s">
        <v>2520</v>
      </c>
      <c r="G45" s="2175"/>
      <c r="H45" s="2175"/>
      <c r="I45" s="2175"/>
      <c r="J45" s="2175"/>
      <c r="K45" s="2175"/>
      <c r="L45" s="2175"/>
      <c r="M45" s="2175"/>
      <c r="N45" s="2175"/>
      <c r="O45" s="2175"/>
      <c r="P45" s="2175"/>
      <c r="Q45" s="2176"/>
      <c r="R45" s="2174">
        <v>0.8</v>
      </c>
      <c r="S45" s="2175"/>
      <c r="T45" s="2176"/>
      <c r="U45" s="2174"/>
      <c r="V45" s="2175"/>
      <c r="W45" s="2175"/>
      <c r="X45" s="2175"/>
      <c r="Y45" s="2176"/>
      <c r="AB45" s="1492"/>
      <c r="AC45" s="1473"/>
      <c r="AD45" s="1473"/>
      <c r="AE45" s="1473"/>
      <c r="AF45" s="1473"/>
      <c r="AG45" s="1473"/>
      <c r="AH45" s="1473"/>
      <c r="AI45" s="1473"/>
      <c r="AJ45" s="1473"/>
      <c r="AK45" s="1473"/>
      <c r="AL45" s="1473"/>
      <c r="AM45" s="1473"/>
      <c r="AN45" s="1473"/>
      <c r="AO45" s="1473"/>
      <c r="AP45" s="1473"/>
      <c r="AQ45" s="1473"/>
      <c r="AR45" s="1472"/>
      <c r="AY45" s="1488"/>
    </row>
    <row r="46" spans="2:51" s="1444" customFormat="1" ht="20.100000000000001" customHeight="1">
      <c r="D46" s="1444" t="s">
        <v>2450</v>
      </c>
      <c r="AY46" s="1488"/>
    </row>
    <row r="47" spans="2:51" s="1444" customFormat="1" ht="20.100000000000001" customHeight="1">
      <c r="E47" s="1444" t="s">
        <v>2519</v>
      </c>
      <c r="AY47" s="1488"/>
    </row>
    <row r="48" spans="2:51" s="1444" customFormat="1" ht="20.100000000000001" customHeight="1">
      <c r="E48" s="1444" t="s">
        <v>2518</v>
      </c>
      <c r="AY48" s="1488"/>
    </row>
    <row r="50" spans="2:44" s="1444" customFormat="1" ht="20.100000000000001" customHeight="1">
      <c r="B50" s="1444" t="s">
        <v>2968</v>
      </c>
    </row>
    <row r="51" spans="2:44" ht="20.100000000000001" customHeight="1">
      <c r="D51" s="1450"/>
      <c r="E51" s="1450"/>
      <c r="F51" s="1450"/>
      <c r="G51" s="1450"/>
      <c r="H51" s="1450"/>
      <c r="I51" s="1450"/>
      <c r="J51" s="1450"/>
      <c r="K51" s="1450"/>
      <c r="L51" s="1450"/>
      <c r="M51" s="1450"/>
      <c r="N51" s="1450"/>
      <c r="O51" s="1450"/>
      <c r="P51" s="1450"/>
      <c r="Q51" s="1450"/>
      <c r="R51" s="1450"/>
      <c r="S51" s="1450"/>
      <c r="T51" s="1450"/>
      <c r="U51" s="1450"/>
      <c r="V51" s="1450"/>
      <c r="W51" s="1450"/>
      <c r="X51" s="1450"/>
      <c r="Y51" s="1450"/>
      <c r="Z51" s="1450"/>
      <c r="AA51" s="1450"/>
    </row>
    <row r="52" spans="2:44" ht="20.100000000000001" customHeight="1">
      <c r="D52" s="1450"/>
      <c r="E52" s="1450"/>
      <c r="F52" s="1450"/>
      <c r="G52" s="1450"/>
      <c r="H52" s="1450"/>
      <c r="I52" s="1450"/>
      <c r="J52" s="1450"/>
      <c r="K52" s="1450"/>
      <c r="L52" s="1450"/>
      <c r="M52" s="1450"/>
      <c r="N52" s="1450"/>
      <c r="O52" s="1450"/>
      <c r="P52" s="1450"/>
      <c r="Q52" s="1450"/>
      <c r="R52" s="1450"/>
      <c r="S52" s="1450"/>
      <c r="T52" s="1450"/>
      <c r="U52" s="1450"/>
      <c r="V52" s="1450"/>
      <c r="W52" s="1450"/>
      <c r="X52" s="1450"/>
      <c r="Y52" s="1450"/>
      <c r="Z52" s="1450"/>
      <c r="AA52" s="1450"/>
    </row>
    <row r="53" spans="2:44" ht="20.100000000000001" customHeight="1">
      <c r="D53" s="1450"/>
      <c r="E53" s="1450"/>
      <c r="F53" s="1450"/>
      <c r="G53" s="1450"/>
      <c r="H53" s="1450"/>
      <c r="I53" s="1450"/>
      <c r="J53" s="1450"/>
      <c r="K53" s="1450"/>
      <c r="L53" s="1450"/>
      <c r="M53" s="1450"/>
      <c r="N53" s="1450"/>
      <c r="O53" s="1450"/>
      <c r="P53" s="1450"/>
      <c r="Q53" s="1450"/>
      <c r="R53" s="1450"/>
      <c r="S53" s="1450"/>
      <c r="T53" s="1450"/>
      <c r="U53" s="1450"/>
      <c r="V53" s="1450"/>
      <c r="W53" s="1450"/>
      <c r="X53" s="1450"/>
      <c r="Y53" s="1450"/>
      <c r="Z53" s="1450"/>
      <c r="AA53" s="1450"/>
    </row>
    <row r="54" spans="2:44" ht="20.100000000000001" customHeight="1">
      <c r="D54" s="2147" t="s">
        <v>2472</v>
      </c>
      <c r="E54" s="2147"/>
      <c r="F54" s="2147" t="s">
        <v>2471</v>
      </c>
      <c r="G54" s="2147"/>
      <c r="H54" s="2147"/>
      <c r="I54" s="2147"/>
      <c r="J54" s="2147"/>
      <c r="K54" s="2147"/>
      <c r="L54" s="2147"/>
      <c r="M54" s="2147"/>
      <c r="N54" s="2147"/>
      <c r="O54" s="2147"/>
      <c r="P54" s="2147"/>
      <c r="Q54" s="2147"/>
      <c r="R54" s="2147" t="s">
        <v>2470</v>
      </c>
      <c r="S54" s="2147"/>
      <c r="T54" s="2147"/>
      <c r="U54" s="2147" t="s">
        <v>39</v>
      </c>
      <c r="V54" s="2147"/>
      <c r="W54" s="2147"/>
      <c r="X54" s="2147"/>
      <c r="Y54" s="2147"/>
      <c r="Z54" s="1450"/>
      <c r="AA54" s="1450"/>
      <c r="AB54" s="1468" t="s">
        <v>2517</v>
      </c>
      <c r="AC54" s="1466"/>
      <c r="AD54" s="1466"/>
      <c r="AE54" s="1466"/>
      <c r="AF54" s="1466"/>
      <c r="AG54" s="1466"/>
      <c r="AH54" s="1466"/>
      <c r="AI54" s="1466"/>
      <c r="AJ54" s="1466"/>
      <c r="AK54" s="1466"/>
      <c r="AL54" s="1466"/>
      <c r="AM54" s="1466"/>
      <c r="AN54" s="1467"/>
      <c r="AO54" s="1467"/>
      <c r="AP54" s="1467"/>
      <c r="AQ54" s="1466"/>
      <c r="AR54" s="1465"/>
    </row>
    <row r="55" spans="2:44" ht="20.100000000000001" customHeight="1">
      <c r="D55" s="2147" t="s">
        <v>2468</v>
      </c>
      <c r="E55" s="2147"/>
      <c r="F55" s="2179" t="s">
        <v>2467</v>
      </c>
      <c r="G55" s="2179"/>
      <c r="H55" s="2179"/>
      <c r="I55" s="2179"/>
      <c r="J55" s="2179"/>
      <c r="K55" s="2179"/>
      <c r="L55" s="2179"/>
      <c r="M55" s="2179"/>
      <c r="N55" s="2179"/>
      <c r="O55" s="2179"/>
      <c r="P55" s="2179"/>
      <c r="Q55" s="2179"/>
      <c r="R55" s="2174">
        <v>0.8</v>
      </c>
      <c r="S55" s="2175"/>
      <c r="T55" s="2176"/>
      <c r="U55" s="2180"/>
      <c r="V55" s="2180"/>
      <c r="W55" s="2180"/>
      <c r="X55" s="2180"/>
      <c r="Y55" s="2180"/>
      <c r="Z55" s="1450"/>
      <c r="AA55" s="1450"/>
      <c r="AB55" s="1463"/>
      <c r="AC55" s="1444" t="str">
        <f>"AH = { (1*"&amp;R57&amp;")/("&amp;R55&amp;"*"&amp;R59&amp;"*"&amp;R61&amp;") } * "&amp;R62&amp;" * 1.2"</f>
        <v>AH = { (1*4)/(0.8*1*0.82) } * 6.61 * 1.2</v>
      </c>
      <c r="AD55" s="1444"/>
      <c r="AE55" s="1450"/>
      <c r="AF55" s="1450"/>
      <c r="AG55" s="1444"/>
      <c r="AH55" s="1444"/>
      <c r="AI55" s="1444"/>
      <c r="AJ55" s="1444"/>
      <c r="AK55" s="1450"/>
      <c r="AL55" s="1444"/>
      <c r="AM55" s="1444"/>
      <c r="AN55" s="1450"/>
      <c r="AO55" s="1450"/>
      <c r="AP55" s="1450"/>
      <c r="AQ55" s="1450"/>
      <c r="AR55" s="1464"/>
    </row>
    <row r="56" spans="2:44" ht="20.100000000000001" customHeight="1">
      <c r="D56" s="2154" t="s">
        <v>2466</v>
      </c>
      <c r="E56" s="2155"/>
      <c r="F56" s="2154" t="s">
        <v>2465</v>
      </c>
      <c r="G56" s="2158"/>
      <c r="H56" s="2158"/>
      <c r="I56" s="2158"/>
      <c r="J56" s="2158"/>
      <c r="K56" s="2158"/>
      <c r="L56" s="2158"/>
      <c r="M56" s="2158"/>
      <c r="N56" s="2158"/>
      <c r="O56" s="2158"/>
      <c r="P56" s="2158"/>
      <c r="Q56" s="2155"/>
      <c r="R56" s="2174">
        <v>3</v>
      </c>
      <c r="S56" s="2175"/>
      <c r="T56" s="2176"/>
      <c r="U56" s="2180" t="s">
        <v>1609</v>
      </c>
      <c r="V56" s="2180"/>
      <c r="W56" s="2180"/>
      <c r="X56" s="2180"/>
      <c r="Y56" s="2180"/>
      <c r="Z56" s="1450"/>
      <c r="AA56" s="1450"/>
      <c r="AB56" s="1463"/>
      <c r="AC56" s="1450"/>
      <c r="AD56" s="1444" t="s">
        <v>2464</v>
      </c>
      <c r="AE56" s="2173">
        <f>ROUNDUP(((1*R57)/(R55*R59*R61))*R62*1.2,2)</f>
        <v>48.37</v>
      </c>
      <c r="AF56" s="2173"/>
      <c r="AG56" s="2173"/>
      <c r="AH56" s="2173"/>
      <c r="AI56" s="1444" t="s">
        <v>2463</v>
      </c>
      <c r="AJ56" s="1444"/>
      <c r="AK56" s="1444"/>
      <c r="AL56" s="1444"/>
      <c r="AM56" s="1444"/>
      <c r="AN56" s="1444"/>
      <c r="AO56" s="1444"/>
      <c r="AP56" s="1450"/>
      <c r="AQ56" s="1450"/>
      <c r="AR56" s="1457"/>
    </row>
    <row r="57" spans="2:44" ht="20.100000000000001" customHeight="1">
      <c r="D57" s="2166"/>
      <c r="E57" s="2167"/>
      <c r="F57" s="2166"/>
      <c r="G57" s="2168"/>
      <c r="H57" s="2168"/>
      <c r="I57" s="2168"/>
      <c r="J57" s="2168"/>
      <c r="K57" s="2168"/>
      <c r="L57" s="2168"/>
      <c r="M57" s="2168"/>
      <c r="N57" s="2168"/>
      <c r="O57" s="2168"/>
      <c r="P57" s="2168"/>
      <c r="Q57" s="2167"/>
      <c r="R57" s="2160">
        <v>4</v>
      </c>
      <c r="S57" s="2161"/>
      <c r="T57" s="2162"/>
      <c r="U57" s="2378" t="s">
        <v>2462</v>
      </c>
      <c r="V57" s="2378"/>
      <c r="W57" s="2378"/>
      <c r="X57" s="2378"/>
      <c r="Y57" s="2378"/>
      <c r="Z57" s="1450"/>
      <c r="AA57" s="1450"/>
      <c r="AB57" s="1458"/>
      <c r="AC57" s="1460"/>
      <c r="AD57" s="1462" t="s">
        <v>2461</v>
      </c>
      <c r="AE57" s="2264">
        <v>100</v>
      </c>
      <c r="AF57" s="2264"/>
      <c r="AG57" s="2264"/>
      <c r="AH57" s="2264"/>
      <c r="AI57" s="1461" t="s">
        <v>2460</v>
      </c>
      <c r="AJ57" s="1460"/>
      <c r="AK57" s="1460"/>
      <c r="AL57" s="1460"/>
      <c r="AM57" s="1460"/>
      <c r="AN57" s="1460"/>
      <c r="AO57" s="1460"/>
      <c r="AP57" s="1459"/>
      <c r="AQ57" s="1459"/>
      <c r="AR57" s="1457"/>
    </row>
    <row r="58" spans="2:44" ht="20.100000000000001" customHeight="1">
      <c r="D58" s="2156"/>
      <c r="E58" s="2157"/>
      <c r="F58" s="2156"/>
      <c r="G58" s="2159"/>
      <c r="H58" s="2159"/>
      <c r="I58" s="2159"/>
      <c r="J58" s="2159"/>
      <c r="K58" s="2159"/>
      <c r="L58" s="2159"/>
      <c r="M58" s="2159"/>
      <c r="N58" s="2159"/>
      <c r="O58" s="2159"/>
      <c r="P58" s="2159"/>
      <c r="Q58" s="2157"/>
      <c r="R58" s="2174">
        <v>16</v>
      </c>
      <c r="S58" s="2175"/>
      <c r="T58" s="2176"/>
      <c r="U58" s="2151" t="s">
        <v>2459</v>
      </c>
      <c r="V58" s="2152"/>
      <c r="W58" s="2152"/>
      <c r="X58" s="2152"/>
      <c r="Y58" s="2153"/>
      <c r="Z58" s="1450"/>
      <c r="AA58" s="1450"/>
      <c r="AB58" s="1458"/>
      <c r="AC58" s="1451"/>
      <c r="AD58" s="1451"/>
      <c r="AE58" s="1451"/>
      <c r="AF58" s="1450"/>
      <c r="AG58" s="1450"/>
      <c r="AH58" s="1450"/>
      <c r="AI58" s="1450"/>
      <c r="AJ58" s="1450"/>
      <c r="AK58" s="1450"/>
      <c r="AL58" s="1450"/>
      <c r="AM58" s="1450"/>
      <c r="AN58" s="1450"/>
      <c r="AO58" s="1450"/>
      <c r="AP58" s="1450"/>
      <c r="AQ58" s="1450"/>
      <c r="AR58" s="1457"/>
    </row>
    <row r="59" spans="2:44" ht="20.100000000000001" customHeight="1">
      <c r="D59" s="2147" t="s">
        <v>2458</v>
      </c>
      <c r="E59" s="2147"/>
      <c r="F59" s="2147" t="s">
        <v>2457</v>
      </c>
      <c r="G59" s="2147"/>
      <c r="H59" s="2147"/>
      <c r="I59" s="2147"/>
      <c r="J59" s="2147"/>
      <c r="K59" s="2147"/>
      <c r="L59" s="2147"/>
      <c r="M59" s="2147"/>
      <c r="N59" s="2147"/>
      <c r="O59" s="2147"/>
      <c r="P59" s="2147"/>
      <c r="Q59" s="2147"/>
      <c r="R59" s="2148">
        <v>1</v>
      </c>
      <c r="S59" s="2149"/>
      <c r="T59" s="2150"/>
      <c r="U59" s="2151" t="s">
        <v>2965</v>
      </c>
      <c r="V59" s="2152"/>
      <c r="W59" s="2152"/>
      <c r="X59" s="2152"/>
      <c r="Y59" s="2153"/>
      <c r="Z59" s="1450"/>
      <c r="AA59" s="1450"/>
      <c r="AB59" s="1458"/>
      <c r="AC59" s="1450"/>
      <c r="AD59" s="1450"/>
      <c r="AE59" s="1450"/>
      <c r="AF59" s="1450"/>
      <c r="AG59" s="1450"/>
      <c r="AH59" s="1450"/>
      <c r="AI59" s="1450"/>
      <c r="AJ59" s="1450"/>
      <c r="AK59" s="1450"/>
      <c r="AL59" s="1450"/>
      <c r="AM59" s="1450"/>
      <c r="AN59" s="1450"/>
      <c r="AO59" s="1450"/>
      <c r="AP59" s="1450"/>
      <c r="AQ59" s="1450"/>
      <c r="AR59" s="1457"/>
    </row>
    <row r="60" spans="2:44" ht="20.100000000000001" customHeight="1">
      <c r="D60" s="2154" t="s">
        <v>2456</v>
      </c>
      <c r="E60" s="2155"/>
      <c r="F60" s="2154" t="s">
        <v>2455</v>
      </c>
      <c r="G60" s="2158"/>
      <c r="H60" s="2158"/>
      <c r="I60" s="2158"/>
      <c r="J60" s="2158"/>
      <c r="K60" s="2158"/>
      <c r="L60" s="2158"/>
      <c r="M60" s="2158"/>
      <c r="N60" s="2158"/>
      <c r="O60" s="2158"/>
      <c r="P60" s="2158"/>
      <c r="Q60" s="2155"/>
      <c r="R60" s="2174">
        <v>0.77</v>
      </c>
      <c r="S60" s="2175"/>
      <c r="T60" s="2176"/>
      <c r="U60" s="2151" t="s">
        <v>2454</v>
      </c>
      <c r="V60" s="2152"/>
      <c r="W60" s="2152"/>
      <c r="X60" s="2152"/>
      <c r="Y60" s="2153"/>
      <c r="Z60" s="1450"/>
      <c r="AA60" s="1450"/>
      <c r="AB60" s="1458"/>
      <c r="AC60" s="1450"/>
      <c r="AD60" s="1450"/>
      <c r="AE60" s="1450"/>
      <c r="AF60" s="1450"/>
      <c r="AG60" s="1450"/>
      <c r="AH60" s="1450"/>
      <c r="AI60" s="1450"/>
      <c r="AJ60" s="1450"/>
      <c r="AK60" s="1450"/>
      <c r="AL60" s="1450"/>
      <c r="AM60" s="1450"/>
      <c r="AN60" s="1450"/>
      <c r="AO60" s="1450"/>
      <c r="AP60" s="1450"/>
      <c r="AQ60" s="1450"/>
      <c r="AR60" s="1457"/>
    </row>
    <row r="61" spans="2:44" ht="20.100000000000001" customHeight="1">
      <c r="D61" s="2156"/>
      <c r="E61" s="2157"/>
      <c r="F61" s="2156"/>
      <c r="G61" s="2159"/>
      <c r="H61" s="2159"/>
      <c r="I61" s="2159"/>
      <c r="J61" s="2159"/>
      <c r="K61" s="2159"/>
      <c r="L61" s="2159"/>
      <c r="M61" s="2159"/>
      <c r="N61" s="2159"/>
      <c r="O61" s="2159"/>
      <c r="P61" s="2159"/>
      <c r="Q61" s="2157"/>
      <c r="R61" s="2375">
        <v>0.82</v>
      </c>
      <c r="S61" s="2376"/>
      <c r="T61" s="2377"/>
      <c r="U61" s="2163" t="s">
        <v>2453</v>
      </c>
      <c r="V61" s="2164"/>
      <c r="W61" s="2164"/>
      <c r="X61" s="2164"/>
      <c r="Y61" s="2165"/>
      <c r="Z61" s="1450"/>
      <c r="AA61" s="1450"/>
      <c r="AB61" s="1479"/>
      <c r="AC61" s="1454"/>
      <c r="AD61" s="1454"/>
      <c r="AE61" s="1454"/>
      <c r="AF61" s="1454"/>
      <c r="AG61" s="1454"/>
      <c r="AH61" s="1454"/>
      <c r="AI61" s="1454"/>
      <c r="AJ61" s="1454"/>
      <c r="AK61" s="1454"/>
      <c r="AL61" s="1454"/>
      <c r="AM61" s="1454"/>
      <c r="AN61" s="1454"/>
      <c r="AO61" s="1454"/>
      <c r="AP61" s="1454"/>
      <c r="AQ61" s="1454"/>
      <c r="AR61" s="1455"/>
    </row>
    <row r="62" spans="2:44" ht="20.100000000000001" customHeight="1">
      <c r="D62" s="2147" t="s">
        <v>2452</v>
      </c>
      <c r="E62" s="2147"/>
      <c r="F62" s="2147" t="s">
        <v>2451</v>
      </c>
      <c r="G62" s="2147"/>
      <c r="H62" s="2147"/>
      <c r="I62" s="2147"/>
      <c r="J62" s="2147"/>
      <c r="K62" s="2147"/>
      <c r="L62" s="2147"/>
      <c r="M62" s="2147"/>
      <c r="N62" s="2147"/>
      <c r="O62" s="2147"/>
      <c r="P62" s="2147"/>
      <c r="Q62" s="2147"/>
      <c r="R62" s="2258">
        <f>AG32</f>
        <v>6.61</v>
      </c>
      <c r="S62" s="2259"/>
      <c r="T62" s="2260"/>
      <c r="U62" s="2151"/>
      <c r="V62" s="2152"/>
      <c r="W62" s="2152"/>
      <c r="X62" s="2152"/>
      <c r="Y62" s="2153"/>
      <c r="Z62" s="1450"/>
      <c r="AA62" s="1450"/>
      <c r="AB62" s="1491"/>
      <c r="AC62" s="1490"/>
      <c r="AD62" s="1490"/>
      <c r="AE62" s="1490"/>
      <c r="AF62" s="1490"/>
      <c r="AG62" s="1490"/>
      <c r="AH62" s="1490"/>
      <c r="AI62" s="1490"/>
      <c r="AJ62" s="1490"/>
      <c r="AK62" s="1490"/>
      <c r="AL62" s="1490"/>
      <c r="AM62" s="1490"/>
      <c r="AN62" s="1490"/>
      <c r="AO62" s="1490"/>
      <c r="AP62" s="1490"/>
      <c r="AQ62" s="1490"/>
      <c r="AR62" s="1489"/>
    </row>
    <row r="63" spans="2:44" ht="20.100000000000001" customHeight="1">
      <c r="D63" s="1444" t="s">
        <v>2450</v>
      </c>
    </row>
    <row r="64" spans="2:44" ht="20.100000000000001" customHeight="1">
      <c r="D64" s="1444" t="s">
        <v>3227</v>
      </c>
    </row>
    <row r="65" spans="1:93" ht="20.100000000000001" customHeight="1">
      <c r="D65" s="1444"/>
    </row>
    <row r="66" spans="1:93" ht="20.100000000000001" customHeight="1">
      <c r="AS66" s="1485"/>
      <c r="AT66" s="1444"/>
      <c r="AU66" s="1444"/>
      <c r="AV66" s="1444"/>
      <c r="AX66" s="1454"/>
      <c r="AY66" s="1454"/>
      <c r="AZ66" s="1454"/>
      <c r="BA66" s="1454"/>
      <c r="BB66" s="1454"/>
      <c r="BC66" s="1454"/>
      <c r="BD66" s="1454"/>
      <c r="BE66" s="1454"/>
      <c r="BF66" s="1454"/>
      <c r="BG66" s="1454"/>
      <c r="BH66" s="1454"/>
      <c r="BI66" s="1454"/>
      <c r="BJ66" s="1454"/>
      <c r="BK66" s="1454"/>
      <c r="BL66" s="1454"/>
      <c r="BM66" s="1454"/>
      <c r="BN66" s="1454"/>
      <c r="BO66" s="1454"/>
      <c r="BP66" s="1454"/>
      <c r="BQ66" s="1454"/>
      <c r="BR66" s="1454"/>
      <c r="BS66" s="1454"/>
      <c r="BT66" s="1454"/>
      <c r="BU66" s="1454"/>
      <c r="BV66" s="1454"/>
      <c r="BW66" s="1454"/>
      <c r="BX66" s="1454"/>
      <c r="BY66" s="1454"/>
      <c r="BZ66" s="1454"/>
      <c r="CA66" s="1454"/>
      <c r="CB66" s="1454"/>
      <c r="CC66" s="1454"/>
      <c r="CD66" s="1454"/>
      <c r="CE66" s="1454"/>
      <c r="CF66" s="1454"/>
      <c r="CG66" s="1454"/>
      <c r="CH66" s="1454"/>
      <c r="CI66" s="1454"/>
      <c r="CJ66" s="1454"/>
      <c r="CK66" s="1454"/>
      <c r="CL66" s="1454"/>
      <c r="CM66" s="1454"/>
      <c r="CN66" s="1454"/>
      <c r="CO66" s="1454"/>
    </row>
    <row r="67" spans="1:93" s="1450" customFormat="1" ht="20.100000000000001" customHeight="1">
      <c r="AX67" s="1454"/>
      <c r="AY67" s="1454"/>
      <c r="AZ67" s="1454"/>
      <c r="BA67" s="1454"/>
      <c r="BB67" s="1454"/>
      <c r="BC67" s="1454"/>
      <c r="BD67" s="1454"/>
      <c r="BE67" s="1454"/>
      <c r="BF67" s="1454"/>
      <c r="BG67" s="1454"/>
      <c r="BH67" s="1454"/>
      <c r="BI67" s="1454"/>
      <c r="BJ67" s="1454"/>
      <c r="BK67" s="1454"/>
      <c r="BL67" s="1454"/>
      <c r="BM67" s="1454"/>
      <c r="BN67" s="1454"/>
      <c r="BO67" s="1454"/>
      <c r="BP67" s="1454"/>
      <c r="BQ67" s="1454"/>
      <c r="BR67" s="1454"/>
      <c r="BS67" s="1454"/>
      <c r="BT67" s="1454"/>
      <c r="BU67" s="1454"/>
      <c r="BV67" s="1454"/>
      <c r="BW67" s="1454"/>
      <c r="BX67" s="1454"/>
      <c r="BY67" s="1454"/>
      <c r="BZ67" s="1454"/>
      <c r="CA67" s="1454"/>
      <c r="CB67" s="1454"/>
      <c r="CC67" s="1454"/>
      <c r="CD67" s="1454"/>
      <c r="CE67" s="1454"/>
      <c r="CF67" s="1454"/>
      <c r="CG67" s="1454"/>
      <c r="CH67" s="1454"/>
      <c r="CI67" s="1454"/>
      <c r="CJ67" s="1454"/>
      <c r="CK67" s="1454"/>
      <c r="CL67" s="1454"/>
      <c r="CM67" s="1454"/>
      <c r="CN67" s="1454"/>
      <c r="CO67" s="1454"/>
    </row>
    <row r="68" spans="1:93" s="1450" customFormat="1" ht="20.100000000000001" customHeight="1">
      <c r="AS68" s="1444"/>
      <c r="AT68" s="1444"/>
      <c r="AX68" s="1454"/>
      <c r="AY68" s="1454"/>
      <c r="AZ68" s="1454"/>
      <c r="BA68" s="1454"/>
      <c r="BB68" s="1454"/>
      <c r="BC68" s="1454"/>
      <c r="BD68" s="1454"/>
      <c r="BE68" s="1454"/>
      <c r="BF68" s="1454"/>
      <c r="BG68" s="1454"/>
      <c r="BH68" s="1454"/>
      <c r="BI68" s="1454"/>
      <c r="BJ68" s="1454"/>
      <c r="BK68" s="1454"/>
      <c r="BL68" s="1454"/>
      <c r="BM68" s="1454"/>
      <c r="BN68" s="1454"/>
      <c r="BO68" s="1454"/>
      <c r="BP68" s="1454"/>
      <c r="BQ68" s="1454"/>
      <c r="BR68" s="1454"/>
      <c r="BS68" s="1454"/>
      <c r="BT68" s="1454"/>
      <c r="BU68" s="1454"/>
      <c r="BV68" s="1454"/>
      <c r="BW68" s="1454"/>
      <c r="BX68" s="1454"/>
      <c r="BY68" s="1454"/>
      <c r="BZ68" s="1454"/>
      <c r="CA68" s="1454"/>
      <c r="CB68" s="1454"/>
      <c r="CC68" s="1454"/>
      <c r="CD68" s="1454"/>
      <c r="CE68" s="1454"/>
      <c r="CF68" s="1454"/>
      <c r="CG68" s="1454"/>
      <c r="CH68" s="1454"/>
      <c r="CI68" s="1454"/>
      <c r="CJ68" s="1454"/>
      <c r="CK68" s="1454"/>
      <c r="CL68" s="1454"/>
      <c r="CM68" s="1454"/>
      <c r="CN68" s="1454"/>
      <c r="CO68" s="1454"/>
    </row>
    <row r="69" spans="1:93" s="1450" customFormat="1" ht="20.100000000000001" customHeight="1">
      <c r="AT69" s="1444"/>
      <c r="AX69" s="1454"/>
      <c r="AY69" s="1454"/>
      <c r="AZ69" s="1454"/>
      <c r="BA69" s="1454"/>
      <c r="BB69" s="1454"/>
      <c r="BC69" s="1454"/>
      <c r="BD69" s="1454"/>
      <c r="BE69" s="1454"/>
      <c r="BF69" s="1454"/>
      <c r="BG69" s="1454"/>
      <c r="BH69" s="1454"/>
      <c r="BI69" s="1454"/>
      <c r="BJ69" s="1454"/>
      <c r="BK69" s="1454"/>
      <c r="BL69" s="1454"/>
      <c r="BM69" s="1454"/>
      <c r="BN69" s="1454"/>
      <c r="BO69" s="1454"/>
      <c r="BP69" s="1454"/>
      <c r="BQ69" s="1454"/>
      <c r="BR69" s="1454"/>
      <c r="BS69" s="1454"/>
      <c r="BT69" s="1454"/>
      <c r="BU69" s="1454"/>
      <c r="BV69" s="1454"/>
      <c r="BW69" s="1454"/>
      <c r="BX69" s="1454"/>
      <c r="BY69" s="1454"/>
      <c r="BZ69" s="1454"/>
      <c r="CA69" s="1454"/>
      <c r="CB69" s="1454"/>
      <c r="CC69" s="1454"/>
      <c r="CD69" s="1454"/>
      <c r="CE69" s="1454"/>
      <c r="CF69" s="1454"/>
      <c r="CG69" s="1454"/>
      <c r="CH69" s="1454"/>
      <c r="CI69" s="1454"/>
      <c r="CJ69" s="1454"/>
      <c r="CK69" s="1454"/>
      <c r="CL69" s="1454"/>
      <c r="CM69" s="1454"/>
      <c r="CN69" s="1454"/>
      <c r="CO69" s="1454"/>
    </row>
    <row r="70" spans="1:93" s="1450" customFormat="1" ht="20.100000000000001" customHeight="1">
      <c r="AT70" s="1444"/>
      <c r="AX70" s="1454"/>
      <c r="AY70" s="1454"/>
      <c r="AZ70" s="1454"/>
      <c r="BA70" s="1454"/>
      <c r="BB70" s="1454"/>
      <c r="BC70" s="1454"/>
      <c r="BD70" s="1454"/>
      <c r="BE70" s="1454"/>
      <c r="BF70" s="1454"/>
      <c r="BG70" s="1454"/>
      <c r="BH70" s="1454"/>
      <c r="BI70" s="1454"/>
      <c r="BJ70" s="1454"/>
      <c r="BK70" s="1454"/>
      <c r="BL70" s="1454"/>
      <c r="BM70" s="1454"/>
      <c r="BN70" s="1454"/>
      <c r="BO70" s="1454"/>
      <c r="BP70" s="1454"/>
      <c r="BQ70" s="1454"/>
      <c r="BR70" s="1454"/>
      <c r="BS70" s="1454"/>
      <c r="BT70" s="1454"/>
      <c r="BU70" s="1454"/>
      <c r="BV70" s="1454"/>
      <c r="BW70" s="1454"/>
      <c r="BX70" s="1454"/>
      <c r="BY70" s="1454"/>
      <c r="BZ70" s="1454"/>
      <c r="CA70" s="1454"/>
      <c r="CB70" s="1454"/>
      <c r="CC70" s="1454"/>
      <c r="CD70" s="1454"/>
      <c r="CE70" s="1454"/>
      <c r="CF70" s="1454"/>
      <c r="CG70" s="1454"/>
      <c r="CH70" s="1454"/>
      <c r="CI70" s="1454"/>
      <c r="CJ70" s="1454"/>
      <c r="CK70" s="1454"/>
      <c r="CL70" s="1454"/>
      <c r="CM70" s="1454"/>
      <c r="CN70" s="1454"/>
      <c r="CO70" s="1454"/>
    </row>
    <row r="71" spans="1:93" s="1450" customFormat="1" ht="20.100000000000001" customHeight="1">
      <c r="AT71" s="1444"/>
      <c r="AX71" s="1454"/>
      <c r="AY71" s="1454"/>
      <c r="AZ71" s="1454"/>
      <c r="BA71" s="1454"/>
      <c r="BB71" s="1454"/>
      <c r="BC71" s="1454"/>
      <c r="BD71" s="1454"/>
      <c r="BE71" s="1454"/>
      <c r="BF71" s="1454"/>
      <c r="BG71" s="1454"/>
      <c r="BH71" s="1454"/>
      <c r="BI71" s="1454"/>
      <c r="BJ71" s="1454"/>
      <c r="BK71" s="1454"/>
      <c r="BL71" s="1454"/>
      <c r="BM71" s="1454"/>
      <c r="BN71" s="1454"/>
      <c r="BO71" s="1454"/>
      <c r="BP71" s="1454"/>
      <c r="BQ71" s="1454"/>
      <c r="BR71" s="1454"/>
      <c r="BS71" s="1454"/>
      <c r="BT71" s="1454"/>
      <c r="BU71" s="1454"/>
      <c r="BV71" s="1454"/>
      <c r="BW71" s="1454"/>
      <c r="BX71" s="1454"/>
      <c r="BY71" s="1454"/>
      <c r="BZ71" s="1454"/>
      <c r="CA71" s="1454"/>
      <c r="CB71" s="1454"/>
      <c r="CC71" s="1454"/>
      <c r="CD71" s="1454"/>
      <c r="CE71" s="1454"/>
      <c r="CF71" s="1454"/>
      <c r="CG71" s="1454"/>
      <c r="CH71" s="1454"/>
      <c r="CI71" s="1454"/>
      <c r="CJ71" s="1454"/>
      <c r="CK71" s="1454"/>
      <c r="CL71" s="1454"/>
      <c r="CM71" s="1454"/>
      <c r="CN71" s="1454"/>
      <c r="CO71" s="1454"/>
    </row>
    <row r="72" spans="1:93" s="1450" customFormat="1" ht="20.100000000000001" customHeight="1">
      <c r="AX72" s="1454"/>
      <c r="AY72" s="1454"/>
      <c r="AZ72" s="1454"/>
      <c r="BA72" s="1454"/>
      <c r="BB72" s="1454"/>
      <c r="BC72" s="1454"/>
      <c r="BD72" s="1454"/>
      <c r="BE72" s="1454"/>
      <c r="BF72" s="1454"/>
      <c r="BG72" s="1454"/>
      <c r="BH72" s="1454"/>
      <c r="BI72" s="1454"/>
      <c r="BJ72" s="1454"/>
      <c r="BK72" s="1454"/>
      <c r="BL72" s="1454"/>
      <c r="BM72" s="1454"/>
      <c r="BN72" s="1454"/>
      <c r="BO72" s="1454"/>
      <c r="BP72" s="1454"/>
      <c r="BQ72" s="1454"/>
      <c r="BR72" s="1454"/>
      <c r="BS72" s="1454"/>
      <c r="BT72" s="1454"/>
      <c r="BU72" s="1454"/>
      <c r="BV72" s="1454"/>
      <c r="BW72" s="1454"/>
      <c r="BX72" s="1454"/>
      <c r="BY72" s="1454"/>
      <c r="BZ72" s="1454"/>
      <c r="CA72" s="1454"/>
      <c r="CB72" s="1454"/>
      <c r="CC72" s="1454"/>
      <c r="CD72" s="1454"/>
      <c r="CE72" s="1454"/>
      <c r="CF72" s="1454"/>
      <c r="CG72" s="1454"/>
      <c r="CH72" s="1454"/>
      <c r="CI72" s="1454"/>
      <c r="CJ72" s="1454"/>
      <c r="CK72" s="1454"/>
      <c r="CL72" s="1454"/>
      <c r="CM72" s="1454"/>
      <c r="CN72" s="1454"/>
      <c r="CO72" s="1454"/>
    </row>
    <row r="73" spans="1:93" s="1450" customFormat="1" ht="20.100000000000001" customHeight="1">
      <c r="AX73" s="1454"/>
      <c r="AY73" s="1454"/>
      <c r="AZ73" s="1454"/>
      <c r="BA73" s="1454"/>
      <c r="BB73" s="1454"/>
      <c r="BC73" s="1454"/>
      <c r="BD73" s="1454"/>
      <c r="BE73" s="1454"/>
      <c r="BF73" s="1454"/>
      <c r="BG73" s="1454"/>
      <c r="BH73" s="1454"/>
      <c r="BI73" s="1454"/>
      <c r="BJ73" s="1454"/>
      <c r="BK73" s="1454"/>
      <c r="BL73" s="1454"/>
      <c r="BM73" s="1454"/>
      <c r="BN73" s="1454"/>
      <c r="BO73" s="1454"/>
      <c r="BP73" s="1454"/>
      <c r="BQ73" s="1454"/>
      <c r="BR73" s="1454"/>
      <c r="BS73" s="1454"/>
      <c r="BT73" s="1454"/>
      <c r="BU73" s="1454"/>
      <c r="BV73" s="1454"/>
      <c r="BW73" s="1454"/>
      <c r="BX73" s="1454"/>
      <c r="BY73" s="1454"/>
      <c r="BZ73" s="1454"/>
      <c r="CA73" s="1454"/>
      <c r="CB73" s="1454"/>
      <c r="CC73" s="1454"/>
      <c r="CD73" s="1454"/>
      <c r="CE73" s="1454"/>
      <c r="CF73" s="1454"/>
      <c r="CG73" s="1454"/>
      <c r="CH73" s="1454"/>
      <c r="CI73" s="1454"/>
      <c r="CJ73" s="1454"/>
      <c r="CK73" s="1454"/>
      <c r="CL73" s="1454"/>
      <c r="CM73" s="1454"/>
      <c r="CN73" s="1454"/>
      <c r="CO73" s="1454"/>
    </row>
    <row r="74" spans="1:93" s="1450" customFormat="1" ht="20.100000000000001" customHeight="1">
      <c r="AX74" s="1454"/>
      <c r="AY74" s="1454"/>
      <c r="AZ74" s="1454"/>
      <c r="BA74" s="1454"/>
      <c r="BB74" s="1454"/>
      <c r="BC74" s="1454"/>
      <c r="BD74" s="1454"/>
      <c r="BE74" s="1454"/>
      <c r="BF74" s="1454"/>
      <c r="BG74" s="1454"/>
      <c r="BH74" s="1454"/>
      <c r="BI74" s="1454"/>
      <c r="BJ74" s="1454"/>
      <c r="BK74" s="1454"/>
      <c r="BL74" s="1454"/>
      <c r="BM74" s="1454"/>
      <c r="BN74" s="1454"/>
      <c r="BO74" s="1454"/>
      <c r="BP74" s="1454"/>
      <c r="BQ74" s="1454"/>
      <c r="BR74" s="1454"/>
      <c r="BS74" s="1454"/>
      <c r="BT74" s="1454"/>
      <c r="BU74" s="1454"/>
      <c r="BV74" s="1454"/>
      <c r="BW74" s="1454"/>
      <c r="BX74" s="1454"/>
      <c r="BY74" s="1454"/>
      <c r="BZ74" s="1454"/>
      <c r="CA74" s="1454"/>
      <c r="CB74" s="1454"/>
      <c r="CC74" s="1454"/>
      <c r="CD74" s="1454"/>
      <c r="CE74" s="1454"/>
      <c r="CF74" s="1454"/>
      <c r="CG74" s="1454"/>
      <c r="CH74" s="1454"/>
      <c r="CI74" s="1454"/>
      <c r="CJ74" s="1454"/>
      <c r="CK74" s="1454"/>
      <c r="CL74" s="1454"/>
      <c r="CM74" s="1454"/>
      <c r="CN74" s="1454"/>
      <c r="CO74" s="1454"/>
    </row>
    <row r="75" spans="1:93" s="1450" customFormat="1" ht="20.100000000000001" customHeight="1">
      <c r="AX75" s="1454"/>
      <c r="AY75" s="1454"/>
      <c r="AZ75" s="1454"/>
      <c r="BA75" s="1454"/>
      <c r="BB75" s="1454"/>
      <c r="BC75" s="1454"/>
      <c r="BD75" s="1454"/>
      <c r="BE75" s="1454"/>
      <c r="BF75" s="1454"/>
      <c r="BG75" s="1454"/>
      <c r="BH75" s="1454"/>
      <c r="BI75" s="1454"/>
      <c r="BJ75" s="1454"/>
      <c r="BK75" s="1454"/>
      <c r="BL75" s="1454"/>
      <c r="BM75" s="1454"/>
      <c r="BN75" s="1454"/>
      <c r="BO75" s="1454"/>
      <c r="BP75" s="1454"/>
      <c r="BQ75" s="1454"/>
      <c r="BR75" s="1454"/>
      <c r="BS75" s="1454"/>
      <c r="BT75" s="1454"/>
      <c r="BU75" s="1454"/>
      <c r="BV75" s="1454"/>
      <c r="BW75" s="1454"/>
      <c r="BX75" s="1454"/>
      <c r="BY75" s="1454"/>
      <c r="BZ75" s="1454"/>
      <c r="CA75" s="1454"/>
      <c r="CB75" s="1454"/>
      <c r="CC75" s="1454"/>
      <c r="CD75" s="1454"/>
      <c r="CE75" s="1454"/>
      <c r="CF75" s="1454"/>
      <c r="CG75" s="1454"/>
      <c r="CH75" s="1454"/>
      <c r="CI75" s="1454"/>
      <c r="CJ75" s="1454"/>
      <c r="CK75" s="1454"/>
      <c r="CL75" s="1454"/>
      <c r="CM75" s="1454"/>
      <c r="CN75" s="1454"/>
      <c r="CO75" s="1454"/>
    </row>
    <row r="76" spans="1:93" s="1450" customFormat="1" ht="20.100000000000001" customHeight="1">
      <c r="AX76" s="1454"/>
      <c r="AY76" s="1454"/>
      <c r="AZ76" s="1454"/>
      <c r="BA76" s="1454"/>
      <c r="BB76" s="1454"/>
      <c r="BC76" s="1454"/>
      <c r="BD76" s="1454"/>
      <c r="BE76" s="1454"/>
      <c r="BF76" s="1454"/>
      <c r="BG76" s="1454"/>
      <c r="BH76" s="1454"/>
      <c r="BI76" s="1454"/>
      <c r="BJ76" s="1454"/>
      <c r="BK76" s="1454"/>
      <c r="BL76" s="1454"/>
      <c r="BM76" s="1454"/>
      <c r="BN76" s="1454"/>
      <c r="BO76" s="1454"/>
      <c r="BP76" s="1454"/>
      <c r="BQ76" s="1454"/>
      <c r="BR76" s="1454"/>
      <c r="BS76" s="1454"/>
      <c r="BT76" s="1454"/>
      <c r="BU76" s="1454"/>
      <c r="BV76" s="1454"/>
      <c r="BW76" s="1454"/>
      <c r="BX76" s="1454"/>
      <c r="BY76" s="1454"/>
      <c r="BZ76" s="1454"/>
      <c r="CA76" s="1454"/>
      <c r="CB76" s="1454"/>
      <c r="CC76" s="1454"/>
      <c r="CD76" s="1454"/>
      <c r="CE76" s="1454"/>
      <c r="CF76" s="1454"/>
      <c r="CG76" s="1454"/>
      <c r="CH76" s="1454"/>
      <c r="CI76" s="1454"/>
      <c r="CJ76" s="1454"/>
      <c r="CK76" s="1454"/>
      <c r="CL76" s="1454"/>
      <c r="CM76" s="1454"/>
      <c r="CN76" s="1454"/>
      <c r="CO76" s="1454"/>
    </row>
    <row r="77" spans="1:93" s="1450" customFormat="1" ht="20.100000000000001" customHeight="1">
      <c r="AX77" s="1454"/>
      <c r="AY77" s="1454"/>
      <c r="AZ77" s="1454"/>
      <c r="BA77" s="1454"/>
      <c r="BB77" s="1454"/>
      <c r="BC77" s="1454"/>
      <c r="BD77" s="1454"/>
      <c r="BE77" s="1454"/>
      <c r="BF77" s="1454"/>
      <c r="BG77" s="1454"/>
      <c r="BH77" s="1454"/>
      <c r="BI77" s="1454"/>
      <c r="BJ77" s="1454"/>
      <c r="BK77" s="1454"/>
      <c r="BL77" s="1454"/>
      <c r="BM77" s="1454"/>
      <c r="BN77" s="1454"/>
      <c r="BO77" s="1454"/>
      <c r="BP77" s="1454"/>
      <c r="BQ77" s="1454"/>
      <c r="BR77" s="1454"/>
      <c r="BS77" s="1454"/>
      <c r="BT77" s="1454"/>
      <c r="BU77" s="1454"/>
      <c r="BV77" s="1454"/>
      <c r="BW77" s="1454"/>
      <c r="BX77" s="1454"/>
      <c r="BY77" s="1454"/>
      <c r="BZ77" s="1454"/>
      <c r="CA77" s="1454"/>
      <c r="CB77" s="1454"/>
      <c r="CC77" s="1454"/>
      <c r="CD77" s="1454"/>
      <c r="CE77" s="1454"/>
      <c r="CF77" s="1454"/>
      <c r="CG77" s="1454"/>
      <c r="CH77" s="1454"/>
      <c r="CI77" s="1454"/>
      <c r="CJ77" s="1454"/>
      <c r="CK77" s="1454"/>
      <c r="CL77" s="1454"/>
      <c r="CM77" s="1454"/>
      <c r="CN77" s="1454"/>
      <c r="CO77" s="1454"/>
    </row>
    <row r="78" spans="1:93" s="1450" customFormat="1" ht="20.100000000000001" customHeight="1">
      <c r="AX78" s="1454"/>
      <c r="AY78" s="1454"/>
      <c r="AZ78" s="1454"/>
      <c r="BA78" s="1454"/>
      <c r="BB78" s="1454"/>
      <c r="BC78" s="1454"/>
      <c r="BD78" s="1454"/>
      <c r="BE78" s="1454"/>
      <c r="BF78" s="1454"/>
      <c r="BG78" s="1454"/>
      <c r="BH78" s="1454"/>
      <c r="BI78" s="1454"/>
      <c r="BJ78" s="1454"/>
      <c r="BK78" s="1454"/>
      <c r="BL78" s="1454"/>
      <c r="BM78" s="1454"/>
      <c r="BN78" s="1454"/>
      <c r="BO78" s="1454"/>
      <c r="BP78" s="1454"/>
      <c r="BQ78" s="1454"/>
      <c r="BR78" s="1454"/>
      <c r="BS78" s="1454"/>
      <c r="BT78" s="1454"/>
      <c r="BU78" s="1454"/>
      <c r="BV78" s="1454"/>
      <c r="BW78" s="1454"/>
      <c r="BX78" s="1454"/>
      <c r="BY78" s="1454"/>
      <c r="BZ78" s="1454"/>
      <c r="CA78" s="1454"/>
      <c r="CB78" s="1454"/>
      <c r="CC78" s="1454"/>
      <c r="CD78" s="1454"/>
      <c r="CE78" s="1454"/>
      <c r="CF78" s="1454"/>
      <c r="CG78" s="1454"/>
      <c r="CH78" s="1454"/>
      <c r="CI78" s="1454"/>
      <c r="CJ78" s="1454"/>
      <c r="CK78" s="1454"/>
      <c r="CL78" s="1454"/>
      <c r="CM78" s="1454"/>
      <c r="CN78" s="1454"/>
      <c r="CO78" s="1454"/>
    </row>
    <row r="79" spans="1:93" s="1450" customFormat="1" ht="20.100000000000001" customHeight="1">
      <c r="A79" s="1488"/>
      <c r="AX79" s="1454"/>
      <c r="AY79" s="1454"/>
      <c r="AZ79" s="1454"/>
      <c r="BA79" s="1454"/>
      <c r="BB79" s="1454"/>
      <c r="BC79" s="1454"/>
      <c r="BD79" s="1454"/>
      <c r="BE79" s="1454"/>
      <c r="BF79" s="1454"/>
      <c r="BG79" s="1454"/>
      <c r="BH79" s="1454"/>
      <c r="BI79" s="1454"/>
      <c r="BJ79" s="1454"/>
      <c r="BK79" s="1454"/>
      <c r="BL79" s="1454"/>
      <c r="BM79" s="1454"/>
      <c r="BN79" s="1454"/>
      <c r="BO79" s="1454"/>
      <c r="BP79" s="1454"/>
      <c r="BQ79" s="1454"/>
      <c r="BR79" s="1454"/>
      <c r="BS79" s="1454"/>
      <c r="BT79" s="1454"/>
      <c r="BU79" s="1454"/>
      <c r="BV79" s="1454"/>
      <c r="BW79" s="1454"/>
      <c r="BX79" s="1454"/>
      <c r="BY79" s="1454"/>
      <c r="BZ79" s="1454"/>
      <c r="CA79" s="1454"/>
      <c r="CB79" s="1454"/>
      <c r="CC79" s="1454"/>
      <c r="CD79" s="1454"/>
      <c r="CE79" s="1454"/>
      <c r="CF79" s="1454"/>
      <c r="CG79" s="1454"/>
      <c r="CH79" s="1454"/>
      <c r="CI79" s="1454"/>
      <c r="CJ79" s="1454"/>
      <c r="CK79" s="1454"/>
      <c r="CL79" s="1454"/>
      <c r="CM79" s="1454"/>
      <c r="CN79" s="1454"/>
      <c r="CO79" s="1454"/>
    </row>
    <row r="80" spans="1:93" s="1450" customFormat="1" ht="20.100000000000001" customHeight="1">
      <c r="A80" s="1488" t="s">
        <v>2516</v>
      </c>
      <c r="AW80" s="1450" t="s">
        <v>2515</v>
      </c>
      <c r="AX80" s="1454"/>
      <c r="AY80" s="1454"/>
      <c r="AZ80" s="1454"/>
      <c r="BA80" s="1454"/>
      <c r="BB80" s="1454"/>
      <c r="BC80" s="1454"/>
      <c r="BD80" s="1454"/>
      <c r="BE80" s="1454"/>
      <c r="BF80" s="1454"/>
      <c r="BG80" s="1454"/>
      <c r="BH80" s="1454"/>
      <c r="BI80" s="1454"/>
      <c r="BJ80" s="1454"/>
      <c r="BK80" s="1454"/>
      <c r="BL80" s="1454"/>
      <c r="BM80" s="1454"/>
      <c r="BN80" s="1454"/>
      <c r="BO80" s="1454"/>
      <c r="BP80" s="1454"/>
      <c r="BQ80" s="1454"/>
      <c r="BR80" s="1454"/>
      <c r="BS80" s="1454"/>
      <c r="BT80" s="1454"/>
      <c r="BU80" s="1454"/>
      <c r="BV80" s="1454"/>
      <c r="BW80" s="1454"/>
      <c r="BX80" s="1454"/>
      <c r="BY80" s="1454"/>
      <c r="BZ80" s="1454"/>
      <c r="CA80" s="1454"/>
      <c r="CB80" s="1454"/>
      <c r="CC80" s="1454"/>
      <c r="CD80" s="1454"/>
      <c r="CE80" s="1454"/>
      <c r="CF80" s="1454"/>
      <c r="CG80" s="1454"/>
      <c r="CH80" s="1454"/>
      <c r="CI80" s="1454"/>
      <c r="CJ80" s="1454"/>
      <c r="CK80" s="1454"/>
      <c r="CL80" s="1454"/>
      <c r="CM80" s="1454"/>
      <c r="CN80" s="1454"/>
      <c r="CO80" s="1454"/>
    </row>
    <row r="81" spans="1:93" s="1450" customFormat="1" ht="20.100000000000001" customHeight="1">
      <c r="A81" s="1488"/>
      <c r="AX81" s="1454"/>
      <c r="AY81" s="1454"/>
      <c r="AZ81" s="1454"/>
      <c r="BA81" s="1454"/>
      <c r="BB81" s="1454"/>
      <c r="BC81" s="1454"/>
      <c r="BD81" s="1454"/>
      <c r="BE81" s="1454"/>
      <c r="BF81" s="1454"/>
      <c r="BG81" s="1454"/>
      <c r="BH81" s="1454"/>
      <c r="BI81" s="1454"/>
      <c r="BJ81" s="1454"/>
      <c r="BK81" s="1454"/>
      <c r="BL81" s="1454"/>
      <c r="BM81" s="1454"/>
      <c r="BN81" s="1454"/>
      <c r="BO81" s="1454"/>
      <c r="BP81" s="1454"/>
      <c r="BQ81" s="1454"/>
      <c r="BR81" s="1454"/>
      <c r="BS81" s="1454"/>
      <c r="BT81" s="1454"/>
      <c r="BU81" s="1454"/>
      <c r="BV81" s="1454"/>
      <c r="BW81" s="1454"/>
      <c r="BX81" s="1454"/>
      <c r="BY81" s="1454"/>
      <c r="BZ81" s="1454"/>
      <c r="CA81" s="1454"/>
      <c r="CB81" s="1454"/>
      <c r="CC81" s="1454"/>
      <c r="CD81" s="1454"/>
      <c r="CE81" s="1454"/>
      <c r="CF81" s="1454"/>
      <c r="CG81" s="1454"/>
      <c r="CH81" s="1454"/>
      <c r="CI81" s="1454"/>
      <c r="CJ81" s="1454"/>
      <c r="CK81" s="1454"/>
      <c r="CL81" s="1454"/>
      <c r="CM81" s="1454"/>
      <c r="CN81" s="1454"/>
      <c r="CO81" s="1454"/>
    </row>
    <row r="82" spans="1:93" s="1450" customFormat="1" ht="20.100000000000001" customHeight="1">
      <c r="AX82" s="1454"/>
      <c r="AY82" s="1454"/>
      <c r="AZ82" s="1454"/>
      <c r="BA82" s="1454"/>
      <c r="BB82" s="1454"/>
      <c r="BC82" s="1454"/>
      <c r="BD82" s="1454"/>
      <c r="BE82" s="1454"/>
      <c r="BF82" s="1454"/>
      <c r="BG82" s="1454"/>
      <c r="BH82" s="1454"/>
      <c r="BI82" s="1454"/>
      <c r="BJ82" s="1454"/>
      <c r="BK82" s="1454"/>
      <c r="BL82" s="1454"/>
      <c r="BM82" s="1454"/>
      <c r="BN82" s="1454"/>
      <c r="BO82" s="1454"/>
      <c r="BP82" s="1454"/>
      <c r="BQ82" s="1454"/>
      <c r="BR82" s="1454"/>
      <c r="BS82" s="1454"/>
      <c r="BT82" s="1454"/>
      <c r="BU82" s="1454"/>
      <c r="BV82" s="1454"/>
      <c r="BW82" s="1454"/>
      <c r="BX82" s="1454"/>
      <c r="BY82" s="1454"/>
      <c r="BZ82" s="1454"/>
      <c r="CA82" s="1454"/>
      <c r="CB82" s="1454"/>
      <c r="CC82" s="1454"/>
      <c r="CD82" s="1454"/>
      <c r="CE82" s="1454"/>
      <c r="CF82" s="1454"/>
      <c r="CG82" s="1454"/>
      <c r="CH82" s="1454"/>
      <c r="CI82" s="1454"/>
      <c r="CJ82" s="1454"/>
      <c r="CK82" s="1454"/>
      <c r="CL82" s="1454"/>
      <c r="CM82" s="1454"/>
      <c r="CN82" s="1454"/>
      <c r="CO82" s="1454"/>
    </row>
    <row r="83" spans="1:93" s="1450" customFormat="1" ht="20.100000000000001" customHeight="1">
      <c r="AX83" s="1454"/>
      <c r="AY83" s="1454"/>
      <c r="AZ83" s="1454"/>
      <c r="BA83" s="1454"/>
      <c r="BB83" s="1454"/>
      <c r="BC83" s="1454"/>
      <c r="BD83" s="1454"/>
      <c r="BE83" s="1454"/>
      <c r="BF83" s="1454"/>
      <c r="BG83" s="1454"/>
      <c r="BH83" s="1454"/>
      <c r="BI83" s="1454"/>
      <c r="BJ83" s="1454"/>
      <c r="BK83" s="1454"/>
      <c r="BL83" s="1454"/>
      <c r="BM83" s="1454"/>
      <c r="BN83" s="1454"/>
      <c r="BO83" s="1454"/>
      <c r="BP83" s="1454"/>
      <c r="BQ83" s="1454"/>
      <c r="BR83" s="1454"/>
      <c r="BS83" s="1454"/>
      <c r="BT83" s="1454"/>
      <c r="BU83" s="1454"/>
      <c r="BV83" s="1454"/>
      <c r="BW83" s="1454"/>
      <c r="BX83" s="1454"/>
      <c r="BY83" s="1454"/>
      <c r="BZ83" s="1454"/>
      <c r="CA83" s="1454"/>
      <c r="CB83" s="1454"/>
      <c r="CC83" s="1454"/>
      <c r="CD83" s="1454"/>
      <c r="CE83" s="1454"/>
      <c r="CF83" s="1454"/>
      <c r="CG83" s="1454"/>
      <c r="CH83" s="1454"/>
      <c r="CI83" s="1454"/>
      <c r="CJ83" s="1454"/>
      <c r="CK83" s="1454"/>
      <c r="CL83" s="1454"/>
      <c r="CM83" s="1454"/>
      <c r="CN83" s="1454"/>
      <c r="CO83" s="1454"/>
    </row>
    <row r="84" spans="1:93" s="1450" customFormat="1" ht="20.100000000000001" customHeight="1">
      <c r="AX84" s="1454"/>
      <c r="AY84" s="1454"/>
      <c r="AZ84" s="1454"/>
      <c r="BA84" s="1454"/>
      <c r="BB84" s="1454"/>
      <c r="BC84" s="1454"/>
      <c r="BD84" s="1454"/>
      <c r="BE84" s="1454"/>
      <c r="BF84" s="1454"/>
      <c r="BG84" s="1454"/>
      <c r="BH84" s="1454"/>
      <c r="BI84" s="1454"/>
      <c r="BJ84" s="1454"/>
      <c r="BK84" s="1454"/>
      <c r="BL84" s="1454"/>
      <c r="BM84" s="1454"/>
      <c r="BN84" s="1454"/>
      <c r="BO84" s="1454"/>
      <c r="BP84" s="1454"/>
      <c r="BQ84" s="1454"/>
      <c r="BR84" s="1454"/>
      <c r="BS84" s="1454"/>
      <c r="BT84" s="1454"/>
      <c r="BU84" s="1454"/>
      <c r="BV84" s="1454"/>
      <c r="BW84" s="1454"/>
      <c r="BX84" s="1454"/>
      <c r="BY84" s="1454"/>
      <c r="BZ84" s="1454"/>
      <c r="CA84" s="1454"/>
      <c r="CB84" s="1454"/>
      <c r="CC84" s="1454"/>
      <c r="CD84" s="1454"/>
      <c r="CE84" s="1454"/>
      <c r="CF84" s="1454"/>
      <c r="CG84" s="1454"/>
      <c r="CH84" s="1454"/>
      <c r="CI84" s="1454"/>
      <c r="CJ84" s="1454"/>
      <c r="CK84" s="1454"/>
      <c r="CL84" s="1454"/>
      <c r="CM84" s="1454"/>
      <c r="CN84" s="1454"/>
      <c r="CO84" s="1454"/>
    </row>
    <row r="85" spans="1:93" s="1450" customFormat="1" ht="20.100000000000001" customHeight="1">
      <c r="AX85" s="1454"/>
      <c r="AY85" s="1454"/>
      <c r="AZ85" s="1454"/>
      <c r="BA85" s="1454"/>
      <c r="BB85" s="1454"/>
      <c r="BC85" s="1454"/>
      <c r="BD85" s="1454"/>
      <c r="BE85" s="1454"/>
      <c r="BF85" s="1454"/>
      <c r="BG85" s="1454"/>
      <c r="BH85" s="1454"/>
      <c r="BI85" s="1454"/>
      <c r="BJ85" s="1454"/>
      <c r="BK85" s="1454"/>
      <c r="BL85" s="1454"/>
      <c r="BM85" s="1454"/>
      <c r="BN85" s="1454"/>
      <c r="BO85" s="1454"/>
      <c r="BP85" s="1454"/>
      <c r="BQ85" s="1454"/>
      <c r="BR85" s="1454"/>
      <c r="BS85" s="1454"/>
      <c r="BT85" s="1454"/>
      <c r="BU85" s="1454"/>
      <c r="BV85" s="1454"/>
      <c r="BW85" s="1454"/>
      <c r="BX85" s="1454"/>
      <c r="BY85" s="1454"/>
      <c r="BZ85" s="1454"/>
      <c r="CA85" s="1454"/>
      <c r="CB85" s="1454"/>
      <c r="CC85" s="1454"/>
      <c r="CD85" s="1454"/>
      <c r="CE85" s="1454"/>
      <c r="CF85" s="1454"/>
      <c r="CG85" s="1454"/>
      <c r="CH85" s="1454"/>
      <c r="CI85" s="1454"/>
      <c r="CJ85" s="1454"/>
      <c r="CK85" s="1454"/>
      <c r="CL85" s="1454"/>
      <c r="CM85" s="1454"/>
      <c r="CN85" s="1454"/>
      <c r="CO85" s="1454"/>
    </row>
    <row r="86" spans="1:93" s="1450" customFormat="1" ht="20.100000000000001" customHeight="1">
      <c r="AX86" s="1454"/>
      <c r="AY86" s="1454"/>
      <c r="AZ86" s="1454"/>
      <c r="BA86" s="1454"/>
      <c r="BB86" s="1454"/>
      <c r="BC86" s="1454"/>
      <c r="BD86" s="1454"/>
      <c r="BE86" s="1454"/>
      <c r="BF86" s="1454"/>
      <c r="BG86" s="1454"/>
      <c r="BH86" s="1454"/>
      <c r="BI86" s="1454"/>
      <c r="BJ86" s="1454"/>
      <c r="BK86" s="1454"/>
      <c r="BL86" s="1454"/>
      <c r="BM86" s="1454"/>
      <c r="BN86" s="1454"/>
      <c r="BO86" s="1454"/>
      <c r="BP86" s="1454"/>
      <c r="BQ86" s="1454"/>
      <c r="BR86" s="1454"/>
      <c r="BS86" s="1454"/>
      <c r="BT86" s="1454"/>
      <c r="BU86" s="1454"/>
      <c r="BV86" s="1454"/>
      <c r="BW86" s="1454"/>
      <c r="BX86" s="1454"/>
      <c r="BY86" s="1454"/>
      <c r="BZ86" s="1454"/>
      <c r="CA86" s="1454"/>
      <c r="CB86" s="1454"/>
      <c r="CC86" s="1454"/>
      <c r="CD86" s="1454"/>
      <c r="CE86" s="1454"/>
      <c r="CF86" s="1454"/>
      <c r="CG86" s="1454"/>
      <c r="CH86" s="1454"/>
      <c r="CI86" s="1454"/>
      <c r="CJ86" s="1454"/>
      <c r="CK86" s="1454"/>
      <c r="CL86" s="1454"/>
      <c r="CM86" s="1454"/>
      <c r="CN86" s="1454"/>
      <c r="CO86" s="1454"/>
    </row>
    <row r="87" spans="1:93" s="1450" customFormat="1" ht="20.100000000000001" customHeight="1">
      <c r="AX87" s="1454"/>
      <c r="AY87" s="1454"/>
      <c r="AZ87" s="1454"/>
      <c r="BA87" s="1454"/>
      <c r="BB87" s="1454"/>
      <c r="BC87" s="1454"/>
      <c r="BD87" s="1454"/>
      <c r="BE87" s="1454"/>
      <c r="BF87" s="1454"/>
      <c r="BG87" s="1454"/>
      <c r="BH87" s="1454"/>
      <c r="BI87" s="1454"/>
      <c r="BJ87" s="1454"/>
      <c r="BK87" s="1454"/>
      <c r="BL87" s="1454"/>
      <c r="BM87" s="1454"/>
      <c r="BN87" s="1454"/>
      <c r="BO87" s="1454"/>
      <c r="BP87" s="1454"/>
      <c r="BQ87" s="1454"/>
      <c r="BR87" s="1454"/>
      <c r="BS87" s="1454"/>
      <c r="BT87" s="1454"/>
      <c r="BU87" s="1454"/>
      <c r="BV87" s="1454"/>
      <c r="BW87" s="1454"/>
      <c r="BX87" s="1454"/>
      <c r="BY87" s="1454"/>
      <c r="BZ87" s="1454"/>
      <c r="CA87" s="1454"/>
      <c r="CB87" s="1454"/>
      <c r="CC87" s="1454"/>
      <c r="CD87" s="1454"/>
      <c r="CE87" s="1454"/>
      <c r="CF87" s="1454"/>
      <c r="CG87" s="1454"/>
      <c r="CH87" s="1454"/>
      <c r="CI87" s="1454"/>
      <c r="CJ87" s="1454"/>
      <c r="CK87" s="1454"/>
      <c r="CL87" s="1454"/>
      <c r="CM87" s="1454"/>
      <c r="CN87" s="1454"/>
      <c r="CO87" s="1454"/>
    </row>
    <row r="88" spans="1:93" s="1450" customFormat="1" ht="20.100000000000001" customHeight="1">
      <c r="AX88" s="1454"/>
      <c r="AY88" s="1454"/>
      <c r="AZ88" s="1454"/>
      <c r="BA88" s="1454"/>
      <c r="BB88" s="1454"/>
      <c r="BC88" s="1454"/>
      <c r="BD88" s="1454"/>
      <c r="BE88" s="1454"/>
      <c r="BF88" s="1454"/>
      <c r="BG88" s="1454"/>
      <c r="BH88" s="1454"/>
      <c r="BI88" s="1454"/>
      <c r="BJ88" s="1454"/>
      <c r="BK88" s="1454"/>
      <c r="BL88" s="1454"/>
      <c r="BM88" s="1454"/>
      <c r="BN88" s="1454"/>
      <c r="BO88" s="1454"/>
      <c r="BP88" s="1454"/>
      <c r="BQ88" s="1454"/>
      <c r="BR88" s="1454"/>
      <c r="BS88" s="1454"/>
      <c r="BT88" s="1454"/>
      <c r="BU88" s="1454"/>
      <c r="BV88" s="1454"/>
      <c r="BW88" s="1454"/>
      <c r="BX88" s="1454"/>
      <c r="BY88" s="1454"/>
      <c r="BZ88" s="1454"/>
      <c r="CA88" s="1454"/>
      <c r="CB88" s="1454"/>
      <c r="CC88" s="1454"/>
      <c r="CD88" s="1454"/>
      <c r="CE88" s="1454"/>
      <c r="CF88" s="1454"/>
      <c r="CG88" s="1454"/>
      <c r="CH88" s="1454"/>
      <c r="CI88" s="1454"/>
      <c r="CJ88" s="1454"/>
      <c r="CK88" s="1454"/>
      <c r="CL88" s="1454"/>
      <c r="CM88" s="1454"/>
      <c r="CN88" s="1454"/>
      <c r="CO88" s="1454"/>
    </row>
    <row r="89" spans="1:93" s="1450" customFormat="1" ht="20.100000000000001" customHeight="1">
      <c r="AB89" s="1454"/>
      <c r="AC89" s="1454"/>
      <c r="AD89" s="1454"/>
      <c r="AE89" s="1454"/>
      <c r="AF89" s="1454"/>
      <c r="AG89" s="1454"/>
      <c r="AH89" s="1454"/>
      <c r="AI89" s="1454"/>
      <c r="AJ89" s="1454"/>
      <c r="AK89" s="1454"/>
      <c r="AL89" s="1454"/>
      <c r="AM89" s="1454"/>
      <c r="AN89" s="1454"/>
      <c r="AO89" s="1454"/>
      <c r="AP89" s="1454"/>
      <c r="AQ89" s="1454"/>
      <c r="AR89" s="1454"/>
      <c r="AX89" s="1454"/>
      <c r="AY89" s="1454"/>
      <c r="AZ89" s="1454"/>
      <c r="BA89" s="1454"/>
      <c r="BB89" s="1454"/>
      <c r="BC89" s="1454"/>
      <c r="BD89" s="1454"/>
      <c r="BE89" s="1454"/>
      <c r="BF89" s="1454"/>
      <c r="BG89" s="1454"/>
      <c r="BH89" s="1454"/>
      <c r="BI89" s="1454"/>
      <c r="BJ89" s="1454"/>
      <c r="BK89" s="1454"/>
      <c r="BL89" s="1454"/>
      <c r="BM89" s="1454"/>
      <c r="BN89" s="1454"/>
      <c r="BO89" s="1454"/>
      <c r="BP89" s="1454"/>
      <c r="BQ89" s="1454"/>
      <c r="BR89" s="1454"/>
      <c r="BS89" s="1454"/>
      <c r="BT89" s="1454"/>
      <c r="BU89" s="1454"/>
      <c r="BV89" s="1454"/>
      <c r="BW89" s="1454"/>
      <c r="BX89" s="1454"/>
      <c r="BY89" s="1454"/>
      <c r="BZ89" s="1454"/>
      <c r="CA89" s="1454"/>
      <c r="CB89" s="1454"/>
      <c r="CC89" s="1454"/>
      <c r="CD89" s="1454"/>
      <c r="CE89" s="1454"/>
      <c r="CF89" s="1454"/>
      <c r="CG89" s="1454"/>
      <c r="CH89" s="1454"/>
      <c r="CI89" s="1454"/>
      <c r="CJ89" s="1454"/>
      <c r="CK89" s="1454"/>
      <c r="CL89" s="1454"/>
      <c r="CM89" s="1454"/>
      <c r="CN89" s="1454"/>
      <c r="CO89" s="1454"/>
    </row>
    <row r="90" spans="1:93" s="1450" customFormat="1" ht="20.100000000000001" customHeight="1">
      <c r="AX90" s="1454"/>
      <c r="AY90" s="1454"/>
      <c r="AZ90" s="1454"/>
      <c r="BA90" s="1454"/>
      <c r="BB90" s="1454"/>
      <c r="BC90" s="1454"/>
      <c r="BD90" s="1454"/>
      <c r="BE90" s="1454"/>
      <c r="BF90" s="1454"/>
      <c r="BG90" s="1454"/>
      <c r="BH90" s="1454"/>
      <c r="BI90" s="1454"/>
      <c r="BJ90" s="1454"/>
      <c r="BK90" s="1454"/>
      <c r="BL90" s="1454"/>
      <c r="BM90" s="1454"/>
      <c r="BN90" s="1454"/>
      <c r="BO90" s="1454"/>
      <c r="BP90" s="1454"/>
      <c r="BQ90" s="1454"/>
      <c r="BR90" s="1454"/>
      <c r="BS90" s="1454"/>
      <c r="BT90" s="1454"/>
      <c r="BU90" s="1454"/>
      <c r="BV90" s="1454"/>
      <c r="BW90" s="1454"/>
      <c r="BX90" s="1454"/>
      <c r="BY90" s="1454"/>
      <c r="BZ90" s="1454"/>
      <c r="CA90" s="1454"/>
      <c r="CB90" s="1454"/>
      <c r="CC90" s="1454"/>
      <c r="CD90" s="1454"/>
      <c r="CE90" s="1454"/>
      <c r="CF90" s="1454"/>
      <c r="CG90" s="1454"/>
      <c r="CH90" s="1454"/>
      <c r="CI90" s="1454"/>
      <c r="CJ90" s="1454"/>
      <c r="CK90" s="1454"/>
      <c r="CL90" s="1454"/>
      <c r="CM90" s="1454"/>
      <c r="CN90" s="1454"/>
      <c r="CO90" s="1454"/>
    </row>
    <row r="91" spans="1:93" s="1450" customFormat="1" ht="20.100000000000001" customHeight="1"/>
    <row r="92" spans="1:93" s="1450" customFormat="1" ht="20.100000000000001" customHeight="1"/>
    <row r="93" spans="1:93" s="1450" customFormat="1" ht="20.100000000000001" customHeight="1"/>
    <row r="94" spans="1:93" s="1450" customFormat="1" ht="20.100000000000001" customHeight="1"/>
    <row r="95" spans="1:93" s="1450" customFormat="1" ht="20.100000000000001" customHeight="1"/>
    <row r="96" spans="1:93" s="1450" customFormat="1" ht="20.100000000000001" customHeight="1"/>
    <row r="97" s="1450" customFormat="1" ht="20.100000000000001" customHeight="1"/>
    <row r="98" s="1450" customFormat="1" ht="20.100000000000001" customHeight="1"/>
    <row r="99" s="1450" customFormat="1" ht="20.100000000000001" customHeight="1"/>
    <row r="100" s="1450" customFormat="1" ht="20.100000000000001" customHeight="1"/>
    <row r="101" s="1450" customFormat="1" ht="20.100000000000001" customHeight="1"/>
    <row r="102" s="1450" customFormat="1" ht="20.100000000000001" customHeight="1"/>
    <row r="103" s="1450" customFormat="1" ht="20.100000000000001" customHeight="1"/>
    <row r="104" s="1450" customFormat="1" ht="20.100000000000001" customHeight="1"/>
    <row r="105" s="1450" customFormat="1" ht="20.100000000000001" customHeight="1"/>
    <row r="106" s="1450" customFormat="1" ht="20.100000000000001" customHeight="1"/>
    <row r="107" s="1450" customFormat="1" ht="20.100000000000001" customHeight="1"/>
    <row r="108" s="1450" customFormat="1" ht="20.100000000000001" customHeight="1"/>
    <row r="109" s="1450" customFormat="1" ht="20.100000000000001" customHeight="1"/>
    <row r="110" s="1450" customFormat="1" ht="20.100000000000001" customHeight="1"/>
    <row r="111" s="1450" customFormat="1" ht="20.100000000000001" customHeight="1"/>
  </sheetData>
  <mergeCells count="252">
    <mergeCell ref="A1:AR1"/>
    <mergeCell ref="C8:I10"/>
    <mergeCell ref="J8:R10"/>
    <mergeCell ref="S8:U10"/>
    <mergeCell ref="V8:AD8"/>
    <mergeCell ref="AE8:AF10"/>
    <mergeCell ref="AG8:AL8"/>
    <mergeCell ref="AM8:AQ10"/>
    <mergeCell ref="V9:X10"/>
    <mergeCell ref="Y9:AA10"/>
    <mergeCell ref="AB9:AD10"/>
    <mergeCell ref="AG9:AI10"/>
    <mergeCell ref="AJ9:AL10"/>
    <mergeCell ref="C11:I11"/>
    <mergeCell ref="J11:R11"/>
    <mergeCell ref="S11:U11"/>
    <mergeCell ref="V11:X11"/>
    <mergeCell ref="Y11:AA11"/>
    <mergeCell ref="AB11:AD11"/>
    <mergeCell ref="AE11:AF11"/>
    <mergeCell ref="AG11:AI11"/>
    <mergeCell ref="AJ11:AL11"/>
    <mergeCell ref="AM11:AQ18"/>
    <mergeCell ref="C12:I12"/>
    <mergeCell ref="J12:R12"/>
    <mergeCell ref="S12:U12"/>
    <mergeCell ref="V12:X12"/>
    <mergeCell ref="Y12:AA12"/>
    <mergeCell ref="AB12:AD12"/>
    <mergeCell ref="AE12:AF12"/>
    <mergeCell ref="AG12:AI12"/>
    <mergeCell ref="AJ12:AL12"/>
    <mergeCell ref="C13:I13"/>
    <mergeCell ref="J13:R13"/>
    <mergeCell ref="S13:U13"/>
    <mergeCell ref="V13:X13"/>
    <mergeCell ref="Y13:AA13"/>
    <mergeCell ref="AB13:AD13"/>
    <mergeCell ref="AE13:AF13"/>
    <mergeCell ref="AG13:AI13"/>
    <mergeCell ref="AJ13:AL13"/>
    <mergeCell ref="C14:I14"/>
    <mergeCell ref="J14:R14"/>
    <mergeCell ref="S14:U14"/>
    <mergeCell ref="V14:X14"/>
    <mergeCell ref="Y14:AA14"/>
    <mergeCell ref="AB14:AD14"/>
    <mergeCell ref="AE14:AF14"/>
    <mergeCell ref="AG14:AI14"/>
    <mergeCell ref="AJ14:AL14"/>
    <mergeCell ref="AE15:AF15"/>
    <mergeCell ref="AG15:AI15"/>
    <mergeCell ref="AJ15:AL15"/>
    <mergeCell ref="C16:I16"/>
    <mergeCell ref="J16:R16"/>
    <mergeCell ref="S16:U16"/>
    <mergeCell ref="V16:X16"/>
    <mergeCell ref="Y16:AA16"/>
    <mergeCell ref="AB16:AD16"/>
    <mergeCell ref="AE16:AF16"/>
    <mergeCell ref="C15:I15"/>
    <mergeCell ref="J15:R15"/>
    <mergeCell ref="S15:U15"/>
    <mergeCell ref="V15:X15"/>
    <mergeCell ref="Y15:AA15"/>
    <mergeCell ref="AB15:AD15"/>
    <mergeCell ref="AG16:AI16"/>
    <mergeCell ref="AJ16:AL16"/>
    <mergeCell ref="C17:I17"/>
    <mergeCell ref="J17:R17"/>
    <mergeCell ref="S17:U17"/>
    <mergeCell ref="V17:X17"/>
    <mergeCell ref="Y17:AA17"/>
    <mergeCell ref="AB17:AD17"/>
    <mergeCell ref="AE17:AF17"/>
    <mergeCell ref="AG17:AI17"/>
    <mergeCell ref="AJ17:AL17"/>
    <mergeCell ref="C18:AF18"/>
    <mergeCell ref="AG18:AI18"/>
    <mergeCell ref="AJ18:AL18"/>
    <mergeCell ref="C19:I20"/>
    <mergeCell ref="J19:R19"/>
    <mergeCell ref="S19:U19"/>
    <mergeCell ref="V19:X19"/>
    <mergeCell ref="Y19:AA19"/>
    <mergeCell ref="AB19:AD19"/>
    <mergeCell ref="AE19:AF19"/>
    <mergeCell ref="AG19:AI19"/>
    <mergeCell ref="AJ19:AL19"/>
    <mergeCell ref="C22:I22"/>
    <mergeCell ref="J22:R22"/>
    <mergeCell ref="S22:U22"/>
    <mergeCell ref="V22:X22"/>
    <mergeCell ref="Y22:AA22"/>
    <mergeCell ref="AB22:AD22"/>
    <mergeCell ref="AE22:AF22"/>
    <mergeCell ref="AG22:AI22"/>
    <mergeCell ref="AJ22:AL22"/>
    <mergeCell ref="C21:I21"/>
    <mergeCell ref="J21:R21"/>
    <mergeCell ref="S21:U21"/>
    <mergeCell ref="V21:X21"/>
    <mergeCell ref="Y21:AA21"/>
    <mergeCell ref="AB21:AD21"/>
    <mergeCell ref="AE21:AF21"/>
    <mergeCell ref="AG21:AI21"/>
    <mergeCell ref="AJ21:AL21"/>
    <mergeCell ref="C23:I23"/>
    <mergeCell ref="J23:R23"/>
    <mergeCell ref="S23:U23"/>
    <mergeCell ref="V23:X23"/>
    <mergeCell ref="Y23:AA23"/>
    <mergeCell ref="AB23:AD23"/>
    <mergeCell ref="AE23:AF23"/>
    <mergeCell ref="AG28:AI28"/>
    <mergeCell ref="AJ28:AL28"/>
    <mergeCell ref="C24:I24"/>
    <mergeCell ref="J24:R24"/>
    <mergeCell ref="S24:U24"/>
    <mergeCell ref="V24:X24"/>
    <mergeCell ref="AE26:AF26"/>
    <mergeCell ref="AG26:AI26"/>
    <mergeCell ref="AJ26:AL26"/>
    <mergeCell ref="AG23:AI23"/>
    <mergeCell ref="AJ23:AL23"/>
    <mergeCell ref="AG24:AI24"/>
    <mergeCell ref="AJ24:AL24"/>
    <mergeCell ref="AE27:AF27"/>
    <mergeCell ref="AG27:AI27"/>
    <mergeCell ref="AJ27:AL27"/>
    <mergeCell ref="C25:I25"/>
    <mergeCell ref="J25:R25"/>
    <mergeCell ref="S25:U25"/>
    <mergeCell ref="V25:X25"/>
    <mergeCell ref="Y25:AA25"/>
    <mergeCell ref="AB25:AD25"/>
    <mergeCell ref="AE25:AF25"/>
    <mergeCell ref="AG25:AI25"/>
    <mergeCell ref="AJ25:AL25"/>
    <mergeCell ref="C27:I27"/>
    <mergeCell ref="J27:R27"/>
    <mergeCell ref="S27:U27"/>
    <mergeCell ref="V27:X27"/>
    <mergeCell ref="Y27:AA27"/>
    <mergeCell ref="AB27:AD27"/>
    <mergeCell ref="C26:I26"/>
    <mergeCell ref="J26:R26"/>
    <mergeCell ref="S26:U26"/>
    <mergeCell ref="V26:X26"/>
    <mergeCell ref="Y26:AA26"/>
    <mergeCell ref="AB26:AD26"/>
    <mergeCell ref="S30:U30"/>
    <mergeCell ref="V30:X30"/>
    <mergeCell ref="Y30:AA30"/>
    <mergeCell ref="AB30:AD30"/>
    <mergeCell ref="AE30:AF30"/>
    <mergeCell ref="AG30:AI30"/>
    <mergeCell ref="AJ30:AL30"/>
    <mergeCell ref="C29:I29"/>
    <mergeCell ref="J29:R29"/>
    <mergeCell ref="S29:U29"/>
    <mergeCell ref="V29:X29"/>
    <mergeCell ref="Y29:AA29"/>
    <mergeCell ref="AB29:AD29"/>
    <mergeCell ref="AE29:AF29"/>
    <mergeCell ref="AG29:AI29"/>
    <mergeCell ref="AM32:AQ32"/>
    <mergeCell ref="D39:E39"/>
    <mergeCell ref="F39:Q39"/>
    <mergeCell ref="R39:T39"/>
    <mergeCell ref="U39:Y39"/>
    <mergeCell ref="D40:E41"/>
    <mergeCell ref="F40:Q41"/>
    <mergeCell ref="R40:T40"/>
    <mergeCell ref="U40:Y40"/>
    <mergeCell ref="R41:T41"/>
    <mergeCell ref="C32:AF32"/>
    <mergeCell ref="AG32:AI32"/>
    <mergeCell ref="AJ32:AL32"/>
    <mergeCell ref="AG31:AI31"/>
    <mergeCell ref="AM19:AQ31"/>
    <mergeCell ref="J20:R20"/>
    <mergeCell ref="S20:U20"/>
    <mergeCell ref="V20:X20"/>
    <mergeCell ref="Y20:AA20"/>
    <mergeCell ref="AB20:AD20"/>
    <mergeCell ref="AE20:AF20"/>
    <mergeCell ref="AG20:AI20"/>
    <mergeCell ref="AJ20:AL20"/>
    <mergeCell ref="Y24:AA24"/>
    <mergeCell ref="AB24:AD24"/>
    <mergeCell ref="AE24:AF24"/>
    <mergeCell ref="AJ31:AL31"/>
    <mergeCell ref="C31:AF31"/>
    <mergeCell ref="C28:I28"/>
    <mergeCell ref="J28:R28"/>
    <mergeCell ref="S28:U28"/>
    <mergeCell ref="V28:X28"/>
    <mergeCell ref="Y28:AA28"/>
    <mergeCell ref="AB28:AD28"/>
    <mergeCell ref="AE28:AF28"/>
    <mergeCell ref="AJ29:AL29"/>
    <mergeCell ref="C30:R30"/>
    <mergeCell ref="AE43:AH43"/>
    <mergeCell ref="R44:T44"/>
    <mergeCell ref="U44:Y44"/>
    <mergeCell ref="U41:Y41"/>
    <mergeCell ref="D42:E42"/>
    <mergeCell ref="F42:Q42"/>
    <mergeCell ref="R42:T42"/>
    <mergeCell ref="U42:Y42"/>
    <mergeCell ref="AE42:AH42"/>
    <mergeCell ref="D45:E45"/>
    <mergeCell ref="F45:Q45"/>
    <mergeCell ref="R45:T45"/>
    <mergeCell ref="U45:Y45"/>
    <mergeCell ref="D54:E54"/>
    <mergeCell ref="F54:Q54"/>
    <mergeCell ref="R54:T54"/>
    <mergeCell ref="U54:Y54"/>
    <mergeCell ref="D43:E44"/>
    <mergeCell ref="F43:Q44"/>
    <mergeCell ref="R43:T43"/>
    <mergeCell ref="U43:Y43"/>
    <mergeCell ref="AE56:AH56"/>
    <mergeCell ref="R57:T57"/>
    <mergeCell ref="U57:Y57"/>
    <mergeCell ref="AE57:AH57"/>
    <mergeCell ref="R58:T58"/>
    <mergeCell ref="U58:Y58"/>
    <mergeCell ref="D55:E55"/>
    <mergeCell ref="F55:Q55"/>
    <mergeCell ref="R55:T55"/>
    <mergeCell ref="U55:Y55"/>
    <mergeCell ref="D56:E58"/>
    <mergeCell ref="F56:Q58"/>
    <mergeCell ref="R56:T56"/>
    <mergeCell ref="U56:Y56"/>
    <mergeCell ref="D62:E62"/>
    <mergeCell ref="F62:Q62"/>
    <mergeCell ref="R62:T62"/>
    <mergeCell ref="U62:Y62"/>
    <mergeCell ref="D59:E59"/>
    <mergeCell ref="F59:Q59"/>
    <mergeCell ref="R59:T59"/>
    <mergeCell ref="U59:Y59"/>
    <mergeCell ref="D60:E61"/>
    <mergeCell ref="F60:Q61"/>
    <mergeCell ref="R60:T60"/>
    <mergeCell ref="U60:Y60"/>
    <mergeCell ref="R61:T61"/>
    <mergeCell ref="U61:Y61"/>
  </mergeCells>
  <phoneticPr fontId="60" type="noConversion"/>
  <printOptions horizontalCentered="1"/>
  <pageMargins left="0.23622047244094491" right="0.23622047244094491" top="0.74803149606299213" bottom="0.39370078740157483" header="0.31496062992125984" footer="0.31496062992125984"/>
  <pageSetup paperSize="9" scale="59" orientation="portrait" horizontalDpi="1200" verticalDpi="1200"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A4982-90F6-4F41-ABD2-7F9ED4DF0BFF}">
  <sheetPr>
    <pageSetUpPr fitToPage="1"/>
  </sheetPr>
  <dimension ref="A2:J14"/>
  <sheetViews>
    <sheetView view="pageBreakPreview" zoomScale="85" zoomScaleNormal="100" zoomScaleSheetLayoutView="85" workbookViewId="0">
      <selection activeCell="G7" sqref="G7"/>
    </sheetView>
  </sheetViews>
  <sheetFormatPr defaultColWidth="9" defaultRowHeight="14.25"/>
  <cols>
    <col min="1" max="1" width="31.75" style="1732" customWidth="1"/>
    <col min="2" max="2" width="9.875" style="1732" customWidth="1"/>
    <col min="3" max="4" width="9" style="1732"/>
    <col min="5" max="5" width="9.5" style="1732" bestFit="1" customWidth="1"/>
    <col min="6" max="6" width="11.25" style="1732" customWidth="1"/>
    <col min="7" max="7" width="11.625" style="1732" customWidth="1"/>
    <col min="8" max="8" width="9.875" style="1732" customWidth="1"/>
    <col min="9" max="9" width="40" style="1732" customWidth="1"/>
    <col min="10" max="16384" width="9" style="1732"/>
  </cols>
  <sheetData>
    <row r="2" spans="1:10" ht="39.950000000000003" customHeight="1">
      <c r="A2" s="2386" t="s">
        <v>3338</v>
      </c>
      <c r="B2" s="2386"/>
      <c r="C2" s="2386"/>
      <c r="D2" s="2386"/>
      <c r="E2" s="2386"/>
      <c r="F2" s="2386"/>
      <c r="G2" s="2386"/>
      <c r="H2" s="2386"/>
      <c r="I2" s="1868"/>
    </row>
    <row r="3" spans="1:10" s="1733" customFormat="1" ht="15" customHeight="1"/>
    <row r="4" spans="1:10" s="1733" customFormat="1" ht="35.1" customHeight="1">
      <c r="A4" s="1733" t="str">
        <f>[200]표지!A13</f>
        <v>공 사 명 : 동해안#1 변환소 구내통신설비 시설공사</v>
      </c>
    </row>
    <row r="5" spans="1:10" s="1733" customFormat="1" ht="35.1" customHeight="1">
      <c r="A5" s="2387" t="s">
        <v>3343</v>
      </c>
      <c r="B5" s="2389" t="s">
        <v>3345</v>
      </c>
      <c r="C5" s="2389"/>
      <c r="D5" s="2389" t="s">
        <v>822</v>
      </c>
      <c r="E5" s="2391" t="s">
        <v>3346</v>
      </c>
      <c r="F5" s="2394" t="s">
        <v>3335</v>
      </c>
      <c r="G5" s="2389" t="s">
        <v>3350</v>
      </c>
      <c r="H5" s="2392" t="s">
        <v>3341</v>
      </c>
      <c r="I5" s="2384" t="s">
        <v>3340</v>
      </c>
    </row>
    <row r="6" spans="1:10" s="1733" customFormat="1" ht="35.1" customHeight="1">
      <c r="A6" s="2388"/>
      <c r="B6" s="2390"/>
      <c r="C6" s="2390"/>
      <c r="D6" s="2390"/>
      <c r="E6" s="2390"/>
      <c r="F6" s="2395"/>
      <c r="G6" s="2390"/>
      <c r="H6" s="2393"/>
      <c r="I6" s="2385"/>
    </row>
    <row r="7" spans="1:10" s="1733" customFormat="1" ht="56.25" customHeight="1">
      <c r="A7" s="1737" t="s">
        <v>3344</v>
      </c>
      <c r="B7" s="2379" t="s">
        <v>3347</v>
      </c>
      <c r="C7" s="2380"/>
      <c r="D7" s="1738" t="s">
        <v>3356</v>
      </c>
      <c r="E7" s="1738">
        <v>1</v>
      </c>
      <c r="F7" s="1739">
        <v>1800000</v>
      </c>
      <c r="G7" s="1739">
        <f>E7*F7</f>
        <v>1800000</v>
      </c>
      <c r="H7" s="1740" t="s">
        <v>3342</v>
      </c>
      <c r="I7" s="2381" t="s">
        <v>3358</v>
      </c>
    </row>
    <row r="8" spans="1:10" s="1733" customFormat="1" ht="56.25" customHeight="1">
      <c r="A8" s="1737" t="s">
        <v>3339</v>
      </c>
      <c r="B8" s="2379" t="s">
        <v>3349</v>
      </c>
      <c r="C8" s="2380"/>
      <c r="D8" s="1738" t="s">
        <v>3348</v>
      </c>
      <c r="E8" s="1738">
        <v>1</v>
      </c>
      <c r="F8" s="1739">
        <v>1100000</v>
      </c>
      <c r="G8" s="1739">
        <f>E8*F8</f>
        <v>1100000</v>
      </c>
      <c r="H8" s="1740" t="s">
        <v>3342</v>
      </c>
      <c r="I8" s="2382"/>
      <c r="J8" s="1733">
        <v>26</v>
      </c>
    </row>
    <row r="9" spans="1:10" s="1733" customFormat="1" ht="56.25" customHeight="1">
      <c r="A9" s="1737" t="s">
        <v>3357</v>
      </c>
      <c r="B9" s="2379"/>
      <c r="C9" s="2380"/>
      <c r="D9" s="1738"/>
      <c r="E9" s="1738"/>
      <c r="F9" s="1739"/>
      <c r="G9" s="1739">
        <f>G7+G8</f>
        <v>2900000</v>
      </c>
      <c r="H9" s="1740"/>
      <c r="I9" s="2383"/>
    </row>
    <row r="10" spans="1:10" ht="24.95" customHeight="1"/>
    <row r="11" spans="1:10" ht="24.95" customHeight="1"/>
    <row r="12" spans="1:10" ht="24.95" customHeight="1"/>
    <row r="13" spans="1:10" ht="24.95" customHeight="1"/>
    <row r="14" spans="1:10" ht="24.95" customHeight="1"/>
  </sheetData>
  <mergeCells count="13">
    <mergeCell ref="B9:C9"/>
    <mergeCell ref="I7:I9"/>
    <mergeCell ref="I5:I6"/>
    <mergeCell ref="A2:I2"/>
    <mergeCell ref="B8:C8"/>
    <mergeCell ref="A5:A6"/>
    <mergeCell ref="B5:C6"/>
    <mergeCell ref="D5:D6"/>
    <mergeCell ref="E5:E6"/>
    <mergeCell ref="G5:G6"/>
    <mergeCell ref="H5:H6"/>
    <mergeCell ref="B7:C7"/>
    <mergeCell ref="F5:F6"/>
  </mergeCells>
  <phoneticPr fontId="60" type="noConversion"/>
  <printOptions horizontalCentered="1"/>
  <pageMargins left="0.70866141732283472" right="0.43307086614173229" top="0.74803149606299213" bottom="0.74803149606299213" header="0.31496062992125984" footer="0.31496062992125984"/>
  <pageSetup paperSize="9" scale="87" orientation="landscape"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39</vt:i4>
      </vt:variant>
      <vt:variant>
        <vt:lpstr>이름 지정된 범위</vt:lpstr>
      </vt:variant>
      <vt:variant>
        <vt:i4>44</vt:i4>
      </vt:variant>
    </vt:vector>
  </HeadingPairs>
  <TitlesOfParts>
    <vt:vector size="83" baseType="lpstr">
      <vt:lpstr>표지</vt:lpstr>
      <vt:lpstr>목차</vt:lpstr>
      <vt:lpstr>1.공사계획서</vt:lpstr>
      <vt:lpstr>2.공사설명서</vt:lpstr>
      <vt:lpstr>2-1.계통도(전력통신)</vt:lpstr>
      <vt:lpstr>2-2.계통도(무인보안)</vt:lpstr>
      <vt:lpstr>3.공사비총괄표</vt:lpstr>
      <vt:lpstr>4.자금계획서</vt:lpstr>
      <vt:lpstr>5.예정공정표</vt:lpstr>
      <vt:lpstr>6.공사비예산서</vt:lpstr>
      <vt:lpstr>집계표</vt:lpstr>
      <vt:lpstr>7.설계명세서</vt:lpstr>
      <vt:lpstr>8-1.설비자재산출(전력통신)</vt:lpstr>
      <vt:lpstr>8-2.설비자재산출(무인보안)</vt:lpstr>
      <vt:lpstr>8-3.노무산출</vt:lpstr>
      <vt:lpstr>8-4.일위대가표</vt:lpstr>
      <vt:lpstr>8-5.2025하노임</vt:lpstr>
      <vt:lpstr>8-6.자재단가비교표</vt:lpstr>
      <vt:lpstr>8-7.적용근거</vt:lpstr>
      <vt:lpstr>8-8. 공구손료</vt:lpstr>
      <vt:lpstr>9.시방서표지</vt:lpstr>
      <vt:lpstr>10.시설도면</vt:lpstr>
      <vt:lpstr>10-2. 광단말(도일CT)</vt:lpstr>
      <vt:lpstr>10-2 광단말(서안성)</vt:lpstr>
      <vt:lpstr>10-2. 광단말도면(고덕2)</vt:lpstr>
      <vt:lpstr>10-1.송변전단말 구성도</vt:lpstr>
      <vt:lpstr>10-2전원설비,LAN,IP계통 시설도</vt:lpstr>
      <vt:lpstr>10-3-3. 전원PIALAN물량(동강)</vt:lpstr>
      <vt:lpstr>10-2-1. 전원_PIA_LAN물량(ICT실)_동해안</vt:lpstr>
      <vt:lpstr>10-2-2. 전원_PIA_LAN물량_동강</vt:lpstr>
      <vt:lpstr>10-4-4. 단말케이블LIST(동강)</vt:lpstr>
      <vt:lpstr>10-3-1. 송광단말케이블LIST(동해안)</vt:lpstr>
      <vt:lpstr>10-3-2. 송광단말케이블LIST(동강)</vt:lpstr>
      <vt:lpstr>10-3-3. 송광단말케이블LIST(신태백)</vt:lpstr>
      <vt:lpstr>10-4-1. 충전기 용량산출_동해안#1</vt:lpstr>
      <vt:lpstr>10-4-2. UPS 용량산출_동해안#1</vt:lpstr>
      <vt:lpstr>10-4-3. 충전기 용량산출_동강</vt:lpstr>
      <vt:lpstr>10-4-4.  UPS 용량산출_동강</vt:lpstr>
      <vt:lpstr>11-1. 기계경비</vt:lpstr>
      <vt:lpstr>'1.공사계획서'!Print_Area</vt:lpstr>
      <vt:lpstr>'10.시설도면'!Print_Area</vt:lpstr>
      <vt:lpstr>'10-1.송변전단말 구성도'!Print_Area</vt:lpstr>
      <vt:lpstr>'10-2 광단말(서안성)'!Print_Area</vt:lpstr>
      <vt:lpstr>'10-2. 광단말(도일CT)'!Print_Area</vt:lpstr>
      <vt:lpstr>'10-2. 광단말도면(고덕2)'!Print_Area</vt:lpstr>
      <vt:lpstr>'10-2-1. 전원_PIA_LAN물량(ICT실)_동해안'!Print_Area</vt:lpstr>
      <vt:lpstr>'10-2-2. 전원_PIA_LAN물량_동강'!Print_Area</vt:lpstr>
      <vt:lpstr>'10-2전원설비,LAN,IP계통 시설도'!Print_Area</vt:lpstr>
      <vt:lpstr>'10-3-1. 송광단말케이블LIST(동해안)'!Print_Area</vt:lpstr>
      <vt:lpstr>'10-3-2. 송광단말케이블LIST(동강)'!Print_Area</vt:lpstr>
      <vt:lpstr>'10-3-3. 송광단말케이블LIST(신태백)'!Print_Area</vt:lpstr>
      <vt:lpstr>'10-3-3. 전원PIALAN물량(동강)'!Print_Area</vt:lpstr>
      <vt:lpstr>'10-4-1. 충전기 용량산출_동해안#1'!Print_Area</vt:lpstr>
      <vt:lpstr>'10-4-2. UPS 용량산출_동해안#1'!Print_Area</vt:lpstr>
      <vt:lpstr>'10-4-3. 충전기 용량산출_동강'!Print_Area</vt:lpstr>
      <vt:lpstr>'10-4-4.  UPS 용량산출_동강'!Print_Area</vt:lpstr>
      <vt:lpstr>'10-4-4. 단말케이블LIST(동강)'!Print_Area</vt:lpstr>
      <vt:lpstr>'11-1. 기계경비'!Print_Area</vt:lpstr>
      <vt:lpstr>'2.공사설명서'!Print_Area</vt:lpstr>
      <vt:lpstr>'2-1.계통도(전력통신)'!Print_Area</vt:lpstr>
      <vt:lpstr>'2-2.계통도(무인보안)'!Print_Area</vt:lpstr>
      <vt:lpstr>'3.공사비총괄표'!Print_Area</vt:lpstr>
      <vt:lpstr>'4.자금계획서'!Print_Area</vt:lpstr>
      <vt:lpstr>'5.예정공정표'!Print_Area</vt:lpstr>
      <vt:lpstr>'6.공사비예산서'!Print_Area</vt:lpstr>
      <vt:lpstr>'7.설계명세서'!Print_Area</vt:lpstr>
      <vt:lpstr>'8-1.설비자재산출(전력통신)'!Print_Area</vt:lpstr>
      <vt:lpstr>'8-2.설비자재산출(무인보안)'!Print_Area</vt:lpstr>
      <vt:lpstr>'8-3.노무산출'!Print_Area</vt:lpstr>
      <vt:lpstr>'8-4.일위대가표'!Print_Area</vt:lpstr>
      <vt:lpstr>'8-5.2025하노임'!Print_Area</vt:lpstr>
      <vt:lpstr>'8-6.자재단가비교표'!Print_Area</vt:lpstr>
      <vt:lpstr>'8-7.적용근거'!Print_Area</vt:lpstr>
      <vt:lpstr>'8-8. 공구손료'!Print_Area</vt:lpstr>
      <vt:lpstr>목차!Print_Area</vt:lpstr>
      <vt:lpstr>집계표!Print_Area</vt:lpstr>
      <vt:lpstr>표지!Print_Area</vt:lpstr>
      <vt:lpstr>'7.설계명세서'!Print_Titles</vt:lpstr>
      <vt:lpstr>'8-2.설비자재산출(무인보안)'!Print_Titles</vt:lpstr>
      <vt:lpstr>'8-3.노무산출'!Print_Titles</vt:lpstr>
      <vt:lpstr>'8-4.일위대가표'!Print_Titles</vt:lpstr>
      <vt:lpstr>'8-6.자재단가비교표'!Print_Titles</vt:lpstr>
      <vt:lpstr>'8-8. 공구손료'!Print_Titles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사용자</dc:creator>
  <cp:lastModifiedBy>sang jin lee</cp:lastModifiedBy>
  <cp:lastPrinted>2025-10-14T04:14:59Z</cp:lastPrinted>
  <dcterms:created xsi:type="dcterms:W3CDTF">2012-12-20T07:26:17Z</dcterms:created>
  <dcterms:modified xsi:type="dcterms:W3CDTF">2025-11-18T05:36:31Z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soo_Trace_ID">
    <vt:lpwstr>eyJub2RlMSI6eyJkc2QiOiIwMTAwMDAwMDAwMDAxNTY0IiwibG9nVGltZSI6IjIwMjEtMDctMjdUMDE6NTU6MTNaIiwicElEIjoxLCJ0cmFjZUlkIjoiREZDNkM0RDRGODg0NEE2NUFFMzE0RjQ4OThDODQ1NkUiLCJ1c2VyQ29kZSI6Ijk0MTA4NTUxIn0sIm5vZGUyIjp7ImRzZCI6IjAxMDAwMDAwMDAwMDE1NjQiLCJsb2dUaW1lIjoiMjA</vt:lpwstr>
  </property>
</Properties>
</file>